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ITAP\23. FaST\20. Técnicos\20. Tool\"/>
    </mc:Choice>
  </mc:AlternateContent>
  <xr:revisionPtr revIDLastSave="0" documentId="13_ncr:1_{26B37E1A-C09F-48BA-84FA-70F31AD4DFFD}" xr6:coauthVersionLast="46" xr6:coauthVersionMax="46" xr10:uidLastSave="{00000000-0000-0000-0000-000000000000}"/>
  <bookViews>
    <workbookView xWindow="-38520" yWindow="-4920" windowWidth="38640" windowHeight="21240" tabRatio="865" xr2:uid="{66725FCD-34CC-4876-B241-C5A877249EFD}"/>
  </bookViews>
  <sheets>
    <sheet name="Nomen" sheetId="24" r:id="rId1"/>
    <sheet name="Gráfico1" sheetId="12" r:id="rId2"/>
    <sheet name="Inputs" sheetId="2" r:id="rId3"/>
    <sheet name="Nitro" sheetId="5" r:id="rId4"/>
    <sheet name="F TrB" sheetId="21" r:id="rId5"/>
    <sheet name="CSV" sheetId="14" r:id="rId6"/>
    <sheet name="CSV SWB" sheetId="35" r:id="rId7"/>
    <sheet name="SWB" sheetId="30" r:id="rId8"/>
    <sheet name="Riego" sheetId="39" r:id="rId9"/>
    <sheet name="Clima" sheetId="31" r:id="rId10"/>
    <sheet name="NDVI real" sheetId="32" r:id="rId11"/>
    <sheet name="Resume" sheetId="38" r:id="rId12"/>
    <sheet name="Res Bal Sem" sheetId="1" r:id="rId13"/>
    <sheet name="NDVI tipo" sheetId="34" r:id="rId14"/>
    <sheet name="Res N Fecha" sheetId="16" r:id="rId15"/>
    <sheet name="Calc Nitratos" sheetId="25" r:id="rId16"/>
  </sheets>
  <definedNames>
    <definedName name="BalAgua" localSheetId="6">'CSV SWB'!$A$16:$BA$174</definedName>
    <definedName name="BalAgua">CSV!$B$17:$BA$175</definedName>
    <definedName name="BalN">Nitro!$A$5:$Y$228</definedName>
    <definedName name="CSVAgro">CSV!$A$18:$AZ$370</definedName>
    <definedName name="CSVSWB">'CSV SWB'!$B$16:$BA$250</definedName>
    <definedName name="Cultivos">Nomen!$B$43:$B$50</definedName>
    <definedName name="Data">'Res Bal Sem'!$B$3:$K$34</definedName>
    <definedName name="Extracciones">Inputs!$K$37:$O$45</definedName>
    <definedName name="FenoT">'F TrB'!$B$2:$L$21</definedName>
    <definedName name="Fertiliz">Inputs!$C$24:$M$30</definedName>
    <definedName name="Fertiliza">Inputs!$C$24:$M$30</definedName>
    <definedName name="Finca">Nomen!$A$1:$B$17</definedName>
    <definedName name="Mineral">Inputs!$B$38:$F$46</definedName>
    <definedName name="MO">Inputs!$B$48:$F$51</definedName>
    <definedName name="Nitro">Nitro!$A$5:$BD$228</definedName>
    <definedName name="Nmin">Inputs!$C$15</definedName>
    <definedName name="Parcelas">Nomen!$A$19:$D$36</definedName>
    <definedName name="Riegos">Riego!$K$1:$N$366</definedName>
  </definedNames>
  <calcPr calcId="181029"/>
  <pivotCaches>
    <pivotCache cacheId="52" r:id="rId1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4" i="21" l="1"/>
  <c r="R4" i="21"/>
  <c r="Q5" i="21"/>
  <c r="R5" i="21"/>
  <c r="Q6" i="21"/>
  <c r="R6" i="21"/>
  <c r="Q7" i="21"/>
  <c r="R7" i="21"/>
  <c r="Q8" i="21"/>
  <c r="R8" i="21"/>
  <c r="Q9" i="21"/>
  <c r="R9" i="21"/>
  <c r="Q10" i="21"/>
  <c r="R10" i="21"/>
  <c r="Q11" i="21"/>
  <c r="R11" i="21"/>
  <c r="Q12" i="21"/>
  <c r="R12" i="21"/>
  <c r="R3" i="21"/>
  <c r="Q3" i="21"/>
  <c r="Z86" i="5"/>
  <c r="AA86" i="5" s="1"/>
  <c r="Z47" i="5"/>
  <c r="AA47" i="5" s="1"/>
  <c r="Z48" i="5"/>
  <c r="AA48" i="5"/>
  <c r="Z49" i="5"/>
  <c r="AA49" i="5" s="1"/>
  <c r="Z50" i="5"/>
  <c r="AA50" i="5"/>
  <c r="Z51" i="5"/>
  <c r="AA51" i="5" s="1"/>
  <c r="Z52" i="5"/>
  <c r="AA52" i="5"/>
  <c r="Z53" i="5"/>
  <c r="AA53" i="5" s="1"/>
  <c r="Z54" i="5"/>
  <c r="AA54" i="5"/>
  <c r="Z55" i="5"/>
  <c r="AA55" i="5" s="1"/>
  <c r="Z56" i="5"/>
  <c r="AA56" i="5"/>
  <c r="Z57" i="5"/>
  <c r="AA57" i="5" s="1"/>
  <c r="Z58" i="5"/>
  <c r="AA58" i="5"/>
  <c r="Z59" i="5"/>
  <c r="AA59" i="5" s="1"/>
  <c r="Z60" i="5"/>
  <c r="AA60" i="5"/>
  <c r="Z61" i="5"/>
  <c r="AA61" i="5" s="1"/>
  <c r="Z62" i="5"/>
  <c r="AA62" i="5"/>
  <c r="Z63" i="5"/>
  <c r="AA63" i="5" s="1"/>
  <c r="Z64" i="5"/>
  <c r="AA64" i="5" s="1"/>
  <c r="Z65" i="5"/>
  <c r="AA65" i="5" s="1"/>
  <c r="Z66" i="5"/>
  <c r="AA66" i="5"/>
  <c r="Z67" i="5"/>
  <c r="AA67" i="5" s="1"/>
  <c r="Z68" i="5"/>
  <c r="AA68" i="5" s="1"/>
  <c r="Z69" i="5"/>
  <c r="AA69" i="5" s="1"/>
  <c r="Z70" i="5"/>
  <c r="AA70" i="5"/>
  <c r="Z71" i="5"/>
  <c r="AA71" i="5" s="1"/>
  <c r="Z72" i="5"/>
  <c r="AA72" i="5" s="1"/>
  <c r="Z73" i="5"/>
  <c r="AA73" i="5" s="1"/>
  <c r="Z74" i="5"/>
  <c r="AA74" i="5"/>
  <c r="Z75" i="5"/>
  <c r="AA75" i="5" s="1"/>
  <c r="Z76" i="5"/>
  <c r="AA76" i="5" s="1"/>
  <c r="Z77" i="5"/>
  <c r="AA77" i="5" s="1"/>
  <c r="Z78" i="5"/>
  <c r="AA78" i="5"/>
  <c r="Z79" i="5"/>
  <c r="AA79" i="5" s="1"/>
  <c r="Z80" i="5"/>
  <c r="AA80" i="5" s="1"/>
  <c r="Z81" i="5"/>
  <c r="AA81" i="5" s="1"/>
  <c r="Z82" i="5"/>
  <c r="AA82" i="5"/>
  <c r="Z83" i="5"/>
  <c r="AA83" i="5" s="1"/>
  <c r="Z84" i="5"/>
  <c r="AA84" i="5" s="1"/>
  <c r="Z85" i="5"/>
  <c r="AA85" i="5" s="1"/>
  <c r="Z87" i="5"/>
  <c r="AA87" i="5" s="1"/>
  <c r="Z88" i="5"/>
  <c r="AA88" i="5" s="1"/>
  <c r="Z89" i="5"/>
  <c r="AA89" i="5" s="1"/>
  <c r="Z90" i="5"/>
  <c r="AA90" i="5"/>
  <c r="Z91" i="5"/>
  <c r="AA91" i="5" s="1"/>
  <c r="Z92" i="5"/>
  <c r="AA92" i="5" s="1"/>
  <c r="Z93" i="5"/>
  <c r="AA93" i="5" s="1"/>
  <c r="Z94" i="5"/>
  <c r="AA94" i="5"/>
  <c r="Z95" i="5"/>
  <c r="AA95" i="5" s="1"/>
  <c r="Z96" i="5"/>
  <c r="AA96" i="5" s="1"/>
  <c r="Z97" i="5"/>
  <c r="AA97" i="5" s="1"/>
  <c r="Z98" i="5"/>
  <c r="AA98" i="5"/>
  <c r="Z99" i="5"/>
  <c r="AA99" i="5" s="1"/>
  <c r="Z100" i="5"/>
  <c r="AA100" i="5" s="1"/>
  <c r="Z101" i="5"/>
  <c r="AA101" i="5" s="1"/>
  <c r="Z102" i="5"/>
  <c r="AA102" i="5"/>
  <c r="Z103" i="5"/>
  <c r="AA103" i="5" s="1"/>
  <c r="Z104" i="5"/>
  <c r="AA104" i="5" s="1"/>
  <c r="Z105" i="5"/>
  <c r="AA105" i="5" s="1"/>
  <c r="Z106" i="5"/>
  <c r="AA106" i="5"/>
  <c r="Z107" i="5"/>
  <c r="AA107" i="5" s="1"/>
  <c r="Z108" i="5"/>
  <c r="AA108" i="5" s="1"/>
  <c r="Z109" i="5"/>
  <c r="AA109" i="5" s="1"/>
  <c r="Z110" i="5"/>
  <c r="AA110" i="5"/>
  <c r="Z111" i="5"/>
  <c r="AA111" i="5" s="1"/>
  <c r="Z112" i="5"/>
  <c r="AA112" i="5" s="1"/>
  <c r="Z113" i="5"/>
  <c r="AA113" i="5" s="1"/>
  <c r="Z114" i="5"/>
  <c r="AA114" i="5"/>
  <c r="Z115" i="5"/>
  <c r="AA115" i="5" s="1"/>
  <c r="Z116" i="5"/>
  <c r="AA116" i="5" s="1"/>
  <c r="Z117" i="5"/>
  <c r="AA117" i="5" s="1"/>
  <c r="Z118" i="5"/>
  <c r="AA118" i="5"/>
  <c r="Z119" i="5"/>
  <c r="AA119" i="5" s="1"/>
  <c r="Z120" i="5"/>
  <c r="AA120" i="5" s="1"/>
  <c r="Z121" i="5"/>
  <c r="AA121" i="5" s="1"/>
  <c r="Z122" i="5"/>
  <c r="AA122" i="5"/>
  <c r="Z123" i="5"/>
  <c r="AA123" i="5" s="1"/>
  <c r="Z124" i="5"/>
  <c r="AA124" i="5" s="1"/>
  <c r="Z125" i="5"/>
  <c r="AA125" i="5" s="1"/>
  <c r="Z126" i="5"/>
  <c r="AA126" i="5"/>
  <c r="Z127" i="5"/>
  <c r="AA127" i="5" s="1"/>
  <c r="Z128" i="5"/>
  <c r="AA128" i="5" s="1"/>
  <c r="Z129" i="5"/>
  <c r="AA129" i="5" s="1"/>
  <c r="Z130" i="5"/>
  <c r="AA130" i="5"/>
  <c r="Z131" i="5"/>
  <c r="AA131" i="5" s="1"/>
  <c r="Z132" i="5"/>
  <c r="AA132" i="5" s="1"/>
  <c r="Z133" i="5"/>
  <c r="AA133" i="5" s="1"/>
  <c r="Z134" i="5"/>
  <c r="AA134" i="5"/>
  <c r="Z135" i="5"/>
  <c r="AA135" i="5" s="1"/>
  <c r="Z136" i="5"/>
  <c r="AA136" i="5" s="1"/>
  <c r="Z137" i="5"/>
  <c r="AA137" i="5" s="1"/>
  <c r="Z138" i="5"/>
  <c r="AA138" i="5"/>
  <c r="Z139" i="5"/>
  <c r="AA139" i="5" s="1"/>
  <c r="Z140" i="5"/>
  <c r="AA140" i="5" s="1"/>
  <c r="Z141" i="5"/>
  <c r="AA141" i="5" s="1"/>
  <c r="Z142" i="5"/>
  <c r="AA142" i="5"/>
  <c r="Z143" i="5"/>
  <c r="AA143" i="5" s="1"/>
  <c r="Z144" i="5"/>
  <c r="AA144" i="5" s="1"/>
  <c r="Z145" i="5"/>
  <c r="AA145" i="5" s="1"/>
  <c r="Z146" i="5"/>
  <c r="AA146" i="5"/>
  <c r="Z147" i="5"/>
  <c r="AA147" i="5" s="1"/>
  <c r="Z148" i="5"/>
  <c r="AA148" i="5" s="1"/>
  <c r="Z149" i="5"/>
  <c r="AA149" i="5" s="1"/>
  <c r="Z150" i="5"/>
  <c r="AA150" i="5"/>
  <c r="Z151" i="5"/>
  <c r="AA151" i="5" s="1"/>
  <c r="Z152" i="5"/>
  <c r="AA152" i="5" s="1"/>
  <c r="Z153" i="5"/>
  <c r="AA153" i="5" s="1"/>
  <c r="Z154" i="5"/>
  <c r="AA154" i="5"/>
  <c r="Z155" i="5"/>
  <c r="AA155" i="5" s="1"/>
  <c r="Z156" i="5"/>
  <c r="AA156" i="5" s="1"/>
  <c r="Z157" i="5"/>
  <c r="AA157" i="5" s="1"/>
  <c r="Z158" i="5"/>
  <c r="AA158" i="5"/>
  <c r="Z159" i="5"/>
  <c r="AA159" i="5" s="1"/>
  <c r="Z160" i="5"/>
  <c r="AA160" i="5" s="1"/>
  <c r="Z161" i="5"/>
  <c r="AA161" i="5" s="1"/>
  <c r="Z162" i="5"/>
  <c r="AA162" i="5"/>
  <c r="Z163" i="5"/>
  <c r="AA163" i="5" s="1"/>
  <c r="Z164" i="5"/>
  <c r="AA164" i="5" s="1"/>
  <c r="Z165" i="5"/>
  <c r="AA165" i="5" s="1"/>
  <c r="Z166" i="5"/>
  <c r="AA166" i="5"/>
  <c r="Z167" i="5"/>
  <c r="AA167" i="5" s="1"/>
  <c r="Z168" i="5"/>
  <c r="AA168" i="5" s="1"/>
  <c r="Z169" i="5"/>
  <c r="AA169" i="5" s="1"/>
  <c r="Z170" i="5"/>
  <c r="AA170" i="5"/>
  <c r="Z171" i="5"/>
  <c r="AA171" i="5" s="1"/>
  <c r="Z172" i="5"/>
  <c r="AA172" i="5" s="1"/>
  <c r="Z173" i="5"/>
  <c r="AA173" i="5" s="1"/>
  <c r="Z174" i="5"/>
  <c r="AA174" i="5"/>
  <c r="Z175" i="5"/>
  <c r="AA175" i="5" s="1"/>
  <c r="Z176" i="5"/>
  <c r="AA176" i="5" s="1"/>
  <c r="Z177" i="5"/>
  <c r="AA177" i="5" s="1"/>
  <c r="Z178" i="5"/>
  <c r="AA178" i="5"/>
  <c r="Z179" i="5"/>
  <c r="AA179" i="5" s="1"/>
  <c r="Z180" i="5"/>
  <c r="AA180" i="5" s="1"/>
  <c r="Z181" i="5"/>
  <c r="AA181" i="5" s="1"/>
  <c r="Z182" i="5"/>
  <c r="AA182" i="5"/>
  <c r="Z183" i="5"/>
  <c r="AA183" i="5" s="1"/>
  <c r="Z184" i="5"/>
  <c r="AA184" i="5" s="1"/>
  <c r="Z185" i="5"/>
  <c r="AA185" i="5" s="1"/>
  <c r="Z186" i="5"/>
  <c r="AA186" i="5"/>
  <c r="Z187" i="5"/>
  <c r="AA187" i="5" s="1"/>
  <c r="Z188" i="5"/>
  <c r="AA188" i="5" s="1"/>
  <c r="Z189" i="5"/>
  <c r="AA189" i="5" s="1"/>
  <c r="Z190" i="5"/>
  <c r="AA190" i="5"/>
  <c r="Z191" i="5"/>
  <c r="AA191" i="5" s="1"/>
  <c r="Z192" i="5"/>
  <c r="AA192" i="5" s="1"/>
  <c r="Z193" i="5"/>
  <c r="AA193" i="5" s="1"/>
  <c r="Z194" i="5"/>
  <c r="AA194" i="5"/>
  <c r="Z195" i="5"/>
  <c r="AA195" i="5" s="1"/>
  <c r="Z196" i="5"/>
  <c r="AA196" i="5" s="1"/>
  <c r="Z197" i="5"/>
  <c r="AA197" i="5" s="1"/>
  <c r="Z198" i="5"/>
  <c r="AA198" i="5"/>
  <c r="Z199" i="5"/>
  <c r="AA199" i="5" s="1"/>
  <c r="Z200" i="5"/>
  <c r="AA200" i="5" s="1"/>
  <c r="Z201" i="5"/>
  <c r="AA201" i="5" s="1"/>
  <c r="Z202" i="5"/>
  <c r="AA202" i="5"/>
  <c r="Z203" i="5"/>
  <c r="AA203" i="5" s="1"/>
  <c r="Z204" i="5"/>
  <c r="AA204" i="5" s="1"/>
  <c r="Z205" i="5"/>
  <c r="AA205" i="5" s="1"/>
  <c r="Z206" i="5"/>
  <c r="AA206" i="5"/>
  <c r="Z207" i="5"/>
  <c r="AA207" i="5" s="1"/>
  <c r="Z208" i="5"/>
  <c r="AA208" i="5" s="1"/>
  <c r="Z209" i="5"/>
  <c r="AA209" i="5" s="1"/>
  <c r="Z210" i="5"/>
  <c r="AA210" i="5"/>
  <c r="Z211" i="5"/>
  <c r="AA211" i="5" s="1"/>
  <c r="Z212" i="5"/>
  <c r="AA212" i="5" s="1"/>
  <c r="Z213" i="5"/>
  <c r="AA213" i="5" s="1"/>
  <c r="Z214" i="5"/>
  <c r="AA214" i="5"/>
  <c r="Z215" i="5"/>
  <c r="AA215" i="5" s="1"/>
  <c r="Z216" i="5"/>
  <c r="AA216" i="5" s="1"/>
  <c r="Z217" i="5"/>
  <c r="AA217" i="5" s="1"/>
  <c r="Z218" i="5"/>
  <c r="AA218" i="5" s="1"/>
  <c r="Z219" i="5"/>
  <c r="AA219" i="5" s="1"/>
  <c r="Z220" i="5"/>
  <c r="AA220" i="5" s="1"/>
  <c r="Z221" i="5"/>
  <c r="AA221" i="5" s="1"/>
  <c r="Z222" i="5"/>
  <c r="AA222" i="5" s="1"/>
  <c r="Z223" i="5"/>
  <c r="AA223" i="5" s="1"/>
  <c r="Z224" i="5"/>
  <c r="AA224" i="5" s="1"/>
  <c r="Z225" i="5"/>
  <c r="AA225" i="5" s="1"/>
  <c r="Z226" i="5"/>
  <c r="AA226" i="5" s="1"/>
  <c r="Z227" i="5"/>
  <c r="AA227" i="5" s="1"/>
  <c r="Z228" i="5"/>
  <c r="AA228" i="5" s="1"/>
  <c r="Z229" i="5"/>
  <c r="AA229" i="5" s="1"/>
  <c r="Z230" i="5"/>
  <c r="AA230" i="5" s="1"/>
  <c r="Z231" i="5"/>
  <c r="AA231" i="5" s="1"/>
  <c r="Z232" i="5"/>
  <c r="AA232" i="5" s="1"/>
  <c r="Z233" i="5"/>
  <c r="AA233" i="5" s="1"/>
  <c r="P47" i="5"/>
  <c r="P48" i="5" s="1"/>
  <c r="P49" i="5" s="1"/>
  <c r="P50" i="5" s="1"/>
  <c r="P51" i="5" s="1"/>
  <c r="P52" i="5" s="1"/>
  <c r="P53" i="5" s="1"/>
  <c r="P54" i="5" s="1"/>
  <c r="P55" i="5" s="1"/>
  <c r="P56" i="5" s="1"/>
  <c r="P57" i="5" s="1"/>
  <c r="P58" i="5" s="1"/>
  <c r="P59" i="5" s="1"/>
  <c r="P60" i="5" s="1"/>
  <c r="P61" i="5" s="1"/>
  <c r="P62" i="5" s="1"/>
  <c r="P63" i="5" s="1"/>
  <c r="P64" i="5" s="1"/>
  <c r="P65" i="5" s="1"/>
  <c r="P66" i="5" s="1"/>
  <c r="P67" i="5" s="1"/>
  <c r="P68" i="5" s="1"/>
  <c r="P69" i="5" s="1"/>
  <c r="P70" i="5" s="1"/>
  <c r="P71" i="5" s="1"/>
  <c r="P72" i="5" s="1"/>
  <c r="P73" i="5" s="1"/>
  <c r="P74" i="5" s="1"/>
  <c r="P75" i="5" s="1"/>
  <c r="P76" i="5" s="1"/>
  <c r="P77" i="5" s="1"/>
  <c r="P78" i="5" s="1"/>
  <c r="P79" i="5" s="1"/>
  <c r="P80" i="5" s="1"/>
  <c r="P81" i="5" s="1"/>
  <c r="P82" i="5" s="1"/>
  <c r="P83" i="5" s="1"/>
  <c r="P84" i="5" s="1"/>
  <c r="P85" i="5" s="1"/>
  <c r="P86" i="5" s="1"/>
  <c r="P87" i="5" s="1"/>
  <c r="P88" i="5" s="1"/>
  <c r="P89" i="5" s="1"/>
  <c r="P90" i="5" s="1"/>
  <c r="P91" i="5" s="1"/>
  <c r="P92" i="5" s="1"/>
  <c r="P93" i="5" s="1"/>
  <c r="P94" i="5" s="1"/>
  <c r="P95" i="5" s="1"/>
  <c r="P96" i="5" s="1"/>
  <c r="P97" i="5" s="1"/>
  <c r="P98" i="5" s="1"/>
  <c r="P99" i="5" s="1"/>
  <c r="P100" i="5" s="1"/>
  <c r="P101" i="5" s="1"/>
  <c r="P102" i="5" s="1"/>
  <c r="P103" i="5" s="1"/>
  <c r="P104" i="5" s="1"/>
  <c r="P105" i="5" s="1"/>
  <c r="P106" i="5" s="1"/>
  <c r="P107" i="5" s="1"/>
  <c r="P108" i="5" s="1"/>
  <c r="P109" i="5" s="1"/>
  <c r="P110" i="5" s="1"/>
  <c r="P111" i="5" s="1"/>
  <c r="P112" i="5" s="1"/>
  <c r="P113" i="5" s="1"/>
  <c r="P114" i="5" s="1"/>
  <c r="P115" i="5" s="1"/>
  <c r="P116" i="5" s="1"/>
  <c r="P117" i="5" s="1"/>
  <c r="P118" i="5" s="1"/>
  <c r="P119" i="5" s="1"/>
  <c r="P120" i="5" s="1"/>
  <c r="P121" i="5" s="1"/>
  <c r="P122" i="5" s="1"/>
  <c r="P123" i="5" s="1"/>
  <c r="P124" i="5" s="1"/>
  <c r="P125" i="5" s="1"/>
  <c r="P126" i="5" s="1"/>
  <c r="P127" i="5" s="1"/>
  <c r="P128" i="5" s="1"/>
  <c r="P129" i="5" s="1"/>
  <c r="P130" i="5" s="1"/>
  <c r="P131" i="5" s="1"/>
  <c r="P132" i="5" s="1"/>
  <c r="P133" i="5" s="1"/>
  <c r="P134" i="5" s="1"/>
  <c r="P135" i="5" s="1"/>
  <c r="P136" i="5" s="1"/>
  <c r="P137" i="5" s="1"/>
  <c r="P138" i="5" s="1"/>
  <c r="P139" i="5" s="1"/>
  <c r="P140" i="5" s="1"/>
  <c r="P141" i="5" s="1"/>
  <c r="P142" i="5" s="1"/>
  <c r="P143" i="5" s="1"/>
  <c r="P144" i="5" s="1"/>
  <c r="P145" i="5" s="1"/>
  <c r="P146" i="5" s="1"/>
  <c r="P147" i="5" s="1"/>
  <c r="P148" i="5" s="1"/>
  <c r="P149" i="5" s="1"/>
  <c r="P150" i="5" s="1"/>
  <c r="P151" i="5" s="1"/>
  <c r="P152" i="5" s="1"/>
  <c r="P153" i="5" s="1"/>
  <c r="P154" i="5" s="1"/>
  <c r="P155" i="5" s="1"/>
  <c r="P156" i="5" s="1"/>
  <c r="P157" i="5" s="1"/>
  <c r="P158" i="5" s="1"/>
  <c r="P159" i="5" s="1"/>
  <c r="P160" i="5" s="1"/>
  <c r="P161" i="5" s="1"/>
  <c r="P162" i="5" s="1"/>
  <c r="P163" i="5" s="1"/>
  <c r="P164" i="5" s="1"/>
  <c r="P165" i="5" s="1"/>
  <c r="P166" i="5" s="1"/>
  <c r="P167" i="5" s="1"/>
  <c r="P168" i="5" s="1"/>
  <c r="P169" i="5" s="1"/>
  <c r="P170" i="5" s="1"/>
  <c r="P171" i="5" s="1"/>
  <c r="P172" i="5" s="1"/>
  <c r="P173" i="5" s="1"/>
  <c r="P174" i="5" s="1"/>
  <c r="P175" i="5" s="1"/>
  <c r="P176" i="5" s="1"/>
  <c r="P177" i="5" s="1"/>
  <c r="P178" i="5" s="1"/>
  <c r="P179" i="5" s="1"/>
  <c r="P180" i="5" s="1"/>
  <c r="P181" i="5" s="1"/>
  <c r="P182" i="5" s="1"/>
  <c r="P183" i="5" s="1"/>
  <c r="P184" i="5" s="1"/>
  <c r="P185" i="5" s="1"/>
  <c r="P186" i="5" s="1"/>
  <c r="P187" i="5" s="1"/>
  <c r="P188" i="5" s="1"/>
  <c r="P189" i="5" s="1"/>
  <c r="P190" i="5" s="1"/>
  <c r="P191" i="5" s="1"/>
  <c r="P192" i="5" s="1"/>
  <c r="P193" i="5" s="1"/>
  <c r="P194" i="5" s="1"/>
  <c r="P195" i="5" s="1"/>
  <c r="P196" i="5" s="1"/>
  <c r="P197" i="5" s="1"/>
  <c r="P198" i="5" s="1"/>
  <c r="P199" i="5" s="1"/>
  <c r="P200" i="5" s="1"/>
  <c r="P201" i="5" s="1"/>
  <c r="P202" i="5" s="1"/>
  <c r="P203" i="5" s="1"/>
  <c r="P204" i="5" s="1"/>
  <c r="P205" i="5" s="1"/>
  <c r="P206" i="5" s="1"/>
  <c r="P207" i="5" s="1"/>
  <c r="P208" i="5" s="1"/>
  <c r="P209" i="5" s="1"/>
  <c r="P210" i="5" s="1"/>
  <c r="P211" i="5" s="1"/>
  <c r="P212" i="5" s="1"/>
  <c r="P213" i="5" s="1"/>
  <c r="P214" i="5" s="1"/>
  <c r="P215" i="5" s="1"/>
  <c r="P216" i="5" s="1"/>
  <c r="P217" i="5" s="1"/>
  <c r="P218" i="5" s="1"/>
  <c r="P219" i="5" s="1"/>
  <c r="P220" i="5" s="1"/>
  <c r="P221" i="5" s="1"/>
  <c r="P222" i="5" s="1"/>
  <c r="P223" i="5" s="1"/>
  <c r="P224" i="5" s="1"/>
  <c r="P225" i="5" s="1"/>
  <c r="P226" i="5" s="1"/>
  <c r="P227" i="5" s="1"/>
  <c r="P228" i="5" s="1"/>
  <c r="P229" i="5" s="1"/>
  <c r="P230" i="5" s="1"/>
  <c r="P231" i="5" s="1"/>
  <c r="P232" i="5" s="1"/>
  <c r="M231" i="5"/>
  <c r="M232" i="5"/>
  <c r="F8" i="30"/>
  <c r="F3" i="30"/>
  <c r="A4" i="21"/>
  <c r="G1" i="5"/>
  <c r="D9" i="25" l="1"/>
  <c r="B8" i="25"/>
  <c r="B9" i="25"/>
  <c r="C1" i="2"/>
  <c r="G6" i="30" l="1"/>
  <c r="G5" i="30"/>
  <c r="C15" i="30"/>
  <c r="M2" i="39" l="1"/>
  <c r="AI233" i="5" l="1"/>
  <c r="N31" i="2" l="1"/>
  <c r="C31" i="2"/>
  <c r="M25" i="2"/>
  <c r="M26" i="2"/>
  <c r="M27" i="2"/>
  <c r="M28" i="2"/>
  <c r="M29" i="2"/>
  <c r="M24" i="2"/>
  <c r="L29" i="2"/>
  <c r="L25" i="2"/>
  <c r="L26" i="2"/>
  <c r="L27" i="2"/>
  <c r="L28" i="2"/>
  <c r="L24" i="2"/>
  <c r="K25" i="2"/>
  <c r="K26" i="2"/>
  <c r="K27" i="2"/>
  <c r="K28" i="2"/>
  <c r="K29" i="2"/>
  <c r="K24" i="2"/>
  <c r="C15" i="2"/>
  <c r="E24" i="39" l="1"/>
  <c r="E25" i="39"/>
  <c r="D22" i="39"/>
  <c r="D23" i="39"/>
  <c r="D24" i="39"/>
  <c r="D25" i="39"/>
  <c r="D5" i="39" l="1"/>
  <c r="H39" i="2" l="1"/>
  <c r="H40" i="2"/>
  <c r="J31" i="2"/>
  <c r="I12" i="2"/>
  <c r="A45" i="5" l="1"/>
  <c r="N45" i="5" s="1"/>
  <c r="Z25" i="2"/>
  <c r="Z27" i="2"/>
  <c r="Z29" i="2"/>
  <c r="C6" i="16"/>
  <c r="B17" i="35"/>
  <c r="F17" i="35" s="1"/>
  <c r="C16" i="30"/>
  <c r="K3" i="39"/>
  <c r="C2" i="39"/>
  <c r="D2" i="39" s="1"/>
  <c r="D3" i="39"/>
  <c r="D4" i="39"/>
  <c r="D6" i="39"/>
  <c r="D7" i="39"/>
  <c r="D8" i="39"/>
  <c r="D9" i="39"/>
  <c r="D11" i="39"/>
  <c r="D12" i="39"/>
  <c r="D13" i="39"/>
  <c r="D14" i="39"/>
  <c r="D16" i="39"/>
  <c r="D17" i="39"/>
  <c r="D18" i="39"/>
  <c r="D19" i="39"/>
  <c r="D20" i="39"/>
  <c r="D21" i="39"/>
  <c r="P8" i="32"/>
  <c r="Q8" i="32" s="1"/>
  <c r="T8" i="32" s="1"/>
  <c r="V8" i="32" s="1"/>
  <c r="O8" i="32"/>
  <c r="N8" i="32"/>
  <c r="P9" i="32"/>
  <c r="O9" i="32"/>
  <c r="N9" i="32"/>
  <c r="P10" i="32"/>
  <c r="O10" i="32"/>
  <c r="N10" i="32"/>
  <c r="P11" i="32"/>
  <c r="O11" i="32"/>
  <c r="N11" i="32"/>
  <c r="P12" i="32"/>
  <c r="O12" i="32"/>
  <c r="N12" i="32"/>
  <c r="P13" i="32"/>
  <c r="O13" i="32"/>
  <c r="N13" i="32"/>
  <c r="P14" i="32"/>
  <c r="O14" i="32"/>
  <c r="N14" i="32"/>
  <c r="P15" i="32"/>
  <c r="O15" i="32"/>
  <c r="N15" i="32"/>
  <c r="P16" i="32"/>
  <c r="O16" i="32"/>
  <c r="N16" i="32"/>
  <c r="P17" i="32"/>
  <c r="O17" i="32"/>
  <c r="N17" i="32"/>
  <c r="P18" i="32"/>
  <c r="O18" i="32"/>
  <c r="N18" i="32"/>
  <c r="P19" i="32"/>
  <c r="O19" i="32"/>
  <c r="N19" i="32"/>
  <c r="P20" i="32"/>
  <c r="O20" i="32"/>
  <c r="N20" i="32"/>
  <c r="R8" i="32"/>
  <c r="R9" i="32"/>
  <c r="R10" i="32"/>
  <c r="R11" i="32"/>
  <c r="R12" i="32"/>
  <c r="R13" i="32"/>
  <c r="R14" i="32"/>
  <c r="R15" i="32"/>
  <c r="R16" i="32"/>
  <c r="R17" i="32"/>
  <c r="R18" i="32"/>
  <c r="R19" i="32"/>
  <c r="R20" i="32"/>
  <c r="U8" i="31"/>
  <c r="U9" i="31"/>
  <c r="U10" i="31"/>
  <c r="U11" i="31"/>
  <c r="T8" i="31"/>
  <c r="S8" i="31"/>
  <c r="T9" i="31"/>
  <c r="S9" i="31"/>
  <c r="T10" i="31"/>
  <c r="S10" i="31"/>
  <c r="T11" i="31"/>
  <c r="S11" i="31"/>
  <c r="U12" i="31"/>
  <c r="T12" i="31"/>
  <c r="S12" i="31"/>
  <c r="U13" i="31"/>
  <c r="V13" i="31" s="1"/>
  <c r="T13" i="31"/>
  <c r="S13" i="31"/>
  <c r="U14" i="31"/>
  <c r="T14" i="31"/>
  <c r="S14" i="31"/>
  <c r="U15" i="31"/>
  <c r="T15" i="31"/>
  <c r="S15" i="31"/>
  <c r="U16" i="31"/>
  <c r="T16" i="31"/>
  <c r="S16" i="31"/>
  <c r="U17" i="31"/>
  <c r="V17" i="31" s="1"/>
  <c r="T17" i="31"/>
  <c r="S17" i="31"/>
  <c r="U18" i="31"/>
  <c r="T18" i="31"/>
  <c r="S18" i="31"/>
  <c r="U19" i="31"/>
  <c r="T19" i="31"/>
  <c r="S19" i="31"/>
  <c r="U20" i="31"/>
  <c r="T20" i="31"/>
  <c r="S20" i="31"/>
  <c r="U21" i="31"/>
  <c r="V21" i="31" s="1"/>
  <c r="T21" i="31"/>
  <c r="S21" i="31"/>
  <c r="U22" i="31"/>
  <c r="T22" i="31"/>
  <c r="S22" i="31"/>
  <c r="U23" i="31"/>
  <c r="T23" i="31"/>
  <c r="S23" i="31"/>
  <c r="U24" i="31"/>
  <c r="T24" i="31"/>
  <c r="S24" i="31"/>
  <c r="U25" i="31"/>
  <c r="V25" i="31" s="1"/>
  <c r="T25" i="31"/>
  <c r="S25" i="31"/>
  <c r="U26" i="31"/>
  <c r="T26" i="31"/>
  <c r="S26" i="31"/>
  <c r="U27" i="31"/>
  <c r="T27" i="31"/>
  <c r="S27" i="31"/>
  <c r="U28" i="31"/>
  <c r="T28" i="31"/>
  <c r="S28" i="31"/>
  <c r="U29" i="31"/>
  <c r="V29" i="31" s="1"/>
  <c r="T29" i="31"/>
  <c r="S29" i="31"/>
  <c r="U30" i="31"/>
  <c r="T30" i="31"/>
  <c r="S30" i="31"/>
  <c r="U31" i="31"/>
  <c r="T31" i="31"/>
  <c r="S31" i="31"/>
  <c r="U32" i="31"/>
  <c r="T32" i="31"/>
  <c r="S32" i="31"/>
  <c r="U33" i="31"/>
  <c r="V33" i="31" s="1"/>
  <c r="T33" i="31"/>
  <c r="S33" i="31"/>
  <c r="U34" i="31"/>
  <c r="T34" i="31"/>
  <c r="S34" i="31"/>
  <c r="U35" i="31"/>
  <c r="T35" i="31"/>
  <c r="S35" i="31"/>
  <c r="U36" i="31"/>
  <c r="T36" i="31"/>
  <c r="S36" i="31"/>
  <c r="U37" i="31"/>
  <c r="V37" i="31" s="1"/>
  <c r="T37" i="31"/>
  <c r="S37" i="31"/>
  <c r="U38" i="31"/>
  <c r="T38" i="31"/>
  <c r="S38" i="31"/>
  <c r="U39" i="31"/>
  <c r="T39" i="31"/>
  <c r="S39" i="31"/>
  <c r="U40" i="31"/>
  <c r="T40" i="31"/>
  <c r="S40" i="31"/>
  <c r="U41" i="31"/>
  <c r="V41" i="31" s="1"/>
  <c r="T41" i="31"/>
  <c r="S41" i="31"/>
  <c r="U42" i="31"/>
  <c r="T42" i="31"/>
  <c r="S42" i="31"/>
  <c r="U43" i="31"/>
  <c r="T43" i="31"/>
  <c r="S43" i="31"/>
  <c r="U44" i="31"/>
  <c r="T44" i="31"/>
  <c r="S44" i="31"/>
  <c r="U45" i="31"/>
  <c r="V45" i="31" s="1"/>
  <c r="T45" i="31"/>
  <c r="S45" i="31"/>
  <c r="U46" i="31"/>
  <c r="T46" i="31"/>
  <c r="S46" i="31"/>
  <c r="U47" i="31"/>
  <c r="T47" i="31"/>
  <c r="S47" i="31"/>
  <c r="U48" i="31"/>
  <c r="T48" i="31"/>
  <c r="S48" i="31"/>
  <c r="U49" i="31"/>
  <c r="V49" i="31" s="1"/>
  <c r="T49" i="31"/>
  <c r="S49" i="31"/>
  <c r="U50" i="31"/>
  <c r="T50" i="31"/>
  <c r="S50" i="31"/>
  <c r="U51" i="31"/>
  <c r="T51" i="31"/>
  <c r="S51" i="31"/>
  <c r="U52" i="31"/>
  <c r="V52" i="31" s="1"/>
  <c r="T52" i="31"/>
  <c r="S52" i="31"/>
  <c r="U53" i="31"/>
  <c r="V53" i="31" s="1"/>
  <c r="T53" i="31"/>
  <c r="S53" i="31"/>
  <c r="U54" i="31"/>
  <c r="T54" i="31"/>
  <c r="S54" i="31"/>
  <c r="U55" i="31"/>
  <c r="T55" i="31"/>
  <c r="S55" i="31"/>
  <c r="U56" i="31"/>
  <c r="T56" i="31"/>
  <c r="S56" i="31"/>
  <c r="U57" i="31"/>
  <c r="V57" i="31" s="1"/>
  <c r="T57" i="31"/>
  <c r="S57" i="31"/>
  <c r="U58" i="31"/>
  <c r="T58" i="31"/>
  <c r="S58" i="31"/>
  <c r="U59" i="31"/>
  <c r="T59" i="31"/>
  <c r="S59" i="31"/>
  <c r="U60" i="31"/>
  <c r="V60" i="31" s="1"/>
  <c r="T60" i="31"/>
  <c r="S60" i="31"/>
  <c r="U61" i="31"/>
  <c r="V61" i="31" s="1"/>
  <c r="T61" i="31"/>
  <c r="S61" i="31"/>
  <c r="U62" i="31"/>
  <c r="T62" i="31"/>
  <c r="S62" i="31"/>
  <c r="U63" i="31"/>
  <c r="T63" i="31"/>
  <c r="S63" i="31"/>
  <c r="U64" i="31"/>
  <c r="V64" i="31" s="1"/>
  <c r="T64" i="31"/>
  <c r="S64" i="31"/>
  <c r="U65" i="31"/>
  <c r="V65" i="31" s="1"/>
  <c r="T65" i="31"/>
  <c r="S65" i="31"/>
  <c r="U66" i="31"/>
  <c r="T66" i="31"/>
  <c r="S66" i="31"/>
  <c r="U67" i="31"/>
  <c r="T67" i="31"/>
  <c r="S67" i="31"/>
  <c r="U68" i="31"/>
  <c r="V68" i="31" s="1"/>
  <c r="T68" i="31"/>
  <c r="S68" i="31"/>
  <c r="U69" i="31"/>
  <c r="V69" i="31" s="1"/>
  <c r="T69" i="31"/>
  <c r="S69" i="31"/>
  <c r="U70" i="31"/>
  <c r="T70" i="31"/>
  <c r="S70" i="31"/>
  <c r="U71" i="31"/>
  <c r="T71" i="31"/>
  <c r="S71" i="31"/>
  <c r="U72" i="31"/>
  <c r="V72" i="31" s="1"/>
  <c r="T72" i="31"/>
  <c r="S72" i="31"/>
  <c r="U73" i="31"/>
  <c r="V73" i="31" s="1"/>
  <c r="T73" i="31"/>
  <c r="S73" i="31"/>
  <c r="U74" i="31"/>
  <c r="T74" i="31"/>
  <c r="S74" i="31"/>
  <c r="U75" i="31"/>
  <c r="T75" i="31"/>
  <c r="S75" i="31"/>
  <c r="U76" i="31"/>
  <c r="V76" i="31" s="1"/>
  <c r="T76" i="31"/>
  <c r="S76" i="31"/>
  <c r="U77" i="31"/>
  <c r="V77" i="31" s="1"/>
  <c r="T77" i="31"/>
  <c r="S77" i="31"/>
  <c r="U78" i="31"/>
  <c r="T78" i="31"/>
  <c r="S78" i="31"/>
  <c r="U79" i="31"/>
  <c r="T79" i="31"/>
  <c r="S79" i="31"/>
  <c r="U80" i="31"/>
  <c r="V80" i="31" s="1"/>
  <c r="T80" i="31"/>
  <c r="S80" i="31"/>
  <c r="U81" i="31"/>
  <c r="V81" i="31" s="1"/>
  <c r="T81" i="31"/>
  <c r="S81" i="31"/>
  <c r="U82" i="31"/>
  <c r="T82" i="31"/>
  <c r="S82" i="31"/>
  <c r="U83" i="31"/>
  <c r="T83" i="31"/>
  <c r="S83" i="31"/>
  <c r="U84" i="31"/>
  <c r="V84" i="31" s="1"/>
  <c r="T84" i="31"/>
  <c r="S84" i="31"/>
  <c r="U85" i="31"/>
  <c r="V85" i="31" s="1"/>
  <c r="T85" i="31"/>
  <c r="S85" i="31"/>
  <c r="U86" i="31"/>
  <c r="T86" i="31"/>
  <c r="S86" i="31"/>
  <c r="U87" i="31"/>
  <c r="T87" i="31"/>
  <c r="S87" i="31"/>
  <c r="U88" i="31"/>
  <c r="V88" i="31" s="1"/>
  <c r="T88" i="31"/>
  <c r="S88" i="31"/>
  <c r="U89" i="31"/>
  <c r="V89" i="31" s="1"/>
  <c r="T89" i="31"/>
  <c r="S89" i="31"/>
  <c r="U90" i="31"/>
  <c r="T90" i="31"/>
  <c r="S90" i="31"/>
  <c r="U91" i="31"/>
  <c r="T91" i="31"/>
  <c r="S91" i="31"/>
  <c r="U92" i="31"/>
  <c r="V92" i="31" s="1"/>
  <c r="T92" i="31"/>
  <c r="S92" i="31"/>
  <c r="U93" i="31"/>
  <c r="V93" i="31" s="1"/>
  <c r="T93" i="31"/>
  <c r="S93" i="31"/>
  <c r="U94" i="31"/>
  <c r="T94" i="31"/>
  <c r="S94" i="31"/>
  <c r="U95" i="31"/>
  <c r="T95" i="31"/>
  <c r="S95" i="31"/>
  <c r="U96" i="31"/>
  <c r="V96" i="31" s="1"/>
  <c r="T96" i="31"/>
  <c r="S96" i="31"/>
  <c r="U97" i="31"/>
  <c r="V97" i="31" s="1"/>
  <c r="T97" i="31"/>
  <c r="S97" i="31"/>
  <c r="U98" i="31"/>
  <c r="T98" i="31"/>
  <c r="S98" i="31"/>
  <c r="U99" i="31"/>
  <c r="T99" i="31"/>
  <c r="S99" i="31"/>
  <c r="U100" i="31"/>
  <c r="V100" i="31" s="1"/>
  <c r="T100" i="31"/>
  <c r="S100" i="31"/>
  <c r="U101" i="31"/>
  <c r="V101" i="31" s="1"/>
  <c r="T101" i="31"/>
  <c r="S101" i="31"/>
  <c r="U102" i="31"/>
  <c r="T102" i="31"/>
  <c r="S102" i="31"/>
  <c r="U103" i="31"/>
  <c r="T103" i="31"/>
  <c r="S103" i="31"/>
  <c r="U104" i="31"/>
  <c r="V104" i="31" s="1"/>
  <c r="T104" i="31"/>
  <c r="S104" i="31"/>
  <c r="U105" i="31"/>
  <c r="V105" i="31" s="1"/>
  <c r="T105" i="31"/>
  <c r="S105" i="31"/>
  <c r="U106" i="31"/>
  <c r="T106" i="31"/>
  <c r="S106" i="31"/>
  <c r="U107" i="31"/>
  <c r="T107" i="31"/>
  <c r="S107" i="31"/>
  <c r="U108" i="31"/>
  <c r="V108" i="31" s="1"/>
  <c r="T108" i="31"/>
  <c r="S108" i="31"/>
  <c r="U109" i="31"/>
  <c r="V109" i="31" s="1"/>
  <c r="T109" i="31"/>
  <c r="S109" i="31"/>
  <c r="U110" i="31"/>
  <c r="T110" i="31"/>
  <c r="S110" i="31"/>
  <c r="U111" i="31"/>
  <c r="T111" i="31"/>
  <c r="S111" i="31"/>
  <c r="U112" i="31"/>
  <c r="V112" i="31" s="1"/>
  <c r="T112" i="31"/>
  <c r="S112" i="31"/>
  <c r="U113" i="31"/>
  <c r="V113" i="31" s="1"/>
  <c r="T113" i="31"/>
  <c r="S113" i="31"/>
  <c r="U114" i="31"/>
  <c r="T114" i="31"/>
  <c r="S114" i="31"/>
  <c r="U115" i="31"/>
  <c r="T115" i="31"/>
  <c r="S115" i="31"/>
  <c r="U116" i="31"/>
  <c r="V116" i="31" s="1"/>
  <c r="T116" i="31"/>
  <c r="S116" i="31"/>
  <c r="U117" i="31"/>
  <c r="V117" i="31" s="1"/>
  <c r="T117" i="31"/>
  <c r="S117" i="31"/>
  <c r="U118" i="31"/>
  <c r="T118" i="31"/>
  <c r="S118" i="31"/>
  <c r="U119" i="31"/>
  <c r="T119" i="31"/>
  <c r="S119" i="31"/>
  <c r="U120" i="31"/>
  <c r="V120" i="31" s="1"/>
  <c r="T120" i="31"/>
  <c r="S120" i="31"/>
  <c r="U121" i="31"/>
  <c r="V121" i="31" s="1"/>
  <c r="T121" i="31"/>
  <c r="S121" i="31"/>
  <c r="U122" i="31"/>
  <c r="T122" i="31"/>
  <c r="S122" i="31"/>
  <c r="U123" i="31"/>
  <c r="T123" i="31"/>
  <c r="S123" i="31"/>
  <c r="U124" i="31"/>
  <c r="V124" i="31" s="1"/>
  <c r="T124" i="31"/>
  <c r="S124" i="31"/>
  <c r="U125" i="31"/>
  <c r="V125" i="31" s="1"/>
  <c r="T125" i="31"/>
  <c r="S125" i="31"/>
  <c r="U126" i="31"/>
  <c r="T126" i="31"/>
  <c r="S126" i="31"/>
  <c r="U127" i="31"/>
  <c r="T127" i="31"/>
  <c r="S127" i="31"/>
  <c r="U128" i="31"/>
  <c r="V128" i="31" s="1"/>
  <c r="T128" i="31"/>
  <c r="S128" i="31"/>
  <c r="U129" i="31"/>
  <c r="V129" i="31" s="1"/>
  <c r="T129" i="31"/>
  <c r="S129" i="31"/>
  <c r="U130" i="31"/>
  <c r="T130" i="31"/>
  <c r="S130" i="31"/>
  <c r="U131" i="31"/>
  <c r="T131" i="31"/>
  <c r="S131" i="31"/>
  <c r="U132" i="31"/>
  <c r="V132" i="31" s="1"/>
  <c r="T132" i="31"/>
  <c r="S132" i="31"/>
  <c r="U133" i="31"/>
  <c r="V133" i="31" s="1"/>
  <c r="T133" i="31"/>
  <c r="S133" i="31"/>
  <c r="U134" i="31"/>
  <c r="T134" i="31"/>
  <c r="S134" i="31"/>
  <c r="U135" i="31"/>
  <c r="T135" i="31"/>
  <c r="S135" i="31"/>
  <c r="U136" i="31"/>
  <c r="V136" i="31" s="1"/>
  <c r="T136" i="31"/>
  <c r="S136" i="31"/>
  <c r="U137" i="31"/>
  <c r="V137" i="31" s="1"/>
  <c r="T137" i="31"/>
  <c r="S137" i="31"/>
  <c r="U138" i="31"/>
  <c r="T138" i="31"/>
  <c r="S138" i="31"/>
  <c r="U139" i="31"/>
  <c r="T139" i="31"/>
  <c r="S139" i="31"/>
  <c r="U140" i="31"/>
  <c r="V140" i="31" s="1"/>
  <c r="T140" i="31"/>
  <c r="S140" i="31"/>
  <c r="U141" i="31"/>
  <c r="V141" i="31" s="1"/>
  <c r="T141" i="31"/>
  <c r="S141" i="31"/>
  <c r="U142" i="31"/>
  <c r="T142" i="31"/>
  <c r="S142" i="31"/>
  <c r="U143" i="31"/>
  <c r="T143" i="31"/>
  <c r="S143" i="31"/>
  <c r="U144" i="31"/>
  <c r="V144" i="31" s="1"/>
  <c r="T144" i="31"/>
  <c r="S144" i="31"/>
  <c r="U145" i="31"/>
  <c r="V145" i="31" s="1"/>
  <c r="T145" i="31"/>
  <c r="S145" i="31"/>
  <c r="U146" i="31"/>
  <c r="T146" i="31"/>
  <c r="S146" i="31"/>
  <c r="U147" i="31"/>
  <c r="T147" i="31"/>
  <c r="S147" i="31"/>
  <c r="U148" i="31"/>
  <c r="V148" i="31" s="1"/>
  <c r="T148" i="31"/>
  <c r="S148" i="31"/>
  <c r="U149" i="31"/>
  <c r="V149" i="31" s="1"/>
  <c r="T149" i="31"/>
  <c r="S149" i="31"/>
  <c r="U150" i="31"/>
  <c r="T150" i="31"/>
  <c r="S150" i="31"/>
  <c r="U151" i="31"/>
  <c r="T151" i="31"/>
  <c r="S151" i="31"/>
  <c r="U152" i="31"/>
  <c r="V152" i="31" s="1"/>
  <c r="T152" i="31"/>
  <c r="S152" i="31"/>
  <c r="U153" i="31"/>
  <c r="V153" i="31" s="1"/>
  <c r="T153" i="31"/>
  <c r="S153" i="31"/>
  <c r="U154" i="31"/>
  <c r="T154" i="31"/>
  <c r="S154" i="31"/>
  <c r="U155" i="31"/>
  <c r="T155" i="31"/>
  <c r="S155" i="31"/>
  <c r="U156" i="31"/>
  <c r="V156" i="31" s="1"/>
  <c r="T156" i="31"/>
  <c r="S156" i="31"/>
  <c r="U157" i="31"/>
  <c r="V157" i="31" s="1"/>
  <c r="T157" i="31"/>
  <c r="S157" i="31"/>
  <c r="U158" i="31"/>
  <c r="T158" i="31"/>
  <c r="S158" i="31"/>
  <c r="U159" i="31"/>
  <c r="T159" i="31"/>
  <c r="S159" i="31"/>
  <c r="U160" i="31"/>
  <c r="V160" i="31" s="1"/>
  <c r="T160" i="31"/>
  <c r="S160" i="31"/>
  <c r="U161" i="31"/>
  <c r="V161" i="31" s="1"/>
  <c r="T161" i="31"/>
  <c r="S161" i="31"/>
  <c r="U162" i="31"/>
  <c r="T162" i="31"/>
  <c r="S162" i="31"/>
  <c r="U163" i="31"/>
  <c r="T163" i="31"/>
  <c r="S163" i="31"/>
  <c r="U164" i="31"/>
  <c r="V164" i="31" s="1"/>
  <c r="T164" i="31"/>
  <c r="S164" i="31"/>
  <c r="U165" i="31"/>
  <c r="V165" i="31" s="1"/>
  <c r="T165" i="31"/>
  <c r="S165" i="31"/>
  <c r="U166" i="31"/>
  <c r="T166" i="31"/>
  <c r="S166" i="31"/>
  <c r="U167" i="31"/>
  <c r="T167" i="31"/>
  <c r="S167" i="31"/>
  <c r="U168" i="31"/>
  <c r="V168" i="31" s="1"/>
  <c r="T168" i="31"/>
  <c r="S168" i="31"/>
  <c r="U169" i="31"/>
  <c r="V169" i="31" s="1"/>
  <c r="T169" i="31"/>
  <c r="S169" i="31"/>
  <c r="U170" i="31"/>
  <c r="T170" i="31"/>
  <c r="S170" i="31"/>
  <c r="U171" i="31"/>
  <c r="T171" i="31"/>
  <c r="S171" i="31"/>
  <c r="U172" i="31"/>
  <c r="V172" i="31" s="1"/>
  <c r="T172" i="31"/>
  <c r="S172" i="31"/>
  <c r="U173" i="31"/>
  <c r="V173" i="31" s="1"/>
  <c r="T173" i="31"/>
  <c r="S173" i="31"/>
  <c r="U174" i="31"/>
  <c r="T174" i="31"/>
  <c r="S174" i="31"/>
  <c r="U175" i="31"/>
  <c r="T175" i="31"/>
  <c r="S175" i="31"/>
  <c r="U176" i="31"/>
  <c r="V176" i="31" s="1"/>
  <c r="T176" i="31"/>
  <c r="S176" i="31"/>
  <c r="U177" i="31"/>
  <c r="V177" i="31" s="1"/>
  <c r="T177" i="31"/>
  <c r="S177" i="31"/>
  <c r="U178" i="31"/>
  <c r="T178" i="31"/>
  <c r="S178" i="31"/>
  <c r="U179" i="31"/>
  <c r="T179" i="31"/>
  <c r="S179" i="31"/>
  <c r="U180" i="31"/>
  <c r="V180" i="31" s="1"/>
  <c r="T180" i="31"/>
  <c r="S180" i="31"/>
  <c r="U181" i="31"/>
  <c r="V181" i="31" s="1"/>
  <c r="T181" i="31"/>
  <c r="S181" i="31"/>
  <c r="U182" i="31"/>
  <c r="T182" i="31"/>
  <c r="S182" i="31"/>
  <c r="U183" i="31"/>
  <c r="T183" i="31"/>
  <c r="S183" i="31"/>
  <c r="U184" i="31"/>
  <c r="V184" i="31" s="1"/>
  <c r="T184" i="31"/>
  <c r="S184" i="31"/>
  <c r="U185" i="31"/>
  <c r="V185" i="31" s="1"/>
  <c r="T185" i="31"/>
  <c r="S185" i="31"/>
  <c r="U186" i="31"/>
  <c r="T186" i="31"/>
  <c r="S186" i="31"/>
  <c r="U187" i="31"/>
  <c r="T187" i="31"/>
  <c r="S187" i="31"/>
  <c r="U188" i="31"/>
  <c r="V188" i="31" s="1"/>
  <c r="T188" i="31"/>
  <c r="S188" i="31"/>
  <c r="U189" i="31"/>
  <c r="V189" i="31" s="1"/>
  <c r="T189" i="31"/>
  <c r="S189" i="31"/>
  <c r="U190" i="31"/>
  <c r="T190" i="31"/>
  <c r="S190" i="31"/>
  <c r="U191" i="31"/>
  <c r="T191" i="31"/>
  <c r="S191" i="31"/>
  <c r="U192" i="31"/>
  <c r="V192" i="31" s="1"/>
  <c r="T192" i="31"/>
  <c r="S192" i="31"/>
  <c r="U193" i="31"/>
  <c r="V193" i="31" s="1"/>
  <c r="T193" i="31"/>
  <c r="S193" i="31"/>
  <c r="U194" i="31"/>
  <c r="T194" i="31"/>
  <c r="S194" i="31"/>
  <c r="U195" i="31"/>
  <c r="T195" i="31"/>
  <c r="S195" i="31"/>
  <c r="U196" i="31"/>
  <c r="V196" i="31" s="1"/>
  <c r="T196" i="31"/>
  <c r="S196" i="31"/>
  <c r="U197" i="31"/>
  <c r="V197" i="31" s="1"/>
  <c r="T197" i="31"/>
  <c r="S197" i="31"/>
  <c r="U198" i="31"/>
  <c r="T198" i="31"/>
  <c r="S198" i="31"/>
  <c r="U199" i="31"/>
  <c r="T199" i="31"/>
  <c r="S199" i="31"/>
  <c r="U200" i="31"/>
  <c r="V200" i="31" s="1"/>
  <c r="T200" i="31"/>
  <c r="S200" i="31"/>
  <c r="U201" i="31"/>
  <c r="V201" i="31" s="1"/>
  <c r="T201" i="31"/>
  <c r="S201" i="31"/>
  <c r="U202" i="31"/>
  <c r="T202" i="31"/>
  <c r="S202" i="31"/>
  <c r="U203" i="31"/>
  <c r="T203" i="31"/>
  <c r="S203" i="31"/>
  <c r="U204" i="31"/>
  <c r="V204" i="31" s="1"/>
  <c r="T204" i="31"/>
  <c r="S204" i="31"/>
  <c r="U205" i="31"/>
  <c r="V205" i="31" s="1"/>
  <c r="T205" i="31"/>
  <c r="S205" i="31"/>
  <c r="U206" i="31"/>
  <c r="T206" i="31"/>
  <c r="S206" i="31"/>
  <c r="U207" i="31"/>
  <c r="T207" i="31"/>
  <c r="S207" i="31"/>
  <c r="U208" i="31"/>
  <c r="V208" i="31" s="1"/>
  <c r="T208" i="31"/>
  <c r="S208" i="31"/>
  <c r="U209" i="31"/>
  <c r="V209" i="31" s="1"/>
  <c r="T209" i="31"/>
  <c r="S209" i="31"/>
  <c r="U210" i="31"/>
  <c r="T210" i="31"/>
  <c r="S210" i="31"/>
  <c r="U211" i="31"/>
  <c r="T211" i="31"/>
  <c r="S211" i="31"/>
  <c r="U212" i="31"/>
  <c r="V212" i="31" s="1"/>
  <c r="T212" i="31"/>
  <c r="S212" i="31"/>
  <c r="U213" i="31"/>
  <c r="V213" i="31" s="1"/>
  <c r="T213" i="31"/>
  <c r="S213" i="31"/>
  <c r="U214" i="31"/>
  <c r="T214" i="31"/>
  <c r="S214" i="31"/>
  <c r="U215" i="31"/>
  <c r="V215" i="31"/>
  <c r="U216" i="31"/>
  <c r="U217" i="31"/>
  <c r="U218" i="31"/>
  <c r="U219" i="31"/>
  <c r="U220" i="31"/>
  <c r="U221" i="31"/>
  <c r="U222" i="31"/>
  <c r="U223" i="31"/>
  <c r="U224" i="31"/>
  <c r="U225" i="31"/>
  <c r="U226" i="31"/>
  <c r="U227" i="31"/>
  <c r="U228" i="31"/>
  <c r="U229" i="31"/>
  <c r="U230" i="31"/>
  <c r="U231" i="31"/>
  <c r="U232" i="31"/>
  <c r="U233" i="31"/>
  <c r="U234" i="31"/>
  <c r="U235" i="31"/>
  <c r="U236" i="31"/>
  <c r="U237" i="31"/>
  <c r="U238" i="31"/>
  <c r="U239" i="31"/>
  <c r="U240" i="31"/>
  <c r="U241" i="31"/>
  <c r="U242" i="31"/>
  <c r="U243" i="31"/>
  <c r="U244" i="31"/>
  <c r="U245" i="31"/>
  <c r="U246" i="31"/>
  <c r="U247" i="31"/>
  <c r="U248" i="31"/>
  <c r="U249" i="31"/>
  <c r="U250" i="31"/>
  <c r="U251" i="31"/>
  <c r="U252" i="31"/>
  <c r="U253" i="31"/>
  <c r="U254" i="31"/>
  <c r="U255" i="31"/>
  <c r="U256" i="31"/>
  <c r="U257" i="31"/>
  <c r="U258" i="31"/>
  <c r="U259" i="31"/>
  <c r="U260" i="31"/>
  <c r="U261" i="31"/>
  <c r="U262" i="31"/>
  <c r="U263" i="31"/>
  <c r="U264" i="31"/>
  <c r="U265" i="31"/>
  <c r="U266" i="31"/>
  <c r="U267" i="31"/>
  <c r="U268" i="31"/>
  <c r="U269" i="31"/>
  <c r="U270" i="31"/>
  <c r="U271" i="31"/>
  <c r="U272" i="31"/>
  <c r="U273" i="31"/>
  <c r="U274" i="31"/>
  <c r="U275" i="31"/>
  <c r="U276" i="31"/>
  <c r="U277" i="31"/>
  <c r="U278" i="31"/>
  <c r="U279" i="31"/>
  <c r="U280" i="31"/>
  <c r="U281" i="31"/>
  <c r="U282" i="31"/>
  <c r="U283" i="31"/>
  <c r="U284" i="31"/>
  <c r="U285" i="31"/>
  <c r="U286" i="31"/>
  <c r="U287" i="31"/>
  <c r="U288" i="31"/>
  <c r="U289" i="31"/>
  <c r="U290" i="31"/>
  <c r="U291" i="31"/>
  <c r="U292" i="31"/>
  <c r="U293" i="31"/>
  <c r="U294" i="31"/>
  <c r="U295" i="31"/>
  <c r="U296" i="31"/>
  <c r="U297" i="31"/>
  <c r="U298" i="31"/>
  <c r="U299" i="31"/>
  <c r="U300" i="31"/>
  <c r="U301" i="31"/>
  <c r="U302" i="31"/>
  <c r="U303" i="31"/>
  <c r="U304" i="31"/>
  <c r="U305" i="31"/>
  <c r="U306" i="31"/>
  <c r="U307" i="31"/>
  <c r="U308" i="31"/>
  <c r="U309" i="31"/>
  <c r="U310" i="31"/>
  <c r="U311" i="31"/>
  <c r="U312" i="31"/>
  <c r="U313" i="31"/>
  <c r="U314" i="31"/>
  <c r="U315" i="31"/>
  <c r="U316" i="31"/>
  <c r="U317" i="31"/>
  <c r="U318" i="31"/>
  <c r="U319" i="31"/>
  <c r="U320" i="31"/>
  <c r="U321" i="31"/>
  <c r="U322" i="31"/>
  <c r="U323" i="31"/>
  <c r="U324" i="31"/>
  <c r="U325" i="31"/>
  <c r="U326" i="31"/>
  <c r="U327" i="31"/>
  <c r="U328" i="31"/>
  <c r="U329" i="31"/>
  <c r="U330" i="31"/>
  <c r="U331" i="31"/>
  <c r="U332" i="31"/>
  <c r="U333" i="31"/>
  <c r="U334" i="31"/>
  <c r="U335" i="31"/>
  <c r="U336" i="31"/>
  <c r="U337" i="31"/>
  <c r="U338" i="31"/>
  <c r="U339" i="31"/>
  <c r="U340" i="31"/>
  <c r="U341" i="31"/>
  <c r="U342" i="31"/>
  <c r="U343" i="31"/>
  <c r="U344" i="31"/>
  <c r="U345" i="31"/>
  <c r="U346" i="31"/>
  <c r="U347" i="31"/>
  <c r="U348" i="31"/>
  <c r="U349" i="31"/>
  <c r="U350" i="31"/>
  <c r="U351" i="31"/>
  <c r="U352" i="31"/>
  <c r="U353" i="31"/>
  <c r="U354" i="31"/>
  <c r="U355" i="31"/>
  <c r="U356" i="31"/>
  <c r="U357" i="31"/>
  <c r="U358" i="31"/>
  <c r="U359" i="31"/>
  <c r="U360" i="31"/>
  <c r="U361" i="31"/>
  <c r="U362" i="31"/>
  <c r="U363" i="31"/>
  <c r="U364" i="31"/>
  <c r="U365" i="31"/>
  <c r="U366" i="31"/>
  <c r="U367" i="31"/>
  <c r="U368" i="31"/>
  <c r="U369" i="31"/>
  <c r="U370" i="31"/>
  <c r="U371" i="31"/>
  <c r="U372" i="31"/>
  <c r="C8" i="31"/>
  <c r="B8" i="31"/>
  <c r="A8" i="31"/>
  <c r="B9" i="31"/>
  <c r="A9" i="31"/>
  <c r="B10" i="31"/>
  <c r="A10" i="31"/>
  <c r="B11" i="31"/>
  <c r="A11" i="31"/>
  <c r="B12" i="31"/>
  <c r="A12" i="31"/>
  <c r="B13" i="31"/>
  <c r="A13" i="31"/>
  <c r="B14" i="31"/>
  <c r="A14" i="31"/>
  <c r="B15" i="31"/>
  <c r="A15" i="31"/>
  <c r="B16" i="31"/>
  <c r="A16" i="31"/>
  <c r="B17" i="31"/>
  <c r="A17" i="31"/>
  <c r="B18" i="31"/>
  <c r="A18" i="31"/>
  <c r="B19" i="31"/>
  <c r="A19" i="31"/>
  <c r="B20" i="31"/>
  <c r="A20" i="31"/>
  <c r="B21" i="31"/>
  <c r="A21" i="31"/>
  <c r="B22" i="31"/>
  <c r="A22" i="31"/>
  <c r="B23" i="31"/>
  <c r="A23" i="31"/>
  <c r="B24" i="31"/>
  <c r="A24" i="31"/>
  <c r="B25" i="31"/>
  <c r="A25" i="31"/>
  <c r="B26" i="31"/>
  <c r="A26" i="31"/>
  <c r="B27" i="31"/>
  <c r="A27" i="31"/>
  <c r="B28" i="31"/>
  <c r="A28" i="31"/>
  <c r="B29" i="31"/>
  <c r="A29" i="31"/>
  <c r="B30" i="31"/>
  <c r="A30" i="31"/>
  <c r="B31" i="31"/>
  <c r="A31" i="31"/>
  <c r="B32" i="31"/>
  <c r="A32" i="31"/>
  <c r="B33" i="31"/>
  <c r="A33" i="31"/>
  <c r="B34" i="31"/>
  <c r="A34" i="31"/>
  <c r="B35" i="31"/>
  <c r="A35" i="31"/>
  <c r="B36" i="31"/>
  <c r="A36" i="31"/>
  <c r="B37" i="31"/>
  <c r="A37" i="31"/>
  <c r="B38" i="31"/>
  <c r="A38" i="31"/>
  <c r="B39" i="31"/>
  <c r="A39" i="31"/>
  <c r="B40" i="31"/>
  <c r="A40" i="31"/>
  <c r="B41" i="31"/>
  <c r="A41" i="31"/>
  <c r="B42" i="31"/>
  <c r="A42" i="31"/>
  <c r="B43" i="31"/>
  <c r="A43" i="31"/>
  <c r="B44" i="31"/>
  <c r="A44" i="31"/>
  <c r="B45" i="31"/>
  <c r="A45" i="31"/>
  <c r="B46" i="31"/>
  <c r="A46" i="31"/>
  <c r="B47" i="31"/>
  <c r="A47" i="31"/>
  <c r="B48" i="31"/>
  <c r="A48" i="31"/>
  <c r="B49" i="31"/>
  <c r="A49" i="31"/>
  <c r="B50" i="31"/>
  <c r="A50" i="31"/>
  <c r="B51" i="31"/>
  <c r="A51" i="31"/>
  <c r="B52" i="31"/>
  <c r="A52" i="31"/>
  <c r="B53" i="31"/>
  <c r="A53" i="31"/>
  <c r="B54" i="31"/>
  <c r="A54" i="31"/>
  <c r="B55" i="31"/>
  <c r="A55" i="31"/>
  <c r="B56" i="31"/>
  <c r="A56" i="31"/>
  <c r="B57" i="31"/>
  <c r="A57" i="31"/>
  <c r="B58" i="31"/>
  <c r="A58" i="31"/>
  <c r="B59" i="31"/>
  <c r="A59" i="31"/>
  <c r="B60" i="31"/>
  <c r="A60" i="31"/>
  <c r="B61" i="31"/>
  <c r="A61" i="31"/>
  <c r="B62" i="31"/>
  <c r="A62" i="31"/>
  <c r="B63" i="31"/>
  <c r="A63" i="31"/>
  <c r="B64" i="31"/>
  <c r="A64" i="31"/>
  <c r="B65" i="31"/>
  <c r="A65" i="31"/>
  <c r="B66" i="31"/>
  <c r="A66" i="31"/>
  <c r="B67" i="31"/>
  <c r="A67" i="31"/>
  <c r="B68" i="31"/>
  <c r="A68" i="31"/>
  <c r="B69" i="31"/>
  <c r="A69" i="31"/>
  <c r="B70" i="31"/>
  <c r="A70" i="31"/>
  <c r="B71" i="31"/>
  <c r="A71" i="31"/>
  <c r="B72" i="31"/>
  <c r="A72" i="31"/>
  <c r="B73" i="31"/>
  <c r="A73" i="31"/>
  <c r="B74" i="31"/>
  <c r="A74" i="31"/>
  <c r="B75" i="31"/>
  <c r="A75" i="31"/>
  <c r="B76" i="31"/>
  <c r="A76" i="31"/>
  <c r="B77" i="31"/>
  <c r="A77" i="31"/>
  <c r="B78" i="31"/>
  <c r="A78" i="31"/>
  <c r="B79" i="31"/>
  <c r="A79" i="31"/>
  <c r="B80" i="31"/>
  <c r="A80" i="31"/>
  <c r="B81" i="31"/>
  <c r="A81" i="31"/>
  <c r="B82" i="31"/>
  <c r="A82" i="31"/>
  <c r="B83" i="31"/>
  <c r="A83" i="31"/>
  <c r="B84" i="31"/>
  <c r="A84" i="31"/>
  <c r="B85" i="31"/>
  <c r="A85" i="31"/>
  <c r="B86" i="31"/>
  <c r="A86" i="31"/>
  <c r="B87" i="31"/>
  <c r="A87" i="31"/>
  <c r="B88" i="31"/>
  <c r="A88" i="31"/>
  <c r="B89" i="31"/>
  <c r="A89" i="31"/>
  <c r="B90" i="31"/>
  <c r="A90" i="31"/>
  <c r="B91" i="31"/>
  <c r="A91" i="31"/>
  <c r="B92" i="31"/>
  <c r="A92" i="31"/>
  <c r="B93" i="31"/>
  <c r="A93" i="31"/>
  <c r="B94" i="31"/>
  <c r="A94" i="31"/>
  <c r="B95" i="31"/>
  <c r="A95" i="31"/>
  <c r="B96" i="31"/>
  <c r="A96" i="31"/>
  <c r="B97" i="31"/>
  <c r="A97" i="31"/>
  <c r="B98" i="31"/>
  <c r="A98" i="31"/>
  <c r="B99" i="31"/>
  <c r="A99" i="31"/>
  <c r="B100" i="31"/>
  <c r="A100" i="31"/>
  <c r="B101" i="31"/>
  <c r="A101" i="31"/>
  <c r="B102" i="31"/>
  <c r="A102" i="31"/>
  <c r="B103" i="31"/>
  <c r="A103" i="31"/>
  <c r="B104" i="31"/>
  <c r="A104" i="31"/>
  <c r="B105" i="31"/>
  <c r="A105" i="31"/>
  <c r="B106" i="31"/>
  <c r="A106" i="31"/>
  <c r="B107" i="31"/>
  <c r="A107" i="31"/>
  <c r="B108" i="31"/>
  <c r="A108" i="31"/>
  <c r="B109" i="31"/>
  <c r="A109" i="31"/>
  <c r="B110" i="31"/>
  <c r="A110" i="31"/>
  <c r="B111" i="31"/>
  <c r="A111" i="31"/>
  <c r="B112" i="31"/>
  <c r="A112" i="31"/>
  <c r="B113" i="31"/>
  <c r="A113" i="31"/>
  <c r="B114" i="31"/>
  <c r="A114" i="31"/>
  <c r="B115" i="31"/>
  <c r="A115" i="31"/>
  <c r="B116" i="31"/>
  <c r="A116" i="31"/>
  <c r="B117" i="31"/>
  <c r="A117" i="31"/>
  <c r="B118" i="31"/>
  <c r="A118" i="31"/>
  <c r="B119" i="31"/>
  <c r="A119" i="31"/>
  <c r="B120" i="31"/>
  <c r="A120" i="31"/>
  <c r="B121" i="31"/>
  <c r="A121" i="31"/>
  <c r="B122" i="31"/>
  <c r="A122" i="31"/>
  <c r="B123" i="31"/>
  <c r="A123" i="31"/>
  <c r="B124" i="31"/>
  <c r="A124" i="31"/>
  <c r="B125" i="31"/>
  <c r="A125" i="31"/>
  <c r="B126" i="31"/>
  <c r="A126" i="31"/>
  <c r="B127" i="31"/>
  <c r="A127" i="31"/>
  <c r="B128" i="31"/>
  <c r="A128" i="31"/>
  <c r="B129" i="31"/>
  <c r="A129" i="31"/>
  <c r="B130" i="31"/>
  <c r="A130" i="31"/>
  <c r="B131" i="31"/>
  <c r="A131" i="31"/>
  <c r="B132" i="31"/>
  <c r="A132" i="31"/>
  <c r="B133" i="31"/>
  <c r="A133" i="31"/>
  <c r="B134" i="31"/>
  <c r="A134" i="31"/>
  <c r="B135" i="31"/>
  <c r="A135" i="31"/>
  <c r="B136" i="31"/>
  <c r="A136" i="31"/>
  <c r="B137" i="31"/>
  <c r="A137" i="31"/>
  <c r="B138" i="31"/>
  <c r="A138" i="31"/>
  <c r="B139" i="31"/>
  <c r="A139" i="31"/>
  <c r="B140" i="31"/>
  <c r="A140" i="31"/>
  <c r="B141" i="31"/>
  <c r="A141" i="31"/>
  <c r="B142" i="31"/>
  <c r="A142" i="31"/>
  <c r="B143" i="31"/>
  <c r="A143" i="31"/>
  <c r="B144" i="31"/>
  <c r="A144" i="31"/>
  <c r="B145" i="31"/>
  <c r="A145" i="31"/>
  <c r="B146" i="31"/>
  <c r="A146" i="31"/>
  <c r="B147" i="31"/>
  <c r="A147" i="31"/>
  <c r="B148" i="31"/>
  <c r="A148" i="31"/>
  <c r="B149" i="31"/>
  <c r="A149" i="31"/>
  <c r="B150" i="31"/>
  <c r="A150" i="31"/>
  <c r="B151" i="31"/>
  <c r="A151" i="31"/>
  <c r="B152" i="31"/>
  <c r="A152" i="31"/>
  <c r="B153" i="31"/>
  <c r="A153" i="31"/>
  <c r="B154" i="31"/>
  <c r="A154" i="31"/>
  <c r="B155" i="31"/>
  <c r="A155" i="31"/>
  <c r="B156" i="31"/>
  <c r="A156" i="31"/>
  <c r="B157" i="31"/>
  <c r="A157" i="31"/>
  <c r="B158" i="31"/>
  <c r="A158" i="31"/>
  <c r="B159" i="31"/>
  <c r="A159" i="31"/>
  <c r="B160" i="31"/>
  <c r="A160" i="31"/>
  <c r="B161" i="31"/>
  <c r="A161" i="31"/>
  <c r="B162" i="31"/>
  <c r="A162" i="31"/>
  <c r="B163" i="31"/>
  <c r="A163" i="31"/>
  <c r="B164" i="31"/>
  <c r="A164" i="31"/>
  <c r="B165" i="31"/>
  <c r="A165" i="31"/>
  <c r="B166" i="31"/>
  <c r="A166" i="31"/>
  <c r="B167" i="31"/>
  <c r="A167" i="31"/>
  <c r="B168" i="31"/>
  <c r="A168" i="31"/>
  <c r="B169" i="31"/>
  <c r="A169" i="31"/>
  <c r="B170" i="31"/>
  <c r="A170" i="31"/>
  <c r="B171" i="31"/>
  <c r="A171" i="31"/>
  <c r="B172" i="31"/>
  <c r="A172" i="31"/>
  <c r="B173" i="31"/>
  <c r="A173" i="31"/>
  <c r="B174" i="31"/>
  <c r="A174" i="31"/>
  <c r="B175" i="31"/>
  <c r="A175" i="31"/>
  <c r="B176" i="31"/>
  <c r="A176" i="31"/>
  <c r="B177" i="31"/>
  <c r="A177" i="31"/>
  <c r="B178" i="31"/>
  <c r="A178" i="31"/>
  <c r="B179" i="31"/>
  <c r="A179" i="31"/>
  <c r="B180" i="31"/>
  <c r="A180" i="31"/>
  <c r="B181" i="31"/>
  <c r="A181" i="31"/>
  <c r="B182" i="31"/>
  <c r="A182" i="31"/>
  <c r="B183" i="31"/>
  <c r="A183" i="31"/>
  <c r="B184" i="31"/>
  <c r="A184" i="31"/>
  <c r="B185" i="31"/>
  <c r="A185" i="31"/>
  <c r="B186" i="31"/>
  <c r="A186" i="31"/>
  <c r="B187" i="31"/>
  <c r="A187" i="31"/>
  <c r="B188" i="31"/>
  <c r="A188" i="31"/>
  <c r="B189" i="31"/>
  <c r="A189" i="31"/>
  <c r="B190" i="31"/>
  <c r="A190" i="31"/>
  <c r="B191" i="31"/>
  <c r="A191" i="31"/>
  <c r="B192" i="31"/>
  <c r="A192" i="31"/>
  <c r="B193" i="31"/>
  <c r="A193" i="31"/>
  <c r="B194" i="31"/>
  <c r="A194" i="31"/>
  <c r="B195" i="31"/>
  <c r="A195" i="31"/>
  <c r="B196" i="31"/>
  <c r="A196" i="31"/>
  <c r="B197" i="31"/>
  <c r="A197" i="31"/>
  <c r="B198" i="31"/>
  <c r="A198" i="31"/>
  <c r="B199" i="31"/>
  <c r="A199" i="31"/>
  <c r="B200" i="31"/>
  <c r="A200" i="31"/>
  <c r="B201" i="31"/>
  <c r="A201" i="31"/>
  <c r="B202" i="31"/>
  <c r="A202" i="31"/>
  <c r="B203" i="31"/>
  <c r="A203" i="31"/>
  <c r="B204" i="31"/>
  <c r="A204" i="31"/>
  <c r="B205" i="31"/>
  <c r="A205" i="31"/>
  <c r="B206" i="31"/>
  <c r="A206" i="31"/>
  <c r="B207" i="31"/>
  <c r="A207" i="31"/>
  <c r="B208" i="31"/>
  <c r="A208" i="31"/>
  <c r="B209" i="31"/>
  <c r="A209" i="31"/>
  <c r="B210" i="31"/>
  <c r="A210" i="31"/>
  <c r="B211" i="31"/>
  <c r="A211" i="31"/>
  <c r="B212" i="31"/>
  <c r="A212" i="31"/>
  <c r="B213" i="31"/>
  <c r="A213" i="31"/>
  <c r="B214" i="31"/>
  <c r="A214" i="31"/>
  <c r="B215" i="31"/>
  <c r="A215" i="31"/>
  <c r="B216" i="31"/>
  <c r="A216" i="31"/>
  <c r="B217" i="31"/>
  <c r="A217" i="31"/>
  <c r="B218" i="31"/>
  <c r="A218" i="31"/>
  <c r="B219" i="31"/>
  <c r="A219" i="31"/>
  <c r="B220" i="31"/>
  <c r="A220" i="31"/>
  <c r="B221" i="31"/>
  <c r="A221" i="31"/>
  <c r="B222" i="31"/>
  <c r="A222" i="31"/>
  <c r="B223" i="31"/>
  <c r="A223" i="31"/>
  <c r="B224" i="31"/>
  <c r="A224" i="31"/>
  <c r="B225" i="31"/>
  <c r="A225" i="31"/>
  <c r="B226" i="31"/>
  <c r="A226" i="31"/>
  <c r="B227" i="31"/>
  <c r="A227" i="31"/>
  <c r="B228" i="31"/>
  <c r="A228" i="31"/>
  <c r="B229" i="31"/>
  <c r="A229" i="31"/>
  <c r="B230" i="31"/>
  <c r="A230" i="31"/>
  <c r="B231" i="31"/>
  <c r="A231" i="31"/>
  <c r="B232" i="31"/>
  <c r="A232" i="31"/>
  <c r="B233" i="31"/>
  <c r="A233" i="31"/>
  <c r="B234" i="31"/>
  <c r="A234" i="31"/>
  <c r="B235" i="31"/>
  <c r="A235" i="31"/>
  <c r="B236" i="31"/>
  <c r="A236" i="31"/>
  <c r="B237" i="31"/>
  <c r="A237" i="31"/>
  <c r="B238" i="31"/>
  <c r="A238" i="31"/>
  <c r="B239" i="31"/>
  <c r="A239" i="31"/>
  <c r="B240" i="31"/>
  <c r="A240" i="31"/>
  <c r="B241" i="31"/>
  <c r="A241" i="31"/>
  <c r="B242" i="31"/>
  <c r="A242" i="31"/>
  <c r="B243" i="31"/>
  <c r="A243" i="31"/>
  <c r="B244" i="31"/>
  <c r="A244" i="31"/>
  <c r="B245" i="31"/>
  <c r="A245" i="31"/>
  <c r="B246" i="31"/>
  <c r="A246" i="31"/>
  <c r="B247" i="31"/>
  <c r="A247" i="31"/>
  <c r="B248" i="31"/>
  <c r="A248" i="31"/>
  <c r="B249" i="31"/>
  <c r="A249" i="31"/>
  <c r="B250" i="31"/>
  <c r="A250" i="31"/>
  <c r="B251" i="31"/>
  <c r="A251" i="31"/>
  <c r="B252" i="31"/>
  <c r="A252" i="31"/>
  <c r="B253" i="31"/>
  <c r="A253" i="31"/>
  <c r="B254" i="31"/>
  <c r="A254" i="31"/>
  <c r="B255" i="31"/>
  <c r="A255" i="31"/>
  <c r="B256" i="31"/>
  <c r="A256" i="31"/>
  <c r="B257" i="31"/>
  <c r="A257" i="31"/>
  <c r="B258" i="31"/>
  <c r="A258" i="31"/>
  <c r="B259" i="31"/>
  <c r="A259" i="31"/>
  <c r="B260" i="31"/>
  <c r="A260" i="31"/>
  <c r="B261" i="31"/>
  <c r="A261" i="31"/>
  <c r="B262" i="31"/>
  <c r="A262" i="31"/>
  <c r="B263" i="31"/>
  <c r="A263" i="31"/>
  <c r="B264" i="31"/>
  <c r="A264" i="31"/>
  <c r="B265" i="31"/>
  <c r="A265" i="31"/>
  <c r="B266" i="31"/>
  <c r="A266" i="31"/>
  <c r="B267" i="31"/>
  <c r="A267" i="31"/>
  <c r="B268" i="31"/>
  <c r="A268" i="31"/>
  <c r="B269" i="31"/>
  <c r="A269" i="31"/>
  <c r="B270" i="31"/>
  <c r="A270" i="31"/>
  <c r="B271" i="31"/>
  <c r="A271" i="31"/>
  <c r="B272" i="31"/>
  <c r="A272" i="31"/>
  <c r="B273" i="31"/>
  <c r="A273" i="31"/>
  <c r="B274" i="31"/>
  <c r="A274" i="31"/>
  <c r="B275" i="31"/>
  <c r="A275" i="31"/>
  <c r="B276" i="31"/>
  <c r="A276" i="31"/>
  <c r="B277" i="31"/>
  <c r="A277" i="31"/>
  <c r="B278" i="31"/>
  <c r="A278" i="31"/>
  <c r="B279" i="31"/>
  <c r="A279" i="31"/>
  <c r="B280" i="31"/>
  <c r="A280" i="31"/>
  <c r="B281" i="31"/>
  <c r="A281" i="31"/>
  <c r="B282" i="31"/>
  <c r="A282" i="31"/>
  <c r="B283" i="31"/>
  <c r="A283" i="31"/>
  <c r="B284" i="31"/>
  <c r="A284" i="31"/>
  <c r="B285" i="31"/>
  <c r="A285" i="31"/>
  <c r="B286" i="31"/>
  <c r="A286" i="31"/>
  <c r="B287" i="31"/>
  <c r="A287" i="31"/>
  <c r="B288" i="31"/>
  <c r="A288" i="31"/>
  <c r="B289" i="31"/>
  <c r="A289" i="31"/>
  <c r="B290" i="31"/>
  <c r="A290" i="31"/>
  <c r="B291" i="31"/>
  <c r="A291" i="31"/>
  <c r="B292" i="31"/>
  <c r="A292" i="31"/>
  <c r="B293" i="31"/>
  <c r="A293" i="31"/>
  <c r="B294" i="31"/>
  <c r="A294" i="31"/>
  <c r="B295" i="31"/>
  <c r="A295" i="31"/>
  <c r="B296" i="31"/>
  <c r="A296" i="31"/>
  <c r="B297" i="31"/>
  <c r="A297" i="31"/>
  <c r="B298" i="31"/>
  <c r="A298" i="31"/>
  <c r="B299" i="31"/>
  <c r="A299" i="31"/>
  <c r="B300" i="31"/>
  <c r="A300" i="31"/>
  <c r="B301" i="31"/>
  <c r="A301" i="31"/>
  <c r="B302" i="31"/>
  <c r="A302" i="31"/>
  <c r="B303" i="31"/>
  <c r="A303" i="31"/>
  <c r="B304" i="31"/>
  <c r="A304" i="31"/>
  <c r="B305" i="31"/>
  <c r="A305" i="31"/>
  <c r="B306" i="31"/>
  <c r="A306" i="31"/>
  <c r="B307" i="31"/>
  <c r="A307" i="31"/>
  <c r="B308" i="31"/>
  <c r="A308" i="31"/>
  <c r="B309" i="31"/>
  <c r="A309" i="31"/>
  <c r="B310" i="31"/>
  <c r="A310" i="31"/>
  <c r="B311" i="31"/>
  <c r="A311" i="31"/>
  <c r="B312" i="31"/>
  <c r="A312" i="31"/>
  <c r="B313" i="31"/>
  <c r="A313" i="31"/>
  <c r="B314" i="31"/>
  <c r="A314" i="31"/>
  <c r="B315" i="31"/>
  <c r="A315" i="31"/>
  <c r="B316" i="31"/>
  <c r="A316" i="31"/>
  <c r="B317" i="31"/>
  <c r="A317" i="31"/>
  <c r="B318" i="31"/>
  <c r="A318" i="31"/>
  <c r="B319" i="31"/>
  <c r="A319" i="31"/>
  <c r="B320" i="31"/>
  <c r="A320" i="31"/>
  <c r="B321" i="31"/>
  <c r="A321" i="31"/>
  <c r="B322" i="31"/>
  <c r="A322" i="31"/>
  <c r="B323" i="31"/>
  <c r="A323" i="31"/>
  <c r="B324" i="31"/>
  <c r="A324" i="31"/>
  <c r="B325" i="31"/>
  <c r="A325" i="31"/>
  <c r="B326" i="31"/>
  <c r="A326" i="31"/>
  <c r="B327" i="31"/>
  <c r="A327" i="31"/>
  <c r="B328" i="31"/>
  <c r="A328" i="31"/>
  <c r="B329" i="31"/>
  <c r="A329" i="31"/>
  <c r="B330" i="31"/>
  <c r="A330" i="31"/>
  <c r="B331" i="31"/>
  <c r="A331" i="31"/>
  <c r="B332" i="31"/>
  <c r="A332" i="31"/>
  <c r="B333" i="31"/>
  <c r="A333" i="31"/>
  <c r="B334" i="31"/>
  <c r="A334" i="31"/>
  <c r="B335" i="31"/>
  <c r="A335" i="31"/>
  <c r="B336" i="31"/>
  <c r="A336" i="31"/>
  <c r="B337" i="31"/>
  <c r="A337" i="31"/>
  <c r="B338" i="31"/>
  <c r="A338" i="31"/>
  <c r="B339" i="31"/>
  <c r="A339" i="31"/>
  <c r="B340" i="31"/>
  <c r="A340" i="31"/>
  <c r="B341" i="31"/>
  <c r="A341" i="31"/>
  <c r="B342" i="31"/>
  <c r="A342" i="31"/>
  <c r="B343" i="31"/>
  <c r="A343" i="31"/>
  <c r="B344" i="31"/>
  <c r="A344" i="31"/>
  <c r="B345" i="31"/>
  <c r="A345" i="31"/>
  <c r="B346" i="31"/>
  <c r="A346" i="31"/>
  <c r="B347" i="31"/>
  <c r="A347" i="31"/>
  <c r="B348" i="31"/>
  <c r="A348" i="31"/>
  <c r="B349" i="31"/>
  <c r="A349" i="31"/>
  <c r="B350" i="31"/>
  <c r="A350" i="31"/>
  <c r="B351" i="31"/>
  <c r="A351" i="31"/>
  <c r="B352" i="31"/>
  <c r="A352" i="31"/>
  <c r="B353" i="31"/>
  <c r="A353" i="31"/>
  <c r="B354" i="31"/>
  <c r="A354" i="31"/>
  <c r="B355" i="31"/>
  <c r="A355" i="31"/>
  <c r="B356" i="31"/>
  <c r="A356" i="31"/>
  <c r="B357" i="31"/>
  <c r="A357" i="31"/>
  <c r="B358" i="31"/>
  <c r="A358" i="31"/>
  <c r="B359" i="31"/>
  <c r="A359" i="31"/>
  <c r="B360" i="31"/>
  <c r="A360" i="31"/>
  <c r="B361" i="31"/>
  <c r="A361" i="31"/>
  <c r="B362" i="31"/>
  <c r="A362" i="31"/>
  <c r="B363" i="31"/>
  <c r="A363" i="31"/>
  <c r="B364" i="31"/>
  <c r="A364" i="31"/>
  <c r="B365" i="31"/>
  <c r="A365" i="31"/>
  <c r="B366" i="31"/>
  <c r="A366" i="31"/>
  <c r="B367" i="31"/>
  <c r="A367" i="31"/>
  <c r="B368" i="31"/>
  <c r="A368" i="31"/>
  <c r="B369" i="31"/>
  <c r="A369" i="31"/>
  <c r="B370" i="31"/>
  <c r="A370" i="31"/>
  <c r="B371" i="31"/>
  <c r="A371" i="31"/>
  <c r="B372" i="31"/>
  <c r="A372" i="31"/>
  <c r="A6" i="21"/>
  <c r="A5" i="21" s="1"/>
  <c r="C3" i="21"/>
  <c r="B3" i="21" s="1"/>
  <c r="J3" i="21"/>
  <c r="R45" i="5"/>
  <c r="S45" i="5" s="1"/>
  <c r="W45" i="5" s="1"/>
  <c r="C16" i="2"/>
  <c r="A11" i="21"/>
  <c r="A12" i="21"/>
  <c r="A14" i="21"/>
  <c r="A17" i="21"/>
  <c r="A16" i="21" s="1"/>
  <c r="A19" i="21"/>
  <c r="F4" i="1"/>
  <c r="A44" i="5"/>
  <c r="AC7" i="5"/>
  <c r="AC8" i="5"/>
  <c r="AC9" i="5"/>
  <c r="AC10" i="5"/>
  <c r="AC11" i="5"/>
  <c r="AC12" i="5"/>
  <c r="AC13" i="5"/>
  <c r="AC14" i="5"/>
  <c r="AC15" i="5"/>
  <c r="AC16" i="5"/>
  <c r="AC17" i="5"/>
  <c r="AC18" i="5"/>
  <c r="AC19" i="5"/>
  <c r="AC20" i="5"/>
  <c r="AC21" i="5"/>
  <c r="AC22" i="5"/>
  <c r="AC23" i="5"/>
  <c r="AC24" i="5"/>
  <c r="AC25" i="5"/>
  <c r="AC26" i="5"/>
  <c r="AC27" i="5"/>
  <c r="AC28" i="5"/>
  <c r="AC29" i="5"/>
  <c r="AC30" i="5"/>
  <c r="AC31" i="5"/>
  <c r="AC32" i="5"/>
  <c r="AC33" i="5"/>
  <c r="AC34" i="5"/>
  <c r="AC35" i="5"/>
  <c r="AC36" i="5"/>
  <c r="AC37" i="5"/>
  <c r="AC38" i="5"/>
  <c r="AC39" i="5"/>
  <c r="AC40" i="5"/>
  <c r="AC41" i="5"/>
  <c r="AC42" i="5"/>
  <c r="AC43" i="5"/>
  <c r="AC44" i="5"/>
  <c r="K20" i="32"/>
  <c r="L20" i="32" s="1"/>
  <c r="A9" i="1"/>
  <c r="Z28" i="2"/>
  <c r="D29" i="2"/>
  <c r="D28" i="2"/>
  <c r="D27" i="2"/>
  <c r="T215" i="31"/>
  <c r="T216" i="31"/>
  <c r="T217" i="31"/>
  <c r="T218" i="31"/>
  <c r="T219" i="31"/>
  <c r="T220" i="31"/>
  <c r="T221" i="31"/>
  <c r="T222" i="31"/>
  <c r="T223" i="31"/>
  <c r="T224" i="31"/>
  <c r="T225" i="31"/>
  <c r="T226" i="31"/>
  <c r="T227" i="31"/>
  <c r="T228" i="31"/>
  <c r="T229" i="31"/>
  <c r="T230" i="31"/>
  <c r="T231" i="31"/>
  <c r="T232" i="31"/>
  <c r="T233" i="31"/>
  <c r="T234" i="31"/>
  <c r="T235" i="31"/>
  <c r="T236" i="31"/>
  <c r="T237" i="31"/>
  <c r="T238" i="31"/>
  <c r="T239" i="31"/>
  <c r="T240" i="31"/>
  <c r="T241" i="31"/>
  <c r="T242" i="31"/>
  <c r="T243" i="31"/>
  <c r="T244" i="31"/>
  <c r="T245" i="31"/>
  <c r="T246" i="31"/>
  <c r="T247" i="31"/>
  <c r="T248" i="31"/>
  <c r="T249" i="31"/>
  <c r="T250" i="31"/>
  <c r="T251" i="31"/>
  <c r="T252" i="31"/>
  <c r="T253" i="31"/>
  <c r="T254" i="31"/>
  <c r="T255" i="31"/>
  <c r="T256" i="31"/>
  <c r="T257" i="31"/>
  <c r="T258" i="31"/>
  <c r="T259" i="31"/>
  <c r="T260" i="31"/>
  <c r="T261" i="31"/>
  <c r="T262" i="31"/>
  <c r="T263" i="31"/>
  <c r="T264" i="31"/>
  <c r="T265" i="31"/>
  <c r="T266" i="31"/>
  <c r="T267" i="31"/>
  <c r="T268" i="31"/>
  <c r="T269" i="31"/>
  <c r="T270" i="31"/>
  <c r="T271" i="31"/>
  <c r="T272" i="31"/>
  <c r="T273" i="31"/>
  <c r="T274" i="31"/>
  <c r="T275" i="31"/>
  <c r="T276" i="31"/>
  <c r="T277" i="31"/>
  <c r="T278" i="31"/>
  <c r="T279" i="31"/>
  <c r="T280" i="31"/>
  <c r="T281" i="31"/>
  <c r="T282" i="31"/>
  <c r="T283" i="31"/>
  <c r="T284" i="31"/>
  <c r="T285" i="31"/>
  <c r="T286" i="31"/>
  <c r="T287" i="31"/>
  <c r="T288" i="31"/>
  <c r="T289" i="31"/>
  <c r="T290" i="31"/>
  <c r="T291" i="31"/>
  <c r="T292" i="31"/>
  <c r="T293" i="31"/>
  <c r="T294" i="31"/>
  <c r="T295" i="31"/>
  <c r="T296" i="31"/>
  <c r="T297" i="31"/>
  <c r="T298" i="31"/>
  <c r="T299" i="31"/>
  <c r="T300" i="31"/>
  <c r="T301" i="31"/>
  <c r="T302" i="31"/>
  <c r="T303" i="31"/>
  <c r="T304" i="31"/>
  <c r="T305" i="31"/>
  <c r="T306" i="31"/>
  <c r="T307" i="31"/>
  <c r="T308" i="31"/>
  <c r="T309" i="31"/>
  <c r="T310" i="31"/>
  <c r="T311" i="31"/>
  <c r="T312" i="31"/>
  <c r="T313" i="31"/>
  <c r="T314" i="31"/>
  <c r="T315" i="31"/>
  <c r="T316" i="31"/>
  <c r="T317" i="31"/>
  <c r="T318" i="31"/>
  <c r="T319" i="31"/>
  <c r="T320" i="31"/>
  <c r="T321" i="31"/>
  <c r="T322" i="31"/>
  <c r="T323" i="31"/>
  <c r="T324" i="31"/>
  <c r="T325" i="31"/>
  <c r="T326" i="31"/>
  <c r="T327" i="31"/>
  <c r="T328" i="31"/>
  <c r="T329" i="31"/>
  <c r="T330" i="31"/>
  <c r="T331" i="31"/>
  <c r="T332" i="31"/>
  <c r="T333" i="31"/>
  <c r="T334" i="31"/>
  <c r="T335" i="31"/>
  <c r="T336" i="31"/>
  <c r="T337" i="31"/>
  <c r="T338" i="31"/>
  <c r="T339" i="31"/>
  <c r="T340" i="31"/>
  <c r="T341" i="31"/>
  <c r="T342" i="31"/>
  <c r="T343" i="31"/>
  <c r="T344" i="31"/>
  <c r="T345" i="31"/>
  <c r="T346" i="31"/>
  <c r="T347" i="31"/>
  <c r="T348" i="31"/>
  <c r="T349" i="31"/>
  <c r="T350" i="31"/>
  <c r="T351" i="31"/>
  <c r="T352" i="31"/>
  <c r="T353" i="31"/>
  <c r="T354" i="31"/>
  <c r="T355" i="31"/>
  <c r="T356" i="31"/>
  <c r="T357" i="31"/>
  <c r="T358" i="31"/>
  <c r="T359" i="31"/>
  <c r="T360" i="31"/>
  <c r="T361" i="31"/>
  <c r="T362" i="31"/>
  <c r="T363" i="31"/>
  <c r="T364" i="31"/>
  <c r="T365" i="31"/>
  <c r="T366" i="31"/>
  <c r="T367" i="31"/>
  <c r="T368" i="31"/>
  <c r="T369" i="31"/>
  <c r="T370" i="31"/>
  <c r="T371" i="31"/>
  <c r="T372" i="31"/>
  <c r="S215" i="31"/>
  <c r="S216" i="31"/>
  <c r="S217" i="31"/>
  <c r="S218" i="31"/>
  <c r="S219" i="31"/>
  <c r="S220" i="31"/>
  <c r="S221" i="31"/>
  <c r="S222" i="31"/>
  <c r="S223" i="31"/>
  <c r="S224" i="31"/>
  <c r="S225" i="31"/>
  <c r="S226" i="31"/>
  <c r="S227" i="31"/>
  <c r="S228" i="31"/>
  <c r="S229" i="31"/>
  <c r="S230" i="31"/>
  <c r="S231" i="31"/>
  <c r="S232" i="31"/>
  <c r="S233" i="31"/>
  <c r="S234" i="31"/>
  <c r="S235" i="31"/>
  <c r="S236" i="31"/>
  <c r="S237" i="31"/>
  <c r="S238" i="31"/>
  <c r="S239" i="31"/>
  <c r="S240" i="31"/>
  <c r="S241" i="31"/>
  <c r="S242" i="31"/>
  <c r="S243" i="31"/>
  <c r="S244" i="31"/>
  <c r="S245" i="31"/>
  <c r="S246" i="31"/>
  <c r="S247" i="31"/>
  <c r="S248" i="31"/>
  <c r="S249" i="31"/>
  <c r="S250" i="31"/>
  <c r="S251" i="31"/>
  <c r="S252" i="31"/>
  <c r="S253" i="31"/>
  <c r="S254" i="31"/>
  <c r="S255" i="31"/>
  <c r="S256" i="31"/>
  <c r="S257" i="31"/>
  <c r="S258" i="31"/>
  <c r="S259" i="31"/>
  <c r="S260" i="31"/>
  <c r="S261" i="31"/>
  <c r="S262" i="31"/>
  <c r="S263" i="31"/>
  <c r="S264" i="31"/>
  <c r="S265" i="31"/>
  <c r="S266" i="31"/>
  <c r="S267" i="31"/>
  <c r="S268" i="31"/>
  <c r="S269" i="31"/>
  <c r="S270" i="31"/>
  <c r="S271" i="31"/>
  <c r="S272" i="31"/>
  <c r="S273" i="31"/>
  <c r="S274" i="31"/>
  <c r="S275" i="31"/>
  <c r="S276" i="31"/>
  <c r="S277" i="31"/>
  <c r="S278" i="31"/>
  <c r="S279" i="31"/>
  <c r="S280" i="31"/>
  <c r="S281" i="31"/>
  <c r="S282" i="31"/>
  <c r="S283" i="31"/>
  <c r="S284" i="31"/>
  <c r="S285" i="31"/>
  <c r="S286" i="31"/>
  <c r="S287" i="31"/>
  <c r="S288" i="31"/>
  <c r="S289" i="31"/>
  <c r="S290" i="31"/>
  <c r="S291" i="31"/>
  <c r="S292" i="31"/>
  <c r="S293" i="31"/>
  <c r="S294" i="31"/>
  <c r="S295" i="31"/>
  <c r="S296" i="31"/>
  <c r="S297" i="31"/>
  <c r="S298" i="31"/>
  <c r="S299" i="31"/>
  <c r="S300" i="31"/>
  <c r="S301" i="31"/>
  <c r="S302" i="31"/>
  <c r="S303" i="31"/>
  <c r="S304" i="31"/>
  <c r="S305" i="31"/>
  <c r="S306" i="31"/>
  <c r="S307" i="31"/>
  <c r="S308" i="31"/>
  <c r="S309" i="31"/>
  <c r="S310" i="31"/>
  <c r="S311" i="31"/>
  <c r="S312" i="31"/>
  <c r="S313" i="31"/>
  <c r="S314" i="31"/>
  <c r="S315" i="31"/>
  <c r="S316" i="31"/>
  <c r="S317" i="31"/>
  <c r="S318" i="31"/>
  <c r="S319" i="31"/>
  <c r="S320" i="31"/>
  <c r="S321" i="31"/>
  <c r="S322" i="31"/>
  <c r="S323" i="31"/>
  <c r="S324" i="31"/>
  <c r="S325" i="31"/>
  <c r="S326" i="31"/>
  <c r="S327" i="31"/>
  <c r="S328" i="31"/>
  <c r="S329" i="31"/>
  <c r="S330" i="31"/>
  <c r="S331" i="31"/>
  <c r="S332" i="31"/>
  <c r="S333" i="31"/>
  <c r="S334" i="31"/>
  <c r="S335" i="31"/>
  <c r="S336" i="31"/>
  <c r="S337" i="31"/>
  <c r="S338" i="31"/>
  <c r="S339" i="31"/>
  <c r="S340" i="31"/>
  <c r="S341" i="31"/>
  <c r="S342" i="31"/>
  <c r="S343" i="31"/>
  <c r="S344" i="31"/>
  <c r="S345" i="31"/>
  <c r="S346" i="31"/>
  <c r="S347" i="31"/>
  <c r="S348" i="31"/>
  <c r="S349" i="31"/>
  <c r="S350" i="31"/>
  <c r="S351" i="31"/>
  <c r="S352" i="31"/>
  <c r="S353" i="31"/>
  <c r="S354" i="31"/>
  <c r="S355" i="31"/>
  <c r="S356" i="31"/>
  <c r="S357" i="31"/>
  <c r="S358" i="31"/>
  <c r="S359" i="31"/>
  <c r="S360" i="31"/>
  <c r="S361" i="31"/>
  <c r="S362" i="31"/>
  <c r="S363" i="31"/>
  <c r="S364" i="31"/>
  <c r="S365" i="31"/>
  <c r="S366" i="31"/>
  <c r="S367" i="31"/>
  <c r="S368" i="31"/>
  <c r="S369" i="31"/>
  <c r="S370" i="31"/>
  <c r="S371" i="31"/>
  <c r="S372" i="31"/>
  <c r="A181" i="14"/>
  <c r="A182" i="14"/>
  <c r="A183" i="14"/>
  <c r="A184" i="14"/>
  <c r="A185" i="14"/>
  <c r="A186" i="14"/>
  <c r="A187" i="14"/>
  <c r="A188" i="14"/>
  <c r="A189" i="14"/>
  <c r="A190" i="14"/>
  <c r="A344" i="14"/>
  <c r="E3" i="39"/>
  <c r="E4" i="39"/>
  <c r="E5" i="39"/>
  <c r="E6" i="39"/>
  <c r="E7" i="39"/>
  <c r="E8" i="39"/>
  <c r="E9" i="39"/>
  <c r="E11" i="39"/>
  <c r="E12" i="39"/>
  <c r="E13" i="39"/>
  <c r="E14" i="39"/>
  <c r="E2" i="39"/>
  <c r="K17" i="34"/>
  <c r="L16" i="34" s="1"/>
  <c r="R17" i="34"/>
  <c r="P17" i="34"/>
  <c r="O17" i="34"/>
  <c r="N17" i="34"/>
  <c r="K16" i="34"/>
  <c r="K9" i="32"/>
  <c r="L8" i="32" s="1"/>
  <c r="K10" i="32"/>
  <c r="K11" i="32"/>
  <c r="L11" i="32" s="1"/>
  <c r="K12" i="32"/>
  <c r="K13" i="32"/>
  <c r="L12" i="32" s="1"/>
  <c r="K14" i="32"/>
  <c r="L13" i="32" s="1"/>
  <c r="K15" i="32"/>
  <c r="K16" i="32"/>
  <c r="K17" i="32"/>
  <c r="L16" i="32" s="1"/>
  <c r="K18" i="32"/>
  <c r="K19" i="32"/>
  <c r="L19" i="32" s="1"/>
  <c r="L10" i="32"/>
  <c r="L17" i="32"/>
  <c r="L18" i="32"/>
  <c r="A21" i="21"/>
  <c r="K8" i="32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67" i="1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97" i="14"/>
  <c r="A98" i="14"/>
  <c r="A99" i="14"/>
  <c r="A100" i="14"/>
  <c r="A101" i="14"/>
  <c r="A102" i="14"/>
  <c r="A103" i="14"/>
  <c r="A104" i="14"/>
  <c r="A105" i="14"/>
  <c r="A106" i="14"/>
  <c r="A107" i="14"/>
  <c r="A108" i="14"/>
  <c r="A109" i="14"/>
  <c r="A110" i="14"/>
  <c r="A111" i="14"/>
  <c r="A112" i="14"/>
  <c r="A113" i="14"/>
  <c r="A114" i="14"/>
  <c r="A115" i="14"/>
  <c r="A116" i="14"/>
  <c r="A117" i="14"/>
  <c r="A118" i="14"/>
  <c r="A119" i="14"/>
  <c r="A120" i="14"/>
  <c r="A121" i="14"/>
  <c r="A122" i="14"/>
  <c r="A123" i="14"/>
  <c r="A124" i="14"/>
  <c r="A125" i="14"/>
  <c r="A126" i="14"/>
  <c r="A127" i="14"/>
  <c r="A128" i="14"/>
  <c r="A129" i="14"/>
  <c r="A130" i="14"/>
  <c r="A131" i="14"/>
  <c r="A132" i="14"/>
  <c r="A133" i="14"/>
  <c r="A134" i="14"/>
  <c r="A135" i="14"/>
  <c r="A136" i="14"/>
  <c r="A137" i="14"/>
  <c r="A138" i="14"/>
  <c r="A139" i="14"/>
  <c r="A140" i="14"/>
  <c r="A141" i="14"/>
  <c r="A142" i="14"/>
  <c r="A143" i="14"/>
  <c r="A144" i="14"/>
  <c r="A145" i="14"/>
  <c r="A146" i="14"/>
  <c r="A147" i="14"/>
  <c r="A148" i="14"/>
  <c r="A149" i="14"/>
  <c r="A150" i="14"/>
  <c r="A151" i="14"/>
  <c r="A152" i="14"/>
  <c r="A153" i="14"/>
  <c r="A154" i="14"/>
  <c r="A155" i="14"/>
  <c r="A156" i="14"/>
  <c r="A157" i="14"/>
  <c r="A158" i="14"/>
  <c r="A159" i="14"/>
  <c r="A160" i="14"/>
  <c r="A161" i="14"/>
  <c r="A162" i="14"/>
  <c r="A163" i="14"/>
  <c r="A164" i="14"/>
  <c r="A165" i="14"/>
  <c r="A166" i="14"/>
  <c r="A167" i="14"/>
  <c r="A168" i="14"/>
  <c r="A169" i="14"/>
  <c r="A170" i="14"/>
  <c r="A171" i="14"/>
  <c r="A172" i="14"/>
  <c r="A173" i="14"/>
  <c r="A174" i="14"/>
  <c r="A175" i="14"/>
  <c r="A176" i="14"/>
  <c r="A177" i="14"/>
  <c r="A178" i="14"/>
  <c r="A179" i="14"/>
  <c r="A180" i="14"/>
  <c r="A18" i="14"/>
  <c r="P18" i="35"/>
  <c r="P19" i="35"/>
  <c r="P20" i="35"/>
  <c r="P21" i="35"/>
  <c r="P22" i="35"/>
  <c r="P23" i="35"/>
  <c r="P24" i="35"/>
  <c r="P25" i="35"/>
  <c r="P26" i="35"/>
  <c r="P27" i="35"/>
  <c r="P28" i="35"/>
  <c r="P29" i="35"/>
  <c r="P30" i="35"/>
  <c r="P31" i="35"/>
  <c r="P32" i="35"/>
  <c r="P33" i="35"/>
  <c r="P34" i="35"/>
  <c r="P35" i="35"/>
  <c r="P36" i="35"/>
  <c r="P37" i="35"/>
  <c r="P38" i="35"/>
  <c r="P39" i="35"/>
  <c r="P40" i="35"/>
  <c r="P41" i="35"/>
  <c r="P42" i="35"/>
  <c r="P43" i="35"/>
  <c r="P44" i="35"/>
  <c r="P45" i="35"/>
  <c r="P46" i="35"/>
  <c r="P47" i="35"/>
  <c r="P48" i="35"/>
  <c r="P49" i="35"/>
  <c r="P50" i="35"/>
  <c r="P51" i="35"/>
  <c r="P52" i="35"/>
  <c r="P53" i="35"/>
  <c r="P54" i="35"/>
  <c r="P55" i="35"/>
  <c r="P56" i="35"/>
  <c r="P57" i="35"/>
  <c r="P58" i="35"/>
  <c r="P59" i="35"/>
  <c r="P60" i="35"/>
  <c r="P61" i="35"/>
  <c r="P62" i="35"/>
  <c r="P63" i="35"/>
  <c r="P64" i="35"/>
  <c r="P65" i="35"/>
  <c r="P66" i="35"/>
  <c r="P67" i="35"/>
  <c r="P68" i="35"/>
  <c r="P69" i="35"/>
  <c r="P70" i="35"/>
  <c r="P71" i="35"/>
  <c r="P72" i="35"/>
  <c r="P73" i="35"/>
  <c r="P74" i="35"/>
  <c r="P75" i="35"/>
  <c r="P76" i="35"/>
  <c r="P77" i="35"/>
  <c r="P78" i="35"/>
  <c r="P79" i="35"/>
  <c r="P80" i="35"/>
  <c r="P81" i="35"/>
  <c r="P82" i="35"/>
  <c r="P83" i="35"/>
  <c r="P84" i="35"/>
  <c r="P85" i="35"/>
  <c r="P86" i="35"/>
  <c r="P87" i="35"/>
  <c r="P88" i="35"/>
  <c r="P89" i="35"/>
  <c r="P90" i="35"/>
  <c r="P91" i="35"/>
  <c r="P92" i="35"/>
  <c r="P93" i="35"/>
  <c r="P94" i="35"/>
  <c r="P95" i="35"/>
  <c r="P96" i="35"/>
  <c r="P97" i="35"/>
  <c r="P98" i="35"/>
  <c r="P99" i="35"/>
  <c r="P100" i="35"/>
  <c r="P101" i="35"/>
  <c r="P102" i="35"/>
  <c r="P103" i="35"/>
  <c r="P104" i="35"/>
  <c r="P105" i="35"/>
  <c r="P106" i="35"/>
  <c r="P107" i="35"/>
  <c r="P108" i="35"/>
  <c r="P109" i="35"/>
  <c r="P110" i="35"/>
  <c r="P111" i="35"/>
  <c r="P112" i="35"/>
  <c r="P113" i="35"/>
  <c r="P114" i="35"/>
  <c r="P115" i="35"/>
  <c r="P116" i="35"/>
  <c r="P117" i="35"/>
  <c r="P118" i="35"/>
  <c r="P119" i="35"/>
  <c r="P120" i="35"/>
  <c r="P121" i="35"/>
  <c r="P122" i="35"/>
  <c r="P123" i="35"/>
  <c r="P124" i="35"/>
  <c r="P125" i="35"/>
  <c r="P126" i="35"/>
  <c r="P127" i="35"/>
  <c r="P128" i="35"/>
  <c r="P129" i="35"/>
  <c r="P130" i="35"/>
  <c r="P131" i="35"/>
  <c r="P132" i="35"/>
  <c r="P133" i="35"/>
  <c r="P134" i="35"/>
  <c r="P135" i="35"/>
  <c r="P136" i="35"/>
  <c r="P137" i="35"/>
  <c r="P138" i="35"/>
  <c r="P139" i="35"/>
  <c r="P140" i="35"/>
  <c r="P141" i="35"/>
  <c r="P142" i="35"/>
  <c r="P143" i="35"/>
  <c r="P144" i="35"/>
  <c r="P145" i="35"/>
  <c r="P146" i="35"/>
  <c r="P147" i="35"/>
  <c r="P148" i="35"/>
  <c r="P149" i="35"/>
  <c r="P150" i="35"/>
  <c r="P151" i="35"/>
  <c r="P152" i="35"/>
  <c r="P153" i="35"/>
  <c r="P154" i="35"/>
  <c r="P155" i="35"/>
  <c r="P156" i="35"/>
  <c r="P157" i="35"/>
  <c r="P158" i="35"/>
  <c r="P159" i="35"/>
  <c r="P160" i="35"/>
  <c r="P161" i="35"/>
  <c r="P162" i="35"/>
  <c r="P163" i="35"/>
  <c r="P164" i="35"/>
  <c r="P165" i="35"/>
  <c r="P166" i="35"/>
  <c r="P167" i="35"/>
  <c r="P168" i="35"/>
  <c r="P169" i="35"/>
  <c r="P170" i="35"/>
  <c r="P171" i="35"/>
  <c r="P172" i="35"/>
  <c r="P173" i="35"/>
  <c r="P174" i="35"/>
  <c r="P175" i="35"/>
  <c r="P176" i="35"/>
  <c r="P177" i="35"/>
  <c r="P178" i="35"/>
  <c r="P179" i="35"/>
  <c r="P180" i="35"/>
  <c r="P181" i="35"/>
  <c r="P182" i="35"/>
  <c r="P183" i="35"/>
  <c r="P184" i="35"/>
  <c r="P185" i="35"/>
  <c r="P186" i="35"/>
  <c r="P187" i="35"/>
  <c r="P188" i="35"/>
  <c r="P189" i="35"/>
  <c r="P190" i="35"/>
  <c r="P191" i="35"/>
  <c r="P192" i="35"/>
  <c r="P193" i="35"/>
  <c r="P194" i="35"/>
  <c r="P195" i="35"/>
  <c r="P196" i="35"/>
  <c r="P197" i="35"/>
  <c r="P198" i="35"/>
  <c r="P199" i="35"/>
  <c r="P200" i="35"/>
  <c r="P201" i="35"/>
  <c r="P202" i="35"/>
  <c r="P203" i="35"/>
  <c r="P204" i="35"/>
  <c r="P205" i="35"/>
  <c r="P206" i="35"/>
  <c r="P207" i="35"/>
  <c r="P208" i="35"/>
  <c r="P209" i="35"/>
  <c r="P210" i="35"/>
  <c r="P211" i="35"/>
  <c r="P212" i="35"/>
  <c r="P213" i="35"/>
  <c r="P214" i="35"/>
  <c r="P215" i="35"/>
  <c r="P216" i="35"/>
  <c r="P217" i="35"/>
  <c r="P218" i="35"/>
  <c r="P219" i="35"/>
  <c r="P220" i="35"/>
  <c r="P221" i="35"/>
  <c r="P222" i="35"/>
  <c r="P223" i="35"/>
  <c r="P224" i="35"/>
  <c r="P225" i="35"/>
  <c r="P226" i="35"/>
  <c r="P227" i="35"/>
  <c r="P228" i="35"/>
  <c r="P229" i="35"/>
  <c r="P230" i="35"/>
  <c r="P231" i="35"/>
  <c r="P232" i="35"/>
  <c r="P233" i="35"/>
  <c r="P234" i="35"/>
  <c r="P235" i="35"/>
  <c r="P236" i="35"/>
  <c r="P237" i="35"/>
  <c r="P238" i="35"/>
  <c r="P239" i="35"/>
  <c r="P240" i="35"/>
  <c r="P241" i="35"/>
  <c r="P242" i="35"/>
  <c r="P243" i="35"/>
  <c r="P244" i="35"/>
  <c r="P245" i="35"/>
  <c r="P246" i="35"/>
  <c r="P17" i="35"/>
  <c r="R16" i="34"/>
  <c r="P16" i="34"/>
  <c r="O16" i="34"/>
  <c r="N16" i="34"/>
  <c r="R15" i="34"/>
  <c r="P15" i="34"/>
  <c r="O15" i="34"/>
  <c r="N15" i="34"/>
  <c r="K15" i="34"/>
  <c r="L15" i="34" s="1"/>
  <c r="R14" i="34"/>
  <c r="P14" i="34"/>
  <c r="O14" i="34"/>
  <c r="N14" i="34"/>
  <c r="K14" i="34"/>
  <c r="R13" i="34"/>
  <c r="P13" i="34"/>
  <c r="O13" i="34"/>
  <c r="N13" i="34"/>
  <c r="K13" i="34"/>
  <c r="R12" i="34"/>
  <c r="P12" i="34"/>
  <c r="O12" i="34"/>
  <c r="N12" i="34"/>
  <c r="K12" i="34"/>
  <c r="R11" i="34"/>
  <c r="P11" i="34"/>
  <c r="O11" i="34"/>
  <c r="N11" i="34"/>
  <c r="K11" i="34"/>
  <c r="R10" i="34"/>
  <c r="P10" i="34"/>
  <c r="O10" i="34"/>
  <c r="N10" i="34"/>
  <c r="K10" i="34"/>
  <c r="R9" i="34"/>
  <c r="P9" i="34"/>
  <c r="O9" i="34"/>
  <c r="N9" i="34"/>
  <c r="K9" i="34"/>
  <c r="R8" i="34"/>
  <c r="P8" i="34"/>
  <c r="O8" i="34"/>
  <c r="N8" i="34"/>
  <c r="K8" i="34"/>
  <c r="AR45" i="5"/>
  <c r="AS45" i="5" s="1"/>
  <c r="BD45" i="5"/>
  <c r="L11" i="34"/>
  <c r="U45" i="5"/>
  <c r="L10" i="34"/>
  <c r="B7" i="25"/>
  <c r="O951" i="31"/>
  <c r="BF245" i="30"/>
  <c r="BC245" i="30"/>
  <c r="AX15" i="30"/>
  <c r="AX16" i="30" s="1"/>
  <c r="AX17" i="30" s="1"/>
  <c r="AX18" i="30" s="1"/>
  <c r="AX19" i="30" s="1"/>
  <c r="AX20" i="30" s="1"/>
  <c r="AX21" i="30" s="1"/>
  <c r="AX22" i="30" s="1"/>
  <c r="AX23" i="30" s="1"/>
  <c r="AX24" i="30" s="1"/>
  <c r="AX25" i="30" s="1"/>
  <c r="AX26" i="30" s="1"/>
  <c r="AX27" i="30" s="1"/>
  <c r="AX28" i="30" s="1"/>
  <c r="AX29" i="30" s="1"/>
  <c r="AX30" i="30" s="1"/>
  <c r="AX31" i="30" s="1"/>
  <c r="AX32" i="30" s="1"/>
  <c r="AX33" i="30" s="1"/>
  <c r="AX34" i="30" s="1"/>
  <c r="AX35" i="30" s="1"/>
  <c r="AX36" i="30" s="1"/>
  <c r="AX37" i="30" s="1"/>
  <c r="AX38" i="30" s="1"/>
  <c r="AX39" i="30" s="1"/>
  <c r="AX40" i="30" s="1"/>
  <c r="AX41" i="30" s="1"/>
  <c r="AX42" i="30" s="1"/>
  <c r="AX43" i="30" s="1"/>
  <c r="AX44" i="30" s="1"/>
  <c r="AX45" i="30" s="1"/>
  <c r="AX46" i="30" s="1"/>
  <c r="AX47" i="30" s="1"/>
  <c r="AX48" i="30" s="1"/>
  <c r="AX49" i="30" s="1"/>
  <c r="AX50" i="30" s="1"/>
  <c r="AX51" i="30" s="1"/>
  <c r="AX52" i="30" s="1"/>
  <c r="AX53" i="30" s="1"/>
  <c r="AX54" i="30" s="1"/>
  <c r="AX55" i="30" s="1"/>
  <c r="AX56" i="30" s="1"/>
  <c r="AX57" i="30" s="1"/>
  <c r="AX58" i="30" s="1"/>
  <c r="AX59" i="30" s="1"/>
  <c r="AX60" i="30" s="1"/>
  <c r="AX61" i="30" s="1"/>
  <c r="AX62" i="30" s="1"/>
  <c r="AX63" i="30" s="1"/>
  <c r="AX64" i="30" s="1"/>
  <c r="AX65" i="30" s="1"/>
  <c r="AX66" i="30" s="1"/>
  <c r="AX67" i="30" s="1"/>
  <c r="AX68" i="30" s="1"/>
  <c r="AX69" i="30" s="1"/>
  <c r="AX70" i="30" s="1"/>
  <c r="AX71" i="30" s="1"/>
  <c r="AX72" i="30" s="1"/>
  <c r="AX73" i="30" s="1"/>
  <c r="AX74" i="30" s="1"/>
  <c r="AX75" i="30" s="1"/>
  <c r="AX76" i="30" s="1"/>
  <c r="AX77" i="30" s="1"/>
  <c r="AX78" i="30" s="1"/>
  <c r="AX79" i="30" s="1"/>
  <c r="AX80" i="30" s="1"/>
  <c r="AX81" i="30" s="1"/>
  <c r="AX82" i="30" s="1"/>
  <c r="AX83" i="30" s="1"/>
  <c r="AX84" i="30" s="1"/>
  <c r="AX85" i="30" s="1"/>
  <c r="AX86" i="30" s="1"/>
  <c r="AX87" i="30" s="1"/>
  <c r="AX88" i="30" s="1"/>
  <c r="AX89" i="30" s="1"/>
  <c r="AX90" i="30" s="1"/>
  <c r="AX91" i="30" s="1"/>
  <c r="AX92" i="30" s="1"/>
  <c r="AX93" i="30" s="1"/>
  <c r="AX94" i="30" s="1"/>
  <c r="AX95" i="30" s="1"/>
  <c r="AX96" i="30" s="1"/>
  <c r="AX97" i="30" s="1"/>
  <c r="AX98" i="30" s="1"/>
  <c r="AX99" i="30" s="1"/>
  <c r="AX100" i="30" s="1"/>
  <c r="AX101" i="30" s="1"/>
  <c r="AX102" i="30" s="1"/>
  <c r="AX103" i="30" s="1"/>
  <c r="AX104" i="30" s="1"/>
  <c r="AX105" i="30" s="1"/>
  <c r="AX106" i="30" s="1"/>
  <c r="AX107" i="30" s="1"/>
  <c r="AX108" i="30" s="1"/>
  <c r="AX109" i="30" s="1"/>
  <c r="AX110" i="30" s="1"/>
  <c r="AX111" i="30" s="1"/>
  <c r="AX112" i="30" s="1"/>
  <c r="AX113" i="30" s="1"/>
  <c r="AX114" i="30" s="1"/>
  <c r="AX115" i="30" s="1"/>
  <c r="AX116" i="30" s="1"/>
  <c r="AX117" i="30" s="1"/>
  <c r="AX118" i="30" s="1"/>
  <c r="AX119" i="30" s="1"/>
  <c r="AX120" i="30" s="1"/>
  <c r="AX121" i="30" s="1"/>
  <c r="AX122" i="30" s="1"/>
  <c r="AX123" i="30" s="1"/>
  <c r="AX124" i="30" s="1"/>
  <c r="AX125" i="30" s="1"/>
  <c r="AX126" i="30" s="1"/>
  <c r="AX127" i="30" s="1"/>
  <c r="AX128" i="30" s="1"/>
  <c r="AX129" i="30" s="1"/>
  <c r="AX130" i="30" s="1"/>
  <c r="AX131" i="30" s="1"/>
  <c r="AX132" i="30" s="1"/>
  <c r="AX133" i="30" s="1"/>
  <c r="AX134" i="30" s="1"/>
  <c r="AX135" i="30" s="1"/>
  <c r="AX136" i="30" s="1"/>
  <c r="AX137" i="30" s="1"/>
  <c r="AX138" i="30" s="1"/>
  <c r="AX139" i="30" s="1"/>
  <c r="AX140" i="30" s="1"/>
  <c r="AX141" i="30" s="1"/>
  <c r="AX142" i="30" s="1"/>
  <c r="AX143" i="30" s="1"/>
  <c r="AX144" i="30" s="1"/>
  <c r="AX145" i="30" s="1"/>
  <c r="AX146" i="30" s="1"/>
  <c r="AX147" i="30" s="1"/>
  <c r="AX148" i="30" s="1"/>
  <c r="AX149" i="30" s="1"/>
  <c r="AX150" i="30" s="1"/>
  <c r="AX151" i="30" s="1"/>
  <c r="AX152" i="30" s="1"/>
  <c r="AX153" i="30" s="1"/>
  <c r="AX154" i="30" s="1"/>
  <c r="AX155" i="30" s="1"/>
  <c r="AX156" i="30" s="1"/>
  <c r="AX157" i="30" s="1"/>
  <c r="AX158" i="30" s="1"/>
  <c r="AX159" i="30" s="1"/>
  <c r="AX160" i="30" s="1"/>
  <c r="AX161" i="30" s="1"/>
  <c r="AX162" i="30" s="1"/>
  <c r="AX163" i="30" s="1"/>
  <c r="AX164" i="30" s="1"/>
  <c r="AX165" i="30" s="1"/>
  <c r="AX166" i="30" s="1"/>
  <c r="AX167" i="30" s="1"/>
  <c r="AX168" i="30" s="1"/>
  <c r="AX169" i="30" s="1"/>
  <c r="AX170" i="30" s="1"/>
  <c r="AX171" i="30" s="1"/>
  <c r="AX172" i="30" s="1"/>
  <c r="AX173" i="30" s="1"/>
  <c r="AX174" i="30" s="1"/>
  <c r="AX175" i="30" s="1"/>
  <c r="AX176" i="30" s="1"/>
  <c r="AX177" i="30" s="1"/>
  <c r="AX178" i="30" s="1"/>
  <c r="AX179" i="30" s="1"/>
  <c r="AX180" i="30" s="1"/>
  <c r="AX181" i="30" s="1"/>
  <c r="AX182" i="30" s="1"/>
  <c r="AX183" i="30" s="1"/>
  <c r="AX184" i="30" s="1"/>
  <c r="AX185" i="30" s="1"/>
  <c r="AX186" i="30" s="1"/>
  <c r="AX187" i="30" s="1"/>
  <c r="AX188" i="30" s="1"/>
  <c r="AX189" i="30" s="1"/>
  <c r="AX190" i="30" s="1"/>
  <c r="AX191" i="30" s="1"/>
  <c r="AX192" i="30" s="1"/>
  <c r="AX193" i="30" s="1"/>
  <c r="AX194" i="30" s="1"/>
  <c r="AX195" i="30" s="1"/>
  <c r="AX196" i="30" s="1"/>
  <c r="AX197" i="30" s="1"/>
  <c r="AX198" i="30" s="1"/>
  <c r="AX199" i="30" s="1"/>
  <c r="AX200" i="30" s="1"/>
  <c r="AX201" i="30" s="1"/>
  <c r="AX202" i="30" s="1"/>
  <c r="AW15" i="30"/>
  <c r="AW16" i="30" s="1"/>
  <c r="AW17" i="30" s="1"/>
  <c r="AW18" i="30" s="1"/>
  <c r="AW19" i="30" s="1"/>
  <c r="AW20" i="30" s="1"/>
  <c r="AW21" i="30" s="1"/>
  <c r="AW22" i="30" s="1"/>
  <c r="AW23" i="30" s="1"/>
  <c r="AW24" i="30" s="1"/>
  <c r="AW25" i="30" s="1"/>
  <c r="AW26" i="30" s="1"/>
  <c r="AW27" i="30" s="1"/>
  <c r="AW28" i="30" s="1"/>
  <c r="AW29" i="30" s="1"/>
  <c r="AW30" i="30" s="1"/>
  <c r="AW31" i="30" s="1"/>
  <c r="AW32" i="30" s="1"/>
  <c r="AW33" i="30" s="1"/>
  <c r="AW34" i="30" s="1"/>
  <c r="AW35" i="30" s="1"/>
  <c r="AW36" i="30" s="1"/>
  <c r="AW37" i="30" s="1"/>
  <c r="AW38" i="30" s="1"/>
  <c r="AW39" i="30" s="1"/>
  <c r="AW40" i="30" s="1"/>
  <c r="AW41" i="30" s="1"/>
  <c r="AW42" i="30" s="1"/>
  <c r="AW43" i="30" s="1"/>
  <c r="AW44" i="30" s="1"/>
  <c r="AW45" i="30" s="1"/>
  <c r="AW46" i="30"/>
  <c r="AW47" i="30" s="1"/>
  <c r="AW48" i="30" s="1"/>
  <c r="AW49" i="30" s="1"/>
  <c r="AW50" i="30" s="1"/>
  <c r="AW51" i="30" s="1"/>
  <c r="AW52" i="30" s="1"/>
  <c r="AW53" i="30" s="1"/>
  <c r="AW54" i="30" s="1"/>
  <c r="AW55" i="30" s="1"/>
  <c r="AW56" i="30" s="1"/>
  <c r="AW57" i="30" s="1"/>
  <c r="AW58" i="30" s="1"/>
  <c r="AW59" i="30" s="1"/>
  <c r="AW60" i="30" s="1"/>
  <c r="AW61" i="30" s="1"/>
  <c r="AW62" i="30" s="1"/>
  <c r="AW63" i="30" s="1"/>
  <c r="AW64" i="30" s="1"/>
  <c r="AW65" i="30" s="1"/>
  <c r="AW66" i="30" s="1"/>
  <c r="AW67" i="30" s="1"/>
  <c r="AW68" i="30" s="1"/>
  <c r="AW69" i="30" s="1"/>
  <c r="AW70" i="30" s="1"/>
  <c r="AW71" i="30" s="1"/>
  <c r="AW72" i="30" s="1"/>
  <c r="AW73" i="30" s="1"/>
  <c r="AW74" i="30" s="1"/>
  <c r="AW75" i="30" s="1"/>
  <c r="AW76" i="30" s="1"/>
  <c r="AW77" i="30" s="1"/>
  <c r="AW78" i="30" s="1"/>
  <c r="AW79" i="30" s="1"/>
  <c r="AW80" i="30" s="1"/>
  <c r="AW81" i="30" s="1"/>
  <c r="AW82" i="30" s="1"/>
  <c r="AW83" i="30" s="1"/>
  <c r="AW84" i="30" s="1"/>
  <c r="AW85" i="30" s="1"/>
  <c r="AW86" i="30" s="1"/>
  <c r="AW87" i="30" s="1"/>
  <c r="AW88" i="30" s="1"/>
  <c r="AW89" i="30" s="1"/>
  <c r="AW90" i="30" s="1"/>
  <c r="AW91" i="30" s="1"/>
  <c r="AW92" i="30" s="1"/>
  <c r="AW93" i="30" s="1"/>
  <c r="AW94" i="30" s="1"/>
  <c r="AW95" i="30" s="1"/>
  <c r="AW96" i="30" s="1"/>
  <c r="AW97" i="30" s="1"/>
  <c r="AW98" i="30" s="1"/>
  <c r="AW99" i="30" s="1"/>
  <c r="AW100" i="30" s="1"/>
  <c r="AW101" i="30" s="1"/>
  <c r="AW102" i="30" s="1"/>
  <c r="AW103" i="30" s="1"/>
  <c r="AW104" i="30" s="1"/>
  <c r="AW105" i="30" s="1"/>
  <c r="AW106" i="30" s="1"/>
  <c r="AW107" i="30" s="1"/>
  <c r="AW108" i="30" s="1"/>
  <c r="AW109" i="30" s="1"/>
  <c r="AW110" i="30" s="1"/>
  <c r="AW111" i="30" s="1"/>
  <c r="AW112" i="30" s="1"/>
  <c r="AW113" i="30" s="1"/>
  <c r="AW114" i="30" s="1"/>
  <c r="AW115" i="30" s="1"/>
  <c r="AW116" i="30" s="1"/>
  <c r="AW117" i="30" s="1"/>
  <c r="AW118" i="30" s="1"/>
  <c r="AW119" i="30" s="1"/>
  <c r="AW120" i="30" s="1"/>
  <c r="AW121" i="30" s="1"/>
  <c r="AW122" i="30" s="1"/>
  <c r="AW123" i="30" s="1"/>
  <c r="AW124" i="30" s="1"/>
  <c r="AW125" i="30" s="1"/>
  <c r="AW126" i="30" s="1"/>
  <c r="AW127" i="30" s="1"/>
  <c r="AW128" i="30" s="1"/>
  <c r="AW129" i="30" s="1"/>
  <c r="AW130" i="30" s="1"/>
  <c r="AW131" i="30" s="1"/>
  <c r="AW132" i="30" s="1"/>
  <c r="AW133" i="30" s="1"/>
  <c r="AW134" i="30" s="1"/>
  <c r="AW135" i="30" s="1"/>
  <c r="AW136" i="30" s="1"/>
  <c r="AW137" i="30" s="1"/>
  <c r="AW138" i="30" s="1"/>
  <c r="AW139" i="30" s="1"/>
  <c r="AW140" i="30" s="1"/>
  <c r="AW141" i="30" s="1"/>
  <c r="AW142" i="30" s="1"/>
  <c r="AW143" i="30" s="1"/>
  <c r="AW144" i="30" s="1"/>
  <c r="AW145" i="30" s="1"/>
  <c r="AW146" i="30" s="1"/>
  <c r="AW147" i="30" s="1"/>
  <c r="AW148" i="30" s="1"/>
  <c r="AW149" i="30" s="1"/>
  <c r="AW150" i="30" s="1"/>
  <c r="AW151" i="30" s="1"/>
  <c r="AW152" i="30" s="1"/>
  <c r="AW153" i="30" s="1"/>
  <c r="AW154" i="30" s="1"/>
  <c r="AW155" i="30" s="1"/>
  <c r="AW156" i="30" s="1"/>
  <c r="AW157" i="30" s="1"/>
  <c r="AW158" i="30" s="1"/>
  <c r="AW159" i="30" s="1"/>
  <c r="AW160" i="30" s="1"/>
  <c r="AW161" i="30" s="1"/>
  <c r="AW162" i="30" s="1"/>
  <c r="AW163" i="30" s="1"/>
  <c r="AW164" i="30" s="1"/>
  <c r="AW165" i="30" s="1"/>
  <c r="AW166" i="30" s="1"/>
  <c r="AW167" i="30" s="1"/>
  <c r="AW168" i="30" s="1"/>
  <c r="AW169" i="30" s="1"/>
  <c r="AW170" i="30" s="1"/>
  <c r="AW171" i="30" s="1"/>
  <c r="AW172" i="30" s="1"/>
  <c r="AW173" i="30" s="1"/>
  <c r="AW174" i="30" s="1"/>
  <c r="AW175" i="30" s="1"/>
  <c r="AW176" i="30" s="1"/>
  <c r="AW177" i="30" s="1"/>
  <c r="AW178" i="30" s="1"/>
  <c r="AW179" i="30" s="1"/>
  <c r="AW180" i="30" s="1"/>
  <c r="AW181" i="30" s="1"/>
  <c r="AW182" i="30" s="1"/>
  <c r="AW183" i="30" s="1"/>
  <c r="AW184" i="30" s="1"/>
  <c r="AW185" i="30" s="1"/>
  <c r="AW186" i="30" s="1"/>
  <c r="AW187" i="30" s="1"/>
  <c r="AW188" i="30" s="1"/>
  <c r="AW189" i="30" s="1"/>
  <c r="AW190" i="30" s="1"/>
  <c r="AW191" i="30" s="1"/>
  <c r="AW192" i="30" s="1"/>
  <c r="AW193" i="30" s="1"/>
  <c r="AW194" i="30" s="1"/>
  <c r="AW195" i="30" s="1"/>
  <c r="AW196" i="30" s="1"/>
  <c r="AW197" i="30" s="1"/>
  <c r="AW198" i="30" s="1"/>
  <c r="AW199" i="30" s="1"/>
  <c r="AW200" i="30" s="1"/>
  <c r="AW201" i="30" s="1"/>
  <c r="AW202" i="30" s="1"/>
  <c r="AK1" i="30"/>
  <c r="AP4" i="30"/>
  <c r="Q4" i="30"/>
  <c r="D233" i="5"/>
  <c r="B3" i="25"/>
  <c r="B4" i="25" s="1"/>
  <c r="AM6" i="5"/>
  <c r="AM7" i="5" s="1"/>
  <c r="AM8" i="5" s="1"/>
  <c r="AM9" i="5" s="1"/>
  <c r="AM10" i="5" s="1"/>
  <c r="AM11" i="5" s="1"/>
  <c r="AM12" i="5" s="1"/>
  <c r="AM13" i="5" s="1"/>
  <c r="AM14" i="5" s="1"/>
  <c r="AM15" i="5" s="1"/>
  <c r="AM16" i="5" s="1"/>
  <c r="AM17" i="5" s="1"/>
  <c r="AM18" i="5" s="1"/>
  <c r="AM19" i="5" s="1"/>
  <c r="AM20" i="5" s="1"/>
  <c r="AM21" i="5" s="1"/>
  <c r="AM22" i="5" s="1"/>
  <c r="AM23" i="5" s="1"/>
  <c r="AM24" i="5" s="1"/>
  <c r="AM25" i="5" s="1"/>
  <c r="AM26" i="5" s="1"/>
  <c r="AM27" i="5" s="1"/>
  <c r="AM28" i="5" s="1"/>
  <c r="AM29" i="5" s="1"/>
  <c r="AM30" i="5" s="1"/>
  <c r="AM31" i="5" s="1"/>
  <c r="AM32" i="5" s="1"/>
  <c r="AM33" i="5" s="1"/>
  <c r="AM34" i="5" s="1"/>
  <c r="AM35" i="5" s="1"/>
  <c r="AM36" i="5" s="1"/>
  <c r="AM37" i="5" s="1"/>
  <c r="AM38" i="5" s="1"/>
  <c r="AM39" i="5" s="1"/>
  <c r="AM40" i="5" s="1"/>
  <c r="AM41" i="5" s="1"/>
  <c r="AM42" i="5" s="1"/>
  <c r="AM43" i="5" s="1"/>
  <c r="AM44" i="5" s="1"/>
  <c r="AL6" i="5"/>
  <c r="AL7" i="5" s="1"/>
  <c r="AL8" i="5" s="1"/>
  <c r="AL9" i="5" s="1"/>
  <c r="AL10" i="5"/>
  <c r="AL11" i="5" s="1"/>
  <c r="AL12" i="5" s="1"/>
  <c r="AL13" i="5" s="1"/>
  <c r="AL14" i="5" s="1"/>
  <c r="AL15" i="5" s="1"/>
  <c r="AL16" i="5" s="1"/>
  <c r="AL17" i="5" s="1"/>
  <c r="AL18" i="5" s="1"/>
  <c r="AL19" i="5" s="1"/>
  <c r="AL20" i="5" s="1"/>
  <c r="AL21" i="5" s="1"/>
  <c r="AL22" i="5" s="1"/>
  <c r="AL23" i="5" s="1"/>
  <c r="AL24" i="5" s="1"/>
  <c r="AL25" i="5" s="1"/>
  <c r="AL26" i="5" s="1"/>
  <c r="AL27" i="5" s="1"/>
  <c r="AL28" i="5" s="1"/>
  <c r="AL29" i="5" s="1"/>
  <c r="AL30" i="5" s="1"/>
  <c r="AL31" i="5" s="1"/>
  <c r="AL32" i="5" s="1"/>
  <c r="AL33" i="5" s="1"/>
  <c r="AL34" i="5" s="1"/>
  <c r="AL35" i="5" s="1"/>
  <c r="AL36" i="5" s="1"/>
  <c r="AL37" i="5" s="1"/>
  <c r="AL38" i="5" s="1"/>
  <c r="AL39" i="5" s="1"/>
  <c r="AL40" i="5" s="1"/>
  <c r="AL41" i="5" s="1"/>
  <c r="AL42" i="5" s="1"/>
  <c r="AL43" i="5" s="1"/>
  <c r="AL44" i="5" s="1"/>
  <c r="B4" i="5"/>
  <c r="C4" i="5" s="1"/>
  <c r="D4" i="5" s="1"/>
  <c r="E4" i="5" s="1"/>
  <c r="F4" i="5" s="1"/>
  <c r="G4" i="5" s="1"/>
  <c r="H4" i="5" s="1"/>
  <c r="I4" i="5" s="1"/>
  <c r="J4" i="5" s="1"/>
  <c r="K4" i="5" s="1"/>
  <c r="L4" i="5" s="1"/>
  <c r="M4" i="5" s="1"/>
  <c r="N4" i="5" s="1"/>
  <c r="O4" i="5" s="1"/>
  <c r="P4" i="5" s="1"/>
  <c r="Q4" i="5" s="1"/>
  <c r="R4" i="5" s="1"/>
  <c r="S4" i="5" s="1"/>
  <c r="T4" i="5" s="1"/>
  <c r="U4" i="5" s="1"/>
  <c r="V4" i="5" s="1"/>
  <c r="W4" i="5" s="1"/>
  <c r="X4" i="5" s="1"/>
  <c r="Y4" i="5" s="1"/>
  <c r="Z4" i="5" s="1"/>
  <c r="AA4" i="5" s="1"/>
  <c r="AB4" i="5" s="1"/>
  <c r="AC4" i="5" s="1"/>
  <c r="AD4" i="5" s="1"/>
  <c r="AE4" i="5" s="1"/>
  <c r="AF4" i="5" s="1"/>
  <c r="AG4" i="5" s="1"/>
  <c r="AH4" i="5" s="1"/>
  <c r="AI4" i="5" s="1"/>
  <c r="AJ4" i="5" s="1"/>
  <c r="AK4" i="5" s="1"/>
  <c r="AL4" i="5" s="1"/>
  <c r="AM4" i="5" s="1"/>
  <c r="AN4" i="5" s="1"/>
  <c r="AO4" i="5" s="1"/>
  <c r="AP4" i="5" s="1"/>
  <c r="AQ4" i="5" s="1"/>
  <c r="AR4" i="5" s="1"/>
  <c r="AS4" i="5" s="1"/>
  <c r="AT4" i="5" s="1"/>
  <c r="AU4" i="5" s="1"/>
  <c r="AV4" i="5" s="1"/>
  <c r="AW4" i="5" s="1"/>
  <c r="AX4" i="5" s="1"/>
  <c r="AY4" i="5" s="1"/>
  <c r="AZ4" i="5" s="1"/>
  <c r="BA4" i="5" s="1"/>
  <c r="BB4" i="5" s="1"/>
  <c r="BC4" i="5" s="1"/>
  <c r="BD4" i="5" s="1"/>
  <c r="O4" i="21"/>
  <c r="O7" i="21"/>
  <c r="O8" i="21"/>
  <c r="O9" i="21"/>
  <c r="O10" i="21"/>
  <c r="O13" i="21"/>
  <c r="O15" i="21"/>
  <c r="O18" i="21"/>
  <c r="O20" i="21"/>
  <c r="O3" i="21"/>
  <c r="D30" i="2"/>
  <c r="Z24" i="2"/>
  <c r="B10" i="1"/>
  <c r="B11" i="1" s="1"/>
  <c r="B12" i="1" s="1"/>
  <c r="B13" i="1" s="1"/>
  <c r="B8" i="1"/>
  <c r="B7" i="1" s="1"/>
  <c r="B6" i="1" s="1"/>
  <c r="B5" i="1" s="1"/>
  <c r="B4" i="1" s="1"/>
  <c r="C2" i="2"/>
  <c r="C3" i="2" s="1"/>
  <c r="C4" i="2" s="1"/>
  <c r="A30" i="2"/>
  <c r="A24" i="2"/>
  <c r="A26" i="2"/>
  <c r="A29" i="2"/>
  <c r="A25" i="2"/>
  <c r="D25" i="2"/>
  <c r="D24" i="2"/>
  <c r="A28" i="2"/>
  <c r="D26" i="2"/>
  <c r="A27" i="2"/>
  <c r="K48" i="24"/>
  <c r="H48" i="24"/>
  <c r="J48" i="24" s="1"/>
  <c r="K46" i="24"/>
  <c r="J46" i="24"/>
  <c r="K49" i="24"/>
  <c r="J49" i="24"/>
  <c r="A29" i="24"/>
  <c r="A28" i="24"/>
  <c r="A27" i="24"/>
  <c r="A26" i="24"/>
  <c r="A25" i="24"/>
  <c r="A24" i="24"/>
  <c r="A23" i="24"/>
  <c r="A22" i="24"/>
  <c r="A21" i="24"/>
  <c r="A20" i="24"/>
  <c r="H4" i="21"/>
  <c r="H5" i="21" s="1"/>
  <c r="H6" i="21" s="1"/>
  <c r="H7" i="21" s="1"/>
  <c r="H8" i="21" s="1"/>
  <c r="H9" i="21" s="1"/>
  <c r="H10" i="21" s="1"/>
  <c r="H11" i="21" s="1"/>
  <c r="H12" i="21" s="1"/>
  <c r="H13" i="21" s="1"/>
  <c r="H14" i="21" s="1"/>
  <c r="H15" i="21" s="1"/>
  <c r="H16" i="21" s="1"/>
  <c r="H17" i="21" s="1"/>
  <c r="H18" i="21" s="1"/>
  <c r="H19" i="21" s="1"/>
  <c r="H20" i="21" s="1"/>
  <c r="H21" i="21" s="1"/>
  <c r="H41" i="2"/>
  <c r="H42" i="2"/>
  <c r="H43" i="2"/>
  <c r="H44" i="2"/>
  <c r="H45" i="2"/>
  <c r="H46" i="2"/>
  <c r="Z26" i="2"/>
  <c r="A11" i="1"/>
  <c r="A8" i="1"/>
  <c r="A10" i="1"/>
  <c r="A12" i="1"/>
  <c r="B14" i="1"/>
  <c r="A13" i="1"/>
  <c r="BE245" i="30"/>
  <c r="M18" i="1"/>
  <c r="M42" i="1"/>
  <c r="M23" i="1"/>
  <c r="C9" i="1"/>
  <c r="M15" i="1"/>
  <c r="M29" i="1"/>
  <c r="M39" i="1"/>
  <c r="V9" i="1"/>
  <c r="M40" i="1"/>
  <c r="S11" i="1"/>
  <c r="M28" i="1"/>
  <c r="M41" i="1"/>
  <c r="J8" i="1"/>
  <c r="M22" i="1"/>
  <c r="M32" i="1"/>
  <c r="M13" i="1"/>
  <c r="H9" i="1"/>
  <c r="M9" i="1"/>
  <c r="M25" i="1"/>
  <c r="W9" i="1"/>
  <c r="K9" i="1"/>
  <c r="M35" i="1"/>
  <c r="M36" i="1"/>
  <c r="E9" i="1"/>
  <c r="M33" i="1"/>
  <c r="E10" i="1"/>
  <c r="V10" i="1"/>
  <c r="M30" i="1"/>
  <c r="M31" i="1"/>
  <c r="M14" i="1"/>
  <c r="U13" i="1"/>
  <c r="M12" i="1"/>
  <c r="V8" i="1"/>
  <c r="U9" i="1"/>
  <c r="N9" i="1"/>
  <c r="M10" i="1"/>
  <c r="S9" i="1"/>
  <c r="M16" i="1"/>
  <c r="M43" i="1"/>
  <c r="M21" i="1"/>
  <c r="D9" i="1"/>
  <c r="V46" i="1"/>
  <c r="D8" i="1"/>
  <c r="M26" i="1"/>
  <c r="M38" i="1"/>
  <c r="M27" i="1"/>
  <c r="J9" i="1"/>
  <c r="M20" i="1"/>
  <c r="J12" i="1"/>
  <c r="M11" i="1"/>
  <c r="M37" i="1"/>
  <c r="M34" i="1"/>
  <c r="V13" i="1"/>
  <c r="P9" i="1"/>
  <c r="M19" i="1"/>
  <c r="M24" i="1"/>
  <c r="M17" i="1"/>
  <c r="G9" i="1"/>
  <c r="G8" i="1"/>
  <c r="L14" i="34" l="1"/>
  <c r="Q14" i="34"/>
  <c r="V211" i="31"/>
  <c r="V203" i="31"/>
  <c r="V195" i="31"/>
  <c r="V187" i="31"/>
  <c r="V179" i="31"/>
  <c r="V171" i="31"/>
  <c r="V163" i="31"/>
  <c r="V155" i="31"/>
  <c r="V147" i="31"/>
  <c r="V139" i="31"/>
  <c r="V131" i="31"/>
  <c r="V123" i="31"/>
  <c r="V115" i="31"/>
  <c r="V107" i="31"/>
  <c r="V99" i="31"/>
  <c r="V91" i="31"/>
  <c r="V83" i="31"/>
  <c r="V75" i="31"/>
  <c r="V67" i="31"/>
  <c r="V59" i="31"/>
  <c r="V51" i="31"/>
  <c r="V43" i="31"/>
  <c r="V35" i="31"/>
  <c r="V27" i="31"/>
  <c r="V19" i="31"/>
  <c r="Q15" i="32"/>
  <c r="K4" i="39"/>
  <c r="M3" i="39"/>
  <c r="L14" i="32"/>
  <c r="V56" i="31"/>
  <c r="V48" i="31"/>
  <c r="V40" i="31"/>
  <c r="V32" i="31"/>
  <c r="V24" i="31"/>
  <c r="V16" i="31"/>
  <c r="V8" i="31"/>
  <c r="Q17" i="34"/>
  <c r="V210" i="31"/>
  <c r="V202" i="31"/>
  <c r="V194" i="31"/>
  <c r="V186" i="31"/>
  <c r="V178" i="31"/>
  <c r="V170" i="31"/>
  <c r="V162" i="31"/>
  <c r="V154" i="31"/>
  <c r="V146" i="31"/>
  <c r="V138" i="31"/>
  <c r="V130" i="31"/>
  <c r="V122" i="31"/>
  <c r="V114" i="31"/>
  <c r="V106" i="31"/>
  <c r="V98" i="31"/>
  <c r="V90" i="31"/>
  <c r="V82" i="31"/>
  <c r="V74" i="31"/>
  <c r="V66" i="31"/>
  <c r="V58" i="31"/>
  <c r="V50" i="31"/>
  <c r="V42" i="31"/>
  <c r="V34" i="31"/>
  <c r="V26" i="31"/>
  <c r="V18" i="31"/>
  <c r="Q14" i="32"/>
  <c r="Q13" i="34"/>
  <c r="L8" i="34"/>
  <c r="Q10" i="34"/>
  <c r="V207" i="31"/>
  <c r="V199" i="31"/>
  <c r="V191" i="31"/>
  <c r="V183" i="31"/>
  <c r="V175" i="31"/>
  <c r="V167" i="31"/>
  <c r="V159" i="31"/>
  <c r="V151" i="31"/>
  <c r="V143" i="31"/>
  <c r="V135" i="31"/>
  <c r="V127" i="31"/>
  <c r="V119" i="31"/>
  <c r="V111" i="31"/>
  <c r="V103" i="31"/>
  <c r="V95" i="31"/>
  <c r="V87" i="31"/>
  <c r="V79" i="31"/>
  <c r="V71" i="31"/>
  <c r="V63" i="31"/>
  <c r="V55" i="31"/>
  <c r="V47" i="31"/>
  <c r="V39" i="31"/>
  <c r="V31" i="31"/>
  <c r="V23" i="31"/>
  <c r="V15" i="31"/>
  <c r="Q19" i="32"/>
  <c r="Q11" i="32"/>
  <c r="V44" i="31"/>
  <c r="V36" i="31"/>
  <c r="V28" i="31"/>
  <c r="V20" i="31"/>
  <c r="V12" i="31"/>
  <c r="L9" i="32"/>
  <c r="A43" i="5"/>
  <c r="AI44" i="5"/>
  <c r="X38" i="5"/>
  <c r="X6" i="5"/>
  <c r="AK6" i="5" s="1"/>
  <c r="X14" i="5"/>
  <c r="X22" i="5"/>
  <c r="X7" i="5"/>
  <c r="X15" i="5"/>
  <c r="X23" i="5"/>
  <c r="X21" i="5"/>
  <c r="X8" i="5"/>
  <c r="X16" i="5"/>
  <c r="X24" i="5"/>
  <c r="X13" i="5"/>
  <c r="X9" i="5"/>
  <c r="X17" i="5"/>
  <c r="X25" i="5"/>
  <c r="X10" i="5"/>
  <c r="X18" i="5"/>
  <c r="X26" i="5"/>
  <c r="X11" i="5"/>
  <c r="X19" i="5"/>
  <c r="X27" i="5"/>
  <c r="X12" i="5"/>
  <c r="X20" i="5"/>
  <c r="X28" i="5"/>
  <c r="X29" i="5"/>
  <c r="V11" i="31"/>
  <c r="L15" i="32"/>
  <c r="V214" i="31"/>
  <c r="V206" i="31"/>
  <c r="V198" i="31"/>
  <c r="V190" i="31"/>
  <c r="V182" i="31"/>
  <c r="V174" i="31"/>
  <c r="V166" i="31"/>
  <c r="V158" i="31"/>
  <c r="V150" i="31"/>
  <c r="V142" i="31"/>
  <c r="V134" i="31"/>
  <c r="V126" i="31"/>
  <c r="V118" i="31"/>
  <c r="V110" i="31"/>
  <c r="V102" i="31"/>
  <c r="V94" i="31"/>
  <c r="V86" i="31"/>
  <c r="V78" i="31"/>
  <c r="V70" i="31"/>
  <c r="V62" i="31"/>
  <c r="V54" i="31"/>
  <c r="V46" i="31"/>
  <c r="V38" i="31"/>
  <c r="V30" i="31"/>
  <c r="V22" i="31"/>
  <c r="V14" i="31"/>
  <c r="Q18" i="32"/>
  <c r="Q10" i="32"/>
  <c r="Z45" i="5"/>
  <c r="AA45" i="5" s="1"/>
  <c r="AI45" i="5"/>
  <c r="F16" i="30"/>
  <c r="AP45" i="5"/>
  <c r="AQ45" i="5" s="1"/>
  <c r="X30" i="5"/>
  <c r="X44" i="5"/>
  <c r="X32" i="5"/>
  <c r="U44" i="5"/>
  <c r="X40" i="5"/>
  <c r="X34" i="5"/>
  <c r="X42" i="5"/>
  <c r="Z44" i="5"/>
  <c r="AA44" i="5" s="1"/>
  <c r="X36" i="5"/>
  <c r="B4" i="21"/>
  <c r="X43" i="5"/>
  <c r="X41" i="5"/>
  <c r="X39" i="5"/>
  <c r="X37" i="5"/>
  <c r="X35" i="5"/>
  <c r="X33" i="5"/>
  <c r="X31" i="5"/>
  <c r="M31" i="2"/>
  <c r="K31" i="2"/>
  <c r="I31" i="2" s="1"/>
  <c r="AF6" i="5"/>
  <c r="D8" i="16"/>
  <c r="H8" i="16" s="1"/>
  <c r="L31" i="2"/>
  <c r="G17" i="35"/>
  <c r="L3" i="39"/>
  <c r="L4" i="39"/>
  <c r="L2" i="39"/>
  <c r="I45" i="5"/>
  <c r="Q11" i="34"/>
  <c r="Q15" i="34"/>
  <c r="S14" i="34" s="1"/>
  <c r="H45" i="5"/>
  <c r="I17" i="35"/>
  <c r="D45" i="5" s="1"/>
  <c r="V9" i="31"/>
  <c r="Q9" i="34"/>
  <c r="E17" i="35"/>
  <c r="L17" i="35"/>
  <c r="M17" i="35" s="1"/>
  <c r="G15" i="30"/>
  <c r="G45" i="5"/>
  <c r="AN45" i="5"/>
  <c r="AO45" i="5" s="1"/>
  <c r="C45" i="5"/>
  <c r="P15" i="30"/>
  <c r="Y15" i="30" s="1"/>
  <c r="F15" i="30"/>
  <c r="A46" i="5"/>
  <c r="N46" i="5" s="1"/>
  <c r="R46" i="5" s="1"/>
  <c r="E15" i="30"/>
  <c r="J21" i="21"/>
  <c r="R11" i="1"/>
  <c r="R9" i="1"/>
  <c r="H46" i="1"/>
  <c r="T13" i="1"/>
  <c r="O9" i="1"/>
  <c r="T9" i="1"/>
  <c r="Q9" i="1"/>
  <c r="B2" i="34"/>
  <c r="B2" i="32"/>
  <c r="B2" i="5"/>
  <c r="B2" i="31"/>
  <c r="A14" i="1"/>
  <c r="B15" i="1"/>
  <c r="A7" i="1"/>
  <c r="L13" i="34"/>
  <c r="L12" i="34"/>
  <c r="Q8" i="34"/>
  <c r="L9" i="34"/>
  <c r="Q12" i="34"/>
  <c r="S13" i="34"/>
  <c r="Q16" i="34"/>
  <c r="A42" i="5"/>
  <c r="AI42" i="5" s="1"/>
  <c r="Z43" i="5"/>
  <c r="AA43" i="5" s="1"/>
  <c r="V10" i="31"/>
  <c r="S18" i="32"/>
  <c r="D8" i="31"/>
  <c r="C9" i="31"/>
  <c r="U8" i="32"/>
  <c r="W8" i="32" s="1"/>
  <c r="P16" i="30"/>
  <c r="E16" i="30"/>
  <c r="C17" i="30"/>
  <c r="G16" i="30"/>
  <c r="S10" i="32"/>
  <c r="Q20" i="32"/>
  <c r="S20" i="32" s="1"/>
  <c r="Q16" i="32"/>
  <c r="S15" i="32" s="1"/>
  <c r="Q12" i="32"/>
  <c r="S11" i="32" s="1"/>
  <c r="Q17" i="32"/>
  <c r="S16" i="32" s="1"/>
  <c r="Q13" i="32"/>
  <c r="Q9" i="32"/>
  <c r="S9" i="32" s="1"/>
  <c r="B18" i="35"/>
  <c r="U11" i="1"/>
  <c r="D13" i="1"/>
  <c r="V11" i="1"/>
  <c r="C8" i="1"/>
  <c r="W12" i="1"/>
  <c r="K11" i="1"/>
  <c r="J13" i="1"/>
  <c r="U10" i="1"/>
  <c r="P13" i="1"/>
  <c r="K10" i="1"/>
  <c r="D12" i="1"/>
  <c r="J11" i="1"/>
  <c r="V12" i="1"/>
  <c r="C13" i="1"/>
  <c r="K13" i="1"/>
  <c r="W13" i="1"/>
  <c r="N11" i="1"/>
  <c r="W10" i="1"/>
  <c r="E8" i="1"/>
  <c r="D10" i="1"/>
  <c r="E11" i="1"/>
  <c r="H8" i="1"/>
  <c r="U12" i="1"/>
  <c r="P11" i="1"/>
  <c r="E13" i="1"/>
  <c r="J10" i="1"/>
  <c r="C10" i="1"/>
  <c r="S8" i="1"/>
  <c r="N12" i="1"/>
  <c r="J7" i="1"/>
  <c r="S10" i="1"/>
  <c r="D11" i="1"/>
  <c r="E12" i="1"/>
  <c r="C12" i="1"/>
  <c r="N10" i="1"/>
  <c r="P10" i="1"/>
  <c r="S12" i="1"/>
  <c r="K12" i="1"/>
  <c r="N13" i="1"/>
  <c r="W8" i="1"/>
  <c r="W11" i="1"/>
  <c r="P12" i="1"/>
  <c r="C11" i="1"/>
  <c r="S13" i="1"/>
  <c r="G10" i="1"/>
  <c r="G11" i="1"/>
  <c r="G13" i="1"/>
  <c r="G12" i="1"/>
  <c r="B16" i="30" l="1"/>
  <c r="S9" i="34"/>
  <c r="S10" i="34"/>
  <c r="AK7" i="5"/>
  <c r="AK8" i="5" s="1"/>
  <c r="AK9" i="5" s="1"/>
  <c r="AK10" i="5" s="1"/>
  <c r="AK11" i="5" s="1"/>
  <c r="AK12" i="5" s="1"/>
  <c r="AK13" i="5" s="1"/>
  <c r="AK14" i="5" s="1"/>
  <c r="AK15" i="5" s="1"/>
  <c r="AK16" i="5" s="1"/>
  <c r="AK17" i="5" s="1"/>
  <c r="AK18" i="5" s="1"/>
  <c r="AK19" i="5" s="1"/>
  <c r="AK20" i="5" s="1"/>
  <c r="AK21" i="5" s="1"/>
  <c r="AK22" i="5" s="1"/>
  <c r="AK23" i="5" s="1"/>
  <c r="AK24" i="5" s="1"/>
  <c r="AK25" i="5" s="1"/>
  <c r="AK26" i="5" s="1"/>
  <c r="AK27" i="5" s="1"/>
  <c r="AK28" i="5" s="1"/>
  <c r="AK29" i="5" s="1"/>
  <c r="AK30" i="5" s="1"/>
  <c r="AK31" i="5" s="1"/>
  <c r="AK32" i="5" s="1"/>
  <c r="AK33" i="5" s="1"/>
  <c r="AK34" i="5" s="1"/>
  <c r="AK35" i="5" s="1"/>
  <c r="AK36" i="5" s="1"/>
  <c r="AK37" i="5" s="1"/>
  <c r="AK38" i="5" s="1"/>
  <c r="AK39" i="5" s="1"/>
  <c r="AK40" i="5" s="1"/>
  <c r="AK41" i="5" s="1"/>
  <c r="AK42" i="5" s="1"/>
  <c r="AK43" i="5" s="1"/>
  <c r="AK44" i="5" s="1"/>
  <c r="B15" i="30"/>
  <c r="O10" i="1"/>
  <c r="R13" i="1"/>
  <c r="T12" i="1"/>
  <c r="Q13" i="1"/>
  <c r="A47" i="5"/>
  <c r="AI47" i="5" s="1"/>
  <c r="AI46" i="5"/>
  <c r="R15" i="30"/>
  <c r="R16" i="30" s="1"/>
  <c r="R17" i="30" s="1"/>
  <c r="S12" i="32"/>
  <c r="K5" i="39"/>
  <c r="M4" i="39"/>
  <c r="U43" i="5"/>
  <c r="AI43" i="5"/>
  <c r="S14" i="32"/>
  <c r="S15" i="34"/>
  <c r="S11" i="34"/>
  <c r="Q10" i="1"/>
  <c r="AE15" i="30"/>
  <c r="H15" i="30"/>
  <c r="S12" i="34"/>
  <c r="AA15" i="30"/>
  <c r="J45" i="5"/>
  <c r="P45" i="5" s="1"/>
  <c r="AV15" i="30"/>
  <c r="AV16" i="30" s="1"/>
  <c r="Z46" i="5"/>
  <c r="AR46" i="5"/>
  <c r="AS46" i="5" s="1"/>
  <c r="BD46" i="5"/>
  <c r="S46" i="5"/>
  <c r="W46" i="5" s="1"/>
  <c r="AN46" i="5"/>
  <c r="AO46" i="5" s="1"/>
  <c r="U46" i="5"/>
  <c r="Q12" i="1"/>
  <c r="O12" i="1"/>
  <c r="R12" i="1"/>
  <c r="Q11" i="1"/>
  <c r="T11" i="1"/>
  <c r="T10" i="1"/>
  <c r="O11" i="1"/>
  <c r="R10" i="1"/>
  <c r="O13" i="1"/>
  <c r="L11" i="1"/>
  <c r="L12" i="1" s="1"/>
  <c r="L13" i="1" s="1"/>
  <c r="AT46" i="5"/>
  <c r="T8" i="34"/>
  <c r="AT45" i="5"/>
  <c r="AT234" i="5"/>
  <c r="AT239" i="5"/>
  <c r="AT243" i="5"/>
  <c r="AT245" i="5"/>
  <c r="AT242" i="5"/>
  <c r="AT235" i="5"/>
  <c r="AT236" i="5"/>
  <c r="AT240" i="5"/>
  <c r="AT244" i="5"/>
  <c r="AT233" i="5"/>
  <c r="AT237" i="5"/>
  <c r="AT238" i="5"/>
  <c r="AT241" i="5"/>
  <c r="S8" i="34"/>
  <c r="AU45" i="5" s="1"/>
  <c r="AU46" i="5" s="1"/>
  <c r="AU47" i="5" s="1"/>
  <c r="B16" i="1"/>
  <c r="A15" i="1"/>
  <c r="F17" i="30"/>
  <c r="P17" i="30"/>
  <c r="J47" i="5" s="1"/>
  <c r="E17" i="30"/>
  <c r="C18" i="30"/>
  <c r="G17" i="30"/>
  <c r="S13" i="32"/>
  <c r="S19" i="32"/>
  <c r="H16" i="30"/>
  <c r="S17" i="32"/>
  <c r="AZ45" i="5"/>
  <c r="AZ46" i="5"/>
  <c r="BB46" i="5" s="1"/>
  <c r="T9" i="32"/>
  <c r="A48" i="5"/>
  <c r="AI48" i="5" s="1"/>
  <c r="AZ47" i="5"/>
  <c r="N47" i="5"/>
  <c r="R47" i="5" s="1"/>
  <c r="S47" i="5" s="1"/>
  <c r="W47" i="5" s="1"/>
  <c r="BD47" i="5"/>
  <c r="AT47" i="5"/>
  <c r="U47" i="5"/>
  <c r="AV47" i="5"/>
  <c r="AN47" i="5"/>
  <c r="B19" i="35"/>
  <c r="C47" i="5" s="1"/>
  <c r="I18" i="35"/>
  <c r="D46" i="5" s="1"/>
  <c r="E18" i="35"/>
  <c r="H46" i="5"/>
  <c r="L18" i="35"/>
  <c r="M18" i="35" s="1"/>
  <c r="I46" i="5"/>
  <c r="G18" i="35"/>
  <c r="F18" i="35"/>
  <c r="G46" i="5"/>
  <c r="C46" i="5"/>
  <c r="S8" i="32"/>
  <c r="AV45" i="5"/>
  <c r="AV46" i="5"/>
  <c r="J46" i="5"/>
  <c r="D9" i="31"/>
  <c r="C10" i="31"/>
  <c r="S16" i="34"/>
  <c r="A6" i="1"/>
  <c r="Z42" i="5"/>
  <c r="AA42" i="5" s="1"/>
  <c r="A41" i="5"/>
  <c r="AI41" i="5" s="1"/>
  <c r="U42" i="5"/>
  <c r="S7" i="1"/>
  <c r="C14" i="1"/>
  <c r="U14" i="1"/>
  <c r="D14" i="1"/>
  <c r="V7" i="1"/>
  <c r="P14" i="1"/>
  <c r="S14" i="1"/>
  <c r="C7" i="1"/>
  <c r="N14" i="1"/>
  <c r="W14" i="1"/>
  <c r="J6" i="1"/>
  <c r="D7" i="1"/>
  <c r="W7" i="1"/>
  <c r="E14" i="1"/>
  <c r="K14" i="1"/>
  <c r="E7" i="1"/>
  <c r="V14" i="1"/>
  <c r="H7" i="1"/>
  <c r="J14" i="1"/>
  <c r="G7" i="1"/>
  <c r="G14" i="1"/>
  <c r="AR47" i="5" l="1"/>
  <c r="AS47" i="5" s="1"/>
  <c r="K6" i="39"/>
  <c r="M5" i="39"/>
  <c r="L5" i="39"/>
  <c r="D17" i="35"/>
  <c r="B17" i="30"/>
  <c r="R18" i="30"/>
  <c r="V47" i="5"/>
  <c r="H17" i="30"/>
  <c r="D19" i="35" s="1"/>
  <c r="AO47" i="5"/>
  <c r="AA46" i="5"/>
  <c r="I47" i="5"/>
  <c r="G47" i="5"/>
  <c r="Q14" i="1"/>
  <c r="R14" i="1"/>
  <c r="O14" i="1"/>
  <c r="T14" i="1"/>
  <c r="L14" i="1"/>
  <c r="A5" i="1"/>
  <c r="D10" i="31"/>
  <c r="C11" i="31"/>
  <c r="G18" i="30"/>
  <c r="F18" i="30"/>
  <c r="E18" i="30"/>
  <c r="P18" i="30"/>
  <c r="J48" i="5" s="1"/>
  <c r="C19" i="30"/>
  <c r="U8" i="34"/>
  <c r="W8" i="34" s="1"/>
  <c r="T9" i="34"/>
  <c r="V8" i="34"/>
  <c r="BB47" i="5"/>
  <c r="Z41" i="5"/>
  <c r="AA41" i="5" s="1"/>
  <c r="A40" i="5"/>
  <c r="AI40" i="5" s="1"/>
  <c r="U41" i="5"/>
  <c r="D18" i="35"/>
  <c r="B20" i="35"/>
  <c r="H48" i="5" s="1"/>
  <c r="G19" i="35"/>
  <c r="F19" i="35"/>
  <c r="I19" i="35"/>
  <c r="D47" i="5" s="1"/>
  <c r="E19" i="35"/>
  <c r="L19" i="35"/>
  <c r="M19" i="35" s="1"/>
  <c r="H47" i="5"/>
  <c r="A49" i="5"/>
  <c r="AI49" i="5" s="1"/>
  <c r="AZ48" i="5"/>
  <c r="AR48" i="5"/>
  <c r="AS48" i="5" s="1"/>
  <c r="AT48" i="5"/>
  <c r="N48" i="5"/>
  <c r="R48" i="5" s="1"/>
  <c r="S48" i="5" s="1"/>
  <c r="W48" i="5" s="1"/>
  <c r="BD48" i="5"/>
  <c r="U48" i="5"/>
  <c r="AU48" i="5"/>
  <c r="AN48" i="5"/>
  <c r="AV48" i="5"/>
  <c r="AV17" i="30"/>
  <c r="B17" i="1"/>
  <c r="A16" i="1"/>
  <c r="P46" i="5"/>
  <c r="BA45" i="5"/>
  <c r="BA46" i="5" s="1"/>
  <c r="BA47" i="5" s="1"/>
  <c r="BB45" i="5"/>
  <c r="BC45" i="5" s="1"/>
  <c r="T10" i="32"/>
  <c r="U9" i="32"/>
  <c r="W9" i="32" s="1"/>
  <c r="V9" i="32"/>
  <c r="K15" i="1"/>
  <c r="S6" i="1"/>
  <c r="V6" i="1"/>
  <c r="E6" i="1"/>
  <c r="V15" i="1"/>
  <c r="W15" i="1"/>
  <c r="J5" i="1"/>
  <c r="U15" i="1"/>
  <c r="C15" i="1"/>
  <c r="P15" i="1"/>
  <c r="J15" i="1"/>
  <c r="S15" i="1"/>
  <c r="N15" i="1"/>
  <c r="C6" i="1"/>
  <c r="D15" i="1"/>
  <c r="E15" i="1"/>
  <c r="H6" i="1"/>
  <c r="D6" i="1"/>
  <c r="W6" i="1"/>
  <c r="G15" i="1"/>
  <c r="G6" i="1"/>
  <c r="B18" i="30" l="1"/>
  <c r="M6" i="39"/>
  <c r="L6" i="39"/>
  <c r="K7" i="39"/>
  <c r="R19" i="30"/>
  <c r="V46" i="5"/>
  <c r="V48" i="5"/>
  <c r="C48" i="5"/>
  <c r="I48" i="5"/>
  <c r="G48" i="5"/>
  <c r="AO48" i="5"/>
  <c r="H18" i="30"/>
  <c r="D20" i="35" s="1"/>
  <c r="T15" i="1"/>
  <c r="R15" i="1"/>
  <c r="O15" i="1"/>
  <c r="Q15" i="1"/>
  <c r="L15" i="1"/>
  <c r="C20" i="30"/>
  <c r="P19" i="30"/>
  <c r="J49" i="5" s="1"/>
  <c r="F19" i="30"/>
  <c r="G19" i="30"/>
  <c r="E19" i="30"/>
  <c r="A4" i="1"/>
  <c r="U10" i="32"/>
  <c r="W10" i="32" s="1"/>
  <c r="T11" i="32"/>
  <c r="V10" i="32"/>
  <c r="BB48" i="5"/>
  <c r="BA48" i="5"/>
  <c r="A50" i="5"/>
  <c r="AI50" i="5" s="1"/>
  <c r="AZ49" i="5"/>
  <c r="N49" i="5"/>
  <c r="R49" i="5" s="1"/>
  <c r="S49" i="5" s="1"/>
  <c r="W49" i="5" s="1"/>
  <c r="BD49" i="5"/>
  <c r="AR49" i="5"/>
  <c r="AS49" i="5" s="1"/>
  <c r="AT49" i="5"/>
  <c r="AV49" i="5"/>
  <c r="AU49" i="5"/>
  <c r="AN49" i="5"/>
  <c r="U49" i="5"/>
  <c r="Z40" i="5"/>
  <c r="AA40" i="5" s="1"/>
  <c r="A39" i="5"/>
  <c r="AI39" i="5" s="1"/>
  <c r="U40" i="5"/>
  <c r="U9" i="34"/>
  <c r="W9" i="34" s="1"/>
  <c r="T10" i="34"/>
  <c r="V9" i="34"/>
  <c r="AV18" i="30"/>
  <c r="A17" i="1"/>
  <c r="B18" i="1"/>
  <c r="D11" i="31"/>
  <c r="C12" i="31"/>
  <c r="BC46" i="5"/>
  <c r="BC47" i="5" s="1"/>
  <c r="B21" i="35"/>
  <c r="G49" i="5" s="1"/>
  <c r="G20" i="35"/>
  <c r="L20" i="35"/>
  <c r="M20" i="35" s="1"/>
  <c r="E20" i="35"/>
  <c r="I20" i="35"/>
  <c r="D48" i="5" s="1"/>
  <c r="F20" i="35"/>
  <c r="H5" i="1"/>
  <c r="S16" i="1"/>
  <c r="J16" i="1"/>
  <c r="E5" i="1"/>
  <c r="D5" i="1"/>
  <c r="S5" i="1"/>
  <c r="W5" i="1"/>
  <c r="P16" i="1"/>
  <c r="V16" i="1"/>
  <c r="K16" i="1"/>
  <c r="V5" i="1"/>
  <c r="C5" i="1"/>
  <c r="U16" i="1"/>
  <c r="W16" i="1"/>
  <c r="N16" i="1"/>
  <c r="C16" i="1"/>
  <c r="D16" i="1"/>
  <c r="E16" i="1"/>
  <c r="J4" i="1"/>
  <c r="G5" i="1"/>
  <c r="G16" i="1"/>
  <c r="R20" i="30" l="1"/>
  <c r="M7" i="39"/>
  <c r="L7" i="39"/>
  <c r="K8" i="39"/>
  <c r="B19" i="30"/>
  <c r="V49" i="5"/>
  <c r="AO49" i="5"/>
  <c r="BC48" i="5"/>
  <c r="O16" i="1"/>
  <c r="R16" i="1"/>
  <c r="T16" i="1"/>
  <c r="Q16" i="1"/>
  <c r="L16" i="1"/>
  <c r="A18" i="1"/>
  <c r="B19" i="1"/>
  <c r="F20" i="30"/>
  <c r="G20" i="30"/>
  <c r="E20" i="30"/>
  <c r="C21" i="30"/>
  <c r="P20" i="30"/>
  <c r="J50" i="5" s="1"/>
  <c r="A38" i="5"/>
  <c r="AI38" i="5" s="1"/>
  <c r="Z39" i="5"/>
  <c r="AA39" i="5" s="1"/>
  <c r="U39" i="5"/>
  <c r="A51" i="5"/>
  <c r="AI51" i="5" s="1"/>
  <c r="AZ50" i="5"/>
  <c r="N50" i="5"/>
  <c r="R50" i="5" s="1"/>
  <c r="S50" i="5" s="1"/>
  <c r="W50" i="5" s="1"/>
  <c r="BD50" i="5"/>
  <c r="AT50" i="5"/>
  <c r="U50" i="5"/>
  <c r="AR50" i="5"/>
  <c r="AS50" i="5" s="1"/>
  <c r="AU50" i="5"/>
  <c r="AV50" i="5"/>
  <c r="AN50" i="5"/>
  <c r="AV19" i="30"/>
  <c r="B22" i="35"/>
  <c r="I50" i="5" s="1"/>
  <c r="L21" i="35"/>
  <c r="M21" i="35" s="1"/>
  <c r="E21" i="35"/>
  <c r="I21" i="35"/>
  <c r="D49" i="5" s="1"/>
  <c r="G21" i="35"/>
  <c r="F21" i="35"/>
  <c r="D12" i="31"/>
  <c r="C13" i="31"/>
  <c r="I49" i="5"/>
  <c r="BB49" i="5"/>
  <c r="BA49" i="5"/>
  <c r="U11" i="32"/>
  <c r="T12" i="32"/>
  <c r="V11" i="32"/>
  <c r="H19" i="30"/>
  <c r="D21" i="35" s="1"/>
  <c r="U10" i="34"/>
  <c r="W10" i="34" s="1"/>
  <c r="T11" i="34"/>
  <c r="V10" i="34"/>
  <c r="H49" i="5"/>
  <c r="C49" i="5"/>
  <c r="C4" i="1"/>
  <c r="V17" i="1"/>
  <c r="D17" i="1"/>
  <c r="E4" i="1"/>
  <c r="N17" i="1"/>
  <c r="J17" i="1"/>
  <c r="K17" i="1"/>
  <c r="E17" i="1"/>
  <c r="V4" i="1"/>
  <c r="H4" i="1"/>
  <c r="S17" i="1"/>
  <c r="P17" i="1"/>
  <c r="D4" i="1"/>
  <c r="C17" i="1"/>
  <c r="W17" i="1"/>
  <c r="U17" i="1"/>
  <c r="W4" i="1"/>
  <c r="S4" i="1"/>
  <c r="G4" i="1"/>
  <c r="G17" i="1"/>
  <c r="B20" i="30" l="1"/>
  <c r="M8" i="39"/>
  <c r="L8" i="39"/>
  <c r="K9" i="39"/>
  <c r="R21" i="30"/>
  <c r="V50" i="5"/>
  <c r="AO50" i="5"/>
  <c r="C50" i="5"/>
  <c r="BC49" i="5"/>
  <c r="T17" i="1"/>
  <c r="R17" i="1"/>
  <c r="O17" i="1"/>
  <c r="I4" i="1"/>
  <c r="F5" i="1" s="1"/>
  <c r="I5" i="1" s="1"/>
  <c r="F6" i="1" s="1"/>
  <c r="I6" i="1" s="1"/>
  <c r="F7" i="1" s="1"/>
  <c r="I7" i="1" s="1"/>
  <c r="F8" i="1" s="1"/>
  <c r="I8" i="1" s="1"/>
  <c r="F9" i="1" s="1"/>
  <c r="I9" i="1" s="1"/>
  <c r="F10" i="1" s="1"/>
  <c r="I10" i="1" s="1"/>
  <c r="F11" i="1" s="1"/>
  <c r="I11" i="1" s="1"/>
  <c r="F12" i="1" s="1"/>
  <c r="I12" i="1" s="1"/>
  <c r="F13" i="1" s="1"/>
  <c r="I13" i="1" s="1"/>
  <c r="F14" i="1" s="1"/>
  <c r="I14" i="1" s="1"/>
  <c r="F15" i="1" s="1"/>
  <c r="I15" i="1" s="1"/>
  <c r="F16" i="1" s="1"/>
  <c r="I16" i="1" s="1"/>
  <c r="F17" i="1" s="1"/>
  <c r="I17" i="1" s="1"/>
  <c r="F18" i="1" s="1"/>
  <c r="L17" i="1"/>
  <c r="Q17" i="1"/>
  <c r="W11" i="32"/>
  <c r="G50" i="5"/>
  <c r="AV20" i="30"/>
  <c r="A19" i="1"/>
  <c r="B20" i="1"/>
  <c r="B23" i="35"/>
  <c r="H51" i="5" s="1"/>
  <c r="G22" i="35"/>
  <c r="F22" i="35"/>
  <c r="I22" i="35"/>
  <c r="D50" i="5" s="1"/>
  <c r="E22" i="35"/>
  <c r="L22" i="35"/>
  <c r="M22" i="35" s="1"/>
  <c r="A52" i="5"/>
  <c r="AI52" i="5" s="1"/>
  <c r="AZ51" i="5"/>
  <c r="N51" i="5"/>
  <c r="R51" i="5" s="1"/>
  <c r="S51" i="5" s="1"/>
  <c r="W51" i="5" s="1"/>
  <c r="AR51" i="5"/>
  <c r="AS51" i="5" s="1"/>
  <c r="BD51" i="5"/>
  <c r="AU51" i="5"/>
  <c r="AV51" i="5"/>
  <c r="AN51" i="5"/>
  <c r="U51" i="5"/>
  <c r="AT51" i="5"/>
  <c r="V11" i="34"/>
  <c r="T12" i="34"/>
  <c r="U11" i="34"/>
  <c r="W11" i="34" s="1"/>
  <c r="U12" i="32"/>
  <c r="W12" i="32" s="1"/>
  <c r="T13" i="32"/>
  <c r="V12" i="32"/>
  <c r="H50" i="5"/>
  <c r="C22" i="30"/>
  <c r="P21" i="30"/>
  <c r="E21" i="30"/>
  <c r="F21" i="30"/>
  <c r="G21" i="30"/>
  <c r="D13" i="31"/>
  <c r="C14" i="31"/>
  <c r="BB50" i="5"/>
  <c r="BA50" i="5"/>
  <c r="Z38" i="5"/>
  <c r="AA38" i="5" s="1"/>
  <c r="A37" i="5"/>
  <c r="AI37" i="5" s="1"/>
  <c r="U38" i="5"/>
  <c r="H20" i="30"/>
  <c r="S18" i="1"/>
  <c r="N18" i="1"/>
  <c r="J18" i="1"/>
  <c r="D18" i="1"/>
  <c r="W18" i="1"/>
  <c r="K18" i="1"/>
  <c r="C18" i="1"/>
  <c r="U18" i="1"/>
  <c r="V18" i="1"/>
  <c r="E18" i="1"/>
  <c r="P18" i="1"/>
  <c r="G18" i="1"/>
  <c r="M9" i="39" l="1"/>
  <c r="L9" i="39"/>
  <c r="K10" i="39"/>
  <c r="B21" i="30"/>
  <c r="R22" i="30"/>
  <c r="V51" i="5"/>
  <c r="C51" i="5"/>
  <c r="AO51" i="5"/>
  <c r="G51" i="5"/>
  <c r="I51" i="5"/>
  <c r="BC50" i="5"/>
  <c r="T18" i="1"/>
  <c r="Q18" i="1"/>
  <c r="I18" i="1"/>
  <c r="F19" i="1" s="1"/>
  <c r="R18" i="1"/>
  <c r="O18" i="1"/>
  <c r="L18" i="1"/>
  <c r="D14" i="31"/>
  <c r="C15" i="31"/>
  <c r="V12" i="34"/>
  <c r="T13" i="34"/>
  <c r="U12" i="34"/>
  <c r="W12" i="34" s="1"/>
  <c r="H21" i="30"/>
  <c r="U13" i="32"/>
  <c r="W13" i="32" s="1"/>
  <c r="T14" i="32"/>
  <c r="V13" i="32"/>
  <c r="BB51" i="5"/>
  <c r="BA51" i="5"/>
  <c r="A53" i="5"/>
  <c r="AI53" i="5" s="1"/>
  <c r="AZ52" i="5"/>
  <c r="N52" i="5"/>
  <c r="R52" i="5" s="1"/>
  <c r="S52" i="5" s="1"/>
  <c r="W52" i="5" s="1"/>
  <c r="AR52" i="5"/>
  <c r="AS52" i="5" s="1"/>
  <c r="AT52" i="5"/>
  <c r="BD52" i="5"/>
  <c r="U52" i="5"/>
  <c r="AV52" i="5"/>
  <c r="AN52" i="5"/>
  <c r="AU52" i="5"/>
  <c r="B24" i="35"/>
  <c r="I23" i="35"/>
  <c r="D51" i="5" s="1"/>
  <c r="E23" i="35"/>
  <c r="L23" i="35"/>
  <c r="M23" i="35" s="1"/>
  <c r="G23" i="35"/>
  <c r="F23" i="35"/>
  <c r="Z37" i="5"/>
  <c r="AA37" i="5" s="1"/>
  <c r="A36" i="5"/>
  <c r="U37" i="5"/>
  <c r="AV21" i="30"/>
  <c r="J51" i="5"/>
  <c r="F22" i="30"/>
  <c r="C23" i="30"/>
  <c r="E22" i="30"/>
  <c r="G22" i="30"/>
  <c r="P22" i="30"/>
  <c r="D22" i="35"/>
  <c r="A20" i="1"/>
  <c r="B21" i="1"/>
  <c r="S19" i="1"/>
  <c r="E19" i="1"/>
  <c r="U19" i="1"/>
  <c r="P19" i="1"/>
  <c r="N19" i="1"/>
  <c r="C19" i="1"/>
  <c r="W19" i="1"/>
  <c r="J19" i="1"/>
  <c r="K19" i="1"/>
  <c r="V19" i="1"/>
  <c r="D19" i="1"/>
  <c r="G19" i="1"/>
  <c r="M10" i="39" l="1"/>
  <c r="L10" i="39"/>
  <c r="K11" i="39"/>
  <c r="Z36" i="5"/>
  <c r="AA36" i="5" s="1"/>
  <c r="AI36" i="5"/>
  <c r="B22" i="30"/>
  <c r="R23" i="30"/>
  <c r="AO52" i="5"/>
  <c r="V52" i="5"/>
  <c r="BC51" i="5"/>
  <c r="H22" i="30"/>
  <c r="D24" i="35" s="1"/>
  <c r="I19" i="1"/>
  <c r="F20" i="1" s="1"/>
  <c r="T19" i="1"/>
  <c r="O19" i="1"/>
  <c r="L19" i="1"/>
  <c r="Q19" i="1"/>
  <c r="R19" i="1"/>
  <c r="A35" i="5"/>
  <c r="AI35" i="5" s="1"/>
  <c r="U36" i="5"/>
  <c r="C52" i="5"/>
  <c r="H52" i="5"/>
  <c r="D15" i="31"/>
  <c r="C16" i="31"/>
  <c r="A21" i="1"/>
  <c r="B22" i="1"/>
  <c r="C24" i="30"/>
  <c r="G23" i="30"/>
  <c r="P23" i="30"/>
  <c r="J53" i="5" s="1"/>
  <c r="F23" i="30"/>
  <c r="E23" i="30"/>
  <c r="G52" i="5"/>
  <c r="I52" i="5"/>
  <c r="U14" i="32"/>
  <c r="W14" i="32" s="1"/>
  <c r="T15" i="32"/>
  <c r="V14" i="32"/>
  <c r="U13" i="34"/>
  <c r="W13" i="34" s="1"/>
  <c r="T14" i="34"/>
  <c r="V13" i="34"/>
  <c r="B25" i="35"/>
  <c r="H53" i="5" s="1"/>
  <c r="F24" i="35"/>
  <c r="G24" i="35"/>
  <c r="L24" i="35"/>
  <c r="M24" i="35" s="1"/>
  <c r="E24" i="35"/>
  <c r="I24" i="35"/>
  <c r="D52" i="5" s="1"/>
  <c r="D23" i="35"/>
  <c r="AV22" i="30"/>
  <c r="J52" i="5"/>
  <c r="BB52" i="5"/>
  <c r="BA52" i="5"/>
  <c r="A54" i="5"/>
  <c r="AI54" i="5" s="1"/>
  <c r="AZ53" i="5"/>
  <c r="N53" i="5"/>
  <c r="R53" i="5" s="1"/>
  <c r="S53" i="5" s="1"/>
  <c r="W53" i="5" s="1"/>
  <c r="AT53" i="5"/>
  <c r="AR53" i="5"/>
  <c r="AS53" i="5" s="1"/>
  <c r="BD53" i="5"/>
  <c r="U53" i="5"/>
  <c r="AV53" i="5"/>
  <c r="AN53" i="5"/>
  <c r="AU53" i="5"/>
  <c r="P20" i="1"/>
  <c r="V20" i="1"/>
  <c r="C20" i="1"/>
  <c r="U20" i="1"/>
  <c r="E20" i="1"/>
  <c r="W20" i="1"/>
  <c r="J20" i="1"/>
  <c r="S20" i="1"/>
  <c r="N20" i="1"/>
  <c r="D20" i="1"/>
  <c r="K20" i="1"/>
  <c r="G20" i="1"/>
  <c r="AO53" i="5" l="1"/>
  <c r="R24" i="30"/>
  <c r="M11" i="39"/>
  <c r="L11" i="39"/>
  <c r="K12" i="39"/>
  <c r="B23" i="30"/>
  <c r="BC52" i="5"/>
  <c r="V53" i="5"/>
  <c r="C53" i="5"/>
  <c r="G53" i="5"/>
  <c r="I53" i="5"/>
  <c r="H23" i="30"/>
  <c r="D25" i="35" s="1"/>
  <c r="T20" i="1"/>
  <c r="O20" i="1"/>
  <c r="R20" i="1"/>
  <c r="L20" i="1"/>
  <c r="I20" i="1"/>
  <c r="F21" i="1" s="1"/>
  <c r="Q20" i="1"/>
  <c r="BB53" i="5"/>
  <c r="BA53" i="5"/>
  <c r="V14" i="34"/>
  <c r="U14" i="34"/>
  <c r="W14" i="34" s="1"/>
  <c r="T15" i="34"/>
  <c r="B26" i="35"/>
  <c r="G54" i="5" s="1"/>
  <c r="L25" i="35"/>
  <c r="M25" i="35" s="1"/>
  <c r="E25" i="35"/>
  <c r="I25" i="35"/>
  <c r="D53" i="5" s="1"/>
  <c r="G25" i="35"/>
  <c r="F25" i="35"/>
  <c r="U15" i="32"/>
  <c r="W15" i="32" s="1"/>
  <c r="T16" i="32"/>
  <c r="V15" i="32"/>
  <c r="A22" i="1"/>
  <c r="B23" i="1"/>
  <c r="A55" i="5"/>
  <c r="AI55" i="5" s="1"/>
  <c r="AZ54" i="5"/>
  <c r="N54" i="5"/>
  <c r="R54" i="5" s="1"/>
  <c r="S54" i="5" s="1"/>
  <c r="AR54" i="5"/>
  <c r="AS54" i="5" s="1"/>
  <c r="AT54" i="5"/>
  <c r="U54" i="5"/>
  <c r="BD54" i="5"/>
  <c r="AU54" i="5"/>
  <c r="AV54" i="5"/>
  <c r="AN54" i="5"/>
  <c r="AO54" i="5" s="1"/>
  <c r="D16" i="31"/>
  <c r="C17" i="31"/>
  <c r="A34" i="5"/>
  <c r="AI34" i="5" s="1"/>
  <c r="Z35" i="5"/>
  <c r="AA35" i="5" s="1"/>
  <c r="U35" i="5"/>
  <c r="AV23" i="30"/>
  <c r="F24" i="30"/>
  <c r="C25" i="30"/>
  <c r="G24" i="30"/>
  <c r="P24" i="30"/>
  <c r="J54" i="5" s="1"/>
  <c r="E24" i="30"/>
  <c r="V21" i="1"/>
  <c r="N21" i="1"/>
  <c r="K21" i="1"/>
  <c r="J21" i="1"/>
  <c r="S21" i="1"/>
  <c r="U21" i="1"/>
  <c r="W21" i="1"/>
  <c r="D21" i="1"/>
  <c r="E21" i="1"/>
  <c r="P21" i="1"/>
  <c r="C21" i="1"/>
  <c r="G21" i="1"/>
  <c r="B24" i="30" l="1"/>
  <c r="D15" i="30"/>
  <c r="M12" i="39"/>
  <c r="L12" i="39"/>
  <c r="K13" i="39"/>
  <c r="AW45" i="5"/>
  <c r="R25" i="30"/>
  <c r="BC53" i="5"/>
  <c r="W54" i="5"/>
  <c r="V54" i="5" s="1"/>
  <c r="C54" i="5"/>
  <c r="I54" i="5"/>
  <c r="H24" i="30"/>
  <c r="D26" i="35" s="1"/>
  <c r="H54" i="5"/>
  <c r="Q21" i="1"/>
  <c r="L21" i="1"/>
  <c r="I21" i="1"/>
  <c r="F22" i="1" s="1"/>
  <c r="R21" i="1"/>
  <c r="O21" i="1"/>
  <c r="T21" i="1"/>
  <c r="V15" i="34"/>
  <c r="T16" i="34"/>
  <c r="U15" i="34"/>
  <c r="W15" i="34" s="1"/>
  <c r="F25" i="30"/>
  <c r="P25" i="30"/>
  <c r="J55" i="5" s="1"/>
  <c r="C26" i="30"/>
  <c r="G25" i="30"/>
  <c r="V3" i="30" s="1"/>
  <c r="V4" i="30" s="1"/>
  <c r="E25" i="30"/>
  <c r="AV24" i="30"/>
  <c r="A33" i="5"/>
  <c r="AI33" i="5" s="1"/>
  <c r="Z34" i="5"/>
  <c r="AA34" i="5" s="1"/>
  <c r="U34" i="5"/>
  <c r="BB54" i="5"/>
  <c r="BA54" i="5"/>
  <c r="A56" i="5"/>
  <c r="AI56" i="5" s="1"/>
  <c r="AZ55" i="5"/>
  <c r="N55" i="5"/>
  <c r="R55" i="5" s="1"/>
  <c r="S55" i="5" s="1"/>
  <c r="W55" i="5" s="1"/>
  <c r="BD55" i="5"/>
  <c r="AT55" i="5"/>
  <c r="AR55" i="5"/>
  <c r="AS55" i="5" s="1"/>
  <c r="U55" i="5"/>
  <c r="AU55" i="5"/>
  <c r="AV55" i="5"/>
  <c r="AN55" i="5"/>
  <c r="AO55" i="5" s="1"/>
  <c r="A23" i="1"/>
  <c r="B24" i="1"/>
  <c r="B27" i="35"/>
  <c r="C55" i="5" s="1"/>
  <c r="G26" i="35"/>
  <c r="F26" i="35"/>
  <c r="I26" i="35"/>
  <c r="D54" i="5" s="1"/>
  <c r="E26" i="35"/>
  <c r="L26" i="35"/>
  <c r="M26" i="35" s="1"/>
  <c r="D17" i="31"/>
  <c r="C18" i="31"/>
  <c r="U16" i="32"/>
  <c r="D16" i="30" s="1"/>
  <c r="S16" i="30" s="1"/>
  <c r="T17" i="32"/>
  <c r="V16" i="32"/>
  <c r="C22" i="1"/>
  <c r="S22" i="1"/>
  <c r="N22" i="1"/>
  <c r="D22" i="1"/>
  <c r="K22" i="1"/>
  <c r="J22" i="1"/>
  <c r="E22" i="1"/>
  <c r="P22" i="1"/>
  <c r="V22" i="1"/>
  <c r="U22" i="1"/>
  <c r="W22" i="1"/>
  <c r="G22" i="1"/>
  <c r="N18" i="35" l="1"/>
  <c r="E46" i="5" s="1"/>
  <c r="D17" i="30"/>
  <c r="M13" i="39"/>
  <c r="L13" i="39"/>
  <c r="K14" i="39"/>
  <c r="S15" i="30"/>
  <c r="X15" i="30"/>
  <c r="BC54" i="5"/>
  <c r="B25" i="30"/>
  <c r="R26" i="30"/>
  <c r="V55" i="5"/>
  <c r="H55" i="5"/>
  <c r="I22" i="1"/>
  <c r="F23" i="1" s="1"/>
  <c r="Q22" i="1"/>
  <c r="O22" i="1"/>
  <c r="R22" i="1"/>
  <c r="L22" i="1"/>
  <c r="T22" i="1"/>
  <c r="P26" i="30"/>
  <c r="J56" i="5" s="1"/>
  <c r="E26" i="30"/>
  <c r="F26" i="30"/>
  <c r="G26" i="30"/>
  <c r="C27" i="30"/>
  <c r="U17" i="32"/>
  <c r="W17" i="32" s="1"/>
  <c r="T18" i="32"/>
  <c r="V17" i="32"/>
  <c r="D18" i="31"/>
  <c r="C19" i="31"/>
  <c r="W16" i="32"/>
  <c r="B25" i="1"/>
  <c r="A24" i="1"/>
  <c r="A32" i="5"/>
  <c r="Z33" i="5"/>
  <c r="AA33" i="5" s="1"/>
  <c r="U33" i="5"/>
  <c r="H25" i="30"/>
  <c r="D27" i="35" s="1"/>
  <c r="AV25" i="30"/>
  <c r="B28" i="35"/>
  <c r="I56" i="5" s="1"/>
  <c r="I27" i="35"/>
  <c r="D55" i="5" s="1"/>
  <c r="E27" i="35"/>
  <c r="L27" i="35"/>
  <c r="M27" i="35" s="1"/>
  <c r="G27" i="35"/>
  <c r="F27" i="35"/>
  <c r="I55" i="5"/>
  <c r="G55" i="5"/>
  <c r="BB55" i="5"/>
  <c r="BA55" i="5"/>
  <c r="A57" i="5"/>
  <c r="AI57" i="5" s="1"/>
  <c r="AZ56" i="5"/>
  <c r="BD56" i="5"/>
  <c r="N56" i="5"/>
  <c r="R56" i="5" s="1"/>
  <c r="S56" i="5" s="1"/>
  <c r="W56" i="5" s="1"/>
  <c r="U56" i="5"/>
  <c r="AV56" i="5"/>
  <c r="AT56" i="5"/>
  <c r="AU56" i="5"/>
  <c r="AN56" i="5"/>
  <c r="AO56" i="5" s="1"/>
  <c r="AR56" i="5"/>
  <c r="AS56" i="5" s="1"/>
  <c r="U16" i="34"/>
  <c r="W16" i="34" s="1"/>
  <c r="T17" i="34"/>
  <c r="V16" i="34"/>
  <c r="V5" i="30"/>
  <c r="V6" i="30" s="1"/>
  <c r="V23" i="1"/>
  <c r="E23" i="1"/>
  <c r="N23" i="1"/>
  <c r="C23" i="1"/>
  <c r="K23" i="1"/>
  <c r="D23" i="1"/>
  <c r="P23" i="1"/>
  <c r="J23" i="1"/>
  <c r="W23" i="1"/>
  <c r="U23" i="1"/>
  <c r="S23" i="1"/>
  <c r="G23" i="1"/>
  <c r="AJ10" i="30" l="1"/>
  <c r="AL10" i="30"/>
  <c r="BC55" i="5"/>
  <c r="AW47" i="5"/>
  <c r="M14" i="39"/>
  <c r="L14" i="39"/>
  <c r="K15" i="39"/>
  <c r="S17" i="30"/>
  <c r="X16" i="30"/>
  <c r="V16" i="30" s="1"/>
  <c r="R18" i="35" s="1"/>
  <c r="V15" i="30"/>
  <c r="R17" i="35" s="1"/>
  <c r="Z15" i="30"/>
  <c r="AJ15" i="30"/>
  <c r="N17" i="35"/>
  <c r="E45" i="5" s="1"/>
  <c r="Z32" i="5"/>
  <c r="AA32" i="5" s="1"/>
  <c r="AI32" i="5"/>
  <c r="B26" i="30"/>
  <c r="R27" i="30"/>
  <c r="V56" i="5"/>
  <c r="H56" i="5"/>
  <c r="Q23" i="1"/>
  <c r="L23" i="1"/>
  <c r="R23" i="1"/>
  <c r="O23" i="1"/>
  <c r="T23" i="1"/>
  <c r="I23" i="1"/>
  <c r="F24" i="1" s="1"/>
  <c r="V17" i="34"/>
  <c r="T18" i="34"/>
  <c r="U17" i="34"/>
  <c r="W17" i="34" s="1"/>
  <c r="V7" i="30"/>
  <c r="A25" i="1"/>
  <c r="B26" i="1"/>
  <c r="C56" i="5"/>
  <c r="A31" i="5"/>
  <c r="AI31" i="5" s="1"/>
  <c r="U32" i="5"/>
  <c r="D19" i="31"/>
  <c r="C20" i="31"/>
  <c r="P27" i="30"/>
  <c r="J57" i="5" s="1"/>
  <c r="E27" i="30"/>
  <c r="G27" i="30"/>
  <c r="C28" i="30"/>
  <c r="F27" i="30"/>
  <c r="H26" i="30"/>
  <c r="D28" i="35" s="1"/>
  <c r="BB56" i="5"/>
  <c r="BA56" i="5"/>
  <c r="A58" i="5"/>
  <c r="AI58" i="5" s="1"/>
  <c r="AZ57" i="5"/>
  <c r="N57" i="5"/>
  <c r="R57" i="5" s="1"/>
  <c r="S57" i="5" s="1"/>
  <c r="W57" i="5" s="1"/>
  <c r="AT57" i="5"/>
  <c r="AR57" i="5"/>
  <c r="AS57" i="5" s="1"/>
  <c r="BD57" i="5"/>
  <c r="U57" i="5"/>
  <c r="AU57" i="5"/>
  <c r="AN57" i="5"/>
  <c r="AO57" i="5" s="1"/>
  <c r="AV57" i="5"/>
  <c r="G56" i="5"/>
  <c r="U18" i="32"/>
  <c r="T19" i="32"/>
  <c r="V18" i="32"/>
  <c r="AV26" i="30"/>
  <c r="B29" i="35"/>
  <c r="H57" i="5" s="1"/>
  <c r="F28" i="35"/>
  <c r="G28" i="35"/>
  <c r="L28" i="35"/>
  <c r="M28" i="35" s="1"/>
  <c r="E28" i="35"/>
  <c r="I28" i="35"/>
  <c r="D56" i="5" s="1"/>
  <c r="E24" i="1"/>
  <c r="U24" i="1"/>
  <c r="J24" i="1"/>
  <c r="V24" i="1"/>
  <c r="D24" i="1"/>
  <c r="K24" i="1"/>
  <c r="C24" i="1"/>
  <c r="N24" i="1"/>
  <c r="P24" i="1"/>
  <c r="W24" i="1"/>
  <c r="S24" i="1"/>
  <c r="G24" i="1"/>
  <c r="X17" i="30" l="1"/>
  <c r="V17" i="30" s="1"/>
  <c r="R19" i="35" s="1"/>
  <c r="BC56" i="5"/>
  <c r="N19" i="35"/>
  <c r="E47" i="5" s="1"/>
  <c r="Q17" i="35"/>
  <c r="AJ16" i="30"/>
  <c r="Q18" i="35" s="1"/>
  <c r="AK15" i="30"/>
  <c r="M15" i="39"/>
  <c r="L15" i="39"/>
  <c r="K16" i="39"/>
  <c r="B27" i="30"/>
  <c r="R28" i="30"/>
  <c r="V57" i="5"/>
  <c r="C57" i="5"/>
  <c r="O24" i="1"/>
  <c r="Q24" i="1"/>
  <c r="R24" i="1"/>
  <c r="I24" i="1"/>
  <c r="F25" i="1" s="1"/>
  <c r="L24" i="1"/>
  <c r="T24" i="1"/>
  <c r="W18" i="32"/>
  <c r="I57" i="5"/>
  <c r="G57" i="5"/>
  <c r="P28" i="30"/>
  <c r="J58" i="5" s="1"/>
  <c r="E28" i="30"/>
  <c r="F28" i="30"/>
  <c r="G28" i="30"/>
  <c r="C29" i="30"/>
  <c r="A30" i="5"/>
  <c r="AI30" i="5" s="1"/>
  <c r="Z31" i="5"/>
  <c r="AA31" i="5" s="1"/>
  <c r="U31" i="5"/>
  <c r="T20" i="32"/>
  <c r="U19" i="32"/>
  <c r="W19" i="32" s="1"/>
  <c r="V19" i="32"/>
  <c r="BB57" i="5"/>
  <c r="BC57" i="5" s="1"/>
  <c r="BA57" i="5"/>
  <c r="B30" i="35"/>
  <c r="G58" i="5" s="1"/>
  <c r="L29" i="35"/>
  <c r="M29" i="35" s="1"/>
  <c r="E29" i="35"/>
  <c r="I29" i="35"/>
  <c r="D57" i="5" s="1"/>
  <c r="G29" i="35"/>
  <c r="F29" i="35"/>
  <c r="A59" i="5"/>
  <c r="AI59" i="5" s="1"/>
  <c r="AZ58" i="5"/>
  <c r="N58" i="5"/>
  <c r="R58" i="5" s="1"/>
  <c r="S58" i="5" s="1"/>
  <c r="W58" i="5" s="1"/>
  <c r="BD58" i="5"/>
  <c r="AT58" i="5"/>
  <c r="AR58" i="5"/>
  <c r="AS58" i="5" s="1"/>
  <c r="U58" i="5"/>
  <c r="AU58" i="5"/>
  <c r="AN58" i="5"/>
  <c r="AO58" i="5" s="1"/>
  <c r="AV58" i="5"/>
  <c r="H27" i="30"/>
  <c r="D29" i="35" s="1"/>
  <c r="D20" i="31"/>
  <c r="C21" i="31"/>
  <c r="U18" i="34"/>
  <c r="W18" i="34" s="1"/>
  <c r="T19" i="34"/>
  <c r="V18" i="34"/>
  <c r="AV27" i="30"/>
  <c r="B27" i="1"/>
  <c r="A26" i="1"/>
  <c r="U25" i="1"/>
  <c r="S25" i="1"/>
  <c r="C25" i="1"/>
  <c r="J25" i="1"/>
  <c r="W25" i="1"/>
  <c r="V25" i="1"/>
  <c r="N25" i="1"/>
  <c r="E25" i="1"/>
  <c r="K25" i="1"/>
  <c r="P25" i="1"/>
  <c r="D25" i="1"/>
  <c r="G25" i="1"/>
  <c r="AK16" i="30" l="1"/>
  <c r="D19" i="30"/>
  <c r="B28" i="30"/>
  <c r="AJ17" i="30"/>
  <c r="Q19" i="35" s="1"/>
  <c r="M16" i="39"/>
  <c r="L16" i="39"/>
  <c r="K17" i="39"/>
  <c r="R29" i="30"/>
  <c r="V58" i="5"/>
  <c r="I58" i="5"/>
  <c r="H58" i="5"/>
  <c r="R25" i="1"/>
  <c r="T25" i="1"/>
  <c r="L25" i="1"/>
  <c r="O25" i="1"/>
  <c r="I25" i="1"/>
  <c r="F26" i="1" s="1"/>
  <c r="Q25" i="1"/>
  <c r="V19" i="34"/>
  <c r="U19" i="34"/>
  <c r="W19" i="34" s="1"/>
  <c r="T20" i="34"/>
  <c r="A29" i="5"/>
  <c r="AI29" i="5" s="1"/>
  <c r="Z30" i="5"/>
  <c r="AA30" i="5" s="1"/>
  <c r="U30" i="5"/>
  <c r="A60" i="5"/>
  <c r="AI60" i="5" s="1"/>
  <c r="BD59" i="5"/>
  <c r="AZ59" i="5"/>
  <c r="N59" i="5"/>
  <c r="R59" i="5" s="1"/>
  <c r="S59" i="5" s="1"/>
  <c r="W59" i="5" s="1"/>
  <c r="AT59" i="5"/>
  <c r="AR59" i="5"/>
  <c r="AS59" i="5" s="1"/>
  <c r="AV59" i="5"/>
  <c r="AU59" i="5"/>
  <c r="U59" i="5"/>
  <c r="AN59" i="5"/>
  <c r="AO59" i="5" s="1"/>
  <c r="C58" i="5"/>
  <c r="AV28" i="30"/>
  <c r="D21" i="31"/>
  <c r="C22" i="31"/>
  <c r="BB58" i="5"/>
  <c r="BC58" i="5" s="1"/>
  <c r="BA58" i="5"/>
  <c r="B28" i="1"/>
  <c r="A27" i="1"/>
  <c r="B31" i="35"/>
  <c r="G59" i="5" s="1"/>
  <c r="G30" i="35"/>
  <c r="F30" i="35"/>
  <c r="I30" i="35"/>
  <c r="D58" i="5" s="1"/>
  <c r="E30" i="35"/>
  <c r="L30" i="35"/>
  <c r="M30" i="35" s="1"/>
  <c r="U20" i="32"/>
  <c r="W20" i="32" s="1"/>
  <c r="T21" i="32"/>
  <c r="V20" i="32"/>
  <c r="P29" i="30"/>
  <c r="J59" i="5" s="1"/>
  <c r="E29" i="30"/>
  <c r="G29" i="30"/>
  <c r="C30" i="30"/>
  <c r="F29" i="30"/>
  <c r="H28" i="30"/>
  <c r="C26" i="1"/>
  <c r="K26" i="1"/>
  <c r="P26" i="1"/>
  <c r="E26" i="1"/>
  <c r="N26" i="1"/>
  <c r="U26" i="1"/>
  <c r="V26" i="1"/>
  <c r="D26" i="1"/>
  <c r="J26" i="1"/>
  <c r="S26" i="1"/>
  <c r="W26" i="1"/>
  <c r="G26" i="1"/>
  <c r="M17" i="39" l="1"/>
  <c r="L17" i="39"/>
  <c r="K18" i="39"/>
  <c r="AW50" i="5"/>
  <c r="S19" i="30"/>
  <c r="AK17" i="30"/>
  <c r="D20" i="30"/>
  <c r="B29" i="30"/>
  <c r="R30" i="30"/>
  <c r="V59" i="5"/>
  <c r="I26" i="1"/>
  <c r="F27" i="1" s="1"/>
  <c r="L26" i="1"/>
  <c r="T26" i="1"/>
  <c r="O26" i="1"/>
  <c r="Q26" i="1"/>
  <c r="R26" i="1"/>
  <c r="P30" i="30"/>
  <c r="E30" i="30"/>
  <c r="F30" i="30"/>
  <c r="G30" i="30"/>
  <c r="C31" i="30"/>
  <c r="D30" i="35"/>
  <c r="V20" i="34"/>
  <c r="U20" i="34"/>
  <c r="W20" i="34" s="1"/>
  <c r="T21" i="34"/>
  <c r="H29" i="30"/>
  <c r="D31" i="35" s="1"/>
  <c r="AV29" i="30"/>
  <c r="U21" i="32"/>
  <c r="W21" i="32" s="1"/>
  <c r="T22" i="32"/>
  <c r="V21" i="32"/>
  <c r="D22" i="31"/>
  <c r="C23" i="31"/>
  <c r="BB59" i="5"/>
  <c r="BC59" i="5" s="1"/>
  <c r="BA59" i="5"/>
  <c r="B32" i="35"/>
  <c r="I60" i="5" s="1"/>
  <c r="I31" i="35"/>
  <c r="D59" i="5" s="1"/>
  <c r="E31" i="35"/>
  <c r="L31" i="35"/>
  <c r="M31" i="35" s="1"/>
  <c r="G31" i="35"/>
  <c r="F31" i="35"/>
  <c r="H59" i="5"/>
  <c r="A61" i="5"/>
  <c r="AI61" i="5" s="1"/>
  <c r="N60" i="5"/>
  <c r="R60" i="5" s="1"/>
  <c r="S60" i="5" s="1"/>
  <c r="W60" i="5" s="1"/>
  <c r="AZ60" i="5"/>
  <c r="BD60" i="5"/>
  <c r="AT60" i="5"/>
  <c r="J60" i="5"/>
  <c r="U60" i="5"/>
  <c r="AR60" i="5"/>
  <c r="AS60" i="5" s="1"/>
  <c r="AV60" i="5"/>
  <c r="AU60" i="5"/>
  <c r="AN60" i="5"/>
  <c r="AO60" i="5" s="1"/>
  <c r="A28" i="1"/>
  <c r="B29" i="1"/>
  <c r="C59" i="5"/>
  <c r="I59" i="5"/>
  <c r="A28" i="5"/>
  <c r="AI28" i="5" s="1"/>
  <c r="Z29" i="5"/>
  <c r="AA29" i="5" s="1"/>
  <c r="U29" i="5"/>
  <c r="P27" i="1"/>
  <c r="E27" i="1"/>
  <c r="W27" i="1"/>
  <c r="K27" i="1"/>
  <c r="S27" i="1"/>
  <c r="U27" i="1"/>
  <c r="C27" i="1"/>
  <c r="V27" i="1"/>
  <c r="D27" i="1"/>
  <c r="J27" i="1"/>
  <c r="N27" i="1"/>
  <c r="G27" i="1"/>
  <c r="N21" i="35" l="1"/>
  <c r="E49" i="5" s="1"/>
  <c r="AW51" i="5"/>
  <c r="S20" i="30"/>
  <c r="M18" i="39"/>
  <c r="L18" i="39"/>
  <c r="K19" i="39"/>
  <c r="B30" i="30"/>
  <c r="R31" i="30"/>
  <c r="V60" i="5"/>
  <c r="H60" i="5"/>
  <c r="C60" i="5"/>
  <c r="G60" i="5"/>
  <c r="L27" i="1"/>
  <c r="Q27" i="1"/>
  <c r="R27" i="1"/>
  <c r="T27" i="1"/>
  <c r="O27" i="1"/>
  <c r="I27" i="1"/>
  <c r="F28" i="1" s="1"/>
  <c r="Z28" i="5"/>
  <c r="AA28" i="5" s="1"/>
  <c r="A27" i="5"/>
  <c r="AI27" i="5" s="1"/>
  <c r="U28" i="5"/>
  <c r="D23" i="31"/>
  <c r="C24" i="31"/>
  <c r="V21" i="34"/>
  <c r="U21" i="34"/>
  <c r="W21" i="34" s="1"/>
  <c r="T22" i="34"/>
  <c r="B30" i="1"/>
  <c r="A29" i="1"/>
  <c r="B33" i="35"/>
  <c r="C61" i="5" s="1"/>
  <c r="F32" i="35"/>
  <c r="G32" i="35"/>
  <c r="L32" i="35"/>
  <c r="M32" i="35" s="1"/>
  <c r="E32" i="35"/>
  <c r="I32" i="35"/>
  <c r="D60" i="5" s="1"/>
  <c r="U22" i="32"/>
  <c r="AW52" i="5" s="1"/>
  <c r="T23" i="32"/>
  <c r="V22" i="32"/>
  <c r="P31" i="30"/>
  <c r="J61" i="5" s="1"/>
  <c r="E31" i="30"/>
  <c r="G31" i="30"/>
  <c r="C32" i="30"/>
  <c r="F31" i="30"/>
  <c r="H30" i="30"/>
  <c r="D32" i="35" s="1"/>
  <c r="BB60" i="5"/>
  <c r="BC60" i="5" s="1"/>
  <c r="BA60" i="5"/>
  <c r="A62" i="5"/>
  <c r="AI62" i="5" s="1"/>
  <c r="N61" i="5"/>
  <c r="R61" i="5" s="1"/>
  <c r="S61" i="5" s="1"/>
  <c r="W61" i="5" s="1"/>
  <c r="AZ61" i="5"/>
  <c r="AR61" i="5"/>
  <c r="AS61" i="5" s="1"/>
  <c r="BD61" i="5"/>
  <c r="AT61" i="5"/>
  <c r="U61" i="5"/>
  <c r="AV61" i="5"/>
  <c r="AN61" i="5"/>
  <c r="AO61" i="5" s="1"/>
  <c r="AU61" i="5"/>
  <c r="AV30" i="30"/>
  <c r="W28" i="1"/>
  <c r="D28" i="1"/>
  <c r="J28" i="1"/>
  <c r="U28" i="1"/>
  <c r="S28" i="1"/>
  <c r="P28" i="1"/>
  <c r="E28" i="1"/>
  <c r="V28" i="1"/>
  <c r="C28" i="1"/>
  <c r="N28" i="1"/>
  <c r="K28" i="1"/>
  <c r="G28" i="1"/>
  <c r="I61" i="5" l="1"/>
  <c r="G61" i="5"/>
  <c r="N22" i="35"/>
  <c r="E50" i="5" s="1"/>
  <c r="M19" i="39"/>
  <c r="L19" i="39"/>
  <c r="K20" i="39"/>
  <c r="D22" i="30"/>
  <c r="B31" i="30"/>
  <c r="R32" i="30"/>
  <c r="V61" i="5"/>
  <c r="H61" i="5"/>
  <c r="O28" i="1"/>
  <c r="R28" i="1"/>
  <c r="T28" i="1"/>
  <c r="Q28" i="1"/>
  <c r="I28" i="1"/>
  <c r="F29" i="1" s="1"/>
  <c r="L28" i="1"/>
  <c r="H31" i="30"/>
  <c r="D33" i="35" s="1"/>
  <c r="B31" i="1"/>
  <c r="A30" i="1"/>
  <c r="AV31" i="30"/>
  <c r="U23" i="32"/>
  <c r="W23" i="32" s="1"/>
  <c r="T24" i="32"/>
  <c r="V23" i="32"/>
  <c r="B34" i="35"/>
  <c r="G62" i="5" s="1"/>
  <c r="L33" i="35"/>
  <c r="M33" i="35" s="1"/>
  <c r="E33" i="35"/>
  <c r="I33" i="35"/>
  <c r="D61" i="5" s="1"/>
  <c r="G33" i="35"/>
  <c r="F33" i="35"/>
  <c r="BB61" i="5"/>
  <c r="BC61" i="5" s="1"/>
  <c r="BA61" i="5"/>
  <c r="A63" i="5"/>
  <c r="AI63" i="5" s="1"/>
  <c r="N62" i="5"/>
  <c r="R62" i="5" s="1"/>
  <c r="S62" i="5" s="1"/>
  <c r="W62" i="5" s="1"/>
  <c r="AZ62" i="5"/>
  <c r="BD62" i="5"/>
  <c r="U62" i="5"/>
  <c r="AT62" i="5"/>
  <c r="AU62" i="5"/>
  <c r="AR62" i="5"/>
  <c r="AS62" i="5" s="1"/>
  <c r="AV62" i="5"/>
  <c r="AN62" i="5"/>
  <c r="AO62" i="5" s="1"/>
  <c r="P32" i="30"/>
  <c r="E32" i="30"/>
  <c r="F32" i="30"/>
  <c r="G32" i="30"/>
  <c r="C33" i="30"/>
  <c r="W22" i="32"/>
  <c r="V22" i="34"/>
  <c r="T23" i="34"/>
  <c r="U22" i="34"/>
  <c r="W22" i="34" s="1"/>
  <c r="D24" i="31"/>
  <c r="C25" i="31"/>
  <c r="A26" i="5"/>
  <c r="AI26" i="5" s="1"/>
  <c r="Z27" i="5"/>
  <c r="AA27" i="5" s="1"/>
  <c r="U27" i="5"/>
  <c r="D29" i="1"/>
  <c r="E29" i="1"/>
  <c r="W29" i="1"/>
  <c r="K29" i="1"/>
  <c r="P29" i="1"/>
  <c r="V29" i="1"/>
  <c r="U29" i="1"/>
  <c r="J29" i="1"/>
  <c r="S29" i="1"/>
  <c r="N29" i="1"/>
  <c r="C29" i="1"/>
  <c r="G29" i="1"/>
  <c r="H62" i="5" l="1"/>
  <c r="M20" i="39"/>
  <c r="L20" i="39"/>
  <c r="K21" i="39"/>
  <c r="S22" i="30"/>
  <c r="B32" i="30"/>
  <c r="D23" i="30"/>
  <c r="R33" i="30"/>
  <c r="V62" i="5"/>
  <c r="I62" i="5"/>
  <c r="C62" i="5"/>
  <c r="O29" i="1"/>
  <c r="L29" i="1"/>
  <c r="I29" i="1"/>
  <c r="F30" i="1" s="1"/>
  <c r="Q29" i="1"/>
  <c r="T29" i="1"/>
  <c r="R29" i="1"/>
  <c r="A64" i="5"/>
  <c r="AI64" i="5" s="1"/>
  <c r="N63" i="5"/>
  <c r="R63" i="5" s="1"/>
  <c r="S63" i="5" s="1"/>
  <c r="W63" i="5" s="1"/>
  <c r="AZ63" i="5"/>
  <c r="AR63" i="5"/>
  <c r="AS63" i="5" s="1"/>
  <c r="BD63" i="5"/>
  <c r="AT63" i="5"/>
  <c r="U63" i="5"/>
  <c r="AU63" i="5"/>
  <c r="AV63" i="5"/>
  <c r="AN63" i="5"/>
  <c r="AO63" i="5" s="1"/>
  <c r="A25" i="5"/>
  <c r="AI25" i="5" s="1"/>
  <c r="Z26" i="5"/>
  <c r="AA26" i="5" s="1"/>
  <c r="U26" i="5"/>
  <c r="U23" i="34"/>
  <c r="W23" i="34" s="1"/>
  <c r="V23" i="34"/>
  <c r="T24" i="34"/>
  <c r="P33" i="30"/>
  <c r="J63" i="5" s="1"/>
  <c r="E33" i="30"/>
  <c r="G33" i="30"/>
  <c r="C34" i="30"/>
  <c r="F33" i="30"/>
  <c r="H32" i="30"/>
  <c r="B35" i="35"/>
  <c r="G34" i="35"/>
  <c r="F34" i="35"/>
  <c r="I34" i="35"/>
  <c r="D62" i="5" s="1"/>
  <c r="E34" i="35"/>
  <c r="L34" i="35"/>
  <c r="M34" i="35" s="1"/>
  <c r="U24" i="32"/>
  <c r="D24" i="30" s="1"/>
  <c r="T25" i="32"/>
  <c r="V24" i="32"/>
  <c r="D25" i="31"/>
  <c r="C26" i="31"/>
  <c r="AV32" i="30"/>
  <c r="J62" i="5"/>
  <c r="A31" i="1"/>
  <c r="B32" i="1"/>
  <c r="BB62" i="5"/>
  <c r="BC62" i="5" s="1"/>
  <c r="BA62" i="5"/>
  <c r="W30" i="1"/>
  <c r="D30" i="1"/>
  <c r="J30" i="1"/>
  <c r="U30" i="1"/>
  <c r="S30" i="1"/>
  <c r="N30" i="1"/>
  <c r="P30" i="1"/>
  <c r="E30" i="1"/>
  <c r="V30" i="1"/>
  <c r="K30" i="1"/>
  <c r="C30" i="1"/>
  <c r="G30" i="1"/>
  <c r="S24" i="30" l="1"/>
  <c r="N24" i="35"/>
  <c r="E52" i="5" s="1"/>
  <c r="AW54" i="5"/>
  <c r="S23" i="30"/>
  <c r="M21" i="39"/>
  <c r="L21" i="39"/>
  <c r="K22" i="39"/>
  <c r="B33" i="30"/>
  <c r="R34" i="30"/>
  <c r="V63" i="5"/>
  <c r="R30" i="1"/>
  <c r="Q30" i="1"/>
  <c r="I30" i="1"/>
  <c r="F31" i="1" s="1"/>
  <c r="L30" i="1"/>
  <c r="T30" i="1"/>
  <c r="O30" i="1"/>
  <c r="A32" i="1"/>
  <c r="B33" i="1"/>
  <c r="D34" i="35"/>
  <c r="H33" i="30"/>
  <c r="T25" i="34"/>
  <c r="V24" i="34"/>
  <c r="U24" i="34"/>
  <c r="W24" i="34" s="1"/>
  <c r="BB63" i="5"/>
  <c r="BC63" i="5" s="1"/>
  <c r="BA63" i="5"/>
  <c r="W24" i="32"/>
  <c r="D26" i="31"/>
  <c r="C27" i="31"/>
  <c r="T26" i="32"/>
  <c r="U25" i="32"/>
  <c r="W25" i="32" s="1"/>
  <c r="V25" i="32"/>
  <c r="B36" i="35"/>
  <c r="I64" i="5" s="1"/>
  <c r="I35" i="35"/>
  <c r="D63" i="5" s="1"/>
  <c r="E35" i="35"/>
  <c r="L35" i="35"/>
  <c r="M35" i="35" s="1"/>
  <c r="G35" i="35"/>
  <c r="F35" i="35"/>
  <c r="D35" i="35"/>
  <c r="AV33" i="30"/>
  <c r="G63" i="5"/>
  <c r="H63" i="5"/>
  <c r="A65" i="5"/>
  <c r="AI65" i="5" s="1"/>
  <c r="N64" i="5"/>
  <c r="R64" i="5" s="1"/>
  <c r="S64" i="5" s="1"/>
  <c r="W64" i="5" s="1"/>
  <c r="AZ64" i="5"/>
  <c r="BD64" i="5"/>
  <c r="AT64" i="5"/>
  <c r="U64" i="5"/>
  <c r="AR64" i="5"/>
  <c r="AS64" i="5" s="1"/>
  <c r="AU64" i="5"/>
  <c r="AV64" i="5"/>
  <c r="AN64" i="5"/>
  <c r="AO64" i="5" s="1"/>
  <c r="P34" i="30"/>
  <c r="E34" i="30"/>
  <c r="F34" i="30"/>
  <c r="G34" i="30"/>
  <c r="C35" i="30"/>
  <c r="C63" i="5"/>
  <c r="I63" i="5"/>
  <c r="A24" i="5"/>
  <c r="AI24" i="5" s="1"/>
  <c r="Z25" i="5"/>
  <c r="AA25" i="5" s="1"/>
  <c r="U25" i="5"/>
  <c r="V31" i="1"/>
  <c r="C31" i="1"/>
  <c r="E31" i="1"/>
  <c r="W31" i="1"/>
  <c r="J31" i="1"/>
  <c r="P31" i="1"/>
  <c r="N31" i="1"/>
  <c r="D31" i="1"/>
  <c r="S31" i="1"/>
  <c r="K31" i="1"/>
  <c r="U31" i="1"/>
  <c r="G31" i="1"/>
  <c r="N25" i="35" l="1"/>
  <c r="E53" i="5" s="1"/>
  <c r="AW55" i="5"/>
  <c r="M22" i="39"/>
  <c r="L22" i="39"/>
  <c r="K23" i="39"/>
  <c r="N26" i="35"/>
  <c r="E54" i="5" s="1"/>
  <c r="R35" i="30"/>
  <c r="B34" i="30"/>
  <c r="V64" i="5"/>
  <c r="G64" i="5"/>
  <c r="H64" i="5"/>
  <c r="C64" i="5"/>
  <c r="Q31" i="1"/>
  <c r="R31" i="1"/>
  <c r="T31" i="1"/>
  <c r="L31" i="1"/>
  <c r="O31" i="1"/>
  <c r="I31" i="1"/>
  <c r="F32" i="1" s="1"/>
  <c r="BB64" i="5"/>
  <c r="BC64" i="5" s="1"/>
  <c r="BA64" i="5"/>
  <c r="A66" i="5"/>
  <c r="AI66" i="5" s="1"/>
  <c r="N65" i="5"/>
  <c r="R65" i="5" s="1"/>
  <c r="S65" i="5" s="1"/>
  <c r="W65" i="5" s="1"/>
  <c r="AZ65" i="5"/>
  <c r="AR65" i="5"/>
  <c r="AS65" i="5" s="1"/>
  <c r="BD65" i="5"/>
  <c r="AV65" i="5"/>
  <c r="AN65" i="5"/>
  <c r="AO65" i="5" s="1"/>
  <c r="AT65" i="5"/>
  <c r="AU65" i="5"/>
  <c r="U65" i="5"/>
  <c r="D27" i="31"/>
  <c r="C28" i="31"/>
  <c r="A33" i="1"/>
  <c r="B34" i="1"/>
  <c r="Z24" i="5"/>
  <c r="AA24" i="5" s="1"/>
  <c r="A23" i="5"/>
  <c r="AI23" i="5" s="1"/>
  <c r="U24" i="5"/>
  <c r="P35" i="30"/>
  <c r="E35" i="30"/>
  <c r="G35" i="30"/>
  <c r="C36" i="30"/>
  <c r="F35" i="30"/>
  <c r="H34" i="30"/>
  <c r="D36" i="35" s="1"/>
  <c r="B37" i="35"/>
  <c r="H65" i="5" s="1"/>
  <c r="F36" i="35"/>
  <c r="G36" i="35"/>
  <c r="L36" i="35"/>
  <c r="M36" i="35" s="1"/>
  <c r="E36" i="35"/>
  <c r="I36" i="35"/>
  <c r="D64" i="5" s="1"/>
  <c r="U26" i="32"/>
  <c r="W26" i="32" s="1"/>
  <c r="T27" i="32"/>
  <c r="V26" i="32"/>
  <c r="AV34" i="30"/>
  <c r="J64" i="5"/>
  <c r="U25" i="34"/>
  <c r="W25" i="34" s="1"/>
  <c r="T26" i="34"/>
  <c r="V25" i="34"/>
  <c r="C32" i="1"/>
  <c r="W32" i="1"/>
  <c r="K32" i="1"/>
  <c r="J32" i="1"/>
  <c r="S32" i="1"/>
  <c r="V32" i="1"/>
  <c r="D32" i="1"/>
  <c r="P32" i="1"/>
  <c r="U32" i="1"/>
  <c r="N32" i="1"/>
  <c r="E32" i="1"/>
  <c r="G32" i="1"/>
  <c r="M23" i="39" l="1"/>
  <c r="L23" i="39"/>
  <c r="K24" i="39"/>
  <c r="D26" i="30"/>
  <c r="S26" i="30" s="1"/>
  <c r="N28" i="35" s="1"/>
  <c r="E56" i="5" s="1"/>
  <c r="AW56" i="5"/>
  <c r="B35" i="30"/>
  <c r="R36" i="30"/>
  <c r="V65" i="5"/>
  <c r="I32" i="1"/>
  <c r="F33" i="1" s="1"/>
  <c r="T32" i="1"/>
  <c r="R32" i="1"/>
  <c r="L32" i="1"/>
  <c r="Q32" i="1"/>
  <c r="O32" i="1"/>
  <c r="AV35" i="30"/>
  <c r="A22" i="5"/>
  <c r="AI22" i="5" s="1"/>
  <c r="Z23" i="5"/>
  <c r="AA23" i="5" s="1"/>
  <c r="U23" i="5"/>
  <c r="I65" i="5"/>
  <c r="T27" i="34"/>
  <c r="V26" i="34"/>
  <c r="U26" i="34"/>
  <c r="W26" i="34" s="1"/>
  <c r="P36" i="30"/>
  <c r="J66" i="5" s="1"/>
  <c r="E36" i="30"/>
  <c r="F36" i="30"/>
  <c r="G36" i="30"/>
  <c r="C37" i="30"/>
  <c r="D28" i="31"/>
  <c r="C29" i="31"/>
  <c r="BB65" i="5"/>
  <c r="BC65" i="5" s="1"/>
  <c r="BA65" i="5"/>
  <c r="A67" i="5"/>
  <c r="AI67" i="5" s="1"/>
  <c r="N66" i="5"/>
  <c r="R66" i="5" s="1"/>
  <c r="S66" i="5" s="1"/>
  <c r="W66" i="5" s="1"/>
  <c r="AZ66" i="5"/>
  <c r="BD66" i="5"/>
  <c r="U66" i="5"/>
  <c r="AT66" i="5"/>
  <c r="AU66" i="5"/>
  <c r="AV66" i="5"/>
  <c r="AR66" i="5"/>
  <c r="AS66" i="5" s="1"/>
  <c r="AN66" i="5"/>
  <c r="AO66" i="5" s="1"/>
  <c r="A34" i="1"/>
  <c r="B35" i="1"/>
  <c r="G65" i="5"/>
  <c r="U27" i="32"/>
  <c r="AW57" i="5" s="1"/>
  <c r="T28" i="32"/>
  <c r="V27" i="32"/>
  <c r="B38" i="35"/>
  <c r="I66" i="5" s="1"/>
  <c r="L37" i="35"/>
  <c r="M37" i="35" s="1"/>
  <c r="E37" i="35"/>
  <c r="I37" i="35"/>
  <c r="D65" i="5" s="1"/>
  <c r="G37" i="35"/>
  <c r="F37" i="35"/>
  <c r="H35" i="30"/>
  <c r="C65" i="5"/>
  <c r="J65" i="5"/>
  <c r="V33" i="1"/>
  <c r="W33" i="1"/>
  <c r="P33" i="1"/>
  <c r="C33" i="1"/>
  <c r="E33" i="1"/>
  <c r="N33" i="1"/>
  <c r="K33" i="1"/>
  <c r="J33" i="1"/>
  <c r="D33" i="1"/>
  <c r="S33" i="1"/>
  <c r="U33" i="1"/>
  <c r="G33" i="1"/>
  <c r="M24" i="39" l="1"/>
  <c r="L24" i="39"/>
  <c r="K25" i="39"/>
  <c r="R37" i="30"/>
  <c r="B36" i="30"/>
  <c r="V66" i="5"/>
  <c r="G66" i="5"/>
  <c r="H66" i="5"/>
  <c r="T33" i="1"/>
  <c r="L33" i="1"/>
  <c r="Q33" i="1"/>
  <c r="I33" i="1"/>
  <c r="F34" i="1" s="1"/>
  <c r="O33" i="1"/>
  <c r="R33" i="1"/>
  <c r="U27" i="34"/>
  <c r="W27" i="34" s="1"/>
  <c r="T28" i="34"/>
  <c r="V27" i="34"/>
  <c r="A21" i="5"/>
  <c r="AI21" i="5" s="1"/>
  <c r="Z22" i="5"/>
  <c r="AA22" i="5" s="1"/>
  <c r="U22" i="5"/>
  <c r="B39" i="35"/>
  <c r="H67" i="5" s="1"/>
  <c r="G38" i="35"/>
  <c r="F38" i="35"/>
  <c r="I38" i="35"/>
  <c r="D66" i="5" s="1"/>
  <c r="E38" i="35"/>
  <c r="L38" i="35"/>
  <c r="M38" i="35" s="1"/>
  <c r="C66" i="5"/>
  <c r="BB66" i="5"/>
  <c r="BC66" i="5" s="1"/>
  <c r="BA66" i="5"/>
  <c r="P37" i="30"/>
  <c r="J67" i="5" s="1"/>
  <c r="E37" i="30"/>
  <c r="G37" i="30"/>
  <c r="C38" i="30"/>
  <c r="F37" i="30"/>
  <c r="H36" i="30"/>
  <c r="D37" i="35"/>
  <c r="U28" i="32"/>
  <c r="AW58" i="5" s="1"/>
  <c r="T29" i="32"/>
  <c r="V28" i="32"/>
  <c r="A35" i="1"/>
  <c r="B36" i="1"/>
  <c r="D29" i="31"/>
  <c r="C30" i="31"/>
  <c r="AV36" i="30"/>
  <c r="W27" i="32"/>
  <c r="A68" i="5"/>
  <c r="AI68" i="5" s="1"/>
  <c r="N67" i="5"/>
  <c r="R67" i="5" s="1"/>
  <c r="S67" i="5" s="1"/>
  <c r="W67" i="5" s="1"/>
  <c r="AZ67" i="5"/>
  <c r="AR67" i="5"/>
  <c r="AS67" i="5" s="1"/>
  <c r="BD67" i="5"/>
  <c r="AU67" i="5"/>
  <c r="AT67" i="5"/>
  <c r="AV67" i="5"/>
  <c r="U67" i="5"/>
  <c r="AN67" i="5"/>
  <c r="AO67" i="5" s="1"/>
  <c r="U34" i="1"/>
  <c r="W34" i="1"/>
  <c r="E34" i="1"/>
  <c r="K34" i="1"/>
  <c r="V34" i="1"/>
  <c r="P34" i="1"/>
  <c r="J34" i="1"/>
  <c r="D34" i="1"/>
  <c r="C34" i="1"/>
  <c r="N34" i="1"/>
  <c r="S34" i="1"/>
  <c r="G34" i="1"/>
  <c r="M25" i="39" l="1"/>
  <c r="L25" i="39"/>
  <c r="K26" i="39"/>
  <c r="L34" i="1"/>
  <c r="B37" i="30"/>
  <c r="R38" i="30"/>
  <c r="V67" i="5"/>
  <c r="G67" i="5"/>
  <c r="I67" i="5"/>
  <c r="C67" i="5"/>
  <c r="R34" i="1"/>
  <c r="E46" i="1"/>
  <c r="T34" i="1"/>
  <c r="G46" i="1"/>
  <c r="Q34" i="1"/>
  <c r="O34" i="1"/>
  <c r="D46" i="1"/>
  <c r="I34" i="1"/>
  <c r="F35" i="1" s="1"/>
  <c r="C46" i="1"/>
  <c r="AV37" i="30"/>
  <c r="B40" i="35"/>
  <c r="H68" i="5" s="1"/>
  <c r="I39" i="35"/>
  <c r="D67" i="5" s="1"/>
  <c r="E39" i="35"/>
  <c r="L39" i="35"/>
  <c r="M39" i="35" s="1"/>
  <c r="G39" i="35"/>
  <c r="F39" i="35"/>
  <c r="P38" i="30"/>
  <c r="E38" i="30"/>
  <c r="F38" i="30"/>
  <c r="G38" i="30"/>
  <c r="C39" i="30"/>
  <c r="T29" i="34"/>
  <c r="V28" i="34"/>
  <c r="U28" i="34"/>
  <c r="W28" i="34" s="1"/>
  <c r="B37" i="1"/>
  <c r="A36" i="1"/>
  <c r="BB67" i="5"/>
  <c r="BC67" i="5" s="1"/>
  <c r="BA67" i="5"/>
  <c r="U29" i="32"/>
  <c r="W29" i="32" s="1"/>
  <c r="T30" i="32"/>
  <c r="V29" i="32"/>
  <c r="D38" i="35"/>
  <c r="A69" i="5"/>
  <c r="AI69" i="5" s="1"/>
  <c r="N68" i="5"/>
  <c r="R68" i="5" s="1"/>
  <c r="S68" i="5" s="1"/>
  <c r="W68" i="5" s="1"/>
  <c r="AZ68" i="5"/>
  <c r="BD68" i="5"/>
  <c r="AT68" i="5"/>
  <c r="U68" i="5"/>
  <c r="AV68" i="5"/>
  <c r="J68" i="5"/>
  <c r="AN68" i="5"/>
  <c r="AO68" i="5" s="1"/>
  <c r="AU68" i="5"/>
  <c r="AR68" i="5"/>
  <c r="AS68" i="5" s="1"/>
  <c r="D30" i="31"/>
  <c r="C31" i="31"/>
  <c r="W28" i="32"/>
  <c r="H37" i="30"/>
  <c r="D39" i="35" s="1"/>
  <c r="A20" i="5"/>
  <c r="AI20" i="5" s="1"/>
  <c r="Z21" i="5"/>
  <c r="AA21" i="5" s="1"/>
  <c r="U21" i="5"/>
  <c r="E35" i="1"/>
  <c r="W35" i="1"/>
  <c r="N35" i="1"/>
  <c r="D35" i="1"/>
  <c r="P35" i="1"/>
  <c r="C35" i="1"/>
  <c r="S35" i="1"/>
  <c r="U35" i="1"/>
  <c r="J35" i="1"/>
  <c r="V35" i="1"/>
  <c r="K35" i="1"/>
  <c r="G35" i="1"/>
  <c r="M26" i="39" l="1"/>
  <c r="L26" i="39"/>
  <c r="K27" i="39"/>
  <c r="B38" i="30"/>
  <c r="R39" i="30"/>
  <c r="V68" i="5"/>
  <c r="C68" i="5"/>
  <c r="I68" i="5"/>
  <c r="G68" i="5"/>
  <c r="H38" i="30"/>
  <c r="D40" i="35" s="1"/>
  <c r="L35" i="1"/>
  <c r="Q35" i="1"/>
  <c r="I35" i="1"/>
  <c r="F36" i="1" s="1"/>
  <c r="R35" i="1"/>
  <c r="O35" i="1"/>
  <c r="T35" i="1"/>
  <c r="B41" i="35"/>
  <c r="G69" i="5" s="1"/>
  <c r="F40" i="35"/>
  <c r="G40" i="35"/>
  <c r="L40" i="35"/>
  <c r="M40" i="35" s="1"/>
  <c r="E40" i="35"/>
  <c r="I40" i="35"/>
  <c r="D68" i="5" s="1"/>
  <c r="P39" i="30"/>
  <c r="J69" i="5" s="1"/>
  <c r="E39" i="30"/>
  <c r="G39" i="30"/>
  <c r="C40" i="30"/>
  <c r="F39" i="30"/>
  <c r="D31" i="31"/>
  <c r="C32" i="31"/>
  <c r="U30" i="32"/>
  <c r="W30" i="32" s="1"/>
  <c r="T31" i="32"/>
  <c r="V30" i="32"/>
  <c r="U29" i="34"/>
  <c r="W29" i="34" s="1"/>
  <c r="T30" i="34"/>
  <c r="V29" i="34"/>
  <c r="BB68" i="5"/>
  <c r="BC68" i="5" s="1"/>
  <c r="BA68" i="5"/>
  <c r="A70" i="5"/>
  <c r="AI70" i="5" s="1"/>
  <c r="AZ69" i="5"/>
  <c r="N69" i="5"/>
  <c r="R69" i="5" s="1"/>
  <c r="S69" i="5" s="1"/>
  <c r="W69" i="5" s="1"/>
  <c r="AR69" i="5"/>
  <c r="AS69" i="5" s="1"/>
  <c r="BD69" i="5"/>
  <c r="AT69" i="5"/>
  <c r="U69" i="5"/>
  <c r="AV69" i="5"/>
  <c r="AU69" i="5"/>
  <c r="AN69" i="5"/>
  <c r="AO69" i="5" s="1"/>
  <c r="B38" i="1"/>
  <c r="A37" i="1"/>
  <c r="AV38" i="30"/>
  <c r="Z20" i="5"/>
  <c r="AA20" i="5" s="1"/>
  <c r="A19" i="5"/>
  <c r="AI19" i="5" s="1"/>
  <c r="U20" i="5"/>
  <c r="U36" i="1"/>
  <c r="N36" i="1"/>
  <c r="K36" i="1"/>
  <c r="W36" i="1"/>
  <c r="C36" i="1"/>
  <c r="P36" i="1"/>
  <c r="V36" i="1"/>
  <c r="E36" i="1"/>
  <c r="S36" i="1"/>
  <c r="J36" i="1"/>
  <c r="D36" i="1"/>
  <c r="G36" i="1"/>
  <c r="B39" i="30" l="1"/>
  <c r="M27" i="39"/>
  <c r="L27" i="39"/>
  <c r="K28" i="39"/>
  <c r="R40" i="30"/>
  <c r="V69" i="5"/>
  <c r="H69" i="5"/>
  <c r="C69" i="5"/>
  <c r="I69" i="5"/>
  <c r="I36" i="1"/>
  <c r="F37" i="1" s="1"/>
  <c r="L36" i="1"/>
  <c r="Q36" i="1"/>
  <c r="R36" i="1"/>
  <c r="T36" i="1"/>
  <c r="O36" i="1"/>
  <c r="A38" i="1"/>
  <c r="B39" i="1"/>
  <c r="BB69" i="5"/>
  <c r="BC69" i="5" s="1"/>
  <c r="BA69" i="5"/>
  <c r="A71" i="5"/>
  <c r="AI71" i="5" s="1"/>
  <c r="N70" i="5"/>
  <c r="R70" i="5" s="1"/>
  <c r="S70" i="5" s="1"/>
  <c r="W70" i="5" s="1"/>
  <c r="AZ70" i="5"/>
  <c r="AT70" i="5"/>
  <c r="U70" i="5"/>
  <c r="AR70" i="5"/>
  <c r="AS70" i="5" s="1"/>
  <c r="AU70" i="5"/>
  <c r="AV70" i="5"/>
  <c r="BD70" i="5"/>
  <c r="AN70" i="5"/>
  <c r="AO70" i="5" s="1"/>
  <c r="V30" i="34"/>
  <c r="U30" i="34"/>
  <c r="W30" i="34" s="1"/>
  <c r="T31" i="34"/>
  <c r="P40" i="30"/>
  <c r="J70" i="5" s="1"/>
  <c r="E40" i="30"/>
  <c r="F40" i="30"/>
  <c r="G40" i="30"/>
  <c r="C41" i="30"/>
  <c r="B42" i="35"/>
  <c r="L41" i="35"/>
  <c r="M41" i="35" s="1"/>
  <c r="E41" i="35"/>
  <c r="I41" i="35"/>
  <c r="D69" i="5" s="1"/>
  <c r="G41" i="35"/>
  <c r="F41" i="35"/>
  <c r="H39" i="30"/>
  <c r="D41" i="35" s="1"/>
  <c r="A18" i="5"/>
  <c r="AI18" i="5" s="1"/>
  <c r="Z19" i="5"/>
  <c r="AA19" i="5" s="1"/>
  <c r="U19" i="5"/>
  <c r="U31" i="32"/>
  <c r="T32" i="32"/>
  <c r="V31" i="32"/>
  <c r="D32" i="31"/>
  <c r="C33" i="31"/>
  <c r="AV39" i="30"/>
  <c r="C37" i="1"/>
  <c r="J37" i="1"/>
  <c r="E37" i="1"/>
  <c r="N37" i="1"/>
  <c r="K37" i="1"/>
  <c r="W37" i="1"/>
  <c r="S37" i="1"/>
  <c r="V37" i="1"/>
  <c r="U37" i="1"/>
  <c r="P37" i="1"/>
  <c r="D37" i="1"/>
  <c r="G37" i="1"/>
  <c r="B40" i="30" l="1"/>
  <c r="W31" i="32"/>
  <c r="D31" i="30"/>
  <c r="S31" i="30" s="1"/>
  <c r="N33" i="35" s="1"/>
  <c r="E61" i="5" s="1"/>
  <c r="M28" i="39"/>
  <c r="L28" i="39"/>
  <c r="K29" i="39"/>
  <c r="AW61" i="5"/>
  <c r="R41" i="30"/>
  <c r="V70" i="5"/>
  <c r="T37" i="1"/>
  <c r="Q37" i="1"/>
  <c r="I37" i="1"/>
  <c r="F38" i="1" s="1"/>
  <c r="L37" i="1"/>
  <c r="O37" i="1"/>
  <c r="R37" i="1"/>
  <c r="P41" i="30"/>
  <c r="J71" i="5" s="1"/>
  <c r="E41" i="30"/>
  <c r="G41" i="30"/>
  <c r="C42" i="30"/>
  <c r="F41" i="30"/>
  <c r="H40" i="30"/>
  <c r="D42" i="35" s="1"/>
  <c r="T32" i="34"/>
  <c r="V31" i="34"/>
  <c r="U31" i="34"/>
  <c r="W31" i="34" s="1"/>
  <c r="BB70" i="5"/>
  <c r="BC70" i="5" s="1"/>
  <c r="BA70" i="5"/>
  <c r="U32" i="32"/>
  <c r="AW62" i="5" s="1"/>
  <c r="T33" i="32"/>
  <c r="V32" i="32"/>
  <c r="D33" i="31"/>
  <c r="C34" i="31"/>
  <c r="A17" i="5"/>
  <c r="AI17" i="5" s="1"/>
  <c r="Z18" i="5"/>
  <c r="AA18" i="5" s="1"/>
  <c r="U18" i="5"/>
  <c r="B43" i="35"/>
  <c r="G71" i="5" s="1"/>
  <c r="G42" i="35"/>
  <c r="F42" i="35"/>
  <c r="I42" i="35"/>
  <c r="D70" i="5" s="1"/>
  <c r="E42" i="35"/>
  <c r="L42" i="35"/>
  <c r="M42" i="35" s="1"/>
  <c r="AV40" i="30"/>
  <c r="C70" i="5"/>
  <c r="A39" i="1"/>
  <c r="B40" i="1"/>
  <c r="H70" i="5"/>
  <c r="I70" i="5"/>
  <c r="G70" i="5"/>
  <c r="A72" i="5"/>
  <c r="AI72" i="5" s="1"/>
  <c r="N71" i="5"/>
  <c r="R71" i="5" s="1"/>
  <c r="S71" i="5" s="1"/>
  <c r="W71" i="5" s="1"/>
  <c r="AZ71" i="5"/>
  <c r="AR71" i="5"/>
  <c r="AS71" i="5" s="1"/>
  <c r="BD71" i="5"/>
  <c r="AT71" i="5"/>
  <c r="U71" i="5"/>
  <c r="AU71" i="5"/>
  <c r="AN71" i="5"/>
  <c r="AO71" i="5" s="1"/>
  <c r="AV71" i="5"/>
  <c r="K38" i="1"/>
  <c r="J38" i="1"/>
  <c r="D38" i="1"/>
  <c r="P38" i="1"/>
  <c r="E38" i="1"/>
  <c r="N38" i="1"/>
  <c r="C38" i="1"/>
  <c r="S38" i="1"/>
  <c r="W38" i="1"/>
  <c r="U38" i="1"/>
  <c r="V38" i="1"/>
  <c r="G38" i="1"/>
  <c r="D32" i="30" l="1"/>
  <c r="S32" i="30" s="1"/>
  <c r="N34" i="35" s="1"/>
  <c r="E62" i="5" s="1"/>
  <c r="M29" i="39"/>
  <c r="L29" i="39"/>
  <c r="K30" i="39"/>
  <c r="B41" i="30"/>
  <c r="R42" i="30"/>
  <c r="V71" i="5"/>
  <c r="H71" i="5"/>
  <c r="I71" i="5"/>
  <c r="C71" i="5"/>
  <c r="T38" i="1"/>
  <c r="R38" i="1"/>
  <c r="O38" i="1"/>
  <c r="L38" i="1"/>
  <c r="I38" i="1"/>
  <c r="F39" i="1" s="1"/>
  <c r="Q38" i="1"/>
  <c r="A40" i="1"/>
  <c r="B41" i="1"/>
  <c r="T34" i="32"/>
  <c r="U33" i="32"/>
  <c r="W33" i="32" s="1"/>
  <c r="V33" i="32"/>
  <c r="A16" i="5"/>
  <c r="AI16" i="5" s="1"/>
  <c r="Z17" i="5"/>
  <c r="AA17" i="5" s="1"/>
  <c r="U17" i="5"/>
  <c r="AV41" i="30"/>
  <c r="P42" i="30"/>
  <c r="J72" i="5" s="1"/>
  <c r="E42" i="30"/>
  <c r="F42" i="30"/>
  <c r="G42" i="30"/>
  <c r="C43" i="30"/>
  <c r="V32" i="34"/>
  <c r="U32" i="34"/>
  <c r="W32" i="34" s="1"/>
  <c r="T33" i="34"/>
  <c r="BB71" i="5"/>
  <c r="BC71" i="5" s="1"/>
  <c r="BA71" i="5"/>
  <c r="A73" i="5"/>
  <c r="AI73" i="5" s="1"/>
  <c r="N72" i="5"/>
  <c r="R72" i="5" s="1"/>
  <c r="S72" i="5" s="1"/>
  <c r="W72" i="5" s="1"/>
  <c r="AZ72" i="5"/>
  <c r="AT72" i="5"/>
  <c r="AR72" i="5"/>
  <c r="AS72" i="5" s="1"/>
  <c r="U72" i="5"/>
  <c r="BD72" i="5"/>
  <c r="AV72" i="5"/>
  <c r="AU72" i="5"/>
  <c r="AN72" i="5"/>
  <c r="AO72" i="5" s="1"/>
  <c r="B44" i="35"/>
  <c r="G72" i="5" s="1"/>
  <c r="I43" i="35"/>
  <c r="D71" i="5" s="1"/>
  <c r="E43" i="35"/>
  <c r="L43" i="35"/>
  <c r="M43" i="35" s="1"/>
  <c r="G43" i="35"/>
  <c r="F43" i="35"/>
  <c r="D34" i="31"/>
  <c r="C35" i="31"/>
  <c r="W32" i="32"/>
  <c r="H41" i="30"/>
  <c r="V39" i="1"/>
  <c r="U39" i="1"/>
  <c r="N39" i="1"/>
  <c r="C39" i="1"/>
  <c r="P39" i="1"/>
  <c r="E39" i="1"/>
  <c r="D39" i="1"/>
  <c r="K39" i="1"/>
  <c r="S39" i="1"/>
  <c r="J39" i="1"/>
  <c r="W39" i="1"/>
  <c r="G39" i="1"/>
  <c r="M30" i="39" l="1"/>
  <c r="L30" i="39"/>
  <c r="K31" i="39"/>
  <c r="AW63" i="5"/>
  <c r="R43" i="30"/>
  <c r="B42" i="30"/>
  <c r="V72" i="5"/>
  <c r="H72" i="5"/>
  <c r="C72" i="5"/>
  <c r="I39" i="1"/>
  <c r="F40" i="1" s="1"/>
  <c r="Q39" i="1"/>
  <c r="R39" i="1"/>
  <c r="L39" i="1"/>
  <c r="O39" i="1"/>
  <c r="T39" i="1"/>
  <c r="D43" i="35"/>
  <c r="T34" i="34"/>
  <c r="V33" i="34"/>
  <c r="U33" i="34"/>
  <c r="W33" i="34" s="1"/>
  <c r="AV42" i="30"/>
  <c r="Z16" i="5"/>
  <c r="AA16" i="5" s="1"/>
  <c r="A15" i="5"/>
  <c r="AI15" i="5" s="1"/>
  <c r="U16" i="5"/>
  <c r="U34" i="32"/>
  <c r="AW64" i="5" s="1"/>
  <c r="T35" i="32"/>
  <c r="V34" i="32"/>
  <c r="B42" i="1"/>
  <c r="A41" i="1"/>
  <c r="D35" i="31"/>
  <c r="C36" i="31"/>
  <c r="B45" i="35"/>
  <c r="I73" i="5" s="1"/>
  <c r="G44" i="35"/>
  <c r="E44" i="35"/>
  <c r="L44" i="35"/>
  <c r="M44" i="35" s="1"/>
  <c r="F44" i="35"/>
  <c r="I44" i="35"/>
  <c r="D72" i="5" s="1"/>
  <c r="I72" i="5"/>
  <c r="BB72" i="5"/>
  <c r="BC72" i="5" s="1"/>
  <c r="BA72" i="5"/>
  <c r="A74" i="5"/>
  <c r="AI74" i="5" s="1"/>
  <c r="N73" i="5"/>
  <c r="R73" i="5" s="1"/>
  <c r="S73" i="5" s="1"/>
  <c r="W73" i="5" s="1"/>
  <c r="AZ73" i="5"/>
  <c r="AR73" i="5"/>
  <c r="AS73" i="5" s="1"/>
  <c r="BD73" i="5"/>
  <c r="AT73" i="5"/>
  <c r="U73" i="5"/>
  <c r="AU73" i="5"/>
  <c r="AV73" i="5"/>
  <c r="AN73" i="5"/>
  <c r="AO73" i="5" s="1"/>
  <c r="P43" i="30"/>
  <c r="J73" i="5" s="1"/>
  <c r="E43" i="30"/>
  <c r="G43" i="30"/>
  <c r="C44" i="30"/>
  <c r="F43" i="30"/>
  <c r="H42" i="30"/>
  <c r="C40" i="1"/>
  <c r="W40" i="1"/>
  <c r="J40" i="1"/>
  <c r="K40" i="1"/>
  <c r="P40" i="1"/>
  <c r="V40" i="1"/>
  <c r="D40" i="1"/>
  <c r="N40" i="1"/>
  <c r="S40" i="1"/>
  <c r="E40" i="1"/>
  <c r="U40" i="1"/>
  <c r="G40" i="1"/>
  <c r="M31" i="39" l="1"/>
  <c r="L31" i="39"/>
  <c r="K32" i="39"/>
  <c r="B43" i="30"/>
  <c r="R44" i="30"/>
  <c r="V73" i="5"/>
  <c r="H73" i="5"/>
  <c r="C73" i="5"/>
  <c r="G73" i="5"/>
  <c r="Q40" i="1"/>
  <c r="T40" i="1"/>
  <c r="I40" i="1"/>
  <c r="F41" i="1" s="1"/>
  <c r="O40" i="1"/>
  <c r="R40" i="1"/>
  <c r="L40" i="1"/>
  <c r="B43" i="1"/>
  <c r="A43" i="1" s="1"/>
  <c r="A42" i="1"/>
  <c r="T36" i="32"/>
  <c r="U35" i="32"/>
  <c r="W35" i="32" s="1"/>
  <c r="V35" i="32"/>
  <c r="H43" i="30"/>
  <c r="D36" i="31"/>
  <c r="C37" i="31"/>
  <c r="W34" i="32"/>
  <c r="A14" i="5"/>
  <c r="AI14" i="5" s="1"/>
  <c r="Z15" i="5"/>
  <c r="AA15" i="5" s="1"/>
  <c r="U15" i="5"/>
  <c r="V34" i="34"/>
  <c r="U34" i="34"/>
  <c r="W34" i="34" s="1"/>
  <c r="T35" i="34"/>
  <c r="P44" i="30"/>
  <c r="J74" i="5" s="1"/>
  <c r="E44" i="30"/>
  <c r="F44" i="30"/>
  <c r="G44" i="30"/>
  <c r="C45" i="30"/>
  <c r="AV43" i="30"/>
  <c r="BB73" i="5"/>
  <c r="BC73" i="5" s="1"/>
  <c r="BA73" i="5"/>
  <c r="A75" i="5"/>
  <c r="AI75" i="5" s="1"/>
  <c r="N74" i="5"/>
  <c r="R74" i="5" s="1"/>
  <c r="S74" i="5" s="1"/>
  <c r="W74" i="5" s="1"/>
  <c r="AZ74" i="5"/>
  <c r="BD74" i="5"/>
  <c r="AT74" i="5"/>
  <c r="U74" i="5"/>
  <c r="AR74" i="5"/>
  <c r="AS74" i="5" s="1"/>
  <c r="AU74" i="5"/>
  <c r="AV74" i="5"/>
  <c r="AN74" i="5"/>
  <c r="AO74" i="5" s="1"/>
  <c r="D44" i="35"/>
  <c r="B46" i="35"/>
  <c r="G74" i="5" s="1"/>
  <c r="L45" i="35"/>
  <c r="M45" i="35" s="1"/>
  <c r="E45" i="35"/>
  <c r="I45" i="35"/>
  <c r="D73" i="5" s="1"/>
  <c r="G45" i="35"/>
  <c r="F45" i="35"/>
  <c r="D45" i="35"/>
  <c r="U41" i="1"/>
  <c r="W41" i="1"/>
  <c r="C41" i="1"/>
  <c r="S41" i="1"/>
  <c r="J41" i="1"/>
  <c r="E41" i="1"/>
  <c r="N41" i="1"/>
  <c r="D41" i="1"/>
  <c r="V41" i="1"/>
  <c r="K41" i="1"/>
  <c r="P41" i="1"/>
  <c r="G41" i="1"/>
  <c r="AW65" i="5" l="1"/>
  <c r="M32" i="39"/>
  <c r="L32" i="39"/>
  <c r="K33" i="39"/>
  <c r="R45" i="30"/>
  <c r="B44" i="30"/>
  <c r="V74" i="5"/>
  <c r="T41" i="1"/>
  <c r="L41" i="1"/>
  <c r="I41" i="1"/>
  <c r="F42" i="1" s="1"/>
  <c r="Q41" i="1"/>
  <c r="R41" i="1"/>
  <c r="O41" i="1"/>
  <c r="B47" i="35"/>
  <c r="G75" i="5" s="1"/>
  <c r="G46" i="35"/>
  <c r="F46" i="35"/>
  <c r="I46" i="35"/>
  <c r="D74" i="5" s="1"/>
  <c r="E46" i="35"/>
  <c r="L46" i="35"/>
  <c r="M46" i="35" s="1"/>
  <c r="C74" i="5"/>
  <c r="H74" i="5"/>
  <c r="BB74" i="5"/>
  <c r="BC74" i="5" s="1"/>
  <c r="BA74" i="5"/>
  <c r="AV44" i="30"/>
  <c r="U36" i="32"/>
  <c r="AW66" i="5" s="1"/>
  <c r="T37" i="32"/>
  <c r="V36" i="32"/>
  <c r="A13" i="5"/>
  <c r="AI13" i="5" s="1"/>
  <c r="Z14" i="5"/>
  <c r="AA14" i="5" s="1"/>
  <c r="U14" i="5"/>
  <c r="D37" i="31"/>
  <c r="C38" i="31"/>
  <c r="A76" i="5"/>
  <c r="AI76" i="5" s="1"/>
  <c r="N75" i="5"/>
  <c r="R75" i="5" s="1"/>
  <c r="S75" i="5" s="1"/>
  <c r="W75" i="5" s="1"/>
  <c r="AZ75" i="5"/>
  <c r="AR75" i="5"/>
  <c r="AS75" i="5" s="1"/>
  <c r="BD75" i="5"/>
  <c r="AT75" i="5"/>
  <c r="AV75" i="5"/>
  <c r="AU75" i="5"/>
  <c r="U75" i="5"/>
  <c r="AN75" i="5"/>
  <c r="AO75" i="5" s="1"/>
  <c r="I74" i="5"/>
  <c r="P45" i="30"/>
  <c r="E45" i="30"/>
  <c r="G45" i="30"/>
  <c r="C46" i="30"/>
  <c r="F45" i="30"/>
  <c r="H44" i="30"/>
  <c r="D46" i="35" s="1"/>
  <c r="T36" i="34"/>
  <c r="V35" i="34"/>
  <c r="U35" i="34"/>
  <c r="W35" i="34" s="1"/>
  <c r="K43" i="1"/>
  <c r="W42" i="1"/>
  <c r="D42" i="1"/>
  <c r="J43" i="1"/>
  <c r="K42" i="1"/>
  <c r="E42" i="1"/>
  <c r="U43" i="1"/>
  <c r="D43" i="1"/>
  <c r="C42" i="1"/>
  <c r="S43" i="1"/>
  <c r="U42" i="1"/>
  <c r="C43" i="1"/>
  <c r="P43" i="1"/>
  <c r="J42" i="1"/>
  <c r="E43" i="1"/>
  <c r="N43" i="1"/>
  <c r="N42" i="1"/>
  <c r="P42" i="1"/>
  <c r="V42" i="1"/>
  <c r="V43" i="1"/>
  <c r="S42" i="1"/>
  <c r="W43" i="1"/>
  <c r="G42" i="1"/>
  <c r="G43" i="1"/>
  <c r="B45" i="30" l="1"/>
  <c r="M33" i="39"/>
  <c r="L33" i="39"/>
  <c r="K34" i="39"/>
  <c r="D36" i="30"/>
  <c r="S36" i="30" s="1"/>
  <c r="N38" i="35" s="1"/>
  <c r="E66" i="5" s="1"/>
  <c r="R46" i="30"/>
  <c r="V75" i="5"/>
  <c r="I75" i="5"/>
  <c r="C75" i="5"/>
  <c r="H75" i="5"/>
  <c r="R43" i="1"/>
  <c r="Q42" i="1"/>
  <c r="L42" i="1"/>
  <c r="L43" i="1" s="1"/>
  <c r="Q43" i="1"/>
  <c r="T43" i="1"/>
  <c r="O42" i="1"/>
  <c r="I42" i="1"/>
  <c r="F43" i="1" s="1"/>
  <c r="I43" i="1" s="1"/>
  <c r="W10" i="2" s="1"/>
  <c r="R42" i="1"/>
  <c r="T42" i="1"/>
  <c r="O43" i="1"/>
  <c r="H45" i="30"/>
  <c r="D47" i="35" s="1"/>
  <c r="D38" i="31"/>
  <c r="C39" i="31"/>
  <c r="W36" i="32"/>
  <c r="B48" i="35"/>
  <c r="I76" i="5" s="1"/>
  <c r="I47" i="35"/>
  <c r="D75" i="5" s="1"/>
  <c r="E47" i="35"/>
  <c r="L47" i="35"/>
  <c r="M47" i="35" s="1"/>
  <c r="G47" i="35"/>
  <c r="F47" i="35"/>
  <c r="V36" i="34"/>
  <c r="U36" i="34"/>
  <c r="W36" i="34" s="1"/>
  <c r="T37" i="34"/>
  <c r="AV45" i="30"/>
  <c r="BB75" i="5"/>
  <c r="BC75" i="5" s="1"/>
  <c r="BA75" i="5"/>
  <c r="A12" i="5"/>
  <c r="AI12" i="5" s="1"/>
  <c r="Z13" i="5"/>
  <c r="AA13" i="5" s="1"/>
  <c r="U13" i="5"/>
  <c r="P46" i="30"/>
  <c r="J76" i="5" s="1"/>
  <c r="E46" i="30"/>
  <c r="F46" i="30"/>
  <c r="G46" i="30"/>
  <c r="C47" i="30"/>
  <c r="J75" i="5"/>
  <c r="A77" i="5"/>
  <c r="AI77" i="5" s="1"/>
  <c r="N76" i="5"/>
  <c r="R76" i="5" s="1"/>
  <c r="S76" i="5" s="1"/>
  <c r="W76" i="5" s="1"/>
  <c r="AZ76" i="5"/>
  <c r="BD76" i="5"/>
  <c r="AT76" i="5"/>
  <c r="U76" i="5"/>
  <c r="AR76" i="5"/>
  <c r="AS76" i="5" s="1"/>
  <c r="AU76" i="5"/>
  <c r="AV76" i="5"/>
  <c r="AN76" i="5"/>
  <c r="AO76" i="5" s="1"/>
  <c r="U37" i="32"/>
  <c r="W37" i="32" s="1"/>
  <c r="T38" i="32"/>
  <c r="V37" i="32"/>
  <c r="M34" i="39" l="1"/>
  <c r="L34" i="39"/>
  <c r="K35" i="39"/>
  <c r="B46" i="30"/>
  <c r="D37" i="30"/>
  <c r="S37" i="30" s="1"/>
  <c r="N39" i="35" s="1"/>
  <c r="E67" i="5" s="1"/>
  <c r="R47" i="30"/>
  <c r="V76" i="5"/>
  <c r="C76" i="5"/>
  <c r="H76" i="5"/>
  <c r="G76" i="5"/>
  <c r="BB76" i="5"/>
  <c r="BC76" i="5" s="1"/>
  <c r="BA76" i="5"/>
  <c r="A78" i="5"/>
  <c r="AI78" i="5" s="1"/>
  <c r="N77" i="5"/>
  <c r="R77" i="5" s="1"/>
  <c r="S77" i="5" s="1"/>
  <c r="W77" i="5" s="1"/>
  <c r="AZ77" i="5"/>
  <c r="AR77" i="5"/>
  <c r="AS77" i="5" s="1"/>
  <c r="BD77" i="5"/>
  <c r="AT77" i="5"/>
  <c r="U77" i="5"/>
  <c r="AV77" i="5"/>
  <c r="AN77" i="5"/>
  <c r="AO77" i="5" s="1"/>
  <c r="AU77" i="5"/>
  <c r="U38" i="32"/>
  <c r="AW68" i="5" s="1"/>
  <c r="T39" i="32"/>
  <c r="V38" i="32"/>
  <c r="Z12" i="5"/>
  <c r="AA12" i="5" s="1"/>
  <c r="A11" i="5"/>
  <c r="AI11" i="5" s="1"/>
  <c r="U12" i="5"/>
  <c r="D39" i="31"/>
  <c r="C40" i="31"/>
  <c r="P47" i="30"/>
  <c r="E47" i="30"/>
  <c r="G47" i="30"/>
  <c r="C48" i="30"/>
  <c r="F47" i="30"/>
  <c r="H46" i="30"/>
  <c r="T38" i="34"/>
  <c r="V37" i="34"/>
  <c r="U37" i="34"/>
  <c r="W37" i="34" s="1"/>
  <c r="AV46" i="30"/>
  <c r="B49" i="35"/>
  <c r="I77" i="5" s="1"/>
  <c r="G48" i="35"/>
  <c r="E48" i="35"/>
  <c r="L48" i="35"/>
  <c r="M48" i="35" s="1"/>
  <c r="F48" i="35"/>
  <c r="I48" i="35"/>
  <c r="D76" i="5" s="1"/>
  <c r="B47" i="30" l="1"/>
  <c r="M35" i="39"/>
  <c r="L35" i="39"/>
  <c r="K36" i="39"/>
  <c r="R48" i="30"/>
  <c r="V77" i="5"/>
  <c r="C77" i="5"/>
  <c r="AV47" i="30"/>
  <c r="B50" i="35"/>
  <c r="H78" i="5" s="1"/>
  <c r="L49" i="35"/>
  <c r="M49" i="35" s="1"/>
  <c r="E49" i="35"/>
  <c r="I49" i="35"/>
  <c r="D77" i="5" s="1"/>
  <c r="G49" i="35"/>
  <c r="F49" i="35"/>
  <c r="P48" i="30"/>
  <c r="E48" i="30"/>
  <c r="F48" i="30"/>
  <c r="C49" i="30"/>
  <c r="G48" i="30"/>
  <c r="D40" i="31"/>
  <c r="C41" i="31"/>
  <c r="U39" i="32"/>
  <c r="D39" i="30" s="1"/>
  <c r="S39" i="30" s="1"/>
  <c r="N41" i="35" s="1"/>
  <c r="E69" i="5" s="1"/>
  <c r="T40" i="32"/>
  <c r="V39" i="32"/>
  <c r="J77" i="5"/>
  <c r="D48" i="35"/>
  <c r="A10" i="5"/>
  <c r="AI10" i="5" s="1"/>
  <c r="Z11" i="5"/>
  <c r="AA11" i="5" s="1"/>
  <c r="U11" i="5"/>
  <c r="W38" i="32"/>
  <c r="H77" i="5"/>
  <c r="G77" i="5"/>
  <c r="V38" i="34"/>
  <c r="U38" i="34"/>
  <c r="W38" i="34" s="1"/>
  <c r="T39" i="34"/>
  <c r="H47" i="30"/>
  <c r="BB77" i="5"/>
  <c r="BC77" i="5" s="1"/>
  <c r="BA77" i="5"/>
  <c r="A79" i="5"/>
  <c r="AI79" i="5" s="1"/>
  <c r="N78" i="5"/>
  <c r="R78" i="5" s="1"/>
  <c r="S78" i="5" s="1"/>
  <c r="W78" i="5" s="1"/>
  <c r="AZ78" i="5"/>
  <c r="BD78" i="5"/>
  <c r="AT78" i="5"/>
  <c r="U78" i="5"/>
  <c r="AU78" i="5"/>
  <c r="AR78" i="5"/>
  <c r="AS78" i="5" s="1"/>
  <c r="AV78" i="5"/>
  <c r="AN78" i="5"/>
  <c r="AO78" i="5" s="1"/>
  <c r="M36" i="39" l="1"/>
  <c r="L36" i="39"/>
  <c r="K37" i="39"/>
  <c r="AW69" i="5"/>
  <c r="B48" i="30"/>
  <c r="R49" i="30"/>
  <c r="V78" i="5"/>
  <c r="C78" i="5"/>
  <c r="G78" i="5"/>
  <c r="I78" i="5"/>
  <c r="A9" i="5"/>
  <c r="AI9" i="5" s="1"/>
  <c r="Z10" i="5"/>
  <c r="AA10" i="5" s="1"/>
  <c r="U10" i="5"/>
  <c r="W39" i="32"/>
  <c r="P49" i="30"/>
  <c r="J79" i="5" s="1"/>
  <c r="E49" i="30"/>
  <c r="G49" i="30"/>
  <c r="C50" i="30"/>
  <c r="F49" i="30"/>
  <c r="T40" i="34"/>
  <c r="V39" i="34"/>
  <c r="U39" i="34"/>
  <c r="W39" i="34" s="1"/>
  <c r="D41" i="31"/>
  <c r="C42" i="31"/>
  <c r="D49" i="35"/>
  <c r="B51" i="35"/>
  <c r="I79" i="5" s="1"/>
  <c r="G50" i="35"/>
  <c r="F50" i="35"/>
  <c r="I50" i="35"/>
  <c r="D78" i="5" s="1"/>
  <c r="E50" i="35"/>
  <c r="L50" i="35"/>
  <c r="M50" i="35" s="1"/>
  <c r="AV48" i="30"/>
  <c r="BB78" i="5"/>
  <c r="BC78" i="5" s="1"/>
  <c r="BA78" i="5"/>
  <c r="J78" i="5"/>
  <c r="A80" i="5"/>
  <c r="AI80" i="5" s="1"/>
  <c r="AZ79" i="5"/>
  <c r="N79" i="5"/>
  <c r="R79" i="5" s="1"/>
  <c r="S79" i="5" s="1"/>
  <c r="W79" i="5" s="1"/>
  <c r="AR79" i="5"/>
  <c r="AS79" i="5" s="1"/>
  <c r="G79" i="5"/>
  <c r="BD79" i="5"/>
  <c r="H79" i="5"/>
  <c r="AT79" i="5"/>
  <c r="U79" i="5"/>
  <c r="AU79" i="5"/>
  <c r="AV79" i="5"/>
  <c r="AN79" i="5"/>
  <c r="AO79" i="5" s="1"/>
  <c r="U40" i="32"/>
  <c r="AW70" i="5" s="1"/>
  <c r="T41" i="32"/>
  <c r="V40" i="32"/>
  <c r="H48" i="30"/>
  <c r="D40" i="30" l="1"/>
  <c r="S40" i="30" s="1"/>
  <c r="N42" i="35" s="1"/>
  <c r="E70" i="5" s="1"/>
  <c r="M37" i="39"/>
  <c r="L37" i="39"/>
  <c r="K38" i="39"/>
  <c r="B49" i="30"/>
  <c r="R50" i="30"/>
  <c r="V79" i="5"/>
  <c r="C79" i="5"/>
  <c r="H49" i="30"/>
  <c r="BB79" i="5"/>
  <c r="BC79" i="5" s="1"/>
  <c r="BA79" i="5"/>
  <c r="A81" i="5"/>
  <c r="AI81" i="5" s="1"/>
  <c r="AZ80" i="5"/>
  <c r="N80" i="5"/>
  <c r="R80" i="5" s="1"/>
  <c r="S80" i="5" s="1"/>
  <c r="W80" i="5" s="1"/>
  <c r="BD80" i="5"/>
  <c r="AT80" i="5"/>
  <c r="U80" i="5"/>
  <c r="AU80" i="5"/>
  <c r="AR80" i="5"/>
  <c r="AS80" i="5" s="1"/>
  <c r="AV80" i="5"/>
  <c r="AN80" i="5"/>
  <c r="AO80" i="5" s="1"/>
  <c r="D50" i="35"/>
  <c r="T42" i="32"/>
  <c r="U41" i="32"/>
  <c r="W41" i="32" s="1"/>
  <c r="V41" i="32"/>
  <c r="D42" i="31"/>
  <c r="C43" i="31"/>
  <c r="V40" i="34"/>
  <c r="U40" i="34"/>
  <c r="W40" i="34" s="1"/>
  <c r="T41" i="34"/>
  <c r="AV49" i="30"/>
  <c r="W40" i="32"/>
  <c r="P50" i="30"/>
  <c r="J80" i="5" s="1"/>
  <c r="E50" i="30"/>
  <c r="F50" i="30"/>
  <c r="G50" i="30"/>
  <c r="C51" i="30"/>
  <c r="A8" i="5"/>
  <c r="AI8" i="5" s="1"/>
  <c r="Z9" i="5"/>
  <c r="AA9" i="5" s="1"/>
  <c r="U9" i="5"/>
  <c r="B52" i="35"/>
  <c r="I51" i="35"/>
  <c r="D79" i="5" s="1"/>
  <c r="E51" i="35"/>
  <c r="L51" i="35"/>
  <c r="M51" i="35" s="1"/>
  <c r="G51" i="35"/>
  <c r="D51" i="35"/>
  <c r="F51" i="35"/>
  <c r="D41" i="30" l="1"/>
  <c r="S41" i="30" s="1"/>
  <c r="N43" i="35" s="1"/>
  <c r="E71" i="5" s="1"/>
  <c r="AW71" i="5"/>
  <c r="M38" i="39"/>
  <c r="L38" i="39"/>
  <c r="K39" i="39"/>
  <c r="B50" i="30"/>
  <c r="R51" i="30"/>
  <c r="V80" i="5"/>
  <c r="P51" i="30"/>
  <c r="J81" i="5" s="1"/>
  <c r="E51" i="30"/>
  <c r="F51" i="30"/>
  <c r="G51" i="30"/>
  <c r="C52" i="30"/>
  <c r="C80" i="5"/>
  <c r="H50" i="30"/>
  <c r="D52" i="35" s="1"/>
  <c r="AV50" i="30"/>
  <c r="D43" i="31"/>
  <c r="C44" i="31"/>
  <c r="G80" i="5"/>
  <c r="H80" i="5"/>
  <c r="B53" i="35"/>
  <c r="C81" i="5" s="1"/>
  <c r="G52" i="35"/>
  <c r="E52" i="35"/>
  <c r="L52" i="35"/>
  <c r="M52" i="35" s="1"/>
  <c r="F52" i="35"/>
  <c r="I52" i="35"/>
  <c r="D80" i="5" s="1"/>
  <c r="BB80" i="5"/>
  <c r="BC80" i="5" s="1"/>
  <c r="BA80" i="5"/>
  <c r="Z8" i="5"/>
  <c r="AA8" i="5" s="1"/>
  <c r="A7" i="5"/>
  <c r="U8" i="5"/>
  <c r="T42" i="34"/>
  <c r="V41" i="34"/>
  <c r="U41" i="34"/>
  <c r="W41" i="34" s="1"/>
  <c r="U42" i="32"/>
  <c r="D42" i="30" s="1"/>
  <c r="S42" i="30" s="1"/>
  <c r="N44" i="35" s="1"/>
  <c r="E72" i="5" s="1"/>
  <c r="T43" i="32"/>
  <c r="V42" i="32"/>
  <c r="I80" i="5"/>
  <c r="A82" i="5"/>
  <c r="AI82" i="5" s="1"/>
  <c r="AZ81" i="5"/>
  <c r="N81" i="5"/>
  <c r="R81" i="5" s="1"/>
  <c r="S81" i="5" s="1"/>
  <c r="W81" i="5" s="1"/>
  <c r="AR81" i="5"/>
  <c r="AS81" i="5" s="1"/>
  <c r="BD81" i="5"/>
  <c r="AT81" i="5"/>
  <c r="AV81" i="5"/>
  <c r="AN81" i="5"/>
  <c r="AO81" i="5" s="1"/>
  <c r="AU81" i="5"/>
  <c r="U81" i="5"/>
  <c r="R52" i="30" l="1"/>
  <c r="AW72" i="5"/>
  <c r="B51" i="30"/>
  <c r="A6" i="5"/>
  <c r="AI6" i="5" s="1"/>
  <c r="AI7" i="5"/>
  <c r="M39" i="39"/>
  <c r="L39" i="39"/>
  <c r="K40" i="39"/>
  <c r="V81" i="5"/>
  <c r="G81" i="5"/>
  <c r="I81" i="5"/>
  <c r="H81" i="5"/>
  <c r="BB81" i="5"/>
  <c r="BC81" i="5" s="1"/>
  <c r="BA81" i="5"/>
  <c r="W42" i="32"/>
  <c r="P52" i="30"/>
  <c r="J82" i="5" s="1"/>
  <c r="E52" i="30"/>
  <c r="G52" i="30"/>
  <c r="C53" i="30"/>
  <c r="F52" i="30"/>
  <c r="H51" i="30"/>
  <c r="D53" i="35" s="1"/>
  <c r="A83" i="5"/>
  <c r="AI83" i="5" s="1"/>
  <c r="N82" i="5"/>
  <c r="R82" i="5" s="1"/>
  <c r="S82" i="5" s="1"/>
  <c r="W82" i="5" s="1"/>
  <c r="AZ82" i="5"/>
  <c r="BD82" i="5"/>
  <c r="AT82" i="5"/>
  <c r="U82" i="5"/>
  <c r="AR82" i="5"/>
  <c r="AS82" i="5" s="1"/>
  <c r="AU82" i="5"/>
  <c r="AV82" i="5"/>
  <c r="AN82" i="5"/>
  <c r="AO82" i="5" s="1"/>
  <c r="Z7" i="5"/>
  <c r="AF7" i="5" s="1"/>
  <c r="U7" i="5"/>
  <c r="AV51" i="30"/>
  <c r="U43" i="32"/>
  <c r="W43" i="32" s="1"/>
  <c r="T44" i="32"/>
  <c r="V43" i="32"/>
  <c r="V42" i="34"/>
  <c r="U42" i="34"/>
  <c r="W42" i="34" s="1"/>
  <c r="T43" i="34"/>
  <c r="B54" i="35"/>
  <c r="C82" i="5" s="1"/>
  <c r="L53" i="35"/>
  <c r="M53" i="35" s="1"/>
  <c r="E53" i="35"/>
  <c r="I53" i="35"/>
  <c r="D81" i="5" s="1"/>
  <c r="G53" i="35"/>
  <c r="F53" i="35"/>
  <c r="D44" i="31"/>
  <c r="C45" i="31"/>
  <c r="D43" i="30" l="1"/>
  <c r="S43" i="30" s="1"/>
  <c r="N45" i="35" s="1"/>
  <c r="E73" i="5" s="1"/>
  <c r="M40" i="39"/>
  <c r="L40" i="39"/>
  <c r="K41" i="39"/>
  <c r="B52" i="30"/>
  <c r="R53" i="30"/>
  <c r="V82" i="5"/>
  <c r="T44" i="34"/>
  <c r="V43" i="34"/>
  <c r="U43" i="34"/>
  <c r="W43" i="34" s="1"/>
  <c r="U44" i="32"/>
  <c r="W44" i="32" s="1"/>
  <c r="T45" i="32"/>
  <c r="V44" i="32"/>
  <c r="I82" i="5"/>
  <c r="H82" i="5"/>
  <c r="H52" i="30"/>
  <c r="D54" i="35" s="1"/>
  <c r="D45" i="31"/>
  <c r="C46" i="31"/>
  <c r="BB82" i="5"/>
  <c r="BC82" i="5" s="1"/>
  <c r="BA82" i="5"/>
  <c r="P53" i="30"/>
  <c r="J83" i="5" s="1"/>
  <c r="E53" i="30"/>
  <c r="F53" i="30"/>
  <c r="G53" i="30"/>
  <c r="C54" i="30"/>
  <c r="AV52" i="30"/>
  <c r="B55" i="35"/>
  <c r="C83" i="5" s="1"/>
  <c r="G54" i="35"/>
  <c r="F54" i="35"/>
  <c r="I54" i="35"/>
  <c r="D82" i="5" s="1"/>
  <c r="E54" i="35"/>
  <c r="L54" i="35"/>
  <c r="M54" i="35" s="1"/>
  <c r="Z6" i="5"/>
  <c r="U6" i="5"/>
  <c r="AC24" i="2"/>
  <c r="AF8" i="5"/>
  <c r="AF9" i="5" s="1"/>
  <c r="AF10" i="5" s="1"/>
  <c r="AF11" i="5" s="1"/>
  <c r="AF12" i="5" s="1"/>
  <c r="AF13" i="5" s="1"/>
  <c r="AF14" i="5" s="1"/>
  <c r="AF15" i="5" s="1"/>
  <c r="AF16" i="5" s="1"/>
  <c r="AF17" i="5" s="1"/>
  <c r="AF18" i="5" s="1"/>
  <c r="AF19" i="5" s="1"/>
  <c r="AF20" i="5" s="1"/>
  <c r="AF21" i="5" s="1"/>
  <c r="AF22" i="5" s="1"/>
  <c r="AF23" i="5" s="1"/>
  <c r="AF24" i="5" s="1"/>
  <c r="AF25" i="5" s="1"/>
  <c r="AF26" i="5" s="1"/>
  <c r="AF27" i="5" s="1"/>
  <c r="AF28" i="5" s="1"/>
  <c r="AF29" i="5" s="1"/>
  <c r="AF30" i="5" s="1"/>
  <c r="AF31" i="5" s="1"/>
  <c r="AF32" i="5" s="1"/>
  <c r="AF33" i="5" s="1"/>
  <c r="AF34" i="5" s="1"/>
  <c r="AF35" i="5" s="1"/>
  <c r="AF36" i="5" s="1"/>
  <c r="AF37" i="5" s="1"/>
  <c r="AF38" i="5" s="1"/>
  <c r="AF39" i="5" s="1"/>
  <c r="AF40" i="5" s="1"/>
  <c r="AF41" i="5" s="1"/>
  <c r="AF42" i="5" s="1"/>
  <c r="AF43" i="5" s="1"/>
  <c r="AF44" i="5" s="1"/>
  <c r="AA7" i="5"/>
  <c r="G82" i="5"/>
  <c r="A84" i="5"/>
  <c r="AI84" i="5" s="1"/>
  <c r="AZ83" i="5"/>
  <c r="BD83" i="5"/>
  <c r="AR83" i="5"/>
  <c r="AS83" i="5" s="1"/>
  <c r="AT83" i="5"/>
  <c r="N83" i="5"/>
  <c r="R83" i="5" s="1"/>
  <c r="S83" i="5" s="1"/>
  <c r="W83" i="5" s="1"/>
  <c r="AU83" i="5"/>
  <c r="AV83" i="5"/>
  <c r="AN83" i="5"/>
  <c r="AO83" i="5" s="1"/>
  <c r="U83" i="5"/>
  <c r="M41" i="39" l="1"/>
  <c r="L41" i="39"/>
  <c r="K42" i="39"/>
  <c r="AW74" i="5"/>
  <c r="D44" i="30"/>
  <c r="S44" i="30" s="1"/>
  <c r="N46" i="35" s="1"/>
  <c r="E74" i="5" s="1"/>
  <c r="R54" i="30"/>
  <c r="B53" i="30"/>
  <c r="V83" i="5"/>
  <c r="AA24" i="2"/>
  <c r="BB83" i="5"/>
  <c r="BC83" i="5" s="1"/>
  <c r="BA83" i="5"/>
  <c r="A85" i="5"/>
  <c r="AI85" i="5" s="1"/>
  <c r="AZ84" i="5"/>
  <c r="N84" i="5"/>
  <c r="R84" i="5" s="1"/>
  <c r="S84" i="5" s="1"/>
  <c r="W84" i="5" s="1"/>
  <c r="AR84" i="5"/>
  <c r="AS84" i="5" s="1"/>
  <c r="U84" i="5"/>
  <c r="AV84" i="5"/>
  <c r="BD84" i="5"/>
  <c r="AT84" i="5"/>
  <c r="AN84" i="5"/>
  <c r="AO84" i="5" s="1"/>
  <c r="AU84" i="5"/>
  <c r="AA6" i="5"/>
  <c r="B56" i="35"/>
  <c r="I55" i="35"/>
  <c r="D83" i="5" s="1"/>
  <c r="E55" i="35"/>
  <c r="L55" i="35"/>
  <c r="M55" i="35" s="1"/>
  <c r="G55" i="35"/>
  <c r="F55" i="35"/>
  <c r="AV53" i="30"/>
  <c r="I83" i="5"/>
  <c r="H83" i="5"/>
  <c r="G83" i="5"/>
  <c r="P54" i="30"/>
  <c r="E54" i="30"/>
  <c r="F54" i="30"/>
  <c r="G54" i="30"/>
  <c r="C55" i="30"/>
  <c r="H53" i="30"/>
  <c r="D46" i="31"/>
  <c r="C47" i="31"/>
  <c r="U45" i="32"/>
  <c r="W45" i="32" s="1"/>
  <c r="T46" i="32"/>
  <c r="V45" i="32"/>
  <c r="V44" i="34"/>
  <c r="U44" i="34"/>
  <c r="W44" i="34" s="1"/>
  <c r="T45" i="34"/>
  <c r="B54" i="30" l="1"/>
  <c r="AW75" i="5"/>
  <c r="D45" i="30"/>
  <c r="S45" i="30" s="1"/>
  <c r="N47" i="35" s="1"/>
  <c r="E75" i="5" s="1"/>
  <c r="M42" i="39"/>
  <c r="L42" i="39"/>
  <c r="K43" i="39"/>
  <c r="R55" i="30"/>
  <c r="V84" i="5"/>
  <c r="H54" i="30"/>
  <c r="D56" i="35" s="1"/>
  <c r="T46" i="34"/>
  <c r="V45" i="34"/>
  <c r="U45" i="34"/>
  <c r="W45" i="34" s="1"/>
  <c r="U46" i="32"/>
  <c r="AW76" i="5" s="1"/>
  <c r="T47" i="32"/>
  <c r="V46" i="32"/>
  <c r="AV54" i="30"/>
  <c r="H84" i="5"/>
  <c r="C84" i="5"/>
  <c r="D47" i="31"/>
  <c r="C48" i="31"/>
  <c r="D55" i="35"/>
  <c r="J84" i="5"/>
  <c r="P55" i="30"/>
  <c r="J85" i="5" s="1"/>
  <c r="E55" i="30"/>
  <c r="F55" i="30"/>
  <c r="G55" i="30"/>
  <c r="C56" i="30"/>
  <c r="B57" i="35"/>
  <c r="I85" i="5" s="1"/>
  <c r="G56" i="35"/>
  <c r="E56" i="35"/>
  <c r="L56" i="35"/>
  <c r="M56" i="35" s="1"/>
  <c r="F56" i="35"/>
  <c r="I56" i="35"/>
  <c r="D84" i="5" s="1"/>
  <c r="G84" i="5"/>
  <c r="I84" i="5"/>
  <c r="BB84" i="5"/>
  <c r="BC84" i="5" s="1"/>
  <c r="BA84" i="5"/>
  <c r="A86" i="5"/>
  <c r="AI86" i="5" s="1"/>
  <c r="AZ85" i="5"/>
  <c r="N85" i="5"/>
  <c r="R85" i="5" s="1"/>
  <c r="S85" i="5" s="1"/>
  <c r="W85" i="5" s="1"/>
  <c r="AR85" i="5"/>
  <c r="AS85" i="5" s="1"/>
  <c r="BD85" i="5"/>
  <c r="AT85" i="5"/>
  <c r="U85" i="5"/>
  <c r="AV85" i="5"/>
  <c r="AN85" i="5"/>
  <c r="AO85" i="5" s="1"/>
  <c r="AU85" i="5"/>
  <c r="D46" i="30" l="1"/>
  <c r="S46" i="30" s="1"/>
  <c r="N48" i="35" s="1"/>
  <c r="E76" i="5" s="1"/>
  <c r="M43" i="39"/>
  <c r="L43" i="39"/>
  <c r="K44" i="39"/>
  <c r="B55" i="30"/>
  <c r="R56" i="30"/>
  <c r="V85" i="5"/>
  <c r="C85" i="5"/>
  <c r="G85" i="5"/>
  <c r="H85" i="5"/>
  <c r="B58" i="35"/>
  <c r="C86" i="5" s="1"/>
  <c r="L57" i="35"/>
  <c r="M57" i="35" s="1"/>
  <c r="E57" i="35"/>
  <c r="I57" i="35"/>
  <c r="D85" i="5" s="1"/>
  <c r="G57" i="35"/>
  <c r="F57" i="35"/>
  <c r="H55" i="30"/>
  <c r="D57" i="35" s="1"/>
  <c r="AV55" i="30"/>
  <c r="A87" i="5"/>
  <c r="AI87" i="5" s="1"/>
  <c r="N86" i="5"/>
  <c r="R86" i="5" s="1"/>
  <c r="S86" i="5" s="1"/>
  <c r="W86" i="5" s="1"/>
  <c r="AZ86" i="5"/>
  <c r="U86" i="5"/>
  <c r="AR86" i="5"/>
  <c r="AS86" i="5" s="1"/>
  <c r="AT86" i="5"/>
  <c r="AU86" i="5"/>
  <c r="AV86" i="5"/>
  <c r="AN86" i="5"/>
  <c r="AO86" i="5" s="1"/>
  <c r="BD86" i="5"/>
  <c r="D48" i="31"/>
  <c r="C49" i="31"/>
  <c r="U47" i="32"/>
  <c r="D47" i="30" s="1"/>
  <c r="S47" i="30" s="1"/>
  <c r="N49" i="35" s="1"/>
  <c r="E77" i="5" s="1"/>
  <c r="T48" i="32"/>
  <c r="V47" i="32"/>
  <c r="U46" i="34"/>
  <c r="W46" i="34" s="1"/>
  <c r="T47" i="34"/>
  <c r="V46" i="34"/>
  <c r="BB85" i="5"/>
  <c r="BC85" i="5" s="1"/>
  <c r="BA85" i="5"/>
  <c r="P56" i="30"/>
  <c r="E56" i="30"/>
  <c r="G56" i="30"/>
  <c r="F56" i="30"/>
  <c r="C57" i="30"/>
  <c r="W46" i="32"/>
  <c r="M44" i="39" l="1"/>
  <c r="L44" i="39"/>
  <c r="K45" i="39"/>
  <c r="B56" i="30"/>
  <c r="AW77" i="5"/>
  <c r="R57" i="30"/>
  <c r="V86" i="5"/>
  <c r="H86" i="5"/>
  <c r="I86" i="5"/>
  <c r="G86" i="5"/>
  <c r="H56" i="30"/>
  <c r="D58" i="35" s="1"/>
  <c r="U48" i="32"/>
  <c r="W48" i="32" s="1"/>
  <c r="T49" i="32"/>
  <c r="V48" i="32"/>
  <c r="A88" i="5"/>
  <c r="AI88" i="5" s="1"/>
  <c r="AZ87" i="5"/>
  <c r="N87" i="5"/>
  <c r="R87" i="5" s="1"/>
  <c r="S87" i="5" s="1"/>
  <c r="W87" i="5" s="1"/>
  <c r="AR87" i="5"/>
  <c r="AS87" i="5" s="1"/>
  <c r="BD87" i="5"/>
  <c r="AT87" i="5"/>
  <c r="U87" i="5"/>
  <c r="AU87" i="5"/>
  <c r="AV87" i="5"/>
  <c r="AN87" i="5"/>
  <c r="AO87" i="5" s="1"/>
  <c r="B59" i="35"/>
  <c r="I87" i="5" s="1"/>
  <c r="G58" i="35"/>
  <c r="F58" i="35"/>
  <c r="I58" i="35"/>
  <c r="D86" i="5" s="1"/>
  <c r="E58" i="35"/>
  <c r="L58" i="35"/>
  <c r="M58" i="35" s="1"/>
  <c r="D49" i="31"/>
  <c r="C50" i="31"/>
  <c r="AV56" i="30"/>
  <c r="W47" i="32"/>
  <c r="G57" i="30"/>
  <c r="F57" i="30"/>
  <c r="C58" i="30"/>
  <c r="P57" i="30"/>
  <c r="E57" i="30"/>
  <c r="J86" i="5"/>
  <c r="T48" i="34"/>
  <c r="V47" i="34"/>
  <c r="U47" i="34"/>
  <c r="W47" i="34" s="1"/>
  <c r="BB86" i="5"/>
  <c r="BC86" i="5" s="1"/>
  <c r="BA86" i="5"/>
  <c r="B57" i="30" l="1"/>
  <c r="D48" i="30"/>
  <c r="S48" i="30" s="1"/>
  <c r="N50" i="35" s="1"/>
  <c r="E78" i="5" s="1"/>
  <c r="AW78" i="5"/>
  <c r="M45" i="39"/>
  <c r="L45" i="39"/>
  <c r="K46" i="39"/>
  <c r="R58" i="30"/>
  <c r="V87" i="5"/>
  <c r="C87" i="5"/>
  <c r="H57" i="30"/>
  <c r="D59" i="35" s="1"/>
  <c r="AV57" i="30"/>
  <c r="P58" i="30"/>
  <c r="J88" i="5" s="1"/>
  <c r="E58" i="30"/>
  <c r="F58" i="30"/>
  <c r="C59" i="30"/>
  <c r="G58" i="30"/>
  <c r="BB87" i="5"/>
  <c r="BC87" i="5" s="1"/>
  <c r="BA87" i="5"/>
  <c r="A89" i="5"/>
  <c r="AI89" i="5" s="1"/>
  <c r="AZ88" i="5"/>
  <c r="N88" i="5"/>
  <c r="R88" i="5" s="1"/>
  <c r="S88" i="5" s="1"/>
  <c r="W88" i="5" s="1"/>
  <c r="AR88" i="5"/>
  <c r="AS88" i="5" s="1"/>
  <c r="U88" i="5"/>
  <c r="AT88" i="5"/>
  <c r="AV88" i="5"/>
  <c r="BD88" i="5"/>
  <c r="AU88" i="5"/>
  <c r="AN88" i="5"/>
  <c r="AO88" i="5" s="1"/>
  <c r="T50" i="32"/>
  <c r="U49" i="32"/>
  <c r="AW79" i="5" s="1"/>
  <c r="V49" i="32"/>
  <c r="J87" i="5"/>
  <c r="U48" i="34"/>
  <c r="W48" i="34" s="1"/>
  <c r="T49" i="34"/>
  <c r="V48" i="34"/>
  <c r="D50" i="31"/>
  <c r="C51" i="31"/>
  <c r="B60" i="35"/>
  <c r="I88" i="5" s="1"/>
  <c r="I59" i="35"/>
  <c r="D87" i="5" s="1"/>
  <c r="E59" i="35"/>
  <c r="L59" i="35"/>
  <c r="M59" i="35" s="1"/>
  <c r="G59" i="35"/>
  <c r="F59" i="35"/>
  <c r="H87" i="5"/>
  <c r="G87" i="5"/>
  <c r="R59" i="30" l="1"/>
  <c r="B58" i="30"/>
  <c r="M46" i="39"/>
  <c r="L46" i="39"/>
  <c r="K47" i="39"/>
  <c r="V88" i="5"/>
  <c r="H88" i="5"/>
  <c r="C88" i="5"/>
  <c r="BB88" i="5"/>
  <c r="BC88" i="5" s="1"/>
  <c r="BA88" i="5"/>
  <c r="W49" i="32"/>
  <c r="AV58" i="30"/>
  <c r="D51" i="31"/>
  <c r="C52" i="31"/>
  <c r="T50" i="34"/>
  <c r="V49" i="34"/>
  <c r="U49" i="34"/>
  <c r="W49" i="34" s="1"/>
  <c r="U50" i="32"/>
  <c r="W50" i="32" s="1"/>
  <c r="T51" i="32"/>
  <c r="V50" i="32"/>
  <c r="P59" i="30"/>
  <c r="E59" i="30"/>
  <c r="F59" i="30"/>
  <c r="C60" i="30"/>
  <c r="G59" i="30"/>
  <c r="G88" i="5"/>
  <c r="A90" i="5"/>
  <c r="AI90" i="5" s="1"/>
  <c r="AZ89" i="5"/>
  <c r="N89" i="5"/>
  <c r="R89" i="5" s="1"/>
  <c r="S89" i="5" s="1"/>
  <c r="W89" i="5" s="1"/>
  <c r="AR89" i="5"/>
  <c r="AS89" i="5" s="1"/>
  <c r="J89" i="5"/>
  <c r="BD89" i="5"/>
  <c r="AT89" i="5"/>
  <c r="U89" i="5"/>
  <c r="AU89" i="5"/>
  <c r="AN89" i="5"/>
  <c r="AO89" i="5" s="1"/>
  <c r="AV89" i="5"/>
  <c r="B61" i="35"/>
  <c r="G89" i="5" s="1"/>
  <c r="G60" i="35"/>
  <c r="E60" i="35"/>
  <c r="L60" i="35"/>
  <c r="M60" i="35" s="1"/>
  <c r="F60" i="35"/>
  <c r="I60" i="35"/>
  <c r="D88" i="5" s="1"/>
  <c r="H58" i="30"/>
  <c r="M47" i="39" l="1"/>
  <c r="L47" i="39"/>
  <c r="K48" i="39"/>
  <c r="AW80" i="5"/>
  <c r="D50" i="30"/>
  <c r="S50" i="30" s="1"/>
  <c r="N52" i="35" s="1"/>
  <c r="E80" i="5" s="1"/>
  <c r="B59" i="30"/>
  <c r="R60" i="30"/>
  <c r="V89" i="5"/>
  <c r="H89" i="5"/>
  <c r="AV59" i="30"/>
  <c r="A91" i="5"/>
  <c r="AI91" i="5" s="1"/>
  <c r="N90" i="5"/>
  <c r="R90" i="5" s="1"/>
  <c r="S90" i="5" s="1"/>
  <c r="W90" i="5" s="1"/>
  <c r="AZ90" i="5"/>
  <c r="U90" i="5"/>
  <c r="AR90" i="5"/>
  <c r="AS90" i="5" s="1"/>
  <c r="BD90" i="5"/>
  <c r="AU90" i="5"/>
  <c r="AT90" i="5"/>
  <c r="AN90" i="5"/>
  <c r="AO90" i="5" s="1"/>
  <c r="AV90" i="5"/>
  <c r="I89" i="5"/>
  <c r="BB89" i="5"/>
  <c r="BC89" i="5" s="1"/>
  <c r="BA89" i="5"/>
  <c r="P60" i="30"/>
  <c r="E60" i="30"/>
  <c r="F60" i="30"/>
  <c r="C61" i="30"/>
  <c r="G60" i="30"/>
  <c r="T52" i="32"/>
  <c r="U51" i="32"/>
  <c r="D51" i="30" s="1"/>
  <c r="S51" i="30" s="1"/>
  <c r="N53" i="35" s="1"/>
  <c r="E81" i="5" s="1"/>
  <c r="V51" i="32"/>
  <c r="U50" i="34"/>
  <c r="W50" i="34" s="1"/>
  <c r="T51" i="34"/>
  <c r="V50" i="34"/>
  <c r="C89" i="5"/>
  <c r="D52" i="31"/>
  <c r="C53" i="31"/>
  <c r="D60" i="35"/>
  <c r="B62" i="35"/>
  <c r="L61" i="35"/>
  <c r="M61" i="35" s="1"/>
  <c r="E61" i="35"/>
  <c r="I61" i="35"/>
  <c r="D89" i="5" s="1"/>
  <c r="G61" i="35"/>
  <c r="F61" i="35"/>
  <c r="H59" i="30"/>
  <c r="D61" i="35" s="1"/>
  <c r="AW81" i="5" l="1"/>
  <c r="M48" i="39"/>
  <c r="L48" i="39"/>
  <c r="K49" i="39"/>
  <c r="R61" i="30"/>
  <c r="B60" i="30"/>
  <c r="V90" i="5"/>
  <c r="AV60" i="30"/>
  <c r="H90" i="5"/>
  <c r="G90" i="5"/>
  <c r="B63" i="35"/>
  <c r="G91" i="5" s="1"/>
  <c r="G62" i="35"/>
  <c r="F62" i="35"/>
  <c r="I62" i="35"/>
  <c r="E62" i="35"/>
  <c r="L62" i="35"/>
  <c r="M62" i="35" s="1"/>
  <c r="D53" i="31"/>
  <c r="C54" i="31"/>
  <c r="P61" i="30"/>
  <c r="J91" i="5" s="1"/>
  <c r="E61" i="30"/>
  <c r="F61" i="30"/>
  <c r="C62" i="30"/>
  <c r="G61" i="30"/>
  <c r="BB90" i="5"/>
  <c r="BC90" i="5" s="1"/>
  <c r="BA90" i="5"/>
  <c r="T52" i="34"/>
  <c r="V51" i="34"/>
  <c r="U51" i="34"/>
  <c r="W51" i="34" s="1"/>
  <c r="W51" i="32"/>
  <c r="J90" i="5"/>
  <c r="I90" i="5"/>
  <c r="U52" i="32"/>
  <c r="AW82" i="5" s="1"/>
  <c r="T53" i="32"/>
  <c r="V52" i="32"/>
  <c r="H60" i="30"/>
  <c r="D90" i="5"/>
  <c r="C90" i="5"/>
  <c r="A92" i="5"/>
  <c r="AI92" i="5" s="1"/>
  <c r="AZ91" i="5"/>
  <c r="N91" i="5"/>
  <c r="R91" i="5" s="1"/>
  <c r="S91" i="5" s="1"/>
  <c r="W91" i="5" s="1"/>
  <c r="AR91" i="5"/>
  <c r="AS91" i="5" s="1"/>
  <c r="BD91" i="5"/>
  <c r="AT91" i="5"/>
  <c r="AV91" i="5"/>
  <c r="AU91" i="5"/>
  <c r="U91" i="5"/>
  <c r="AN91" i="5"/>
  <c r="AO91" i="5" s="1"/>
  <c r="I91" i="5" l="1"/>
  <c r="M49" i="39"/>
  <c r="L49" i="39"/>
  <c r="K50" i="39"/>
  <c r="R62" i="30"/>
  <c r="B61" i="30"/>
  <c r="V91" i="5"/>
  <c r="H91" i="5"/>
  <c r="C91" i="5"/>
  <c r="U53" i="32"/>
  <c r="D53" i="30" s="1"/>
  <c r="S53" i="30" s="1"/>
  <c r="N55" i="35" s="1"/>
  <c r="E83" i="5" s="1"/>
  <c r="T54" i="32"/>
  <c r="V53" i="32"/>
  <c r="H61" i="30"/>
  <c r="D63" i="35" s="1"/>
  <c r="B64" i="35"/>
  <c r="C92" i="5" s="1"/>
  <c r="I63" i="35"/>
  <c r="D91" i="5" s="1"/>
  <c r="E63" i="35"/>
  <c r="L63" i="35"/>
  <c r="M63" i="35" s="1"/>
  <c r="G63" i="35"/>
  <c r="F63" i="35"/>
  <c r="AV61" i="30"/>
  <c r="W52" i="32"/>
  <c r="BB91" i="5"/>
  <c r="BC91" i="5" s="1"/>
  <c r="BA91" i="5"/>
  <c r="A93" i="5"/>
  <c r="AI93" i="5" s="1"/>
  <c r="AZ92" i="5"/>
  <c r="N92" i="5"/>
  <c r="R92" i="5" s="1"/>
  <c r="S92" i="5" s="1"/>
  <c r="W92" i="5" s="1"/>
  <c r="AR92" i="5"/>
  <c r="AS92" i="5" s="1"/>
  <c r="U92" i="5"/>
  <c r="BD92" i="5"/>
  <c r="AV92" i="5"/>
  <c r="AT92" i="5"/>
  <c r="AU92" i="5"/>
  <c r="AN92" i="5"/>
  <c r="AO92" i="5" s="1"/>
  <c r="P62" i="30"/>
  <c r="J92" i="5" s="1"/>
  <c r="E62" i="30"/>
  <c r="F62" i="30"/>
  <c r="C63" i="30"/>
  <c r="G62" i="30"/>
  <c r="D62" i="35"/>
  <c r="U52" i="34"/>
  <c r="W52" i="34" s="1"/>
  <c r="T53" i="34"/>
  <c r="V52" i="34"/>
  <c r="D54" i="31"/>
  <c r="C55" i="31"/>
  <c r="M50" i="39" l="1"/>
  <c r="L50" i="39"/>
  <c r="K51" i="39"/>
  <c r="AW83" i="5"/>
  <c r="B62" i="30"/>
  <c r="R63" i="30"/>
  <c r="V92" i="5"/>
  <c r="I92" i="5"/>
  <c r="H92" i="5"/>
  <c r="G92" i="5"/>
  <c r="U54" i="32"/>
  <c r="W54" i="32" s="1"/>
  <c r="T55" i="32"/>
  <c r="V54" i="32"/>
  <c r="D55" i="31"/>
  <c r="C56" i="31"/>
  <c r="P63" i="30"/>
  <c r="J93" i="5" s="1"/>
  <c r="E63" i="30"/>
  <c r="F63" i="30"/>
  <c r="C64" i="30"/>
  <c r="G63" i="30"/>
  <c r="H62" i="30"/>
  <c r="D64" i="35" s="1"/>
  <c r="A94" i="5"/>
  <c r="AI94" i="5" s="1"/>
  <c r="BD93" i="5"/>
  <c r="AZ93" i="5"/>
  <c r="N93" i="5"/>
  <c r="R93" i="5" s="1"/>
  <c r="S93" i="5" s="1"/>
  <c r="W93" i="5" s="1"/>
  <c r="AR93" i="5"/>
  <c r="AS93" i="5" s="1"/>
  <c r="AT93" i="5"/>
  <c r="U93" i="5"/>
  <c r="AV93" i="5"/>
  <c r="AN93" i="5"/>
  <c r="AO93" i="5" s="1"/>
  <c r="AU93" i="5"/>
  <c r="B65" i="35"/>
  <c r="I93" i="5" s="1"/>
  <c r="G64" i="35"/>
  <c r="E64" i="35"/>
  <c r="L64" i="35"/>
  <c r="M64" i="35" s="1"/>
  <c r="F64" i="35"/>
  <c r="I64" i="35"/>
  <c r="D92" i="5" s="1"/>
  <c r="W53" i="32"/>
  <c r="T54" i="34"/>
  <c r="V53" i="34"/>
  <c r="U53" i="34"/>
  <c r="W53" i="34" s="1"/>
  <c r="AV62" i="30"/>
  <c r="BB92" i="5"/>
  <c r="BC92" i="5" s="1"/>
  <c r="BA92" i="5"/>
  <c r="M51" i="39" l="1"/>
  <c r="L51" i="39"/>
  <c r="K52" i="39"/>
  <c r="D54" i="30"/>
  <c r="S54" i="30" s="1"/>
  <c r="N56" i="35" s="1"/>
  <c r="E84" i="5" s="1"/>
  <c r="R64" i="30"/>
  <c r="B63" i="30"/>
  <c r="V93" i="5"/>
  <c r="G93" i="5"/>
  <c r="H93" i="5"/>
  <c r="AV63" i="30"/>
  <c r="U54" i="34"/>
  <c r="W54" i="34" s="1"/>
  <c r="T55" i="34"/>
  <c r="V54" i="34"/>
  <c r="BA93" i="5"/>
  <c r="BB93" i="5"/>
  <c r="BC93" i="5" s="1"/>
  <c r="A95" i="5"/>
  <c r="AI95" i="5" s="1"/>
  <c r="AZ94" i="5"/>
  <c r="N94" i="5"/>
  <c r="R94" i="5" s="1"/>
  <c r="S94" i="5" s="1"/>
  <c r="W94" i="5" s="1"/>
  <c r="U94" i="5"/>
  <c r="AR94" i="5"/>
  <c r="AS94" i="5" s="1"/>
  <c r="BD94" i="5"/>
  <c r="AT94" i="5"/>
  <c r="AU94" i="5"/>
  <c r="AN94" i="5"/>
  <c r="AO94" i="5" s="1"/>
  <c r="AV94" i="5"/>
  <c r="P64" i="30"/>
  <c r="E64" i="30"/>
  <c r="F64" i="30"/>
  <c r="C65" i="30"/>
  <c r="G64" i="30"/>
  <c r="D56" i="31"/>
  <c r="C57" i="31"/>
  <c r="U55" i="32"/>
  <c r="D55" i="30" s="1"/>
  <c r="S55" i="30" s="1"/>
  <c r="N57" i="35" s="1"/>
  <c r="E85" i="5" s="1"/>
  <c r="T56" i="32"/>
  <c r="V55" i="32"/>
  <c r="B66" i="35"/>
  <c r="L65" i="35"/>
  <c r="M65" i="35" s="1"/>
  <c r="E65" i="35"/>
  <c r="I65" i="35"/>
  <c r="D93" i="5" s="1"/>
  <c r="G65" i="35"/>
  <c r="F65" i="35"/>
  <c r="C93" i="5"/>
  <c r="H63" i="30"/>
  <c r="D65" i="35" s="1"/>
  <c r="AW85" i="5" l="1"/>
  <c r="M52" i="39"/>
  <c r="L52" i="39"/>
  <c r="K53" i="39"/>
  <c r="B64" i="30"/>
  <c r="R65" i="30"/>
  <c r="V94" i="5"/>
  <c r="H64" i="30"/>
  <c r="D66" i="35" s="1"/>
  <c r="U56" i="32"/>
  <c r="D56" i="30" s="1"/>
  <c r="S56" i="30" s="1"/>
  <c r="N58" i="35" s="1"/>
  <c r="E86" i="5" s="1"/>
  <c r="T57" i="32"/>
  <c r="V56" i="32"/>
  <c r="P65" i="30"/>
  <c r="J95" i="5" s="1"/>
  <c r="E65" i="30"/>
  <c r="F65" i="30"/>
  <c r="C66" i="30"/>
  <c r="G65" i="30"/>
  <c r="C94" i="5"/>
  <c r="H94" i="5"/>
  <c r="G94" i="5"/>
  <c r="B67" i="35"/>
  <c r="H95" i="5" s="1"/>
  <c r="G66" i="35"/>
  <c r="F66" i="35"/>
  <c r="I66" i="35"/>
  <c r="D94" i="5" s="1"/>
  <c r="E66" i="35"/>
  <c r="L66" i="35"/>
  <c r="M66" i="35" s="1"/>
  <c r="W55" i="32"/>
  <c r="I94" i="5"/>
  <c r="D57" i="31"/>
  <c r="C58" i="31"/>
  <c r="BB94" i="5"/>
  <c r="BC94" i="5" s="1"/>
  <c r="BA94" i="5"/>
  <c r="A96" i="5"/>
  <c r="AI96" i="5" s="1"/>
  <c r="AZ95" i="5"/>
  <c r="N95" i="5"/>
  <c r="R95" i="5" s="1"/>
  <c r="S95" i="5" s="1"/>
  <c r="W95" i="5" s="1"/>
  <c r="BD95" i="5"/>
  <c r="AT95" i="5"/>
  <c r="U95" i="5"/>
  <c r="AU95" i="5"/>
  <c r="AV95" i="5"/>
  <c r="AN95" i="5"/>
  <c r="AO95" i="5" s="1"/>
  <c r="AR95" i="5"/>
  <c r="AS95" i="5" s="1"/>
  <c r="AV64" i="30"/>
  <c r="J94" i="5"/>
  <c r="V55" i="34"/>
  <c r="U55" i="34"/>
  <c r="W55" i="34" s="1"/>
  <c r="T56" i="34"/>
  <c r="M53" i="39" l="1"/>
  <c r="L53" i="39"/>
  <c r="K54" i="39"/>
  <c r="AW86" i="5"/>
  <c r="B65" i="30"/>
  <c r="R66" i="30"/>
  <c r="V95" i="5"/>
  <c r="I95" i="5"/>
  <c r="G95" i="5"/>
  <c r="C95" i="5"/>
  <c r="D58" i="31"/>
  <c r="C59" i="31"/>
  <c r="H65" i="30"/>
  <c r="D67" i="35" s="1"/>
  <c r="W56" i="32"/>
  <c r="T57" i="34"/>
  <c r="V56" i="34"/>
  <c r="U56" i="34"/>
  <c r="W56" i="34" s="1"/>
  <c r="AV65" i="30"/>
  <c r="B68" i="35"/>
  <c r="I96" i="5" s="1"/>
  <c r="I67" i="35"/>
  <c r="D95" i="5" s="1"/>
  <c r="F67" i="35"/>
  <c r="L67" i="35"/>
  <c r="M67" i="35" s="1"/>
  <c r="G67" i="35"/>
  <c r="E67" i="35"/>
  <c r="P66" i="30"/>
  <c r="J96" i="5" s="1"/>
  <c r="E66" i="30"/>
  <c r="F66" i="30"/>
  <c r="C67" i="30"/>
  <c r="G66" i="30"/>
  <c r="BB95" i="5"/>
  <c r="BC95" i="5" s="1"/>
  <c r="BA95" i="5"/>
  <c r="A97" i="5"/>
  <c r="AI97" i="5" s="1"/>
  <c r="AZ96" i="5"/>
  <c r="N96" i="5"/>
  <c r="R96" i="5" s="1"/>
  <c r="S96" i="5" s="1"/>
  <c r="W96" i="5" s="1"/>
  <c r="AR96" i="5"/>
  <c r="AS96" i="5" s="1"/>
  <c r="BD96" i="5"/>
  <c r="AT96" i="5"/>
  <c r="U96" i="5"/>
  <c r="AU96" i="5"/>
  <c r="AN96" i="5"/>
  <c r="AO96" i="5" s="1"/>
  <c r="AV96" i="5"/>
  <c r="T58" i="32"/>
  <c r="U57" i="32"/>
  <c r="D57" i="30" s="1"/>
  <c r="S57" i="30" s="1"/>
  <c r="N59" i="35" s="1"/>
  <c r="E87" i="5" s="1"/>
  <c r="V57" i="32"/>
  <c r="M54" i="39" l="1"/>
  <c r="L54" i="39"/>
  <c r="K55" i="39"/>
  <c r="AW87" i="5"/>
  <c r="R67" i="30"/>
  <c r="B66" i="30"/>
  <c r="V96" i="5"/>
  <c r="G96" i="5"/>
  <c r="H96" i="5"/>
  <c r="C96" i="5"/>
  <c r="AV66" i="30"/>
  <c r="B69" i="35"/>
  <c r="H97" i="5" s="1"/>
  <c r="G68" i="35"/>
  <c r="E68" i="35"/>
  <c r="L68" i="35"/>
  <c r="M68" i="35" s="1"/>
  <c r="F68" i="35"/>
  <c r="I68" i="35"/>
  <c r="D96" i="5" s="1"/>
  <c r="D59" i="31"/>
  <c r="C60" i="31"/>
  <c r="W57" i="32"/>
  <c r="A98" i="5"/>
  <c r="AI98" i="5" s="1"/>
  <c r="AZ97" i="5"/>
  <c r="N97" i="5"/>
  <c r="R97" i="5" s="1"/>
  <c r="S97" i="5" s="1"/>
  <c r="W97" i="5" s="1"/>
  <c r="BD97" i="5"/>
  <c r="AT97" i="5"/>
  <c r="I97" i="5"/>
  <c r="AV97" i="5"/>
  <c r="AR97" i="5"/>
  <c r="AS97" i="5" s="1"/>
  <c r="AN97" i="5"/>
  <c r="AO97" i="5" s="1"/>
  <c r="AU97" i="5"/>
  <c r="U97" i="5"/>
  <c r="P67" i="30"/>
  <c r="E67" i="30"/>
  <c r="F67" i="30"/>
  <c r="C68" i="30"/>
  <c r="G67" i="30"/>
  <c r="U58" i="32"/>
  <c r="D58" i="30" s="1"/>
  <c r="S58" i="30" s="1"/>
  <c r="N60" i="35" s="1"/>
  <c r="E88" i="5" s="1"/>
  <c r="T59" i="32"/>
  <c r="V58" i="32"/>
  <c r="BB96" i="5"/>
  <c r="BC96" i="5" s="1"/>
  <c r="BA96" i="5"/>
  <c r="V57" i="34"/>
  <c r="U57" i="34"/>
  <c r="W57" i="34" s="1"/>
  <c r="T58" i="34"/>
  <c r="H66" i="30"/>
  <c r="D68" i="35" s="1"/>
  <c r="C97" i="5" l="1"/>
  <c r="M55" i="39"/>
  <c r="L55" i="39"/>
  <c r="K56" i="39"/>
  <c r="AW88" i="5"/>
  <c r="B67" i="30"/>
  <c r="R68" i="30"/>
  <c r="V97" i="5"/>
  <c r="G97" i="5"/>
  <c r="U59" i="32"/>
  <c r="AW89" i="5" s="1"/>
  <c r="T60" i="32"/>
  <c r="V59" i="32"/>
  <c r="AV67" i="30"/>
  <c r="J97" i="5"/>
  <c r="BB97" i="5"/>
  <c r="BC97" i="5" s="1"/>
  <c r="BA97" i="5"/>
  <c r="B70" i="35"/>
  <c r="H98" i="5" s="1"/>
  <c r="L69" i="35"/>
  <c r="M69" i="35" s="1"/>
  <c r="E69" i="35"/>
  <c r="I69" i="35"/>
  <c r="D97" i="5" s="1"/>
  <c r="G69" i="35"/>
  <c r="F69" i="35"/>
  <c r="W58" i="32"/>
  <c r="P68" i="30"/>
  <c r="J98" i="5" s="1"/>
  <c r="E68" i="30"/>
  <c r="F68" i="30"/>
  <c r="C69" i="30"/>
  <c r="G68" i="30"/>
  <c r="T59" i="34"/>
  <c r="V58" i="34"/>
  <c r="U58" i="34"/>
  <c r="W58" i="34" s="1"/>
  <c r="H67" i="30"/>
  <c r="D69" i="35" s="1"/>
  <c r="A99" i="5"/>
  <c r="AI99" i="5" s="1"/>
  <c r="AZ98" i="5"/>
  <c r="N98" i="5"/>
  <c r="R98" i="5" s="1"/>
  <c r="S98" i="5" s="1"/>
  <c r="W98" i="5" s="1"/>
  <c r="U98" i="5"/>
  <c r="AR98" i="5"/>
  <c r="AS98" i="5" s="1"/>
  <c r="BD98" i="5"/>
  <c r="AT98" i="5"/>
  <c r="AU98" i="5"/>
  <c r="AV98" i="5"/>
  <c r="AN98" i="5"/>
  <c r="AO98" i="5" s="1"/>
  <c r="D60" i="31"/>
  <c r="C61" i="31"/>
  <c r="D59" i="30" l="1"/>
  <c r="S59" i="30" s="1"/>
  <c r="N61" i="35" s="1"/>
  <c r="E89" i="5" s="1"/>
  <c r="M56" i="39"/>
  <c r="L56" i="39"/>
  <c r="K57" i="39"/>
  <c r="B68" i="30"/>
  <c r="R69" i="30"/>
  <c r="V98" i="5"/>
  <c r="I98" i="5"/>
  <c r="C98" i="5"/>
  <c r="G98" i="5"/>
  <c r="BB98" i="5"/>
  <c r="BC98" i="5" s="1"/>
  <c r="BA98" i="5"/>
  <c r="V59" i="34"/>
  <c r="U59" i="34"/>
  <c r="W59" i="34" s="1"/>
  <c r="T60" i="34"/>
  <c r="AV68" i="30"/>
  <c r="D61" i="31"/>
  <c r="C62" i="31"/>
  <c r="A100" i="5"/>
  <c r="AI100" i="5" s="1"/>
  <c r="AZ99" i="5"/>
  <c r="N99" i="5"/>
  <c r="R99" i="5" s="1"/>
  <c r="S99" i="5" s="1"/>
  <c r="W99" i="5" s="1"/>
  <c r="BD99" i="5"/>
  <c r="AT99" i="5"/>
  <c r="AR99" i="5"/>
  <c r="AS99" i="5" s="1"/>
  <c r="AU99" i="5"/>
  <c r="AV99" i="5"/>
  <c r="U99" i="5"/>
  <c r="AN99" i="5"/>
  <c r="AO99" i="5" s="1"/>
  <c r="P69" i="30"/>
  <c r="J99" i="5" s="1"/>
  <c r="E69" i="30"/>
  <c r="F69" i="30"/>
  <c r="C70" i="30"/>
  <c r="G69" i="30"/>
  <c r="B71" i="35"/>
  <c r="G70" i="35"/>
  <c r="F70" i="35"/>
  <c r="I70" i="35"/>
  <c r="D98" i="5" s="1"/>
  <c r="E70" i="35"/>
  <c r="L70" i="35"/>
  <c r="M70" i="35" s="1"/>
  <c r="U60" i="32"/>
  <c r="D60" i="30" s="1"/>
  <c r="S60" i="30" s="1"/>
  <c r="N62" i="35" s="1"/>
  <c r="E90" i="5" s="1"/>
  <c r="T61" i="32"/>
  <c r="V60" i="32"/>
  <c r="H68" i="30"/>
  <c r="D70" i="35" s="1"/>
  <c r="W59" i="32"/>
  <c r="M57" i="39" l="1"/>
  <c r="L57" i="39"/>
  <c r="K58" i="39"/>
  <c r="R70" i="30"/>
  <c r="B69" i="30"/>
  <c r="V99" i="5"/>
  <c r="B72" i="35"/>
  <c r="C100" i="5" s="1"/>
  <c r="I71" i="35"/>
  <c r="D99" i="5" s="1"/>
  <c r="E71" i="35"/>
  <c r="L71" i="35"/>
  <c r="M71" i="35" s="1"/>
  <c r="G71" i="35"/>
  <c r="F71" i="35"/>
  <c r="G99" i="5"/>
  <c r="H99" i="5"/>
  <c r="W60" i="32"/>
  <c r="H69" i="30"/>
  <c r="I99" i="5"/>
  <c r="BB99" i="5"/>
  <c r="BC99" i="5" s="1"/>
  <c r="BA99" i="5"/>
  <c r="A101" i="5"/>
  <c r="AI101" i="5" s="1"/>
  <c r="AZ100" i="5"/>
  <c r="BD100" i="5"/>
  <c r="N100" i="5"/>
  <c r="R100" i="5" s="1"/>
  <c r="S100" i="5" s="1"/>
  <c r="W100" i="5" s="1"/>
  <c r="AR100" i="5"/>
  <c r="AS100" i="5" s="1"/>
  <c r="AT100" i="5"/>
  <c r="U100" i="5"/>
  <c r="AV100" i="5"/>
  <c r="AU100" i="5"/>
  <c r="AN100" i="5"/>
  <c r="AO100" i="5" s="1"/>
  <c r="U61" i="32"/>
  <c r="W61" i="32" s="1"/>
  <c r="T62" i="32"/>
  <c r="V61" i="32"/>
  <c r="AV69" i="30"/>
  <c r="C99" i="5"/>
  <c r="D62" i="31"/>
  <c r="C63" i="31"/>
  <c r="P70" i="30"/>
  <c r="E70" i="30"/>
  <c r="F70" i="30"/>
  <c r="C71" i="30"/>
  <c r="G70" i="30"/>
  <c r="T61" i="34"/>
  <c r="V60" i="34"/>
  <c r="U60" i="34"/>
  <c r="W60" i="34" s="1"/>
  <c r="AW91" i="5" l="1"/>
  <c r="D61" i="30"/>
  <c r="S61" i="30" s="1"/>
  <c r="N63" i="35" s="1"/>
  <c r="E91" i="5" s="1"/>
  <c r="M58" i="39"/>
  <c r="L58" i="39"/>
  <c r="K59" i="39"/>
  <c r="B70" i="30"/>
  <c r="R71" i="30"/>
  <c r="V100" i="5"/>
  <c r="I100" i="5"/>
  <c r="G100" i="5"/>
  <c r="H100" i="5"/>
  <c r="H70" i="30"/>
  <c r="D72" i="35" s="1"/>
  <c r="D63" i="31"/>
  <c r="C64" i="31"/>
  <c r="A102" i="5"/>
  <c r="AI102" i="5" s="1"/>
  <c r="AZ101" i="5"/>
  <c r="AR101" i="5"/>
  <c r="AS101" i="5" s="1"/>
  <c r="U101" i="5"/>
  <c r="BD101" i="5"/>
  <c r="N101" i="5"/>
  <c r="R101" i="5" s="1"/>
  <c r="S101" i="5" s="1"/>
  <c r="W101" i="5" s="1"/>
  <c r="AV101" i="5"/>
  <c r="AT101" i="5"/>
  <c r="AU101" i="5"/>
  <c r="AN101" i="5"/>
  <c r="AO101" i="5" s="1"/>
  <c r="B73" i="35"/>
  <c r="G72" i="35"/>
  <c r="E72" i="35"/>
  <c r="L72" i="35"/>
  <c r="M72" i="35" s="1"/>
  <c r="F72" i="35"/>
  <c r="I72" i="35"/>
  <c r="D100" i="5" s="1"/>
  <c r="BB100" i="5"/>
  <c r="BC100" i="5" s="1"/>
  <c r="BA100" i="5"/>
  <c r="D71" i="35"/>
  <c r="AV70" i="30"/>
  <c r="V61" i="34"/>
  <c r="U61" i="34"/>
  <c r="W61" i="34" s="1"/>
  <c r="T62" i="34"/>
  <c r="P71" i="30"/>
  <c r="J101" i="5" s="1"/>
  <c r="E71" i="30"/>
  <c r="F71" i="30"/>
  <c r="C72" i="30"/>
  <c r="G71" i="30"/>
  <c r="U62" i="32"/>
  <c r="AW92" i="5" s="1"/>
  <c r="T63" i="32"/>
  <c r="V62" i="32"/>
  <c r="J100" i="5"/>
  <c r="D62" i="30" l="1"/>
  <c r="S62" i="30" s="1"/>
  <c r="N64" i="35" s="1"/>
  <c r="E92" i="5" s="1"/>
  <c r="M59" i="39"/>
  <c r="L59" i="39"/>
  <c r="K60" i="39"/>
  <c r="B71" i="30"/>
  <c r="R72" i="30"/>
  <c r="V101" i="5"/>
  <c r="H71" i="30"/>
  <c r="D73" i="35" s="1"/>
  <c r="F72" i="30"/>
  <c r="C73" i="30"/>
  <c r="G72" i="30"/>
  <c r="E72" i="30"/>
  <c r="P72" i="30"/>
  <c r="J102" i="5" s="1"/>
  <c r="T63" i="34"/>
  <c r="V62" i="34"/>
  <c r="U62" i="34"/>
  <c r="W62" i="34" s="1"/>
  <c r="D64" i="31"/>
  <c r="C65" i="31"/>
  <c r="A103" i="5"/>
  <c r="AI103" i="5" s="1"/>
  <c r="AZ102" i="5"/>
  <c r="N102" i="5"/>
  <c r="R102" i="5" s="1"/>
  <c r="S102" i="5" s="1"/>
  <c r="W102" i="5" s="1"/>
  <c r="AR102" i="5"/>
  <c r="AS102" i="5" s="1"/>
  <c r="U102" i="5"/>
  <c r="BD102" i="5"/>
  <c r="AT102" i="5"/>
  <c r="AU102" i="5"/>
  <c r="AV102" i="5"/>
  <c r="AN102" i="5"/>
  <c r="AO102" i="5" s="1"/>
  <c r="B74" i="35"/>
  <c r="I102" i="5" s="1"/>
  <c r="L73" i="35"/>
  <c r="M73" i="35" s="1"/>
  <c r="E73" i="35"/>
  <c r="I73" i="35"/>
  <c r="D101" i="5" s="1"/>
  <c r="G73" i="35"/>
  <c r="F73" i="35"/>
  <c r="I101" i="5"/>
  <c r="BB101" i="5"/>
  <c r="BC101" i="5" s="1"/>
  <c r="BA101" i="5"/>
  <c r="U63" i="32"/>
  <c r="W63" i="32" s="1"/>
  <c r="T64" i="32"/>
  <c r="V63" i="32"/>
  <c r="W62" i="32"/>
  <c r="AV71" i="30"/>
  <c r="H101" i="5"/>
  <c r="G101" i="5"/>
  <c r="C101" i="5"/>
  <c r="R73" i="30" l="1"/>
  <c r="D63" i="30"/>
  <c r="S63" i="30" s="1"/>
  <c r="N65" i="35" s="1"/>
  <c r="E93" i="5" s="1"/>
  <c r="AW93" i="5"/>
  <c r="M60" i="39"/>
  <c r="L60" i="39"/>
  <c r="K61" i="39"/>
  <c r="B72" i="30"/>
  <c r="V102" i="5"/>
  <c r="H72" i="30"/>
  <c r="D74" i="35" s="1"/>
  <c r="U63" i="34"/>
  <c r="W63" i="34" s="1"/>
  <c r="T64" i="34"/>
  <c r="V63" i="34"/>
  <c r="H102" i="5"/>
  <c r="D65" i="31"/>
  <c r="C66" i="31"/>
  <c r="AV72" i="30"/>
  <c r="U64" i="32"/>
  <c r="D64" i="30" s="1"/>
  <c r="S64" i="30" s="1"/>
  <c r="N66" i="35" s="1"/>
  <c r="E94" i="5" s="1"/>
  <c r="T65" i="32"/>
  <c r="V64" i="32"/>
  <c r="B75" i="35"/>
  <c r="C103" i="5" s="1"/>
  <c r="G74" i="35"/>
  <c r="F74" i="35"/>
  <c r="I74" i="35"/>
  <c r="D102" i="5" s="1"/>
  <c r="E74" i="35"/>
  <c r="L74" i="35"/>
  <c r="M74" i="35" s="1"/>
  <c r="C102" i="5"/>
  <c r="G102" i="5"/>
  <c r="BB102" i="5"/>
  <c r="BC102" i="5" s="1"/>
  <c r="BA102" i="5"/>
  <c r="A104" i="5"/>
  <c r="AI104" i="5" s="1"/>
  <c r="AZ103" i="5"/>
  <c r="N103" i="5"/>
  <c r="R103" i="5" s="1"/>
  <c r="S103" i="5" s="1"/>
  <c r="W103" i="5" s="1"/>
  <c r="AR103" i="5"/>
  <c r="AS103" i="5" s="1"/>
  <c r="AT103" i="5"/>
  <c r="U103" i="5"/>
  <c r="AU103" i="5"/>
  <c r="BD103" i="5"/>
  <c r="AN103" i="5"/>
  <c r="AO103" i="5" s="1"/>
  <c r="AV103" i="5"/>
  <c r="F73" i="30"/>
  <c r="C74" i="30"/>
  <c r="G73" i="30"/>
  <c r="P73" i="30"/>
  <c r="J103" i="5" s="1"/>
  <c r="E73" i="30"/>
  <c r="M61" i="39" l="1"/>
  <c r="L61" i="39"/>
  <c r="K62" i="39"/>
  <c r="B73" i="30"/>
  <c r="R74" i="30"/>
  <c r="V103" i="5"/>
  <c r="G103" i="5"/>
  <c r="H103" i="5"/>
  <c r="I103" i="5"/>
  <c r="H73" i="30"/>
  <c r="D75" i="35" s="1"/>
  <c r="W64" i="32"/>
  <c r="D66" i="31"/>
  <c r="C67" i="31"/>
  <c r="T65" i="34"/>
  <c r="V64" i="34"/>
  <c r="U64" i="34"/>
  <c r="W64" i="34" s="1"/>
  <c r="F74" i="30"/>
  <c r="C75" i="30"/>
  <c r="G74" i="30"/>
  <c r="E74" i="30"/>
  <c r="P74" i="30"/>
  <c r="J104" i="5" s="1"/>
  <c r="AV73" i="30"/>
  <c r="BB103" i="5"/>
  <c r="BC103" i="5" s="1"/>
  <c r="BA103" i="5"/>
  <c r="A105" i="5"/>
  <c r="AI105" i="5" s="1"/>
  <c r="AZ104" i="5"/>
  <c r="N104" i="5"/>
  <c r="R104" i="5" s="1"/>
  <c r="S104" i="5" s="1"/>
  <c r="W104" i="5" s="1"/>
  <c r="AR104" i="5"/>
  <c r="AS104" i="5" s="1"/>
  <c r="BD104" i="5"/>
  <c r="AT104" i="5"/>
  <c r="U104" i="5"/>
  <c r="AV104" i="5"/>
  <c r="AU104" i="5"/>
  <c r="AN104" i="5"/>
  <c r="AO104" i="5" s="1"/>
  <c r="B76" i="35"/>
  <c r="C104" i="5" s="1"/>
  <c r="I75" i="35"/>
  <c r="D103" i="5" s="1"/>
  <c r="E75" i="35"/>
  <c r="L75" i="35"/>
  <c r="M75" i="35" s="1"/>
  <c r="G75" i="35"/>
  <c r="F75" i="35"/>
  <c r="U65" i="32"/>
  <c r="W65" i="32" s="1"/>
  <c r="T66" i="32"/>
  <c r="V65" i="32"/>
  <c r="B74" i="30" l="1"/>
  <c r="M62" i="39"/>
  <c r="L62" i="39"/>
  <c r="K63" i="39"/>
  <c r="D65" i="30"/>
  <c r="S65" i="30" s="1"/>
  <c r="N67" i="35" s="1"/>
  <c r="E95" i="5" s="1"/>
  <c r="R75" i="30"/>
  <c r="V104" i="5"/>
  <c r="H74" i="30"/>
  <c r="D76" i="35" s="1"/>
  <c r="B77" i="35"/>
  <c r="I105" i="5" s="1"/>
  <c r="G76" i="35"/>
  <c r="F76" i="35"/>
  <c r="L76" i="35"/>
  <c r="M76" i="35" s="1"/>
  <c r="E76" i="35"/>
  <c r="I76" i="35"/>
  <c r="I104" i="5"/>
  <c r="BB104" i="5"/>
  <c r="BC104" i="5" s="1"/>
  <c r="BA104" i="5"/>
  <c r="F75" i="30"/>
  <c r="C76" i="30"/>
  <c r="G75" i="30"/>
  <c r="P75" i="30"/>
  <c r="J105" i="5" s="1"/>
  <c r="E75" i="30"/>
  <c r="U65" i="34"/>
  <c r="W65" i="34" s="1"/>
  <c r="T66" i="34"/>
  <c r="V65" i="34"/>
  <c r="D67" i="31"/>
  <c r="C68" i="31"/>
  <c r="AV74" i="30"/>
  <c r="U66" i="32"/>
  <c r="W66" i="32" s="1"/>
  <c r="T67" i="32"/>
  <c r="V66" i="32"/>
  <c r="D104" i="5"/>
  <c r="H104" i="5"/>
  <c r="G104" i="5"/>
  <c r="A106" i="5"/>
  <c r="AI106" i="5" s="1"/>
  <c r="AZ105" i="5"/>
  <c r="N105" i="5"/>
  <c r="R105" i="5" s="1"/>
  <c r="S105" i="5" s="1"/>
  <c r="W105" i="5" s="1"/>
  <c r="AR105" i="5"/>
  <c r="AS105" i="5" s="1"/>
  <c r="AT105" i="5"/>
  <c r="U105" i="5"/>
  <c r="AU105" i="5"/>
  <c r="AV105" i="5"/>
  <c r="BD105" i="5"/>
  <c r="AN105" i="5"/>
  <c r="AO105" i="5" s="1"/>
  <c r="H105" i="5" l="1"/>
  <c r="C105" i="5"/>
  <c r="M63" i="39"/>
  <c r="L63" i="39"/>
  <c r="K64" i="39"/>
  <c r="AW96" i="5"/>
  <c r="B75" i="30"/>
  <c r="R76" i="30"/>
  <c r="G105" i="5"/>
  <c r="V105" i="5"/>
  <c r="BB105" i="5"/>
  <c r="BC105" i="5" s="1"/>
  <c r="BA105" i="5"/>
  <c r="U67" i="32"/>
  <c r="W67" i="32" s="1"/>
  <c r="T68" i="32"/>
  <c r="V67" i="32"/>
  <c r="T67" i="34"/>
  <c r="V66" i="34"/>
  <c r="U66" i="34"/>
  <c r="W66" i="34" s="1"/>
  <c r="F76" i="30"/>
  <c r="C77" i="30"/>
  <c r="G76" i="30"/>
  <c r="E76" i="30"/>
  <c r="P76" i="30"/>
  <c r="J106" i="5" s="1"/>
  <c r="B78" i="35"/>
  <c r="C106" i="5" s="1"/>
  <c r="L77" i="35"/>
  <c r="M77" i="35" s="1"/>
  <c r="E77" i="35"/>
  <c r="I77" i="35"/>
  <c r="D105" i="5" s="1"/>
  <c r="G77" i="35"/>
  <c r="F77" i="35"/>
  <c r="AV75" i="30"/>
  <c r="H75" i="30"/>
  <c r="A107" i="5"/>
  <c r="AI107" i="5" s="1"/>
  <c r="AZ106" i="5"/>
  <c r="N106" i="5"/>
  <c r="R106" i="5" s="1"/>
  <c r="S106" i="5" s="1"/>
  <c r="W106" i="5" s="1"/>
  <c r="AR106" i="5"/>
  <c r="AS106" i="5" s="1"/>
  <c r="U106" i="5"/>
  <c r="BD106" i="5"/>
  <c r="AT106" i="5"/>
  <c r="AU106" i="5"/>
  <c r="AV106" i="5"/>
  <c r="AN106" i="5"/>
  <c r="AO106" i="5" s="1"/>
  <c r="D68" i="31"/>
  <c r="C69" i="31"/>
  <c r="G106" i="5" l="1"/>
  <c r="D67" i="30"/>
  <c r="S67" i="30" s="1"/>
  <c r="N69" i="35" s="1"/>
  <c r="E97" i="5" s="1"/>
  <c r="B76" i="30"/>
  <c r="AW97" i="5"/>
  <c r="M64" i="39"/>
  <c r="L64" i="39"/>
  <c r="K65" i="39"/>
  <c r="R77" i="30"/>
  <c r="V106" i="5"/>
  <c r="H106" i="5"/>
  <c r="I106" i="5"/>
  <c r="H76" i="30"/>
  <c r="D78" i="35" s="1"/>
  <c r="F77" i="30"/>
  <c r="C78" i="30"/>
  <c r="G77" i="30"/>
  <c r="P77" i="30"/>
  <c r="J107" i="5" s="1"/>
  <c r="E77" i="30"/>
  <c r="U68" i="32"/>
  <c r="W68" i="32" s="1"/>
  <c r="T69" i="32"/>
  <c r="V68" i="32"/>
  <c r="D77" i="35"/>
  <c r="B79" i="35"/>
  <c r="I107" i="5" s="1"/>
  <c r="G78" i="35"/>
  <c r="F78" i="35"/>
  <c r="I78" i="35"/>
  <c r="D106" i="5" s="1"/>
  <c r="E78" i="35"/>
  <c r="L78" i="35"/>
  <c r="M78" i="35" s="1"/>
  <c r="U67" i="34"/>
  <c r="W67" i="34" s="1"/>
  <c r="T68" i="34"/>
  <c r="V67" i="34"/>
  <c r="D69" i="31"/>
  <c r="C70" i="31"/>
  <c r="BB106" i="5"/>
  <c r="BC106" i="5" s="1"/>
  <c r="BA106" i="5"/>
  <c r="A108" i="5"/>
  <c r="AI108" i="5" s="1"/>
  <c r="AZ107" i="5"/>
  <c r="N107" i="5"/>
  <c r="R107" i="5" s="1"/>
  <c r="S107" i="5" s="1"/>
  <c r="W107" i="5" s="1"/>
  <c r="AR107" i="5"/>
  <c r="AS107" i="5" s="1"/>
  <c r="BD107" i="5"/>
  <c r="AV107" i="5"/>
  <c r="AU107" i="5"/>
  <c r="U107" i="5"/>
  <c r="AN107" i="5"/>
  <c r="AO107" i="5" s="1"/>
  <c r="AT107" i="5"/>
  <c r="AV76" i="30"/>
  <c r="M65" i="39" l="1"/>
  <c r="L65" i="39"/>
  <c r="K66" i="39"/>
  <c r="B77" i="30"/>
  <c r="R78" i="30"/>
  <c r="V107" i="5"/>
  <c r="C107" i="5"/>
  <c r="H107" i="5"/>
  <c r="G107" i="5"/>
  <c r="H77" i="30"/>
  <c r="D79" i="35" s="1"/>
  <c r="D70" i="31"/>
  <c r="C71" i="31"/>
  <c r="AV77" i="30"/>
  <c r="BB107" i="5"/>
  <c r="BC107" i="5" s="1"/>
  <c r="BA107" i="5"/>
  <c r="A109" i="5"/>
  <c r="AI109" i="5" s="1"/>
  <c r="AZ108" i="5"/>
  <c r="N108" i="5"/>
  <c r="R108" i="5" s="1"/>
  <c r="S108" i="5" s="1"/>
  <c r="W108" i="5" s="1"/>
  <c r="AR108" i="5"/>
  <c r="AS108" i="5" s="1"/>
  <c r="BD108" i="5"/>
  <c r="AT108" i="5"/>
  <c r="U108" i="5"/>
  <c r="AN108" i="5"/>
  <c r="AO108" i="5" s="1"/>
  <c r="AU108" i="5"/>
  <c r="AV108" i="5"/>
  <c r="T69" i="34"/>
  <c r="V68" i="34"/>
  <c r="U68" i="34"/>
  <c r="W68" i="34" s="1"/>
  <c r="B80" i="35"/>
  <c r="I79" i="35"/>
  <c r="D107" i="5" s="1"/>
  <c r="F79" i="35"/>
  <c r="L79" i="35"/>
  <c r="M79" i="35" s="1"/>
  <c r="G79" i="35"/>
  <c r="E79" i="35"/>
  <c r="T70" i="32"/>
  <c r="U69" i="32"/>
  <c r="V69" i="32"/>
  <c r="F78" i="30"/>
  <c r="C79" i="30"/>
  <c r="G78" i="30"/>
  <c r="E78" i="30"/>
  <c r="P78" i="30"/>
  <c r="J108" i="5" s="1"/>
  <c r="M66" i="39" l="1"/>
  <c r="L66" i="39"/>
  <c r="K67" i="39"/>
  <c r="R79" i="30"/>
  <c r="B78" i="30"/>
  <c r="V108" i="5"/>
  <c r="H78" i="30"/>
  <c r="D80" i="35" s="1"/>
  <c r="U70" i="32"/>
  <c r="AW100" i="5" s="1"/>
  <c r="T71" i="32"/>
  <c r="V70" i="32"/>
  <c r="B81" i="35"/>
  <c r="I109" i="5" s="1"/>
  <c r="G80" i="35"/>
  <c r="F80" i="35"/>
  <c r="L80" i="35"/>
  <c r="M80" i="35" s="1"/>
  <c r="E80" i="35"/>
  <c r="I80" i="35"/>
  <c r="D108" i="5" s="1"/>
  <c r="C108" i="5"/>
  <c r="BB108" i="5"/>
  <c r="BC108" i="5" s="1"/>
  <c r="BA108" i="5"/>
  <c r="A110" i="5"/>
  <c r="AI110" i="5" s="1"/>
  <c r="AZ109" i="5"/>
  <c r="C109" i="5"/>
  <c r="N109" i="5"/>
  <c r="R109" i="5" s="1"/>
  <c r="S109" i="5" s="1"/>
  <c r="W109" i="5" s="1"/>
  <c r="AR109" i="5"/>
  <c r="AS109" i="5" s="1"/>
  <c r="U109" i="5"/>
  <c r="AV109" i="5"/>
  <c r="BD109" i="5"/>
  <c r="AT109" i="5"/>
  <c r="AN109" i="5"/>
  <c r="AO109" i="5" s="1"/>
  <c r="AU109" i="5"/>
  <c r="F79" i="30"/>
  <c r="C80" i="30"/>
  <c r="G79" i="30"/>
  <c r="P79" i="30"/>
  <c r="J109" i="5" s="1"/>
  <c r="E79" i="30"/>
  <c r="H108" i="5"/>
  <c r="D71" i="31"/>
  <c r="C72" i="31"/>
  <c r="AV78" i="30"/>
  <c r="W69" i="32"/>
  <c r="U69" i="34"/>
  <c r="W69" i="34" s="1"/>
  <c r="T70" i="34"/>
  <c r="V69" i="34"/>
  <c r="I108" i="5"/>
  <c r="G108" i="5"/>
  <c r="M67" i="39" l="1"/>
  <c r="L67" i="39"/>
  <c r="K68" i="39"/>
  <c r="B79" i="30"/>
  <c r="R80" i="30"/>
  <c r="H109" i="5"/>
  <c r="G109" i="5"/>
  <c r="V109" i="5"/>
  <c r="H79" i="30"/>
  <c r="D81" i="35" s="1"/>
  <c r="W70" i="32"/>
  <c r="T71" i="34"/>
  <c r="V70" i="34"/>
  <c r="U70" i="34"/>
  <c r="W70" i="34" s="1"/>
  <c r="D72" i="31"/>
  <c r="C73" i="31"/>
  <c r="F80" i="30"/>
  <c r="C81" i="30"/>
  <c r="G80" i="30"/>
  <c r="E80" i="30"/>
  <c r="P80" i="30"/>
  <c r="J110" i="5" s="1"/>
  <c r="B82" i="35"/>
  <c r="G110" i="5" s="1"/>
  <c r="L81" i="35"/>
  <c r="M81" i="35" s="1"/>
  <c r="E81" i="35"/>
  <c r="I81" i="35"/>
  <c r="D109" i="5" s="1"/>
  <c r="G81" i="35"/>
  <c r="F81" i="35"/>
  <c r="AV79" i="30"/>
  <c r="BA109" i="5"/>
  <c r="BB109" i="5"/>
  <c r="BC109" i="5" s="1"/>
  <c r="A111" i="5"/>
  <c r="AI111" i="5" s="1"/>
  <c r="AZ110" i="5"/>
  <c r="N110" i="5"/>
  <c r="R110" i="5" s="1"/>
  <c r="S110" i="5" s="1"/>
  <c r="W110" i="5" s="1"/>
  <c r="AR110" i="5"/>
  <c r="AS110" i="5" s="1"/>
  <c r="U110" i="5"/>
  <c r="BD110" i="5"/>
  <c r="H110" i="5"/>
  <c r="AT110" i="5"/>
  <c r="I110" i="5"/>
  <c r="AU110" i="5"/>
  <c r="AV110" i="5"/>
  <c r="AN110" i="5"/>
  <c r="AO110" i="5" s="1"/>
  <c r="U71" i="32"/>
  <c r="T72" i="32"/>
  <c r="V71" i="32"/>
  <c r="B80" i="30" l="1"/>
  <c r="M68" i="39"/>
  <c r="L68" i="39"/>
  <c r="K69" i="39"/>
  <c r="R81" i="30"/>
  <c r="V110" i="5"/>
  <c r="C110" i="5"/>
  <c r="U72" i="32"/>
  <c r="T73" i="32"/>
  <c r="V72" i="32"/>
  <c r="A112" i="5"/>
  <c r="AI112" i="5" s="1"/>
  <c r="AZ111" i="5"/>
  <c r="N111" i="5"/>
  <c r="R111" i="5" s="1"/>
  <c r="S111" i="5" s="1"/>
  <c r="W111" i="5" s="1"/>
  <c r="AR111" i="5"/>
  <c r="AS111" i="5" s="1"/>
  <c r="AT111" i="5"/>
  <c r="U111" i="5"/>
  <c r="AU111" i="5"/>
  <c r="AV111" i="5"/>
  <c r="AN111" i="5"/>
  <c r="AO111" i="5" s="1"/>
  <c r="BD111" i="5"/>
  <c r="H80" i="30"/>
  <c r="D82" i="35" s="1"/>
  <c r="U71" i="34"/>
  <c r="W71" i="34" s="1"/>
  <c r="T72" i="34"/>
  <c r="V71" i="34"/>
  <c r="W71" i="32"/>
  <c r="F81" i="30"/>
  <c r="C82" i="30"/>
  <c r="G81" i="30"/>
  <c r="P81" i="30"/>
  <c r="J111" i="5" s="1"/>
  <c r="E81" i="30"/>
  <c r="BB110" i="5"/>
  <c r="BC110" i="5" s="1"/>
  <c r="BA110" i="5"/>
  <c r="B83" i="35"/>
  <c r="G82" i="35"/>
  <c r="F82" i="35"/>
  <c r="I82" i="35"/>
  <c r="D110" i="5" s="1"/>
  <c r="E82" i="35"/>
  <c r="L82" i="35"/>
  <c r="M82" i="35" s="1"/>
  <c r="AV80" i="30"/>
  <c r="D73" i="31"/>
  <c r="C74" i="31"/>
  <c r="M69" i="39" l="1"/>
  <c r="L69" i="39"/>
  <c r="K70" i="39"/>
  <c r="B81" i="30"/>
  <c r="R82" i="30"/>
  <c r="V111" i="5"/>
  <c r="H111" i="5"/>
  <c r="I111" i="5"/>
  <c r="U73" i="32"/>
  <c r="D73" i="30" s="1"/>
  <c r="S73" i="30" s="1"/>
  <c r="N75" i="35" s="1"/>
  <c r="E103" i="5" s="1"/>
  <c r="T74" i="32"/>
  <c r="V73" i="32"/>
  <c r="F82" i="30"/>
  <c r="C83" i="30"/>
  <c r="G82" i="30"/>
  <c r="E82" i="30"/>
  <c r="P82" i="30"/>
  <c r="J112" i="5" s="1"/>
  <c r="C111" i="5"/>
  <c r="BB111" i="5"/>
  <c r="BC111" i="5" s="1"/>
  <c r="BA111" i="5"/>
  <c r="A113" i="5"/>
  <c r="AI113" i="5" s="1"/>
  <c r="AZ112" i="5"/>
  <c r="N112" i="5"/>
  <c r="R112" i="5" s="1"/>
  <c r="S112" i="5" s="1"/>
  <c r="W112" i="5" s="1"/>
  <c r="AR112" i="5"/>
  <c r="AS112" i="5" s="1"/>
  <c r="BD112" i="5"/>
  <c r="AT112" i="5"/>
  <c r="U112" i="5"/>
  <c r="AU112" i="5"/>
  <c r="AV112" i="5"/>
  <c r="AN112" i="5"/>
  <c r="AO112" i="5" s="1"/>
  <c r="W72" i="32"/>
  <c r="D74" i="31"/>
  <c r="C75" i="31"/>
  <c r="AV81" i="30"/>
  <c r="B84" i="35"/>
  <c r="L83" i="35"/>
  <c r="M83" i="35" s="1"/>
  <c r="G83" i="35"/>
  <c r="F83" i="35"/>
  <c r="I83" i="35"/>
  <c r="D111" i="5" s="1"/>
  <c r="E83" i="35"/>
  <c r="H81" i="30"/>
  <c r="D83" i="35" s="1"/>
  <c r="T73" i="34"/>
  <c r="V72" i="34"/>
  <c r="U72" i="34"/>
  <c r="W72" i="34" s="1"/>
  <c r="G111" i="5"/>
  <c r="M70" i="39" l="1"/>
  <c r="L70" i="39"/>
  <c r="K71" i="39"/>
  <c r="AW103" i="5"/>
  <c r="B82" i="30"/>
  <c r="R83" i="30"/>
  <c r="V112" i="5"/>
  <c r="H82" i="30"/>
  <c r="D84" i="35" s="1"/>
  <c r="G112" i="5"/>
  <c r="H112" i="5"/>
  <c r="BB112" i="5"/>
  <c r="BC112" i="5" s="1"/>
  <c r="BA112" i="5"/>
  <c r="A114" i="5"/>
  <c r="AI114" i="5" s="1"/>
  <c r="AZ113" i="5"/>
  <c r="N113" i="5"/>
  <c r="R113" i="5" s="1"/>
  <c r="S113" i="5" s="1"/>
  <c r="W113" i="5" s="1"/>
  <c r="AR113" i="5"/>
  <c r="AS113" i="5" s="1"/>
  <c r="AT113" i="5"/>
  <c r="AV113" i="5"/>
  <c r="BD113" i="5"/>
  <c r="AU113" i="5"/>
  <c r="AN113" i="5"/>
  <c r="AO113" i="5" s="1"/>
  <c r="U113" i="5"/>
  <c r="F83" i="30"/>
  <c r="C84" i="30"/>
  <c r="G83" i="30"/>
  <c r="P83" i="30"/>
  <c r="E83" i="30"/>
  <c r="U73" i="34"/>
  <c r="W73" i="34" s="1"/>
  <c r="T74" i="34"/>
  <c r="V73" i="34"/>
  <c r="I112" i="5"/>
  <c r="U74" i="32"/>
  <c r="AW104" i="5" s="1"/>
  <c r="T75" i="32"/>
  <c r="V74" i="32"/>
  <c r="B85" i="35"/>
  <c r="L84" i="35"/>
  <c r="M84" i="35" s="1"/>
  <c r="E84" i="35"/>
  <c r="I84" i="35"/>
  <c r="D112" i="5" s="1"/>
  <c r="G84" i="35"/>
  <c r="F84" i="35"/>
  <c r="D75" i="31"/>
  <c r="C76" i="31"/>
  <c r="C112" i="5"/>
  <c r="AV82" i="30"/>
  <c r="W73" i="32"/>
  <c r="M71" i="39" l="1"/>
  <c r="L71" i="39"/>
  <c r="K72" i="39"/>
  <c r="D74" i="30"/>
  <c r="S74" i="30" s="1"/>
  <c r="N76" i="35" s="1"/>
  <c r="E104" i="5" s="1"/>
  <c r="R84" i="30"/>
  <c r="B83" i="30"/>
  <c r="V113" i="5"/>
  <c r="W74" i="32"/>
  <c r="AV83" i="30"/>
  <c r="H113" i="5"/>
  <c r="I113" i="5"/>
  <c r="BB113" i="5"/>
  <c r="BC113" i="5" s="1"/>
  <c r="BA113" i="5"/>
  <c r="H83" i="30"/>
  <c r="D85" i="35" s="1"/>
  <c r="C113" i="5"/>
  <c r="J113" i="5"/>
  <c r="D76" i="31"/>
  <c r="C77" i="31"/>
  <c r="B86" i="35"/>
  <c r="I114" i="5" s="1"/>
  <c r="F85" i="35"/>
  <c r="L85" i="35"/>
  <c r="M85" i="35" s="1"/>
  <c r="E85" i="35"/>
  <c r="I85" i="35"/>
  <c r="D113" i="5" s="1"/>
  <c r="G85" i="35"/>
  <c r="U75" i="32"/>
  <c r="W75" i="32" s="1"/>
  <c r="T76" i="32"/>
  <c r="V75" i="32"/>
  <c r="T75" i="34"/>
  <c r="V74" i="34"/>
  <c r="U74" i="34"/>
  <c r="W74" i="34" s="1"/>
  <c r="F84" i="30"/>
  <c r="C85" i="30"/>
  <c r="G84" i="30"/>
  <c r="E84" i="30"/>
  <c r="P84" i="30"/>
  <c r="J114" i="5" s="1"/>
  <c r="G113" i="5"/>
  <c r="A115" i="5"/>
  <c r="AI115" i="5" s="1"/>
  <c r="AZ114" i="5"/>
  <c r="N114" i="5"/>
  <c r="R114" i="5" s="1"/>
  <c r="S114" i="5" s="1"/>
  <c r="W114" i="5" s="1"/>
  <c r="AR114" i="5"/>
  <c r="AS114" i="5" s="1"/>
  <c r="U114" i="5"/>
  <c r="BD114" i="5"/>
  <c r="AT114" i="5"/>
  <c r="AU114" i="5"/>
  <c r="AV114" i="5"/>
  <c r="AN114" i="5"/>
  <c r="AO114" i="5" s="1"/>
  <c r="B84" i="30" l="1"/>
  <c r="M72" i="39"/>
  <c r="L72" i="39"/>
  <c r="K73" i="39"/>
  <c r="AW105" i="5"/>
  <c r="D75" i="30"/>
  <c r="S75" i="30" s="1"/>
  <c r="N77" i="35" s="1"/>
  <c r="E105" i="5" s="1"/>
  <c r="R85" i="30"/>
  <c r="V114" i="5"/>
  <c r="C114" i="5"/>
  <c r="H114" i="5"/>
  <c r="G114" i="5"/>
  <c r="H84" i="30"/>
  <c r="D86" i="35" s="1"/>
  <c r="F85" i="30"/>
  <c r="C86" i="30"/>
  <c r="G85" i="30"/>
  <c r="P85" i="30"/>
  <c r="J115" i="5" s="1"/>
  <c r="E85" i="30"/>
  <c r="B87" i="35"/>
  <c r="H115" i="5" s="1"/>
  <c r="G86" i="35"/>
  <c r="F86" i="35"/>
  <c r="I86" i="35"/>
  <c r="D114" i="5" s="1"/>
  <c r="E86" i="35"/>
  <c r="L86" i="35"/>
  <c r="M86" i="35" s="1"/>
  <c r="U75" i="34"/>
  <c r="W75" i="34" s="1"/>
  <c r="T76" i="34"/>
  <c r="V75" i="34"/>
  <c r="D77" i="31"/>
  <c r="C78" i="31"/>
  <c r="AV84" i="30"/>
  <c r="BB114" i="5"/>
  <c r="BC114" i="5" s="1"/>
  <c r="BA114" i="5"/>
  <c r="A116" i="5"/>
  <c r="AI116" i="5" s="1"/>
  <c r="AZ115" i="5"/>
  <c r="N115" i="5"/>
  <c r="R115" i="5" s="1"/>
  <c r="S115" i="5" s="1"/>
  <c r="W115" i="5" s="1"/>
  <c r="AR115" i="5"/>
  <c r="AS115" i="5" s="1"/>
  <c r="BD115" i="5"/>
  <c r="AU115" i="5"/>
  <c r="AV115" i="5"/>
  <c r="AT115" i="5"/>
  <c r="U115" i="5"/>
  <c r="AN115" i="5"/>
  <c r="AO115" i="5" s="1"/>
  <c r="T77" i="32"/>
  <c r="U76" i="32"/>
  <c r="W76" i="32" s="1"/>
  <c r="V76" i="32"/>
  <c r="B85" i="30" l="1"/>
  <c r="M73" i="39"/>
  <c r="L73" i="39"/>
  <c r="K74" i="39"/>
  <c r="D76" i="30"/>
  <c r="S76" i="30" s="1"/>
  <c r="N78" i="35" s="1"/>
  <c r="E106" i="5" s="1"/>
  <c r="AW106" i="5"/>
  <c r="R86" i="30"/>
  <c r="V115" i="5"/>
  <c r="G115" i="5"/>
  <c r="I115" i="5"/>
  <c r="C115" i="5"/>
  <c r="H85" i="30"/>
  <c r="D87" i="35" s="1"/>
  <c r="BB115" i="5"/>
  <c r="BC115" i="5" s="1"/>
  <c r="BA115" i="5"/>
  <c r="A117" i="5"/>
  <c r="AI117" i="5" s="1"/>
  <c r="AZ116" i="5"/>
  <c r="N116" i="5"/>
  <c r="R116" i="5" s="1"/>
  <c r="S116" i="5" s="1"/>
  <c r="W116" i="5" s="1"/>
  <c r="AR116" i="5"/>
  <c r="AS116" i="5" s="1"/>
  <c r="BD116" i="5"/>
  <c r="AT116" i="5"/>
  <c r="U116" i="5"/>
  <c r="AV116" i="5"/>
  <c r="AN116" i="5"/>
  <c r="AO116" i="5" s="1"/>
  <c r="AU116" i="5"/>
  <c r="T77" i="34"/>
  <c r="V76" i="34"/>
  <c r="U76" i="34"/>
  <c r="W76" i="34" s="1"/>
  <c r="D78" i="31"/>
  <c r="C79" i="31"/>
  <c r="F86" i="30"/>
  <c r="G86" i="30"/>
  <c r="E86" i="30"/>
  <c r="C87" i="30"/>
  <c r="P86" i="30"/>
  <c r="B88" i="35"/>
  <c r="L87" i="35"/>
  <c r="M87" i="35" s="1"/>
  <c r="G87" i="35"/>
  <c r="F87" i="35"/>
  <c r="E87" i="35"/>
  <c r="I87" i="35"/>
  <c r="D115" i="5" s="1"/>
  <c r="AV85" i="30"/>
  <c r="U77" i="32"/>
  <c r="D77" i="30" s="1"/>
  <c r="S77" i="30" s="1"/>
  <c r="N79" i="35" s="1"/>
  <c r="E107" i="5" s="1"/>
  <c r="T78" i="32"/>
  <c r="V77" i="32"/>
  <c r="M74" i="39" l="1"/>
  <c r="L74" i="39"/>
  <c r="K75" i="39"/>
  <c r="B86" i="30"/>
  <c r="R87" i="30"/>
  <c r="V116" i="5"/>
  <c r="B89" i="35"/>
  <c r="C117" i="5" s="1"/>
  <c r="L88" i="35"/>
  <c r="M88" i="35" s="1"/>
  <c r="E88" i="35"/>
  <c r="I88" i="35"/>
  <c r="D116" i="5" s="1"/>
  <c r="G88" i="35"/>
  <c r="F88" i="35"/>
  <c r="AV86" i="30"/>
  <c r="U77" i="34"/>
  <c r="W77" i="34" s="1"/>
  <c r="T78" i="34"/>
  <c r="V77" i="34"/>
  <c r="J116" i="5"/>
  <c r="C116" i="5"/>
  <c r="BB116" i="5"/>
  <c r="BC116" i="5" s="1"/>
  <c r="BA116" i="5"/>
  <c r="A118" i="5"/>
  <c r="AI118" i="5" s="1"/>
  <c r="AZ117" i="5"/>
  <c r="AR117" i="5"/>
  <c r="AS117" i="5" s="1"/>
  <c r="U117" i="5"/>
  <c r="BD117" i="5"/>
  <c r="AN117" i="5"/>
  <c r="AO117" i="5" s="1"/>
  <c r="N117" i="5"/>
  <c r="R117" i="5" s="1"/>
  <c r="S117" i="5" s="1"/>
  <c r="W117" i="5" s="1"/>
  <c r="AT117" i="5"/>
  <c r="AV117" i="5"/>
  <c r="AU117" i="5"/>
  <c r="P87" i="30"/>
  <c r="E87" i="30"/>
  <c r="F87" i="30"/>
  <c r="C88" i="30"/>
  <c r="G87" i="30"/>
  <c r="G116" i="5"/>
  <c r="W77" i="32"/>
  <c r="U78" i="32"/>
  <c r="D78" i="30" s="1"/>
  <c r="S78" i="30" s="1"/>
  <c r="N80" i="35" s="1"/>
  <c r="E108" i="5" s="1"/>
  <c r="T79" i="32"/>
  <c r="V78" i="32"/>
  <c r="H86" i="30"/>
  <c r="D79" i="31"/>
  <c r="C80" i="31"/>
  <c r="H116" i="5"/>
  <c r="I116" i="5"/>
  <c r="M75" i="39" l="1"/>
  <c r="L75" i="39"/>
  <c r="K76" i="39"/>
  <c r="R88" i="30"/>
  <c r="B87" i="30"/>
  <c r="V117" i="5"/>
  <c r="I117" i="5"/>
  <c r="H117" i="5"/>
  <c r="G117" i="5"/>
  <c r="H87" i="30"/>
  <c r="D89" i="35" s="1"/>
  <c r="AV87" i="30"/>
  <c r="BB117" i="5"/>
  <c r="BC117" i="5" s="1"/>
  <c r="BA117" i="5"/>
  <c r="A119" i="5"/>
  <c r="AI119" i="5" s="1"/>
  <c r="AZ118" i="5"/>
  <c r="N118" i="5"/>
  <c r="R118" i="5" s="1"/>
  <c r="S118" i="5" s="1"/>
  <c r="W118" i="5" s="1"/>
  <c r="AR118" i="5"/>
  <c r="AS118" i="5" s="1"/>
  <c r="U118" i="5"/>
  <c r="BD118" i="5"/>
  <c r="AT118" i="5"/>
  <c r="AU118" i="5"/>
  <c r="AV118" i="5"/>
  <c r="AN118" i="5"/>
  <c r="AO118" i="5" s="1"/>
  <c r="D80" i="31"/>
  <c r="C81" i="31"/>
  <c r="U79" i="32"/>
  <c r="D79" i="30" s="1"/>
  <c r="S79" i="30" s="1"/>
  <c r="N81" i="35" s="1"/>
  <c r="E109" i="5" s="1"/>
  <c r="T80" i="32"/>
  <c r="V79" i="32"/>
  <c r="P88" i="30"/>
  <c r="J118" i="5" s="1"/>
  <c r="E88" i="30"/>
  <c r="F88" i="30"/>
  <c r="C89" i="30"/>
  <c r="G88" i="30"/>
  <c r="J117" i="5"/>
  <c r="D88" i="35"/>
  <c r="B90" i="35"/>
  <c r="F89" i="35"/>
  <c r="L89" i="35"/>
  <c r="M89" i="35" s="1"/>
  <c r="E89" i="35"/>
  <c r="I89" i="35"/>
  <c r="D117" i="5" s="1"/>
  <c r="G89" i="35"/>
  <c r="W78" i="32"/>
  <c r="T79" i="34"/>
  <c r="V78" i="34"/>
  <c r="U78" i="34"/>
  <c r="W78" i="34" s="1"/>
  <c r="M76" i="39" l="1"/>
  <c r="L76" i="39"/>
  <c r="K77" i="39"/>
  <c r="B88" i="30"/>
  <c r="R89" i="30"/>
  <c r="V118" i="5"/>
  <c r="H88" i="30"/>
  <c r="D90" i="35" s="1"/>
  <c r="W79" i="32"/>
  <c r="I118" i="5"/>
  <c r="H118" i="5"/>
  <c r="C118" i="5"/>
  <c r="U79" i="34"/>
  <c r="W79" i="34" s="1"/>
  <c r="T80" i="34"/>
  <c r="V79" i="34"/>
  <c r="AV88" i="30"/>
  <c r="D81" i="31"/>
  <c r="C82" i="31"/>
  <c r="A120" i="5"/>
  <c r="AI120" i="5" s="1"/>
  <c r="AZ119" i="5"/>
  <c r="N119" i="5"/>
  <c r="R119" i="5" s="1"/>
  <c r="S119" i="5" s="1"/>
  <c r="W119" i="5" s="1"/>
  <c r="AR119" i="5"/>
  <c r="AS119" i="5" s="1"/>
  <c r="AT119" i="5"/>
  <c r="U119" i="5"/>
  <c r="AU119" i="5"/>
  <c r="BD119" i="5"/>
  <c r="AV119" i="5"/>
  <c r="AN119" i="5"/>
  <c r="AO119" i="5" s="1"/>
  <c r="B91" i="35"/>
  <c r="H119" i="5" s="1"/>
  <c r="G90" i="35"/>
  <c r="F90" i="35"/>
  <c r="I90" i="35"/>
  <c r="D118" i="5" s="1"/>
  <c r="E90" i="35"/>
  <c r="L90" i="35"/>
  <c r="M90" i="35" s="1"/>
  <c r="P89" i="30"/>
  <c r="J119" i="5" s="1"/>
  <c r="E89" i="30"/>
  <c r="F89" i="30"/>
  <c r="C90" i="30"/>
  <c r="G89" i="30"/>
  <c r="T81" i="32"/>
  <c r="U80" i="32"/>
  <c r="W80" i="32" s="1"/>
  <c r="V80" i="32"/>
  <c r="G118" i="5"/>
  <c r="BB118" i="5"/>
  <c r="BC118" i="5" s="1"/>
  <c r="BA118" i="5"/>
  <c r="M77" i="39" l="1"/>
  <c r="L77" i="39"/>
  <c r="K78" i="39"/>
  <c r="B89" i="30"/>
  <c r="R90" i="30"/>
  <c r="V119" i="5"/>
  <c r="U81" i="32"/>
  <c r="W81" i="32" s="1"/>
  <c r="T82" i="32"/>
  <c r="V81" i="32"/>
  <c r="H89" i="30"/>
  <c r="D91" i="35" s="1"/>
  <c r="I119" i="5"/>
  <c r="D82" i="31"/>
  <c r="C83" i="31"/>
  <c r="AV89" i="30"/>
  <c r="B92" i="35"/>
  <c r="H120" i="5" s="1"/>
  <c r="L91" i="35"/>
  <c r="M91" i="35" s="1"/>
  <c r="G91" i="35"/>
  <c r="F91" i="35"/>
  <c r="I91" i="35"/>
  <c r="D119" i="5" s="1"/>
  <c r="E91" i="35"/>
  <c r="C119" i="5"/>
  <c r="BB119" i="5"/>
  <c r="BC119" i="5" s="1"/>
  <c r="BA119" i="5"/>
  <c r="A121" i="5"/>
  <c r="AI121" i="5" s="1"/>
  <c r="AZ120" i="5"/>
  <c r="N120" i="5"/>
  <c r="R120" i="5" s="1"/>
  <c r="S120" i="5" s="1"/>
  <c r="W120" i="5" s="1"/>
  <c r="AR120" i="5"/>
  <c r="AS120" i="5" s="1"/>
  <c r="BD120" i="5"/>
  <c r="AT120" i="5"/>
  <c r="U120" i="5"/>
  <c r="AV120" i="5"/>
  <c r="AU120" i="5"/>
  <c r="AN120" i="5"/>
  <c r="AO120" i="5" s="1"/>
  <c r="P90" i="30"/>
  <c r="J120" i="5" s="1"/>
  <c r="E90" i="30"/>
  <c r="F90" i="30"/>
  <c r="C91" i="30"/>
  <c r="G90" i="30"/>
  <c r="G119" i="5"/>
  <c r="T81" i="34"/>
  <c r="V80" i="34"/>
  <c r="U80" i="34"/>
  <c r="W80" i="34" s="1"/>
  <c r="AW111" i="5" l="1"/>
  <c r="D81" i="30"/>
  <c r="S81" i="30" s="1"/>
  <c r="N83" i="35" s="1"/>
  <c r="E111" i="5" s="1"/>
  <c r="M78" i="39"/>
  <c r="L78" i="39"/>
  <c r="K79" i="39"/>
  <c r="R91" i="30"/>
  <c r="B90" i="30"/>
  <c r="V120" i="5"/>
  <c r="I120" i="5"/>
  <c r="G120" i="5"/>
  <c r="C120" i="5"/>
  <c r="U81" i="34"/>
  <c r="W81" i="34" s="1"/>
  <c r="T82" i="34"/>
  <c r="V81" i="34"/>
  <c r="B93" i="35"/>
  <c r="G121" i="5" s="1"/>
  <c r="L92" i="35"/>
  <c r="M92" i="35" s="1"/>
  <c r="E92" i="35"/>
  <c r="I92" i="35"/>
  <c r="D120" i="5" s="1"/>
  <c r="G92" i="35"/>
  <c r="F92" i="35"/>
  <c r="D83" i="31"/>
  <c r="C84" i="31"/>
  <c r="H90" i="30"/>
  <c r="D92" i="35" s="1"/>
  <c r="U82" i="32"/>
  <c r="AW112" i="5" s="1"/>
  <c r="T83" i="32"/>
  <c r="V82" i="32"/>
  <c r="AV90" i="30"/>
  <c r="BB120" i="5"/>
  <c r="BC120" i="5" s="1"/>
  <c r="BA120" i="5"/>
  <c r="A122" i="5"/>
  <c r="AI122" i="5" s="1"/>
  <c r="AZ121" i="5"/>
  <c r="N121" i="5"/>
  <c r="R121" i="5" s="1"/>
  <c r="S121" i="5" s="1"/>
  <c r="W121" i="5" s="1"/>
  <c r="AR121" i="5"/>
  <c r="AS121" i="5" s="1"/>
  <c r="AT121" i="5"/>
  <c r="U121" i="5"/>
  <c r="AU121" i="5"/>
  <c r="BD121" i="5"/>
  <c r="AN121" i="5"/>
  <c r="AO121" i="5" s="1"/>
  <c r="AV121" i="5"/>
  <c r="P91" i="30"/>
  <c r="E91" i="30"/>
  <c r="F91" i="30"/>
  <c r="C92" i="30"/>
  <c r="G91" i="30"/>
  <c r="M79" i="39" l="1"/>
  <c r="L79" i="39"/>
  <c r="K80" i="39"/>
  <c r="B91" i="30"/>
  <c r="R92" i="30"/>
  <c r="V121" i="5"/>
  <c r="H91" i="30"/>
  <c r="D93" i="35" s="1"/>
  <c r="H121" i="5"/>
  <c r="C121" i="5"/>
  <c r="I121" i="5"/>
  <c r="AV91" i="30"/>
  <c r="W82" i="32"/>
  <c r="B94" i="35"/>
  <c r="C122" i="5" s="1"/>
  <c r="F93" i="35"/>
  <c r="L93" i="35"/>
  <c r="M93" i="35" s="1"/>
  <c r="E93" i="35"/>
  <c r="I93" i="35"/>
  <c r="D121" i="5" s="1"/>
  <c r="G93" i="35"/>
  <c r="P92" i="30"/>
  <c r="J122" i="5" s="1"/>
  <c r="E92" i="30"/>
  <c r="F92" i="30"/>
  <c r="C93" i="30"/>
  <c r="G92" i="30"/>
  <c r="J121" i="5"/>
  <c r="A123" i="5"/>
  <c r="AI123" i="5" s="1"/>
  <c r="AZ122" i="5"/>
  <c r="N122" i="5"/>
  <c r="R122" i="5" s="1"/>
  <c r="S122" i="5" s="1"/>
  <c r="W122" i="5" s="1"/>
  <c r="AR122" i="5"/>
  <c r="AS122" i="5" s="1"/>
  <c r="G122" i="5"/>
  <c r="U122" i="5"/>
  <c r="BD122" i="5"/>
  <c r="H122" i="5"/>
  <c r="AT122" i="5"/>
  <c r="AU122" i="5"/>
  <c r="AN122" i="5"/>
  <c r="AO122" i="5" s="1"/>
  <c r="AV122" i="5"/>
  <c r="BB121" i="5"/>
  <c r="BC121" i="5" s="1"/>
  <c r="BA121" i="5"/>
  <c r="T83" i="34"/>
  <c r="V82" i="34"/>
  <c r="U82" i="34"/>
  <c r="W82" i="34" s="1"/>
  <c r="U83" i="32"/>
  <c r="W83" i="32" s="1"/>
  <c r="T84" i="32"/>
  <c r="V83" i="32"/>
  <c r="D84" i="31"/>
  <c r="C85" i="31"/>
  <c r="M80" i="39" l="1"/>
  <c r="L80" i="39"/>
  <c r="K81" i="39"/>
  <c r="D83" i="30"/>
  <c r="S83" i="30" s="1"/>
  <c r="N85" i="35" s="1"/>
  <c r="E113" i="5" s="1"/>
  <c r="B92" i="30"/>
  <c r="R93" i="30"/>
  <c r="V122" i="5"/>
  <c r="I122" i="5"/>
  <c r="T85" i="32"/>
  <c r="U84" i="32"/>
  <c r="V84" i="32"/>
  <c r="H92" i="30"/>
  <c r="D94" i="35" s="1"/>
  <c r="U83" i="34"/>
  <c r="W83" i="34" s="1"/>
  <c r="T84" i="34"/>
  <c r="V83" i="34"/>
  <c r="AV92" i="30"/>
  <c r="B95" i="35"/>
  <c r="C123" i="5" s="1"/>
  <c r="G94" i="35"/>
  <c r="F94" i="35"/>
  <c r="I94" i="35"/>
  <c r="D122" i="5" s="1"/>
  <c r="E94" i="35"/>
  <c r="L94" i="35"/>
  <c r="M94" i="35" s="1"/>
  <c r="D85" i="31"/>
  <c r="C86" i="31"/>
  <c r="P93" i="30"/>
  <c r="J123" i="5" s="1"/>
  <c r="E93" i="30"/>
  <c r="F93" i="30"/>
  <c r="C94" i="30"/>
  <c r="G93" i="30"/>
  <c r="BB122" i="5"/>
  <c r="BC122" i="5" s="1"/>
  <c r="BA122" i="5"/>
  <c r="A124" i="5"/>
  <c r="AI124" i="5" s="1"/>
  <c r="AZ123" i="5"/>
  <c r="N123" i="5"/>
  <c r="R123" i="5" s="1"/>
  <c r="S123" i="5" s="1"/>
  <c r="W123" i="5" s="1"/>
  <c r="AR123" i="5"/>
  <c r="AS123" i="5" s="1"/>
  <c r="G123" i="5"/>
  <c r="BD123" i="5"/>
  <c r="AV123" i="5"/>
  <c r="AU123" i="5"/>
  <c r="U123" i="5"/>
  <c r="AN123" i="5"/>
  <c r="AO123" i="5" s="1"/>
  <c r="AT123" i="5"/>
  <c r="B93" i="30" l="1"/>
  <c r="M81" i="39"/>
  <c r="L81" i="39"/>
  <c r="K82" i="39"/>
  <c r="R94" i="30"/>
  <c r="V123" i="5"/>
  <c r="H123" i="5"/>
  <c r="I123" i="5"/>
  <c r="P94" i="30"/>
  <c r="J124" i="5" s="1"/>
  <c r="E94" i="30"/>
  <c r="F94" i="30"/>
  <c r="C95" i="30"/>
  <c r="G94" i="30"/>
  <c r="B96" i="35"/>
  <c r="C124" i="5" s="1"/>
  <c r="L95" i="35"/>
  <c r="M95" i="35" s="1"/>
  <c r="G95" i="35"/>
  <c r="E95" i="35"/>
  <c r="I95" i="35"/>
  <c r="D123" i="5" s="1"/>
  <c r="F95" i="35"/>
  <c r="T85" i="34"/>
  <c r="V84" i="34"/>
  <c r="U84" i="34"/>
  <c r="W84" i="34" s="1"/>
  <c r="W84" i="32"/>
  <c r="H93" i="30"/>
  <c r="D95" i="35" s="1"/>
  <c r="U85" i="32"/>
  <c r="W85" i="32" s="1"/>
  <c r="T86" i="32"/>
  <c r="V85" i="32"/>
  <c r="BB123" i="5"/>
  <c r="BC123" i="5" s="1"/>
  <c r="BA123" i="5"/>
  <c r="A125" i="5"/>
  <c r="AI125" i="5" s="1"/>
  <c r="AZ124" i="5"/>
  <c r="N124" i="5"/>
  <c r="R124" i="5" s="1"/>
  <c r="S124" i="5" s="1"/>
  <c r="W124" i="5" s="1"/>
  <c r="AR124" i="5"/>
  <c r="AS124" i="5" s="1"/>
  <c r="BD124" i="5"/>
  <c r="AT124" i="5"/>
  <c r="U124" i="5"/>
  <c r="AV124" i="5"/>
  <c r="AN124" i="5"/>
  <c r="AO124" i="5" s="1"/>
  <c r="AU124" i="5"/>
  <c r="AV93" i="30"/>
  <c r="D86" i="31"/>
  <c r="C87" i="31"/>
  <c r="R95" i="30" l="1"/>
  <c r="B94" i="30"/>
  <c r="D85" i="30"/>
  <c r="S85" i="30" s="1"/>
  <c r="N87" i="35" s="1"/>
  <c r="E115" i="5" s="1"/>
  <c r="M82" i="39"/>
  <c r="L82" i="39"/>
  <c r="K83" i="39"/>
  <c r="AW116" i="5"/>
  <c r="V124" i="5"/>
  <c r="H124" i="5"/>
  <c r="G124" i="5"/>
  <c r="I124" i="5"/>
  <c r="U86" i="32"/>
  <c r="D86" i="30" s="1"/>
  <c r="S86" i="30" s="1"/>
  <c r="N88" i="35" s="1"/>
  <c r="E116" i="5" s="1"/>
  <c r="T87" i="32"/>
  <c r="V86" i="32"/>
  <c r="H94" i="30"/>
  <c r="D96" i="35" s="1"/>
  <c r="D87" i="31"/>
  <c r="C88" i="31"/>
  <c r="B97" i="35"/>
  <c r="C125" i="5" s="1"/>
  <c r="L96" i="35"/>
  <c r="M96" i="35" s="1"/>
  <c r="E96" i="35"/>
  <c r="I96" i="35"/>
  <c r="D124" i="5" s="1"/>
  <c r="G96" i="35"/>
  <c r="F96" i="35"/>
  <c r="AV94" i="30"/>
  <c r="BB124" i="5"/>
  <c r="BC124" i="5" s="1"/>
  <c r="BA124" i="5"/>
  <c r="A126" i="5"/>
  <c r="AI126" i="5" s="1"/>
  <c r="AZ125" i="5"/>
  <c r="N125" i="5"/>
  <c r="R125" i="5" s="1"/>
  <c r="S125" i="5" s="1"/>
  <c r="W125" i="5" s="1"/>
  <c r="AR125" i="5"/>
  <c r="AS125" i="5" s="1"/>
  <c r="U125" i="5"/>
  <c r="AV125" i="5"/>
  <c r="BD125" i="5"/>
  <c r="AT125" i="5"/>
  <c r="AN125" i="5"/>
  <c r="AO125" i="5" s="1"/>
  <c r="AU125" i="5"/>
  <c r="U85" i="34"/>
  <c r="W85" i="34" s="1"/>
  <c r="T86" i="34"/>
  <c r="V85" i="34"/>
  <c r="P95" i="30"/>
  <c r="E95" i="30"/>
  <c r="F95" i="30"/>
  <c r="C96" i="30"/>
  <c r="G95" i="30"/>
  <c r="H125" i="5" l="1"/>
  <c r="M83" i="39"/>
  <c r="L83" i="39"/>
  <c r="K84" i="39"/>
  <c r="B95" i="30"/>
  <c r="R96" i="30"/>
  <c r="V125" i="5"/>
  <c r="G125" i="5"/>
  <c r="I125" i="5"/>
  <c r="P96" i="30"/>
  <c r="J126" i="5" s="1"/>
  <c r="E96" i="30"/>
  <c r="F96" i="30"/>
  <c r="C97" i="30"/>
  <c r="G96" i="30"/>
  <c r="BB125" i="5"/>
  <c r="BC125" i="5" s="1"/>
  <c r="BA125" i="5"/>
  <c r="A127" i="5"/>
  <c r="AI127" i="5" s="1"/>
  <c r="AZ126" i="5"/>
  <c r="N126" i="5"/>
  <c r="R126" i="5" s="1"/>
  <c r="S126" i="5" s="1"/>
  <c r="W126" i="5" s="1"/>
  <c r="AR126" i="5"/>
  <c r="AS126" i="5" s="1"/>
  <c r="U126" i="5"/>
  <c r="BD126" i="5"/>
  <c r="AT126" i="5"/>
  <c r="AU126" i="5"/>
  <c r="AN126" i="5"/>
  <c r="AO126" i="5" s="1"/>
  <c r="AV126" i="5"/>
  <c r="D88" i="31"/>
  <c r="C89" i="31"/>
  <c r="U87" i="32"/>
  <c r="D87" i="30" s="1"/>
  <c r="S87" i="30" s="1"/>
  <c r="N89" i="35" s="1"/>
  <c r="E117" i="5" s="1"/>
  <c r="T88" i="32"/>
  <c r="V87" i="32"/>
  <c r="AV95" i="30"/>
  <c r="T87" i="34"/>
  <c r="V86" i="34"/>
  <c r="U86" i="34"/>
  <c r="W86" i="34" s="1"/>
  <c r="B98" i="35"/>
  <c r="G126" i="5" s="1"/>
  <c r="F97" i="35"/>
  <c r="L97" i="35"/>
  <c r="M97" i="35" s="1"/>
  <c r="E97" i="35"/>
  <c r="I97" i="35"/>
  <c r="D125" i="5" s="1"/>
  <c r="G97" i="35"/>
  <c r="W86" i="32"/>
  <c r="H95" i="30"/>
  <c r="D97" i="35" s="1"/>
  <c r="J125" i="5"/>
  <c r="R97" i="30" l="1"/>
  <c r="M84" i="39"/>
  <c r="L84" i="39"/>
  <c r="K85" i="39"/>
  <c r="B96" i="30"/>
  <c r="V126" i="5"/>
  <c r="H96" i="30"/>
  <c r="D98" i="35" s="1"/>
  <c r="H126" i="5"/>
  <c r="AV96" i="30"/>
  <c r="W87" i="32"/>
  <c r="U87" i="34"/>
  <c r="W87" i="34" s="1"/>
  <c r="T88" i="34"/>
  <c r="V87" i="34"/>
  <c r="D89" i="31"/>
  <c r="C90" i="31"/>
  <c r="I126" i="5"/>
  <c r="A128" i="5"/>
  <c r="AI128" i="5" s="1"/>
  <c r="AZ127" i="5"/>
  <c r="N127" i="5"/>
  <c r="R127" i="5" s="1"/>
  <c r="S127" i="5" s="1"/>
  <c r="W127" i="5" s="1"/>
  <c r="AR127" i="5"/>
  <c r="AS127" i="5" s="1"/>
  <c r="AT127" i="5"/>
  <c r="U127" i="5"/>
  <c r="AU127" i="5"/>
  <c r="AV127" i="5"/>
  <c r="AN127" i="5"/>
  <c r="AO127" i="5" s="1"/>
  <c r="BD127" i="5"/>
  <c r="P97" i="30"/>
  <c r="J127" i="5" s="1"/>
  <c r="E97" i="30"/>
  <c r="F97" i="30"/>
  <c r="C98" i="30"/>
  <c r="G97" i="30"/>
  <c r="B99" i="35"/>
  <c r="G98" i="35"/>
  <c r="F98" i="35"/>
  <c r="I98" i="35"/>
  <c r="D126" i="5" s="1"/>
  <c r="E98" i="35"/>
  <c r="L98" i="35"/>
  <c r="M98" i="35" s="1"/>
  <c r="C126" i="5"/>
  <c r="BB126" i="5"/>
  <c r="BC126" i="5" s="1"/>
  <c r="BA126" i="5"/>
  <c r="T89" i="32"/>
  <c r="U88" i="32"/>
  <c r="W88" i="32" s="1"/>
  <c r="V88" i="32"/>
  <c r="D88" i="30" l="1"/>
  <c r="S88" i="30" s="1"/>
  <c r="N90" i="35" s="1"/>
  <c r="E118" i="5" s="1"/>
  <c r="M85" i="39"/>
  <c r="L85" i="39"/>
  <c r="K86" i="39"/>
  <c r="AW118" i="5"/>
  <c r="B97" i="30"/>
  <c r="R98" i="30"/>
  <c r="V127" i="5"/>
  <c r="P98" i="30"/>
  <c r="J128" i="5" s="1"/>
  <c r="E98" i="30"/>
  <c r="F98" i="30"/>
  <c r="C99" i="30"/>
  <c r="G98" i="30"/>
  <c r="H127" i="5"/>
  <c r="BB127" i="5"/>
  <c r="BC127" i="5" s="1"/>
  <c r="BA127" i="5"/>
  <c r="A129" i="5"/>
  <c r="AI129" i="5" s="1"/>
  <c r="AZ128" i="5"/>
  <c r="N128" i="5"/>
  <c r="R128" i="5" s="1"/>
  <c r="S128" i="5" s="1"/>
  <c r="W128" i="5" s="1"/>
  <c r="AR128" i="5"/>
  <c r="AS128" i="5" s="1"/>
  <c r="BD128" i="5"/>
  <c r="AT128" i="5"/>
  <c r="U128" i="5"/>
  <c r="AU128" i="5"/>
  <c r="AN128" i="5"/>
  <c r="AO128" i="5" s="1"/>
  <c r="AV128" i="5"/>
  <c r="U89" i="32"/>
  <c r="AW119" i="5" s="1"/>
  <c r="T90" i="32"/>
  <c r="V89" i="32"/>
  <c r="I127" i="5"/>
  <c r="H97" i="30"/>
  <c r="C127" i="5"/>
  <c r="B100" i="35"/>
  <c r="L99" i="35"/>
  <c r="M99" i="35" s="1"/>
  <c r="G99" i="35"/>
  <c r="E99" i="35"/>
  <c r="I99" i="35"/>
  <c r="D127" i="5" s="1"/>
  <c r="F99" i="35"/>
  <c r="AV97" i="30"/>
  <c r="G127" i="5"/>
  <c r="D90" i="31"/>
  <c r="C91" i="31"/>
  <c r="T89" i="34"/>
  <c r="V88" i="34"/>
  <c r="U88" i="34"/>
  <c r="W88" i="34" s="1"/>
  <c r="M86" i="39" l="1"/>
  <c r="L86" i="39"/>
  <c r="K87" i="39"/>
  <c r="B98" i="30"/>
  <c r="R99" i="30"/>
  <c r="V128" i="5"/>
  <c r="U89" i="34"/>
  <c r="W89" i="34" s="1"/>
  <c r="T90" i="34"/>
  <c r="V89" i="34"/>
  <c r="G128" i="5"/>
  <c r="H98" i="30"/>
  <c r="D100" i="35" s="1"/>
  <c r="B101" i="35"/>
  <c r="H129" i="5" s="1"/>
  <c r="L100" i="35"/>
  <c r="M100" i="35" s="1"/>
  <c r="E100" i="35"/>
  <c r="I100" i="35"/>
  <c r="D128" i="5" s="1"/>
  <c r="G100" i="35"/>
  <c r="F100" i="35"/>
  <c r="H128" i="5"/>
  <c r="BB128" i="5"/>
  <c r="BC128" i="5" s="1"/>
  <c r="BA128" i="5"/>
  <c r="A130" i="5"/>
  <c r="AI130" i="5" s="1"/>
  <c r="AZ129" i="5"/>
  <c r="BD129" i="5"/>
  <c r="N129" i="5"/>
  <c r="R129" i="5" s="1"/>
  <c r="S129" i="5" s="1"/>
  <c r="W129" i="5" s="1"/>
  <c r="AR129" i="5"/>
  <c r="AS129" i="5" s="1"/>
  <c r="AT129" i="5"/>
  <c r="AV129" i="5"/>
  <c r="AU129" i="5"/>
  <c r="AN129" i="5"/>
  <c r="AO129" i="5" s="1"/>
  <c r="U129" i="5"/>
  <c r="AV98" i="30"/>
  <c r="D91" i="31"/>
  <c r="C92" i="31"/>
  <c r="U90" i="32"/>
  <c r="W90" i="32" s="1"/>
  <c r="T91" i="32"/>
  <c r="V90" i="32"/>
  <c r="I128" i="5"/>
  <c r="P99" i="30"/>
  <c r="E99" i="30"/>
  <c r="F99" i="30"/>
  <c r="C100" i="30"/>
  <c r="G99" i="30"/>
  <c r="D99" i="35"/>
  <c r="W89" i="32"/>
  <c r="C128" i="5"/>
  <c r="M87" i="39" l="1"/>
  <c r="L87" i="39"/>
  <c r="K88" i="39"/>
  <c r="D90" i="30"/>
  <c r="S90" i="30" s="1"/>
  <c r="N92" i="35" s="1"/>
  <c r="E120" i="5" s="1"/>
  <c r="AW120" i="5"/>
  <c r="B99" i="30"/>
  <c r="R100" i="30"/>
  <c r="V129" i="5"/>
  <c r="I129" i="5"/>
  <c r="G129" i="5"/>
  <c r="C129" i="5"/>
  <c r="H99" i="30"/>
  <c r="D101" i="35" s="1"/>
  <c r="U91" i="32"/>
  <c r="W91" i="32" s="1"/>
  <c r="T92" i="32"/>
  <c r="V91" i="32"/>
  <c r="AV99" i="30"/>
  <c r="J129" i="5"/>
  <c r="B102" i="35"/>
  <c r="C130" i="5" s="1"/>
  <c r="F101" i="35"/>
  <c r="L101" i="35"/>
  <c r="M101" i="35" s="1"/>
  <c r="E101" i="35"/>
  <c r="I101" i="35"/>
  <c r="D129" i="5" s="1"/>
  <c r="G101" i="35"/>
  <c r="P100" i="30"/>
  <c r="J130" i="5" s="1"/>
  <c r="E100" i="30"/>
  <c r="F100" i="30"/>
  <c r="C101" i="30"/>
  <c r="G100" i="30"/>
  <c r="A131" i="5"/>
  <c r="AI131" i="5" s="1"/>
  <c r="N130" i="5"/>
  <c r="R130" i="5" s="1"/>
  <c r="S130" i="5" s="1"/>
  <c r="W130" i="5" s="1"/>
  <c r="AZ130" i="5"/>
  <c r="BD130" i="5"/>
  <c r="AT130" i="5"/>
  <c r="U130" i="5"/>
  <c r="AU130" i="5"/>
  <c r="AV130" i="5"/>
  <c r="AR130" i="5"/>
  <c r="AS130" i="5" s="1"/>
  <c r="AN130" i="5"/>
  <c r="AO130" i="5" s="1"/>
  <c r="D92" i="31"/>
  <c r="C93" i="31"/>
  <c r="BB129" i="5"/>
  <c r="BC129" i="5" s="1"/>
  <c r="BA129" i="5"/>
  <c r="T91" i="34"/>
  <c r="V90" i="34"/>
  <c r="U90" i="34"/>
  <c r="W90" i="34" s="1"/>
  <c r="D91" i="30" l="1"/>
  <c r="S91" i="30" s="1"/>
  <c r="N93" i="35" s="1"/>
  <c r="E121" i="5" s="1"/>
  <c r="M88" i="39"/>
  <c r="L88" i="39"/>
  <c r="K89" i="39"/>
  <c r="AW121" i="5"/>
  <c r="B100" i="30"/>
  <c r="R101" i="30"/>
  <c r="V130" i="5"/>
  <c r="G130" i="5"/>
  <c r="I130" i="5"/>
  <c r="H130" i="5"/>
  <c r="A132" i="5"/>
  <c r="AI132" i="5" s="1"/>
  <c r="AZ131" i="5"/>
  <c r="N131" i="5"/>
  <c r="R131" i="5" s="1"/>
  <c r="S131" i="5" s="1"/>
  <c r="W131" i="5" s="1"/>
  <c r="AR131" i="5"/>
  <c r="AS131" i="5" s="1"/>
  <c r="BD131" i="5"/>
  <c r="AT131" i="5"/>
  <c r="AU131" i="5"/>
  <c r="AV131" i="5"/>
  <c r="U131" i="5"/>
  <c r="AN131" i="5"/>
  <c r="AO131" i="5" s="1"/>
  <c r="H100" i="30"/>
  <c r="D102" i="35" s="1"/>
  <c r="AV100" i="30"/>
  <c r="T92" i="34"/>
  <c r="V91" i="34"/>
  <c r="U91" i="34"/>
  <c r="W91" i="34" s="1"/>
  <c r="D93" i="31"/>
  <c r="C94" i="31"/>
  <c r="BB130" i="5"/>
  <c r="BC130" i="5" s="1"/>
  <c r="BA130" i="5"/>
  <c r="P101" i="30"/>
  <c r="J131" i="5" s="1"/>
  <c r="E101" i="30"/>
  <c r="F101" i="30"/>
  <c r="C102" i="30"/>
  <c r="G101" i="30"/>
  <c r="B103" i="35"/>
  <c r="G102" i="35"/>
  <c r="F102" i="35"/>
  <c r="I102" i="35"/>
  <c r="D130" i="5" s="1"/>
  <c r="E102" i="35"/>
  <c r="L102" i="35"/>
  <c r="M102" i="35" s="1"/>
  <c r="T93" i="32"/>
  <c r="U92" i="32"/>
  <c r="V92" i="32"/>
  <c r="M89" i="39" l="1"/>
  <c r="L89" i="39"/>
  <c r="K90" i="39"/>
  <c r="W92" i="32"/>
  <c r="AW122" i="5"/>
  <c r="D92" i="30"/>
  <c r="S92" i="30" s="1"/>
  <c r="N94" i="35" s="1"/>
  <c r="E122" i="5" s="1"/>
  <c r="B101" i="30"/>
  <c r="R102" i="30"/>
  <c r="V131" i="5"/>
  <c r="G131" i="5"/>
  <c r="U93" i="32"/>
  <c r="W93" i="32" s="1"/>
  <c r="T94" i="32"/>
  <c r="V93" i="32"/>
  <c r="B104" i="35"/>
  <c r="H132" i="5" s="1"/>
  <c r="L103" i="35"/>
  <c r="M103" i="35" s="1"/>
  <c r="G103" i="35"/>
  <c r="F103" i="35"/>
  <c r="E103" i="35"/>
  <c r="I103" i="35"/>
  <c r="D131" i="5" s="1"/>
  <c r="H101" i="30"/>
  <c r="D94" i="31"/>
  <c r="C95" i="31"/>
  <c r="V92" i="34"/>
  <c r="U92" i="34"/>
  <c r="W92" i="34" s="1"/>
  <c r="T93" i="34"/>
  <c r="AV101" i="30"/>
  <c r="H131" i="5"/>
  <c r="I131" i="5"/>
  <c r="P102" i="30"/>
  <c r="J132" i="5" s="1"/>
  <c r="E102" i="30"/>
  <c r="F102" i="30"/>
  <c r="C103" i="30"/>
  <c r="G102" i="30"/>
  <c r="C131" i="5"/>
  <c r="BB131" i="5"/>
  <c r="BC131" i="5" s="1"/>
  <c r="BA131" i="5"/>
  <c r="A133" i="5"/>
  <c r="AI133" i="5" s="1"/>
  <c r="AZ132" i="5"/>
  <c r="N132" i="5"/>
  <c r="R132" i="5" s="1"/>
  <c r="S132" i="5" s="1"/>
  <c r="W132" i="5" s="1"/>
  <c r="BD132" i="5"/>
  <c r="AT132" i="5"/>
  <c r="U132" i="5"/>
  <c r="AR132" i="5"/>
  <c r="AS132" i="5" s="1"/>
  <c r="AV132" i="5"/>
  <c r="AU132" i="5"/>
  <c r="AN132" i="5"/>
  <c r="AO132" i="5" s="1"/>
  <c r="C132" i="5" l="1"/>
  <c r="I132" i="5"/>
  <c r="D93" i="30"/>
  <c r="S93" i="30" s="1"/>
  <c r="N95" i="35" s="1"/>
  <c r="E123" i="5" s="1"/>
  <c r="M90" i="39"/>
  <c r="L90" i="39"/>
  <c r="K91" i="39"/>
  <c r="AW123" i="5"/>
  <c r="B102" i="30"/>
  <c r="R103" i="30"/>
  <c r="V132" i="5"/>
  <c r="G132" i="5"/>
  <c r="P103" i="30"/>
  <c r="J133" i="5" s="1"/>
  <c r="E103" i="30"/>
  <c r="F103" i="30"/>
  <c r="C104" i="30"/>
  <c r="G103" i="30"/>
  <c r="D95" i="31"/>
  <c r="C96" i="31"/>
  <c r="U94" i="32"/>
  <c r="W94" i="32" s="1"/>
  <c r="T95" i="32"/>
  <c r="V94" i="32"/>
  <c r="BB132" i="5"/>
  <c r="BC132" i="5" s="1"/>
  <c r="BA132" i="5"/>
  <c r="A134" i="5"/>
  <c r="AI134" i="5" s="1"/>
  <c r="AZ133" i="5"/>
  <c r="N133" i="5"/>
  <c r="R133" i="5" s="1"/>
  <c r="S133" i="5" s="1"/>
  <c r="W133" i="5" s="1"/>
  <c r="AR133" i="5"/>
  <c r="AS133" i="5" s="1"/>
  <c r="BD133" i="5"/>
  <c r="AT133" i="5"/>
  <c r="U133" i="5"/>
  <c r="AV133" i="5"/>
  <c r="AN133" i="5"/>
  <c r="AO133" i="5" s="1"/>
  <c r="AU133" i="5"/>
  <c r="T94" i="34"/>
  <c r="V93" i="34"/>
  <c r="U93" i="34"/>
  <c r="W93" i="34" s="1"/>
  <c r="B105" i="35"/>
  <c r="C133" i="5" s="1"/>
  <c r="L104" i="35"/>
  <c r="M104" i="35" s="1"/>
  <c r="E104" i="35"/>
  <c r="I104" i="35"/>
  <c r="D132" i="5" s="1"/>
  <c r="G104" i="35"/>
  <c r="F104" i="35"/>
  <c r="H102" i="30"/>
  <c r="D104" i="35" s="1"/>
  <c r="AV102" i="30"/>
  <c r="D103" i="35"/>
  <c r="M91" i="39" l="1"/>
  <c r="L91" i="39"/>
  <c r="K92" i="39"/>
  <c r="R104" i="30"/>
  <c r="B103" i="30"/>
  <c r="V133" i="5"/>
  <c r="H133" i="5"/>
  <c r="U95" i="32"/>
  <c r="W95" i="32" s="1"/>
  <c r="T96" i="32"/>
  <c r="V95" i="32"/>
  <c r="P104" i="30"/>
  <c r="J134" i="5" s="1"/>
  <c r="E104" i="30"/>
  <c r="F104" i="30"/>
  <c r="C105" i="30"/>
  <c r="G104" i="30"/>
  <c r="B106" i="35"/>
  <c r="H134" i="5" s="1"/>
  <c r="F105" i="35"/>
  <c r="L105" i="35"/>
  <c r="M105" i="35" s="1"/>
  <c r="E105" i="35"/>
  <c r="I105" i="35"/>
  <c r="D133" i="5" s="1"/>
  <c r="G105" i="35"/>
  <c r="V94" i="34"/>
  <c r="U94" i="34"/>
  <c r="W94" i="34" s="1"/>
  <c r="T95" i="34"/>
  <c r="I133" i="5"/>
  <c r="BB133" i="5"/>
  <c r="BC133" i="5" s="1"/>
  <c r="BA133" i="5"/>
  <c r="A135" i="5"/>
  <c r="AI135" i="5" s="1"/>
  <c r="N134" i="5"/>
  <c r="R134" i="5" s="1"/>
  <c r="S134" i="5" s="1"/>
  <c r="W134" i="5" s="1"/>
  <c r="AZ134" i="5"/>
  <c r="BD134" i="5"/>
  <c r="AT134" i="5"/>
  <c r="U134" i="5"/>
  <c r="C134" i="5"/>
  <c r="AU134" i="5"/>
  <c r="AR134" i="5"/>
  <c r="AS134" i="5" s="1"/>
  <c r="AV134" i="5"/>
  <c r="AN134" i="5"/>
  <c r="AO134" i="5" s="1"/>
  <c r="G133" i="5"/>
  <c r="D96" i="31"/>
  <c r="C97" i="31"/>
  <c r="H103" i="30"/>
  <c r="AV103" i="30"/>
  <c r="AW125" i="5" l="1"/>
  <c r="M92" i="39"/>
  <c r="L92" i="39"/>
  <c r="K93" i="39"/>
  <c r="D95" i="30"/>
  <c r="S95" i="30" s="1"/>
  <c r="N97" i="35" s="1"/>
  <c r="E125" i="5" s="1"/>
  <c r="R105" i="30"/>
  <c r="B104" i="30"/>
  <c r="V134" i="5"/>
  <c r="G134" i="5"/>
  <c r="I134" i="5"/>
  <c r="A136" i="5"/>
  <c r="AI136" i="5" s="1"/>
  <c r="AZ135" i="5"/>
  <c r="N135" i="5"/>
  <c r="R135" i="5" s="1"/>
  <c r="S135" i="5" s="1"/>
  <c r="W135" i="5" s="1"/>
  <c r="AR135" i="5"/>
  <c r="AS135" i="5" s="1"/>
  <c r="BD135" i="5"/>
  <c r="AT135" i="5"/>
  <c r="U135" i="5"/>
  <c r="AU135" i="5"/>
  <c r="AV135" i="5"/>
  <c r="AN135" i="5"/>
  <c r="AO135" i="5" s="1"/>
  <c r="T97" i="32"/>
  <c r="U96" i="32"/>
  <c r="V96" i="32"/>
  <c r="D105" i="35"/>
  <c r="B107" i="35"/>
  <c r="I135" i="5" s="1"/>
  <c r="G106" i="35"/>
  <c r="F106" i="35"/>
  <c r="I106" i="35"/>
  <c r="D134" i="5" s="1"/>
  <c r="E106" i="35"/>
  <c r="L106" i="35"/>
  <c r="M106" i="35" s="1"/>
  <c r="H104" i="30"/>
  <c r="D106" i="35" s="1"/>
  <c r="D97" i="31"/>
  <c r="C98" i="31"/>
  <c r="T96" i="34"/>
  <c r="V95" i="34"/>
  <c r="U95" i="34"/>
  <c r="W95" i="34" s="1"/>
  <c r="AV104" i="30"/>
  <c r="BB134" i="5"/>
  <c r="BC134" i="5" s="1"/>
  <c r="BA134" i="5"/>
  <c r="P105" i="30"/>
  <c r="E105" i="30"/>
  <c r="F105" i="30"/>
  <c r="C106" i="30"/>
  <c r="G105" i="30"/>
  <c r="M93" i="39" l="1"/>
  <c r="L93" i="39"/>
  <c r="K94" i="39"/>
  <c r="B105" i="30"/>
  <c r="R106" i="30"/>
  <c r="V135" i="5"/>
  <c r="D98" i="31"/>
  <c r="C99" i="31"/>
  <c r="H135" i="5"/>
  <c r="G135" i="5"/>
  <c r="H105" i="30"/>
  <c r="D107" i="35" s="1"/>
  <c r="W96" i="32"/>
  <c r="P106" i="30"/>
  <c r="J136" i="5" s="1"/>
  <c r="E106" i="30"/>
  <c r="F106" i="30"/>
  <c r="C107" i="30"/>
  <c r="G106" i="30"/>
  <c r="AV105" i="30"/>
  <c r="V96" i="34"/>
  <c r="U96" i="34"/>
  <c r="W96" i="34" s="1"/>
  <c r="T97" i="34"/>
  <c r="B108" i="35"/>
  <c r="I136" i="5" s="1"/>
  <c r="L107" i="35"/>
  <c r="M107" i="35" s="1"/>
  <c r="G107" i="35"/>
  <c r="F107" i="35"/>
  <c r="I107" i="35"/>
  <c r="D135" i="5" s="1"/>
  <c r="E107" i="35"/>
  <c r="U97" i="32"/>
  <c r="T98" i="32"/>
  <c r="V97" i="32"/>
  <c r="C135" i="5"/>
  <c r="BB135" i="5"/>
  <c r="BC135" i="5" s="1"/>
  <c r="BA135" i="5"/>
  <c r="A137" i="5"/>
  <c r="AI137" i="5" s="1"/>
  <c r="AZ136" i="5"/>
  <c r="N136" i="5"/>
  <c r="R136" i="5" s="1"/>
  <c r="S136" i="5" s="1"/>
  <c r="W136" i="5" s="1"/>
  <c r="BD136" i="5"/>
  <c r="AT136" i="5"/>
  <c r="C136" i="5"/>
  <c r="U136" i="5"/>
  <c r="AV136" i="5"/>
  <c r="AU136" i="5"/>
  <c r="AN136" i="5"/>
  <c r="AO136" i="5" s="1"/>
  <c r="AR136" i="5"/>
  <c r="AS136" i="5" s="1"/>
  <c r="J135" i="5"/>
  <c r="M94" i="39" l="1"/>
  <c r="L94" i="39"/>
  <c r="K95" i="39"/>
  <c r="B106" i="30"/>
  <c r="R107" i="30"/>
  <c r="V136" i="5"/>
  <c r="H136" i="5"/>
  <c r="G136" i="5"/>
  <c r="W97" i="32"/>
  <c r="H106" i="30"/>
  <c r="D108" i="35" s="1"/>
  <c r="D99" i="31"/>
  <c r="C100" i="31"/>
  <c r="AV106" i="30"/>
  <c r="B109" i="35"/>
  <c r="H137" i="5" s="1"/>
  <c r="L108" i="35"/>
  <c r="M108" i="35" s="1"/>
  <c r="E108" i="35"/>
  <c r="I108" i="35"/>
  <c r="D136" i="5" s="1"/>
  <c r="G108" i="35"/>
  <c r="F108" i="35"/>
  <c r="P107" i="30"/>
  <c r="J137" i="5" s="1"/>
  <c r="E107" i="30"/>
  <c r="F107" i="30"/>
  <c r="C108" i="30"/>
  <c r="G107" i="30"/>
  <c r="BB136" i="5"/>
  <c r="BC136" i="5" s="1"/>
  <c r="BA136" i="5"/>
  <c r="A138" i="5"/>
  <c r="AI138" i="5" s="1"/>
  <c r="AZ137" i="5"/>
  <c r="N137" i="5"/>
  <c r="R137" i="5" s="1"/>
  <c r="S137" i="5" s="1"/>
  <c r="W137" i="5" s="1"/>
  <c r="AR137" i="5"/>
  <c r="AS137" i="5" s="1"/>
  <c r="BD137" i="5"/>
  <c r="AT137" i="5"/>
  <c r="U137" i="5"/>
  <c r="AN137" i="5"/>
  <c r="AO137" i="5" s="1"/>
  <c r="AU137" i="5"/>
  <c r="AV137" i="5"/>
  <c r="U98" i="32"/>
  <c r="AW128" i="5" s="1"/>
  <c r="T99" i="32"/>
  <c r="V98" i="32"/>
  <c r="T98" i="34"/>
  <c r="V97" i="34"/>
  <c r="U97" i="34"/>
  <c r="W97" i="34" s="1"/>
  <c r="D98" i="30" l="1"/>
  <c r="S98" i="30" s="1"/>
  <c r="N100" i="35" s="1"/>
  <c r="E128" i="5" s="1"/>
  <c r="B107" i="30"/>
  <c r="M95" i="39"/>
  <c r="L95" i="39"/>
  <c r="K96" i="39"/>
  <c r="R108" i="30"/>
  <c r="V137" i="5"/>
  <c r="C137" i="5"/>
  <c r="I137" i="5"/>
  <c r="G137" i="5"/>
  <c r="H107" i="30"/>
  <c r="D109" i="35" s="1"/>
  <c r="W98" i="32"/>
  <c r="BB137" i="5"/>
  <c r="BC137" i="5" s="1"/>
  <c r="BA137" i="5"/>
  <c r="P108" i="30"/>
  <c r="J138" i="5" s="1"/>
  <c r="E108" i="30"/>
  <c r="F108" i="30"/>
  <c r="C109" i="30"/>
  <c r="G108" i="30"/>
  <c r="D100" i="31"/>
  <c r="C101" i="31"/>
  <c r="V98" i="34"/>
  <c r="U98" i="34"/>
  <c r="W98" i="34" s="1"/>
  <c r="T99" i="34"/>
  <c r="C6" i="21"/>
  <c r="C7" i="21"/>
  <c r="C8" i="21"/>
  <c r="C9" i="21"/>
  <c r="C5" i="21"/>
  <c r="C4" i="21"/>
  <c r="I4" i="21" s="1"/>
  <c r="U99" i="32"/>
  <c r="D99" i="30" s="1"/>
  <c r="S99" i="30" s="1"/>
  <c r="N101" i="35" s="1"/>
  <c r="E129" i="5" s="1"/>
  <c r="T100" i="32"/>
  <c r="V99" i="32"/>
  <c r="A139" i="5"/>
  <c r="AI139" i="5" s="1"/>
  <c r="N138" i="5"/>
  <c r="R138" i="5" s="1"/>
  <c r="S138" i="5" s="1"/>
  <c r="W138" i="5" s="1"/>
  <c r="AZ138" i="5"/>
  <c r="BD138" i="5"/>
  <c r="AT138" i="5"/>
  <c r="U138" i="5"/>
  <c r="AU138" i="5"/>
  <c r="AR138" i="5"/>
  <c r="AS138" i="5" s="1"/>
  <c r="AV138" i="5"/>
  <c r="AN138" i="5"/>
  <c r="AO138" i="5" s="1"/>
  <c r="AV107" i="30"/>
  <c r="B110" i="35"/>
  <c r="C138" i="5" s="1"/>
  <c r="F109" i="35"/>
  <c r="L109" i="35"/>
  <c r="M109" i="35" s="1"/>
  <c r="E109" i="35"/>
  <c r="I109" i="35"/>
  <c r="D137" i="5" s="1"/>
  <c r="G109" i="35"/>
  <c r="M96" i="39" l="1"/>
  <c r="L96" i="39"/>
  <c r="K97" i="39"/>
  <c r="AW129" i="5"/>
  <c r="B108" i="30"/>
  <c r="R109" i="30"/>
  <c r="I9" i="21"/>
  <c r="J9" i="21" s="1"/>
  <c r="M9" i="21" s="1"/>
  <c r="I7" i="21"/>
  <c r="J7" i="21" s="1"/>
  <c r="M7" i="21" s="1"/>
  <c r="I8" i="21"/>
  <c r="J8" i="21" s="1"/>
  <c r="M8" i="21" s="1"/>
  <c r="I5" i="21"/>
  <c r="J5" i="21" s="1"/>
  <c r="M5" i="21" s="1"/>
  <c r="I6" i="21"/>
  <c r="J6" i="21" s="1"/>
  <c r="M6" i="21" s="1"/>
  <c r="V138" i="5"/>
  <c r="BB138" i="5"/>
  <c r="BC138" i="5" s="1"/>
  <c r="BA138" i="5"/>
  <c r="W99" i="32"/>
  <c r="B9" i="21"/>
  <c r="B7" i="21"/>
  <c r="AV108" i="30"/>
  <c r="G138" i="5"/>
  <c r="I138" i="5"/>
  <c r="H138" i="5"/>
  <c r="B10" i="21"/>
  <c r="T100" i="34"/>
  <c r="V99" i="34"/>
  <c r="U99" i="34"/>
  <c r="W99" i="34" s="1"/>
  <c r="P109" i="30"/>
  <c r="J139" i="5" s="1"/>
  <c r="E109" i="30"/>
  <c r="F109" i="30"/>
  <c r="C110" i="30"/>
  <c r="G109" i="30"/>
  <c r="A140" i="5"/>
  <c r="AI140" i="5" s="1"/>
  <c r="AZ139" i="5"/>
  <c r="N139" i="5"/>
  <c r="R139" i="5" s="1"/>
  <c r="S139" i="5" s="1"/>
  <c r="W139" i="5" s="1"/>
  <c r="AR139" i="5"/>
  <c r="AS139" i="5" s="1"/>
  <c r="BD139" i="5"/>
  <c r="AT139" i="5"/>
  <c r="AV139" i="5"/>
  <c r="AU139" i="5"/>
  <c r="AN139" i="5"/>
  <c r="AO139" i="5" s="1"/>
  <c r="U139" i="5"/>
  <c r="B111" i="35"/>
  <c r="G110" i="35"/>
  <c r="F110" i="35"/>
  <c r="I110" i="35"/>
  <c r="D138" i="5" s="1"/>
  <c r="E110" i="35"/>
  <c r="L110" i="35"/>
  <c r="M110" i="35" s="1"/>
  <c r="T101" i="32"/>
  <c r="U100" i="32"/>
  <c r="D100" i="30" s="1"/>
  <c r="S100" i="30" s="1"/>
  <c r="N102" i="35" s="1"/>
  <c r="E130" i="5" s="1"/>
  <c r="V100" i="32"/>
  <c r="B5" i="21"/>
  <c r="J4" i="21"/>
  <c r="M4" i="21" s="1"/>
  <c r="AP68" i="5"/>
  <c r="AQ68" i="5" s="1"/>
  <c r="AP83" i="5"/>
  <c r="AQ83" i="5" s="1"/>
  <c r="B6" i="21"/>
  <c r="B8" i="21"/>
  <c r="D101" i="31"/>
  <c r="C102" i="31"/>
  <c r="H108" i="30"/>
  <c r="M97" i="39" l="1"/>
  <c r="L97" i="39"/>
  <c r="K98" i="39"/>
  <c r="B109" i="30"/>
  <c r="R110" i="30"/>
  <c r="D110" i="35"/>
  <c r="V139" i="5"/>
  <c r="H109" i="30"/>
  <c r="D111" i="35" s="1"/>
  <c r="D102" i="31"/>
  <c r="C103" i="31"/>
  <c r="V100" i="34"/>
  <c r="U100" i="34"/>
  <c r="W100" i="34" s="1"/>
  <c r="T101" i="34"/>
  <c r="W100" i="32"/>
  <c r="C139" i="5"/>
  <c r="BB139" i="5"/>
  <c r="BC139" i="5" s="1"/>
  <c r="BA139" i="5"/>
  <c r="A141" i="5"/>
  <c r="AI141" i="5" s="1"/>
  <c r="AZ140" i="5"/>
  <c r="N140" i="5"/>
  <c r="R140" i="5" s="1"/>
  <c r="S140" i="5" s="1"/>
  <c r="W140" i="5" s="1"/>
  <c r="BD140" i="5"/>
  <c r="AT140" i="5"/>
  <c r="U140" i="5"/>
  <c r="AR140" i="5"/>
  <c r="AS140" i="5" s="1"/>
  <c r="AN140" i="5"/>
  <c r="AO140" i="5" s="1"/>
  <c r="AU140" i="5"/>
  <c r="AV140" i="5"/>
  <c r="AV109" i="30"/>
  <c r="N4" i="21"/>
  <c r="N5" i="21" s="1"/>
  <c r="N6" i="21" s="1"/>
  <c r="N7" i="21" s="1"/>
  <c r="N8" i="21" s="1"/>
  <c r="N9" i="21" s="1"/>
  <c r="U101" i="32"/>
  <c r="W101" i="32" s="1"/>
  <c r="T102" i="32"/>
  <c r="V101" i="32"/>
  <c r="B112" i="35"/>
  <c r="L111" i="35"/>
  <c r="M111" i="35" s="1"/>
  <c r="G111" i="35"/>
  <c r="E111" i="35"/>
  <c r="I111" i="35"/>
  <c r="D139" i="5" s="1"/>
  <c r="F111" i="35"/>
  <c r="P110" i="30"/>
  <c r="J140" i="5" s="1"/>
  <c r="E110" i="30"/>
  <c r="F110" i="30"/>
  <c r="C111" i="30"/>
  <c r="G110" i="30"/>
  <c r="I139" i="5"/>
  <c r="H139" i="5"/>
  <c r="G139" i="5"/>
  <c r="D101" i="30" l="1"/>
  <c r="S101" i="30" s="1"/>
  <c r="N103" i="35" s="1"/>
  <c r="E131" i="5" s="1"/>
  <c r="M98" i="39"/>
  <c r="L98" i="39"/>
  <c r="K99" i="39"/>
  <c r="AW131" i="5"/>
  <c r="B110" i="30"/>
  <c r="R111" i="30"/>
  <c r="V140" i="5"/>
  <c r="P111" i="30"/>
  <c r="J141" i="5" s="1"/>
  <c r="E111" i="30"/>
  <c r="F111" i="30"/>
  <c r="C112" i="30"/>
  <c r="G111" i="30"/>
  <c r="B113" i="35"/>
  <c r="G141" i="5" s="1"/>
  <c r="L112" i="35"/>
  <c r="M112" i="35" s="1"/>
  <c r="E112" i="35"/>
  <c r="I112" i="35"/>
  <c r="D140" i="5" s="1"/>
  <c r="G112" i="35"/>
  <c r="F112" i="35"/>
  <c r="I140" i="5"/>
  <c r="C140" i="5"/>
  <c r="BB140" i="5"/>
  <c r="BC140" i="5" s="1"/>
  <c r="BA140" i="5"/>
  <c r="A142" i="5"/>
  <c r="AI142" i="5" s="1"/>
  <c r="AZ141" i="5"/>
  <c r="N141" i="5"/>
  <c r="R141" i="5" s="1"/>
  <c r="S141" i="5" s="1"/>
  <c r="W141" i="5" s="1"/>
  <c r="AR141" i="5"/>
  <c r="AS141" i="5" s="1"/>
  <c r="BD141" i="5"/>
  <c r="AT141" i="5"/>
  <c r="U141" i="5"/>
  <c r="AV141" i="5"/>
  <c r="AU141" i="5"/>
  <c r="AN141" i="5"/>
  <c r="AO141" i="5" s="1"/>
  <c r="H110" i="30"/>
  <c r="G140" i="5"/>
  <c r="T102" i="34"/>
  <c r="V101" i="34"/>
  <c r="U101" i="34"/>
  <c r="W101" i="34" s="1"/>
  <c r="AV110" i="30"/>
  <c r="U102" i="32"/>
  <c r="AW132" i="5" s="1"/>
  <c r="T103" i="32"/>
  <c r="V102" i="32"/>
  <c r="H140" i="5"/>
  <c r="D103" i="31"/>
  <c r="C104" i="31"/>
  <c r="R112" i="30" l="1"/>
  <c r="M99" i="39"/>
  <c r="L99" i="39"/>
  <c r="K100" i="39"/>
  <c r="B111" i="30"/>
  <c r="V141" i="5"/>
  <c r="I141" i="5"/>
  <c r="C141" i="5"/>
  <c r="H141" i="5"/>
  <c r="H111" i="30"/>
  <c r="D113" i="35" s="1"/>
  <c r="U103" i="32"/>
  <c r="W103" i="32" s="1"/>
  <c r="T104" i="32"/>
  <c r="V103" i="32"/>
  <c r="V102" i="34"/>
  <c r="U102" i="34"/>
  <c r="W102" i="34" s="1"/>
  <c r="T103" i="34"/>
  <c r="B114" i="35"/>
  <c r="H142" i="5" s="1"/>
  <c r="F113" i="35"/>
  <c r="L113" i="35"/>
  <c r="M113" i="35" s="1"/>
  <c r="E113" i="35"/>
  <c r="I113" i="35"/>
  <c r="D141" i="5" s="1"/>
  <c r="G113" i="35"/>
  <c r="AV111" i="30"/>
  <c r="D104" i="31"/>
  <c r="C105" i="31"/>
  <c r="W102" i="32"/>
  <c r="BB141" i="5"/>
  <c r="BC141" i="5" s="1"/>
  <c r="BA141" i="5"/>
  <c r="A143" i="5"/>
  <c r="AI143" i="5" s="1"/>
  <c r="N142" i="5"/>
  <c r="R142" i="5" s="1"/>
  <c r="S142" i="5" s="1"/>
  <c r="W142" i="5" s="1"/>
  <c r="AZ142" i="5"/>
  <c r="BD142" i="5"/>
  <c r="AT142" i="5"/>
  <c r="U142" i="5"/>
  <c r="AU142" i="5"/>
  <c r="AR142" i="5"/>
  <c r="AS142" i="5" s="1"/>
  <c r="AV142" i="5"/>
  <c r="AN142" i="5"/>
  <c r="AO142" i="5" s="1"/>
  <c r="D112" i="35"/>
  <c r="P112" i="30"/>
  <c r="E112" i="30"/>
  <c r="F112" i="30"/>
  <c r="C113" i="30"/>
  <c r="G112" i="30"/>
  <c r="B112" i="30" l="1"/>
  <c r="D103" i="30"/>
  <c r="S103" i="30" s="1"/>
  <c r="N105" i="35" s="1"/>
  <c r="E133" i="5" s="1"/>
  <c r="M100" i="39"/>
  <c r="L100" i="39"/>
  <c r="K101" i="39"/>
  <c r="AW133" i="5"/>
  <c r="R113" i="30"/>
  <c r="V142" i="5"/>
  <c r="C142" i="5"/>
  <c r="G142" i="5"/>
  <c r="I142" i="5"/>
  <c r="H112" i="30"/>
  <c r="D114" i="35" s="1"/>
  <c r="BB142" i="5"/>
  <c r="BC142" i="5" s="1"/>
  <c r="BA142" i="5"/>
  <c r="T105" i="32"/>
  <c r="U104" i="32"/>
  <c r="W104" i="32" s="1"/>
  <c r="V104" i="32"/>
  <c r="A144" i="5"/>
  <c r="AI144" i="5" s="1"/>
  <c r="AZ143" i="5"/>
  <c r="N143" i="5"/>
  <c r="R143" i="5" s="1"/>
  <c r="S143" i="5" s="1"/>
  <c r="W143" i="5" s="1"/>
  <c r="AR143" i="5"/>
  <c r="AS143" i="5" s="1"/>
  <c r="BD143" i="5"/>
  <c r="AT143" i="5"/>
  <c r="U143" i="5"/>
  <c r="AU143" i="5"/>
  <c r="AV143" i="5"/>
  <c r="AN143" i="5"/>
  <c r="AO143" i="5" s="1"/>
  <c r="T104" i="34"/>
  <c r="V103" i="34"/>
  <c r="U103" i="34"/>
  <c r="W103" i="34" s="1"/>
  <c r="AV112" i="30"/>
  <c r="D105" i="31"/>
  <c r="C106" i="31"/>
  <c r="P113" i="30"/>
  <c r="E113" i="30"/>
  <c r="F113" i="30"/>
  <c r="C114" i="30"/>
  <c r="G113" i="30"/>
  <c r="J142" i="5"/>
  <c r="B115" i="35"/>
  <c r="G114" i="35"/>
  <c r="F114" i="35"/>
  <c r="I114" i="35"/>
  <c r="D142" i="5" s="1"/>
  <c r="E114" i="35"/>
  <c r="L114" i="35"/>
  <c r="M114" i="35" s="1"/>
  <c r="AW134" i="5" l="1"/>
  <c r="M101" i="39"/>
  <c r="L101" i="39"/>
  <c r="K102" i="39"/>
  <c r="B113" i="30"/>
  <c r="R114" i="30"/>
  <c r="V143" i="5"/>
  <c r="H113" i="30"/>
  <c r="D115" i="35" s="1"/>
  <c r="AV113" i="30"/>
  <c r="H143" i="5"/>
  <c r="G143" i="5"/>
  <c r="P114" i="30"/>
  <c r="J144" i="5" s="1"/>
  <c r="E114" i="30"/>
  <c r="F114" i="30"/>
  <c r="C115" i="30"/>
  <c r="G114" i="30"/>
  <c r="D106" i="31"/>
  <c r="C107" i="31"/>
  <c r="V104" i="34"/>
  <c r="U104" i="34"/>
  <c r="W104" i="34" s="1"/>
  <c r="T105" i="34"/>
  <c r="I143" i="5"/>
  <c r="BB143" i="5"/>
  <c r="BC143" i="5" s="1"/>
  <c r="BA143" i="5"/>
  <c r="A145" i="5"/>
  <c r="AI145" i="5" s="1"/>
  <c r="AZ144" i="5"/>
  <c r="N144" i="5"/>
  <c r="R144" i="5" s="1"/>
  <c r="S144" i="5" s="1"/>
  <c r="W144" i="5" s="1"/>
  <c r="BD144" i="5"/>
  <c r="AT144" i="5"/>
  <c r="U144" i="5"/>
  <c r="AU144" i="5"/>
  <c r="AR144" i="5"/>
  <c r="AS144" i="5" s="1"/>
  <c r="AV144" i="5"/>
  <c r="AN144" i="5"/>
  <c r="AO144" i="5" s="1"/>
  <c r="B116" i="35"/>
  <c r="C144" i="5" s="1"/>
  <c r="I115" i="35"/>
  <c r="D143" i="5" s="1"/>
  <c r="G115" i="35"/>
  <c r="E115" i="35"/>
  <c r="L115" i="35"/>
  <c r="M115" i="35" s="1"/>
  <c r="F115" i="35"/>
  <c r="C143" i="5"/>
  <c r="J143" i="5"/>
  <c r="U105" i="32"/>
  <c r="W105" i="32" s="1"/>
  <c r="T106" i="32"/>
  <c r="V105" i="32"/>
  <c r="M102" i="39" l="1"/>
  <c r="L102" i="39"/>
  <c r="K103" i="39"/>
  <c r="B114" i="30"/>
  <c r="R115" i="30"/>
  <c r="V144" i="5"/>
  <c r="H144" i="5"/>
  <c r="G144" i="5"/>
  <c r="I144" i="5"/>
  <c r="D107" i="31"/>
  <c r="C108" i="31"/>
  <c r="AV114" i="30"/>
  <c r="U106" i="32"/>
  <c r="AW136" i="5" s="1"/>
  <c r="T107" i="32"/>
  <c r="V106" i="32"/>
  <c r="B117" i="35"/>
  <c r="I145" i="5" s="1"/>
  <c r="L116" i="35"/>
  <c r="M116" i="35" s="1"/>
  <c r="E116" i="35"/>
  <c r="I116" i="35"/>
  <c r="D144" i="5" s="1"/>
  <c r="G116" i="35"/>
  <c r="F116" i="35"/>
  <c r="BB144" i="5"/>
  <c r="BC144" i="5" s="1"/>
  <c r="BA144" i="5"/>
  <c r="A146" i="5"/>
  <c r="AI146" i="5" s="1"/>
  <c r="AZ145" i="5"/>
  <c r="N145" i="5"/>
  <c r="R145" i="5" s="1"/>
  <c r="S145" i="5" s="1"/>
  <c r="W145" i="5" s="1"/>
  <c r="AR145" i="5"/>
  <c r="AS145" i="5" s="1"/>
  <c r="BD145" i="5"/>
  <c r="AT145" i="5"/>
  <c r="AV145" i="5"/>
  <c r="AU145" i="5"/>
  <c r="U145" i="5"/>
  <c r="AN145" i="5"/>
  <c r="AO145" i="5" s="1"/>
  <c r="T106" i="34"/>
  <c r="V105" i="34"/>
  <c r="U105" i="34"/>
  <c r="W105" i="34" s="1"/>
  <c r="P115" i="30"/>
  <c r="J145" i="5" s="1"/>
  <c r="E115" i="30"/>
  <c r="F115" i="30"/>
  <c r="C116" i="30"/>
  <c r="G115" i="30"/>
  <c r="H114" i="30"/>
  <c r="H145" i="5" l="1"/>
  <c r="D106" i="30"/>
  <c r="S106" i="30" s="1"/>
  <c r="N108" i="35" s="1"/>
  <c r="E136" i="5" s="1"/>
  <c r="M103" i="39"/>
  <c r="L103" i="39"/>
  <c r="K104" i="39"/>
  <c r="B115" i="30"/>
  <c r="R116" i="30"/>
  <c r="V145" i="5"/>
  <c r="C145" i="5"/>
  <c r="G145" i="5"/>
  <c r="P116" i="30"/>
  <c r="J146" i="5" s="1"/>
  <c r="E116" i="30"/>
  <c r="F116" i="30"/>
  <c r="C117" i="30"/>
  <c r="G116" i="30"/>
  <c r="H115" i="30"/>
  <c r="D117" i="35" s="1"/>
  <c r="V106" i="34"/>
  <c r="U106" i="34"/>
  <c r="W106" i="34" s="1"/>
  <c r="T107" i="34"/>
  <c r="BB145" i="5"/>
  <c r="BC145" i="5" s="1"/>
  <c r="BA145" i="5"/>
  <c r="A147" i="5"/>
  <c r="AI147" i="5" s="1"/>
  <c r="N146" i="5"/>
  <c r="R146" i="5" s="1"/>
  <c r="S146" i="5" s="1"/>
  <c r="W146" i="5" s="1"/>
  <c r="AZ146" i="5"/>
  <c r="BD146" i="5"/>
  <c r="AT146" i="5"/>
  <c r="U146" i="5"/>
  <c r="AU146" i="5"/>
  <c r="AV146" i="5"/>
  <c r="AN146" i="5"/>
  <c r="AO146" i="5" s="1"/>
  <c r="AR146" i="5"/>
  <c r="AS146" i="5" s="1"/>
  <c r="D116" i="35"/>
  <c r="B118" i="35"/>
  <c r="F117" i="35"/>
  <c r="L117" i="35"/>
  <c r="M117" i="35" s="1"/>
  <c r="E117" i="35"/>
  <c r="G117" i="35"/>
  <c r="I117" i="35"/>
  <c r="D145" i="5" s="1"/>
  <c r="U107" i="32"/>
  <c r="T108" i="32"/>
  <c r="V107" i="32"/>
  <c r="AV115" i="30"/>
  <c r="W106" i="32"/>
  <c r="D108" i="31"/>
  <c r="C109" i="31"/>
  <c r="M104" i="39" l="1"/>
  <c r="L104" i="39"/>
  <c r="K105" i="39"/>
  <c r="B116" i="30"/>
  <c r="R117" i="30"/>
  <c r="V146" i="5"/>
  <c r="B119" i="35"/>
  <c r="H147" i="5" s="1"/>
  <c r="G118" i="35"/>
  <c r="F118" i="35"/>
  <c r="I118" i="35"/>
  <c r="D146" i="5" s="1"/>
  <c r="E118" i="35"/>
  <c r="L118" i="35"/>
  <c r="M118" i="35" s="1"/>
  <c r="G146" i="5"/>
  <c r="P117" i="30"/>
  <c r="J147" i="5" s="1"/>
  <c r="E117" i="30"/>
  <c r="F117" i="30"/>
  <c r="C118" i="30"/>
  <c r="G117" i="30"/>
  <c r="D109" i="31"/>
  <c r="C110" i="31"/>
  <c r="T109" i="32"/>
  <c r="U108" i="32"/>
  <c r="W108" i="32" s="1"/>
  <c r="V108" i="32"/>
  <c r="I146" i="5"/>
  <c r="H146" i="5"/>
  <c r="BB146" i="5"/>
  <c r="BC146" i="5" s="1"/>
  <c r="BA146" i="5"/>
  <c r="H116" i="30"/>
  <c r="W107" i="32"/>
  <c r="C146" i="5"/>
  <c r="A148" i="5"/>
  <c r="AI148" i="5" s="1"/>
  <c r="AZ147" i="5"/>
  <c r="N147" i="5"/>
  <c r="R147" i="5" s="1"/>
  <c r="S147" i="5" s="1"/>
  <c r="W147" i="5" s="1"/>
  <c r="AR147" i="5"/>
  <c r="AS147" i="5" s="1"/>
  <c r="BD147" i="5"/>
  <c r="AT147" i="5"/>
  <c r="AU147" i="5"/>
  <c r="AV147" i="5"/>
  <c r="U147" i="5"/>
  <c r="AN147" i="5"/>
  <c r="AO147" i="5" s="1"/>
  <c r="T108" i="34"/>
  <c r="V107" i="34"/>
  <c r="U107" i="34"/>
  <c r="W107" i="34" s="1"/>
  <c r="AV116" i="30"/>
  <c r="C147" i="5" l="1"/>
  <c r="I147" i="5"/>
  <c r="G147" i="5"/>
  <c r="M105" i="39"/>
  <c r="L105" i="39"/>
  <c r="K106" i="39"/>
  <c r="B117" i="30"/>
  <c r="R118" i="30"/>
  <c r="V147" i="5"/>
  <c r="P118" i="30"/>
  <c r="J148" i="5" s="1"/>
  <c r="E118" i="30"/>
  <c r="F118" i="30"/>
  <c r="C119" i="30"/>
  <c r="G118" i="30"/>
  <c r="V108" i="34"/>
  <c r="U108" i="34"/>
  <c r="W108" i="34" s="1"/>
  <c r="T109" i="34"/>
  <c r="BB147" i="5"/>
  <c r="BC147" i="5" s="1"/>
  <c r="BA147" i="5"/>
  <c r="A149" i="5"/>
  <c r="AI149" i="5" s="1"/>
  <c r="AZ148" i="5"/>
  <c r="N148" i="5"/>
  <c r="R148" i="5" s="1"/>
  <c r="S148" i="5" s="1"/>
  <c r="W148" i="5" s="1"/>
  <c r="BD148" i="5"/>
  <c r="AT148" i="5"/>
  <c r="U148" i="5"/>
  <c r="AR148" i="5"/>
  <c r="AS148" i="5" s="1"/>
  <c r="AV148" i="5"/>
  <c r="AN148" i="5"/>
  <c r="AO148" i="5" s="1"/>
  <c r="AU148" i="5"/>
  <c r="U109" i="32"/>
  <c r="D109" i="30" s="1"/>
  <c r="S109" i="30" s="1"/>
  <c r="N111" i="35" s="1"/>
  <c r="E139" i="5" s="1"/>
  <c r="T110" i="32"/>
  <c r="V109" i="32"/>
  <c r="D110" i="31"/>
  <c r="C111" i="31"/>
  <c r="H117" i="30"/>
  <c r="D119" i="35" s="1"/>
  <c r="B120" i="35"/>
  <c r="I148" i="5" s="1"/>
  <c r="G119" i="35"/>
  <c r="I119" i="35"/>
  <c r="D147" i="5" s="1"/>
  <c r="F119" i="35"/>
  <c r="E119" i="35"/>
  <c r="L119" i="35"/>
  <c r="M119" i="35" s="1"/>
  <c r="AV117" i="30"/>
  <c r="D118" i="35"/>
  <c r="R119" i="30" l="1"/>
  <c r="M106" i="39"/>
  <c r="L106" i="39"/>
  <c r="K107" i="39"/>
  <c r="B118" i="30"/>
  <c r="V148" i="5"/>
  <c r="P119" i="30"/>
  <c r="J149" i="5" s="1"/>
  <c r="E119" i="30"/>
  <c r="F119" i="30"/>
  <c r="C120" i="30"/>
  <c r="G119" i="30"/>
  <c r="H148" i="5"/>
  <c r="T110" i="34"/>
  <c r="V109" i="34"/>
  <c r="U109" i="34"/>
  <c r="W109" i="34" s="1"/>
  <c r="D111" i="31"/>
  <c r="C112" i="31"/>
  <c r="U110" i="32"/>
  <c r="W110" i="32" s="1"/>
  <c r="T111" i="32"/>
  <c r="V110" i="32"/>
  <c r="BB148" i="5"/>
  <c r="BC148" i="5" s="1"/>
  <c r="BA148" i="5"/>
  <c r="A150" i="5"/>
  <c r="AI150" i="5" s="1"/>
  <c r="AZ149" i="5"/>
  <c r="BD149" i="5"/>
  <c r="N149" i="5"/>
  <c r="R149" i="5" s="1"/>
  <c r="S149" i="5" s="1"/>
  <c r="W149" i="5" s="1"/>
  <c r="AR149" i="5"/>
  <c r="AS149" i="5" s="1"/>
  <c r="AT149" i="5"/>
  <c r="U149" i="5"/>
  <c r="AN149" i="5"/>
  <c r="AO149" i="5" s="1"/>
  <c r="AV149" i="5"/>
  <c r="AU149" i="5"/>
  <c r="H118" i="30"/>
  <c r="B121" i="35"/>
  <c r="C149" i="5" s="1"/>
  <c r="L120" i="35"/>
  <c r="M120" i="35" s="1"/>
  <c r="E120" i="35"/>
  <c r="I120" i="35"/>
  <c r="D148" i="5" s="1"/>
  <c r="G120" i="35"/>
  <c r="F120" i="35"/>
  <c r="W109" i="32"/>
  <c r="G148" i="5"/>
  <c r="C148" i="5"/>
  <c r="AV118" i="30"/>
  <c r="M107" i="39" l="1"/>
  <c r="L107" i="39"/>
  <c r="K108" i="39"/>
  <c r="B119" i="30"/>
  <c r="R120" i="30"/>
  <c r="V149" i="5"/>
  <c r="G149" i="5"/>
  <c r="A151" i="5"/>
  <c r="AI151" i="5" s="1"/>
  <c r="AZ150" i="5"/>
  <c r="U150" i="5"/>
  <c r="N150" i="5"/>
  <c r="R150" i="5" s="1"/>
  <c r="S150" i="5" s="1"/>
  <c r="W150" i="5" s="1"/>
  <c r="AR150" i="5"/>
  <c r="AS150" i="5" s="1"/>
  <c r="AU150" i="5"/>
  <c r="BD150" i="5"/>
  <c r="AV150" i="5"/>
  <c r="AT150" i="5"/>
  <c r="AN150" i="5"/>
  <c r="AO150" i="5" s="1"/>
  <c r="P120" i="30"/>
  <c r="J150" i="5" s="1"/>
  <c r="E120" i="30"/>
  <c r="F120" i="30"/>
  <c r="C121" i="30"/>
  <c r="G120" i="30"/>
  <c r="I149" i="5"/>
  <c r="H149" i="5"/>
  <c r="BB149" i="5"/>
  <c r="BC149" i="5" s="1"/>
  <c r="BA149" i="5"/>
  <c r="D112" i="31"/>
  <c r="C113" i="31"/>
  <c r="V110" i="34"/>
  <c r="U110" i="34"/>
  <c r="W110" i="34" s="1"/>
  <c r="T111" i="34"/>
  <c r="H119" i="30"/>
  <c r="D121" i="35" s="1"/>
  <c r="D120" i="35"/>
  <c r="B122" i="35"/>
  <c r="F121" i="35"/>
  <c r="L121" i="35"/>
  <c r="M121" i="35" s="1"/>
  <c r="E121" i="35"/>
  <c r="I121" i="35"/>
  <c r="D149" i="5" s="1"/>
  <c r="G121" i="35"/>
  <c r="U111" i="32"/>
  <c r="D111" i="30" s="1"/>
  <c r="S111" i="30" s="1"/>
  <c r="N113" i="35" s="1"/>
  <c r="E141" i="5" s="1"/>
  <c r="T112" i="32"/>
  <c r="V111" i="32"/>
  <c r="AV119" i="30"/>
  <c r="R121" i="30" l="1"/>
  <c r="M108" i="39"/>
  <c r="L108" i="39"/>
  <c r="K109" i="39"/>
  <c r="B120" i="30"/>
  <c r="V150" i="5"/>
  <c r="H120" i="30"/>
  <c r="D122" i="35" s="1"/>
  <c r="C150" i="5"/>
  <c r="A152" i="5"/>
  <c r="AI152" i="5" s="1"/>
  <c r="AZ151" i="5"/>
  <c r="N151" i="5"/>
  <c r="R151" i="5" s="1"/>
  <c r="S151" i="5" s="1"/>
  <c r="W151" i="5" s="1"/>
  <c r="AR151" i="5"/>
  <c r="AS151" i="5" s="1"/>
  <c r="BD151" i="5"/>
  <c r="AT151" i="5"/>
  <c r="U151" i="5"/>
  <c r="AU151" i="5"/>
  <c r="AV151" i="5"/>
  <c r="AN151" i="5"/>
  <c r="AO151" i="5" s="1"/>
  <c r="B123" i="35"/>
  <c r="G122" i="35"/>
  <c r="F122" i="35"/>
  <c r="I122" i="35"/>
  <c r="D150" i="5" s="1"/>
  <c r="E122" i="35"/>
  <c r="L122" i="35"/>
  <c r="M122" i="35" s="1"/>
  <c r="T113" i="32"/>
  <c r="U112" i="32"/>
  <c r="W112" i="32" s="1"/>
  <c r="V112" i="32"/>
  <c r="D113" i="31"/>
  <c r="C114" i="31"/>
  <c r="AV120" i="30"/>
  <c r="BB150" i="5"/>
  <c r="BC150" i="5" s="1"/>
  <c r="BA150" i="5"/>
  <c r="W111" i="32"/>
  <c r="T112" i="34"/>
  <c r="V111" i="34"/>
  <c r="U111" i="34"/>
  <c r="W111" i="34" s="1"/>
  <c r="P121" i="30"/>
  <c r="J151" i="5" s="1"/>
  <c r="E121" i="30"/>
  <c r="F121" i="30"/>
  <c r="C122" i="30"/>
  <c r="G121" i="30"/>
  <c r="G150" i="5"/>
  <c r="I150" i="5"/>
  <c r="H150" i="5"/>
  <c r="M109" i="39" l="1"/>
  <c r="L109" i="39"/>
  <c r="K110" i="39"/>
  <c r="D112" i="30"/>
  <c r="S112" i="30" s="1"/>
  <c r="N114" i="35" s="1"/>
  <c r="E142" i="5" s="1"/>
  <c r="B121" i="30"/>
  <c r="R122" i="30"/>
  <c r="V151" i="5"/>
  <c r="H121" i="30"/>
  <c r="D123" i="35" s="1"/>
  <c r="P122" i="30"/>
  <c r="J152" i="5" s="1"/>
  <c r="E122" i="30"/>
  <c r="F122" i="30"/>
  <c r="C123" i="30"/>
  <c r="G122" i="30"/>
  <c r="C151" i="5"/>
  <c r="D114" i="31"/>
  <c r="C115" i="31"/>
  <c r="H151" i="5"/>
  <c r="G151" i="5"/>
  <c r="AV121" i="30"/>
  <c r="U112" i="34"/>
  <c r="W112" i="34" s="1"/>
  <c r="T113" i="34"/>
  <c r="V112" i="34"/>
  <c r="U113" i="32"/>
  <c r="D113" i="30" s="1"/>
  <c r="S113" i="30" s="1"/>
  <c r="N115" i="35" s="1"/>
  <c r="E143" i="5" s="1"/>
  <c r="T114" i="32"/>
  <c r="V113" i="32"/>
  <c r="B124" i="35"/>
  <c r="C152" i="5" s="1"/>
  <c r="I123" i="35"/>
  <c r="D151" i="5" s="1"/>
  <c r="G123" i="35"/>
  <c r="E123" i="35"/>
  <c r="L123" i="35"/>
  <c r="M123" i="35" s="1"/>
  <c r="F123" i="35"/>
  <c r="I151" i="5"/>
  <c r="BB151" i="5"/>
  <c r="BC151" i="5" s="1"/>
  <c r="BA151" i="5"/>
  <c r="A153" i="5"/>
  <c r="AI153" i="5" s="1"/>
  <c r="AZ152" i="5"/>
  <c r="N152" i="5"/>
  <c r="R152" i="5" s="1"/>
  <c r="S152" i="5" s="1"/>
  <c r="W152" i="5" s="1"/>
  <c r="AR152" i="5"/>
  <c r="AS152" i="5" s="1"/>
  <c r="U152" i="5"/>
  <c r="AT152" i="5"/>
  <c r="AV152" i="5"/>
  <c r="AU152" i="5"/>
  <c r="BD152" i="5"/>
  <c r="AN152" i="5"/>
  <c r="AO152" i="5" s="1"/>
  <c r="M110" i="39" l="1"/>
  <c r="L110" i="39"/>
  <c r="K111" i="39"/>
  <c r="AW143" i="5"/>
  <c r="B122" i="30"/>
  <c r="R123" i="30"/>
  <c r="V152" i="5"/>
  <c r="H152" i="5"/>
  <c r="I152" i="5"/>
  <c r="G152" i="5"/>
  <c r="W113" i="32"/>
  <c r="T114" i="34"/>
  <c r="V113" i="34"/>
  <c r="U113" i="34"/>
  <c r="W113" i="34" s="1"/>
  <c r="AV122" i="30"/>
  <c r="P123" i="30"/>
  <c r="J153" i="5" s="1"/>
  <c r="E123" i="30"/>
  <c r="F123" i="30"/>
  <c r="C124" i="30"/>
  <c r="G123" i="30"/>
  <c r="BB152" i="5"/>
  <c r="BC152" i="5" s="1"/>
  <c r="BA152" i="5"/>
  <c r="A154" i="5"/>
  <c r="AI154" i="5" s="1"/>
  <c r="AZ153" i="5"/>
  <c r="N153" i="5"/>
  <c r="R153" i="5" s="1"/>
  <c r="S153" i="5" s="1"/>
  <c r="W153" i="5" s="1"/>
  <c r="AR153" i="5"/>
  <c r="AS153" i="5" s="1"/>
  <c r="BD153" i="5"/>
  <c r="AT153" i="5"/>
  <c r="U153" i="5"/>
  <c r="AN153" i="5"/>
  <c r="AO153" i="5" s="1"/>
  <c r="AU153" i="5"/>
  <c r="AV153" i="5"/>
  <c r="B125" i="35"/>
  <c r="G153" i="5" s="1"/>
  <c r="L124" i="35"/>
  <c r="M124" i="35" s="1"/>
  <c r="E124" i="35"/>
  <c r="I124" i="35"/>
  <c r="D152" i="5" s="1"/>
  <c r="G124" i="35"/>
  <c r="F124" i="35"/>
  <c r="U114" i="32"/>
  <c r="W114" i="32" s="1"/>
  <c r="T115" i="32"/>
  <c r="V114" i="32"/>
  <c r="D115" i="31"/>
  <c r="C116" i="31"/>
  <c r="H122" i="30"/>
  <c r="D124" i="35" s="1"/>
  <c r="M111" i="39" l="1"/>
  <c r="L111" i="39"/>
  <c r="K112" i="39"/>
  <c r="AW144" i="5"/>
  <c r="B123" i="30"/>
  <c r="R124" i="30"/>
  <c r="V153" i="5"/>
  <c r="AV123" i="30"/>
  <c r="U114" i="34"/>
  <c r="W114" i="34" s="1"/>
  <c r="T115" i="34"/>
  <c r="V114" i="34"/>
  <c r="T116" i="32"/>
  <c r="U115" i="32"/>
  <c r="D115" i="30" s="1"/>
  <c r="S115" i="30" s="1"/>
  <c r="N117" i="35" s="1"/>
  <c r="E145" i="5" s="1"/>
  <c r="V115" i="32"/>
  <c r="H153" i="5"/>
  <c r="P124" i="30"/>
  <c r="J154" i="5" s="1"/>
  <c r="E124" i="30"/>
  <c r="F124" i="30"/>
  <c r="C125" i="30"/>
  <c r="G124" i="30"/>
  <c r="B126" i="35"/>
  <c r="H154" i="5" s="1"/>
  <c r="F125" i="35"/>
  <c r="L125" i="35"/>
  <c r="M125" i="35" s="1"/>
  <c r="E125" i="35"/>
  <c r="G125" i="35"/>
  <c r="I125" i="35"/>
  <c r="D153" i="5" s="1"/>
  <c r="I153" i="5"/>
  <c r="BB153" i="5"/>
  <c r="BC153" i="5" s="1"/>
  <c r="BA153" i="5"/>
  <c r="A155" i="5"/>
  <c r="AI155" i="5" s="1"/>
  <c r="BD154" i="5"/>
  <c r="AZ154" i="5"/>
  <c r="N154" i="5"/>
  <c r="R154" i="5" s="1"/>
  <c r="S154" i="5" s="1"/>
  <c r="W154" i="5" s="1"/>
  <c r="U154" i="5"/>
  <c r="AR154" i="5"/>
  <c r="AS154" i="5" s="1"/>
  <c r="AT154" i="5"/>
  <c r="AU154" i="5"/>
  <c r="AV154" i="5"/>
  <c r="AN154" i="5"/>
  <c r="AO154" i="5" s="1"/>
  <c r="D116" i="31"/>
  <c r="C117" i="31"/>
  <c r="C153" i="5"/>
  <c r="H123" i="30"/>
  <c r="I154" i="5" l="1"/>
  <c r="M112" i="39"/>
  <c r="L112" i="39"/>
  <c r="K113" i="39"/>
  <c r="AW145" i="5"/>
  <c r="R125" i="30"/>
  <c r="B124" i="30"/>
  <c r="V154" i="5"/>
  <c r="C154" i="5"/>
  <c r="G154" i="5"/>
  <c r="D117" i="31"/>
  <c r="C118" i="31"/>
  <c r="A156" i="5"/>
  <c r="AI156" i="5" s="1"/>
  <c r="AZ155" i="5"/>
  <c r="N155" i="5"/>
  <c r="R155" i="5" s="1"/>
  <c r="S155" i="5" s="1"/>
  <c r="W155" i="5" s="1"/>
  <c r="BD155" i="5"/>
  <c r="AT155" i="5"/>
  <c r="AV155" i="5"/>
  <c r="AU155" i="5"/>
  <c r="AN155" i="5"/>
  <c r="AO155" i="5" s="1"/>
  <c r="U155" i="5"/>
  <c r="AR155" i="5"/>
  <c r="AS155" i="5" s="1"/>
  <c r="H124" i="30"/>
  <c r="D126" i="35" s="1"/>
  <c r="U116" i="32"/>
  <c r="AW146" i="5" s="1"/>
  <c r="T117" i="32"/>
  <c r="V116" i="32"/>
  <c r="B127" i="35"/>
  <c r="C155" i="5" s="1"/>
  <c r="I126" i="35"/>
  <c r="D154" i="5" s="1"/>
  <c r="F126" i="35"/>
  <c r="L126" i="35"/>
  <c r="M126" i="35" s="1"/>
  <c r="E126" i="35"/>
  <c r="G126" i="35"/>
  <c r="AV124" i="30"/>
  <c r="D125" i="35"/>
  <c r="P125" i="30"/>
  <c r="J155" i="5" s="1"/>
  <c r="E125" i="30"/>
  <c r="F125" i="30"/>
  <c r="C126" i="30"/>
  <c r="G125" i="30"/>
  <c r="T116" i="34"/>
  <c r="V115" i="34"/>
  <c r="U115" i="34"/>
  <c r="W115" i="34" s="1"/>
  <c r="BB154" i="5"/>
  <c r="BC154" i="5" s="1"/>
  <c r="BA154" i="5"/>
  <c r="W115" i="32"/>
  <c r="B125" i="30" l="1"/>
  <c r="M113" i="39"/>
  <c r="L113" i="39"/>
  <c r="K114" i="39"/>
  <c r="R126" i="30"/>
  <c r="V155" i="5"/>
  <c r="G155" i="5"/>
  <c r="BB155" i="5"/>
  <c r="BC155" i="5" s="1"/>
  <c r="BA155" i="5"/>
  <c r="A157" i="5"/>
  <c r="AI157" i="5" s="1"/>
  <c r="AZ156" i="5"/>
  <c r="N156" i="5"/>
  <c r="R156" i="5" s="1"/>
  <c r="S156" i="5" s="1"/>
  <c r="W156" i="5" s="1"/>
  <c r="AR156" i="5"/>
  <c r="AS156" i="5" s="1"/>
  <c r="BD156" i="5"/>
  <c r="AT156" i="5"/>
  <c r="U156" i="5"/>
  <c r="AV156" i="5"/>
  <c r="AN156" i="5"/>
  <c r="AO156" i="5" s="1"/>
  <c r="AU156" i="5"/>
  <c r="H125" i="30"/>
  <c r="D127" i="35" s="1"/>
  <c r="T117" i="34"/>
  <c r="V116" i="34"/>
  <c r="U116" i="34"/>
  <c r="W116" i="34" s="1"/>
  <c r="AV125" i="30"/>
  <c r="B128" i="35"/>
  <c r="I127" i="35"/>
  <c r="D155" i="5" s="1"/>
  <c r="G127" i="35"/>
  <c r="F127" i="35"/>
  <c r="L127" i="35"/>
  <c r="M127" i="35" s="1"/>
  <c r="E127" i="35"/>
  <c r="U117" i="32"/>
  <c r="AW147" i="5" s="1"/>
  <c r="T118" i="32"/>
  <c r="V117" i="32"/>
  <c r="I155" i="5"/>
  <c r="H155" i="5"/>
  <c r="D118" i="31"/>
  <c r="C119" i="31"/>
  <c r="P126" i="30"/>
  <c r="J156" i="5" s="1"/>
  <c r="E126" i="30"/>
  <c r="F126" i="30"/>
  <c r="C127" i="30"/>
  <c r="G126" i="30"/>
  <c r="W116" i="32"/>
  <c r="D117" i="30" l="1"/>
  <c r="S117" i="30" s="1"/>
  <c r="N119" i="35" s="1"/>
  <c r="E147" i="5" s="1"/>
  <c r="M114" i="39"/>
  <c r="L114" i="39"/>
  <c r="K115" i="39"/>
  <c r="B126" i="30"/>
  <c r="R127" i="30"/>
  <c r="V156" i="5"/>
  <c r="AV126" i="30"/>
  <c r="P127" i="30"/>
  <c r="J157" i="5" s="1"/>
  <c r="E127" i="30"/>
  <c r="F127" i="30"/>
  <c r="C128" i="30"/>
  <c r="G127" i="30"/>
  <c r="D119" i="31"/>
  <c r="C120" i="31"/>
  <c r="V117" i="34"/>
  <c r="U117" i="34"/>
  <c r="W117" i="34" s="1"/>
  <c r="T118" i="34"/>
  <c r="G156" i="5"/>
  <c r="BB156" i="5"/>
  <c r="BC156" i="5" s="1"/>
  <c r="BA156" i="5"/>
  <c r="A158" i="5"/>
  <c r="AI158" i="5" s="1"/>
  <c r="AZ157" i="5"/>
  <c r="N157" i="5"/>
  <c r="R157" i="5" s="1"/>
  <c r="S157" i="5" s="1"/>
  <c r="W157" i="5" s="1"/>
  <c r="BD157" i="5"/>
  <c r="AT157" i="5"/>
  <c r="AR157" i="5"/>
  <c r="AS157" i="5" s="1"/>
  <c r="U157" i="5"/>
  <c r="AV157" i="5"/>
  <c r="AN157" i="5"/>
  <c r="AO157" i="5" s="1"/>
  <c r="AU157" i="5"/>
  <c r="U118" i="32"/>
  <c r="T119" i="32"/>
  <c r="V118" i="32"/>
  <c r="I156" i="5"/>
  <c r="H156" i="5"/>
  <c r="H126" i="30"/>
  <c r="D128" i="35" s="1"/>
  <c r="W117" i="32"/>
  <c r="B129" i="35"/>
  <c r="L128" i="35"/>
  <c r="M128" i="35" s="1"/>
  <c r="E128" i="35"/>
  <c r="I128" i="35"/>
  <c r="D156" i="5" s="1"/>
  <c r="G128" i="35"/>
  <c r="F128" i="35"/>
  <c r="C156" i="5"/>
  <c r="M115" i="39" l="1"/>
  <c r="L115" i="39"/>
  <c r="K116" i="39"/>
  <c r="B127" i="30"/>
  <c r="R128" i="30"/>
  <c r="V157" i="5"/>
  <c r="B130" i="35"/>
  <c r="H158" i="5" s="1"/>
  <c r="F129" i="35"/>
  <c r="L129" i="35"/>
  <c r="M129" i="35" s="1"/>
  <c r="E129" i="35"/>
  <c r="G129" i="35"/>
  <c r="I129" i="35"/>
  <c r="D157" i="5" s="1"/>
  <c r="T120" i="32"/>
  <c r="U119" i="32"/>
  <c r="W119" i="32" s="1"/>
  <c r="V119" i="32"/>
  <c r="I157" i="5"/>
  <c r="H157" i="5"/>
  <c r="A159" i="5"/>
  <c r="AI159" i="5" s="1"/>
  <c r="N158" i="5"/>
  <c r="R158" i="5" s="1"/>
  <c r="S158" i="5" s="1"/>
  <c r="W158" i="5" s="1"/>
  <c r="AZ158" i="5"/>
  <c r="BD158" i="5"/>
  <c r="G158" i="5"/>
  <c r="U158" i="5"/>
  <c r="AR158" i="5"/>
  <c r="AS158" i="5" s="1"/>
  <c r="AT158" i="5"/>
  <c r="C158" i="5"/>
  <c r="I158" i="5"/>
  <c r="AU158" i="5"/>
  <c r="AN158" i="5"/>
  <c r="AO158" i="5" s="1"/>
  <c r="AV158" i="5"/>
  <c r="P128" i="30"/>
  <c r="E128" i="30"/>
  <c r="F128" i="30"/>
  <c r="C129" i="30"/>
  <c r="G128" i="30"/>
  <c r="W118" i="32"/>
  <c r="G157" i="5"/>
  <c r="C157" i="5"/>
  <c r="BB157" i="5"/>
  <c r="BC157" i="5" s="1"/>
  <c r="BA157" i="5"/>
  <c r="D120" i="31"/>
  <c r="C121" i="31"/>
  <c r="H127" i="30"/>
  <c r="D129" i="35" s="1"/>
  <c r="T119" i="34"/>
  <c r="V118" i="34"/>
  <c r="U118" i="34"/>
  <c r="W118" i="34" s="1"/>
  <c r="AV127" i="30"/>
  <c r="AW149" i="5" l="1"/>
  <c r="M116" i="39"/>
  <c r="L116" i="39"/>
  <c r="K117" i="39"/>
  <c r="B128" i="30"/>
  <c r="R129" i="30"/>
  <c r="V158" i="5"/>
  <c r="H128" i="30"/>
  <c r="D130" i="35" s="1"/>
  <c r="V119" i="34"/>
  <c r="U119" i="34"/>
  <c r="W119" i="34" s="1"/>
  <c r="T120" i="34"/>
  <c r="AV128" i="30"/>
  <c r="J158" i="5"/>
  <c r="BB158" i="5"/>
  <c r="BC158" i="5" s="1"/>
  <c r="BA158" i="5"/>
  <c r="A160" i="5"/>
  <c r="AI160" i="5" s="1"/>
  <c r="AZ159" i="5"/>
  <c r="N159" i="5"/>
  <c r="R159" i="5" s="1"/>
  <c r="S159" i="5" s="1"/>
  <c r="W159" i="5" s="1"/>
  <c r="AR159" i="5"/>
  <c r="AS159" i="5" s="1"/>
  <c r="BD159" i="5"/>
  <c r="U159" i="5"/>
  <c r="AU159" i="5"/>
  <c r="AV159" i="5"/>
  <c r="AT159" i="5"/>
  <c r="AN159" i="5"/>
  <c r="AO159" i="5" s="1"/>
  <c r="D121" i="31"/>
  <c r="C122" i="31"/>
  <c r="P129" i="30"/>
  <c r="E129" i="30"/>
  <c r="F129" i="30"/>
  <c r="C130" i="30"/>
  <c r="G129" i="30"/>
  <c r="U120" i="32"/>
  <c r="AW150" i="5" s="1"/>
  <c r="T121" i="32"/>
  <c r="V120" i="32"/>
  <c r="B131" i="35"/>
  <c r="C159" i="5" s="1"/>
  <c r="I130" i="35"/>
  <c r="D158" i="5" s="1"/>
  <c r="F130" i="35"/>
  <c r="L130" i="35"/>
  <c r="M130" i="35" s="1"/>
  <c r="E130" i="35"/>
  <c r="G130" i="35"/>
  <c r="M117" i="39" l="1"/>
  <c r="L117" i="39"/>
  <c r="K118" i="39"/>
  <c r="D120" i="30"/>
  <c r="S120" i="30" s="1"/>
  <c r="N122" i="35" s="1"/>
  <c r="E150" i="5" s="1"/>
  <c r="B129" i="30"/>
  <c r="R130" i="30"/>
  <c r="V159" i="5"/>
  <c r="P130" i="30"/>
  <c r="J160" i="5" s="1"/>
  <c r="E130" i="30"/>
  <c r="F130" i="30"/>
  <c r="C131" i="30"/>
  <c r="G130" i="30"/>
  <c r="D122" i="31"/>
  <c r="C123" i="31"/>
  <c r="H159" i="5"/>
  <c r="G159" i="5"/>
  <c r="I159" i="5"/>
  <c r="BB159" i="5"/>
  <c r="BC159" i="5" s="1"/>
  <c r="BA159" i="5"/>
  <c r="A161" i="5"/>
  <c r="AI161" i="5" s="1"/>
  <c r="AZ160" i="5"/>
  <c r="N160" i="5"/>
  <c r="R160" i="5" s="1"/>
  <c r="S160" i="5" s="1"/>
  <c r="W160" i="5" s="1"/>
  <c r="AR160" i="5"/>
  <c r="AS160" i="5" s="1"/>
  <c r="BD160" i="5"/>
  <c r="AT160" i="5"/>
  <c r="U160" i="5"/>
  <c r="AU160" i="5"/>
  <c r="AV160" i="5"/>
  <c r="AN160" i="5"/>
  <c r="AO160" i="5" s="1"/>
  <c r="T121" i="34"/>
  <c r="V120" i="34"/>
  <c r="U120" i="34"/>
  <c r="W120" i="34" s="1"/>
  <c r="B132" i="35"/>
  <c r="G160" i="5" s="1"/>
  <c r="I131" i="35"/>
  <c r="D159" i="5" s="1"/>
  <c r="G131" i="35"/>
  <c r="E131" i="35"/>
  <c r="L131" i="35"/>
  <c r="M131" i="35" s="1"/>
  <c r="F131" i="35"/>
  <c r="U121" i="32"/>
  <c r="W121" i="32" s="1"/>
  <c r="T122" i="32"/>
  <c r="V121" i="32"/>
  <c r="H129" i="30"/>
  <c r="W120" i="32"/>
  <c r="AV129" i="30"/>
  <c r="J159" i="5"/>
  <c r="M118" i="39" l="1"/>
  <c r="L118" i="39"/>
  <c r="K119" i="39"/>
  <c r="D121" i="30"/>
  <c r="S121" i="30" s="1"/>
  <c r="N123" i="35" s="1"/>
  <c r="E151" i="5" s="1"/>
  <c r="R131" i="30"/>
  <c r="B130" i="30"/>
  <c r="V160" i="5"/>
  <c r="C160" i="5"/>
  <c r="D123" i="31"/>
  <c r="C124" i="31"/>
  <c r="H130" i="30"/>
  <c r="D132" i="35" s="1"/>
  <c r="U122" i="32"/>
  <c r="AW152" i="5" s="1"/>
  <c r="T123" i="32"/>
  <c r="V122" i="32"/>
  <c r="H160" i="5"/>
  <c r="AV130" i="30"/>
  <c r="D131" i="35"/>
  <c r="B133" i="35"/>
  <c r="I161" i="5" s="1"/>
  <c r="L132" i="35"/>
  <c r="M132" i="35" s="1"/>
  <c r="E132" i="35"/>
  <c r="I132" i="35"/>
  <c r="D160" i="5" s="1"/>
  <c r="G132" i="35"/>
  <c r="F132" i="35"/>
  <c r="U121" i="34"/>
  <c r="W121" i="34" s="1"/>
  <c r="T122" i="34"/>
  <c r="V121" i="34"/>
  <c r="I160" i="5"/>
  <c r="BB160" i="5"/>
  <c r="BC160" i="5" s="1"/>
  <c r="BA160" i="5"/>
  <c r="A162" i="5"/>
  <c r="AI162" i="5" s="1"/>
  <c r="AZ161" i="5"/>
  <c r="N161" i="5"/>
  <c r="R161" i="5" s="1"/>
  <c r="S161" i="5" s="1"/>
  <c r="W161" i="5" s="1"/>
  <c r="AR161" i="5"/>
  <c r="AS161" i="5" s="1"/>
  <c r="AT161" i="5"/>
  <c r="AV161" i="5"/>
  <c r="AU161" i="5"/>
  <c r="U161" i="5"/>
  <c r="BD161" i="5"/>
  <c r="AN161" i="5"/>
  <c r="AO161" i="5" s="1"/>
  <c r="P131" i="30"/>
  <c r="J161" i="5" s="1"/>
  <c r="E131" i="30"/>
  <c r="F131" i="30"/>
  <c r="C132" i="30"/>
  <c r="G131" i="30"/>
  <c r="M119" i="39" l="1"/>
  <c r="L119" i="39"/>
  <c r="K120" i="39"/>
  <c r="B131" i="30"/>
  <c r="R132" i="30"/>
  <c r="V161" i="5"/>
  <c r="H131" i="30"/>
  <c r="D133" i="35" s="1"/>
  <c r="H161" i="5"/>
  <c r="C161" i="5"/>
  <c r="G161" i="5"/>
  <c r="AV131" i="30"/>
  <c r="A163" i="5"/>
  <c r="AI163" i="5" s="1"/>
  <c r="N162" i="5"/>
  <c r="R162" i="5" s="1"/>
  <c r="S162" i="5" s="1"/>
  <c r="W162" i="5" s="1"/>
  <c r="AZ162" i="5"/>
  <c r="AR162" i="5"/>
  <c r="AS162" i="5" s="1"/>
  <c r="U162" i="5"/>
  <c r="BD162" i="5"/>
  <c r="AT162" i="5"/>
  <c r="AU162" i="5"/>
  <c r="AV162" i="5"/>
  <c r="AN162" i="5"/>
  <c r="AO162" i="5" s="1"/>
  <c r="T123" i="34"/>
  <c r="V122" i="34"/>
  <c r="U122" i="34"/>
  <c r="W122" i="34" s="1"/>
  <c r="BB161" i="5"/>
  <c r="BC161" i="5" s="1"/>
  <c r="BA161" i="5"/>
  <c r="B134" i="35"/>
  <c r="H162" i="5" s="1"/>
  <c r="F133" i="35"/>
  <c r="L133" i="35"/>
  <c r="M133" i="35" s="1"/>
  <c r="E133" i="35"/>
  <c r="G133" i="35"/>
  <c r="B46" i="5"/>
  <c r="T46" i="5" s="1"/>
  <c r="I133" i="35"/>
  <c r="D161" i="5" s="1"/>
  <c r="B45" i="5"/>
  <c r="T45" i="5" s="1"/>
  <c r="T44" i="5" s="1"/>
  <c r="B47" i="5"/>
  <c r="T47" i="5" s="1"/>
  <c r="B48" i="5"/>
  <c r="T48" i="5" s="1"/>
  <c r="B49" i="5"/>
  <c r="T49" i="5" s="1"/>
  <c r="B50" i="5"/>
  <c r="T50" i="5" s="1"/>
  <c r="B51" i="5"/>
  <c r="T51" i="5" s="1"/>
  <c r="B52" i="5"/>
  <c r="T52" i="5" s="1"/>
  <c r="B53" i="5"/>
  <c r="T53" i="5" s="1"/>
  <c r="B54" i="5"/>
  <c r="T54" i="5" s="1"/>
  <c r="B55" i="5"/>
  <c r="T55" i="5" s="1"/>
  <c r="B56" i="5"/>
  <c r="T56" i="5" s="1"/>
  <c r="B57" i="5"/>
  <c r="T57" i="5" s="1"/>
  <c r="B58" i="5"/>
  <c r="T58" i="5" s="1"/>
  <c r="B59" i="5"/>
  <c r="T59" i="5" s="1"/>
  <c r="B60" i="5"/>
  <c r="T60" i="5" s="1"/>
  <c r="B61" i="5"/>
  <c r="T61" i="5" s="1"/>
  <c r="B62" i="5"/>
  <c r="T62" i="5" s="1"/>
  <c r="B63" i="5"/>
  <c r="T63" i="5" s="1"/>
  <c r="B64" i="5"/>
  <c r="T64" i="5" s="1"/>
  <c r="B65" i="5"/>
  <c r="T65" i="5" s="1"/>
  <c r="B66" i="5"/>
  <c r="T66" i="5" s="1"/>
  <c r="B67" i="5"/>
  <c r="T67" i="5" s="1"/>
  <c r="B68" i="5"/>
  <c r="T68" i="5" s="1"/>
  <c r="B69" i="5"/>
  <c r="T69" i="5" s="1"/>
  <c r="B70" i="5"/>
  <c r="T70" i="5" s="1"/>
  <c r="B71" i="5"/>
  <c r="T71" i="5" s="1"/>
  <c r="B72" i="5"/>
  <c r="T72" i="5" s="1"/>
  <c r="B73" i="5"/>
  <c r="T73" i="5" s="1"/>
  <c r="B74" i="5"/>
  <c r="T74" i="5" s="1"/>
  <c r="B75" i="5"/>
  <c r="T75" i="5" s="1"/>
  <c r="B76" i="5"/>
  <c r="T76" i="5" s="1"/>
  <c r="B77" i="5"/>
  <c r="T77" i="5" s="1"/>
  <c r="B78" i="5"/>
  <c r="T78" i="5" s="1"/>
  <c r="B79" i="5"/>
  <c r="T79" i="5" s="1"/>
  <c r="B80" i="5"/>
  <c r="T80" i="5" s="1"/>
  <c r="B81" i="5"/>
  <c r="T81" i="5" s="1"/>
  <c r="B82" i="5"/>
  <c r="T82" i="5" s="1"/>
  <c r="B83" i="5"/>
  <c r="T83" i="5" s="1"/>
  <c r="B84" i="5"/>
  <c r="T84" i="5" s="1"/>
  <c r="B85" i="5"/>
  <c r="T85" i="5" s="1"/>
  <c r="B86" i="5"/>
  <c r="T86" i="5" s="1"/>
  <c r="B87" i="5"/>
  <c r="T87" i="5" s="1"/>
  <c r="B88" i="5"/>
  <c r="T88" i="5" s="1"/>
  <c r="B89" i="5"/>
  <c r="T89" i="5" s="1"/>
  <c r="B90" i="5"/>
  <c r="T90" i="5" s="1"/>
  <c r="B91" i="5"/>
  <c r="T91" i="5" s="1"/>
  <c r="B92" i="5"/>
  <c r="T92" i="5" s="1"/>
  <c r="B93" i="5"/>
  <c r="T93" i="5" s="1"/>
  <c r="B94" i="5"/>
  <c r="T94" i="5" s="1"/>
  <c r="B95" i="5"/>
  <c r="T95" i="5" s="1"/>
  <c r="B96" i="5"/>
  <c r="T96" i="5" s="1"/>
  <c r="B97" i="5"/>
  <c r="T97" i="5" s="1"/>
  <c r="B98" i="5"/>
  <c r="T98" i="5" s="1"/>
  <c r="B99" i="5"/>
  <c r="T99" i="5" s="1"/>
  <c r="B100" i="5"/>
  <c r="T100" i="5" s="1"/>
  <c r="B101" i="5"/>
  <c r="T101" i="5" s="1"/>
  <c r="B102" i="5"/>
  <c r="T102" i="5" s="1"/>
  <c r="B103" i="5"/>
  <c r="T103" i="5" s="1"/>
  <c r="B104" i="5"/>
  <c r="T104" i="5" s="1"/>
  <c r="B105" i="5"/>
  <c r="T105" i="5" s="1"/>
  <c r="B106" i="5"/>
  <c r="T106" i="5" s="1"/>
  <c r="B107" i="5"/>
  <c r="T107" i="5" s="1"/>
  <c r="B108" i="5"/>
  <c r="T108" i="5" s="1"/>
  <c r="B109" i="5"/>
  <c r="T109" i="5" s="1"/>
  <c r="B110" i="5"/>
  <c r="T110" i="5" s="1"/>
  <c r="B111" i="5"/>
  <c r="T111" i="5" s="1"/>
  <c r="B112" i="5"/>
  <c r="T112" i="5" s="1"/>
  <c r="B113" i="5"/>
  <c r="T113" i="5" s="1"/>
  <c r="B114" i="5"/>
  <c r="T114" i="5" s="1"/>
  <c r="B115" i="5"/>
  <c r="T115" i="5" s="1"/>
  <c r="B116" i="5"/>
  <c r="T116" i="5" s="1"/>
  <c r="B117" i="5"/>
  <c r="T117" i="5" s="1"/>
  <c r="B118" i="5"/>
  <c r="T118" i="5" s="1"/>
  <c r="B119" i="5"/>
  <c r="T119" i="5" s="1"/>
  <c r="B120" i="5"/>
  <c r="T120" i="5" s="1"/>
  <c r="B121" i="5"/>
  <c r="T121" i="5" s="1"/>
  <c r="B122" i="5"/>
  <c r="T122" i="5" s="1"/>
  <c r="B123" i="5"/>
  <c r="T123" i="5" s="1"/>
  <c r="B124" i="5"/>
  <c r="T124" i="5" s="1"/>
  <c r="B125" i="5"/>
  <c r="T125" i="5" s="1"/>
  <c r="B126" i="5"/>
  <c r="T126" i="5" s="1"/>
  <c r="B127" i="5"/>
  <c r="T127" i="5" s="1"/>
  <c r="B128" i="5"/>
  <c r="T128" i="5" s="1"/>
  <c r="B129" i="5"/>
  <c r="T129" i="5" s="1"/>
  <c r="B130" i="5"/>
  <c r="T130" i="5" s="1"/>
  <c r="B131" i="5"/>
  <c r="T131" i="5" s="1"/>
  <c r="B132" i="5"/>
  <c r="T132" i="5" s="1"/>
  <c r="B133" i="5"/>
  <c r="T133" i="5" s="1"/>
  <c r="B134" i="5"/>
  <c r="T134" i="5" s="1"/>
  <c r="B135" i="5"/>
  <c r="T135" i="5" s="1"/>
  <c r="B136" i="5"/>
  <c r="T136" i="5" s="1"/>
  <c r="B137" i="5"/>
  <c r="T137" i="5" s="1"/>
  <c r="B138" i="5"/>
  <c r="T138" i="5" s="1"/>
  <c r="B139" i="5"/>
  <c r="T139" i="5" s="1"/>
  <c r="B140" i="5"/>
  <c r="T140" i="5" s="1"/>
  <c r="B141" i="5"/>
  <c r="T141" i="5" s="1"/>
  <c r="B142" i="5"/>
  <c r="T142" i="5" s="1"/>
  <c r="B143" i="5"/>
  <c r="T143" i="5" s="1"/>
  <c r="B144" i="5"/>
  <c r="T144" i="5" s="1"/>
  <c r="B145" i="5"/>
  <c r="T145" i="5" s="1"/>
  <c r="B146" i="5"/>
  <c r="T146" i="5" s="1"/>
  <c r="B147" i="5"/>
  <c r="T147" i="5" s="1"/>
  <c r="B148" i="5"/>
  <c r="T148" i="5" s="1"/>
  <c r="B149" i="5"/>
  <c r="T149" i="5" s="1"/>
  <c r="B150" i="5"/>
  <c r="T150" i="5" s="1"/>
  <c r="B151" i="5"/>
  <c r="T151" i="5" s="1"/>
  <c r="B152" i="5"/>
  <c r="T152" i="5" s="1"/>
  <c r="B153" i="5"/>
  <c r="T153" i="5" s="1"/>
  <c r="B154" i="5"/>
  <c r="T154" i="5" s="1"/>
  <c r="B155" i="5"/>
  <c r="T155" i="5" s="1"/>
  <c r="B156" i="5"/>
  <c r="T156" i="5" s="1"/>
  <c r="B157" i="5"/>
  <c r="T157" i="5" s="1"/>
  <c r="B158" i="5"/>
  <c r="T158" i="5" s="1"/>
  <c r="B159" i="5"/>
  <c r="T159" i="5" s="1"/>
  <c r="B160" i="5"/>
  <c r="T160" i="5" s="1"/>
  <c r="T124" i="32"/>
  <c r="U123" i="32"/>
  <c r="W123" i="32" s="1"/>
  <c r="V123" i="32"/>
  <c r="D124" i="31"/>
  <c r="C125" i="31"/>
  <c r="P132" i="30"/>
  <c r="F132" i="30"/>
  <c r="C133" i="30"/>
  <c r="G132" i="30"/>
  <c r="E132" i="30"/>
  <c r="W122" i="32"/>
  <c r="M120" i="39" l="1"/>
  <c r="L120" i="39"/>
  <c r="K121" i="39"/>
  <c r="AW153" i="5"/>
  <c r="B132" i="30"/>
  <c r="R133" i="30"/>
  <c r="V162" i="5"/>
  <c r="H132" i="30"/>
  <c r="AV132" i="30"/>
  <c r="U124" i="32"/>
  <c r="W124" i="32" s="1"/>
  <c r="T125" i="32"/>
  <c r="V124" i="32"/>
  <c r="G162" i="5"/>
  <c r="A164" i="5"/>
  <c r="AI164" i="5" s="1"/>
  <c r="AZ163" i="5"/>
  <c r="N163" i="5"/>
  <c r="R163" i="5" s="1"/>
  <c r="S163" i="5" s="1"/>
  <c r="W163" i="5" s="1"/>
  <c r="BD163" i="5"/>
  <c r="AR163" i="5"/>
  <c r="AS163" i="5" s="1"/>
  <c r="AT163" i="5"/>
  <c r="AU163" i="5"/>
  <c r="AV163" i="5"/>
  <c r="U163" i="5"/>
  <c r="AN163" i="5"/>
  <c r="AO163" i="5" s="1"/>
  <c r="U123" i="34"/>
  <c r="W123" i="34" s="1"/>
  <c r="T124" i="34"/>
  <c r="V123" i="34"/>
  <c r="J162" i="5"/>
  <c r="F133" i="30"/>
  <c r="C134" i="30"/>
  <c r="G133" i="30"/>
  <c r="E133" i="30"/>
  <c r="P133" i="30"/>
  <c r="D125" i="31"/>
  <c r="C126" i="31"/>
  <c r="B135" i="35"/>
  <c r="I134" i="35"/>
  <c r="D162" i="5" s="1"/>
  <c r="F134" i="35"/>
  <c r="L134" i="35"/>
  <c r="M134" i="35" s="1"/>
  <c r="E134" i="35"/>
  <c r="D134" i="35"/>
  <c r="G134" i="35"/>
  <c r="B161" i="5"/>
  <c r="T161" i="5" s="1"/>
  <c r="I162" i="5"/>
  <c r="C162" i="5"/>
  <c r="BB162" i="5"/>
  <c r="BC162" i="5" s="1"/>
  <c r="BA162" i="5"/>
  <c r="D124" i="30" l="1"/>
  <c r="S124" i="30" s="1"/>
  <c r="N126" i="35" s="1"/>
  <c r="E154" i="5" s="1"/>
  <c r="AW154" i="5"/>
  <c r="M121" i="39"/>
  <c r="L121" i="39"/>
  <c r="K122" i="39"/>
  <c r="B133" i="30"/>
  <c r="R134" i="30"/>
  <c r="V163" i="5"/>
  <c r="B136" i="35"/>
  <c r="H164" i="5" s="1"/>
  <c r="I135" i="35"/>
  <c r="D163" i="5" s="1"/>
  <c r="G135" i="35"/>
  <c r="F135" i="35"/>
  <c r="E135" i="35"/>
  <c r="L135" i="35"/>
  <c r="M135" i="35" s="1"/>
  <c r="I163" i="5"/>
  <c r="G163" i="5"/>
  <c r="D126" i="31"/>
  <c r="C127" i="31"/>
  <c r="AV133" i="30"/>
  <c r="F134" i="30"/>
  <c r="C135" i="30"/>
  <c r="G134" i="30"/>
  <c r="P134" i="30"/>
  <c r="J164" i="5" s="1"/>
  <c r="E134" i="30"/>
  <c r="J163" i="5"/>
  <c r="H133" i="30"/>
  <c r="D135" i="35" s="1"/>
  <c r="T125" i="34"/>
  <c r="V124" i="34"/>
  <c r="U124" i="34"/>
  <c r="W124" i="34" s="1"/>
  <c r="C163" i="5"/>
  <c r="H163" i="5"/>
  <c r="BB163" i="5"/>
  <c r="BC163" i="5" s="1"/>
  <c r="BA163" i="5"/>
  <c r="A165" i="5"/>
  <c r="AI165" i="5" s="1"/>
  <c r="AZ164" i="5"/>
  <c r="N164" i="5"/>
  <c r="R164" i="5" s="1"/>
  <c r="S164" i="5" s="1"/>
  <c r="W164" i="5" s="1"/>
  <c r="BD164" i="5"/>
  <c r="AT164" i="5"/>
  <c r="U164" i="5"/>
  <c r="AV164" i="5"/>
  <c r="AN164" i="5"/>
  <c r="AO164" i="5" s="1"/>
  <c r="AR164" i="5"/>
  <c r="AS164" i="5" s="1"/>
  <c r="AU164" i="5"/>
  <c r="U125" i="32"/>
  <c r="D125" i="30" s="1"/>
  <c r="S125" i="30" s="1"/>
  <c r="N127" i="35" s="1"/>
  <c r="E155" i="5" s="1"/>
  <c r="T126" i="32"/>
  <c r="V125" i="32"/>
  <c r="B134" i="30" l="1"/>
  <c r="I164" i="5"/>
  <c r="C164" i="5"/>
  <c r="G164" i="5"/>
  <c r="AW155" i="5"/>
  <c r="M122" i="39"/>
  <c r="L122" i="39"/>
  <c r="K123" i="39"/>
  <c r="R135" i="30"/>
  <c r="V164" i="5"/>
  <c r="U126" i="32"/>
  <c r="W126" i="32" s="1"/>
  <c r="T127" i="32"/>
  <c r="V126" i="32"/>
  <c r="T126" i="34"/>
  <c r="V125" i="34"/>
  <c r="U125" i="34"/>
  <c r="W125" i="34" s="1"/>
  <c r="W125" i="32"/>
  <c r="BB164" i="5"/>
  <c r="BC164" i="5" s="1"/>
  <c r="BA164" i="5"/>
  <c r="A166" i="5"/>
  <c r="AI166" i="5" s="1"/>
  <c r="AZ165" i="5"/>
  <c r="N165" i="5"/>
  <c r="R165" i="5" s="1"/>
  <c r="S165" i="5" s="1"/>
  <c r="W165" i="5" s="1"/>
  <c r="AR165" i="5"/>
  <c r="AS165" i="5" s="1"/>
  <c r="BD165" i="5"/>
  <c r="AT165" i="5"/>
  <c r="U165" i="5"/>
  <c r="AV165" i="5"/>
  <c r="AN165" i="5"/>
  <c r="AO165" i="5" s="1"/>
  <c r="AU165" i="5"/>
  <c r="F135" i="30"/>
  <c r="C136" i="30"/>
  <c r="G135" i="30"/>
  <c r="E135" i="30"/>
  <c r="P135" i="30"/>
  <c r="J165" i="5" s="1"/>
  <c r="AV134" i="30"/>
  <c r="D127" i="31"/>
  <c r="C128" i="31"/>
  <c r="H134" i="30"/>
  <c r="D136" i="35" s="1"/>
  <c r="B137" i="35"/>
  <c r="L136" i="35"/>
  <c r="M136" i="35" s="1"/>
  <c r="E136" i="35"/>
  <c r="I136" i="35"/>
  <c r="D164" i="5" s="1"/>
  <c r="G136" i="35"/>
  <c r="F136" i="35"/>
  <c r="M123" i="39" l="1"/>
  <c r="L123" i="39"/>
  <c r="K124" i="39"/>
  <c r="AW156" i="5"/>
  <c r="D126" i="30"/>
  <c r="S126" i="30" s="1"/>
  <c r="N128" i="35" s="1"/>
  <c r="E156" i="5" s="1"/>
  <c r="B135" i="30"/>
  <c r="R136" i="30"/>
  <c r="V165" i="5"/>
  <c r="H135" i="30"/>
  <c r="D137" i="35" s="1"/>
  <c r="B138" i="35"/>
  <c r="H166" i="5" s="1"/>
  <c r="F137" i="35"/>
  <c r="L137" i="35"/>
  <c r="M137" i="35" s="1"/>
  <c r="E137" i="35"/>
  <c r="G137" i="35"/>
  <c r="I137" i="35"/>
  <c r="D165" i="5" s="1"/>
  <c r="I165" i="5"/>
  <c r="H165" i="5"/>
  <c r="A167" i="5"/>
  <c r="AI167" i="5" s="1"/>
  <c r="BD166" i="5"/>
  <c r="AZ166" i="5"/>
  <c r="N166" i="5"/>
  <c r="R166" i="5" s="1"/>
  <c r="S166" i="5" s="1"/>
  <c r="W166" i="5" s="1"/>
  <c r="U166" i="5"/>
  <c r="G166" i="5"/>
  <c r="AR166" i="5"/>
  <c r="AS166" i="5" s="1"/>
  <c r="AU166" i="5"/>
  <c r="AV166" i="5"/>
  <c r="AT166" i="5"/>
  <c r="AN166" i="5"/>
  <c r="AO166" i="5" s="1"/>
  <c r="AV135" i="30"/>
  <c r="F136" i="30"/>
  <c r="C137" i="30"/>
  <c r="G136" i="30"/>
  <c r="P136" i="30"/>
  <c r="J166" i="5" s="1"/>
  <c r="E136" i="30"/>
  <c r="BB165" i="5"/>
  <c r="BC165" i="5" s="1"/>
  <c r="BA165" i="5"/>
  <c r="V126" i="34"/>
  <c r="U126" i="34"/>
  <c r="W126" i="34" s="1"/>
  <c r="T127" i="34"/>
  <c r="D128" i="31"/>
  <c r="C129" i="31"/>
  <c r="C165" i="5"/>
  <c r="G165" i="5"/>
  <c r="T128" i="32"/>
  <c r="U127" i="32"/>
  <c r="V127" i="32"/>
  <c r="M124" i="39" l="1"/>
  <c r="L124" i="39"/>
  <c r="K125" i="39"/>
  <c r="B136" i="30"/>
  <c r="R137" i="30"/>
  <c r="V166" i="5"/>
  <c r="C166" i="5"/>
  <c r="I166" i="5"/>
  <c r="H136" i="30"/>
  <c r="D129" i="31"/>
  <c r="C130" i="31"/>
  <c r="W127" i="32"/>
  <c r="U128" i="32"/>
  <c r="W128" i="32" s="1"/>
  <c r="T129" i="32"/>
  <c r="V128" i="32"/>
  <c r="T128" i="34"/>
  <c r="V127" i="34"/>
  <c r="U127" i="34"/>
  <c r="W127" i="34" s="1"/>
  <c r="F137" i="30"/>
  <c r="C138" i="30"/>
  <c r="G137" i="30"/>
  <c r="E137" i="30"/>
  <c r="P137" i="30"/>
  <c r="J167" i="5" s="1"/>
  <c r="BB166" i="5"/>
  <c r="BC166" i="5" s="1"/>
  <c r="BA166" i="5"/>
  <c r="A168" i="5"/>
  <c r="AI168" i="5" s="1"/>
  <c r="AZ167" i="5"/>
  <c r="N167" i="5"/>
  <c r="R167" i="5" s="1"/>
  <c r="S167" i="5" s="1"/>
  <c r="W167" i="5" s="1"/>
  <c r="AR167" i="5"/>
  <c r="AS167" i="5" s="1"/>
  <c r="BD167" i="5"/>
  <c r="AT167" i="5"/>
  <c r="U167" i="5"/>
  <c r="AU167" i="5"/>
  <c r="AN167" i="5"/>
  <c r="AO167" i="5" s="1"/>
  <c r="AV167" i="5"/>
  <c r="AV136" i="30"/>
  <c r="B139" i="35"/>
  <c r="G167" i="5" s="1"/>
  <c r="I138" i="35"/>
  <c r="D166" i="5" s="1"/>
  <c r="F138" i="35"/>
  <c r="L138" i="35"/>
  <c r="M138" i="35" s="1"/>
  <c r="E138" i="35"/>
  <c r="D138" i="35"/>
  <c r="G138" i="35"/>
  <c r="R138" i="30" l="1"/>
  <c r="M125" i="39"/>
  <c r="L125" i="39"/>
  <c r="K126" i="39"/>
  <c r="AW158" i="5"/>
  <c r="D128" i="30"/>
  <c r="S128" i="30" s="1"/>
  <c r="N130" i="35" s="1"/>
  <c r="E158" i="5" s="1"/>
  <c r="B137" i="30"/>
  <c r="V167" i="5"/>
  <c r="H137" i="30"/>
  <c r="D139" i="35" s="1"/>
  <c r="C167" i="5"/>
  <c r="B140" i="35"/>
  <c r="C168" i="5" s="1"/>
  <c r="I139" i="35"/>
  <c r="D167" i="5" s="1"/>
  <c r="G139" i="35"/>
  <c r="E139" i="35"/>
  <c r="L139" i="35"/>
  <c r="M139" i="35" s="1"/>
  <c r="F139" i="35"/>
  <c r="BB167" i="5"/>
  <c r="BC167" i="5" s="1"/>
  <c r="BA167" i="5"/>
  <c r="A169" i="5"/>
  <c r="AI169" i="5" s="1"/>
  <c r="AZ168" i="5"/>
  <c r="N168" i="5"/>
  <c r="R168" i="5" s="1"/>
  <c r="S168" i="5" s="1"/>
  <c r="W168" i="5" s="1"/>
  <c r="AR168" i="5"/>
  <c r="AS168" i="5" s="1"/>
  <c r="U168" i="5"/>
  <c r="BD168" i="5"/>
  <c r="AV168" i="5"/>
  <c r="AT168" i="5"/>
  <c r="AU168" i="5"/>
  <c r="AN168" i="5"/>
  <c r="AO168" i="5" s="1"/>
  <c r="U129" i="32"/>
  <c r="AW159" i="5" s="1"/>
  <c r="T130" i="32"/>
  <c r="V129" i="32"/>
  <c r="H167" i="5"/>
  <c r="AV137" i="30"/>
  <c r="F138" i="30"/>
  <c r="C139" i="30"/>
  <c r="G138" i="30"/>
  <c r="P138" i="30"/>
  <c r="E138" i="30"/>
  <c r="D130" i="31"/>
  <c r="C131" i="31"/>
  <c r="I167" i="5"/>
  <c r="U128" i="34"/>
  <c r="W128" i="34" s="1"/>
  <c r="T129" i="34"/>
  <c r="V128" i="34"/>
  <c r="M126" i="39" l="1"/>
  <c r="L126" i="39"/>
  <c r="K127" i="39"/>
  <c r="R139" i="30"/>
  <c r="B138" i="30"/>
  <c r="V168" i="5"/>
  <c r="H168" i="5"/>
  <c r="I168" i="5"/>
  <c r="G168" i="5"/>
  <c r="V129" i="34"/>
  <c r="T130" i="34"/>
  <c r="U129" i="34"/>
  <c r="W129" i="34" s="1"/>
  <c r="W129" i="32"/>
  <c r="H138" i="30"/>
  <c r="D140" i="35" s="1"/>
  <c r="BB168" i="5"/>
  <c r="BC168" i="5" s="1"/>
  <c r="BA168" i="5"/>
  <c r="A170" i="5"/>
  <c r="AI170" i="5" s="1"/>
  <c r="AZ169" i="5"/>
  <c r="N169" i="5"/>
  <c r="R169" i="5" s="1"/>
  <c r="S169" i="5" s="1"/>
  <c r="W169" i="5" s="1"/>
  <c r="BD169" i="5"/>
  <c r="AR169" i="5"/>
  <c r="AS169" i="5" s="1"/>
  <c r="AT169" i="5"/>
  <c r="U169" i="5"/>
  <c r="AN169" i="5"/>
  <c r="AO169" i="5" s="1"/>
  <c r="AU169" i="5"/>
  <c r="AV169" i="5"/>
  <c r="D131" i="31"/>
  <c r="C132" i="31"/>
  <c r="F139" i="30"/>
  <c r="C140" i="30"/>
  <c r="G139" i="30"/>
  <c r="E139" i="30"/>
  <c r="P139" i="30"/>
  <c r="U130" i="32"/>
  <c r="W130" i="32" s="1"/>
  <c r="T131" i="32"/>
  <c r="V130" i="32"/>
  <c r="AV138" i="30"/>
  <c r="J168" i="5"/>
  <c r="B141" i="35"/>
  <c r="C169" i="5" s="1"/>
  <c r="L140" i="35"/>
  <c r="M140" i="35" s="1"/>
  <c r="E140" i="35"/>
  <c r="I140" i="35"/>
  <c r="D168" i="5" s="1"/>
  <c r="G140" i="35"/>
  <c r="F140" i="35"/>
  <c r="M127" i="39" l="1"/>
  <c r="L127" i="39"/>
  <c r="K128" i="39"/>
  <c r="AW160" i="5"/>
  <c r="B139" i="30"/>
  <c r="R140" i="30"/>
  <c r="V169" i="5"/>
  <c r="H139" i="30"/>
  <c r="D141" i="35" s="1"/>
  <c r="G169" i="5"/>
  <c r="A171" i="5"/>
  <c r="AI171" i="5" s="1"/>
  <c r="N170" i="5"/>
  <c r="R170" i="5" s="1"/>
  <c r="S170" i="5" s="1"/>
  <c r="W170" i="5" s="1"/>
  <c r="AZ170" i="5"/>
  <c r="U170" i="5"/>
  <c r="AR170" i="5"/>
  <c r="AS170" i="5" s="1"/>
  <c r="BD170" i="5"/>
  <c r="AT170" i="5"/>
  <c r="AU170" i="5"/>
  <c r="AV170" i="5"/>
  <c r="AN170" i="5"/>
  <c r="AO170" i="5" s="1"/>
  <c r="B142" i="35"/>
  <c r="F141" i="35"/>
  <c r="L141" i="35"/>
  <c r="M141" i="35" s="1"/>
  <c r="E141" i="35"/>
  <c r="G141" i="35"/>
  <c r="I141" i="35"/>
  <c r="D169" i="5" s="1"/>
  <c r="U131" i="32"/>
  <c r="D131" i="30" s="1"/>
  <c r="S131" i="30" s="1"/>
  <c r="N133" i="35" s="1"/>
  <c r="E161" i="5" s="1"/>
  <c r="T132" i="32"/>
  <c r="V131" i="32"/>
  <c r="AV139" i="30"/>
  <c r="F140" i="30"/>
  <c r="C141" i="30"/>
  <c r="G140" i="30"/>
  <c r="P140" i="30"/>
  <c r="E140" i="30"/>
  <c r="BB169" i="5"/>
  <c r="BC169" i="5" s="1"/>
  <c r="BA169" i="5"/>
  <c r="J169" i="5"/>
  <c r="T131" i="34"/>
  <c r="V130" i="34"/>
  <c r="U130" i="34"/>
  <c r="W130" i="34" s="1"/>
  <c r="D132" i="31"/>
  <c r="C133" i="31"/>
  <c r="I169" i="5"/>
  <c r="H169" i="5"/>
  <c r="M128" i="39" l="1"/>
  <c r="L128" i="39"/>
  <c r="K129" i="39"/>
  <c r="B140" i="30"/>
  <c r="R141" i="30"/>
  <c r="V170" i="5"/>
  <c r="H140" i="30"/>
  <c r="D142" i="35" s="1"/>
  <c r="F141" i="30"/>
  <c r="C142" i="30"/>
  <c r="G141" i="30"/>
  <c r="E141" i="30"/>
  <c r="P141" i="30"/>
  <c r="J171" i="5" s="1"/>
  <c r="U132" i="32"/>
  <c r="W132" i="32" s="1"/>
  <c r="T133" i="32"/>
  <c r="V132" i="32"/>
  <c r="H170" i="5"/>
  <c r="AV140" i="30"/>
  <c r="W131" i="32"/>
  <c r="C170" i="5"/>
  <c r="J170" i="5"/>
  <c r="BB170" i="5"/>
  <c r="BC170" i="5" s="1"/>
  <c r="BA170" i="5"/>
  <c r="A172" i="5"/>
  <c r="AI172" i="5" s="1"/>
  <c r="AZ171" i="5"/>
  <c r="N171" i="5"/>
  <c r="R171" i="5" s="1"/>
  <c r="S171" i="5" s="1"/>
  <c r="W171" i="5" s="1"/>
  <c r="BD171" i="5"/>
  <c r="AT171" i="5"/>
  <c r="AV171" i="5"/>
  <c r="AU171" i="5"/>
  <c r="AN171" i="5"/>
  <c r="AO171" i="5" s="1"/>
  <c r="AR171" i="5"/>
  <c r="AS171" i="5" s="1"/>
  <c r="U171" i="5"/>
  <c r="B143" i="35"/>
  <c r="I142" i="35"/>
  <c r="D170" i="5" s="1"/>
  <c r="F142" i="35"/>
  <c r="L142" i="35"/>
  <c r="M142" i="35" s="1"/>
  <c r="E142" i="35"/>
  <c r="G142" i="35"/>
  <c r="G170" i="5"/>
  <c r="D133" i="31"/>
  <c r="C134" i="31"/>
  <c r="T132" i="34"/>
  <c r="V131" i="34"/>
  <c r="U131" i="34"/>
  <c r="W131" i="34" s="1"/>
  <c r="I170" i="5"/>
  <c r="B141" i="30" l="1"/>
  <c r="AW162" i="5"/>
  <c r="M129" i="39"/>
  <c r="L129" i="39"/>
  <c r="K130" i="39"/>
  <c r="D132" i="30"/>
  <c r="S132" i="30" s="1"/>
  <c r="N134" i="35" s="1"/>
  <c r="E162" i="5" s="1"/>
  <c r="R142" i="30"/>
  <c r="V171" i="5"/>
  <c r="V132" i="34"/>
  <c r="U132" i="34"/>
  <c r="W132" i="34" s="1"/>
  <c r="T133" i="34"/>
  <c r="G171" i="5"/>
  <c r="I171" i="5"/>
  <c r="BB171" i="5"/>
  <c r="BC171" i="5" s="1"/>
  <c r="BA171" i="5"/>
  <c r="A173" i="5"/>
  <c r="AI173" i="5" s="1"/>
  <c r="AZ172" i="5"/>
  <c r="N172" i="5"/>
  <c r="R172" i="5" s="1"/>
  <c r="S172" i="5" s="1"/>
  <c r="W172" i="5" s="1"/>
  <c r="BD172" i="5"/>
  <c r="AT172" i="5"/>
  <c r="U172" i="5"/>
  <c r="AR172" i="5"/>
  <c r="AS172" i="5" s="1"/>
  <c r="AU172" i="5"/>
  <c r="AV172" i="5"/>
  <c r="AN172" i="5"/>
  <c r="AO172" i="5" s="1"/>
  <c r="U133" i="32"/>
  <c r="D133" i="30" s="1"/>
  <c r="S133" i="30" s="1"/>
  <c r="N135" i="35" s="1"/>
  <c r="E163" i="5" s="1"/>
  <c r="T134" i="32"/>
  <c r="V133" i="32"/>
  <c r="AV141" i="30"/>
  <c r="F142" i="30"/>
  <c r="C143" i="30"/>
  <c r="G142" i="30"/>
  <c r="P142" i="30"/>
  <c r="E142" i="30"/>
  <c r="D134" i="31"/>
  <c r="C135" i="31"/>
  <c r="C171" i="5"/>
  <c r="H141" i="30"/>
  <c r="D143" i="35" s="1"/>
  <c r="B144" i="35"/>
  <c r="G172" i="5" s="1"/>
  <c r="I143" i="35"/>
  <c r="D171" i="5" s="1"/>
  <c r="G143" i="35"/>
  <c r="F143" i="35"/>
  <c r="L143" i="35"/>
  <c r="M143" i="35" s="1"/>
  <c r="E143" i="35"/>
  <c r="H171" i="5"/>
  <c r="AW163" i="5" l="1"/>
  <c r="M130" i="39"/>
  <c r="L130" i="39"/>
  <c r="K131" i="39"/>
  <c r="B142" i="30"/>
  <c r="R143" i="30"/>
  <c r="V172" i="5"/>
  <c r="F143" i="30"/>
  <c r="C144" i="30"/>
  <c r="G143" i="30"/>
  <c r="E143" i="30"/>
  <c r="P143" i="30"/>
  <c r="J173" i="5" s="1"/>
  <c r="AV142" i="30"/>
  <c r="J172" i="5"/>
  <c r="D135" i="31"/>
  <c r="C136" i="31"/>
  <c r="H142" i="30"/>
  <c r="D144" i="35" s="1"/>
  <c r="U134" i="32"/>
  <c r="AW164" i="5" s="1"/>
  <c r="T135" i="32"/>
  <c r="V134" i="32"/>
  <c r="BB172" i="5"/>
  <c r="BC172" i="5" s="1"/>
  <c r="BA172" i="5"/>
  <c r="A174" i="5"/>
  <c r="AI174" i="5" s="1"/>
  <c r="AZ173" i="5"/>
  <c r="N173" i="5"/>
  <c r="R173" i="5" s="1"/>
  <c r="S173" i="5" s="1"/>
  <c r="W173" i="5" s="1"/>
  <c r="AR173" i="5"/>
  <c r="AS173" i="5" s="1"/>
  <c r="U173" i="5"/>
  <c r="AV173" i="5"/>
  <c r="BD173" i="5"/>
  <c r="AT173" i="5"/>
  <c r="AU173" i="5"/>
  <c r="AN173" i="5"/>
  <c r="AO173" i="5" s="1"/>
  <c r="B145" i="35"/>
  <c r="L144" i="35"/>
  <c r="M144" i="35" s="1"/>
  <c r="E144" i="35"/>
  <c r="I144" i="35"/>
  <c r="D172" i="5" s="1"/>
  <c r="G144" i="35"/>
  <c r="F144" i="35"/>
  <c r="W133" i="32"/>
  <c r="I172" i="5"/>
  <c r="C172" i="5"/>
  <c r="H172" i="5"/>
  <c r="T134" i="34"/>
  <c r="V133" i="34"/>
  <c r="U133" i="34"/>
  <c r="W133" i="34" s="1"/>
  <c r="R144" i="30" l="1"/>
  <c r="M131" i="39"/>
  <c r="L131" i="39"/>
  <c r="K132" i="39"/>
  <c r="B143" i="30"/>
  <c r="V173" i="5"/>
  <c r="V134" i="34"/>
  <c r="T135" i="34"/>
  <c r="U134" i="34"/>
  <c r="W134" i="34" s="1"/>
  <c r="A175" i="5"/>
  <c r="AI175" i="5" s="1"/>
  <c r="N174" i="5"/>
  <c r="R174" i="5" s="1"/>
  <c r="S174" i="5" s="1"/>
  <c r="W174" i="5" s="1"/>
  <c r="AZ174" i="5"/>
  <c r="U174" i="5"/>
  <c r="AR174" i="5"/>
  <c r="AS174" i="5" s="1"/>
  <c r="AU174" i="5"/>
  <c r="BD174" i="5"/>
  <c r="AV174" i="5"/>
  <c r="AN174" i="5"/>
  <c r="AO174" i="5" s="1"/>
  <c r="AT174" i="5"/>
  <c r="U135" i="32"/>
  <c r="W135" i="32" s="1"/>
  <c r="T136" i="32"/>
  <c r="V135" i="32"/>
  <c r="AV143" i="30"/>
  <c r="F144" i="30"/>
  <c r="C145" i="30"/>
  <c r="G144" i="30"/>
  <c r="P144" i="30"/>
  <c r="E144" i="30"/>
  <c r="B146" i="35"/>
  <c r="H174" i="5" s="1"/>
  <c r="F145" i="35"/>
  <c r="L145" i="35"/>
  <c r="M145" i="35" s="1"/>
  <c r="E145" i="35"/>
  <c r="G145" i="35"/>
  <c r="I145" i="35"/>
  <c r="D173" i="5" s="1"/>
  <c r="H173" i="5"/>
  <c r="I173" i="5"/>
  <c r="G173" i="5"/>
  <c r="BB173" i="5"/>
  <c r="BC173" i="5" s="1"/>
  <c r="BA173" i="5"/>
  <c r="W134" i="32"/>
  <c r="D136" i="31"/>
  <c r="C137" i="31"/>
  <c r="H143" i="30"/>
  <c r="D145" i="35" s="1"/>
  <c r="C173" i="5"/>
  <c r="B144" i="30" l="1"/>
  <c r="D135" i="30"/>
  <c r="S135" i="30" s="1"/>
  <c r="N137" i="35" s="1"/>
  <c r="E165" i="5" s="1"/>
  <c r="AW165" i="5"/>
  <c r="M132" i="39"/>
  <c r="L132" i="39"/>
  <c r="K133" i="39"/>
  <c r="R145" i="30"/>
  <c r="V174" i="5"/>
  <c r="AV144" i="30"/>
  <c r="D137" i="31"/>
  <c r="C138" i="31"/>
  <c r="H144" i="30"/>
  <c r="G174" i="5"/>
  <c r="J174" i="5"/>
  <c r="B147" i="35"/>
  <c r="I175" i="5" s="1"/>
  <c r="I146" i="35"/>
  <c r="D174" i="5" s="1"/>
  <c r="F146" i="35"/>
  <c r="L146" i="35"/>
  <c r="M146" i="35" s="1"/>
  <c r="E146" i="35"/>
  <c r="G146" i="35"/>
  <c r="I174" i="5"/>
  <c r="F145" i="30"/>
  <c r="C146" i="30"/>
  <c r="G145" i="30"/>
  <c r="E145" i="30"/>
  <c r="P145" i="30"/>
  <c r="J175" i="5" s="1"/>
  <c r="U136" i="32"/>
  <c r="AW166" i="5" s="1"/>
  <c r="T137" i="32"/>
  <c r="V136" i="32"/>
  <c r="C174" i="5"/>
  <c r="BB174" i="5"/>
  <c r="BC174" i="5" s="1"/>
  <c r="BA174" i="5"/>
  <c r="A176" i="5"/>
  <c r="AI176" i="5" s="1"/>
  <c r="AZ175" i="5"/>
  <c r="N175" i="5"/>
  <c r="R175" i="5" s="1"/>
  <c r="S175" i="5" s="1"/>
  <c r="W175" i="5" s="1"/>
  <c r="BD175" i="5"/>
  <c r="U175" i="5"/>
  <c r="AU175" i="5"/>
  <c r="AV175" i="5"/>
  <c r="AR175" i="5"/>
  <c r="AS175" i="5" s="1"/>
  <c r="AN175" i="5"/>
  <c r="AO175" i="5" s="1"/>
  <c r="AT175" i="5"/>
  <c r="U135" i="34"/>
  <c r="W135" i="34" s="1"/>
  <c r="T136" i="34"/>
  <c r="V135" i="34"/>
  <c r="M133" i="39" l="1"/>
  <c r="L133" i="39"/>
  <c r="K134" i="39"/>
  <c r="B145" i="30"/>
  <c r="R146" i="30"/>
  <c r="V175" i="5"/>
  <c r="C175" i="5"/>
  <c r="G175" i="5"/>
  <c r="H175" i="5"/>
  <c r="U137" i="32"/>
  <c r="AW167" i="5" s="1"/>
  <c r="T138" i="32"/>
  <c r="V137" i="32"/>
  <c r="D138" i="31"/>
  <c r="C139" i="31"/>
  <c r="T137" i="34"/>
  <c r="U136" i="34"/>
  <c r="W136" i="34" s="1"/>
  <c r="V136" i="34"/>
  <c r="BB175" i="5"/>
  <c r="BC175" i="5" s="1"/>
  <c r="BA175" i="5"/>
  <c r="A177" i="5"/>
  <c r="AI177" i="5" s="1"/>
  <c r="AZ176" i="5"/>
  <c r="N176" i="5"/>
  <c r="R176" i="5" s="1"/>
  <c r="S176" i="5" s="1"/>
  <c r="W176" i="5" s="1"/>
  <c r="AR176" i="5"/>
  <c r="AS176" i="5" s="1"/>
  <c r="U176" i="5"/>
  <c r="AT176" i="5"/>
  <c r="AU176" i="5"/>
  <c r="AN176" i="5"/>
  <c r="AO176" i="5" s="1"/>
  <c r="BD176" i="5"/>
  <c r="AV176" i="5"/>
  <c r="W136" i="32"/>
  <c r="AV145" i="30"/>
  <c r="F146" i="30"/>
  <c r="C147" i="30"/>
  <c r="G146" i="30"/>
  <c r="P146" i="30"/>
  <c r="E146" i="30"/>
  <c r="D146" i="35"/>
  <c r="B148" i="35"/>
  <c r="I147" i="35"/>
  <c r="D175" i="5" s="1"/>
  <c r="G147" i="35"/>
  <c r="E147" i="35"/>
  <c r="L147" i="35"/>
  <c r="M147" i="35" s="1"/>
  <c r="F147" i="35"/>
  <c r="H145" i="30"/>
  <c r="D147" i="35" s="1"/>
  <c r="M134" i="39" l="1"/>
  <c r="L134" i="39"/>
  <c r="K135" i="39"/>
  <c r="D137" i="30"/>
  <c r="S137" i="30" s="1"/>
  <c r="N139" i="35" s="1"/>
  <c r="E167" i="5" s="1"/>
  <c r="R147" i="30"/>
  <c r="B146" i="30"/>
  <c r="V176" i="5"/>
  <c r="AV146" i="30"/>
  <c r="G176" i="5"/>
  <c r="D139" i="31"/>
  <c r="C140" i="31"/>
  <c r="F147" i="30"/>
  <c r="C148" i="30"/>
  <c r="G147" i="30"/>
  <c r="E147" i="30"/>
  <c r="P147" i="30"/>
  <c r="C176" i="5"/>
  <c r="T138" i="34"/>
  <c r="U137" i="34"/>
  <c r="W137" i="34" s="1"/>
  <c r="V137" i="34"/>
  <c r="H146" i="30"/>
  <c r="J176" i="5"/>
  <c r="BB176" i="5"/>
  <c r="BC176" i="5" s="1"/>
  <c r="BA176" i="5"/>
  <c r="A178" i="5"/>
  <c r="AI178" i="5" s="1"/>
  <c r="AZ177" i="5"/>
  <c r="N177" i="5"/>
  <c r="R177" i="5" s="1"/>
  <c r="S177" i="5" s="1"/>
  <c r="W177" i="5" s="1"/>
  <c r="AR177" i="5"/>
  <c r="AS177" i="5" s="1"/>
  <c r="BD177" i="5"/>
  <c r="AT177" i="5"/>
  <c r="AV177" i="5"/>
  <c r="AU177" i="5"/>
  <c r="U177" i="5"/>
  <c r="AN177" i="5"/>
  <c r="AO177" i="5" s="1"/>
  <c r="U138" i="32"/>
  <c r="AW168" i="5" s="1"/>
  <c r="T139" i="32"/>
  <c r="V138" i="32"/>
  <c r="B149" i="35"/>
  <c r="C177" i="5" s="1"/>
  <c r="L148" i="35"/>
  <c r="M148" i="35" s="1"/>
  <c r="E148" i="35"/>
  <c r="I148" i="35"/>
  <c r="D176" i="5" s="1"/>
  <c r="G148" i="35"/>
  <c r="F148" i="35"/>
  <c r="D148" i="35"/>
  <c r="H176" i="5"/>
  <c r="I176" i="5"/>
  <c r="W137" i="32"/>
  <c r="R148" i="30" l="1"/>
  <c r="D138" i="30"/>
  <c r="S138" i="30" s="1"/>
  <c r="N140" i="35" s="1"/>
  <c r="E168" i="5" s="1"/>
  <c r="M135" i="39"/>
  <c r="L135" i="39"/>
  <c r="K136" i="39"/>
  <c r="B147" i="30"/>
  <c r="V177" i="5"/>
  <c r="H177" i="5"/>
  <c r="H147" i="30"/>
  <c r="AV147" i="30"/>
  <c r="F148" i="30"/>
  <c r="C149" i="30"/>
  <c r="G148" i="30"/>
  <c r="P148" i="30"/>
  <c r="J178" i="5" s="1"/>
  <c r="E148" i="30"/>
  <c r="D140" i="31"/>
  <c r="C141" i="31"/>
  <c r="W138" i="32"/>
  <c r="J177" i="5"/>
  <c r="BB177" i="5"/>
  <c r="BC177" i="5" s="1"/>
  <c r="BA177" i="5"/>
  <c r="U138" i="34"/>
  <c r="W138" i="34" s="1"/>
  <c r="T139" i="34"/>
  <c r="V138" i="34"/>
  <c r="B150" i="35"/>
  <c r="G178" i="5" s="1"/>
  <c r="F149" i="35"/>
  <c r="L149" i="35"/>
  <c r="M149" i="35" s="1"/>
  <c r="E149" i="35"/>
  <c r="G149" i="35"/>
  <c r="I149" i="35"/>
  <c r="D177" i="5" s="1"/>
  <c r="D149" i="35"/>
  <c r="U139" i="32"/>
  <c r="AW169" i="5" s="1"/>
  <c r="T140" i="32"/>
  <c r="V139" i="32"/>
  <c r="G177" i="5"/>
  <c r="I177" i="5"/>
  <c r="A179" i="5"/>
  <c r="AI179" i="5" s="1"/>
  <c r="N178" i="5"/>
  <c r="R178" i="5" s="1"/>
  <c r="S178" i="5" s="1"/>
  <c r="W178" i="5" s="1"/>
  <c r="AZ178" i="5"/>
  <c r="AR178" i="5"/>
  <c r="AS178" i="5" s="1"/>
  <c r="U178" i="5"/>
  <c r="AU178" i="5"/>
  <c r="AV178" i="5"/>
  <c r="BD178" i="5"/>
  <c r="AT178" i="5"/>
  <c r="AN178" i="5"/>
  <c r="AO178" i="5" s="1"/>
  <c r="B148" i="30" l="1"/>
  <c r="M136" i="39"/>
  <c r="L136" i="39"/>
  <c r="K137" i="39"/>
  <c r="R149" i="30"/>
  <c r="V178" i="5"/>
  <c r="H148" i="30"/>
  <c r="D150" i="35" s="1"/>
  <c r="BB178" i="5"/>
  <c r="BC178" i="5" s="1"/>
  <c r="BA178" i="5"/>
  <c r="A180" i="5"/>
  <c r="AI180" i="5" s="1"/>
  <c r="AZ179" i="5"/>
  <c r="N179" i="5"/>
  <c r="R179" i="5" s="1"/>
  <c r="S179" i="5" s="1"/>
  <c r="W179" i="5" s="1"/>
  <c r="BD179" i="5"/>
  <c r="AT179" i="5"/>
  <c r="AU179" i="5"/>
  <c r="AV179" i="5"/>
  <c r="AR179" i="5"/>
  <c r="AS179" i="5" s="1"/>
  <c r="U179" i="5"/>
  <c r="AN179" i="5"/>
  <c r="AO179" i="5" s="1"/>
  <c r="AV148" i="30"/>
  <c r="W139" i="32"/>
  <c r="B151" i="35"/>
  <c r="I150" i="35"/>
  <c r="D178" i="5" s="1"/>
  <c r="F150" i="35"/>
  <c r="L150" i="35"/>
  <c r="M150" i="35" s="1"/>
  <c r="E150" i="35"/>
  <c r="G150" i="35"/>
  <c r="D141" i="31"/>
  <c r="C142" i="31"/>
  <c r="E149" i="30"/>
  <c r="P149" i="30"/>
  <c r="F149" i="30"/>
  <c r="C150" i="30"/>
  <c r="G149" i="30"/>
  <c r="H178" i="5"/>
  <c r="I178" i="5"/>
  <c r="T140" i="34"/>
  <c r="U139" i="34"/>
  <c r="W139" i="34" s="1"/>
  <c r="V139" i="34"/>
  <c r="C178" i="5"/>
  <c r="U140" i="32"/>
  <c r="D140" i="30" s="1"/>
  <c r="S140" i="30" s="1"/>
  <c r="N142" i="35" s="1"/>
  <c r="E170" i="5" s="1"/>
  <c r="T141" i="32"/>
  <c r="V140" i="32"/>
  <c r="AW170" i="5" l="1"/>
  <c r="M137" i="39"/>
  <c r="L137" i="39"/>
  <c r="K138" i="39"/>
  <c r="B149" i="30"/>
  <c r="R150" i="30"/>
  <c r="V179" i="5"/>
  <c r="H149" i="30"/>
  <c r="D151" i="35" s="1"/>
  <c r="B152" i="35"/>
  <c r="C180" i="5" s="1"/>
  <c r="I151" i="35"/>
  <c r="D179" i="5" s="1"/>
  <c r="G151" i="35"/>
  <c r="F151" i="35"/>
  <c r="E151" i="35"/>
  <c r="L151" i="35"/>
  <c r="M151" i="35" s="1"/>
  <c r="G179" i="5"/>
  <c r="W140" i="32"/>
  <c r="AV149" i="30"/>
  <c r="C179" i="5"/>
  <c r="BB179" i="5"/>
  <c r="BC179" i="5" s="1"/>
  <c r="BA179" i="5"/>
  <c r="P150" i="30"/>
  <c r="J180" i="5" s="1"/>
  <c r="E150" i="30"/>
  <c r="F150" i="30"/>
  <c r="C151" i="30"/>
  <c r="G150" i="30"/>
  <c r="D142" i="31"/>
  <c r="C143" i="31"/>
  <c r="J179" i="5"/>
  <c r="H179" i="5"/>
  <c r="U140" i="34"/>
  <c r="W140" i="34" s="1"/>
  <c r="T141" i="34"/>
  <c r="V140" i="34"/>
  <c r="U141" i="32"/>
  <c r="AW171" i="5" s="1"/>
  <c r="T142" i="32"/>
  <c r="V141" i="32"/>
  <c r="I179" i="5"/>
  <c r="A181" i="5"/>
  <c r="AI181" i="5" s="1"/>
  <c r="AZ180" i="5"/>
  <c r="N180" i="5"/>
  <c r="R180" i="5" s="1"/>
  <c r="S180" i="5" s="1"/>
  <c r="W180" i="5" s="1"/>
  <c r="BD180" i="5"/>
  <c r="AT180" i="5"/>
  <c r="U180" i="5"/>
  <c r="AU180" i="5"/>
  <c r="AV180" i="5"/>
  <c r="AR180" i="5"/>
  <c r="AS180" i="5" s="1"/>
  <c r="AN180" i="5"/>
  <c r="AO180" i="5" s="1"/>
  <c r="B150" i="30" l="1"/>
  <c r="D141" i="30"/>
  <c r="S141" i="30" s="1"/>
  <c r="N143" i="35" s="1"/>
  <c r="E171" i="5" s="1"/>
  <c r="M138" i="39"/>
  <c r="L138" i="39"/>
  <c r="K139" i="39"/>
  <c r="R151" i="30"/>
  <c r="V180" i="5"/>
  <c r="G180" i="5"/>
  <c r="I180" i="5"/>
  <c r="H180" i="5"/>
  <c r="BB180" i="5"/>
  <c r="BC180" i="5" s="1"/>
  <c r="BA180" i="5"/>
  <c r="U142" i="32"/>
  <c r="W142" i="32" s="1"/>
  <c r="T143" i="32"/>
  <c r="V142" i="32"/>
  <c r="V141" i="34"/>
  <c r="U141" i="34"/>
  <c r="W141" i="34" s="1"/>
  <c r="T142" i="34"/>
  <c r="D143" i="31"/>
  <c r="C144" i="31"/>
  <c r="P151" i="30"/>
  <c r="J181" i="5" s="1"/>
  <c r="E151" i="30"/>
  <c r="F151" i="30"/>
  <c r="C152" i="30"/>
  <c r="G151" i="30"/>
  <c r="B153" i="35"/>
  <c r="G181" i="5" s="1"/>
  <c r="L152" i="35"/>
  <c r="M152" i="35" s="1"/>
  <c r="E152" i="35"/>
  <c r="I152" i="35"/>
  <c r="D180" i="5" s="1"/>
  <c r="G152" i="35"/>
  <c r="F152" i="35"/>
  <c r="W141" i="32"/>
  <c r="H150" i="30"/>
  <c r="D152" i="35" s="1"/>
  <c r="A182" i="5"/>
  <c r="AI182" i="5" s="1"/>
  <c r="AZ181" i="5"/>
  <c r="N181" i="5"/>
  <c r="R181" i="5" s="1"/>
  <c r="S181" i="5" s="1"/>
  <c r="W181" i="5" s="1"/>
  <c r="BD181" i="5"/>
  <c r="AR181" i="5"/>
  <c r="AS181" i="5" s="1"/>
  <c r="AU181" i="5"/>
  <c r="U181" i="5"/>
  <c r="AT181" i="5"/>
  <c r="AN181" i="5"/>
  <c r="AO181" i="5" s="1"/>
  <c r="AV181" i="5"/>
  <c r="AV150" i="30"/>
  <c r="H181" i="5" l="1"/>
  <c r="C181" i="5"/>
  <c r="M139" i="39"/>
  <c r="L139" i="39"/>
  <c r="K140" i="39"/>
  <c r="D142" i="30"/>
  <c r="S142" i="30" s="1"/>
  <c r="N144" i="35" s="1"/>
  <c r="E172" i="5" s="1"/>
  <c r="AW172" i="5"/>
  <c r="B151" i="30"/>
  <c r="R152" i="30"/>
  <c r="V181" i="5"/>
  <c r="I181" i="5"/>
  <c r="H151" i="30"/>
  <c r="D153" i="35" s="1"/>
  <c r="BB181" i="5"/>
  <c r="BC181" i="5" s="1"/>
  <c r="BA181" i="5"/>
  <c r="D144" i="31"/>
  <c r="C145" i="31"/>
  <c r="AV151" i="30"/>
  <c r="P152" i="30"/>
  <c r="J182" i="5" s="1"/>
  <c r="E152" i="30"/>
  <c r="F152" i="30"/>
  <c r="C153" i="30"/>
  <c r="G152" i="30"/>
  <c r="T143" i="34"/>
  <c r="U142" i="34"/>
  <c r="W142" i="34" s="1"/>
  <c r="V142" i="34"/>
  <c r="A183" i="5"/>
  <c r="AI183" i="5" s="1"/>
  <c r="AZ182" i="5"/>
  <c r="N182" i="5"/>
  <c r="R182" i="5" s="1"/>
  <c r="S182" i="5" s="1"/>
  <c r="W182" i="5" s="1"/>
  <c r="AT182" i="5"/>
  <c r="U182" i="5"/>
  <c r="AR182" i="5"/>
  <c r="AS182" i="5" s="1"/>
  <c r="AV182" i="5"/>
  <c r="BD182" i="5"/>
  <c r="AN182" i="5"/>
  <c r="AO182" i="5" s="1"/>
  <c r="AU182" i="5"/>
  <c r="B154" i="35"/>
  <c r="I182" i="5" s="1"/>
  <c r="F153" i="35"/>
  <c r="L153" i="35"/>
  <c r="M153" i="35" s="1"/>
  <c r="E153" i="35"/>
  <c r="I153" i="35"/>
  <c r="D181" i="5" s="1"/>
  <c r="G153" i="35"/>
  <c r="U143" i="32"/>
  <c r="D143" i="30" s="1"/>
  <c r="S143" i="30" s="1"/>
  <c r="N145" i="35" s="1"/>
  <c r="E173" i="5" s="1"/>
  <c r="T144" i="32"/>
  <c r="V143" i="32"/>
  <c r="B152" i="30" l="1"/>
  <c r="M140" i="39"/>
  <c r="L140" i="39"/>
  <c r="K141" i="39"/>
  <c r="R153" i="30"/>
  <c r="V182" i="5"/>
  <c r="H182" i="5"/>
  <c r="G182" i="5"/>
  <c r="A184" i="5"/>
  <c r="AI184" i="5" s="1"/>
  <c r="AZ183" i="5"/>
  <c r="N183" i="5"/>
  <c r="R183" i="5" s="1"/>
  <c r="S183" i="5" s="1"/>
  <c r="W183" i="5" s="1"/>
  <c r="BD183" i="5"/>
  <c r="AU183" i="5"/>
  <c r="AT183" i="5"/>
  <c r="U183" i="5"/>
  <c r="AV183" i="5"/>
  <c r="AN183" i="5"/>
  <c r="AO183" i="5" s="1"/>
  <c r="AR183" i="5"/>
  <c r="AS183" i="5" s="1"/>
  <c r="U143" i="34"/>
  <c r="W143" i="34" s="1"/>
  <c r="T144" i="34"/>
  <c r="V143" i="34"/>
  <c r="T145" i="32"/>
  <c r="U144" i="32"/>
  <c r="W144" i="32" s="1"/>
  <c r="V144" i="32"/>
  <c r="BB182" i="5"/>
  <c r="BC182" i="5" s="1"/>
  <c r="BA182" i="5"/>
  <c r="H152" i="30"/>
  <c r="D154" i="35" s="1"/>
  <c r="B155" i="35"/>
  <c r="I154" i="35"/>
  <c r="D182" i="5" s="1"/>
  <c r="F154" i="35"/>
  <c r="L154" i="35"/>
  <c r="M154" i="35" s="1"/>
  <c r="E154" i="35"/>
  <c r="G154" i="35"/>
  <c r="C182" i="5"/>
  <c r="AV152" i="30"/>
  <c r="W143" i="32"/>
  <c r="P153" i="30"/>
  <c r="E153" i="30"/>
  <c r="F153" i="30"/>
  <c r="C154" i="30"/>
  <c r="G153" i="30"/>
  <c r="D145" i="31"/>
  <c r="C146" i="31"/>
  <c r="M141" i="39" l="1"/>
  <c r="L141" i="39"/>
  <c r="K142" i="39"/>
  <c r="D144" i="30"/>
  <c r="S144" i="30" s="1"/>
  <c r="N146" i="35" s="1"/>
  <c r="E174" i="5" s="1"/>
  <c r="B153" i="30"/>
  <c r="R154" i="30"/>
  <c r="V183" i="5"/>
  <c r="AV153" i="30"/>
  <c r="B156" i="35"/>
  <c r="G184" i="5" s="1"/>
  <c r="I155" i="35"/>
  <c r="D183" i="5" s="1"/>
  <c r="G155" i="35"/>
  <c r="E155" i="35"/>
  <c r="L155" i="35"/>
  <c r="M155" i="35" s="1"/>
  <c r="F155" i="35"/>
  <c r="C14" i="21"/>
  <c r="C13" i="21"/>
  <c r="C10" i="21"/>
  <c r="I10" i="21" s="1"/>
  <c r="C12" i="21"/>
  <c r="C17" i="21"/>
  <c r="C15" i="21"/>
  <c r="C11" i="21"/>
  <c r="C16" i="21"/>
  <c r="J183" i="5"/>
  <c r="BB183" i="5"/>
  <c r="BC183" i="5" s="1"/>
  <c r="BA183" i="5"/>
  <c r="V144" i="34"/>
  <c r="U144" i="34"/>
  <c r="W144" i="34" s="1"/>
  <c r="T145" i="34"/>
  <c r="G183" i="5"/>
  <c r="P154" i="30"/>
  <c r="J184" i="5" s="1"/>
  <c r="E154" i="30"/>
  <c r="F154" i="30"/>
  <c r="C155" i="30"/>
  <c r="G154" i="30"/>
  <c r="H183" i="5"/>
  <c r="A185" i="5"/>
  <c r="AI185" i="5" s="1"/>
  <c r="AZ184" i="5"/>
  <c r="N184" i="5"/>
  <c r="R184" i="5" s="1"/>
  <c r="S184" i="5" s="1"/>
  <c r="W184" i="5" s="1"/>
  <c r="AR184" i="5"/>
  <c r="AS184" i="5" s="1"/>
  <c r="AT184" i="5"/>
  <c r="BD184" i="5"/>
  <c r="AU184" i="5"/>
  <c r="AV184" i="5"/>
  <c r="U184" i="5"/>
  <c r="AN184" i="5"/>
  <c r="AO184" i="5" s="1"/>
  <c r="D146" i="31"/>
  <c r="C147" i="31"/>
  <c r="H153" i="30"/>
  <c r="U145" i="32"/>
  <c r="W145" i="32" s="1"/>
  <c r="T146" i="32"/>
  <c r="V145" i="32"/>
  <c r="I183" i="5"/>
  <c r="C183" i="5"/>
  <c r="M142" i="39" l="1"/>
  <c r="L142" i="39"/>
  <c r="K143" i="39"/>
  <c r="AW175" i="5"/>
  <c r="D145" i="30"/>
  <c r="S145" i="30" s="1"/>
  <c r="N147" i="35" s="1"/>
  <c r="E175" i="5" s="1"/>
  <c r="I11" i="21"/>
  <c r="J11" i="21" s="1"/>
  <c r="M11" i="21" s="1"/>
  <c r="I16" i="21"/>
  <c r="J16" i="21" s="1"/>
  <c r="M16" i="21" s="1"/>
  <c r="R155" i="30"/>
  <c r="B154" i="30"/>
  <c r="I15" i="21"/>
  <c r="J15" i="21" s="1"/>
  <c r="M15" i="21" s="1"/>
  <c r="I12" i="21"/>
  <c r="J12" i="21" s="1"/>
  <c r="M12" i="21" s="1"/>
  <c r="I13" i="21"/>
  <c r="J13" i="21" s="1"/>
  <c r="M13" i="21" s="1"/>
  <c r="I17" i="21"/>
  <c r="J17" i="21" s="1"/>
  <c r="M17" i="21" s="1"/>
  <c r="I14" i="21"/>
  <c r="J14" i="21" s="1"/>
  <c r="M14" i="21" s="1"/>
  <c r="V184" i="5"/>
  <c r="I184" i="5"/>
  <c r="H184" i="5"/>
  <c r="C184" i="5"/>
  <c r="BB184" i="5"/>
  <c r="BC184" i="5" s="1"/>
  <c r="BA184" i="5"/>
  <c r="H154" i="30"/>
  <c r="D156" i="35" s="1"/>
  <c r="T146" i="34"/>
  <c r="U145" i="34"/>
  <c r="W145" i="34" s="1"/>
  <c r="V145" i="34"/>
  <c r="B16" i="21"/>
  <c r="U146" i="32"/>
  <c r="W146" i="32" s="1"/>
  <c r="T147" i="32"/>
  <c r="V146" i="32"/>
  <c r="AV154" i="30"/>
  <c r="B17" i="21"/>
  <c r="B18" i="21"/>
  <c r="B14" i="21"/>
  <c r="D147" i="31"/>
  <c r="C148" i="31"/>
  <c r="A186" i="5"/>
  <c r="AI186" i="5" s="1"/>
  <c r="AZ185" i="5"/>
  <c r="N185" i="5"/>
  <c r="R185" i="5" s="1"/>
  <c r="S185" i="5" s="1"/>
  <c r="W185" i="5" s="1"/>
  <c r="AR185" i="5"/>
  <c r="AS185" i="5" s="1"/>
  <c r="BD185" i="5"/>
  <c r="AN185" i="5"/>
  <c r="AO185" i="5" s="1"/>
  <c r="U185" i="5"/>
  <c r="AT185" i="5"/>
  <c r="AU185" i="5"/>
  <c r="AV185" i="5"/>
  <c r="P155" i="30"/>
  <c r="J185" i="5" s="1"/>
  <c r="E155" i="30"/>
  <c r="F155" i="30"/>
  <c r="C156" i="30"/>
  <c r="G155" i="30"/>
  <c r="B12" i="21"/>
  <c r="B13" i="21"/>
  <c r="B15" i="21"/>
  <c r="B157" i="35"/>
  <c r="I185" i="5" s="1"/>
  <c r="L156" i="35"/>
  <c r="M156" i="35" s="1"/>
  <c r="E156" i="35"/>
  <c r="I156" i="35"/>
  <c r="D184" i="5" s="1"/>
  <c r="G156" i="35"/>
  <c r="F156" i="35"/>
  <c r="B11" i="21"/>
  <c r="J10" i="21"/>
  <c r="M10" i="21" s="1"/>
  <c r="AP163" i="5"/>
  <c r="AQ163" i="5" s="1"/>
  <c r="AP166" i="5"/>
  <c r="AQ166" i="5" s="1"/>
  <c r="D155" i="35"/>
  <c r="AW176" i="5" l="1"/>
  <c r="D146" i="30"/>
  <c r="S146" i="30" s="1"/>
  <c r="N148" i="35" s="1"/>
  <c r="E176" i="5" s="1"/>
  <c r="M143" i="39"/>
  <c r="L143" i="39"/>
  <c r="K144" i="39"/>
  <c r="R156" i="30"/>
  <c r="B155" i="30"/>
  <c r="AD48" i="5"/>
  <c r="X48" i="5" s="1"/>
  <c r="AD45" i="5"/>
  <c r="X45" i="5" s="1"/>
  <c r="V185" i="5"/>
  <c r="AD46" i="5"/>
  <c r="X46" i="5" s="1"/>
  <c r="AB45" i="5"/>
  <c r="AB46" i="5"/>
  <c r="AG45" i="5"/>
  <c r="AG46" i="5"/>
  <c r="AD47" i="5"/>
  <c r="X47" i="5" s="1"/>
  <c r="AG47" i="5"/>
  <c r="AB47" i="5"/>
  <c r="AB48" i="5"/>
  <c r="AG48" i="5"/>
  <c r="AD49" i="5"/>
  <c r="X49" i="5" s="1"/>
  <c r="AB49" i="5"/>
  <c r="AG49" i="5"/>
  <c r="AD50" i="5"/>
  <c r="X50" i="5" s="1"/>
  <c r="AB50" i="5"/>
  <c r="AG50" i="5"/>
  <c r="AG51" i="5"/>
  <c r="AB51" i="5"/>
  <c r="AD51" i="5"/>
  <c r="X51" i="5" s="1"/>
  <c r="AB52" i="5"/>
  <c r="AG52" i="5"/>
  <c r="AD52" i="5"/>
  <c r="X52" i="5" s="1"/>
  <c r="AD53" i="5"/>
  <c r="X53" i="5" s="1"/>
  <c r="AG53" i="5"/>
  <c r="AB53" i="5"/>
  <c r="AD54" i="5"/>
  <c r="X54" i="5" s="1"/>
  <c r="AG54" i="5"/>
  <c r="AB54" i="5"/>
  <c r="AG55" i="5"/>
  <c r="AD55" i="5"/>
  <c r="X55" i="5" s="1"/>
  <c r="AB55" i="5"/>
  <c r="AD56" i="5"/>
  <c r="X56" i="5" s="1"/>
  <c r="AG56" i="5"/>
  <c r="AB56" i="5"/>
  <c r="AD57" i="5"/>
  <c r="X57" i="5" s="1"/>
  <c r="AG57" i="5"/>
  <c r="AB57" i="5"/>
  <c r="AD58" i="5"/>
  <c r="X58" i="5" s="1"/>
  <c r="AG58" i="5"/>
  <c r="AB58" i="5"/>
  <c r="AB59" i="5"/>
  <c r="AD59" i="5"/>
  <c r="X59" i="5" s="1"/>
  <c r="AG59" i="5"/>
  <c r="AD60" i="5"/>
  <c r="X60" i="5" s="1"/>
  <c r="AB60" i="5"/>
  <c r="AG60" i="5"/>
  <c r="AD61" i="5"/>
  <c r="X61" i="5" s="1"/>
  <c r="AB61" i="5"/>
  <c r="AG61" i="5"/>
  <c r="AG62" i="5"/>
  <c r="AD62" i="5"/>
  <c r="X62" i="5" s="1"/>
  <c r="AB62" i="5"/>
  <c r="AD63" i="5"/>
  <c r="X63" i="5" s="1"/>
  <c r="AB63" i="5"/>
  <c r="AG63" i="5"/>
  <c r="AD64" i="5"/>
  <c r="X64" i="5" s="1"/>
  <c r="AB64" i="5"/>
  <c r="AG64" i="5"/>
  <c r="AB65" i="5"/>
  <c r="AG65" i="5"/>
  <c r="AD65" i="5"/>
  <c r="X65" i="5" s="1"/>
  <c r="AD66" i="5"/>
  <c r="X66" i="5" s="1"/>
  <c r="AG66" i="5"/>
  <c r="AB66" i="5"/>
  <c r="AG67" i="5"/>
  <c r="AB67" i="5"/>
  <c r="AD67" i="5"/>
  <c r="X67" i="5" s="1"/>
  <c r="AG68" i="5"/>
  <c r="AD68" i="5"/>
  <c r="X68" i="5" s="1"/>
  <c r="AB68" i="5"/>
  <c r="AG69" i="5"/>
  <c r="AD69" i="5"/>
  <c r="X69" i="5" s="1"/>
  <c r="AB69" i="5"/>
  <c r="AD70" i="5"/>
  <c r="X70" i="5" s="1"/>
  <c r="AB70" i="5"/>
  <c r="AG70" i="5"/>
  <c r="AG71" i="5"/>
  <c r="AD71" i="5"/>
  <c r="X71" i="5" s="1"/>
  <c r="AB71" i="5"/>
  <c r="AD72" i="5"/>
  <c r="X72" i="5" s="1"/>
  <c r="AB72" i="5"/>
  <c r="AG72" i="5"/>
  <c r="AD73" i="5"/>
  <c r="X73" i="5" s="1"/>
  <c r="AB73" i="5"/>
  <c r="AG73" i="5"/>
  <c r="AG74" i="5"/>
  <c r="AD74" i="5"/>
  <c r="X74" i="5" s="1"/>
  <c r="AB74" i="5"/>
  <c r="AG75" i="5"/>
  <c r="AB75" i="5"/>
  <c r="AD75" i="5"/>
  <c r="X75" i="5" s="1"/>
  <c r="AB76" i="5"/>
  <c r="AD76" i="5"/>
  <c r="X76" i="5" s="1"/>
  <c r="AG76" i="5"/>
  <c r="AG77" i="5"/>
  <c r="AD77" i="5"/>
  <c r="X77" i="5" s="1"/>
  <c r="AB77" i="5"/>
  <c r="AD78" i="5"/>
  <c r="X78" i="5" s="1"/>
  <c r="AB78" i="5"/>
  <c r="AG78" i="5"/>
  <c r="AB79" i="5"/>
  <c r="AD79" i="5"/>
  <c r="X79" i="5" s="1"/>
  <c r="AG79" i="5"/>
  <c r="AD80" i="5"/>
  <c r="X80" i="5" s="1"/>
  <c r="AB80" i="5"/>
  <c r="AG80" i="5"/>
  <c r="AD81" i="5"/>
  <c r="X81" i="5" s="1"/>
  <c r="AB81" i="5"/>
  <c r="AG81" i="5"/>
  <c r="AB82" i="5"/>
  <c r="AD82" i="5"/>
  <c r="X82" i="5" s="1"/>
  <c r="AG82" i="5"/>
  <c r="AD83" i="5"/>
  <c r="X83" i="5" s="1"/>
  <c r="AB83" i="5"/>
  <c r="AG83" i="5"/>
  <c r="AG84" i="5"/>
  <c r="AD84" i="5"/>
  <c r="X84" i="5" s="1"/>
  <c r="AB84" i="5"/>
  <c r="AB85" i="5"/>
  <c r="AD85" i="5"/>
  <c r="X85" i="5" s="1"/>
  <c r="AG85" i="5"/>
  <c r="AB86" i="5"/>
  <c r="AD86" i="5"/>
  <c r="X86" i="5" s="1"/>
  <c r="AG86" i="5"/>
  <c r="AD87" i="5"/>
  <c r="X87" i="5" s="1"/>
  <c r="AG87" i="5"/>
  <c r="AB87" i="5"/>
  <c r="AD88" i="5"/>
  <c r="X88" i="5" s="1"/>
  <c r="AB88" i="5"/>
  <c r="AG88" i="5"/>
  <c r="AG89" i="5"/>
  <c r="AB89" i="5"/>
  <c r="AD89" i="5"/>
  <c r="X89" i="5" s="1"/>
  <c r="AD90" i="5"/>
  <c r="X90" i="5" s="1"/>
  <c r="AB90" i="5"/>
  <c r="AG90" i="5"/>
  <c r="AB91" i="5"/>
  <c r="AG91" i="5"/>
  <c r="AD91" i="5"/>
  <c r="X91" i="5" s="1"/>
  <c r="AD92" i="5"/>
  <c r="X92" i="5" s="1"/>
  <c r="AG92" i="5"/>
  <c r="AB92" i="5"/>
  <c r="AD93" i="5"/>
  <c r="X93" i="5" s="1"/>
  <c r="AB93" i="5"/>
  <c r="AG93" i="5"/>
  <c r="AD94" i="5"/>
  <c r="X94" i="5" s="1"/>
  <c r="AG94" i="5"/>
  <c r="AB94" i="5"/>
  <c r="AD95" i="5"/>
  <c r="X95" i="5" s="1"/>
  <c r="AB95" i="5"/>
  <c r="AG95" i="5"/>
  <c r="AG96" i="5"/>
  <c r="AD96" i="5"/>
  <c r="X96" i="5" s="1"/>
  <c r="AB96" i="5"/>
  <c r="AD97" i="5"/>
  <c r="X97" i="5" s="1"/>
  <c r="AB97" i="5"/>
  <c r="AG97" i="5"/>
  <c r="AG98" i="5"/>
  <c r="AD98" i="5"/>
  <c r="X98" i="5" s="1"/>
  <c r="AB98" i="5"/>
  <c r="AD99" i="5"/>
  <c r="X99" i="5" s="1"/>
  <c r="AB99" i="5"/>
  <c r="AG99" i="5"/>
  <c r="AD100" i="5"/>
  <c r="X100" i="5" s="1"/>
  <c r="AB100" i="5"/>
  <c r="AG100" i="5"/>
  <c r="AB101" i="5"/>
  <c r="AD101" i="5"/>
  <c r="X101" i="5" s="1"/>
  <c r="AG101" i="5"/>
  <c r="AB102" i="5"/>
  <c r="AD102" i="5"/>
  <c r="X102" i="5" s="1"/>
  <c r="AG102" i="5"/>
  <c r="AB103" i="5"/>
  <c r="AG103" i="5"/>
  <c r="AD103" i="5"/>
  <c r="X103" i="5" s="1"/>
  <c r="AD104" i="5"/>
  <c r="X104" i="5" s="1"/>
  <c r="AB104" i="5"/>
  <c r="AG104" i="5"/>
  <c r="AD105" i="5"/>
  <c r="X105" i="5" s="1"/>
  <c r="AG105" i="5"/>
  <c r="AB105" i="5"/>
  <c r="AB106" i="5"/>
  <c r="AD106" i="5"/>
  <c r="X106" i="5" s="1"/>
  <c r="AG106" i="5"/>
  <c r="AD107" i="5"/>
  <c r="X107" i="5" s="1"/>
  <c r="AG107" i="5"/>
  <c r="AB107" i="5"/>
  <c r="AB108" i="5"/>
  <c r="AD108" i="5"/>
  <c r="X108" i="5" s="1"/>
  <c r="AG108" i="5"/>
  <c r="AD109" i="5"/>
  <c r="X109" i="5" s="1"/>
  <c r="AG109" i="5"/>
  <c r="AB109" i="5"/>
  <c r="AB110" i="5"/>
  <c r="AG110" i="5"/>
  <c r="AD110" i="5"/>
  <c r="X110" i="5" s="1"/>
  <c r="AD111" i="5"/>
  <c r="X111" i="5" s="1"/>
  <c r="AB111" i="5"/>
  <c r="AG111" i="5"/>
  <c r="AD112" i="5"/>
  <c r="X112" i="5" s="1"/>
  <c r="AG112" i="5"/>
  <c r="AB112" i="5"/>
  <c r="AD113" i="5"/>
  <c r="X113" i="5" s="1"/>
  <c r="AB113" i="5"/>
  <c r="AG113" i="5"/>
  <c r="AB114" i="5"/>
  <c r="AD114" i="5"/>
  <c r="X114" i="5" s="1"/>
  <c r="AG114" i="5"/>
  <c r="AD115" i="5"/>
  <c r="X115" i="5" s="1"/>
  <c r="AB115" i="5"/>
  <c r="AG115" i="5"/>
  <c r="AB116" i="5"/>
  <c r="AD116" i="5"/>
  <c r="X116" i="5" s="1"/>
  <c r="AG116" i="5"/>
  <c r="AD117" i="5"/>
  <c r="X117" i="5" s="1"/>
  <c r="AG117" i="5"/>
  <c r="AB117" i="5"/>
  <c r="AD118" i="5"/>
  <c r="X118" i="5" s="1"/>
  <c r="AG118" i="5"/>
  <c r="AB118" i="5"/>
  <c r="AG119" i="5"/>
  <c r="AD119" i="5"/>
  <c r="X119" i="5" s="1"/>
  <c r="AB119" i="5"/>
  <c r="AG120" i="5"/>
  <c r="AD120" i="5"/>
  <c r="X120" i="5" s="1"/>
  <c r="AB120" i="5"/>
  <c r="AG121" i="5"/>
  <c r="AB121" i="5"/>
  <c r="AD121" i="5"/>
  <c r="X121" i="5" s="1"/>
  <c r="AG122" i="5"/>
  <c r="AD122" i="5"/>
  <c r="X122" i="5" s="1"/>
  <c r="AB122" i="5"/>
  <c r="AG123" i="5"/>
  <c r="AB123" i="5"/>
  <c r="AD123" i="5"/>
  <c r="X123" i="5" s="1"/>
  <c r="AD124" i="5"/>
  <c r="X124" i="5" s="1"/>
  <c r="AG124" i="5"/>
  <c r="AB124" i="5"/>
  <c r="AB125" i="5"/>
  <c r="AG125" i="5"/>
  <c r="AD125" i="5"/>
  <c r="X125" i="5" s="1"/>
  <c r="AG126" i="5"/>
  <c r="AD126" i="5"/>
  <c r="X126" i="5" s="1"/>
  <c r="AB126" i="5"/>
  <c r="AG127" i="5"/>
  <c r="AD127" i="5"/>
  <c r="X127" i="5" s="1"/>
  <c r="AB127" i="5"/>
  <c r="AD128" i="5"/>
  <c r="X128" i="5" s="1"/>
  <c r="AB128" i="5"/>
  <c r="AG128" i="5"/>
  <c r="AB129" i="5"/>
  <c r="AD129" i="5"/>
  <c r="X129" i="5" s="1"/>
  <c r="AG129" i="5"/>
  <c r="AG130" i="5"/>
  <c r="AB130" i="5"/>
  <c r="AD130" i="5"/>
  <c r="X130" i="5" s="1"/>
  <c r="AD131" i="5"/>
  <c r="X131" i="5" s="1"/>
  <c r="AG131" i="5"/>
  <c r="AB131" i="5"/>
  <c r="AD132" i="5"/>
  <c r="X132" i="5" s="1"/>
  <c r="AB132" i="5"/>
  <c r="AG132" i="5"/>
  <c r="AG133" i="5"/>
  <c r="AB133" i="5"/>
  <c r="AD133" i="5"/>
  <c r="X133" i="5" s="1"/>
  <c r="AG134" i="5"/>
  <c r="AD134" i="5"/>
  <c r="X134" i="5" s="1"/>
  <c r="AB134" i="5"/>
  <c r="AG135" i="5"/>
  <c r="AD135" i="5"/>
  <c r="X135" i="5" s="1"/>
  <c r="AB135" i="5"/>
  <c r="AD136" i="5"/>
  <c r="X136" i="5" s="1"/>
  <c r="AG136" i="5"/>
  <c r="AB136" i="5"/>
  <c r="AD137" i="5"/>
  <c r="X137" i="5" s="1"/>
  <c r="AG137" i="5"/>
  <c r="AB137" i="5"/>
  <c r="AB138" i="5"/>
  <c r="AD138" i="5"/>
  <c r="X138" i="5" s="1"/>
  <c r="AG138" i="5"/>
  <c r="AG139" i="5"/>
  <c r="AD139" i="5"/>
  <c r="X139" i="5" s="1"/>
  <c r="AB139" i="5"/>
  <c r="AG140" i="5"/>
  <c r="AD140" i="5"/>
  <c r="X140" i="5" s="1"/>
  <c r="AB140" i="5"/>
  <c r="AB141" i="5"/>
  <c r="AD141" i="5"/>
  <c r="X141" i="5" s="1"/>
  <c r="AG141" i="5"/>
  <c r="AB142" i="5"/>
  <c r="AD142" i="5"/>
  <c r="X142" i="5" s="1"/>
  <c r="AG142" i="5"/>
  <c r="AD143" i="5"/>
  <c r="X143" i="5" s="1"/>
  <c r="AG143" i="5"/>
  <c r="AB143" i="5"/>
  <c r="AG144" i="5"/>
  <c r="AB144" i="5"/>
  <c r="AD144" i="5"/>
  <c r="X144" i="5" s="1"/>
  <c r="AG145" i="5"/>
  <c r="AD145" i="5"/>
  <c r="X145" i="5" s="1"/>
  <c r="AB145" i="5"/>
  <c r="AG146" i="5"/>
  <c r="AD146" i="5"/>
  <c r="X146" i="5" s="1"/>
  <c r="AB146" i="5"/>
  <c r="AB147" i="5"/>
  <c r="AD147" i="5"/>
  <c r="X147" i="5" s="1"/>
  <c r="AG147" i="5"/>
  <c r="AG148" i="5"/>
  <c r="AD148" i="5"/>
  <c r="X148" i="5" s="1"/>
  <c r="AB148" i="5"/>
  <c r="AD149" i="5"/>
  <c r="X149" i="5" s="1"/>
  <c r="AG149" i="5"/>
  <c r="AB149" i="5"/>
  <c r="AG150" i="5"/>
  <c r="AD150" i="5"/>
  <c r="X150" i="5" s="1"/>
  <c r="AB150" i="5"/>
  <c r="AD151" i="5"/>
  <c r="X151" i="5" s="1"/>
  <c r="AG151" i="5"/>
  <c r="AB151" i="5"/>
  <c r="AD152" i="5"/>
  <c r="X152" i="5" s="1"/>
  <c r="AB152" i="5"/>
  <c r="AG152" i="5"/>
  <c r="AG153" i="5"/>
  <c r="AD153" i="5"/>
  <c r="X153" i="5" s="1"/>
  <c r="AB153" i="5"/>
  <c r="AB154" i="5"/>
  <c r="AD154" i="5"/>
  <c r="X154" i="5" s="1"/>
  <c r="AG154" i="5"/>
  <c r="AB155" i="5"/>
  <c r="AG155" i="5"/>
  <c r="AD155" i="5"/>
  <c r="X155" i="5" s="1"/>
  <c r="AD156" i="5"/>
  <c r="X156" i="5" s="1"/>
  <c r="AG156" i="5"/>
  <c r="AB156" i="5"/>
  <c r="AD157" i="5"/>
  <c r="X157" i="5" s="1"/>
  <c r="AG157" i="5"/>
  <c r="AB157" i="5"/>
  <c r="AG158" i="5"/>
  <c r="AB158" i="5"/>
  <c r="AD158" i="5"/>
  <c r="X158" i="5" s="1"/>
  <c r="AG159" i="5"/>
  <c r="AB159" i="5"/>
  <c r="AD159" i="5"/>
  <c r="X159" i="5" s="1"/>
  <c r="AD160" i="5"/>
  <c r="X160" i="5" s="1"/>
  <c r="AB160" i="5"/>
  <c r="AG160" i="5"/>
  <c r="AG161" i="5"/>
  <c r="AD161" i="5"/>
  <c r="X161" i="5" s="1"/>
  <c r="AB161" i="5"/>
  <c r="AB162" i="5"/>
  <c r="AD162" i="5"/>
  <c r="X162" i="5" s="1"/>
  <c r="AG162" i="5"/>
  <c r="AG163" i="5"/>
  <c r="AD163" i="5"/>
  <c r="X163" i="5" s="1"/>
  <c r="AB163" i="5"/>
  <c r="AD164" i="5"/>
  <c r="X164" i="5" s="1"/>
  <c r="AB164" i="5"/>
  <c r="AG164" i="5"/>
  <c r="AB165" i="5"/>
  <c r="AD165" i="5"/>
  <c r="X165" i="5" s="1"/>
  <c r="AG165" i="5"/>
  <c r="AG166" i="5"/>
  <c r="AB166" i="5"/>
  <c r="AD166" i="5"/>
  <c r="X166" i="5" s="1"/>
  <c r="AB167" i="5"/>
  <c r="AG167" i="5"/>
  <c r="AD167" i="5"/>
  <c r="X167" i="5" s="1"/>
  <c r="P156" i="30"/>
  <c r="J186" i="5" s="1"/>
  <c r="E156" i="30"/>
  <c r="F156" i="30"/>
  <c r="C157" i="30"/>
  <c r="G156" i="30"/>
  <c r="BB185" i="5"/>
  <c r="BC185" i="5" s="1"/>
  <c r="BA185" i="5"/>
  <c r="G185" i="5"/>
  <c r="A187" i="5"/>
  <c r="AI187" i="5" s="1"/>
  <c r="BD186" i="5"/>
  <c r="AZ186" i="5"/>
  <c r="N186" i="5"/>
  <c r="R186" i="5" s="1"/>
  <c r="S186" i="5" s="1"/>
  <c r="W186" i="5" s="1"/>
  <c r="U186" i="5"/>
  <c r="AR186" i="5"/>
  <c r="AS186" i="5" s="1"/>
  <c r="AU186" i="5"/>
  <c r="AT186" i="5"/>
  <c r="AV186" i="5"/>
  <c r="AN186" i="5"/>
  <c r="AO186" i="5" s="1"/>
  <c r="V146" i="34"/>
  <c r="T147" i="34"/>
  <c r="U146" i="34"/>
  <c r="W146" i="34" s="1"/>
  <c r="H155" i="30"/>
  <c r="D157" i="35" s="1"/>
  <c r="N10" i="21"/>
  <c r="N11" i="21" s="1"/>
  <c r="N12" i="21" s="1"/>
  <c r="N13" i="21" s="1"/>
  <c r="N14" i="21" s="1"/>
  <c r="N15" i="21" s="1"/>
  <c r="N16" i="21" s="1"/>
  <c r="N17" i="21" s="1"/>
  <c r="B158" i="35"/>
  <c r="F157" i="35"/>
  <c r="L157" i="35"/>
  <c r="M157" i="35" s="1"/>
  <c r="E157" i="35"/>
  <c r="I157" i="35"/>
  <c r="D185" i="5" s="1"/>
  <c r="G157" i="35"/>
  <c r="AV155" i="30"/>
  <c r="H185" i="5"/>
  <c r="C185" i="5"/>
  <c r="D148" i="31"/>
  <c r="C149" i="31"/>
  <c r="U147" i="32"/>
  <c r="D147" i="30" s="1"/>
  <c r="S147" i="30" s="1"/>
  <c r="N149" i="35" s="1"/>
  <c r="E177" i="5" s="1"/>
  <c r="T148" i="32"/>
  <c r="V147" i="32"/>
  <c r="M144" i="39" l="1"/>
  <c r="L144" i="39"/>
  <c r="K145" i="39"/>
  <c r="B156" i="30"/>
  <c r="R157" i="30"/>
  <c r="V186" i="5"/>
  <c r="AC25" i="2"/>
  <c r="C186" i="5"/>
  <c r="AV156" i="30"/>
  <c r="U148" i="32"/>
  <c r="W148" i="32" s="1"/>
  <c r="T149" i="32"/>
  <c r="V148" i="32"/>
  <c r="W147" i="32"/>
  <c r="G186" i="5"/>
  <c r="P157" i="30"/>
  <c r="J187" i="5" s="1"/>
  <c r="E157" i="30"/>
  <c r="F157" i="30"/>
  <c r="C158" i="30"/>
  <c r="G157" i="30"/>
  <c r="D149" i="31"/>
  <c r="C150" i="31"/>
  <c r="B159" i="35"/>
  <c r="C187" i="5" s="1"/>
  <c r="I158" i="35"/>
  <c r="D186" i="5" s="1"/>
  <c r="F158" i="35"/>
  <c r="L158" i="35"/>
  <c r="M158" i="35" s="1"/>
  <c r="E158" i="35"/>
  <c r="G158" i="35"/>
  <c r="U147" i="34"/>
  <c r="W147" i="34" s="1"/>
  <c r="T148" i="34"/>
  <c r="V147" i="34"/>
  <c r="I186" i="5"/>
  <c r="H186" i="5"/>
  <c r="BB186" i="5"/>
  <c r="BC186" i="5" s="1"/>
  <c r="BA186" i="5"/>
  <c r="AE45" i="5"/>
  <c r="AE46" i="5" s="1"/>
  <c r="AE47" i="5" s="1"/>
  <c r="AE48" i="5" s="1"/>
  <c r="AE49" i="5" s="1"/>
  <c r="AE50" i="5" s="1"/>
  <c r="AE51" i="5" s="1"/>
  <c r="AE52" i="5" s="1"/>
  <c r="AE53" i="5" s="1"/>
  <c r="AE54" i="5" s="1"/>
  <c r="A188" i="5"/>
  <c r="AI188" i="5" s="1"/>
  <c r="N187" i="5"/>
  <c r="R187" i="5" s="1"/>
  <c r="S187" i="5" s="1"/>
  <c r="W187" i="5" s="1"/>
  <c r="AZ187" i="5"/>
  <c r="AR187" i="5"/>
  <c r="AS187" i="5" s="1"/>
  <c r="AU187" i="5"/>
  <c r="U187" i="5"/>
  <c r="AV187" i="5"/>
  <c r="BD187" i="5"/>
  <c r="AT187" i="5"/>
  <c r="AN187" i="5"/>
  <c r="AO187" i="5" s="1"/>
  <c r="H156" i="30"/>
  <c r="D158" i="35" s="1"/>
  <c r="G187" i="5" l="1"/>
  <c r="D148" i="30"/>
  <c r="S148" i="30" s="1"/>
  <c r="N150" i="35" s="1"/>
  <c r="E178" i="5" s="1"/>
  <c r="M145" i="39"/>
  <c r="L145" i="39"/>
  <c r="K146" i="39"/>
  <c r="B157" i="30"/>
  <c r="R158" i="30"/>
  <c r="H187" i="5"/>
  <c r="I187" i="5"/>
  <c r="V187" i="5"/>
  <c r="H157" i="30"/>
  <c r="D159" i="35" s="1"/>
  <c r="D150" i="31"/>
  <c r="C151" i="31"/>
  <c r="A189" i="5"/>
  <c r="AI189" i="5" s="1"/>
  <c r="AZ188" i="5"/>
  <c r="N188" i="5"/>
  <c r="R188" i="5" s="1"/>
  <c r="S188" i="5" s="1"/>
  <c r="W188" i="5" s="1"/>
  <c r="BD188" i="5"/>
  <c r="AU188" i="5"/>
  <c r="U188" i="5"/>
  <c r="AT188" i="5"/>
  <c r="AV188" i="5"/>
  <c r="AR188" i="5"/>
  <c r="AS188" i="5" s="1"/>
  <c r="AN188" i="5"/>
  <c r="AO188" i="5" s="1"/>
  <c r="AE55" i="5"/>
  <c r="AE56" i="5" s="1"/>
  <c r="AE57" i="5" s="1"/>
  <c r="AE58" i="5" s="1"/>
  <c r="AE59" i="5" s="1"/>
  <c r="AE60" i="5" s="1"/>
  <c r="AE61" i="5" s="1"/>
  <c r="AE62" i="5" s="1"/>
  <c r="AE63" i="5" s="1"/>
  <c r="AE64" i="5" s="1"/>
  <c r="AE65" i="5" s="1"/>
  <c r="AE66" i="5" s="1"/>
  <c r="AE67" i="5" s="1"/>
  <c r="AE68" i="5" s="1"/>
  <c r="AE69" i="5" s="1"/>
  <c r="AE70" i="5" s="1"/>
  <c r="AE71" i="5" s="1"/>
  <c r="AE72" i="5" s="1"/>
  <c r="AE73" i="5" s="1"/>
  <c r="AE74" i="5" s="1"/>
  <c r="AE75" i="5" s="1"/>
  <c r="AE76" i="5" s="1"/>
  <c r="AE77" i="5" s="1"/>
  <c r="AE78" i="5" s="1"/>
  <c r="AE79" i="5" s="1"/>
  <c r="AE80" i="5" s="1"/>
  <c r="AE81" i="5" s="1"/>
  <c r="AE82" i="5" s="1"/>
  <c r="AE83" i="5" s="1"/>
  <c r="AE84" i="5" s="1"/>
  <c r="AE85" i="5" s="1"/>
  <c r="AE86" i="5" s="1"/>
  <c r="AE87" i="5" s="1"/>
  <c r="AE88" i="5" s="1"/>
  <c r="AE89" i="5" s="1"/>
  <c r="AE90" i="5" s="1"/>
  <c r="AE91" i="5" s="1"/>
  <c r="AE92" i="5" s="1"/>
  <c r="AE93" i="5" s="1"/>
  <c r="AE94" i="5" s="1"/>
  <c r="AE95" i="5" s="1"/>
  <c r="AE96" i="5" s="1"/>
  <c r="AE97" i="5" s="1"/>
  <c r="AE98" i="5" s="1"/>
  <c r="AE99" i="5" s="1"/>
  <c r="AE100" i="5" s="1"/>
  <c r="AE101" i="5" s="1"/>
  <c r="AE102" i="5" s="1"/>
  <c r="AE103" i="5" s="1"/>
  <c r="AE104" i="5" s="1"/>
  <c r="AE105" i="5" s="1"/>
  <c r="AE106" i="5" s="1"/>
  <c r="AE107" i="5" s="1"/>
  <c r="AE108" i="5" s="1"/>
  <c r="AE109" i="5" s="1"/>
  <c r="AE110" i="5" s="1"/>
  <c r="AE111" i="5" s="1"/>
  <c r="AE112" i="5" s="1"/>
  <c r="AE113" i="5" s="1"/>
  <c r="AE114" i="5" s="1"/>
  <c r="AE115" i="5" s="1"/>
  <c r="AE116" i="5" s="1"/>
  <c r="AE117" i="5" s="1"/>
  <c r="AE118" i="5" s="1"/>
  <c r="AE119" i="5" s="1"/>
  <c r="AE120" i="5" s="1"/>
  <c r="AE121" i="5" s="1"/>
  <c r="AE122" i="5" s="1"/>
  <c r="AE123" i="5" s="1"/>
  <c r="AE124" i="5" s="1"/>
  <c r="AE125" i="5" s="1"/>
  <c r="AE126" i="5" s="1"/>
  <c r="AE127" i="5" s="1"/>
  <c r="AE128" i="5" s="1"/>
  <c r="AE129" i="5" s="1"/>
  <c r="AE130" i="5" s="1"/>
  <c r="AE131" i="5" s="1"/>
  <c r="AE132" i="5" s="1"/>
  <c r="AE133" i="5" s="1"/>
  <c r="AE134" i="5" s="1"/>
  <c r="AE135" i="5" s="1"/>
  <c r="AE136" i="5" s="1"/>
  <c r="AE137" i="5" s="1"/>
  <c r="AE138" i="5" s="1"/>
  <c r="AE139" i="5" s="1"/>
  <c r="AE140" i="5" s="1"/>
  <c r="AE141" i="5" s="1"/>
  <c r="AE142" i="5" s="1"/>
  <c r="AE143" i="5" s="1"/>
  <c r="AE144" i="5" s="1"/>
  <c r="AE145" i="5" s="1"/>
  <c r="AE146" i="5" s="1"/>
  <c r="AE147" i="5" s="1"/>
  <c r="AE148" i="5" s="1"/>
  <c r="AE149" i="5" s="1"/>
  <c r="AE150" i="5" s="1"/>
  <c r="AE151" i="5" s="1"/>
  <c r="AE152" i="5" s="1"/>
  <c r="AE153" i="5" s="1"/>
  <c r="AE154" i="5" s="1"/>
  <c r="AE155" i="5" s="1"/>
  <c r="AE156" i="5" s="1"/>
  <c r="AE157" i="5" s="1"/>
  <c r="AE158" i="5" s="1"/>
  <c r="AE159" i="5" s="1"/>
  <c r="AE160" i="5" s="1"/>
  <c r="AE161" i="5" s="1"/>
  <c r="AE162" i="5" s="1"/>
  <c r="AE163" i="5" s="1"/>
  <c r="AE164" i="5" s="1"/>
  <c r="AE165" i="5" s="1"/>
  <c r="AE166" i="5" s="1"/>
  <c r="AE167" i="5" s="1"/>
  <c r="BB187" i="5"/>
  <c r="BC187" i="5" s="1"/>
  <c r="BA187" i="5"/>
  <c r="T149" i="34"/>
  <c r="U148" i="34"/>
  <c r="W148" i="34" s="1"/>
  <c r="V148" i="34"/>
  <c r="B160" i="35"/>
  <c r="I159" i="35"/>
  <c r="D187" i="5" s="1"/>
  <c r="G159" i="35"/>
  <c r="F159" i="35"/>
  <c r="L159" i="35"/>
  <c r="M159" i="35" s="1"/>
  <c r="E159" i="35"/>
  <c r="AV157" i="30"/>
  <c r="U149" i="32"/>
  <c r="T150" i="32"/>
  <c r="V149" i="32"/>
  <c r="AK45" i="5"/>
  <c r="AK46" i="5" s="1"/>
  <c r="AK47" i="5" s="1"/>
  <c r="AK48" i="5" s="1"/>
  <c r="AK49" i="5" s="1"/>
  <c r="AK50" i="5" s="1"/>
  <c r="AK51" i="5" s="1"/>
  <c r="AK52" i="5" s="1"/>
  <c r="AK53" i="5" s="1"/>
  <c r="AK54" i="5" s="1"/>
  <c r="P158" i="30"/>
  <c r="J188" i="5" s="1"/>
  <c r="E158" i="30"/>
  <c r="F158" i="30"/>
  <c r="C159" i="30"/>
  <c r="G158" i="30"/>
  <c r="M146" i="39" l="1"/>
  <c r="L146" i="39"/>
  <c r="K147" i="39"/>
  <c r="B158" i="30"/>
  <c r="R159" i="30"/>
  <c r="V188" i="5"/>
  <c r="V24" i="2"/>
  <c r="H158" i="30"/>
  <c r="D160" i="35" s="1"/>
  <c r="W149" i="32"/>
  <c r="H188" i="5"/>
  <c r="A190" i="5"/>
  <c r="AI190" i="5" s="1"/>
  <c r="N189" i="5"/>
  <c r="R189" i="5" s="1"/>
  <c r="S189" i="5" s="1"/>
  <c r="W189" i="5" s="1"/>
  <c r="BD189" i="5"/>
  <c r="AT189" i="5"/>
  <c r="AZ189" i="5"/>
  <c r="AU189" i="5"/>
  <c r="AR189" i="5"/>
  <c r="AS189" i="5" s="1"/>
  <c r="AV189" i="5"/>
  <c r="U189" i="5"/>
  <c r="AN189" i="5"/>
  <c r="AO189" i="5" s="1"/>
  <c r="C188" i="5"/>
  <c r="BB188" i="5"/>
  <c r="BC188" i="5" s="1"/>
  <c r="BA188" i="5"/>
  <c r="B161" i="35"/>
  <c r="I189" i="5" s="1"/>
  <c r="L160" i="35"/>
  <c r="M160" i="35" s="1"/>
  <c r="E160" i="35"/>
  <c r="I160" i="35"/>
  <c r="D188" i="5" s="1"/>
  <c r="G160" i="35"/>
  <c r="F160" i="35"/>
  <c r="V149" i="34"/>
  <c r="U149" i="34"/>
  <c r="W149" i="34" s="1"/>
  <c r="T150" i="34"/>
  <c r="I188" i="5"/>
  <c r="D151" i="31"/>
  <c r="C152" i="31"/>
  <c r="P159" i="30"/>
  <c r="E159" i="30"/>
  <c r="F159" i="30"/>
  <c r="C160" i="30"/>
  <c r="G159" i="30"/>
  <c r="AK55" i="5"/>
  <c r="AK56" i="5" s="1"/>
  <c r="AK57" i="5" s="1"/>
  <c r="AK58" i="5" s="1"/>
  <c r="AK59" i="5" s="1"/>
  <c r="AK60" i="5" s="1"/>
  <c r="AK61" i="5" s="1"/>
  <c r="AK62" i="5" s="1"/>
  <c r="AK63" i="5" s="1"/>
  <c r="AK64" i="5" s="1"/>
  <c r="AK65" i="5" s="1"/>
  <c r="AK66" i="5" s="1"/>
  <c r="AK67" i="5" s="1"/>
  <c r="AK68" i="5" s="1"/>
  <c r="AK69" i="5" s="1"/>
  <c r="AK70" i="5" s="1"/>
  <c r="AK71" i="5" s="1"/>
  <c r="AK72" i="5" s="1"/>
  <c r="AK73" i="5" s="1"/>
  <c r="AK74" i="5" s="1"/>
  <c r="AK75" i="5" s="1"/>
  <c r="AK76" i="5" s="1"/>
  <c r="AK77" i="5" s="1"/>
  <c r="AK78" i="5" s="1"/>
  <c r="AK79" i="5" s="1"/>
  <c r="AK80" i="5" s="1"/>
  <c r="AK81" i="5" s="1"/>
  <c r="AK82" i="5" s="1"/>
  <c r="AK83" i="5" s="1"/>
  <c r="AK84" i="5" s="1"/>
  <c r="AK85" i="5" s="1"/>
  <c r="AK86" i="5" s="1"/>
  <c r="AK87" i="5" s="1"/>
  <c r="AK88" i="5" s="1"/>
  <c r="AK89" i="5" s="1"/>
  <c r="AK90" i="5" s="1"/>
  <c r="AK91" i="5" s="1"/>
  <c r="AK92" i="5" s="1"/>
  <c r="AK93" i="5" s="1"/>
  <c r="AK94" i="5" s="1"/>
  <c r="AK95" i="5" s="1"/>
  <c r="AK96" i="5" s="1"/>
  <c r="AK97" i="5" s="1"/>
  <c r="AK98" i="5" s="1"/>
  <c r="AK99" i="5" s="1"/>
  <c r="AK100" i="5" s="1"/>
  <c r="AK101" i="5" s="1"/>
  <c r="AK102" i="5" s="1"/>
  <c r="AK103" i="5" s="1"/>
  <c r="AK104" i="5" s="1"/>
  <c r="AK105" i="5" s="1"/>
  <c r="AK106" i="5" s="1"/>
  <c r="AK107" i="5" s="1"/>
  <c r="AK108" i="5" s="1"/>
  <c r="AK109" i="5" s="1"/>
  <c r="AK110" i="5" s="1"/>
  <c r="AK111" i="5" s="1"/>
  <c r="AK112" i="5" s="1"/>
  <c r="AK113" i="5" s="1"/>
  <c r="AK114" i="5" s="1"/>
  <c r="AK115" i="5" s="1"/>
  <c r="AK116" i="5" s="1"/>
  <c r="AK117" i="5" s="1"/>
  <c r="AK118" i="5" s="1"/>
  <c r="AK119" i="5" s="1"/>
  <c r="AK120" i="5" s="1"/>
  <c r="AK121" i="5" s="1"/>
  <c r="AK122" i="5" s="1"/>
  <c r="AK123" i="5" s="1"/>
  <c r="AK124" i="5" s="1"/>
  <c r="AK125" i="5" s="1"/>
  <c r="AK126" i="5" s="1"/>
  <c r="AK127" i="5" s="1"/>
  <c r="AK128" i="5" s="1"/>
  <c r="AK129" i="5" s="1"/>
  <c r="AK130" i="5" s="1"/>
  <c r="AK131" i="5" s="1"/>
  <c r="AK132" i="5" s="1"/>
  <c r="AK133" i="5" s="1"/>
  <c r="AK134" i="5" s="1"/>
  <c r="AK135" i="5" s="1"/>
  <c r="AK136" i="5" s="1"/>
  <c r="AK137" i="5" s="1"/>
  <c r="AK138" i="5" s="1"/>
  <c r="AK139" i="5" s="1"/>
  <c r="AK140" i="5" s="1"/>
  <c r="AK141" i="5" s="1"/>
  <c r="AK142" i="5" s="1"/>
  <c r="AK143" i="5" s="1"/>
  <c r="AK144" i="5" s="1"/>
  <c r="AK145" i="5" s="1"/>
  <c r="AK146" i="5" s="1"/>
  <c r="AK147" i="5" s="1"/>
  <c r="AK148" i="5" s="1"/>
  <c r="AK149" i="5" s="1"/>
  <c r="AK150" i="5" s="1"/>
  <c r="AK151" i="5" s="1"/>
  <c r="AK152" i="5" s="1"/>
  <c r="AK153" i="5" s="1"/>
  <c r="AK154" i="5" s="1"/>
  <c r="AK155" i="5" s="1"/>
  <c r="AK156" i="5" s="1"/>
  <c r="AK157" i="5" s="1"/>
  <c r="AK158" i="5" s="1"/>
  <c r="AK159" i="5" s="1"/>
  <c r="AK160" i="5" s="1"/>
  <c r="AK161" i="5" s="1"/>
  <c r="AK162" i="5" s="1"/>
  <c r="AK163" i="5" s="1"/>
  <c r="AK164" i="5" s="1"/>
  <c r="AK165" i="5" s="1"/>
  <c r="AK166" i="5" s="1"/>
  <c r="AK167" i="5" s="1"/>
  <c r="AV158" i="30"/>
  <c r="U150" i="32"/>
  <c r="W150" i="32" s="1"/>
  <c r="T151" i="32"/>
  <c r="V150" i="32"/>
  <c r="G188" i="5"/>
  <c r="M147" i="39" l="1"/>
  <c r="L147" i="39"/>
  <c r="K148" i="39"/>
  <c r="AW180" i="5"/>
  <c r="B159" i="30"/>
  <c r="R160" i="30"/>
  <c r="V189" i="5"/>
  <c r="W24" i="2"/>
  <c r="G189" i="5"/>
  <c r="H159" i="30"/>
  <c r="D152" i="31"/>
  <c r="C153" i="31"/>
  <c r="A191" i="5"/>
  <c r="AI191" i="5" s="1"/>
  <c r="AZ190" i="5"/>
  <c r="N190" i="5"/>
  <c r="R190" i="5" s="1"/>
  <c r="S190" i="5" s="1"/>
  <c r="W190" i="5" s="1"/>
  <c r="U190" i="5"/>
  <c r="BD190" i="5"/>
  <c r="AT190" i="5"/>
  <c r="AR190" i="5"/>
  <c r="AS190" i="5" s="1"/>
  <c r="AU190" i="5"/>
  <c r="AN190" i="5"/>
  <c r="AO190" i="5" s="1"/>
  <c r="AV190" i="5"/>
  <c r="T152" i="32"/>
  <c r="U151" i="32"/>
  <c r="D151" i="30" s="1"/>
  <c r="S151" i="30" s="1"/>
  <c r="N153" i="35" s="1"/>
  <c r="E181" i="5" s="1"/>
  <c r="V151" i="32"/>
  <c r="AV159" i="30"/>
  <c r="H189" i="5"/>
  <c r="P160" i="30"/>
  <c r="J190" i="5" s="1"/>
  <c r="E160" i="30"/>
  <c r="F160" i="30"/>
  <c r="C161" i="30"/>
  <c r="G160" i="30"/>
  <c r="U150" i="34"/>
  <c r="W150" i="34" s="1"/>
  <c r="T151" i="34"/>
  <c r="V150" i="34"/>
  <c r="J189" i="5"/>
  <c r="C189" i="5"/>
  <c r="B162" i="35"/>
  <c r="F161" i="35"/>
  <c r="L161" i="35"/>
  <c r="M161" i="35" s="1"/>
  <c r="E161" i="35"/>
  <c r="I161" i="35"/>
  <c r="D189" i="5" s="1"/>
  <c r="G161" i="35"/>
  <c r="D161" i="35"/>
  <c r="BB189" i="5"/>
  <c r="BC189" i="5" s="1"/>
  <c r="BA189" i="5"/>
  <c r="B160" i="30" l="1"/>
  <c r="M148" i="39"/>
  <c r="L148" i="39"/>
  <c r="K149" i="39"/>
  <c r="AW181" i="5"/>
  <c r="R161" i="30"/>
  <c r="V190" i="5"/>
  <c r="H160" i="30"/>
  <c r="D162" i="35" s="1"/>
  <c r="W151" i="32"/>
  <c r="G190" i="5"/>
  <c r="AV160" i="30"/>
  <c r="U152" i="32"/>
  <c r="T153" i="32"/>
  <c r="V152" i="32"/>
  <c r="H190" i="5"/>
  <c r="BB190" i="5"/>
  <c r="BC190" i="5" s="1"/>
  <c r="BA190" i="5"/>
  <c r="V151" i="34"/>
  <c r="T152" i="34"/>
  <c r="U151" i="34"/>
  <c r="W151" i="34" s="1"/>
  <c r="P161" i="30"/>
  <c r="J191" i="5" s="1"/>
  <c r="E161" i="30"/>
  <c r="B161" i="30" s="1"/>
  <c r="F161" i="30"/>
  <c r="C162" i="30"/>
  <c r="G161" i="30"/>
  <c r="C190" i="5"/>
  <c r="A192" i="5"/>
  <c r="AI192" i="5" s="1"/>
  <c r="N191" i="5"/>
  <c r="R191" i="5" s="1"/>
  <c r="S191" i="5" s="1"/>
  <c r="W191" i="5" s="1"/>
  <c r="AZ191" i="5"/>
  <c r="AR191" i="5"/>
  <c r="AS191" i="5" s="1"/>
  <c r="AT191" i="5"/>
  <c r="AV191" i="5"/>
  <c r="BD191" i="5"/>
  <c r="AU191" i="5"/>
  <c r="U191" i="5"/>
  <c r="AN191" i="5"/>
  <c r="AO191" i="5" s="1"/>
  <c r="B163" i="35"/>
  <c r="G191" i="5" s="1"/>
  <c r="I162" i="35"/>
  <c r="D190" i="5" s="1"/>
  <c r="F162" i="35"/>
  <c r="L162" i="35"/>
  <c r="M162" i="35" s="1"/>
  <c r="E162" i="35"/>
  <c r="G162" i="35"/>
  <c r="I190" i="5"/>
  <c r="D153" i="31"/>
  <c r="C154" i="31"/>
  <c r="M149" i="39" l="1"/>
  <c r="L149" i="39"/>
  <c r="K150" i="39"/>
  <c r="R162" i="30"/>
  <c r="V191" i="5"/>
  <c r="H191" i="5"/>
  <c r="I191" i="5"/>
  <c r="BB191" i="5"/>
  <c r="BC191" i="5" s="1"/>
  <c r="BA191" i="5"/>
  <c r="P162" i="30"/>
  <c r="J192" i="5" s="1"/>
  <c r="E162" i="30"/>
  <c r="F162" i="30"/>
  <c r="C163" i="30"/>
  <c r="G162" i="30"/>
  <c r="W152" i="32"/>
  <c r="C191" i="5"/>
  <c r="H161" i="30"/>
  <c r="D163" i="35" s="1"/>
  <c r="D154" i="31"/>
  <c r="C155" i="31"/>
  <c r="B164" i="35"/>
  <c r="I192" i="5" s="1"/>
  <c r="I163" i="35"/>
  <c r="D191" i="5" s="1"/>
  <c r="G163" i="35"/>
  <c r="E163" i="35"/>
  <c r="L163" i="35"/>
  <c r="M163" i="35" s="1"/>
  <c r="F163" i="35"/>
  <c r="A193" i="5"/>
  <c r="AI193" i="5" s="1"/>
  <c r="AZ192" i="5"/>
  <c r="N192" i="5"/>
  <c r="R192" i="5" s="1"/>
  <c r="S192" i="5" s="1"/>
  <c r="W192" i="5" s="1"/>
  <c r="BD192" i="5"/>
  <c r="AU192" i="5"/>
  <c r="AR192" i="5"/>
  <c r="AS192" i="5" s="1"/>
  <c r="U192" i="5"/>
  <c r="AT192" i="5"/>
  <c r="AV192" i="5"/>
  <c r="AN192" i="5"/>
  <c r="AO192" i="5" s="1"/>
  <c r="AV161" i="30"/>
  <c r="T153" i="34"/>
  <c r="U152" i="34"/>
  <c r="W152" i="34" s="1"/>
  <c r="V152" i="34"/>
  <c r="U153" i="32"/>
  <c r="T154" i="32"/>
  <c r="V153" i="32"/>
  <c r="H192" i="5" l="1"/>
  <c r="M150" i="39"/>
  <c r="L150" i="39"/>
  <c r="K151" i="39"/>
  <c r="D153" i="30"/>
  <c r="S153" i="30" s="1"/>
  <c r="N155" i="35" s="1"/>
  <c r="E183" i="5" s="1"/>
  <c r="B162" i="30"/>
  <c r="R163" i="30"/>
  <c r="V192" i="5"/>
  <c r="G192" i="5"/>
  <c r="C192" i="5"/>
  <c r="BB192" i="5"/>
  <c r="BC192" i="5" s="1"/>
  <c r="BA192" i="5"/>
  <c r="P163" i="30"/>
  <c r="J193" i="5" s="1"/>
  <c r="E163" i="30"/>
  <c r="F163" i="30"/>
  <c r="C164" i="30"/>
  <c r="G163" i="30"/>
  <c r="B165" i="35"/>
  <c r="H193" i="5" s="1"/>
  <c r="L164" i="35"/>
  <c r="M164" i="35" s="1"/>
  <c r="E164" i="35"/>
  <c r="I164" i="35"/>
  <c r="D192" i="5" s="1"/>
  <c r="G164" i="35"/>
  <c r="F164" i="35"/>
  <c r="U154" i="32"/>
  <c r="W154" i="32" s="1"/>
  <c r="T155" i="32"/>
  <c r="V154" i="32"/>
  <c r="V153" i="34"/>
  <c r="T154" i="34"/>
  <c r="U153" i="34"/>
  <c r="W153" i="34" s="1"/>
  <c r="H162" i="30"/>
  <c r="W153" i="32"/>
  <c r="A194" i="5"/>
  <c r="AI194" i="5" s="1"/>
  <c r="N193" i="5"/>
  <c r="R193" i="5" s="1"/>
  <c r="S193" i="5" s="1"/>
  <c r="W193" i="5" s="1"/>
  <c r="AZ193" i="5"/>
  <c r="BD193" i="5"/>
  <c r="AT193" i="5"/>
  <c r="AU193" i="5"/>
  <c r="U193" i="5"/>
  <c r="AV193" i="5"/>
  <c r="AR193" i="5"/>
  <c r="AS193" i="5" s="1"/>
  <c r="C193" i="5"/>
  <c r="AN193" i="5"/>
  <c r="AO193" i="5" s="1"/>
  <c r="D155" i="31"/>
  <c r="C156" i="31"/>
  <c r="AV162" i="30"/>
  <c r="B163" i="30" l="1"/>
  <c r="G193" i="5"/>
  <c r="M151" i="39"/>
  <c r="L151" i="39"/>
  <c r="K152" i="39"/>
  <c r="D154" i="30"/>
  <c r="S154" i="30" s="1"/>
  <c r="N156" i="35" s="1"/>
  <c r="E184" i="5" s="1"/>
  <c r="R164" i="30"/>
  <c r="V193" i="5"/>
  <c r="I193" i="5"/>
  <c r="A195" i="5"/>
  <c r="AI195" i="5" s="1"/>
  <c r="AZ194" i="5"/>
  <c r="N194" i="5"/>
  <c r="R194" i="5" s="1"/>
  <c r="S194" i="5" s="1"/>
  <c r="W194" i="5" s="1"/>
  <c r="U194" i="5"/>
  <c r="BD194" i="5"/>
  <c r="AU194" i="5"/>
  <c r="AT194" i="5"/>
  <c r="AV194" i="5"/>
  <c r="AN194" i="5"/>
  <c r="AO194" i="5" s="1"/>
  <c r="AR194" i="5"/>
  <c r="AS194" i="5" s="1"/>
  <c r="H163" i="30"/>
  <c r="D165" i="35" s="1"/>
  <c r="D156" i="31"/>
  <c r="C157" i="31"/>
  <c r="AV163" i="30"/>
  <c r="BB193" i="5"/>
  <c r="BC193" i="5" s="1"/>
  <c r="BA193" i="5"/>
  <c r="U155" i="32"/>
  <c r="W155" i="32" s="1"/>
  <c r="T156" i="32"/>
  <c r="V155" i="32"/>
  <c r="B166" i="35"/>
  <c r="F165" i="35"/>
  <c r="L165" i="35"/>
  <c r="M165" i="35" s="1"/>
  <c r="E165" i="35"/>
  <c r="I165" i="35"/>
  <c r="D193" i="5" s="1"/>
  <c r="G165" i="35"/>
  <c r="P164" i="30"/>
  <c r="E164" i="30"/>
  <c r="F164" i="30"/>
  <c r="C165" i="30"/>
  <c r="G164" i="30"/>
  <c r="U154" i="34"/>
  <c r="W154" i="34" s="1"/>
  <c r="T155" i="34"/>
  <c r="V154" i="34"/>
  <c r="D164" i="35"/>
  <c r="AW185" i="5" l="1"/>
  <c r="D155" i="30"/>
  <c r="S155" i="30" s="1"/>
  <c r="N157" i="35" s="1"/>
  <c r="E185" i="5" s="1"/>
  <c r="M152" i="39"/>
  <c r="L152" i="39"/>
  <c r="K153" i="39"/>
  <c r="B164" i="30"/>
  <c r="R165" i="30"/>
  <c r="V194" i="5"/>
  <c r="D157" i="31"/>
  <c r="C158" i="31"/>
  <c r="I194" i="5"/>
  <c r="BB194" i="5"/>
  <c r="BC194" i="5" s="1"/>
  <c r="BA194" i="5"/>
  <c r="H164" i="30"/>
  <c r="D166" i="35" s="1"/>
  <c r="V155" i="34"/>
  <c r="U155" i="34"/>
  <c r="W155" i="34" s="1"/>
  <c r="T156" i="34"/>
  <c r="AV164" i="30"/>
  <c r="U156" i="32"/>
  <c r="D156" i="30" s="1"/>
  <c r="S156" i="30" s="1"/>
  <c r="N158" i="35" s="1"/>
  <c r="E186" i="5" s="1"/>
  <c r="T157" i="32"/>
  <c r="V156" i="32"/>
  <c r="C194" i="5"/>
  <c r="A196" i="5"/>
  <c r="AI196" i="5" s="1"/>
  <c r="N195" i="5"/>
  <c r="R195" i="5" s="1"/>
  <c r="S195" i="5" s="1"/>
  <c r="W195" i="5" s="1"/>
  <c r="AZ195" i="5"/>
  <c r="AU195" i="5"/>
  <c r="BD195" i="5"/>
  <c r="AT195" i="5"/>
  <c r="AR195" i="5"/>
  <c r="AS195" i="5" s="1"/>
  <c r="U195" i="5"/>
  <c r="AV195" i="5"/>
  <c r="AN195" i="5"/>
  <c r="AO195" i="5" s="1"/>
  <c r="P165" i="30"/>
  <c r="E165" i="30"/>
  <c r="F165" i="30"/>
  <c r="C166" i="30"/>
  <c r="G165" i="30"/>
  <c r="B167" i="35"/>
  <c r="C195" i="5" s="1"/>
  <c r="I166" i="35"/>
  <c r="D194" i="5" s="1"/>
  <c r="F166" i="35"/>
  <c r="L166" i="35"/>
  <c r="M166" i="35" s="1"/>
  <c r="E166" i="35"/>
  <c r="G166" i="35"/>
  <c r="G194" i="5"/>
  <c r="H194" i="5"/>
  <c r="J194" i="5"/>
  <c r="B165" i="30" l="1"/>
  <c r="M153" i="39"/>
  <c r="L153" i="39"/>
  <c r="K154" i="39"/>
  <c r="R166" i="30"/>
  <c r="V195" i="5"/>
  <c r="G195" i="5"/>
  <c r="AV165" i="30"/>
  <c r="T157" i="34"/>
  <c r="U156" i="34"/>
  <c r="W156" i="34" s="1"/>
  <c r="V156" i="34"/>
  <c r="B168" i="35"/>
  <c r="I196" i="5" s="1"/>
  <c r="I167" i="35"/>
  <c r="D195" i="5" s="1"/>
  <c r="G167" i="35"/>
  <c r="F167" i="35"/>
  <c r="E167" i="35"/>
  <c r="L167" i="35"/>
  <c r="M167" i="35" s="1"/>
  <c r="P166" i="30"/>
  <c r="J196" i="5" s="1"/>
  <c r="E166" i="30"/>
  <c r="F166" i="30"/>
  <c r="C167" i="30"/>
  <c r="G166" i="30"/>
  <c r="A197" i="5"/>
  <c r="AI197" i="5" s="1"/>
  <c r="AZ196" i="5"/>
  <c r="N196" i="5"/>
  <c r="R196" i="5" s="1"/>
  <c r="S196" i="5" s="1"/>
  <c r="W196" i="5" s="1"/>
  <c r="BD196" i="5"/>
  <c r="AU196" i="5"/>
  <c r="AV196" i="5"/>
  <c r="AN196" i="5"/>
  <c r="AO196" i="5" s="1"/>
  <c r="U196" i="5"/>
  <c r="AT196" i="5"/>
  <c r="AR196" i="5"/>
  <c r="AS196" i="5" s="1"/>
  <c r="U157" i="32"/>
  <c r="AW187" i="5" s="1"/>
  <c r="T158" i="32"/>
  <c r="V157" i="32"/>
  <c r="D158" i="31"/>
  <c r="C159" i="31"/>
  <c r="J195" i="5"/>
  <c r="H195" i="5"/>
  <c r="BB195" i="5"/>
  <c r="BC195" i="5" s="1"/>
  <c r="BA195" i="5"/>
  <c r="W156" i="32"/>
  <c r="H165" i="30"/>
  <c r="I195" i="5"/>
  <c r="B166" i="30" l="1"/>
  <c r="M154" i="39"/>
  <c r="L154" i="39"/>
  <c r="K155" i="39"/>
  <c r="R167" i="30"/>
  <c r="V196" i="5"/>
  <c r="G196" i="5"/>
  <c r="H196" i="5"/>
  <c r="C196" i="5"/>
  <c r="W157" i="32"/>
  <c r="H166" i="30"/>
  <c r="D168" i="35" s="1"/>
  <c r="D167" i="35"/>
  <c r="AV166" i="30"/>
  <c r="V157" i="34"/>
  <c r="T158" i="34"/>
  <c r="U157" i="34"/>
  <c r="W157" i="34" s="1"/>
  <c r="D159" i="31"/>
  <c r="C160" i="31"/>
  <c r="U158" i="32"/>
  <c r="D158" i="30" s="1"/>
  <c r="S158" i="30" s="1"/>
  <c r="N160" i="35" s="1"/>
  <c r="E188" i="5" s="1"/>
  <c r="T159" i="32"/>
  <c r="V158" i="32"/>
  <c r="BB196" i="5"/>
  <c r="BC196" i="5" s="1"/>
  <c r="BA196" i="5"/>
  <c r="A198" i="5"/>
  <c r="AI198" i="5" s="1"/>
  <c r="N197" i="5"/>
  <c r="R197" i="5" s="1"/>
  <c r="S197" i="5" s="1"/>
  <c r="W197" i="5" s="1"/>
  <c r="BD197" i="5"/>
  <c r="AT197" i="5"/>
  <c r="AZ197" i="5"/>
  <c r="AR197" i="5"/>
  <c r="AS197" i="5" s="1"/>
  <c r="U197" i="5"/>
  <c r="AU197" i="5"/>
  <c r="AV197" i="5"/>
  <c r="AN197" i="5"/>
  <c r="AO197" i="5" s="1"/>
  <c r="P167" i="30"/>
  <c r="J197" i="5" s="1"/>
  <c r="E167" i="30"/>
  <c r="F167" i="30"/>
  <c r="C168" i="30"/>
  <c r="G167" i="30"/>
  <c r="B169" i="35"/>
  <c r="L168" i="35"/>
  <c r="M168" i="35" s="1"/>
  <c r="E168" i="35"/>
  <c r="I168" i="35"/>
  <c r="D196" i="5" s="1"/>
  <c r="G168" i="35"/>
  <c r="F168" i="35"/>
  <c r="M155" i="39" l="1"/>
  <c r="L155" i="39"/>
  <c r="K156" i="39"/>
  <c r="B167" i="30"/>
  <c r="R168" i="30"/>
  <c r="V197" i="5"/>
  <c r="B170" i="35"/>
  <c r="I198" i="5" s="1"/>
  <c r="F169" i="35"/>
  <c r="L169" i="35"/>
  <c r="M169" i="35" s="1"/>
  <c r="E169" i="35"/>
  <c r="I169" i="35"/>
  <c r="D197" i="5" s="1"/>
  <c r="G169" i="35"/>
  <c r="P168" i="30"/>
  <c r="J198" i="5" s="1"/>
  <c r="E168" i="30"/>
  <c r="F168" i="30"/>
  <c r="C169" i="30"/>
  <c r="G168" i="30"/>
  <c r="I197" i="5"/>
  <c r="H197" i="5"/>
  <c r="A199" i="5"/>
  <c r="AI199" i="5" s="1"/>
  <c r="AZ198" i="5"/>
  <c r="N198" i="5"/>
  <c r="R198" i="5" s="1"/>
  <c r="S198" i="5" s="1"/>
  <c r="W198" i="5" s="1"/>
  <c r="U198" i="5"/>
  <c r="BD198" i="5"/>
  <c r="AU198" i="5"/>
  <c r="AR198" i="5"/>
  <c r="AS198" i="5" s="1"/>
  <c r="AV198" i="5"/>
  <c r="AT198" i="5"/>
  <c r="AN198" i="5"/>
  <c r="AO198" i="5" s="1"/>
  <c r="T160" i="32"/>
  <c r="U159" i="32"/>
  <c r="W159" i="32" s="1"/>
  <c r="V159" i="32"/>
  <c r="C197" i="5"/>
  <c r="W158" i="32"/>
  <c r="U158" i="34"/>
  <c r="W158" i="34" s="1"/>
  <c r="T159" i="34"/>
  <c r="V158" i="34"/>
  <c r="H167" i="30"/>
  <c r="BB197" i="5"/>
  <c r="BC197" i="5" s="1"/>
  <c r="BA197" i="5"/>
  <c r="D160" i="31"/>
  <c r="C161" i="31"/>
  <c r="AV167" i="30"/>
  <c r="G197" i="5"/>
  <c r="D159" i="30" l="1"/>
  <c r="S159" i="30" s="1"/>
  <c r="N161" i="35" s="1"/>
  <c r="E189" i="5" s="1"/>
  <c r="R169" i="30"/>
  <c r="M156" i="39"/>
  <c r="L156" i="39"/>
  <c r="K157" i="39"/>
  <c r="AW189" i="5"/>
  <c r="B168" i="30"/>
  <c r="C198" i="5"/>
  <c r="H198" i="5"/>
  <c r="V198" i="5"/>
  <c r="G198" i="5"/>
  <c r="BB198" i="5"/>
  <c r="BC198" i="5" s="1"/>
  <c r="BA198" i="5"/>
  <c r="A200" i="5"/>
  <c r="AI200" i="5" s="1"/>
  <c r="N199" i="5"/>
  <c r="R199" i="5" s="1"/>
  <c r="S199" i="5" s="1"/>
  <c r="W199" i="5" s="1"/>
  <c r="AZ199" i="5"/>
  <c r="BD199" i="5"/>
  <c r="U199" i="5"/>
  <c r="AT199" i="5"/>
  <c r="AU199" i="5"/>
  <c r="AN199" i="5"/>
  <c r="AO199" i="5" s="1"/>
  <c r="AR199" i="5"/>
  <c r="AS199" i="5" s="1"/>
  <c r="AV199" i="5"/>
  <c r="P169" i="30"/>
  <c r="J199" i="5" s="1"/>
  <c r="E169" i="30"/>
  <c r="F169" i="30"/>
  <c r="C170" i="30"/>
  <c r="G169" i="30"/>
  <c r="B171" i="35"/>
  <c r="I170" i="35"/>
  <c r="D198" i="5" s="1"/>
  <c r="F170" i="35"/>
  <c r="L170" i="35"/>
  <c r="M170" i="35" s="1"/>
  <c r="E170" i="35"/>
  <c r="G170" i="35"/>
  <c r="V159" i="34"/>
  <c r="T160" i="34"/>
  <c r="U159" i="34"/>
  <c r="W159" i="34" s="1"/>
  <c r="D161" i="31"/>
  <c r="C162" i="31"/>
  <c r="U160" i="32"/>
  <c r="D160" i="30" s="1"/>
  <c r="S160" i="30" s="1"/>
  <c r="N162" i="35" s="1"/>
  <c r="E190" i="5" s="1"/>
  <c r="T161" i="32"/>
  <c r="V160" i="32"/>
  <c r="H168" i="30"/>
  <c r="D170" i="35" s="1"/>
  <c r="D169" i="35"/>
  <c r="AV168" i="30"/>
  <c r="M157" i="39" l="1"/>
  <c r="L157" i="39"/>
  <c r="K158" i="39"/>
  <c r="B169" i="30"/>
  <c r="R170" i="30"/>
  <c r="V199" i="5"/>
  <c r="D162" i="31"/>
  <c r="C163" i="31"/>
  <c r="B172" i="35"/>
  <c r="I200" i="5" s="1"/>
  <c r="I171" i="35"/>
  <c r="D199" i="5" s="1"/>
  <c r="G171" i="35"/>
  <c r="E171" i="35"/>
  <c r="L171" i="35"/>
  <c r="M171" i="35" s="1"/>
  <c r="F171" i="35"/>
  <c r="P170" i="30"/>
  <c r="J200" i="5" s="1"/>
  <c r="E170" i="30"/>
  <c r="F170" i="30"/>
  <c r="C171" i="30"/>
  <c r="G170" i="30"/>
  <c r="A201" i="5"/>
  <c r="AI201" i="5" s="1"/>
  <c r="AZ200" i="5"/>
  <c r="N200" i="5"/>
  <c r="R200" i="5" s="1"/>
  <c r="S200" i="5" s="1"/>
  <c r="W200" i="5" s="1"/>
  <c r="AR200" i="5"/>
  <c r="AS200" i="5" s="1"/>
  <c r="AU200" i="5"/>
  <c r="BD200" i="5"/>
  <c r="AT200" i="5"/>
  <c r="AV200" i="5"/>
  <c r="U200" i="5"/>
  <c r="AN200" i="5"/>
  <c r="AO200" i="5" s="1"/>
  <c r="U161" i="32"/>
  <c r="T162" i="32"/>
  <c r="V161" i="32"/>
  <c r="H199" i="5"/>
  <c r="BB199" i="5"/>
  <c r="BC199" i="5" s="1"/>
  <c r="BA199" i="5"/>
  <c r="W160" i="32"/>
  <c r="H169" i="30"/>
  <c r="D171" i="35" s="1"/>
  <c r="G199" i="5"/>
  <c r="T161" i="34"/>
  <c r="U160" i="34"/>
  <c r="W160" i="34" s="1"/>
  <c r="V160" i="34"/>
  <c r="AV169" i="30"/>
  <c r="I199" i="5"/>
  <c r="C199" i="5"/>
  <c r="C200" i="5" l="1"/>
  <c r="M158" i="39"/>
  <c r="L158" i="39"/>
  <c r="K159" i="39"/>
  <c r="B170" i="30"/>
  <c r="R171" i="30"/>
  <c r="V200" i="5"/>
  <c r="H200" i="5"/>
  <c r="G200" i="5"/>
  <c r="H170" i="30"/>
  <c r="BB200" i="5"/>
  <c r="BC200" i="5" s="1"/>
  <c r="BA200" i="5"/>
  <c r="A202" i="5"/>
  <c r="AI202" i="5" s="1"/>
  <c r="N201" i="5"/>
  <c r="R201" i="5" s="1"/>
  <c r="S201" i="5" s="1"/>
  <c r="W201" i="5" s="1"/>
  <c r="AZ201" i="5"/>
  <c r="BD201" i="5"/>
  <c r="AU201" i="5"/>
  <c r="AR201" i="5"/>
  <c r="AS201" i="5" s="1"/>
  <c r="AT201" i="5"/>
  <c r="AV201" i="5"/>
  <c r="AN201" i="5"/>
  <c r="AO201" i="5" s="1"/>
  <c r="U201" i="5"/>
  <c r="AV170" i="30"/>
  <c r="D163" i="31"/>
  <c r="C164" i="31"/>
  <c r="U161" i="34"/>
  <c r="W161" i="34" s="1"/>
  <c r="T162" i="34"/>
  <c r="V161" i="34"/>
  <c r="T163" i="32"/>
  <c r="U162" i="32"/>
  <c r="AW192" i="5" s="1"/>
  <c r="V162" i="32"/>
  <c r="P171" i="30"/>
  <c r="J201" i="5" s="1"/>
  <c r="E171" i="30"/>
  <c r="F171" i="30"/>
  <c r="C172" i="30"/>
  <c r="G171" i="30"/>
  <c r="B173" i="35"/>
  <c r="L172" i="35"/>
  <c r="M172" i="35" s="1"/>
  <c r="E172" i="35"/>
  <c r="I172" i="35"/>
  <c r="D200" i="5" s="1"/>
  <c r="G172" i="35"/>
  <c r="F172" i="35"/>
  <c r="D172" i="35"/>
  <c r="W161" i="32"/>
  <c r="M159" i="39" l="1"/>
  <c r="L159" i="39"/>
  <c r="K160" i="39"/>
  <c r="B171" i="30"/>
  <c r="R172" i="30"/>
  <c r="V201" i="5"/>
  <c r="H171" i="30"/>
  <c r="D173" i="35" s="1"/>
  <c r="AV171" i="30"/>
  <c r="W162" i="32"/>
  <c r="T163" i="34"/>
  <c r="U162" i="34"/>
  <c r="W162" i="34" s="1"/>
  <c r="V162" i="34"/>
  <c r="C201" i="5"/>
  <c r="I201" i="5"/>
  <c r="H201" i="5"/>
  <c r="BB201" i="5"/>
  <c r="BC201" i="5" s="1"/>
  <c r="BA201" i="5"/>
  <c r="A203" i="5"/>
  <c r="AI203" i="5" s="1"/>
  <c r="AZ202" i="5"/>
  <c r="N202" i="5"/>
  <c r="R202" i="5" s="1"/>
  <c r="S202" i="5" s="1"/>
  <c r="W202" i="5" s="1"/>
  <c r="U202" i="5"/>
  <c r="AR202" i="5"/>
  <c r="AS202" i="5" s="1"/>
  <c r="AU202" i="5"/>
  <c r="AV202" i="5"/>
  <c r="AT202" i="5"/>
  <c r="BD202" i="5"/>
  <c r="AN202" i="5"/>
  <c r="AO202" i="5" s="1"/>
  <c r="B174" i="35"/>
  <c r="I202" i="5" s="1"/>
  <c r="F173" i="35"/>
  <c r="L173" i="35"/>
  <c r="M173" i="35" s="1"/>
  <c r="E173" i="35"/>
  <c r="I173" i="35"/>
  <c r="D201" i="5" s="1"/>
  <c r="G173" i="35"/>
  <c r="P172" i="30"/>
  <c r="J202" i="5" s="1"/>
  <c r="E172" i="30"/>
  <c r="F172" i="30"/>
  <c r="C173" i="30"/>
  <c r="G172" i="30"/>
  <c r="U163" i="32"/>
  <c r="D163" i="30" s="1"/>
  <c r="S163" i="30" s="1"/>
  <c r="N165" i="35" s="1"/>
  <c r="E193" i="5" s="1"/>
  <c r="T164" i="32"/>
  <c r="V163" i="32"/>
  <c r="G201" i="5"/>
  <c r="D164" i="31"/>
  <c r="C165" i="31"/>
  <c r="B172" i="30" l="1"/>
  <c r="M160" i="39"/>
  <c r="L160" i="39"/>
  <c r="K161" i="39"/>
  <c r="AW193" i="5"/>
  <c r="R173" i="30"/>
  <c r="V202" i="5"/>
  <c r="G202" i="5"/>
  <c r="H172" i="30"/>
  <c r="D174" i="35" s="1"/>
  <c r="AV172" i="30"/>
  <c r="BB202" i="5"/>
  <c r="BC202" i="5" s="1"/>
  <c r="BA202" i="5"/>
  <c r="U164" i="32"/>
  <c r="W164" i="32" s="1"/>
  <c r="T165" i="32"/>
  <c r="V164" i="32"/>
  <c r="P173" i="30"/>
  <c r="J203" i="5" s="1"/>
  <c r="E173" i="30"/>
  <c r="F173" i="30"/>
  <c r="C174" i="30"/>
  <c r="G173" i="30"/>
  <c r="B175" i="35"/>
  <c r="I203" i="5" s="1"/>
  <c r="I174" i="35"/>
  <c r="D202" i="5" s="1"/>
  <c r="F174" i="35"/>
  <c r="L174" i="35"/>
  <c r="M174" i="35" s="1"/>
  <c r="E174" i="35"/>
  <c r="G174" i="35"/>
  <c r="H202" i="5"/>
  <c r="C202" i="5"/>
  <c r="A204" i="5"/>
  <c r="AI204" i="5" s="1"/>
  <c r="N203" i="5"/>
  <c r="R203" i="5" s="1"/>
  <c r="S203" i="5" s="1"/>
  <c r="W203" i="5" s="1"/>
  <c r="AZ203" i="5"/>
  <c r="AR203" i="5"/>
  <c r="AS203" i="5" s="1"/>
  <c r="AU203" i="5"/>
  <c r="U203" i="5"/>
  <c r="AV203" i="5"/>
  <c r="BD203" i="5"/>
  <c r="AN203" i="5"/>
  <c r="AO203" i="5" s="1"/>
  <c r="AT203" i="5"/>
  <c r="D165" i="31"/>
  <c r="C166" i="31"/>
  <c r="W163" i="32"/>
  <c r="U163" i="34"/>
  <c r="W163" i="34" s="1"/>
  <c r="T164" i="34"/>
  <c r="V163" i="34"/>
  <c r="D164" i="30" l="1"/>
  <c r="S164" i="30" s="1"/>
  <c r="N166" i="35" s="1"/>
  <c r="E194" i="5" s="1"/>
  <c r="M161" i="39"/>
  <c r="L161" i="39"/>
  <c r="K162" i="39"/>
  <c r="B173" i="30"/>
  <c r="R174" i="30"/>
  <c r="V203" i="5"/>
  <c r="C203" i="5"/>
  <c r="G203" i="5"/>
  <c r="H203" i="5"/>
  <c r="AV173" i="30"/>
  <c r="T165" i="34"/>
  <c r="U164" i="34"/>
  <c r="W164" i="34" s="1"/>
  <c r="V164" i="34"/>
  <c r="D166" i="31"/>
  <c r="C167" i="31"/>
  <c r="A205" i="5"/>
  <c r="AI205" i="5" s="1"/>
  <c r="AZ204" i="5"/>
  <c r="N204" i="5"/>
  <c r="R204" i="5" s="1"/>
  <c r="S204" i="5" s="1"/>
  <c r="W204" i="5" s="1"/>
  <c r="AR204" i="5"/>
  <c r="AS204" i="5" s="1"/>
  <c r="AU204" i="5"/>
  <c r="BD204" i="5"/>
  <c r="AT204" i="5"/>
  <c r="U204" i="5"/>
  <c r="AV204" i="5"/>
  <c r="AN204" i="5"/>
  <c r="AO204" i="5" s="1"/>
  <c r="B176" i="35"/>
  <c r="I175" i="35"/>
  <c r="D203" i="5" s="1"/>
  <c r="G175" i="35"/>
  <c r="F175" i="35"/>
  <c r="L175" i="35"/>
  <c r="M175" i="35" s="1"/>
  <c r="E175" i="35"/>
  <c r="P174" i="30"/>
  <c r="J204" i="5" s="1"/>
  <c r="E174" i="30"/>
  <c r="F174" i="30"/>
  <c r="C175" i="30"/>
  <c r="G174" i="30"/>
  <c r="BB203" i="5"/>
  <c r="BC203" i="5" s="1"/>
  <c r="BA203" i="5"/>
  <c r="H173" i="30"/>
  <c r="D175" i="35" s="1"/>
  <c r="U165" i="32"/>
  <c r="W165" i="32" s="1"/>
  <c r="T166" i="32"/>
  <c r="V165" i="32"/>
  <c r="R175" i="30" l="1"/>
  <c r="M162" i="39"/>
  <c r="L162" i="39"/>
  <c r="K163" i="39"/>
  <c r="AW195" i="5"/>
  <c r="D165" i="30"/>
  <c r="S165" i="30" s="1"/>
  <c r="N167" i="35" s="1"/>
  <c r="E195" i="5" s="1"/>
  <c r="B174" i="30"/>
  <c r="V204" i="5"/>
  <c r="B177" i="35"/>
  <c r="I205" i="5" s="1"/>
  <c r="L176" i="35"/>
  <c r="M176" i="35" s="1"/>
  <c r="E176" i="35"/>
  <c r="I176" i="35"/>
  <c r="D204" i="5" s="1"/>
  <c r="G176" i="35"/>
  <c r="F176" i="35"/>
  <c r="C204" i="5"/>
  <c r="BB204" i="5"/>
  <c r="BC204" i="5" s="1"/>
  <c r="BA204" i="5"/>
  <c r="A206" i="5"/>
  <c r="AI206" i="5" s="1"/>
  <c r="N205" i="5"/>
  <c r="R205" i="5" s="1"/>
  <c r="S205" i="5" s="1"/>
  <c r="W205" i="5" s="1"/>
  <c r="AZ205" i="5"/>
  <c r="BD205" i="5"/>
  <c r="H205" i="5"/>
  <c r="AU205" i="5"/>
  <c r="AV205" i="5"/>
  <c r="AR205" i="5"/>
  <c r="AS205" i="5" s="1"/>
  <c r="AT205" i="5"/>
  <c r="U205" i="5"/>
  <c r="AN205" i="5"/>
  <c r="AO205" i="5" s="1"/>
  <c r="T167" i="32"/>
  <c r="U166" i="32"/>
  <c r="AW196" i="5" s="1"/>
  <c r="V166" i="32"/>
  <c r="P175" i="30"/>
  <c r="J205" i="5" s="1"/>
  <c r="E175" i="30"/>
  <c r="F175" i="30"/>
  <c r="C176" i="30"/>
  <c r="G175" i="30"/>
  <c r="H174" i="30"/>
  <c r="AV174" i="30"/>
  <c r="H204" i="5"/>
  <c r="G204" i="5"/>
  <c r="I204" i="5"/>
  <c r="D167" i="31"/>
  <c r="C168" i="31"/>
  <c r="U165" i="34"/>
  <c r="W165" i="34" s="1"/>
  <c r="T166" i="34"/>
  <c r="V165" i="34"/>
  <c r="G205" i="5" l="1"/>
  <c r="C205" i="5"/>
  <c r="B175" i="30"/>
  <c r="M163" i="39"/>
  <c r="L163" i="39"/>
  <c r="K164" i="39"/>
  <c r="D166" i="30"/>
  <c r="S166" i="30" s="1"/>
  <c r="N168" i="35" s="1"/>
  <c r="E196" i="5" s="1"/>
  <c r="R176" i="30"/>
  <c r="V205" i="5"/>
  <c r="D168" i="31"/>
  <c r="C169" i="31"/>
  <c r="P176" i="30"/>
  <c r="J206" i="5" s="1"/>
  <c r="E176" i="30"/>
  <c r="F176" i="30"/>
  <c r="C177" i="30"/>
  <c r="G176" i="30"/>
  <c r="W166" i="32"/>
  <c r="U167" i="32"/>
  <c r="AW197" i="5" s="1"/>
  <c r="T168" i="32"/>
  <c r="V167" i="32"/>
  <c r="D176" i="35"/>
  <c r="T167" i="34"/>
  <c r="U166" i="34"/>
  <c r="W166" i="34" s="1"/>
  <c r="V166" i="34"/>
  <c r="H175" i="30"/>
  <c r="D177" i="35" s="1"/>
  <c r="A207" i="5"/>
  <c r="AI207" i="5" s="1"/>
  <c r="AZ206" i="5"/>
  <c r="N206" i="5"/>
  <c r="R206" i="5" s="1"/>
  <c r="S206" i="5" s="1"/>
  <c r="W206" i="5" s="1"/>
  <c r="U206" i="5"/>
  <c r="AR206" i="5"/>
  <c r="AS206" i="5" s="1"/>
  <c r="AU206" i="5"/>
  <c r="BD206" i="5"/>
  <c r="AV206" i="5"/>
  <c r="AN206" i="5"/>
  <c r="AO206" i="5" s="1"/>
  <c r="AT206" i="5"/>
  <c r="B178" i="35"/>
  <c r="F177" i="35"/>
  <c r="L177" i="35"/>
  <c r="M177" i="35" s="1"/>
  <c r="E177" i="35"/>
  <c r="I177" i="35"/>
  <c r="D205" i="5" s="1"/>
  <c r="G177" i="35"/>
  <c r="AV175" i="30"/>
  <c r="BB205" i="5"/>
  <c r="BC205" i="5" s="1"/>
  <c r="BA205" i="5"/>
  <c r="M164" i="39" l="1"/>
  <c r="L164" i="39"/>
  <c r="K165" i="39"/>
  <c r="D167" i="30"/>
  <c r="S167" i="30" s="1"/>
  <c r="N169" i="35" s="1"/>
  <c r="E197" i="5" s="1"/>
  <c r="R177" i="30"/>
  <c r="B176" i="30"/>
  <c r="V206" i="5"/>
  <c r="G206" i="5"/>
  <c r="I206" i="5"/>
  <c r="A208" i="5"/>
  <c r="AI208" i="5" s="1"/>
  <c r="N207" i="5"/>
  <c r="R207" i="5" s="1"/>
  <c r="S207" i="5" s="1"/>
  <c r="W207" i="5" s="1"/>
  <c r="AZ207" i="5"/>
  <c r="BD207" i="5"/>
  <c r="AR207" i="5"/>
  <c r="AS207" i="5" s="1"/>
  <c r="AT207" i="5"/>
  <c r="AV207" i="5"/>
  <c r="U207" i="5"/>
  <c r="AU207" i="5"/>
  <c r="AN207" i="5"/>
  <c r="AO207" i="5" s="1"/>
  <c r="AV176" i="30"/>
  <c r="D169" i="31"/>
  <c r="C170" i="31"/>
  <c r="B179" i="35"/>
  <c r="H207" i="5" s="1"/>
  <c r="I178" i="35"/>
  <c r="D206" i="5" s="1"/>
  <c r="F178" i="35"/>
  <c r="L178" i="35"/>
  <c r="M178" i="35" s="1"/>
  <c r="E178" i="35"/>
  <c r="G178" i="35"/>
  <c r="H206" i="5"/>
  <c r="C206" i="5"/>
  <c r="U167" i="34"/>
  <c r="W167" i="34" s="1"/>
  <c r="T168" i="34"/>
  <c r="V167" i="34"/>
  <c r="U168" i="32"/>
  <c r="AW198" i="5" s="1"/>
  <c r="T169" i="32"/>
  <c r="V168" i="32"/>
  <c r="P177" i="30"/>
  <c r="E177" i="30"/>
  <c r="F177" i="30"/>
  <c r="C178" i="30"/>
  <c r="G177" i="30"/>
  <c r="C18" i="21"/>
  <c r="I18" i="21" s="1"/>
  <c r="BB206" i="5"/>
  <c r="BC206" i="5" s="1"/>
  <c r="BA206" i="5"/>
  <c r="W167" i="32"/>
  <c r="H176" i="30"/>
  <c r="B177" i="30" l="1"/>
  <c r="M165" i="39"/>
  <c r="L165" i="39"/>
  <c r="K166" i="39"/>
  <c r="R178" i="30"/>
  <c r="V207" i="5"/>
  <c r="H177" i="30"/>
  <c r="P178" i="30"/>
  <c r="J208" i="5" s="1"/>
  <c r="E178" i="30"/>
  <c r="F178" i="30"/>
  <c r="C179" i="30"/>
  <c r="G178" i="30"/>
  <c r="U169" i="32"/>
  <c r="T170" i="32"/>
  <c r="V169" i="32"/>
  <c r="BB207" i="5"/>
  <c r="BC207" i="5" s="1"/>
  <c r="BA207" i="5"/>
  <c r="J18" i="21"/>
  <c r="M18" i="21" s="1"/>
  <c r="B19" i="21"/>
  <c r="W168" i="32"/>
  <c r="B180" i="35"/>
  <c r="H208" i="5" s="1"/>
  <c r="I179" i="35"/>
  <c r="D207" i="5" s="1"/>
  <c r="G179" i="35"/>
  <c r="E179" i="35"/>
  <c r="D179" i="35"/>
  <c r="L179" i="35"/>
  <c r="M179" i="35" s="1"/>
  <c r="F179" i="35"/>
  <c r="G207" i="5"/>
  <c r="D178" i="35"/>
  <c r="I207" i="5"/>
  <c r="AV177" i="30"/>
  <c r="T169" i="34"/>
  <c r="U168" i="34"/>
  <c r="W168" i="34" s="1"/>
  <c r="V168" i="34"/>
  <c r="D170" i="31"/>
  <c r="C171" i="31"/>
  <c r="J207" i="5"/>
  <c r="C207" i="5"/>
  <c r="A209" i="5"/>
  <c r="AI209" i="5" s="1"/>
  <c r="AZ208" i="5"/>
  <c r="N208" i="5"/>
  <c r="R208" i="5" s="1"/>
  <c r="S208" i="5" s="1"/>
  <c r="W208" i="5" s="1"/>
  <c r="BD208" i="5"/>
  <c r="AT208" i="5"/>
  <c r="U208" i="5"/>
  <c r="AU208" i="5"/>
  <c r="AN208" i="5"/>
  <c r="AO208" i="5" s="1"/>
  <c r="AR208" i="5"/>
  <c r="AS208" i="5" s="1"/>
  <c r="AV208" i="5"/>
  <c r="M166" i="39" l="1"/>
  <c r="L166" i="39"/>
  <c r="K167" i="39"/>
  <c r="B178" i="30"/>
  <c r="R179" i="30"/>
  <c r="V208" i="5"/>
  <c r="I208" i="5"/>
  <c r="C208" i="5"/>
  <c r="G208" i="5"/>
  <c r="AB169" i="5"/>
  <c r="AG170" i="5"/>
  <c r="AB168" i="5"/>
  <c r="AG169" i="5"/>
  <c r="AB170" i="5"/>
  <c r="AD168" i="5"/>
  <c r="X168" i="5" s="1"/>
  <c r="AD169" i="5"/>
  <c r="X169" i="5" s="1"/>
  <c r="AG168" i="5"/>
  <c r="AD170" i="5"/>
  <c r="X170" i="5" s="1"/>
  <c r="H178" i="30"/>
  <c r="D180" i="35" s="1"/>
  <c r="A210" i="5"/>
  <c r="AI210" i="5" s="1"/>
  <c r="BD209" i="5"/>
  <c r="AZ209" i="5"/>
  <c r="N209" i="5"/>
  <c r="R209" i="5" s="1"/>
  <c r="S209" i="5" s="1"/>
  <c r="W209" i="5" s="1"/>
  <c r="AU209" i="5"/>
  <c r="AR209" i="5"/>
  <c r="AS209" i="5" s="1"/>
  <c r="AT209" i="5"/>
  <c r="U209" i="5"/>
  <c r="AV209" i="5"/>
  <c r="AN209" i="5"/>
  <c r="AO209" i="5" s="1"/>
  <c r="B181" i="35"/>
  <c r="L180" i="35"/>
  <c r="M180" i="35" s="1"/>
  <c r="E180" i="35"/>
  <c r="I180" i="35"/>
  <c r="D208" i="5" s="1"/>
  <c r="G180" i="35"/>
  <c r="F180" i="35"/>
  <c r="N18" i="21"/>
  <c r="W169" i="32"/>
  <c r="BB208" i="5"/>
  <c r="BC208" i="5" s="1"/>
  <c r="BA208" i="5"/>
  <c r="D171" i="31"/>
  <c r="C172" i="31"/>
  <c r="V169" i="34"/>
  <c r="U169" i="34"/>
  <c r="W169" i="34" s="1"/>
  <c r="T170" i="34"/>
  <c r="AV178" i="30"/>
  <c r="AB171" i="5"/>
  <c r="AB172" i="5"/>
  <c r="AD173" i="5"/>
  <c r="X173" i="5" s="1"/>
  <c r="AD175" i="5"/>
  <c r="X175" i="5" s="1"/>
  <c r="AD176" i="5"/>
  <c r="X176" i="5" s="1"/>
  <c r="AB177" i="5"/>
  <c r="AD179" i="5"/>
  <c r="X179" i="5" s="1"/>
  <c r="AG180" i="5"/>
  <c r="AG181" i="5"/>
  <c r="AG183" i="5"/>
  <c r="AD171" i="5"/>
  <c r="X171" i="5" s="1"/>
  <c r="AG172" i="5"/>
  <c r="AD174" i="5"/>
  <c r="X174" i="5" s="1"/>
  <c r="AB175" i="5"/>
  <c r="AB176" i="5"/>
  <c r="AG178" i="5"/>
  <c r="AB179" i="5"/>
  <c r="AB180" i="5"/>
  <c r="AD182" i="5"/>
  <c r="X182" i="5" s="1"/>
  <c r="AD183" i="5"/>
  <c r="X183" i="5" s="1"/>
  <c r="AG171" i="5"/>
  <c r="AG173" i="5"/>
  <c r="AB174" i="5"/>
  <c r="AG175" i="5"/>
  <c r="AD177" i="5"/>
  <c r="X177" i="5" s="1"/>
  <c r="AD178" i="5"/>
  <c r="X178" i="5" s="1"/>
  <c r="AG179" i="5"/>
  <c r="AD181" i="5"/>
  <c r="X181" i="5" s="1"/>
  <c r="AG182" i="5"/>
  <c r="AB183" i="5"/>
  <c r="AD172" i="5"/>
  <c r="X172" i="5" s="1"/>
  <c r="AB173" i="5"/>
  <c r="AG174" i="5"/>
  <c r="AG176" i="5"/>
  <c r="AG177" i="5"/>
  <c r="AB178" i="5"/>
  <c r="AD180" i="5"/>
  <c r="X180" i="5" s="1"/>
  <c r="AB181" i="5"/>
  <c r="AB182" i="5"/>
  <c r="T171" i="32"/>
  <c r="U170" i="32"/>
  <c r="W170" i="32" s="1"/>
  <c r="V170" i="32"/>
  <c r="P179" i="30"/>
  <c r="E179" i="30"/>
  <c r="F179" i="30"/>
  <c r="C180" i="30"/>
  <c r="G179" i="30"/>
  <c r="M167" i="39" l="1"/>
  <c r="L167" i="39"/>
  <c r="K168" i="39"/>
  <c r="AW200" i="5"/>
  <c r="D170" i="30"/>
  <c r="S170" i="30" s="1"/>
  <c r="N172" i="35" s="1"/>
  <c r="E200" i="5" s="1"/>
  <c r="B179" i="30"/>
  <c r="R180" i="30"/>
  <c r="V209" i="5"/>
  <c r="AK168" i="5"/>
  <c r="AK169" i="5" s="1"/>
  <c r="AK170" i="5" s="1"/>
  <c r="AE168" i="5"/>
  <c r="AE169" i="5" s="1"/>
  <c r="AE170" i="5" s="1"/>
  <c r="AE171" i="5" s="1"/>
  <c r="AE172" i="5" s="1"/>
  <c r="AE173" i="5" s="1"/>
  <c r="AE174" i="5" s="1"/>
  <c r="AE175" i="5" s="1"/>
  <c r="AE176" i="5" s="1"/>
  <c r="AE177" i="5" s="1"/>
  <c r="AE178" i="5" s="1"/>
  <c r="AE179" i="5" s="1"/>
  <c r="AE180" i="5" s="1"/>
  <c r="AE181" i="5" s="1"/>
  <c r="AE182" i="5" s="1"/>
  <c r="AE183" i="5" s="1"/>
  <c r="H179" i="30"/>
  <c r="D181" i="35" s="1"/>
  <c r="V170" i="34"/>
  <c r="T171" i="34"/>
  <c r="U170" i="34"/>
  <c r="W170" i="34" s="1"/>
  <c r="H209" i="5"/>
  <c r="BB209" i="5"/>
  <c r="BC209" i="5" s="1"/>
  <c r="BA209" i="5"/>
  <c r="F180" i="30"/>
  <c r="G180" i="30"/>
  <c r="C181" i="30"/>
  <c r="E180" i="30"/>
  <c r="P180" i="30"/>
  <c r="J210" i="5" s="1"/>
  <c r="C209" i="5"/>
  <c r="U171" i="32"/>
  <c r="AW201" i="5" s="1"/>
  <c r="T172" i="32"/>
  <c r="V171" i="32"/>
  <c r="B182" i="35"/>
  <c r="C210" i="5" s="1"/>
  <c r="F181" i="35"/>
  <c r="L181" i="35"/>
  <c r="M181" i="35" s="1"/>
  <c r="E181" i="35"/>
  <c r="I181" i="35"/>
  <c r="D209" i="5" s="1"/>
  <c r="G181" i="35"/>
  <c r="G209" i="5"/>
  <c r="I209" i="5"/>
  <c r="A211" i="5"/>
  <c r="AI211" i="5" s="1"/>
  <c r="AZ210" i="5"/>
  <c r="N210" i="5"/>
  <c r="R210" i="5" s="1"/>
  <c r="S210" i="5" s="1"/>
  <c r="W210" i="5" s="1"/>
  <c r="AR210" i="5"/>
  <c r="AS210" i="5" s="1"/>
  <c r="AU210" i="5"/>
  <c r="U210" i="5"/>
  <c r="AV210" i="5"/>
  <c r="BD210" i="5"/>
  <c r="AT210" i="5"/>
  <c r="AN210" i="5"/>
  <c r="AO210" i="5" s="1"/>
  <c r="AV179" i="30"/>
  <c r="D172" i="31"/>
  <c r="C173" i="31"/>
  <c r="J209" i="5"/>
  <c r="M168" i="39" l="1"/>
  <c r="L168" i="39"/>
  <c r="K169" i="39"/>
  <c r="R181" i="30"/>
  <c r="AW202" i="5"/>
  <c r="B180" i="30"/>
  <c r="D171" i="30"/>
  <c r="S171" i="30" s="1"/>
  <c r="N173" i="35" s="1"/>
  <c r="E201" i="5" s="1"/>
  <c r="V210" i="5"/>
  <c r="H210" i="5"/>
  <c r="G210" i="5"/>
  <c r="I210" i="5"/>
  <c r="D173" i="31"/>
  <c r="C174" i="31"/>
  <c r="A212" i="5"/>
  <c r="AI212" i="5" s="1"/>
  <c r="AZ211" i="5"/>
  <c r="N211" i="5"/>
  <c r="R211" i="5" s="1"/>
  <c r="S211" i="5" s="1"/>
  <c r="W211" i="5" s="1"/>
  <c r="BD211" i="5"/>
  <c r="AU211" i="5"/>
  <c r="AV211" i="5"/>
  <c r="AT211" i="5"/>
  <c r="U211" i="5"/>
  <c r="AN211" i="5"/>
  <c r="AO211" i="5" s="1"/>
  <c r="AR211" i="5"/>
  <c r="AS211" i="5" s="1"/>
  <c r="AK171" i="5"/>
  <c r="AK172" i="5" s="1"/>
  <c r="AK173" i="5" s="1"/>
  <c r="AK174" i="5" s="1"/>
  <c r="AK175" i="5" s="1"/>
  <c r="AK176" i="5" s="1"/>
  <c r="AK177" i="5" s="1"/>
  <c r="AK178" i="5" s="1"/>
  <c r="AK179" i="5" s="1"/>
  <c r="AK180" i="5" s="1"/>
  <c r="AK181" i="5" s="1"/>
  <c r="AK182" i="5" s="1"/>
  <c r="AK183" i="5" s="1"/>
  <c r="U172" i="32"/>
  <c r="W172" i="32" s="1"/>
  <c r="T173" i="32"/>
  <c r="V172" i="32"/>
  <c r="BB210" i="5"/>
  <c r="BC210" i="5" s="1"/>
  <c r="BA210" i="5"/>
  <c r="W171" i="32"/>
  <c r="AV180" i="30"/>
  <c r="B183" i="35"/>
  <c r="I182" i="35"/>
  <c r="D210" i="5" s="1"/>
  <c r="F182" i="35"/>
  <c r="L182" i="35"/>
  <c r="M182" i="35" s="1"/>
  <c r="E182" i="35"/>
  <c r="G182" i="35"/>
  <c r="H180" i="30"/>
  <c r="E181" i="30"/>
  <c r="F181" i="30"/>
  <c r="G181" i="30"/>
  <c r="P181" i="30"/>
  <c r="C182" i="30"/>
  <c r="T172" i="34"/>
  <c r="U171" i="34"/>
  <c r="W171" i="34" s="1"/>
  <c r="V171" i="34"/>
  <c r="M169" i="39" l="1"/>
  <c r="L169" i="39"/>
  <c r="K170" i="39"/>
  <c r="D172" i="30"/>
  <c r="S172" i="30" s="1"/>
  <c r="N174" i="35" s="1"/>
  <c r="E202" i="5" s="1"/>
  <c r="B181" i="30"/>
  <c r="R182" i="30"/>
  <c r="V211" i="5"/>
  <c r="AV181" i="30"/>
  <c r="U173" i="32"/>
  <c r="D173" i="30" s="1"/>
  <c r="S173" i="30" s="1"/>
  <c r="N175" i="35" s="1"/>
  <c r="E203" i="5" s="1"/>
  <c r="T174" i="32"/>
  <c r="V173" i="32"/>
  <c r="I211" i="5"/>
  <c r="A213" i="5"/>
  <c r="AI213" i="5" s="1"/>
  <c r="AZ212" i="5"/>
  <c r="N212" i="5"/>
  <c r="R212" i="5" s="1"/>
  <c r="S212" i="5" s="1"/>
  <c r="W212" i="5" s="1"/>
  <c r="AR212" i="5"/>
  <c r="AS212" i="5" s="1"/>
  <c r="AU212" i="5"/>
  <c r="AV212" i="5"/>
  <c r="BD212" i="5"/>
  <c r="AN212" i="5"/>
  <c r="AO212" i="5" s="1"/>
  <c r="AT212" i="5"/>
  <c r="U212" i="5"/>
  <c r="H181" i="30"/>
  <c r="D183" i="35" s="1"/>
  <c r="D174" i="31"/>
  <c r="C175" i="31"/>
  <c r="B184" i="35"/>
  <c r="I183" i="35"/>
  <c r="D211" i="5" s="1"/>
  <c r="G183" i="35"/>
  <c r="F183" i="35"/>
  <c r="E183" i="35"/>
  <c r="L183" i="35"/>
  <c r="M183" i="35" s="1"/>
  <c r="G211" i="5"/>
  <c r="J211" i="5"/>
  <c r="U172" i="34"/>
  <c r="W172" i="34" s="1"/>
  <c r="T173" i="34"/>
  <c r="V172" i="34"/>
  <c r="C183" i="30"/>
  <c r="E182" i="30"/>
  <c r="F182" i="30"/>
  <c r="P182" i="30"/>
  <c r="G182" i="30"/>
  <c r="D182" i="35"/>
  <c r="C211" i="5"/>
  <c r="H211" i="5"/>
  <c r="BB211" i="5"/>
  <c r="BC211" i="5" s="1"/>
  <c r="BA211" i="5"/>
  <c r="M170" i="39" l="1"/>
  <c r="L170" i="39"/>
  <c r="K171" i="39"/>
  <c r="AW203" i="5"/>
  <c r="B182" i="30"/>
  <c r="R183" i="30"/>
  <c r="V212" i="5"/>
  <c r="B185" i="35"/>
  <c r="H213" i="5" s="1"/>
  <c r="L184" i="35"/>
  <c r="M184" i="35" s="1"/>
  <c r="E184" i="35"/>
  <c r="I184" i="35"/>
  <c r="D212" i="5" s="1"/>
  <c r="G184" i="35"/>
  <c r="F184" i="35"/>
  <c r="H212" i="5"/>
  <c r="I212" i="5"/>
  <c r="BB212" i="5"/>
  <c r="BC212" i="5" s="1"/>
  <c r="BA212" i="5"/>
  <c r="A214" i="5"/>
  <c r="AI214" i="5" s="1"/>
  <c r="AZ213" i="5"/>
  <c r="BD213" i="5"/>
  <c r="N213" i="5"/>
  <c r="R213" i="5" s="1"/>
  <c r="S213" i="5" s="1"/>
  <c r="W213" i="5" s="1"/>
  <c r="AU213" i="5"/>
  <c r="AR213" i="5"/>
  <c r="AS213" i="5" s="1"/>
  <c r="AT213" i="5"/>
  <c r="U213" i="5"/>
  <c r="AV213" i="5"/>
  <c r="AN213" i="5"/>
  <c r="AO213" i="5" s="1"/>
  <c r="T175" i="32"/>
  <c r="U174" i="32"/>
  <c r="V174" i="32"/>
  <c r="AV182" i="30"/>
  <c r="H182" i="30"/>
  <c r="T174" i="34"/>
  <c r="U173" i="34"/>
  <c r="W173" i="34" s="1"/>
  <c r="V173" i="34"/>
  <c r="C212" i="5"/>
  <c r="W173" i="32"/>
  <c r="D175" i="31"/>
  <c r="C176" i="31"/>
  <c r="G183" i="30"/>
  <c r="C184" i="30"/>
  <c r="E183" i="30"/>
  <c r="F183" i="30"/>
  <c r="P183" i="30"/>
  <c r="J212" i="5"/>
  <c r="G212" i="5"/>
  <c r="M171" i="39" l="1"/>
  <c r="L171" i="39"/>
  <c r="K172" i="39"/>
  <c r="C213" i="5"/>
  <c r="B183" i="30"/>
  <c r="R184" i="30"/>
  <c r="I213" i="5"/>
  <c r="V213" i="5"/>
  <c r="G213" i="5"/>
  <c r="AV183" i="30"/>
  <c r="H183" i="30"/>
  <c r="U174" i="34"/>
  <c r="W174" i="34" s="1"/>
  <c r="T175" i="34"/>
  <c r="V174" i="34"/>
  <c r="J213" i="5"/>
  <c r="BB213" i="5"/>
  <c r="BC213" i="5" s="1"/>
  <c r="BA213" i="5"/>
  <c r="B186" i="35"/>
  <c r="G214" i="5" s="1"/>
  <c r="F185" i="35"/>
  <c r="L185" i="35"/>
  <c r="M185" i="35" s="1"/>
  <c r="E185" i="35"/>
  <c r="I185" i="35"/>
  <c r="D213" i="5" s="1"/>
  <c r="D185" i="35"/>
  <c r="G185" i="35"/>
  <c r="W174" i="32"/>
  <c r="A215" i="5"/>
  <c r="AI215" i="5" s="1"/>
  <c r="AZ214" i="5"/>
  <c r="N214" i="5"/>
  <c r="R214" i="5" s="1"/>
  <c r="S214" i="5" s="1"/>
  <c r="W214" i="5" s="1"/>
  <c r="AR214" i="5"/>
  <c r="AS214" i="5" s="1"/>
  <c r="AU214" i="5"/>
  <c r="U214" i="5"/>
  <c r="BD214" i="5"/>
  <c r="AT214" i="5"/>
  <c r="AV214" i="5"/>
  <c r="AN214" i="5"/>
  <c r="AO214" i="5" s="1"/>
  <c r="F184" i="30"/>
  <c r="G184" i="30"/>
  <c r="C185" i="30"/>
  <c r="E184" i="30"/>
  <c r="P184" i="30"/>
  <c r="D176" i="31"/>
  <c r="C177" i="31"/>
  <c r="U175" i="32"/>
  <c r="W175" i="32" s="1"/>
  <c r="T176" i="32"/>
  <c r="V175" i="32"/>
  <c r="D184" i="35"/>
  <c r="H214" i="5" l="1"/>
  <c r="C214" i="5"/>
  <c r="D175" i="30"/>
  <c r="S175" i="30" s="1"/>
  <c r="N177" i="35" s="1"/>
  <c r="E205" i="5" s="1"/>
  <c r="M172" i="39"/>
  <c r="L172" i="39"/>
  <c r="K173" i="39"/>
  <c r="R185" i="30"/>
  <c r="B184" i="30"/>
  <c r="V214" i="5"/>
  <c r="I214" i="5"/>
  <c r="A216" i="5"/>
  <c r="AI216" i="5" s="1"/>
  <c r="AZ215" i="5"/>
  <c r="N215" i="5"/>
  <c r="R215" i="5" s="1"/>
  <c r="S215" i="5" s="1"/>
  <c r="W215" i="5" s="1"/>
  <c r="BD215" i="5"/>
  <c r="AU215" i="5"/>
  <c r="U215" i="5"/>
  <c r="AR215" i="5"/>
  <c r="AS215" i="5" s="1"/>
  <c r="AV215" i="5"/>
  <c r="AN215" i="5"/>
  <c r="AO215" i="5" s="1"/>
  <c r="AT215" i="5"/>
  <c r="H184" i="30"/>
  <c r="D186" i="35" s="1"/>
  <c r="B187" i="35"/>
  <c r="I186" i="35"/>
  <c r="D214" i="5" s="1"/>
  <c r="F186" i="35"/>
  <c r="L186" i="35"/>
  <c r="M186" i="35" s="1"/>
  <c r="E186" i="35"/>
  <c r="G186" i="35"/>
  <c r="AV184" i="30"/>
  <c r="E185" i="30"/>
  <c r="F185" i="30"/>
  <c r="G185" i="30"/>
  <c r="C186" i="30"/>
  <c r="P185" i="30"/>
  <c r="J214" i="5"/>
  <c r="BB214" i="5"/>
  <c r="BC214" i="5" s="1"/>
  <c r="BA214" i="5"/>
  <c r="T176" i="34"/>
  <c r="U175" i="34"/>
  <c r="W175" i="34" s="1"/>
  <c r="V175" i="34"/>
  <c r="U176" i="32"/>
  <c r="W176" i="32" s="1"/>
  <c r="T177" i="32"/>
  <c r="V176" i="32"/>
  <c r="D177" i="31"/>
  <c r="C178" i="31"/>
  <c r="R186" i="30" l="1"/>
  <c r="B185" i="30"/>
  <c r="M173" i="39"/>
  <c r="L173" i="39"/>
  <c r="AM175" i="30" s="1"/>
  <c r="K174" i="39"/>
  <c r="D176" i="30"/>
  <c r="S176" i="30" s="1"/>
  <c r="N178" i="35" s="1"/>
  <c r="E206" i="5" s="1"/>
  <c r="AW206" i="5"/>
  <c r="V215" i="5"/>
  <c r="D178" i="31"/>
  <c r="C179" i="31"/>
  <c r="U177" i="32"/>
  <c r="AW207" i="5" s="1"/>
  <c r="T178" i="32"/>
  <c r="V177" i="32"/>
  <c r="U176" i="34"/>
  <c r="W176" i="34" s="1"/>
  <c r="T177" i="34"/>
  <c r="V176" i="34"/>
  <c r="AV185" i="30"/>
  <c r="C215" i="5"/>
  <c r="C187" i="30"/>
  <c r="E186" i="30"/>
  <c r="F186" i="30"/>
  <c r="P186" i="30"/>
  <c r="G186" i="30"/>
  <c r="B188" i="35"/>
  <c r="C216" i="5" s="1"/>
  <c r="I187" i="35"/>
  <c r="D215" i="5" s="1"/>
  <c r="G187" i="35"/>
  <c r="E187" i="35"/>
  <c r="L187" i="35"/>
  <c r="M187" i="35" s="1"/>
  <c r="F187" i="35"/>
  <c r="G215" i="5"/>
  <c r="J215" i="5"/>
  <c r="H185" i="30"/>
  <c r="D187" i="35" s="1"/>
  <c r="H215" i="5"/>
  <c r="I215" i="5"/>
  <c r="BB215" i="5"/>
  <c r="BC215" i="5" s="1"/>
  <c r="BA215" i="5"/>
  <c r="A217" i="5"/>
  <c r="AI217" i="5" s="1"/>
  <c r="AZ216" i="5"/>
  <c r="N216" i="5"/>
  <c r="R216" i="5" s="1"/>
  <c r="S216" i="5" s="1"/>
  <c r="W216" i="5" s="1"/>
  <c r="AR216" i="5"/>
  <c r="AS216" i="5" s="1"/>
  <c r="AU216" i="5"/>
  <c r="AV216" i="5"/>
  <c r="AT216" i="5"/>
  <c r="U216" i="5"/>
  <c r="BD216" i="5"/>
  <c r="J216" i="5"/>
  <c r="AN216" i="5"/>
  <c r="AO216" i="5" s="1"/>
  <c r="M174" i="39" l="1"/>
  <c r="L174" i="39"/>
  <c r="AM176" i="30" s="1"/>
  <c r="K175" i="39"/>
  <c r="B186" i="30"/>
  <c r="R187" i="30"/>
  <c r="V216" i="5"/>
  <c r="H216" i="5"/>
  <c r="G216" i="5"/>
  <c r="I216" i="5"/>
  <c r="G187" i="30"/>
  <c r="C188" i="30"/>
  <c r="E187" i="30"/>
  <c r="F187" i="30"/>
  <c r="P187" i="30"/>
  <c r="J217" i="5" s="1"/>
  <c r="W177" i="32"/>
  <c r="D179" i="31"/>
  <c r="C180" i="31"/>
  <c r="A218" i="5"/>
  <c r="AI218" i="5" s="1"/>
  <c r="AZ217" i="5"/>
  <c r="BD217" i="5"/>
  <c r="N217" i="5"/>
  <c r="R217" i="5" s="1"/>
  <c r="S217" i="5" s="1"/>
  <c r="W217" i="5" s="1"/>
  <c r="AR217" i="5"/>
  <c r="AS217" i="5" s="1"/>
  <c r="AT217" i="5"/>
  <c r="AU217" i="5"/>
  <c r="U217" i="5"/>
  <c r="AN217" i="5"/>
  <c r="AO217" i="5" s="1"/>
  <c r="AV217" i="5"/>
  <c r="AV186" i="30"/>
  <c r="H186" i="30"/>
  <c r="D188" i="35" s="1"/>
  <c r="T178" i="34"/>
  <c r="U177" i="34"/>
  <c r="W177" i="34" s="1"/>
  <c r="V177" i="34"/>
  <c r="BB216" i="5"/>
  <c r="BC216" i="5" s="1"/>
  <c r="BA216" i="5"/>
  <c r="B189" i="35"/>
  <c r="H217" i="5" s="1"/>
  <c r="L188" i="35"/>
  <c r="M188" i="35" s="1"/>
  <c r="E188" i="35"/>
  <c r="I188" i="35"/>
  <c r="D216" i="5" s="1"/>
  <c r="G188" i="35"/>
  <c r="F188" i="35"/>
  <c r="U178" i="32"/>
  <c r="W178" i="32" s="1"/>
  <c r="T179" i="32"/>
  <c r="V178" i="32"/>
  <c r="R188" i="30" l="1"/>
  <c r="M175" i="39"/>
  <c r="L175" i="39"/>
  <c r="K176" i="39"/>
  <c r="AW208" i="5"/>
  <c r="B187" i="30"/>
  <c r="V217" i="5"/>
  <c r="G217" i="5"/>
  <c r="I217" i="5"/>
  <c r="B190" i="35"/>
  <c r="H218" i="5" s="1"/>
  <c r="F189" i="35"/>
  <c r="L189" i="35"/>
  <c r="M189" i="35" s="1"/>
  <c r="E189" i="35"/>
  <c r="I189" i="35"/>
  <c r="D217" i="5" s="1"/>
  <c r="G189" i="35"/>
  <c r="U178" i="34"/>
  <c r="W178" i="34" s="1"/>
  <c r="T179" i="34"/>
  <c r="V178" i="34"/>
  <c r="C217" i="5"/>
  <c r="BA217" i="5"/>
  <c r="BB217" i="5"/>
  <c r="BC217" i="5" s="1"/>
  <c r="A219" i="5"/>
  <c r="AI219" i="5" s="1"/>
  <c r="N218" i="5"/>
  <c r="R218" i="5" s="1"/>
  <c r="S218" i="5" s="1"/>
  <c r="W218" i="5" s="1"/>
  <c r="AZ218" i="5"/>
  <c r="U218" i="5"/>
  <c r="BD218" i="5"/>
  <c r="AT218" i="5"/>
  <c r="AR218" i="5"/>
  <c r="AS218" i="5" s="1"/>
  <c r="AU218" i="5"/>
  <c r="AV218" i="5"/>
  <c r="AN218" i="5"/>
  <c r="AO218" i="5" s="1"/>
  <c r="F188" i="30"/>
  <c r="G188" i="30"/>
  <c r="C189" i="30"/>
  <c r="E188" i="30"/>
  <c r="P188" i="30"/>
  <c r="J218" i="5" s="1"/>
  <c r="U179" i="32"/>
  <c r="T180" i="32"/>
  <c r="V179" i="32"/>
  <c r="D180" i="31"/>
  <c r="C181" i="31"/>
  <c r="AV187" i="30"/>
  <c r="H187" i="30"/>
  <c r="M176" i="39" l="1"/>
  <c r="L176" i="39"/>
  <c r="K177" i="39"/>
  <c r="B188" i="30"/>
  <c r="R189" i="30"/>
  <c r="V218" i="5"/>
  <c r="I218" i="5"/>
  <c r="C218" i="5"/>
  <c r="G218" i="5"/>
  <c r="H188" i="30"/>
  <c r="U180" i="32"/>
  <c r="D180" i="30" s="1"/>
  <c r="S180" i="30" s="1"/>
  <c r="N182" i="35" s="1"/>
  <c r="E210" i="5" s="1"/>
  <c r="T181" i="32"/>
  <c r="V180" i="32"/>
  <c r="E189" i="30"/>
  <c r="F189" i="30"/>
  <c r="G189" i="30"/>
  <c r="C190" i="30"/>
  <c r="P189" i="30"/>
  <c r="J219" i="5" s="1"/>
  <c r="BB218" i="5"/>
  <c r="BC218" i="5" s="1"/>
  <c r="BA218" i="5"/>
  <c r="C20" i="21"/>
  <c r="C21" i="21"/>
  <c r="T180" i="34"/>
  <c r="U179" i="34"/>
  <c r="W179" i="34" s="1"/>
  <c r="V179" i="34"/>
  <c r="W179" i="32"/>
  <c r="B191" i="35"/>
  <c r="I219" i="5" s="1"/>
  <c r="I190" i="35"/>
  <c r="D218" i="5" s="1"/>
  <c r="F190" i="35"/>
  <c r="L190" i="35"/>
  <c r="M190" i="35" s="1"/>
  <c r="E190" i="35"/>
  <c r="G190" i="35"/>
  <c r="D190" i="35"/>
  <c r="D189" i="35"/>
  <c r="D181" i="31"/>
  <c r="C182" i="31"/>
  <c r="AV188" i="30"/>
  <c r="A220" i="5"/>
  <c r="AI220" i="5" s="1"/>
  <c r="N219" i="5"/>
  <c r="R219" i="5" s="1"/>
  <c r="S219" i="5" s="1"/>
  <c r="W219" i="5" s="1"/>
  <c r="AR219" i="5"/>
  <c r="AS219" i="5" s="1"/>
  <c r="AT219" i="5"/>
  <c r="BD219" i="5"/>
  <c r="U219" i="5"/>
  <c r="AV219" i="5"/>
  <c r="AU219" i="5"/>
  <c r="AZ219" i="5"/>
  <c r="AN219" i="5"/>
  <c r="AO219" i="5" s="1"/>
  <c r="C219" i="5" l="1"/>
  <c r="M177" i="39"/>
  <c r="L177" i="39"/>
  <c r="K178" i="39"/>
  <c r="B189" i="30"/>
  <c r="W180" i="32"/>
  <c r="AW210" i="5"/>
  <c r="R190" i="30"/>
  <c r="V219" i="5"/>
  <c r="G219" i="5"/>
  <c r="H219" i="5"/>
  <c r="M21" i="21"/>
  <c r="H189" i="30"/>
  <c r="D191" i="35" s="1"/>
  <c r="B192" i="35"/>
  <c r="H220" i="5" s="1"/>
  <c r="I191" i="35"/>
  <c r="D219" i="5" s="1"/>
  <c r="G191" i="35"/>
  <c r="F191" i="35"/>
  <c r="L191" i="35"/>
  <c r="M191" i="35" s="1"/>
  <c r="E191" i="35"/>
  <c r="T182" i="32"/>
  <c r="U181" i="32"/>
  <c r="D181" i="30" s="1"/>
  <c r="S181" i="30" s="1"/>
  <c r="N183" i="35" s="1"/>
  <c r="E211" i="5" s="1"/>
  <c r="V181" i="32"/>
  <c r="BB219" i="5"/>
  <c r="BC219" i="5" s="1"/>
  <c r="BA219" i="5"/>
  <c r="A221" i="5"/>
  <c r="AI221" i="5" s="1"/>
  <c r="N220" i="5"/>
  <c r="R220" i="5" s="1"/>
  <c r="S220" i="5" s="1"/>
  <c r="W220" i="5" s="1"/>
  <c r="AZ220" i="5"/>
  <c r="BD220" i="5"/>
  <c r="AT220" i="5"/>
  <c r="AR220" i="5"/>
  <c r="AS220" i="5" s="1"/>
  <c r="AU220" i="5"/>
  <c r="U220" i="5"/>
  <c r="AV220" i="5"/>
  <c r="AN220" i="5"/>
  <c r="AO220" i="5" s="1"/>
  <c r="D182" i="31"/>
  <c r="C183" i="31"/>
  <c r="B21" i="21"/>
  <c r="BA6" i="30"/>
  <c r="V180" i="34"/>
  <c r="T181" i="34"/>
  <c r="U180" i="34"/>
  <c r="W180" i="34" s="1"/>
  <c r="AV189" i="30"/>
  <c r="C191" i="30"/>
  <c r="E190" i="30"/>
  <c r="F190" i="30"/>
  <c r="G190" i="30"/>
  <c r="P190" i="30"/>
  <c r="M178" i="39" l="1"/>
  <c r="L178" i="39"/>
  <c r="AM180" i="30" s="1"/>
  <c r="K179" i="39"/>
  <c r="B190" i="30"/>
  <c r="R191" i="30"/>
  <c r="V220" i="5"/>
  <c r="G220" i="5"/>
  <c r="I220" i="5"/>
  <c r="C220" i="5"/>
  <c r="AY190" i="30"/>
  <c r="BB6" i="30"/>
  <c r="H190" i="30"/>
  <c r="D192" i="35" s="1"/>
  <c r="AZ190" i="30"/>
  <c r="BB190" i="30" s="1"/>
  <c r="G191" i="30"/>
  <c r="C192" i="30"/>
  <c r="E191" i="30"/>
  <c r="P191" i="30"/>
  <c r="J221" i="5" s="1"/>
  <c r="F191" i="30"/>
  <c r="AY191" i="30"/>
  <c r="AZ191" i="30"/>
  <c r="AY16" i="30"/>
  <c r="AZ16" i="30"/>
  <c r="AZ15" i="30"/>
  <c r="AZ23" i="30"/>
  <c r="AY23" i="30"/>
  <c r="AY40" i="30"/>
  <c r="AZ40" i="30"/>
  <c r="AY41" i="30"/>
  <c r="AZ41" i="30"/>
  <c r="AZ42" i="30"/>
  <c r="AY42" i="30"/>
  <c r="AY43" i="30"/>
  <c r="AZ43" i="30"/>
  <c r="AZ44" i="30"/>
  <c r="AY44" i="30"/>
  <c r="AY45" i="30"/>
  <c r="AZ45" i="30"/>
  <c r="AY46" i="30"/>
  <c r="AZ46" i="30"/>
  <c r="AZ47" i="30"/>
  <c r="AY47" i="30"/>
  <c r="AZ54" i="30"/>
  <c r="AY54" i="30"/>
  <c r="AZ55" i="30"/>
  <c r="AY55" i="30"/>
  <c r="AY56" i="30"/>
  <c r="AZ56" i="30"/>
  <c r="AZ57" i="30"/>
  <c r="AY57" i="30"/>
  <c r="AZ58" i="30"/>
  <c r="AY58" i="30"/>
  <c r="AZ59" i="30"/>
  <c r="AY59" i="30"/>
  <c r="AY60" i="30"/>
  <c r="AZ60" i="30"/>
  <c r="AZ61" i="30"/>
  <c r="AY61" i="30"/>
  <c r="AY62" i="30"/>
  <c r="AZ62" i="30"/>
  <c r="AZ63" i="30"/>
  <c r="AY63" i="30"/>
  <c r="AZ64" i="30"/>
  <c r="AY64" i="30"/>
  <c r="AY74" i="30"/>
  <c r="AY75" i="30"/>
  <c r="AY76" i="30"/>
  <c r="AY77" i="30"/>
  <c r="AY78" i="30"/>
  <c r="AY85" i="30"/>
  <c r="AY86" i="30"/>
  <c r="AY87" i="30"/>
  <c r="AY90" i="30"/>
  <c r="AY91" i="30"/>
  <c r="AY92" i="30"/>
  <c r="AY98" i="30"/>
  <c r="AY99" i="30"/>
  <c r="AY100" i="30"/>
  <c r="AY111" i="30"/>
  <c r="AY112" i="30"/>
  <c r="AY120" i="30"/>
  <c r="AY124" i="30"/>
  <c r="AY125" i="30"/>
  <c r="AY131" i="30"/>
  <c r="AY132" i="30"/>
  <c r="AY137" i="30"/>
  <c r="AY140" i="30"/>
  <c r="AY141" i="30"/>
  <c r="AY142" i="30"/>
  <c r="AY143" i="30"/>
  <c r="AY144" i="30"/>
  <c r="AY145" i="30"/>
  <c r="AY146" i="30"/>
  <c r="AY147" i="30"/>
  <c r="AY153" i="30"/>
  <c r="AY154" i="30"/>
  <c r="AY155" i="30"/>
  <c r="AY158" i="30"/>
  <c r="AY159" i="30"/>
  <c r="AY163" i="30"/>
  <c r="AY164" i="30"/>
  <c r="AY165" i="30"/>
  <c r="AY166" i="30"/>
  <c r="AY170" i="30"/>
  <c r="AY171" i="30"/>
  <c r="AY172" i="30"/>
  <c r="AZ180" i="30"/>
  <c r="AY180" i="30"/>
  <c r="AZ181" i="30"/>
  <c r="AY181" i="30"/>
  <c r="AZ182" i="30"/>
  <c r="AY182" i="30"/>
  <c r="AY183" i="30"/>
  <c r="AZ183" i="30"/>
  <c r="AY184" i="30"/>
  <c r="AZ184" i="30"/>
  <c r="AZ185" i="30"/>
  <c r="AY185" i="30"/>
  <c r="AY186" i="30"/>
  <c r="AZ186" i="30"/>
  <c r="AZ187" i="30"/>
  <c r="AY187" i="30"/>
  <c r="AY188" i="30"/>
  <c r="AZ188" i="30"/>
  <c r="AY189" i="30"/>
  <c r="AZ189" i="30"/>
  <c r="BB220" i="5"/>
  <c r="BC220" i="5" s="1"/>
  <c r="BA220" i="5"/>
  <c r="U182" i="32"/>
  <c r="D182" i="30" s="1"/>
  <c r="S182" i="30" s="1"/>
  <c r="N184" i="35" s="1"/>
  <c r="E212" i="5" s="1"/>
  <c r="T183" i="32"/>
  <c r="V182" i="32"/>
  <c r="L192" i="35"/>
  <c r="M192" i="35" s="1"/>
  <c r="E192" i="35"/>
  <c r="I192" i="35"/>
  <c r="D220" i="5" s="1"/>
  <c r="B193" i="35"/>
  <c r="C221" i="5" s="1"/>
  <c r="G192" i="35"/>
  <c r="F192" i="35"/>
  <c r="B162" i="5"/>
  <c r="T162" i="5" s="1"/>
  <c r="B163" i="5"/>
  <c r="T163" i="5" s="1"/>
  <c r="B164" i="5"/>
  <c r="T164" i="5" s="1"/>
  <c r="B165" i="5"/>
  <c r="T165" i="5" s="1"/>
  <c r="B166" i="5"/>
  <c r="T166" i="5" s="1"/>
  <c r="B167" i="5"/>
  <c r="T167" i="5" s="1"/>
  <c r="B168" i="5"/>
  <c r="T168" i="5" s="1"/>
  <c r="B169" i="5"/>
  <c r="T169" i="5" s="1"/>
  <c r="B170" i="5"/>
  <c r="T170" i="5" s="1"/>
  <c r="B171" i="5"/>
  <c r="T171" i="5" s="1"/>
  <c r="B172" i="5"/>
  <c r="T172" i="5" s="1"/>
  <c r="B173" i="5"/>
  <c r="T173" i="5" s="1"/>
  <c r="B174" i="5"/>
  <c r="T174" i="5" s="1"/>
  <c r="B175" i="5"/>
  <c r="T175" i="5" s="1"/>
  <c r="B176" i="5"/>
  <c r="T176" i="5" s="1"/>
  <c r="B177" i="5"/>
  <c r="T177" i="5" s="1"/>
  <c r="B178" i="5"/>
  <c r="T178" i="5" s="1"/>
  <c r="B179" i="5"/>
  <c r="T179" i="5" s="1"/>
  <c r="B180" i="5"/>
  <c r="T180" i="5" s="1"/>
  <c r="B181" i="5"/>
  <c r="T181" i="5" s="1"/>
  <c r="B182" i="5"/>
  <c r="T182" i="5" s="1"/>
  <c r="B183" i="5"/>
  <c r="T183" i="5" s="1"/>
  <c r="B184" i="5"/>
  <c r="T184" i="5" s="1"/>
  <c r="B185" i="5"/>
  <c r="T185" i="5" s="1"/>
  <c r="B186" i="5"/>
  <c r="T186" i="5" s="1"/>
  <c r="B187" i="5"/>
  <c r="T187" i="5" s="1"/>
  <c r="B188" i="5"/>
  <c r="T188" i="5" s="1"/>
  <c r="B189" i="5"/>
  <c r="T189" i="5" s="1"/>
  <c r="B190" i="5"/>
  <c r="T190" i="5" s="1"/>
  <c r="B191" i="5"/>
  <c r="T191" i="5" s="1"/>
  <c r="B192" i="5"/>
  <c r="T192" i="5" s="1"/>
  <c r="B193" i="5"/>
  <c r="T193" i="5" s="1"/>
  <c r="B194" i="5"/>
  <c r="T194" i="5" s="1"/>
  <c r="B195" i="5"/>
  <c r="T195" i="5" s="1"/>
  <c r="B196" i="5"/>
  <c r="T196" i="5" s="1"/>
  <c r="B197" i="5"/>
  <c r="T197" i="5" s="1"/>
  <c r="B198" i="5"/>
  <c r="T198" i="5" s="1"/>
  <c r="B199" i="5"/>
  <c r="T199" i="5" s="1"/>
  <c r="B200" i="5"/>
  <c r="T200" i="5" s="1"/>
  <c r="B201" i="5"/>
  <c r="T201" i="5" s="1"/>
  <c r="B202" i="5"/>
  <c r="T202" i="5" s="1"/>
  <c r="B203" i="5"/>
  <c r="T203" i="5" s="1"/>
  <c r="B204" i="5"/>
  <c r="T204" i="5" s="1"/>
  <c r="B205" i="5"/>
  <c r="T205" i="5" s="1"/>
  <c r="B206" i="5"/>
  <c r="T206" i="5" s="1"/>
  <c r="B207" i="5"/>
  <c r="T207" i="5" s="1"/>
  <c r="B208" i="5"/>
  <c r="T208" i="5" s="1"/>
  <c r="B209" i="5"/>
  <c r="T209" i="5" s="1"/>
  <c r="B210" i="5"/>
  <c r="T210" i="5" s="1"/>
  <c r="B211" i="5"/>
  <c r="T211" i="5" s="1"/>
  <c r="B212" i="5"/>
  <c r="T212" i="5" s="1"/>
  <c r="B213" i="5"/>
  <c r="T213" i="5" s="1"/>
  <c r="B214" i="5"/>
  <c r="T214" i="5" s="1"/>
  <c r="B215" i="5"/>
  <c r="T215" i="5" s="1"/>
  <c r="B216" i="5"/>
  <c r="T216" i="5" s="1"/>
  <c r="B217" i="5"/>
  <c r="T217" i="5" s="1"/>
  <c r="B218" i="5"/>
  <c r="T218" i="5" s="1"/>
  <c r="B219" i="5"/>
  <c r="T219" i="5" s="1"/>
  <c r="AV190" i="30"/>
  <c r="V181" i="34"/>
  <c r="T182" i="34"/>
  <c r="U181" i="34"/>
  <c r="W181" i="34" s="1"/>
  <c r="D183" i="31"/>
  <c r="C184" i="31"/>
  <c r="J220" i="5"/>
  <c r="A222" i="5"/>
  <c r="AI222" i="5" s="1"/>
  <c r="AU221" i="5"/>
  <c r="AR221" i="5"/>
  <c r="AS221" i="5" s="1"/>
  <c r="AT221" i="5"/>
  <c r="BD221" i="5"/>
  <c r="AV221" i="5"/>
  <c r="AN221" i="5"/>
  <c r="AO221" i="5" s="1"/>
  <c r="N221" i="5"/>
  <c r="R221" i="5" s="1"/>
  <c r="S221" i="5" s="1"/>
  <c r="W221" i="5" s="1"/>
  <c r="AZ221" i="5"/>
  <c r="U221" i="5"/>
  <c r="W181" i="32"/>
  <c r="B191" i="30" l="1"/>
  <c r="M179" i="39"/>
  <c r="L179" i="39"/>
  <c r="AM181" i="30" s="1"/>
  <c r="K180" i="39"/>
  <c r="R192" i="30"/>
  <c r="V221" i="5"/>
  <c r="H221" i="5"/>
  <c r="I221" i="5"/>
  <c r="G221" i="5"/>
  <c r="A223" i="5"/>
  <c r="AI223" i="5" s="1"/>
  <c r="N222" i="5"/>
  <c r="R222" i="5" s="1"/>
  <c r="S222" i="5" s="1"/>
  <c r="W222" i="5" s="1"/>
  <c r="AZ222" i="5"/>
  <c r="U222" i="5"/>
  <c r="BD222" i="5"/>
  <c r="AT222" i="5"/>
  <c r="AR222" i="5"/>
  <c r="AS222" i="5" s="1"/>
  <c r="AU222" i="5"/>
  <c r="AN222" i="5"/>
  <c r="AO222" i="5" s="1"/>
  <c r="AV222" i="5"/>
  <c r="U183" i="32"/>
  <c r="W183" i="32" s="1"/>
  <c r="T184" i="32"/>
  <c r="V183" i="32"/>
  <c r="BB189" i="30"/>
  <c r="BB183" i="30"/>
  <c r="BB45" i="30"/>
  <c r="BB43" i="30"/>
  <c r="BB41" i="30"/>
  <c r="AV191" i="30"/>
  <c r="BB221" i="5"/>
  <c r="BC221" i="5" s="1"/>
  <c r="BA221" i="5"/>
  <c r="V182" i="34"/>
  <c r="U182" i="34"/>
  <c r="W182" i="34" s="1"/>
  <c r="T183" i="34"/>
  <c r="B194" i="35"/>
  <c r="F193" i="35"/>
  <c r="L193" i="35"/>
  <c r="M193" i="35" s="1"/>
  <c r="E193" i="35"/>
  <c r="I193" i="35"/>
  <c r="D221" i="5" s="1"/>
  <c r="G193" i="35"/>
  <c r="B220" i="5"/>
  <c r="T220" i="5" s="1"/>
  <c r="W182" i="32"/>
  <c r="BB187" i="30"/>
  <c r="BB185" i="30"/>
  <c r="BB181" i="30"/>
  <c r="BB63" i="30"/>
  <c r="BB61" i="30"/>
  <c r="BB59" i="30"/>
  <c r="BB57" i="30"/>
  <c r="BB55" i="30"/>
  <c r="BB47" i="30"/>
  <c r="BB23" i="30"/>
  <c r="F192" i="30"/>
  <c r="G192" i="30"/>
  <c r="C193" i="30"/>
  <c r="E192" i="30"/>
  <c r="P192" i="30"/>
  <c r="AY192" i="30"/>
  <c r="AZ192" i="30"/>
  <c r="D184" i="31"/>
  <c r="C185" i="31"/>
  <c r="BB188" i="30"/>
  <c r="BB186" i="30"/>
  <c r="BB184" i="30"/>
  <c r="BB62" i="30"/>
  <c r="BB60" i="30"/>
  <c r="BB56" i="30"/>
  <c r="BB46" i="30"/>
  <c r="BB40" i="30"/>
  <c r="BA15" i="30"/>
  <c r="BA16" i="30" s="1"/>
  <c r="BB15" i="30"/>
  <c r="BF190" i="30"/>
  <c r="BB182" i="30"/>
  <c r="BB180" i="30"/>
  <c r="BB64" i="30"/>
  <c r="BB58" i="30"/>
  <c r="BB54" i="30"/>
  <c r="BB44" i="30"/>
  <c r="BB42" i="30"/>
  <c r="BB16" i="30"/>
  <c r="BB191" i="30"/>
  <c r="H191" i="30"/>
  <c r="D193" i="35" s="1"/>
  <c r="M180" i="39" l="1"/>
  <c r="L180" i="39"/>
  <c r="AM182" i="30" s="1"/>
  <c r="K181" i="39"/>
  <c r="AW213" i="5"/>
  <c r="B192" i="30"/>
  <c r="R193" i="30"/>
  <c r="V222" i="5"/>
  <c r="H192" i="30"/>
  <c r="D194" i="35" s="1"/>
  <c r="BF16" i="30"/>
  <c r="BF54" i="30"/>
  <c r="BF56" i="30"/>
  <c r="BB192" i="30"/>
  <c r="E193" i="30"/>
  <c r="F193" i="30"/>
  <c r="G193" i="30"/>
  <c r="C194" i="30"/>
  <c r="P193" i="30"/>
  <c r="J223" i="5" s="1"/>
  <c r="AY193" i="30"/>
  <c r="AZ193" i="30"/>
  <c r="BF180" i="30"/>
  <c r="BF46" i="30"/>
  <c r="BF62" i="30"/>
  <c r="BF186" i="30"/>
  <c r="D185" i="31"/>
  <c r="C186" i="31"/>
  <c r="BF57" i="30"/>
  <c r="BF61" i="30"/>
  <c r="BF187" i="30"/>
  <c r="BF41" i="30"/>
  <c r="BF45" i="30"/>
  <c r="G222" i="5"/>
  <c r="BF184" i="30"/>
  <c r="BF191" i="30"/>
  <c r="BF42" i="30"/>
  <c r="BF58" i="30"/>
  <c r="BF40" i="30"/>
  <c r="BF60" i="30"/>
  <c r="BF188" i="30"/>
  <c r="BF23" i="30"/>
  <c r="BF181" i="30"/>
  <c r="B195" i="35"/>
  <c r="I194" i="35"/>
  <c r="D222" i="5" s="1"/>
  <c r="F194" i="35"/>
  <c r="L194" i="35"/>
  <c r="M194" i="35" s="1"/>
  <c r="E194" i="35"/>
  <c r="G194" i="35"/>
  <c r="BF189" i="30"/>
  <c r="C222" i="5"/>
  <c r="H222" i="5"/>
  <c r="BB222" i="5"/>
  <c r="BC222" i="5" s="1"/>
  <c r="BA222" i="5"/>
  <c r="AV192" i="30"/>
  <c r="BF185" i="30"/>
  <c r="V183" i="34"/>
  <c r="T184" i="34"/>
  <c r="U183" i="34"/>
  <c r="W183" i="34" s="1"/>
  <c r="BF43" i="30"/>
  <c r="J222" i="5"/>
  <c r="BF44" i="30"/>
  <c r="BF64" i="30"/>
  <c r="BF182" i="30"/>
  <c r="BC15" i="30"/>
  <c r="BC16" i="30" s="1"/>
  <c r="BF15" i="30"/>
  <c r="BF47" i="30"/>
  <c r="BF55" i="30"/>
  <c r="BF59" i="30"/>
  <c r="BF63" i="30"/>
  <c r="BF183" i="30"/>
  <c r="U184" i="32"/>
  <c r="W184" i="32" s="1"/>
  <c r="T185" i="32"/>
  <c r="V184" i="32"/>
  <c r="I222" i="5"/>
  <c r="A224" i="5"/>
  <c r="AI224" i="5" s="1"/>
  <c r="N223" i="5"/>
  <c r="R223" i="5" s="1"/>
  <c r="S223" i="5" s="1"/>
  <c r="W223" i="5" s="1"/>
  <c r="C223" i="5"/>
  <c r="I223" i="5"/>
  <c r="AU223" i="5"/>
  <c r="AR223" i="5"/>
  <c r="AS223" i="5" s="1"/>
  <c r="G223" i="5"/>
  <c r="AT223" i="5"/>
  <c r="BD223" i="5"/>
  <c r="AV223" i="5"/>
  <c r="AZ223" i="5"/>
  <c r="H223" i="5"/>
  <c r="AN223" i="5"/>
  <c r="AO223" i="5" s="1"/>
  <c r="U223" i="5"/>
  <c r="M181" i="39" l="1"/>
  <c r="L181" i="39"/>
  <c r="K182" i="39"/>
  <c r="D184" i="30"/>
  <c r="S184" i="30" s="1"/>
  <c r="N186" i="35" s="1"/>
  <c r="E214" i="5" s="1"/>
  <c r="AW214" i="5"/>
  <c r="B193" i="30"/>
  <c r="R194" i="30"/>
  <c r="V223" i="5"/>
  <c r="AX46" i="5"/>
  <c r="BD16" i="30"/>
  <c r="BB193" i="30"/>
  <c r="A225" i="5"/>
  <c r="AI225" i="5" s="1"/>
  <c r="N224" i="5"/>
  <c r="R224" i="5" s="1"/>
  <c r="S224" i="5" s="1"/>
  <c r="W224" i="5" s="1"/>
  <c r="AZ224" i="5"/>
  <c r="BD224" i="5"/>
  <c r="AU224" i="5"/>
  <c r="U224" i="5"/>
  <c r="AR224" i="5"/>
  <c r="AS224" i="5" s="1"/>
  <c r="AT224" i="5"/>
  <c r="AV224" i="5"/>
  <c r="AN224" i="5"/>
  <c r="AO224" i="5" s="1"/>
  <c r="D186" i="31"/>
  <c r="C187" i="31"/>
  <c r="C195" i="30"/>
  <c r="E194" i="30"/>
  <c r="F194" i="30"/>
  <c r="G194" i="30"/>
  <c r="P194" i="30"/>
  <c r="AY194" i="30"/>
  <c r="AZ194" i="30"/>
  <c r="BF192" i="30"/>
  <c r="BB223" i="5"/>
  <c r="BC223" i="5" s="1"/>
  <c r="BA223" i="5"/>
  <c r="AV193" i="30"/>
  <c r="H193" i="30"/>
  <c r="D195" i="35" s="1"/>
  <c r="U185" i="32"/>
  <c r="AW215" i="5" s="1"/>
  <c r="T186" i="32"/>
  <c r="V185" i="32"/>
  <c r="AX45" i="5"/>
  <c r="BD15" i="30"/>
  <c r="V184" i="34"/>
  <c r="T185" i="34"/>
  <c r="U184" i="34"/>
  <c r="W184" i="34" s="1"/>
  <c r="B196" i="35"/>
  <c r="I195" i="35"/>
  <c r="D223" i="5" s="1"/>
  <c r="G195" i="35"/>
  <c r="E195" i="35"/>
  <c r="L195" i="35"/>
  <c r="M195" i="35" s="1"/>
  <c r="F195" i="35"/>
  <c r="R195" i="30" l="1"/>
  <c r="M182" i="39"/>
  <c r="L182" i="39"/>
  <c r="AM184" i="30" s="1"/>
  <c r="K183" i="39"/>
  <c r="B194" i="30"/>
  <c r="D185" i="30"/>
  <c r="S185" i="30" s="1"/>
  <c r="N187" i="35" s="1"/>
  <c r="E215" i="5" s="1"/>
  <c r="AW216" i="5"/>
  <c r="V224" i="5"/>
  <c r="U186" i="32"/>
  <c r="T187" i="32"/>
  <c r="V186" i="32"/>
  <c r="H194" i="30"/>
  <c r="D196" i="35" s="1"/>
  <c r="C224" i="5"/>
  <c r="BB224" i="5"/>
  <c r="BC224" i="5" s="1"/>
  <c r="BA224" i="5"/>
  <c r="V185" i="34"/>
  <c r="T186" i="34"/>
  <c r="U185" i="34"/>
  <c r="W185" i="34" s="1"/>
  <c r="H224" i="5"/>
  <c r="BF193" i="30"/>
  <c r="B197" i="35"/>
  <c r="C225" i="5" s="1"/>
  <c r="L196" i="35"/>
  <c r="M196" i="35" s="1"/>
  <c r="E196" i="35"/>
  <c r="I196" i="35"/>
  <c r="D224" i="5" s="1"/>
  <c r="G196" i="35"/>
  <c r="F196" i="35"/>
  <c r="W185" i="32"/>
  <c r="BE15" i="30"/>
  <c r="AY45" i="5" s="1"/>
  <c r="G195" i="30"/>
  <c r="C196" i="30"/>
  <c r="E195" i="30"/>
  <c r="F195" i="30"/>
  <c r="P195" i="30"/>
  <c r="J225" i="5" s="1"/>
  <c r="AZ195" i="30"/>
  <c r="AY195" i="30"/>
  <c r="I224" i="5"/>
  <c r="BE16" i="30"/>
  <c r="AY46" i="5" s="1"/>
  <c r="BB194" i="30"/>
  <c r="AV194" i="30"/>
  <c r="D187" i="31"/>
  <c r="C188" i="31"/>
  <c r="G224" i="5"/>
  <c r="J224" i="5"/>
  <c r="A226" i="5"/>
  <c r="AI226" i="5" s="1"/>
  <c r="N225" i="5"/>
  <c r="R225" i="5" s="1"/>
  <c r="S225" i="5" s="1"/>
  <c r="W225" i="5" s="1"/>
  <c r="AU225" i="5"/>
  <c r="AR225" i="5"/>
  <c r="AS225" i="5" s="1"/>
  <c r="AT225" i="5"/>
  <c r="BD225" i="5"/>
  <c r="U225" i="5"/>
  <c r="AV225" i="5"/>
  <c r="AZ225" i="5"/>
  <c r="AN225" i="5"/>
  <c r="AO225" i="5" s="1"/>
  <c r="W186" i="32" l="1"/>
  <c r="D186" i="30"/>
  <c r="S186" i="30" s="1"/>
  <c r="N188" i="35" s="1"/>
  <c r="E216" i="5" s="1"/>
  <c r="M183" i="39"/>
  <c r="L183" i="39"/>
  <c r="AM185" i="30" s="1"/>
  <c r="K184" i="39"/>
  <c r="B195" i="30"/>
  <c r="R196" i="30"/>
  <c r="V225" i="5"/>
  <c r="H225" i="5"/>
  <c r="I225" i="5"/>
  <c r="G225" i="5"/>
  <c r="BB225" i="5"/>
  <c r="BC225" i="5" s="1"/>
  <c r="BA225" i="5"/>
  <c r="U187" i="32"/>
  <c r="AW217" i="5" s="1"/>
  <c r="T188" i="32"/>
  <c r="V187" i="32"/>
  <c r="BF194" i="30"/>
  <c r="AV195" i="30"/>
  <c r="H195" i="30"/>
  <c r="D197" i="35" s="1"/>
  <c r="D188" i="31"/>
  <c r="C189" i="31"/>
  <c r="BB195" i="30"/>
  <c r="V186" i="34"/>
  <c r="U186" i="34"/>
  <c r="W186" i="34" s="1"/>
  <c r="T187" i="34"/>
  <c r="A227" i="5"/>
  <c r="AI227" i="5" s="1"/>
  <c r="N226" i="5"/>
  <c r="R226" i="5" s="1"/>
  <c r="S226" i="5" s="1"/>
  <c r="W226" i="5" s="1"/>
  <c r="AZ226" i="5"/>
  <c r="U226" i="5"/>
  <c r="BD226" i="5"/>
  <c r="AT226" i="5"/>
  <c r="AV226" i="5"/>
  <c r="AR226" i="5"/>
  <c r="AS226" i="5" s="1"/>
  <c r="AU226" i="5"/>
  <c r="AN226" i="5"/>
  <c r="AO226" i="5" s="1"/>
  <c r="F196" i="30"/>
  <c r="G196" i="30"/>
  <c r="C197" i="30"/>
  <c r="P196" i="30"/>
  <c r="E196" i="30"/>
  <c r="AY196" i="30"/>
  <c r="AZ196" i="30"/>
  <c r="B198" i="35"/>
  <c r="F197" i="35"/>
  <c r="L197" i="35"/>
  <c r="M197" i="35" s="1"/>
  <c r="E197" i="35"/>
  <c r="I197" i="35"/>
  <c r="D225" i="5" s="1"/>
  <c r="G197" i="35"/>
  <c r="M184" i="39" l="1"/>
  <c r="L184" i="39"/>
  <c r="AM186" i="30" s="1"/>
  <c r="K185" i="39"/>
  <c r="B196" i="30"/>
  <c r="R197" i="30"/>
  <c r="V226" i="5"/>
  <c r="H196" i="30"/>
  <c r="D198" i="35" s="1"/>
  <c r="AV196" i="30"/>
  <c r="E197" i="30"/>
  <c r="F197" i="30"/>
  <c r="G197" i="30"/>
  <c r="C198" i="30"/>
  <c r="P197" i="30"/>
  <c r="J227" i="5" s="1"/>
  <c r="AY197" i="30"/>
  <c r="AZ197" i="30"/>
  <c r="B199" i="35"/>
  <c r="H227" i="5" s="1"/>
  <c r="I198" i="35"/>
  <c r="D226" i="5" s="1"/>
  <c r="F198" i="35"/>
  <c r="L198" i="35"/>
  <c r="M198" i="35" s="1"/>
  <c r="E198" i="35"/>
  <c r="G198" i="35"/>
  <c r="J226" i="5"/>
  <c r="G226" i="5"/>
  <c r="H226" i="5"/>
  <c r="BA226" i="5"/>
  <c r="BB226" i="5"/>
  <c r="BC226" i="5" s="1"/>
  <c r="V187" i="34"/>
  <c r="T188" i="34"/>
  <c r="U187" i="34"/>
  <c r="W187" i="34" s="1"/>
  <c r="D189" i="31"/>
  <c r="C190" i="31"/>
  <c r="BB196" i="30"/>
  <c r="BF195" i="30"/>
  <c r="I226" i="5"/>
  <c r="T189" i="32"/>
  <c r="U188" i="32"/>
  <c r="D188" i="30" s="1"/>
  <c r="S188" i="30" s="1"/>
  <c r="N190" i="35" s="1"/>
  <c r="E218" i="5" s="1"/>
  <c r="V188" i="32"/>
  <c r="C226" i="5"/>
  <c r="A228" i="5"/>
  <c r="AI228" i="5" s="1"/>
  <c r="N227" i="5"/>
  <c r="R227" i="5" s="1"/>
  <c r="S227" i="5" s="1"/>
  <c r="W227" i="5" s="1"/>
  <c r="AU227" i="5"/>
  <c r="AR227" i="5"/>
  <c r="AS227" i="5" s="1"/>
  <c r="BD227" i="5"/>
  <c r="AT227" i="5"/>
  <c r="AZ227" i="5"/>
  <c r="U227" i="5"/>
  <c r="AV227" i="5"/>
  <c r="AN227" i="5"/>
  <c r="AO227" i="5" s="1"/>
  <c r="W187" i="32"/>
  <c r="AW218" i="5" l="1"/>
  <c r="B197" i="30"/>
  <c r="M185" i="39"/>
  <c r="L185" i="39"/>
  <c r="K186" i="39"/>
  <c r="R198" i="30"/>
  <c r="V227" i="5"/>
  <c r="C227" i="5"/>
  <c r="I227" i="5"/>
  <c r="G227" i="5"/>
  <c r="BB227" i="5"/>
  <c r="BC227" i="5" s="1"/>
  <c r="BA227" i="5"/>
  <c r="A229" i="5"/>
  <c r="AI229" i="5" s="1"/>
  <c r="D9" i="16"/>
  <c r="N228" i="5"/>
  <c r="R228" i="5" s="1"/>
  <c r="S228" i="5" s="1"/>
  <c r="W228" i="5" s="1"/>
  <c r="AZ228" i="5"/>
  <c r="AT228" i="5"/>
  <c r="BD228" i="5"/>
  <c r="AU228" i="5"/>
  <c r="AV228" i="5"/>
  <c r="AN228" i="5"/>
  <c r="AO228" i="5" s="1"/>
  <c r="U228" i="5"/>
  <c r="AR228" i="5"/>
  <c r="AS228" i="5" s="1"/>
  <c r="D190" i="31"/>
  <c r="C191" i="31"/>
  <c r="T189" i="34"/>
  <c r="U188" i="34"/>
  <c r="W188" i="34" s="1"/>
  <c r="V188" i="34"/>
  <c r="BB197" i="30"/>
  <c r="AV197" i="30"/>
  <c r="W188" i="32"/>
  <c r="BF196" i="30"/>
  <c r="U189" i="32"/>
  <c r="D189" i="30" s="1"/>
  <c r="S189" i="30" s="1"/>
  <c r="N191" i="35" s="1"/>
  <c r="E219" i="5" s="1"/>
  <c r="T190" i="32"/>
  <c r="V189" i="32"/>
  <c r="B200" i="35"/>
  <c r="G228" i="5" s="1"/>
  <c r="I199" i="35"/>
  <c r="D227" i="5" s="1"/>
  <c r="G199" i="35"/>
  <c r="F199" i="35"/>
  <c r="E199" i="35"/>
  <c r="L199" i="35"/>
  <c r="M199" i="35" s="1"/>
  <c r="G198" i="30"/>
  <c r="C199" i="30"/>
  <c r="E198" i="30"/>
  <c r="F198" i="30"/>
  <c r="P198" i="30"/>
  <c r="J228" i="5" s="1"/>
  <c r="AY198" i="30"/>
  <c r="AZ198" i="30"/>
  <c r="H197" i="30"/>
  <c r="M186" i="39" l="1"/>
  <c r="L186" i="39"/>
  <c r="AM188" i="30" s="1"/>
  <c r="K187" i="39"/>
  <c r="B198" i="30"/>
  <c r="AW219" i="5"/>
  <c r="R199" i="30"/>
  <c r="V228" i="5"/>
  <c r="V233" i="5" s="1"/>
  <c r="H198" i="30"/>
  <c r="D200" i="35" s="1"/>
  <c r="I228" i="5"/>
  <c r="I233" i="5" s="1"/>
  <c r="J233" i="5"/>
  <c r="W189" i="32"/>
  <c r="BF197" i="30"/>
  <c r="V189" i="34"/>
  <c r="T190" i="34"/>
  <c r="U189" i="34"/>
  <c r="W189" i="34" s="1"/>
  <c r="BB198" i="30"/>
  <c r="B201" i="35"/>
  <c r="I229" i="5" s="1"/>
  <c r="L200" i="35"/>
  <c r="M200" i="35" s="1"/>
  <c r="E200" i="35"/>
  <c r="I200" i="35"/>
  <c r="D228" i="5" s="1"/>
  <c r="G200" i="35"/>
  <c r="F200" i="35"/>
  <c r="D191" i="31"/>
  <c r="C192" i="31"/>
  <c r="F199" i="30"/>
  <c r="G199" i="30"/>
  <c r="C200" i="30"/>
  <c r="E199" i="30"/>
  <c r="P199" i="30"/>
  <c r="J229" i="5" s="1"/>
  <c r="AY199" i="30"/>
  <c r="AZ199" i="30"/>
  <c r="H228" i="5"/>
  <c r="A230" i="5"/>
  <c r="AI230" i="5" s="1"/>
  <c r="AR229" i="5"/>
  <c r="AS229" i="5" s="1"/>
  <c r="AN229" i="5"/>
  <c r="AO229" i="5" s="1"/>
  <c r="BD229" i="5"/>
  <c r="AZ229" i="5"/>
  <c r="U229" i="5"/>
  <c r="AU229" i="5"/>
  <c r="AT229" i="5"/>
  <c r="N229" i="5"/>
  <c r="R229" i="5" s="1"/>
  <c r="S229" i="5" s="1"/>
  <c r="W229" i="5" s="1"/>
  <c r="AV229" i="5"/>
  <c r="AV198" i="30"/>
  <c r="D199" i="35"/>
  <c r="U190" i="32"/>
  <c r="T191" i="32"/>
  <c r="V190" i="32"/>
  <c r="C228" i="5"/>
  <c r="V27" i="2"/>
  <c r="W26" i="2"/>
  <c r="W25" i="2"/>
  <c r="W27" i="2"/>
  <c r="V25" i="2"/>
  <c r="AC28" i="2"/>
  <c r="AC27" i="2"/>
  <c r="AC26" i="2"/>
  <c r="V26" i="2"/>
  <c r="C19" i="21"/>
  <c r="BB228" i="5"/>
  <c r="BC228" i="5" s="1"/>
  <c r="BA228" i="5"/>
  <c r="W190" i="32" l="1"/>
  <c r="D190" i="30"/>
  <c r="S190" i="30" s="1"/>
  <c r="N192" i="35" s="1"/>
  <c r="E220" i="5" s="1"/>
  <c r="D191" i="30"/>
  <c r="S191" i="30" s="1"/>
  <c r="N193" i="35" s="1"/>
  <c r="E221" i="5" s="1"/>
  <c r="M187" i="39"/>
  <c r="L187" i="39"/>
  <c r="AM189" i="30" s="1"/>
  <c r="K188" i="39"/>
  <c r="B199" i="30"/>
  <c r="R200" i="30"/>
  <c r="I19" i="21"/>
  <c r="J19" i="21" s="1"/>
  <c r="M19" i="21" s="1"/>
  <c r="I20" i="21"/>
  <c r="J20" i="21" s="1"/>
  <c r="M20" i="21" s="1"/>
  <c r="V229" i="5"/>
  <c r="H229" i="5"/>
  <c r="G229" i="5"/>
  <c r="AP59" i="5"/>
  <c r="AQ59" i="5" s="1"/>
  <c r="AP129" i="5"/>
  <c r="AQ129" i="5" s="1"/>
  <c r="AP175" i="5"/>
  <c r="AQ175" i="5" s="1"/>
  <c r="AP149" i="5"/>
  <c r="AQ149" i="5" s="1"/>
  <c r="AP181" i="5"/>
  <c r="AQ181" i="5" s="1"/>
  <c r="AP93" i="5"/>
  <c r="AQ93" i="5" s="1"/>
  <c r="AP186" i="5"/>
  <c r="AQ186" i="5" s="1"/>
  <c r="AP154" i="5"/>
  <c r="AQ154" i="5" s="1"/>
  <c r="AP100" i="5"/>
  <c r="AQ100" i="5" s="1"/>
  <c r="AP169" i="5"/>
  <c r="AQ169" i="5" s="1"/>
  <c r="AP158" i="5"/>
  <c r="AQ158" i="5" s="1"/>
  <c r="C229" i="5"/>
  <c r="H199" i="30"/>
  <c r="D201" i="35" s="1"/>
  <c r="BF198" i="30"/>
  <c r="B20" i="21"/>
  <c r="AG230" i="5" s="1"/>
  <c r="AP88" i="5"/>
  <c r="AQ88" i="5" s="1"/>
  <c r="AP109" i="5"/>
  <c r="AQ109" i="5" s="1"/>
  <c r="AP50" i="5"/>
  <c r="AQ50" i="5" s="1"/>
  <c r="AP114" i="5"/>
  <c r="AQ114" i="5" s="1"/>
  <c r="AP79" i="5"/>
  <c r="AQ79" i="5" s="1"/>
  <c r="AP143" i="5"/>
  <c r="AQ143" i="5" s="1"/>
  <c r="AP159" i="5"/>
  <c r="AQ159" i="5" s="1"/>
  <c r="AP92" i="5"/>
  <c r="AQ92" i="5" s="1"/>
  <c r="AP117" i="5"/>
  <c r="AQ117" i="5" s="1"/>
  <c r="AP54" i="5"/>
  <c r="AQ54" i="5" s="1"/>
  <c r="AP118" i="5"/>
  <c r="AQ118" i="5" s="1"/>
  <c r="AP87" i="5"/>
  <c r="AQ87" i="5" s="1"/>
  <c r="AP144" i="5"/>
  <c r="AQ144" i="5" s="1"/>
  <c r="AP160" i="5"/>
  <c r="AQ160" i="5" s="1"/>
  <c r="AP176" i="5"/>
  <c r="AQ176" i="5" s="1"/>
  <c r="AP139" i="5"/>
  <c r="AQ139" i="5" s="1"/>
  <c r="AP116" i="5"/>
  <c r="AQ116" i="5" s="1"/>
  <c r="AP61" i="5"/>
  <c r="AQ61" i="5" s="1"/>
  <c r="AP74" i="5"/>
  <c r="AQ74" i="5" s="1"/>
  <c r="AP123" i="5"/>
  <c r="AQ123" i="5" s="1"/>
  <c r="AP107" i="5"/>
  <c r="AQ107" i="5" s="1"/>
  <c r="AP153" i="5"/>
  <c r="AQ153" i="5" s="1"/>
  <c r="AP173" i="5"/>
  <c r="AQ173" i="5" s="1"/>
  <c r="AP142" i="5"/>
  <c r="AQ142" i="5" s="1"/>
  <c r="AP174" i="5"/>
  <c r="AQ174" i="5" s="1"/>
  <c r="AP64" i="5"/>
  <c r="AQ64" i="5" s="1"/>
  <c r="AP136" i="5"/>
  <c r="AQ136" i="5" s="1"/>
  <c r="AP85" i="5"/>
  <c r="AQ85" i="5" s="1"/>
  <c r="AP94" i="5"/>
  <c r="AQ94" i="5" s="1"/>
  <c r="AP75" i="5"/>
  <c r="AQ75" i="5" s="1"/>
  <c r="AP178" i="5"/>
  <c r="AQ178" i="5" s="1"/>
  <c r="AP187" i="5"/>
  <c r="AQ187" i="5" s="1"/>
  <c r="AP191" i="5"/>
  <c r="AQ191" i="5" s="1"/>
  <c r="AP195" i="5"/>
  <c r="AQ195" i="5" s="1"/>
  <c r="AP199" i="5"/>
  <c r="AQ199" i="5" s="1"/>
  <c r="AP203" i="5"/>
  <c r="AQ203" i="5" s="1"/>
  <c r="AP208" i="5"/>
  <c r="AQ208" i="5" s="1"/>
  <c r="AP184" i="5"/>
  <c r="AQ184" i="5" s="1"/>
  <c r="AP108" i="5"/>
  <c r="AQ108" i="5" s="1"/>
  <c r="AP53" i="5"/>
  <c r="AQ53" i="5" s="1"/>
  <c r="AP66" i="5"/>
  <c r="AQ66" i="5" s="1"/>
  <c r="AP130" i="5"/>
  <c r="AQ130" i="5" s="1"/>
  <c r="AP99" i="5"/>
  <c r="AQ99" i="5" s="1"/>
  <c r="AP147" i="5"/>
  <c r="AQ147" i="5" s="1"/>
  <c r="AP138" i="5"/>
  <c r="AQ138" i="5" s="1"/>
  <c r="AP112" i="5"/>
  <c r="AQ112" i="5" s="1"/>
  <c r="AP57" i="5"/>
  <c r="AQ57" i="5" s="1"/>
  <c r="AP70" i="5"/>
  <c r="AQ70" i="5" s="1"/>
  <c r="AP134" i="5"/>
  <c r="AQ134" i="5" s="1"/>
  <c r="AP103" i="5"/>
  <c r="AQ103" i="5" s="1"/>
  <c r="AP148" i="5"/>
  <c r="AQ148" i="5" s="1"/>
  <c r="AP164" i="5"/>
  <c r="AQ164" i="5" s="1"/>
  <c r="AP180" i="5"/>
  <c r="AQ180" i="5" s="1"/>
  <c r="AP60" i="5"/>
  <c r="AQ60" i="5" s="1"/>
  <c r="AP132" i="5"/>
  <c r="AQ132" i="5" s="1"/>
  <c r="AP81" i="5"/>
  <c r="AQ81" i="5" s="1"/>
  <c r="AP90" i="5"/>
  <c r="AQ90" i="5" s="1"/>
  <c r="AP51" i="5"/>
  <c r="AQ51" i="5" s="1"/>
  <c r="AP127" i="5"/>
  <c r="AQ127" i="5" s="1"/>
  <c r="AP157" i="5"/>
  <c r="AQ157" i="5" s="1"/>
  <c r="AP177" i="5"/>
  <c r="AQ177" i="5" s="1"/>
  <c r="AP150" i="5"/>
  <c r="AQ150" i="5" s="1"/>
  <c r="AP182" i="5"/>
  <c r="AQ182" i="5" s="1"/>
  <c r="AP84" i="5"/>
  <c r="AQ84" i="5" s="1"/>
  <c r="AP101" i="5"/>
  <c r="AQ101" i="5" s="1"/>
  <c r="AP46" i="5"/>
  <c r="AQ46" i="5" s="1"/>
  <c r="AP110" i="5"/>
  <c r="AQ110" i="5" s="1"/>
  <c r="AP95" i="5"/>
  <c r="AQ95" i="5" s="1"/>
  <c r="AP171" i="5"/>
  <c r="AQ171" i="5" s="1"/>
  <c r="AP188" i="5"/>
  <c r="AQ188" i="5" s="1"/>
  <c r="AP192" i="5"/>
  <c r="AQ192" i="5" s="1"/>
  <c r="AP196" i="5"/>
  <c r="AQ196" i="5" s="1"/>
  <c r="AP200" i="5"/>
  <c r="AQ200" i="5" s="1"/>
  <c r="AP204" i="5"/>
  <c r="AQ204" i="5" s="1"/>
  <c r="AP52" i="5"/>
  <c r="AQ52" i="5" s="1"/>
  <c r="AP124" i="5"/>
  <c r="AQ124" i="5" s="1"/>
  <c r="AP69" i="5"/>
  <c r="AQ69" i="5" s="1"/>
  <c r="AP82" i="5"/>
  <c r="AQ82" i="5" s="1"/>
  <c r="AP137" i="5"/>
  <c r="AQ137" i="5" s="1"/>
  <c r="AP115" i="5"/>
  <c r="AQ115" i="5" s="1"/>
  <c r="AP151" i="5"/>
  <c r="AQ151" i="5" s="1"/>
  <c r="AP56" i="5"/>
  <c r="AQ56" i="5" s="1"/>
  <c r="AP128" i="5"/>
  <c r="AQ128" i="5" s="1"/>
  <c r="AP77" i="5"/>
  <c r="AQ77" i="5" s="1"/>
  <c r="AP86" i="5"/>
  <c r="AQ86" i="5" s="1"/>
  <c r="AP47" i="5"/>
  <c r="AQ47" i="5" s="1"/>
  <c r="AP119" i="5"/>
  <c r="AQ119" i="5" s="1"/>
  <c r="AP152" i="5"/>
  <c r="AQ152" i="5" s="1"/>
  <c r="AP168" i="5"/>
  <c r="AQ168" i="5" s="1"/>
  <c r="AP179" i="5"/>
  <c r="AQ179" i="5" s="1"/>
  <c r="AP80" i="5"/>
  <c r="AQ80" i="5" s="1"/>
  <c r="AP97" i="5"/>
  <c r="AQ97" i="5" s="1"/>
  <c r="AP121" i="5"/>
  <c r="AQ121" i="5" s="1"/>
  <c r="AP106" i="5"/>
  <c r="AQ106" i="5" s="1"/>
  <c r="AP71" i="5"/>
  <c r="AQ71" i="5" s="1"/>
  <c r="AP141" i="5"/>
  <c r="AQ141" i="5" s="1"/>
  <c r="AP161" i="5"/>
  <c r="AQ161" i="5" s="1"/>
  <c r="AP55" i="5"/>
  <c r="AQ55" i="5" s="1"/>
  <c r="AP162" i="5"/>
  <c r="AQ162" i="5" s="1"/>
  <c r="AP167" i="5"/>
  <c r="AQ167" i="5" s="1"/>
  <c r="AP104" i="5"/>
  <c r="AQ104" i="5" s="1"/>
  <c r="AP49" i="5"/>
  <c r="AQ49" i="5" s="1"/>
  <c r="AP62" i="5"/>
  <c r="AQ62" i="5" s="1"/>
  <c r="AP126" i="5"/>
  <c r="AQ126" i="5" s="1"/>
  <c r="AP135" i="5"/>
  <c r="AQ135" i="5" s="1"/>
  <c r="AP183" i="5"/>
  <c r="AQ183" i="5" s="1"/>
  <c r="AP189" i="5"/>
  <c r="AQ189" i="5" s="1"/>
  <c r="AP193" i="5"/>
  <c r="AQ193" i="5" s="1"/>
  <c r="AP197" i="5"/>
  <c r="AQ197" i="5" s="1"/>
  <c r="AP201" i="5"/>
  <c r="AQ201" i="5" s="1"/>
  <c r="AP205" i="5"/>
  <c r="AQ205" i="5" s="1"/>
  <c r="AP207" i="5"/>
  <c r="AQ207" i="5" s="1"/>
  <c r="AP72" i="5"/>
  <c r="AQ72" i="5" s="1"/>
  <c r="AP73" i="5"/>
  <c r="AQ73" i="5" s="1"/>
  <c r="AP105" i="5"/>
  <c r="AQ105" i="5" s="1"/>
  <c r="AP98" i="5"/>
  <c r="AQ98" i="5" s="1"/>
  <c r="AP63" i="5"/>
  <c r="AQ63" i="5" s="1"/>
  <c r="AP133" i="5"/>
  <c r="AQ133" i="5" s="1"/>
  <c r="AP155" i="5"/>
  <c r="AQ155" i="5" s="1"/>
  <c r="AP76" i="5"/>
  <c r="AQ76" i="5" s="1"/>
  <c r="AP89" i="5"/>
  <c r="AQ89" i="5" s="1"/>
  <c r="AP113" i="5"/>
  <c r="AQ113" i="5" s="1"/>
  <c r="AP102" i="5"/>
  <c r="AQ102" i="5" s="1"/>
  <c r="AP67" i="5"/>
  <c r="AQ67" i="5" s="1"/>
  <c r="AP140" i="5"/>
  <c r="AQ140" i="5" s="1"/>
  <c r="AP156" i="5"/>
  <c r="AQ156" i="5" s="1"/>
  <c r="AP172" i="5"/>
  <c r="AQ172" i="5" s="1"/>
  <c r="AP185" i="5"/>
  <c r="AQ185" i="5" s="1"/>
  <c r="AP96" i="5"/>
  <c r="AQ96" i="5" s="1"/>
  <c r="AP125" i="5"/>
  <c r="AQ125" i="5" s="1"/>
  <c r="AP58" i="5"/>
  <c r="AQ58" i="5" s="1"/>
  <c r="AP122" i="5"/>
  <c r="AQ122" i="5" s="1"/>
  <c r="AP91" i="5"/>
  <c r="AQ91" i="5" s="1"/>
  <c r="AP145" i="5"/>
  <c r="AQ145" i="5" s="1"/>
  <c r="AP165" i="5"/>
  <c r="AQ165" i="5" s="1"/>
  <c r="AP111" i="5"/>
  <c r="AQ111" i="5" s="1"/>
  <c r="AP170" i="5"/>
  <c r="AQ170" i="5" s="1"/>
  <c r="AP48" i="5"/>
  <c r="AQ48" i="5" s="1"/>
  <c r="AP120" i="5"/>
  <c r="AQ120" i="5" s="1"/>
  <c r="AP65" i="5"/>
  <c r="AQ65" i="5" s="1"/>
  <c r="AP78" i="5"/>
  <c r="AQ78" i="5" s="1"/>
  <c r="AP131" i="5"/>
  <c r="AQ131" i="5" s="1"/>
  <c r="AP146" i="5"/>
  <c r="AQ146" i="5" s="1"/>
  <c r="AP190" i="5"/>
  <c r="AQ190" i="5" s="1"/>
  <c r="AP194" i="5"/>
  <c r="AQ194" i="5" s="1"/>
  <c r="AP198" i="5"/>
  <c r="AQ198" i="5" s="1"/>
  <c r="AP202" i="5"/>
  <c r="AQ202" i="5" s="1"/>
  <c r="AP206" i="5"/>
  <c r="AQ206" i="5" s="1"/>
  <c r="AP209" i="5"/>
  <c r="AQ209" i="5" s="1"/>
  <c r="AP210" i="5"/>
  <c r="AQ210" i="5" s="1"/>
  <c r="AP211" i="5"/>
  <c r="AQ211" i="5" s="1"/>
  <c r="AP212" i="5"/>
  <c r="AQ212" i="5" s="1"/>
  <c r="AP213" i="5"/>
  <c r="AQ213" i="5" s="1"/>
  <c r="AP214" i="5"/>
  <c r="AQ214" i="5" s="1"/>
  <c r="AP215" i="5"/>
  <c r="AQ215" i="5" s="1"/>
  <c r="AP216" i="5"/>
  <c r="AQ216" i="5" s="1"/>
  <c r="AP217" i="5"/>
  <c r="AQ217" i="5" s="1"/>
  <c r="AP218" i="5"/>
  <c r="AQ218" i="5" s="1"/>
  <c r="AP219" i="5"/>
  <c r="AQ219" i="5" s="1"/>
  <c r="AP220" i="5"/>
  <c r="AQ220" i="5" s="1"/>
  <c r="AP221" i="5"/>
  <c r="AQ221" i="5" s="1"/>
  <c r="AP222" i="5"/>
  <c r="AQ222" i="5" s="1"/>
  <c r="AP223" i="5"/>
  <c r="AQ223" i="5" s="1"/>
  <c r="AP224" i="5"/>
  <c r="AQ224" i="5" s="1"/>
  <c r="AP225" i="5"/>
  <c r="AQ225" i="5" s="1"/>
  <c r="AP226" i="5"/>
  <c r="AQ226" i="5" s="1"/>
  <c r="AP227" i="5"/>
  <c r="AQ227" i="5" s="1"/>
  <c r="AP228" i="5"/>
  <c r="AQ228" i="5" s="1"/>
  <c r="U191" i="32"/>
  <c r="AW221" i="5" s="1"/>
  <c r="T192" i="32"/>
  <c r="V191" i="32"/>
  <c r="BB229" i="5"/>
  <c r="BC229" i="5" s="1"/>
  <c r="BA229" i="5"/>
  <c r="A231" i="5"/>
  <c r="AI231" i="5" s="1"/>
  <c r="AR230" i="5"/>
  <c r="AS230" i="5" s="1"/>
  <c r="N230" i="5"/>
  <c r="R230" i="5" s="1"/>
  <c r="S230" i="5" s="1"/>
  <c r="W230" i="5" s="1"/>
  <c r="AZ230" i="5"/>
  <c r="AU230" i="5"/>
  <c r="U230" i="5"/>
  <c r="AV230" i="5"/>
  <c r="AN230" i="5"/>
  <c r="AO230" i="5" s="1"/>
  <c r="AT230" i="5"/>
  <c r="BD230" i="5"/>
  <c r="AP230" i="5"/>
  <c r="AQ230" i="5" s="1"/>
  <c r="D192" i="31"/>
  <c r="C193" i="31"/>
  <c r="AP229" i="5"/>
  <c r="AQ229" i="5" s="1"/>
  <c r="BB199" i="30"/>
  <c r="B202" i="35"/>
  <c r="I230" i="5" s="1"/>
  <c r="F201" i="35"/>
  <c r="L201" i="35"/>
  <c r="M201" i="35" s="1"/>
  <c r="E201" i="35"/>
  <c r="I201" i="35"/>
  <c r="D229" i="5" s="1"/>
  <c r="G201" i="35"/>
  <c r="U190" i="34"/>
  <c r="W190" i="34" s="1"/>
  <c r="T191" i="34"/>
  <c r="V190" i="34"/>
  <c r="AV199" i="30"/>
  <c r="E200" i="30"/>
  <c r="F200" i="30"/>
  <c r="G200" i="30"/>
  <c r="C201" i="30"/>
  <c r="P200" i="30"/>
  <c r="J230" i="5" s="1"/>
  <c r="AZ200" i="30"/>
  <c r="AY200" i="30"/>
  <c r="M188" i="39" l="1"/>
  <c r="L188" i="39"/>
  <c r="AM190" i="30" s="1"/>
  <c r="K189" i="39"/>
  <c r="R201" i="30"/>
  <c r="B200" i="30"/>
  <c r="AD230" i="5"/>
  <c r="X230" i="5" s="1"/>
  <c r="V230" i="5"/>
  <c r="AB185" i="5"/>
  <c r="AB184" i="5"/>
  <c r="AG186" i="5"/>
  <c r="AD186" i="5"/>
  <c r="X186" i="5" s="1"/>
  <c r="AD185" i="5"/>
  <c r="X185" i="5" s="1"/>
  <c r="AB186" i="5"/>
  <c r="AD184" i="5"/>
  <c r="X184" i="5" s="1"/>
  <c r="AG184" i="5"/>
  <c r="AG185" i="5"/>
  <c r="BB200" i="30"/>
  <c r="E201" i="30"/>
  <c r="F201" i="30"/>
  <c r="G201" i="30"/>
  <c r="P201" i="30"/>
  <c r="J231" i="5" s="1"/>
  <c r="C202" i="30"/>
  <c r="AZ201" i="30"/>
  <c r="AY201" i="30"/>
  <c r="H200" i="30"/>
  <c r="D202" i="35" s="1"/>
  <c r="U191" i="34"/>
  <c r="W191" i="34" s="1"/>
  <c r="T192" i="34"/>
  <c r="V191" i="34"/>
  <c r="B203" i="35"/>
  <c r="G231" i="5" s="1"/>
  <c r="I202" i="35"/>
  <c r="D230" i="5" s="1"/>
  <c r="F202" i="35"/>
  <c r="L202" i="35"/>
  <c r="M202" i="35" s="1"/>
  <c r="E202" i="35"/>
  <c r="G202" i="35"/>
  <c r="BF199" i="30"/>
  <c r="D193" i="31"/>
  <c r="C194" i="31"/>
  <c r="H230" i="5"/>
  <c r="BB230" i="5"/>
  <c r="BC230" i="5" s="1"/>
  <c r="BA230" i="5"/>
  <c r="A232" i="5"/>
  <c r="AI232" i="5" s="1"/>
  <c r="AU231" i="5"/>
  <c r="AR231" i="5"/>
  <c r="AS231" i="5" s="1"/>
  <c r="N231" i="5"/>
  <c r="R231" i="5" s="1"/>
  <c r="S231" i="5" s="1"/>
  <c r="W231" i="5" s="1"/>
  <c r="AZ231" i="5"/>
  <c r="AN231" i="5"/>
  <c r="AO231" i="5" s="1"/>
  <c r="U231" i="5"/>
  <c r="O231" i="5"/>
  <c r="AV231" i="5"/>
  <c r="BD231" i="5"/>
  <c r="AP231" i="5"/>
  <c r="AQ231" i="5" s="1"/>
  <c r="AT231" i="5"/>
  <c r="AG231" i="5"/>
  <c r="AD231" i="5"/>
  <c r="X231" i="5" s="1"/>
  <c r="W191" i="32"/>
  <c r="M22" i="21"/>
  <c r="N19" i="21"/>
  <c r="N20" i="21" s="1"/>
  <c r="N21" i="21" s="1"/>
  <c r="AG208" i="5"/>
  <c r="AD208" i="5"/>
  <c r="X208" i="5" s="1"/>
  <c r="AD234" i="5"/>
  <c r="AD233" i="5"/>
  <c r="X233" i="5" s="1"/>
  <c r="AG187" i="5"/>
  <c r="AC29" i="2" s="1"/>
  <c r="AD189" i="5"/>
  <c r="X189" i="5" s="1"/>
  <c r="AG191" i="5"/>
  <c r="AD193" i="5"/>
  <c r="X193" i="5" s="1"/>
  <c r="AG195" i="5"/>
  <c r="AD197" i="5"/>
  <c r="X197" i="5" s="1"/>
  <c r="AG199" i="5"/>
  <c r="AD201" i="5"/>
  <c r="X201" i="5" s="1"/>
  <c r="AD203" i="5"/>
  <c r="X203" i="5" s="1"/>
  <c r="AG205" i="5"/>
  <c r="AD207" i="5"/>
  <c r="X207" i="5" s="1"/>
  <c r="AD188" i="5"/>
  <c r="X188" i="5" s="1"/>
  <c r="AD190" i="5"/>
  <c r="X190" i="5" s="1"/>
  <c r="AG192" i="5"/>
  <c r="AG194" i="5"/>
  <c r="AG196" i="5"/>
  <c r="AG198" i="5"/>
  <c r="AG200" i="5"/>
  <c r="AD202" i="5"/>
  <c r="X202" i="5" s="1"/>
  <c r="AG204" i="5"/>
  <c r="AD206" i="5"/>
  <c r="X206" i="5" s="1"/>
  <c r="AD209" i="5"/>
  <c r="X209" i="5" s="1"/>
  <c r="AG188" i="5"/>
  <c r="AG190" i="5"/>
  <c r="AD192" i="5"/>
  <c r="X192" i="5" s="1"/>
  <c r="AD194" i="5"/>
  <c r="X194" i="5" s="1"/>
  <c r="AD196" i="5"/>
  <c r="X196" i="5" s="1"/>
  <c r="AD198" i="5"/>
  <c r="X198" i="5" s="1"/>
  <c r="AD200" i="5"/>
  <c r="X200" i="5" s="1"/>
  <c r="AG202" i="5"/>
  <c r="AD204" i="5"/>
  <c r="X204" i="5" s="1"/>
  <c r="AG206" i="5"/>
  <c r="AG209" i="5"/>
  <c r="AD187" i="5"/>
  <c r="X187" i="5" s="1"/>
  <c r="AG189" i="5"/>
  <c r="AD191" i="5"/>
  <c r="X191" i="5" s="1"/>
  <c r="AG193" i="5"/>
  <c r="AD195" i="5"/>
  <c r="X195" i="5" s="1"/>
  <c r="AG197" i="5"/>
  <c r="AD199" i="5"/>
  <c r="X199" i="5" s="1"/>
  <c r="AG201" i="5"/>
  <c r="AG203" i="5"/>
  <c r="AD205" i="5"/>
  <c r="X205" i="5" s="1"/>
  <c r="AG207" i="5"/>
  <c r="AG210" i="5"/>
  <c r="AD210" i="5"/>
  <c r="X210" i="5" s="1"/>
  <c r="AD211" i="5"/>
  <c r="X211" i="5" s="1"/>
  <c r="AG211" i="5"/>
  <c r="AD212" i="5"/>
  <c r="X212" i="5" s="1"/>
  <c r="AG212" i="5"/>
  <c r="AD213" i="5"/>
  <c r="X213" i="5" s="1"/>
  <c r="AG213" i="5"/>
  <c r="AG214" i="5"/>
  <c r="AD214" i="5"/>
  <c r="X214" i="5" s="1"/>
  <c r="AG215" i="5"/>
  <c r="AD215" i="5"/>
  <c r="X215" i="5" s="1"/>
  <c r="AG216" i="5"/>
  <c r="AD216" i="5"/>
  <c r="X216" i="5" s="1"/>
  <c r="AG217" i="5"/>
  <c r="AD217" i="5"/>
  <c r="X217" i="5" s="1"/>
  <c r="AD218" i="5"/>
  <c r="X218" i="5" s="1"/>
  <c r="AG218" i="5"/>
  <c r="AG219" i="5"/>
  <c r="AD219" i="5"/>
  <c r="X219" i="5" s="1"/>
  <c r="AD220" i="5"/>
  <c r="X220" i="5" s="1"/>
  <c r="AG220" i="5"/>
  <c r="AG221" i="5"/>
  <c r="AD221" i="5"/>
  <c r="X221" i="5" s="1"/>
  <c r="AD222" i="5"/>
  <c r="X222" i="5" s="1"/>
  <c r="AG222" i="5"/>
  <c r="AD223" i="5"/>
  <c r="X223" i="5" s="1"/>
  <c r="AG223" i="5"/>
  <c r="AG224" i="5"/>
  <c r="AD224" i="5"/>
  <c r="X224" i="5" s="1"/>
  <c r="AD225" i="5"/>
  <c r="X225" i="5" s="1"/>
  <c r="AG225" i="5"/>
  <c r="AD226" i="5"/>
  <c r="X226" i="5" s="1"/>
  <c r="AG226" i="5"/>
  <c r="AG227" i="5"/>
  <c r="AD227" i="5"/>
  <c r="X227" i="5" s="1"/>
  <c r="AG228" i="5"/>
  <c r="AD228" i="5"/>
  <c r="X228" i="5" s="1"/>
  <c r="AD229" i="5"/>
  <c r="X229" i="5" s="1"/>
  <c r="AG229" i="5"/>
  <c r="AV200" i="30"/>
  <c r="C230" i="5"/>
  <c r="G230" i="5"/>
  <c r="T193" i="32"/>
  <c r="U192" i="32"/>
  <c r="W192" i="32" s="1"/>
  <c r="V192" i="32"/>
  <c r="H231" i="5" l="1"/>
  <c r="I231" i="5"/>
  <c r="M189" i="39"/>
  <c r="L189" i="39"/>
  <c r="AM191" i="30" s="1"/>
  <c r="K190" i="39"/>
  <c r="B201" i="30"/>
  <c r="AW223" i="5"/>
  <c r="D192" i="30"/>
  <c r="S192" i="30" s="1"/>
  <c r="N194" i="35" s="1"/>
  <c r="E222" i="5" s="1"/>
  <c r="R202" i="30"/>
  <c r="V231" i="5"/>
  <c r="D231" i="5"/>
  <c r="C231" i="5"/>
  <c r="AK184" i="5"/>
  <c r="AK185" i="5" s="1"/>
  <c r="AK186" i="5" s="1"/>
  <c r="AE184" i="5"/>
  <c r="AE185" i="5" s="1"/>
  <c r="AE186" i="5" s="1"/>
  <c r="AE187" i="5" s="1"/>
  <c r="B204" i="35"/>
  <c r="D232" i="5" s="1"/>
  <c r="G203" i="35"/>
  <c r="E203" i="35"/>
  <c r="F203" i="35"/>
  <c r="L203" i="35"/>
  <c r="M203" i="35" s="1"/>
  <c r="H201" i="30"/>
  <c r="D203" i="35" s="1"/>
  <c r="U193" i="32"/>
  <c r="W193" i="32" s="1"/>
  <c r="T194" i="32"/>
  <c r="V193" i="32"/>
  <c r="AT232" i="5"/>
  <c r="AR232" i="5"/>
  <c r="AS232" i="5" s="1"/>
  <c r="AU232" i="5"/>
  <c r="AN232" i="5"/>
  <c r="AO232" i="5" s="1"/>
  <c r="BD232" i="5"/>
  <c r="N232" i="5"/>
  <c r="R232" i="5" s="1"/>
  <c r="S232" i="5" s="1"/>
  <c r="W232" i="5" s="1"/>
  <c r="AZ232" i="5"/>
  <c r="AV232" i="5"/>
  <c r="AG232" i="5"/>
  <c r="AD232" i="5"/>
  <c r="X232" i="5" s="1"/>
  <c r="U232" i="5"/>
  <c r="AP232" i="5"/>
  <c r="AQ232" i="5" s="1"/>
  <c r="G202" i="30"/>
  <c r="F202" i="30"/>
  <c r="P202" i="30"/>
  <c r="E202" i="30"/>
  <c r="AY202" i="30"/>
  <c r="AZ202" i="30"/>
  <c r="BF200" i="30"/>
  <c r="BA231" i="5"/>
  <c r="BB231" i="5"/>
  <c r="BC231" i="5" s="1"/>
  <c r="D194" i="31"/>
  <c r="C195" i="31"/>
  <c r="F12" i="16"/>
  <c r="D12" i="16"/>
  <c r="T193" i="34"/>
  <c r="U192" i="34"/>
  <c r="W192" i="34" s="1"/>
  <c r="V192" i="34"/>
  <c r="BB201" i="30"/>
  <c r="AV201" i="30"/>
  <c r="C232" i="5" l="1"/>
  <c r="M190" i="39"/>
  <c r="L190" i="39"/>
  <c r="AM192" i="30" s="1"/>
  <c r="K191" i="39"/>
  <c r="B202" i="30"/>
  <c r="V232" i="5"/>
  <c r="I232" i="5"/>
  <c r="G232" i="5"/>
  <c r="O232" i="5"/>
  <c r="H232" i="5"/>
  <c r="H12" i="16"/>
  <c r="H202" i="30"/>
  <c r="V193" i="34"/>
  <c r="U193" i="34"/>
  <c r="W193" i="34" s="1"/>
  <c r="AK187" i="5"/>
  <c r="D11" i="16"/>
  <c r="F11" i="16"/>
  <c r="D195" i="31"/>
  <c r="C196" i="31"/>
  <c r="BB202" i="30"/>
  <c r="AV202" i="30"/>
  <c r="AJ6" i="30"/>
  <c r="F9" i="16"/>
  <c r="H9" i="16" s="1"/>
  <c r="G204" i="35"/>
  <c r="F204" i="35"/>
  <c r="E204" i="35"/>
  <c r="D204" i="35"/>
  <c r="L204" i="35"/>
  <c r="M204" i="35" s="1"/>
  <c r="B205" i="35"/>
  <c r="AE188" i="5"/>
  <c r="AE189" i="5" s="1"/>
  <c r="AE190" i="5" s="1"/>
  <c r="AE191" i="5" s="1"/>
  <c r="AE192" i="5" s="1"/>
  <c r="AE193" i="5" s="1"/>
  <c r="AE194" i="5" s="1"/>
  <c r="AE195" i="5" s="1"/>
  <c r="AE196" i="5" s="1"/>
  <c r="AE197" i="5" s="1"/>
  <c r="AE198" i="5" s="1"/>
  <c r="AE199" i="5" s="1"/>
  <c r="AE200" i="5" s="1"/>
  <c r="V28" i="2"/>
  <c r="BF201" i="30"/>
  <c r="BA232" i="5"/>
  <c r="BB232" i="5"/>
  <c r="BC232" i="5" s="1"/>
  <c r="J232" i="5"/>
  <c r="U194" i="32"/>
  <c r="AW224" i="5" s="1"/>
  <c r="T195" i="32"/>
  <c r="V194" i="32"/>
  <c r="M191" i="39" l="1"/>
  <c r="L191" i="39"/>
  <c r="K192" i="39"/>
  <c r="AE201" i="5"/>
  <c r="AE202" i="5" s="1"/>
  <c r="AE203" i="5" s="1"/>
  <c r="AE204" i="5" s="1"/>
  <c r="AE205" i="5" s="1"/>
  <c r="AE206" i="5" s="1"/>
  <c r="AE207" i="5" s="1"/>
  <c r="AE208" i="5" s="1"/>
  <c r="AE209" i="5" s="1"/>
  <c r="AE210" i="5" s="1"/>
  <c r="AE211" i="5" s="1"/>
  <c r="AE212" i="5" s="1"/>
  <c r="AE213" i="5" s="1"/>
  <c r="AE214" i="5" s="1"/>
  <c r="AE215" i="5" s="1"/>
  <c r="AE216" i="5" s="1"/>
  <c r="AE217" i="5" s="1"/>
  <c r="AE218" i="5" s="1"/>
  <c r="AE219" i="5" s="1"/>
  <c r="AE220" i="5" s="1"/>
  <c r="AE221" i="5" s="1"/>
  <c r="AE222" i="5" s="1"/>
  <c r="AE223" i="5" s="1"/>
  <c r="AE224" i="5" s="1"/>
  <c r="AE225" i="5" s="1"/>
  <c r="AE226" i="5" s="1"/>
  <c r="AE227" i="5" s="1"/>
  <c r="AE228" i="5" s="1"/>
  <c r="AE229" i="5" s="1"/>
  <c r="AE230" i="5" s="1"/>
  <c r="AE231" i="5" s="1"/>
  <c r="AE232" i="5" s="1"/>
  <c r="V29" i="2"/>
  <c r="V31" i="2" s="1"/>
  <c r="T196" i="32"/>
  <c r="U195" i="32"/>
  <c r="W195" i="32" s="1"/>
  <c r="V195" i="32"/>
  <c r="L205" i="35"/>
  <c r="M205" i="35" s="1"/>
  <c r="B206" i="35"/>
  <c r="G205" i="35"/>
  <c r="F205" i="35"/>
  <c r="D205" i="35"/>
  <c r="E205" i="35"/>
  <c r="N205" i="35"/>
  <c r="AL205" i="35"/>
  <c r="AJ205" i="35"/>
  <c r="Q205" i="35"/>
  <c r="R205" i="35"/>
  <c r="BF202" i="30"/>
  <c r="H11" i="16"/>
  <c r="W194" i="32"/>
  <c r="D196" i="31"/>
  <c r="C197" i="31"/>
  <c r="W28" i="2"/>
  <c r="AK188" i="5"/>
  <c r="AK189" i="5" s="1"/>
  <c r="AK190" i="5" s="1"/>
  <c r="AK191" i="5" s="1"/>
  <c r="AK192" i="5" s="1"/>
  <c r="AK193" i="5" s="1"/>
  <c r="AK194" i="5" s="1"/>
  <c r="AK195" i="5" s="1"/>
  <c r="AK196" i="5" s="1"/>
  <c r="AK197" i="5" s="1"/>
  <c r="AK198" i="5" s="1"/>
  <c r="AK199" i="5" s="1"/>
  <c r="AK200" i="5" s="1"/>
  <c r="D195" i="30" l="1"/>
  <c r="S195" i="30" s="1"/>
  <c r="N197" i="35" s="1"/>
  <c r="E225" i="5" s="1"/>
  <c r="M192" i="39"/>
  <c r="L192" i="39"/>
  <c r="K193" i="39"/>
  <c r="AW225" i="5"/>
  <c r="W29" i="2"/>
  <c r="W31" i="2" s="1"/>
  <c r="AK201" i="5"/>
  <c r="AK202" i="5" s="1"/>
  <c r="AK203" i="5" s="1"/>
  <c r="AK204" i="5" s="1"/>
  <c r="AK205" i="5" s="1"/>
  <c r="AK206" i="5" s="1"/>
  <c r="AK207" i="5" s="1"/>
  <c r="AK208" i="5" s="1"/>
  <c r="AK209" i="5" s="1"/>
  <c r="AK210" i="5" s="1"/>
  <c r="AK211" i="5" s="1"/>
  <c r="AK212" i="5" s="1"/>
  <c r="AK213" i="5" s="1"/>
  <c r="AK214" i="5" s="1"/>
  <c r="AK215" i="5" s="1"/>
  <c r="AK216" i="5" s="1"/>
  <c r="AK217" i="5" s="1"/>
  <c r="AK218" i="5" s="1"/>
  <c r="AK219" i="5" s="1"/>
  <c r="AK220" i="5" s="1"/>
  <c r="AK221" i="5" s="1"/>
  <c r="AK222" i="5" s="1"/>
  <c r="AK223" i="5" s="1"/>
  <c r="AK224" i="5" s="1"/>
  <c r="AK225" i="5" s="1"/>
  <c r="AK226" i="5" s="1"/>
  <c r="AK227" i="5" s="1"/>
  <c r="AK228" i="5" s="1"/>
  <c r="AK229" i="5" s="1"/>
  <c r="AK230" i="5" s="1"/>
  <c r="AK231" i="5" s="1"/>
  <c r="AK232" i="5" s="1"/>
  <c r="U196" i="32"/>
  <c r="T197" i="32"/>
  <c r="V196" i="32"/>
  <c r="E206" i="35"/>
  <c r="L206" i="35"/>
  <c r="M206" i="35" s="1"/>
  <c r="B207" i="35"/>
  <c r="G206" i="35"/>
  <c r="F206" i="35"/>
  <c r="D206" i="35"/>
  <c r="N206" i="35"/>
  <c r="Q206" i="35"/>
  <c r="R206" i="35"/>
  <c r="AL206" i="35"/>
  <c r="AJ206" i="35"/>
  <c r="D197" i="31"/>
  <c r="C198" i="31"/>
  <c r="M193" i="39" l="1"/>
  <c r="L193" i="39"/>
  <c r="AM195" i="30" s="1"/>
  <c r="K194" i="39"/>
  <c r="D198" i="31"/>
  <c r="C199" i="31"/>
  <c r="F207" i="35"/>
  <c r="E207" i="35"/>
  <c r="L207" i="35"/>
  <c r="M207" i="35" s="1"/>
  <c r="B208" i="35"/>
  <c r="D207" i="35"/>
  <c r="G207" i="35"/>
  <c r="Q207" i="35"/>
  <c r="AJ207" i="35"/>
  <c r="N207" i="35"/>
  <c r="R207" i="35"/>
  <c r="AL207" i="35"/>
  <c r="W196" i="32"/>
  <c r="U197" i="32"/>
  <c r="W197" i="32" s="1"/>
  <c r="T198" i="32"/>
  <c r="V197" i="32"/>
  <c r="M194" i="39" l="1"/>
  <c r="L194" i="39"/>
  <c r="K195" i="39"/>
  <c r="G208" i="35"/>
  <c r="F208" i="35"/>
  <c r="E208" i="35"/>
  <c r="L208" i="35"/>
  <c r="M208" i="35" s="1"/>
  <c r="D208" i="35"/>
  <c r="B209" i="35"/>
  <c r="N208" i="35"/>
  <c r="AL208" i="35"/>
  <c r="Q208" i="35"/>
  <c r="R208" i="35"/>
  <c r="AJ208" i="35"/>
  <c r="D199" i="31"/>
  <c r="C200" i="31"/>
  <c r="U198" i="32"/>
  <c r="AW228" i="5" s="1"/>
  <c r="T199" i="32"/>
  <c r="V198" i="32"/>
  <c r="M195" i="39" l="1"/>
  <c r="L195" i="39"/>
  <c r="K196" i="39"/>
  <c r="D200" i="31"/>
  <c r="C201" i="31"/>
  <c r="U199" i="32"/>
  <c r="W199" i="32" s="1"/>
  <c r="T200" i="32"/>
  <c r="V199" i="32"/>
  <c r="W198" i="32"/>
  <c r="L209" i="35"/>
  <c r="M209" i="35" s="1"/>
  <c r="B210" i="35"/>
  <c r="G209" i="35"/>
  <c r="F209" i="35"/>
  <c r="E209" i="35"/>
  <c r="N209" i="35"/>
  <c r="R209" i="35"/>
  <c r="AJ209" i="35"/>
  <c r="D209" i="35"/>
  <c r="AL209" i="35"/>
  <c r="Q209" i="35"/>
  <c r="M196" i="39" l="1"/>
  <c r="L196" i="39"/>
  <c r="K197" i="39"/>
  <c r="AW229" i="5"/>
  <c r="E210" i="35"/>
  <c r="L210" i="35"/>
  <c r="M210" i="35" s="1"/>
  <c r="B211" i="35"/>
  <c r="G210" i="35"/>
  <c r="F210" i="35"/>
  <c r="N210" i="35"/>
  <c r="D210" i="35"/>
  <c r="Q210" i="35"/>
  <c r="AL210" i="35"/>
  <c r="AJ210" i="35"/>
  <c r="R210" i="35"/>
  <c r="D201" i="31"/>
  <c r="C202" i="31"/>
  <c r="U200" i="32"/>
  <c r="W200" i="32" s="1"/>
  <c r="T201" i="32"/>
  <c r="V200" i="32"/>
  <c r="AW230" i="5" l="1"/>
  <c r="M197" i="39"/>
  <c r="L197" i="39"/>
  <c r="K198" i="39"/>
  <c r="D201" i="30"/>
  <c r="S201" i="30" s="1"/>
  <c r="N203" i="35" s="1"/>
  <c r="E231" i="5" s="1"/>
  <c r="D200" i="30"/>
  <c r="S200" i="30" s="1"/>
  <c r="N202" i="35" s="1"/>
  <c r="E230" i="5" s="1"/>
  <c r="U201" i="32"/>
  <c r="W201" i="32" s="1"/>
  <c r="T202" i="32"/>
  <c r="V201" i="32"/>
  <c r="D202" i="31"/>
  <c r="C203" i="31"/>
  <c r="E211" i="35"/>
  <c r="F211" i="35"/>
  <c r="L211" i="35"/>
  <c r="M211" i="35" s="1"/>
  <c r="B212" i="35"/>
  <c r="G211" i="35"/>
  <c r="D211" i="35"/>
  <c r="AJ211" i="35"/>
  <c r="N211" i="35"/>
  <c r="R211" i="35"/>
  <c r="Q211" i="35"/>
  <c r="AL211" i="35"/>
  <c r="M198" i="39" l="1"/>
  <c r="L198" i="39"/>
  <c r="AM200" i="30" s="1"/>
  <c r="K199" i="39"/>
  <c r="AW231" i="5"/>
  <c r="U202" i="32"/>
  <c r="W202" i="32" s="1"/>
  <c r="T203" i="32"/>
  <c r="V202" i="32"/>
  <c r="G212" i="35"/>
  <c r="F212" i="35"/>
  <c r="E212" i="35"/>
  <c r="B213" i="35"/>
  <c r="D212" i="35"/>
  <c r="L212" i="35"/>
  <c r="M212" i="35" s="1"/>
  <c r="Q212" i="35"/>
  <c r="AL212" i="35"/>
  <c r="N212" i="35"/>
  <c r="AJ212" i="35"/>
  <c r="R212" i="35"/>
  <c r="D203" i="31"/>
  <c r="C204" i="31"/>
  <c r="AW232" i="5" l="1"/>
  <c r="M199" i="39"/>
  <c r="L199" i="39"/>
  <c r="AM201" i="30" s="1"/>
  <c r="K200" i="39"/>
  <c r="D202" i="30"/>
  <c r="S202" i="30" s="1"/>
  <c r="N204" i="35" s="1"/>
  <c r="E232" i="5" s="1"/>
  <c r="D204" i="31"/>
  <c r="C205" i="31"/>
  <c r="U203" i="32"/>
  <c r="W203" i="32" s="1"/>
  <c r="T204" i="32"/>
  <c r="V203" i="32"/>
  <c r="L213" i="35"/>
  <c r="M213" i="35" s="1"/>
  <c r="B214" i="35"/>
  <c r="G213" i="35"/>
  <c r="F213" i="35"/>
  <c r="E213" i="35"/>
  <c r="N213" i="35"/>
  <c r="AJ213" i="35"/>
  <c r="Q213" i="35"/>
  <c r="D213" i="35"/>
  <c r="R213" i="35"/>
  <c r="AL213" i="35"/>
  <c r="M200" i="39" l="1"/>
  <c r="L200" i="39"/>
  <c r="AM202" i="30" s="1"/>
  <c r="K201" i="39"/>
  <c r="U204" i="32"/>
  <c r="W204" i="32" s="1"/>
  <c r="T205" i="32"/>
  <c r="V204" i="32"/>
  <c r="E214" i="35"/>
  <c r="L214" i="35"/>
  <c r="M214" i="35" s="1"/>
  <c r="B215" i="35"/>
  <c r="G214" i="35"/>
  <c r="D214" i="35"/>
  <c r="F214" i="35"/>
  <c r="N214" i="35"/>
  <c r="AL214" i="35"/>
  <c r="Q214" i="35"/>
  <c r="R214" i="35"/>
  <c r="AJ214" i="35"/>
  <c r="D205" i="31"/>
  <c r="C206" i="31"/>
  <c r="M201" i="39" l="1"/>
  <c r="L201" i="39"/>
  <c r="K202" i="39"/>
  <c r="F215" i="35"/>
  <c r="E215" i="35"/>
  <c r="L215" i="35"/>
  <c r="M215" i="35" s="1"/>
  <c r="B216" i="35"/>
  <c r="D215" i="35"/>
  <c r="Q215" i="35"/>
  <c r="AJ215" i="35"/>
  <c r="G215" i="35"/>
  <c r="N215" i="35"/>
  <c r="R215" i="35"/>
  <c r="AL215" i="35"/>
  <c r="D206" i="31"/>
  <c r="C207" i="31"/>
  <c r="U205" i="32"/>
  <c r="W205" i="32" s="1"/>
  <c r="T206" i="32"/>
  <c r="V205" i="32"/>
  <c r="M202" i="39" l="1"/>
  <c r="L202" i="39"/>
  <c r="K203" i="39"/>
  <c r="D207" i="31"/>
  <c r="C208" i="31"/>
  <c r="G216" i="35"/>
  <c r="F216" i="35"/>
  <c r="E216" i="35"/>
  <c r="L216" i="35"/>
  <c r="M216" i="35" s="1"/>
  <c r="B217" i="35"/>
  <c r="D216" i="35"/>
  <c r="N216" i="35"/>
  <c r="R216" i="35"/>
  <c r="AL216" i="35"/>
  <c r="Q216" i="35"/>
  <c r="AJ216" i="35"/>
  <c r="U206" i="32"/>
  <c r="W206" i="32" s="1"/>
  <c r="T207" i="32"/>
  <c r="V206" i="32"/>
  <c r="M203" i="39" l="1"/>
  <c r="L203" i="39"/>
  <c r="K204" i="39"/>
  <c r="D208" i="31"/>
  <c r="C209" i="31"/>
  <c r="U207" i="32"/>
  <c r="W207" i="32" s="1"/>
  <c r="T208" i="32"/>
  <c r="V207" i="32"/>
  <c r="L217" i="35"/>
  <c r="M217" i="35" s="1"/>
  <c r="B218" i="35"/>
  <c r="G217" i="35"/>
  <c r="F217" i="35"/>
  <c r="D217" i="35"/>
  <c r="E217" i="35"/>
  <c r="AJ217" i="35"/>
  <c r="N217" i="35"/>
  <c r="Q217" i="35"/>
  <c r="AL217" i="35"/>
  <c r="R217" i="35"/>
  <c r="M204" i="39" l="1"/>
  <c r="L204" i="39"/>
  <c r="K205" i="39"/>
  <c r="T209" i="32"/>
  <c r="U208" i="32"/>
  <c r="W208" i="32" s="1"/>
  <c r="V208" i="32"/>
  <c r="D209" i="31"/>
  <c r="C210" i="31"/>
  <c r="E218" i="35"/>
  <c r="L218" i="35"/>
  <c r="M218" i="35" s="1"/>
  <c r="B219" i="35"/>
  <c r="G218" i="35"/>
  <c r="D218" i="35"/>
  <c r="F218" i="35"/>
  <c r="N218" i="35"/>
  <c r="R218" i="35"/>
  <c r="Q218" i="35"/>
  <c r="AL218" i="35"/>
  <c r="AJ218" i="35"/>
  <c r="M205" i="39" l="1"/>
  <c r="L205" i="39"/>
  <c r="K206" i="39"/>
  <c r="D210" i="31"/>
  <c r="C211" i="31"/>
  <c r="U209" i="32"/>
  <c r="W209" i="32" s="1"/>
  <c r="T210" i="32"/>
  <c r="V209" i="32"/>
  <c r="E219" i="35"/>
  <c r="F219" i="35"/>
  <c r="L219" i="35"/>
  <c r="M219" i="35" s="1"/>
  <c r="B220" i="35"/>
  <c r="G219" i="35"/>
  <c r="AJ219" i="35"/>
  <c r="D219" i="35"/>
  <c r="R219" i="35"/>
  <c r="N219" i="35"/>
  <c r="Q219" i="35"/>
  <c r="AL219" i="35"/>
  <c r="M206" i="39" l="1"/>
  <c r="L206" i="39"/>
  <c r="K207" i="39"/>
  <c r="U210" i="32"/>
  <c r="W210" i="32" s="1"/>
  <c r="T211" i="32"/>
  <c r="V210" i="32"/>
  <c r="D211" i="31"/>
  <c r="C212" i="31"/>
  <c r="G220" i="35"/>
  <c r="F220" i="35"/>
  <c r="E220" i="35"/>
  <c r="D220" i="35"/>
  <c r="L220" i="35"/>
  <c r="M220" i="35" s="1"/>
  <c r="B221" i="35"/>
  <c r="N220" i="35"/>
  <c r="R220" i="35"/>
  <c r="AL220" i="35"/>
  <c r="Q220" i="35"/>
  <c r="AJ220" i="35"/>
  <c r="M207" i="39" l="1"/>
  <c r="L207" i="39"/>
  <c r="K208" i="39"/>
  <c r="U211" i="32"/>
  <c r="W211" i="32" s="1"/>
  <c r="T212" i="32"/>
  <c r="V211" i="32"/>
  <c r="L221" i="35"/>
  <c r="M221" i="35" s="1"/>
  <c r="B222" i="35"/>
  <c r="G221" i="35"/>
  <c r="F221" i="35"/>
  <c r="E221" i="35"/>
  <c r="D221" i="35"/>
  <c r="Q221" i="35"/>
  <c r="R221" i="35"/>
  <c r="AJ221" i="35"/>
  <c r="N221" i="35"/>
  <c r="AL221" i="35"/>
  <c r="B221" i="5"/>
  <c r="T221" i="5" s="1"/>
  <c r="B222" i="5"/>
  <c r="T222" i="5" s="1"/>
  <c r="B223" i="5"/>
  <c r="T223" i="5" s="1"/>
  <c r="B224" i="5"/>
  <c r="T224" i="5" s="1"/>
  <c r="B225" i="5"/>
  <c r="T225" i="5" s="1"/>
  <c r="B226" i="5"/>
  <c r="T226" i="5" s="1"/>
  <c r="B227" i="5"/>
  <c r="T227" i="5" s="1"/>
  <c r="B228" i="5"/>
  <c r="T228" i="5" s="1"/>
  <c r="B229" i="5"/>
  <c r="T229" i="5" s="1"/>
  <c r="B230" i="5"/>
  <c r="T230" i="5" s="1"/>
  <c r="B231" i="5"/>
  <c r="T231" i="5" s="1"/>
  <c r="B232" i="5"/>
  <c r="T232" i="5" s="1"/>
  <c r="D212" i="31"/>
  <c r="C213" i="31"/>
  <c r="M208" i="39" l="1"/>
  <c r="L208" i="39"/>
  <c r="K209" i="39"/>
  <c r="U212" i="32"/>
  <c r="W212" i="32" s="1"/>
  <c r="T213" i="32"/>
  <c r="V212" i="32"/>
  <c r="E222" i="35"/>
  <c r="L222" i="35"/>
  <c r="M222" i="35" s="1"/>
  <c r="B223" i="35"/>
  <c r="G222" i="35"/>
  <c r="F222" i="35"/>
  <c r="D222" i="35"/>
  <c r="N222" i="35"/>
  <c r="AL222" i="35"/>
  <c r="Q222" i="35"/>
  <c r="R222" i="35"/>
  <c r="AJ222" i="35"/>
  <c r="D213" i="31"/>
  <c r="C214" i="31"/>
  <c r="M209" i="39" l="1"/>
  <c r="L209" i="39"/>
  <c r="K210" i="39"/>
  <c r="D214" i="31"/>
  <c r="C215" i="31"/>
  <c r="F223" i="35"/>
  <c r="E223" i="35"/>
  <c r="L223" i="35"/>
  <c r="M223" i="35" s="1"/>
  <c r="B224" i="35"/>
  <c r="G223" i="35"/>
  <c r="N223" i="35"/>
  <c r="AJ223" i="35"/>
  <c r="D223" i="35"/>
  <c r="Q223" i="35"/>
  <c r="R223" i="35"/>
  <c r="AL223" i="35"/>
  <c r="U213" i="32"/>
  <c r="W213" i="32" s="1"/>
  <c r="T214" i="32"/>
  <c r="V213" i="32"/>
  <c r="M210" i="39" l="1"/>
  <c r="L210" i="39"/>
  <c r="K211" i="39"/>
  <c r="G224" i="35"/>
  <c r="F224" i="35"/>
  <c r="E224" i="35"/>
  <c r="L224" i="35"/>
  <c r="M224" i="35" s="1"/>
  <c r="D224" i="35"/>
  <c r="N224" i="35"/>
  <c r="Q224" i="35"/>
  <c r="AL224" i="35"/>
  <c r="R224" i="35"/>
  <c r="AJ224" i="35"/>
  <c r="B225" i="35"/>
  <c r="U214" i="32"/>
  <c r="W214" i="32" s="1"/>
  <c r="T215" i="32"/>
  <c r="V214" i="32"/>
  <c r="D215" i="31"/>
  <c r="C216" i="31"/>
  <c r="M211" i="39" l="1"/>
  <c r="L211" i="39"/>
  <c r="K212" i="39"/>
  <c r="D216" i="31"/>
  <c r="C217" i="31"/>
  <c r="U215" i="32"/>
  <c r="W215" i="32" s="1"/>
  <c r="T216" i="32"/>
  <c r="V215" i="32"/>
  <c r="L225" i="35"/>
  <c r="M225" i="35" s="1"/>
  <c r="B226" i="35"/>
  <c r="G225" i="35"/>
  <c r="F225" i="35"/>
  <c r="E225" i="35"/>
  <c r="D225" i="35"/>
  <c r="N225" i="35"/>
  <c r="R225" i="35"/>
  <c r="AJ225" i="35"/>
  <c r="Q225" i="35"/>
  <c r="AL225" i="35"/>
  <c r="M212" i="39" l="1"/>
  <c r="L212" i="39"/>
  <c r="K213" i="39"/>
  <c r="T217" i="32"/>
  <c r="U216" i="32"/>
  <c r="W216" i="32" s="1"/>
  <c r="V216" i="32"/>
  <c r="C218" i="31"/>
  <c r="D217" i="31"/>
  <c r="E226" i="35"/>
  <c r="L226" i="35"/>
  <c r="M226" i="35" s="1"/>
  <c r="B227" i="35"/>
  <c r="G226" i="35"/>
  <c r="F226" i="35"/>
  <c r="D226" i="35"/>
  <c r="N226" i="35"/>
  <c r="AL226" i="35"/>
  <c r="Q226" i="35"/>
  <c r="R226" i="35"/>
  <c r="AJ226" i="35"/>
  <c r="M213" i="39" l="1"/>
  <c r="L213" i="39"/>
  <c r="K214" i="39"/>
  <c r="E227" i="35"/>
  <c r="F227" i="35"/>
  <c r="L227" i="35"/>
  <c r="M227" i="35" s="1"/>
  <c r="B228" i="35"/>
  <c r="G227" i="35"/>
  <c r="D227" i="35"/>
  <c r="Q227" i="35"/>
  <c r="AJ227" i="35"/>
  <c r="N227" i="35"/>
  <c r="R227" i="35"/>
  <c r="AL227" i="35"/>
  <c r="C219" i="31"/>
  <c r="D218" i="31"/>
  <c r="U217" i="32"/>
  <c r="W217" i="32" s="1"/>
  <c r="T218" i="32"/>
  <c r="V217" i="32"/>
  <c r="M214" i="39" l="1"/>
  <c r="L214" i="39"/>
  <c r="K215" i="39"/>
  <c r="C220" i="31"/>
  <c r="D219" i="31"/>
  <c r="G228" i="35"/>
  <c r="F228" i="35"/>
  <c r="E228" i="35"/>
  <c r="B229" i="35"/>
  <c r="D228" i="35"/>
  <c r="L228" i="35"/>
  <c r="M228" i="35" s="1"/>
  <c r="N228" i="35"/>
  <c r="Q228" i="35"/>
  <c r="AL228" i="35"/>
  <c r="R228" i="35"/>
  <c r="AJ228" i="35"/>
  <c r="U218" i="32"/>
  <c r="W218" i="32" s="1"/>
  <c r="T219" i="32"/>
  <c r="V218" i="32"/>
  <c r="M215" i="39" l="1"/>
  <c r="L215" i="39"/>
  <c r="K216" i="39"/>
  <c r="U219" i="32"/>
  <c r="W219" i="32" s="1"/>
  <c r="T220" i="32"/>
  <c r="V219" i="32"/>
  <c r="L229" i="35"/>
  <c r="M229" i="35" s="1"/>
  <c r="B230" i="35"/>
  <c r="G229" i="35"/>
  <c r="F229" i="35"/>
  <c r="E229" i="35"/>
  <c r="AL229" i="35"/>
  <c r="Q229" i="35"/>
  <c r="R229" i="35"/>
  <c r="D229" i="35"/>
  <c r="AJ229" i="35"/>
  <c r="N229" i="35"/>
  <c r="C221" i="31"/>
  <c r="D220" i="31"/>
  <c r="M216" i="39" l="1"/>
  <c r="L216" i="39"/>
  <c r="K217" i="39"/>
  <c r="C222" i="31"/>
  <c r="D221" i="31"/>
  <c r="E230" i="35"/>
  <c r="L230" i="35"/>
  <c r="M230" i="35" s="1"/>
  <c r="B231" i="35"/>
  <c r="G230" i="35"/>
  <c r="F230" i="35"/>
  <c r="N230" i="35"/>
  <c r="AL230" i="35"/>
  <c r="D230" i="35"/>
  <c r="Q230" i="35"/>
  <c r="R230" i="35"/>
  <c r="AJ230" i="35"/>
  <c r="U220" i="32"/>
  <c r="W220" i="32" s="1"/>
  <c r="T221" i="32"/>
  <c r="V220" i="32"/>
  <c r="M217" i="39" l="1"/>
  <c r="L217" i="39"/>
  <c r="K218" i="39"/>
  <c r="U221" i="32"/>
  <c r="W221" i="32" s="1"/>
  <c r="T222" i="32"/>
  <c r="V221" i="32"/>
  <c r="F231" i="35"/>
  <c r="E231" i="35"/>
  <c r="L231" i="35"/>
  <c r="M231" i="35" s="1"/>
  <c r="B232" i="35"/>
  <c r="D231" i="35"/>
  <c r="G231" i="35"/>
  <c r="Q231" i="35"/>
  <c r="AJ231" i="35"/>
  <c r="R231" i="35"/>
  <c r="N231" i="35"/>
  <c r="AL231" i="35"/>
  <c r="C223" i="31"/>
  <c r="D222" i="31"/>
  <c r="M218" i="39" l="1"/>
  <c r="L218" i="39"/>
  <c r="K219" i="39"/>
  <c r="C224" i="31"/>
  <c r="D223" i="31"/>
  <c r="G232" i="35"/>
  <c r="F232" i="35"/>
  <c r="E232" i="35"/>
  <c r="L232" i="35"/>
  <c r="M232" i="35" s="1"/>
  <c r="B233" i="35"/>
  <c r="D232" i="35"/>
  <c r="N232" i="35"/>
  <c r="AL232" i="35"/>
  <c r="Q232" i="35"/>
  <c r="R232" i="35"/>
  <c r="AJ232" i="35"/>
  <c r="U222" i="32"/>
  <c r="W222" i="32" s="1"/>
  <c r="T223" i="32"/>
  <c r="V222" i="32"/>
  <c r="M219" i="39" l="1"/>
  <c r="L219" i="39"/>
  <c r="K220" i="39"/>
  <c r="C225" i="31"/>
  <c r="D224" i="31"/>
  <c r="U223" i="32"/>
  <c r="W223" i="32" s="1"/>
  <c r="T224" i="32"/>
  <c r="V223" i="32"/>
  <c r="L233" i="35"/>
  <c r="M233" i="35" s="1"/>
  <c r="B234" i="35"/>
  <c r="G233" i="35"/>
  <c r="F233" i="35"/>
  <c r="D233" i="35"/>
  <c r="E233" i="35"/>
  <c r="N233" i="35"/>
  <c r="AJ233" i="35"/>
  <c r="Q233" i="35"/>
  <c r="AL233" i="35"/>
  <c r="R233" i="35"/>
  <c r="M220" i="39" l="1"/>
  <c r="L220" i="39"/>
  <c r="K221" i="39"/>
  <c r="T225" i="32"/>
  <c r="U224" i="32"/>
  <c r="W224" i="32" s="1"/>
  <c r="V224" i="32"/>
  <c r="E234" i="35"/>
  <c r="L234" i="35"/>
  <c r="M234" i="35" s="1"/>
  <c r="B235" i="35"/>
  <c r="G234" i="35"/>
  <c r="F234" i="35"/>
  <c r="D234" i="35"/>
  <c r="AL234" i="35"/>
  <c r="N234" i="35"/>
  <c r="R234" i="35"/>
  <c r="AJ234" i="35"/>
  <c r="Q234" i="35"/>
  <c r="C226" i="31"/>
  <c r="D225" i="31"/>
  <c r="M221" i="39" l="1"/>
  <c r="L221" i="39"/>
  <c r="K222" i="39"/>
  <c r="C227" i="31"/>
  <c r="D226" i="31"/>
  <c r="E235" i="35"/>
  <c r="F235" i="35"/>
  <c r="L235" i="35"/>
  <c r="M235" i="35" s="1"/>
  <c r="B236" i="35"/>
  <c r="G235" i="35"/>
  <c r="D235" i="35"/>
  <c r="Q235" i="35"/>
  <c r="AJ235" i="35"/>
  <c r="N235" i="35"/>
  <c r="R235" i="35"/>
  <c r="AL235" i="35"/>
  <c r="U225" i="32"/>
  <c r="W225" i="32" s="1"/>
  <c r="T226" i="32"/>
  <c r="V225" i="32"/>
  <c r="M222" i="39" l="1"/>
  <c r="L222" i="39"/>
  <c r="K223" i="39"/>
  <c r="U226" i="32"/>
  <c r="W226" i="32" s="1"/>
  <c r="T227" i="32"/>
  <c r="V226" i="32"/>
  <c r="G236" i="35"/>
  <c r="F236" i="35"/>
  <c r="E236" i="35"/>
  <c r="L236" i="35"/>
  <c r="M236" i="35" s="1"/>
  <c r="B237" i="35"/>
  <c r="R236" i="35"/>
  <c r="AL236" i="35"/>
  <c r="N236" i="35"/>
  <c r="AJ236" i="35"/>
  <c r="D236" i="35"/>
  <c r="Q236" i="35"/>
  <c r="C228" i="31"/>
  <c r="D227" i="31"/>
  <c r="M223" i="39" l="1"/>
  <c r="L223" i="39"/>
  <c r="K224" i="39"/>
  <c r="C229" i="31"/>
  <c r="D228" i="31"/>
  <c r="U227" i="32"/>
  <c r="W227" i="32" s="1"/>
  <c r="T228" i="32"/>
  <c r="V227" i="32"/>
  <c r="L237" i="35"/>
  <c r="M237" i="35" s="1"/>
  <c r="B238" i="35"/>
  <c r="G237" i="35"/>
  <c r="F237" i="35"/>
  <c r="D237" i="35"/>
  <c r="AJ237" i="35"/>
  <c r="E237" i="35"/>
  <c r="N237" i="35"/>
  <c r="Q237" i="35"/>
  <c r="R237" i="35"/>
  <c r="AL237" i="35"/>
  <c r="M224" i="39" l="1"/>
  <c r="L224" i="39"/>
  <c r="K225" i="39"/>
  <c r="U228" i="32"/>
  <c r="W228" i="32" s="1"/>
  <c r="T229" i="32"/>
  <c r="V228" i="32"/>
  <c r="E238" i="35"/>
  <c r="L238" i="35"/>
  <c r="M238" i="35" s="1"/>
  <c r="B239" i="35"/>
  <c r="G238" i="35"/>
  <c r="F238" i="35"/>
  <c r="D238" i="35"/>
  <c r="N238" i="35"/>
  <c r="AL238" i="35"/>
  <c r="R238" i="35"/>
  <c r="AJ238" i="35"/>
  <c r="Q238" i="35"/>
  <c r="C230" i="31"/>
  <c r="D229" i="31"/>
  <c r="M225" i="39" l="1"/>
  <c r="L225" i="39"/>
  <c r="K226" i="39"/>
  <c r="F239" i="35"/>
  <c r="E239" i="35"/>
  <c r="L239" i="35"/>
  <c r="M239" i="35" s="1"/>
  <c r="B240" i="35"/>
  <c r="D239" i="35"/>
  <c r="G239" i="35"/>
  <c r="N239" i="35"/>
  <c r="AJ239" i="35"/>
  <c r="Q239" i="35"/>
  <c r="R239" i="35"/>
  <c r="AL239" i="35"/>
  <c r="U229" i="32"/>
  <c r="W229" i="32" s="1"/>
  <c r="T230" i="32"/>
  <c r="V229" i="32"/>
  <c r="C231" i="31"/>
  <c r="D230" i="31"/>
  <c r="M226" i="39" l="1"/>
  <c r="L226" i="39"/>
  <c r="K227" i="39"/>
  <c r="I16" i="30"/>
  <c r="I15" i="30"/>
  <c r="L16" i="30"/>
  <c r="L15" i="30"/>
  <c r="L17" i="30"/>
  <c r="I17" i="30"/>
  <c r="I18" i="30"/>
  <c r="L18" i="30"/>
  <c r="I19" i="30"/>
  <c r="L19" i="30"/>
  <c r="L20" i="30"/>
  <c r="I20" i="30"/>
  <c r="I21" i="30"/>
  <c r="L21" i="30"/>
  <c r="L22" i="30"/>
  <c r="I22" i="30"/>
  <c r="I23" i="30"/>
  <c r="L23" i="30"/>
  <c r="I24" i="30"/>
  <c r="L24" i="30"/>
  <c r="L25" i="30"/>
  <c r="I25" i="30"/>
  <c r="L26" i="30"/>
  <c r="I26" i="30"/>
  <c r="I27" i="30"/>
  <c r="L27" i="30"/>
  <c r="I28" i="30"/>
  <c r="L28" i="30"/>
  <c r="I29" i="30"/>
  <c r="L29" i="30"/>
  <c r="L30" i="30"/>
  <c r="I30" i="30"/>
  <c r="L31" i="30"/>
  <c r="I31" i="30"/>
  <c r="L32" i="30"/>
  <c r="I32" i="30"/>
  <c r="L33" i="30"/>
  <c r="I33" i="30"/>
  <c r="I34" i="30"/>
  <c r="L34" i="30"/>
  <c r="L35" i="30"/>
  <c r="I35" i="30"/>
  <c r="L36" i="30"/>
  <c r="I36" i="30"/>
  <c r="I37" i="30"/>
  <c r="L37" i="30"/>
  <c r="L38" i="30"/>
  <c r="I38" i="30"/>
  <c r="I39" i="30"/>
  <c r="L39" i="30"/>
  <c r="L40" i="30"/>
  <c r="I40" i="30"/>
  <c r="L41" i="30"/>
  <c r="I41" i="30"/>
  <c r="I42" i="30"/>
  <c r="L42" i="30"/>
  <c r="L43" i="30"/>
  <c r="I43" i="30"/>
  <c r="I44" i="30"/>
  <c r="L44" i="30"/>
  <c r="L45" i="30"/>
  <c r="I45" i="30"/>
  <c r="I46" i="30"/>
  <c r="L46" i="30"/>
  <c r="I47" i="30"/>
  <c r="L47" i="30"/>
  <c r="L48" i="30"/>
  <c r="I48" i="30"/>
  <c r="I49" i="30"/>
  <c r="L49" i="30"/>
  <c r="I50" i="30"/>
  <c r="L50" i="30"/>
  <c r="L51" i="30"/>
  <c r="I51" i="30"/>
  <c r="I52" i="30"/>
  <c r="L52" i="30"/>
  <c r="I53" i="30"/>
  <c r="L53" i="30"/>
  <c r="I54" i="30"/>
  <c r="L54" i="30"/>
  <c r="L55" i="30"/>
  <c r="I55" i="30"/>
  <c r="L56" i="30"/>
  <c r="I56" i="30"/>
  <c r="I57" i="30"/>
  <c r="L57" i="30"/>
  <c r="I58" i="30"/>
  <c r="L58" i="30"/>
  <c r="L59" i="30"/>
  <c r="I59" i="30"/>
  <c r="I60" i="30"/>
  <c r="L60" i="30"/>
  <c r="L61" i="30"/>
  <c r="I61" i="30"/>
  <c r="I62" i="30"/>
  <c r="L62" i="30"/>
  <c r="I63" i="30"/>
  <c r="L63" i="30"/>
  <c r="I64" i="30"/>
  <c r="L64" i="30"/>
  <c r="L65" i="30"/>
  <c r="I65" i="30"/>
  <c r="L66" i="30"/>
  <c r="I66" i="30"/>
  <c r="L67" i="30"/>
  <c r="I67" i="30"/>
  <c r="L68" i="30"/>
  <c r="I68" i="30"/>
  <c r="I69" i="30"/>
  <c r="L69" i="30"/>
  <c r="I70" i="30"/>
  <c r="L70" i="30"/>
  <c r="L71" i="30"/>
  <c r="I71" i="30"/>
  <c r="L72" i="30"/>
  <c r="I72" i="30"/>
  <c r="I73" i="30"/>
  <c r="L73" i="30"/>
  <c r="I74" i="30"/>
  <c r="L74" i="30"/>
  <c r="AZ74" i="30" s="1"/>
  <c r="BB74" i="30" s="1"/>
  <c r="BF74" i="30" s="1"/>
  <c r="L75" i="30"/>
  <c r="AZ75" i="30" s="1"/>
  <c r="BB75" i="30" s="1"/>
  <c r="BF75" i="30" s="1"/>
  <c r="I75" i="30"/>
  <c r="I76" i="30"/>
  <c r="L76" i="30"/>
  <c r="AZ76" i="30" s="1"/>
  <c r="BB76" i="30" s="1"/>
  <c r="BF76" i="30" s="1"/>
  <c r="L77" i="30"/>
  <c r="AZ77" i="30" s="1"/>
  <c r="BB77" i="30" s="1"/>
  <c r="BF77" i="30" s="1"/>
  <c r="I77" i="30"/>
  <c r="I78" i="30"/>
  <c r="L78" i="30"/>
  <c r="L79" i="30"/>
  <c r="I79" i="30"/>
  <c r="L80" i="30"/>
  <c r="I80" i="30"/>
  <c r="I81" i="30"/>
  <c r="L81" i="30"/>
  <c r="I82" i="30"/>
  <c r="L82" i="30"/>
  <c r="I83" i="30"/>
  <c r="L83" i="30"/>
  <c r="L84" i="30"/>
  <c r="I84" i="30"/>
  <c r="L85" i="30"/>
  <c r="I85" i="30"/>
  <c r="L86" i="30"/>
  <c r="I86" i="30"/>
  <c r="I87" i="30"/>
  <c r="L87" i="30"/>
  <c r="I88" i="30"/>
  <c r="L88" i="30"/>
  <c r="L89" i="30"/>
  <c r="I89" i="30"/>
  <c r="L90" i="30"/>
  <c r="I90" i="30"/>
  <c r="L91" i="30"/>
  <c r="I91" i="30"/>
  <c r="L92" i="30"/>
  <c r="I92" i="30"/>
  <c r="I93" i="30"/>
  <c r="L93" i="30"/>
  <c r="L94" i="30"/>
  <c r="I94" i="30"/>
  <c r="I95" i="30"/>
  <c r="L95" i="30"/>
  <c r="I96" i="30"/>
  <c r="L96" i="30"/>
  <c r="I97" i="30"/>
  <c r="L97" i="30"/>
  <c r="L98" i="30"/>
  <c r="I98" i="30"/>
  <c r="L99" i="30"/>
  <c r="I99" i="30"/>
  <c r="L100" i="30"/>
  <c r="I100" i="30"/>
  <c r="L101" i="30"/>
  <c r="I101" i="30"/>
  <c r="I102" i="30"/>
  <c r="L102" i="30"/>
  <c r="I103" i="30"/>
  <c r="L103" i="30"/>
  <c r="I104" i="30"/>
  <c r="L104" i="30"/>
  <c r="I105" i="30"/>
  <c r="L105" i="30"/>
  <c r="L106" i="30"/>
  <c r="I106" i="30"/>
  <c r="I107" i="30"/>
  <c r="L107" i="30"/>
  <c r="L108" i="30"/>
  <c r="I108" i="30"/>
  <c r="L109" i="30"/>
  <c r="I109" i="30"/>
  <c r="I110" i="30"/>
  <c r="L110" i="30"/>
  <c r="I111" i="30"/>
  <c r="L111" i="30"/>
  <c r="I112" i="30"/>
  <c r="L112" i="30"/>
  <c r="L113" i="30"/>
  <c r="I113" i="30"/>
  <c r="L114" i="30"/>
  <c r="I114" i="30"/>
  <c r="I115" i="30"/>
  <c r="L115" i="30"/>
  <c r="I116" i="30"/>
  <c r="L116" i="30"/>
  <c r="I117" i="30"/>
  <c r="L117" i="30"/>
  <c r="I118" i="30"/>
  <c r="L118" i="30"/>
  <c r="I119" i="30"/>
  <c r="L119" i="30"/>
  <c r="I120" i="30"/>
  <c r="L120" i="30"/>
  <c r="I121" i="30"/>
  <c r="L121" i="30"/>
  <c r="I122" i="30"/>
  <c r="L122" i="30"/>
  <c r="L123" i="30"/>
  <c r="I123" i="30"/>
  <c r="L124" i="30"/>
  <c r="I124" i="30"/>
  <c r="L125" i="30"/>
  <c r="I125" i="30"/>
  <c r="L126" i="30"/>
  <c r="I126" i="30"/>
  <c r="I127" i="30"/>
  <c r="L127" i="30"/>
  <c r="L128" i="30"/>
  <c r="I128" i="30"/>
  <c r="I129" i="30"/>
  <c r="L129" i="30"/>
  <c r="L130" i="30"/>
  <c r="I130" i="30"/>
  <c r="L131" i="30"/>
  <c r="I131" i="30"/>
  <c r="L132" i="30"/>
  <c r="I132" i="30"/>
  <c r="L133" i="30"/>
  <c r="I133" i="30"/>
  <c r="I134" i="30"/>
  <c r="L134" i="30"/>
  <c r="L135" i="30"/>
  <c r="I135" i="30"/>
  <c r="I136" i="30"/>
  <c r="L136" i="30"/>
  <c r="I137" i="30"/>
  <c r="L137" i="30"/>
  <c r="L138" i="30"/>
  <c r="I138" i="30"/>
  <c r="L139" i="30"/>
  <c r="I139" i="30"/>
  <c r="L140" i="30"/>
  <c r="I140" i="30"/>
  <c r="L141" i="30"/>
  <c r="I141" i="30"/>
  <c r="L142" i="30"/>
  <c r="I142" i="30"/>
  <c r="L143" i="30"/>
  <c r="I143" i="30"/>
  <c r="I144" i="30"/>
  <c r="L144" i="30"/>
  <c r="I145" i="30"/>
  <c r="L145" i="30"/>
  <c r="L146" i="30"/>
  <c r="I146" i="30"/>
  <c r="L147" i="30"/>
  <c r="I147" i="30"/>
  <c r="L148" i="30"/>
  <c r="I148" i="30"/>
  <c r="I149" i="30"/>
  <c r="L149" i="30"/>
  <c r="L150" i="30"/>
  <c r="I150" i="30"/>
  <c r="L151" i="30"/>
  <c r="I151" i="30"/>
  <c r="L152" i="30"/>
  <c r="I152" i="30"/>
  <c r="I153" i="30"/>
  <c r="L153" i="30"/>
  <c r="I154" i="30"/>
  <c r="L154" i="30"/>
  <c r="I155" i="30"/>
  <c r="L155" i="30"/>
  <c r="I156" i="30"/>
  <c r="L156" i="30"/>
  <c r="I157" i="30"/>
  <c r="L157" i="30"/>
  <c r="I158" i="30"/>
  <c r="L158" i="30"/>
  <c r="I159" i="30"/>
  <c r="L159" i="30"/>
  <c r="L160" i="30"/>
  <c r="I160" i="30"/>
  <c r="I161" i="30"/>
  <c r="L161" i="30"/>
  <c r="I162" i="30"/>
  <c r="L162" i="30"/>
  <c r="I163" i="30"/>
  <c r="L163" i="30"/>
  <c r="L164" i="30"/>
  <c r="I164" i="30"/>
  <c r="I165" i="30"/>
  <c r="L165" i="30"/>
  <c r="L166" i="30"/>
  <c r="I166" i="30"/>
  <c r="I167" i="30"/>
  <c r="L167" i="30"/>
  <c r="L168" i="30"/>
  <c r="I168" i="30"/>
  <c r="I169" i="30"/>
  <c r="L169" i="30"/>
  <c r="L170" i="30"/>
  <c r="I170" i="30"/>
  <c r="I171" i="30"/>
  <c r="L171" i="30"/>
  <c r="I172" i="30"/>
  <c r="L172" i="30"/>
  <c r="I173" i="30"/>
  <c r="L173" i="30"/>
  <c r="I174" i="30"/>
  <c r="L174" i="30"/>
  <c r="I175" i="30"/>
  <c r="L175" i="30"/>
  <c r="I176" i="30"/>
  <c r="L176" i="30"/>
  <c r="L177" i="30"/>
  <c r="I177" i="30"/>
  <c r="L178" i="30"/>
  <c r="I178" i="30"/>
  <c r="I179" i="30"/>
  <c r="L179" i="30"/>
  <c r="L180" i="30"/>
  <c r="I180" i="30"/>
  <c r="I181" i="30"/>
  <c r="L181" i="30"/>
  <c r="I182" i="30"/>
  <c r="L182" i="30"/>
  <c r="L183" i="30"/>
  <c r="I183" i="30"/>
  <c r="I184" i="30"/>
  <c r="L184" i="30"/>
  <c r="I185" i="30"/>
  <c r="L185" i="30"/>
  <c r="L186" i="30"/>
  <c r="I186" i="30"/>
  <c r="L187" i="30"/>
  <c r="I187" i="30"/>
  <c r="L188" i="30"/>
  <c r="I188" i="30"/>
  <c r="L189" i="30"/>
  <c r="I189" i="30"/>
  <c r="L190" i="30"/>
  <c r="I190" i="30"/>
  <c r="I191" i="30"/>
  <c r="L191" i="30"/>
  <c r="L192" i="30"/>
  <c r="I192" i="30"/>
  <c r="I193" i="30"/>
  <c r="L193" i="30"/>
  <c r="L194" i="30"/>
  <c r="I194" i="30"/>
  <c r="I195" i="30"/>
  <c r="L195" i="30"/>
  <c r="L196" i="30"/>
  <c r="I196" i="30"/>
  <c r="L197" i="30"/>
  <c r="I197" i="30"/>
  <c r="L198" i="30"/>
  <c r="I198" i="30"/>
  <c r="I199" i="30"/>
  <c r="L199" i="30"/>
  <c r="L200" i="30"/>
  <c r="I200" i="30"/>
  <c r="I201" i="30"/>
  <c r="L201" i="30"/>
  <c r="L202" i="30"/>
  <c r="I202" i="30"/>
  <c r="G240" i="35"/>
  <c r="F240" i="35"/>
  <c r="E240" i="35"/>
  <c r="L240" i="35"/>
  <c r="M240" i="35" s="1"/>
  <c r="N240" i="35"/>
  <c r="Q240" i="35"/>
  <c r="R240" i="35"/>
  <c r="AL240" i="35"/>
  <c r="B241" i="35"/>
  <c r="D240" i="35"/>
  <c r="AJ240" i="35"/>
  <c r="C232" i="31"/>
  <c r="D231" i="31"/>
  <c r="U230" i="32"/>
  <c r="W230" i="32" s="1"/>
  <c r="T231" i="32"/>
  <c r="V230" i="32"/>
  <c r="M227" i="39" l="1"/>
  <c r="L227" i="39"/>
  <c r="K228" i="39"/>
  <c r="C233" i="31"/>
  <c r="D232" i="31"/>
  <c r="T184" i="30"/>
  <c r="T182" i="30"/>
  <c r="T176" i="30"/>
  <c r="T172" i="30"/>
  <c r="AZ172" i="30"/>
  <c r="T158" i="30"/>
  <c r="AZ158" i="30"/>
  <c r="T156" i="30"/>
  <c r="T154" i="30"/>
  <c r="AZ154" i="30"/>
  <c r="T144" i="30"/>
  <c r="AZ144" i="30"/>
  <c r="T120" i="30"/>
  <c r="AZ120" i="30"/>
  <c r="T112" i="30"/>
  <c r="AZ112" i="30"/>
  <c r="T88" i="30"/>
  <c r="T78" i="30"/>
  <c r="AZ78" i="30"/>
  <c r="T76" i="30"/>
  <c r="T74" i="30"/>
  <c r="T64" i="30"/>
  <c r="T62" i="30"/>
  <c r="T60" i="30"/>
  <c r="T58" i="30"/>
  <c r="T54" i="30"/>
  <c r="T50" i="30"/>
  <c r="T46" i="30"/>
  <c r="T44" i="30"/>
  <c r="T42" i="30"/>
  <c r="T24" i="30"/>
  <c r="AN15" i="30"/>
  <c r="AB15" i="30"/>
  <c r="AC15" i="30" s="1"/>
  <c r="BB12" i="30"/>
  <c r="T15" i="30"/>
  <c r="T202" i="30"/>
  <c r="T200" i="30"/>
  <c r="T192" i="30"/>
  <c r="T190" i="30"/>
  <c r="T188" i="30"/>
  <c r="T186" i="30"/>
  <c r="T180" i="30"/>
  <c r="T170" i="30"/>
  <c r="AZ170" i="30"/>
  <c r="T166" i="30"/>
  <c r="AZ166" i="30"/>
  <c r="T164" i="30"/>
  <c r="AZ164" i="30"/>
  <c r="T160" i="30"/>
  <c r="T148" i="30"/>
  <c r="T146" i="30"/>
  <c r="AZ146" i="30"/>
  <c r="T142" i="30"/>
  <c r="AZ142" i="30"/>
  <c r="T140" i="30"/>
  <c r="AZ140" i="30"/>
  <c r="T138" i="30"/>
  <c r="T132" i="30"/>
  <c r="AZ132" i="30"/>
  <c r="T128" i="30"/>
  <c r="T126" i="30"/>
  <c r="T124" i="30"/>
  <c r="AZ124" i="30"/>
  <c r="T106" i="30"/>
  <c r="T100" i="30"/>
  <c r="AZ100" i="30"/>
  <c r="T98" i="30"/>
  <c r="AZ98" i="30"/>
  <c r="T92" i="30"/>
  <c r="AZ92" i="30"/>
  <c r="T90" i="30"/>
  <c r="AZ90" i="30"/>
  <c r="T86" i="30"/>
  <c r="AZ86" i="30"/>
  <c r="T56" i="30"/>
  <c r="T48" i="30"/>
  <c r="T40" i="30"/>
  <c r="T36" i="30"/>
  <c r="T32" i="30"/>
  <c r="T26" i="30"/>
  <c r="T22" i="30"/>
  <c r="T20" i="30"/>
  <c r="T16" i="30"/>
  <c r="T201" i="30"/>
  <c r="T195" i="30"/>
  <c r="T191" i="30"/>
  <c r="T185" i="30"/>
  <c r="T181" i="30"/>
  <c r="T175" i="30"/>
  <c r="T173" i="30"/>
  <c r="T171" i="30"/>
  <c r="AZ171" i="30"/>
  <c r="T167" i="30"/>
  <c r="T165" i="30"/>
  <c r="AZ165" i="30"/>
  <c r="T163" i="30"/>
  <c r="AZ163" i="30"/>
  <c r="T159" i="30"/>
  <c r="AZ159" i="30"/>
  <c r="T155" i="30"/>
  <c r="AZ155" i="30"/>
  <c r="T153" i="30"/>
  <c r="AZ153" i="30"/>
  <c r="T145" i="30"/>
  <c r="AZ145" i="30"/>
  <c r="T137" i="30"/>
  <c r="AZ137" i="30"/>
  <c r="T121" i="30"/>
  <c r="T117" i="30"/>
  <c r="T115" i="30"/>
  <c r="T111" i="30"/>
  <c r="AZ111" i="30"/>
  <c r="T103" i="30"/>
  <c r="T95" i="30"/>
  <c r="T93" i="30"/>
  <c r="T87" i="30"/>
  <c r="AZ87" i="30"/>
  <c r="T83" i="30"/>
  <c r="T81" i="30"/>
  <c r="T73" i="30"/>
  <c r="T63" i="30"/>
  <c r="T57" i="30"/>
  <c r="T53" i="30"/>
  <c r="T47" i="30"/>
  <c r="T39" i="30"/>
  <c r="T37" i="30"/>
  <c r="T23" i="30"/>
  <c r="T19" i="30"/>
  <c r="U231" i="32"/>
  <c r="W231" i="32" s="1"/>
  <c r="T232" i="32"/>
  <c r="V231" i="32"/>
  <c r="L241" i="35"/>
  <c r="M241" i="35" s="1"/>
  <c r="B242" i="35"/>
  <c r="G241" i="35"/>
  <c r="F241" i="35"/>
  <c r="E241" i="35"/>
  <c r="D241" i="35"/>
  <c r="AJ241" i="35"/>
  <c r="Q241" i="35"/>
  <c r="R241" i="35"/>
  <c r="N241" i="35"/>
  <c r="AL241" i="35"/>
  <c r="T189" i="30"/>
  <c r="T151" i="30"/>
  <c r="T147" i="30"/>
  <c r="AZ147" i="30"/>
  <c r="T143" i="30"/>
  <c r="AZ143" i="30"/>
  <c r="T141" i="30"/>
  <c r="AZ141" i="30"/>
  <c r="T135" i="30"/>
  <c r="T133" i="30"/>
  <c r="T131" i="30"/>
  <c r="AZ131" i="30"/>
  <c r="T125" i="30"/>
  <c r="AZ125" i="30"/>
  <c r="T113" i="30"/>
  <c r="T109" i="30"/>
  <c r="T101" i="30"/>
  <c r="T99" i="30"/>
  <c r="AZ99" i="30"/>
  <c r="T91" i="30"/>
  <c r="AZ91" i="30"/>
  <c r="T85" i="30"/>
  <c r="AZ85" i="30"/>
  <c r="T79" i="30"/>
  <c r="T77" i="30"/>
  <c r="T75" i="30"/>
  <c r="T67" i="30"/>
  <c r="T65" i="30"/>
  <c r="T61" i="30"/>
  <c r="T59" i="30"/>
  <c r="T55" i="30"/>
  <c r="T51" i="30"/>
  <c r="T45" i="30"/>
  <c r="T43" i="30"/>
  <c r="T41" i="30"/>
  <c r="T31" i="30"/>
  <c r="T17" i="30"/>
  <c r="M228" i="39" l="1"/>
  <c r="L228" i="39"/>
  <c r="K229" i="39"/>
  <c r="BB85" i="30"/>
  <c r="BB125" i="30"/>
  <c r="BB141" i="30"/>
  <c r="BB111" i="30"/>
  <c r="BB145" i="30"/>
  <c r="BB159" i="30"/>
  <c r="BB165" i="30"/>
  <c r="BB171" i="30"/>
  <c r="BB92" i="30"/>
  <c r="BB164" i="30"/>
  <c r="BB120" i="30"/>
  <c r="BB154" i="30"/>
  <c r="T233" i="32"/>
  <c r="U232" i="32"/>
  <c r="W232" i="32" s="1"/>
  <c r="V232" i="32"/>
  <c r="BB87" i="30"/>
  <c r="BB137" i="30"/>
  <c r="BB163" i="30"/>
  <c r="BB90" i="30"/>
  <c r="BB146" i="30"/>
  <c r="BB112" i="30"/>
  <c r="BB144" i="30"/>
  <c r="BB172" i="30"/>
  <c r="BB99" i="30"/>
  <c r="BB147" i="30"/>
  <c r="E242" i="35"/>
  <c r="L242" i="35"/>
  <c r="M242" i="35" s="1"/>
  <c r="B243" i="35"/>
  <c r="G242" i="35"/>
  <c r="F242" i="35"/>
  <c r="Q242" i="35"/>
  <c r="D242" i="35"/>
  <c r="R242" i="35"/>
  <c r="AL242" i="35"/>
  <c r="N242" i="35"/>
  <c r="AJ242" i="35"/>
  <c r="BB155" i="30"/>
  <c r="BB86" i="30"/>
  <c r="BB100" i="30"/>
  <c r="BB132" i="30"/>
  <c r="BB142" i="30"/>
  <c r="BB170" i="30"/>
  <c r="AD15" i="30"/>
  <c r="AF15" i="30" s="1"/>
  <c r="AG15" i="30"/>
  <c r="AH15" i="30" s="1"/>
  <c r="AM15" i="30" s="1"/>
  <c r="BB78" i="30"/>
  <c r="BB158" i="30"/>
  <c r="BB91" i="30"/>
  <c r="BB131" i="30"/>
  <c r="BB143" i="30"/>
  <c r="BB153" i="30"/>
  <c r="BB98" i="30"/>
  <c r="BB124" i="30"/>
  <c r="BB140" i="30"/>
  <c r="BB166" i="30"/>
  <c r="AL17" i="35"/>
  <c r="L45" i="5" s="1"/>
  <c r="AM17" i="35"/>
  <c r="C234" i="31"/>
  <c r="D233" i="31"/>
  <c r="AL15" i="30" l="1"/>
  <c r="AO15" i="30" s="1"/>
  <c r="AP15" i="30" s="1"/>
  <c r="AQ15" i="30" s="1"/>
  <c r="AM10" i="30"/>
  <c r="M229" i="39"/>
  <c r="L229" i="39"/>
  <c r="K230" i="39"/>
  <c r="BF98" i="30"/>
  <c r="BF146" i="30"/>
  <c r="BF164" i="30"/>
  <c r="BF141" i="30"/>
  <c r="BF140" i="30"/>
  <c r="BF170" i="30"/>
  <c r="BF132" i="30"/>
  <c r="BF155" i="30"/>
  <c r="BF86" i="30"/>
  <c r="BF147" i="30"/>
  <c r="U233" i="32"/>
  <c r="W233" i="32" s="1"/>
  <c r="T234" i="32"/>
  <c r="V233" i="32"/>
  <c r="BF154" i="30"/>
  <c r="BF171" i="30"/>
  <c r="BF159" i="30"/>
  <c r="BF111" i="30"/>
  <c r="AC45" i="5"/>
  <c r="BF143" i="30"/>
  <c r="BF91" i="30"/>
  <c r="BF78" i="30"/>
  <c r="BF166" i="30"/>
  <c r="BF124" i="30"/>
  <c r="C235" i="31"/>
  <c r="D234" i="31"/>
  <c r="BF153" i="30"/>
  <c r="BF131" i="30"/>
  <c r="BF158" i="30"/>
  <c r="BF100" i="30"/>
  <c r="E243" i="35"/>
  <c r="F243" i="35"/>
  <c r="L243" i="35"/>
  <c r="M243" i="35" s="1"/>
  <c r="B244" i="35"/>
  <c r="G243" i="35"/>
  <c r="D243" i="35"/>
  <c r="N243" i="35"/>
  <c r="Q243" i="35"/>
  <c r="R243" i="35"/>
  <c r="AJ243" i="35"/>
  <c r="AL243" i="35"/>
  <c r="BF99" i="30"/>
  <c r="BF144" i="30"/>
  <c r="BF90" i="30"/>
  <c r="BF163" i="30"/>
  <c r="BF137" i="30"/>
  <c r="BF87" i="30"/>
  <c r="BF120" i="30"/>
  <c r="BF92" i="30"/>
  <c r="BF145" i="30"/>
  <c r="BF85" i="30"/>
  <c r="BF142" i="30"/>
  <c r="BF172" i="30"/>
  <c r="BF112" i="30"/>
  <c r="BF165" i="30"/>
  <c r="BF125" i="30"/>
  <c r="AR15" i="30" l="1"/>
  <c r="Q15" i="30"/>
  <c r="AN17" i="35"/>
  <c r="AS15" i="30"/>
  <c r="AT15" i="30" s="1"/>
  <c r="AQ17" i="35" s="1"/>
  <c r="O45" i="5" s="1"/>
  <c r="M230" i="39"/>
  <c r="L230" i="39"/>
  <c r="K231" i="39"/>
  <c r="C236" i="31"/>
  <c r="D235" i="31"/>
  <c r="AM45" i="5"/>
  <c r="U234" i="32"/>
  <c r="W234" i="32" s="1"/>
  <c r="T235" i="32"/>
  <c r="V234" i="32"/>
  <c r="G244" i="35"/>
  <c r="F244" i="35"/>
  <c r="E244" i="35"/>
  <c r="B245" i="35"/>
  <c r="L244" i="35"/>
  <c r="M244" i="35" s="1"/>
  <c r="AL244" i="35"/>
  <c r="D244" i="35"/>
  <c r="R244" i="35"/>
  <c r="Q244" i="35"/>
  <c r="N244" i="35"/>
  <c r="AJ244" i="35"/>
  <c r="AO17" i="35"/>
  <c r="M231" i="39" l="1"/>
  <c r="L231" i="39"/>
  <c r="K232" i="39"/>
  <c r="L245" i="35"/>
  <c r="M245" i="35" s="1"/>
  <c r="B246" i="35"/>
  <c r="G245" i="35"/>
  <c r="F245" i="35"/>
  <c r="D245" i="35"/>
  <c r="E245" i="35"/>
  <c r="Q245" i="35"/>
  <c r="R245" i="35"/>
  <c r="N245" i="35"/>
  <c r="AL245" i="35"/>
  <c r="AJ245" i="35"/>
  <c r="U235" i="32"/>
  <c r="W235" i="32" s="1"/>
  <c r="T236" i="32"/>
  <c r="V235" i="32"/>
  <c r="C237" i="31"/>
  <c r="D236" i="31"/>
  <c r="M232" i="39" l="1"/>
  <c r="L232" i="39"/>
  <c r="K233" i="39"/>
  <c r="E246" i="35"/>
  <c r="L246" i="35"/>
  <c r="M246" i="35" s="1"/>
  <c r="G246" i="35"/>
  <c r="D246" i="35"/>
  <c r="F246" i="35"/>
  <c r="Q246" i="35"/>
  <c r="N246" i="35"/>
  <c r="R246" i="35"/>
  <c r="AL246" i="35"/>
  <c r="AJ246" i="35"/>
  <c r="U236" i="32"/>
  <c r="W236" i="32" s="1"/>
  <c r="T237" i="32"/>
  <c r="V236" i="32"/>
  <c r="C238" i="31"/>
  <c r="D237" i="31"/>
  <c r="M233" i="39" l="1"/>
  <c r="L233" i="39"/>
  <c r="K234" i="39"/>
  <c r="U237" i="32"/>
  <c r="W237" i="32" s="1"/>
  <c r="T238" i="32"/>
  <c r="V237" i="32"/>
  <c r="C239" i="31"/>
  <c r="D238" i="31"/>
  <c r="M234" i="39" l="1"/>
  <c r="L234" i="39"/>
  <c r="K235" i="39"/>
  <c r="C240" i="31"/>
  <c r="D239" i="31"/>
  <c r="U238" i="32"/>
  <c r="W238" i="32" s="1"/>
  <c r="T239" i="32"/>
  <c r="V238" i="32"/>
  <c r="M235" i="39" l="1"/>
  <c r="L235" i="39"/>
  <c r="K236" i="39"/>
  <c r="U239" i="32"/>
  <c r="W239" i="32" s="1"/>
  <c r="T240" i="32"/>
  <c r="V239" i="32"/>
  <c r="C241" i="31"/>
  <c r="D240" i="31"/>
  <c r="M236" i="39" l="1"/>
  <c r="L236" i="39"/>
  <c r="K237" i="39"/>
  <c r="C242" i="31"/>
  <c r="D241" i="31"/>
  <c r="T241" i="32"/>
  <c r="U240" i="32"/>
  <c r="W240" i="32" s="1"/>
  <c r="V240" i="32"/>
  <c r="M237" i="39" l="1"/>
  <c r="L237" i="39"/>
  <c r="K238" i="39"/>
  <c r="C243" i="31"/>
  <c r="D242" i="31"/>
  <c r="U241" i="32"/>
  <c r="W241" i="32" s="1"/>
  <c r="T242" i="32"/>
  <c r="V241" i="32"/>
  <c r="M238" i="39" l="1"/>
  <c r="L238" i="39"/>
  <c r="K239" i="39"/>
  <c r="U242" i="32"/>
  <c r="W242" i="32" s="1"/>
  <c r="T243" i="32"/>
  <c r="V242" i="32"/>
  <c r="C244" i="31"/>
  <c r="D243" i="31"/>
  <c r="M239" i="39" l="1"/>
  <c r="L239" i="39"/>
  <c r="K240" i="39"/>
  <c r="C245" i="31"/>
  <c r="D244" i="31"/>
  <c r="U243" i="32"/>
  <c r="W243" i="32" s="1"/>
  <c r="T244" i="32"/>
  <c r="V243" i="32"/>
  <c r="M240" i="39" l="1"/>
  <c r="L240" i="39"/>
  <c r="K241" i="39"/>
  <c r="C246" i="31"/>
  <c r="D245" i="31"/>
  <c r="U244" i="32"/>
  <c r="W244" i="32" s="1"/>
  <c r="T245" i="32"/>
  <c r="V244" i="32"/>
  <c r="M241" i="39" l="1"/>
  <c r="L241" i="39"/>
  <c r="K242" i="39"/>
  <c r="U245" i="32"/>
  <c r="W245" i="32" s="1"/>
  <c r="T246" i="32"/>
  <c r="V245" i="32"/>
  <c r="C247" i="31"/>
  <c r="D246" i="31"/>
  <c r="M242" i="39" l="1"/>
  <c r="L242" i="39"/>
  <c r="K243" i="39"/>
  <c r="U246" i="32"/>
  <c r="W246" i="32" s="1"/>
  <c r="T247" i="32"/>
  <c r="V246" i="32"/>
  <c r="C248" i="31"/>
  <c r="D247" i="31"/>
  <c r="M243" i="39" l="1"/>
  <c r="L243" i="39"/>
  <c r="K244" i="39"/>
  <c r="C249" i="31"/>
  <c r="D248" i="31"/>
  <c r="U247" i="32"/>
  <c r="W247" i="32" s="1"/>
  <c r="T248" i="32"/>
  <c r="V247" i="32"/>
  <c r="M244" i="39" l="1"/>
  <c r="L244" i="39"/>
  <c r="K245" i="39"/>
  <c r="C250" i="31"/>
  <c r="D249" i="31"/>
  <c r="T249" i="32"/>
  <c r="U248" i="32"/>
  <c r="W248" i="32" s="1"/>
  <c r="V248" i="32"/>
  <c r="M245" i="39" l="1"/>
  <c r="L245" i="39"/>
  <c r="K246" i="39"/>
  <c r="U249" i="32"/>
  <c r="W249" i="32" s="1"/>
  <c r="T250" i="32"/>
  <c r="V249" i="32"/>
  <c r="C251" i="31"/>
  <c r="D250" i="31"/>
  <c r="M246" i="39" l="1"/>
  <c r="L246" i="39"/>
  <c r="K247" i="39"/>
  <c r="C252" i="31"/>
  <c r="D251" i="31"/>
  <c r="U250" i="32"/>
  <c r="W250" i="32" s="1"/>
  <c r="T251" i="32"/>
  <c r="V250" i="32"/>
  <c r="M247" i="39" l="1"/>
  <c r="L247" i="39"/>
  <c r="K248" i="39"/>
  <c r="U251" i="32"/>
  <c r="W251" i="32" s="1"/>
  <c r="T252" i="32"/>
  <c r="V251" i="32"/>
  <c r="C253" i="31"/>
  <c r="D252" i="31"/>
  <c r="M248" i="39" l="1"/>
  <c r="L248" i="39"/>
  <c r="K249" i="39"/>
  <c r="C254" i="31"/>
  <c r="D253" i="31"/>
  <c r="U252" i="32"/>
  <c r="W252" i="32" s="1"/>
  <c r="T253" i="32"/>
  <c r="V252" i="32"/>
  <c r="M249" i="39" l="1"/>
  <c r="L249" i="39"/>
  <c r="K250" i="39"/>
  <c r="U253" i="32"/>
  <c r="W253" i="32" s="1"/>
  <c r="T254" i="32"/>
  <c r="V253" i="32"/>
  <c r="C255" i="31"/>
  <c r="D254" i="31"/>
  <c r="M250" i="39" l="1"/>
  <c r="L250" i="39"/>
  <c r="K251" i="39"/>
  <c r="C256" i="31"/>
  <c r="D255" i="31"/>
  <c r="U254" i="32"/>
  <c r="W254" i="32" s="1"/>
  <c r="T255" i="32"/>
  <c r="V254" i="32"/>
  <c r="M251" i="39" l="1"/>
  <c r="L251" i="39"/>
  <c r="K252" i="39"/>
  <c r="U255" i="32"/>
  <c r="W255" i="32" s="1"/>
  <c r="T256" i="32"/>
  <c r="V255" i="32"/>
  <c r="C257" i="31"/>
  <c r="D256" i="31"/>
  <c r="M252" i="39" l="1"/>
  <c r="L252" i="39"/>
  <c r="K253" i="39"/>
  <c r="C258" i="31"/>
  <c r="D257" i="31"/>
  <c r="T257" i="32"/>
  <c r="U256" i="32"/>
  <c r="W256" i="32" s="1"/>
  <c r="V256" i="32"/>
  <c r="M253" i="39" l="1"/>
  <c r="L253" i="39"/>
  <c r="K254" i="39"/>
  <c r="U257" i="32"/>
  <c r="W257" i="32" s="1"/>
  <c r="T258" i="32"/>
  <c r="V257" i="32"/>
  <c r="C259" i="31"/>
  <c r="D258" i="31"/>
  <c r="M254" i="39" l="1"/>
  <c r="L254" i="39"/>
  <c r="K255" i="39"/>
  <c r="C260" i="31"/>
  <c r="D259" i="31"/>
  <c r="U258" i="32"/>
  <c r="W258" i="32" s="1"/>
  <c r="T259" i="32"/>
  <c r="V258" i="32"/>
  <c r="M255" i="39" l="1"/>
  <c r="L255" i="39"/>
  <c r="K256" i="39"/>
  <c r="C261" i="31"/>
  <c r="D260" i="31"/>
  <c r="U259" i="32"/>
  <c r="W259" i="32" s="1"/>
  <c r="T260" i="32"/>
  <c r="V259" i="32"/>
  <c r="M256" i="39" l="1"/>
  <c r="L256" i="39"/>
  <c r="K257" i="39"/>
  <c r="U260" i="32"/>
  <c r="W260" i="32" s="1"/>
  <c r="T261" i="32"/>
  <c r="V260" i="32"/>
  <c r="C262" i="31"/>
  <c r="D261" i="31"/>
  <c r="M257" i="39" l="1"/>
  <c r="L257" i="39"/>
  <c r="K258" i="39"/>
  <c r="C263" i="31"/>
  <c r="D262" i="31"/>
  <c r="U261" i="32"/>
  <c r="W261" i="32" s="1"/>
  <c r="T262" i="32"/>
  <c r="V261" i="32"/>
  <c r="M258" i="39" l="1"/>
  <c r="L258" i="39"/>
  <c r="K259" i="39"/>
  <c r="U262" i="32"/>
  <c r="W262" i="32" s="1"/>
  <c r="T263" i="32"/>
  <c r="V262" i="32"/>
  <c r="C264" i="31"/>
  <c r="D263" i="31"/>
  <c r="K260" i="39" l="1"/>
  <c r="K261" i="39" s="1"/>
  <c r="K262" i="39" s="1"/>
  <c r="K263" i="39" s="1"/>
  <c r="K264" i="39" s="1"/>
  <c r="K265" i="39" s="1"/>
  <c r="K266" i="39" s="1"/>
  <c r="K267" i="39" s="1"/>
  <c r="K268" i="39" s="1"/>
  <c r="K269" i="39" s="1"/>
  <c r="K270" i="39" s="1"/>
  <c r="K271" i="39" s="1"/>
  <c r="K272" i="39" s="1"/>
  <c r="K273" i="39" s="1"/>
  <c r="K274" i="39" s="1"/>
  <c r="K275" i="39" s="1"/>
  <c r="K276" i="39" s="1"/>
  <c r="K277" i="39" s="1"/>
  <c r="K278" i="39" s="1"/>
  <c r="K279" i="39" s="1"/>
  <c r="K280" i="39" s="1"/>
  <c r="K281" i="39" s="1"/>
  <c r="K282" i="39" s="1"/>
  <c r="K283" i="39" s="1"/>
  <c r="K284" i="39" s="1"/>
  <c r="K285" i="39" s="1"/>
  <c r="K286" i="39" s="1"/>
  <c r="K287" i="39" s="1"/>
  <c r="K288" i="39" s="1"/>
  <c r="K289" i="39" s="1"/>
  <c r="K290" i="39" s="1"/>
  <c r="K291" i="39" s="1"/>
  <c r="K292" i="39" s="1"/>
  <c r="K293" i="39" s="1"/>
  <c r="K294" i="39" s="1"/>
  <c r="K295" i="39" s="1"/>
  <c r="K296" i="39" s="1"/>
  <c r="K297" i="39" s="1"/>
  <c r="K298" i="39" s="1"/>
  <c r="K299" i="39" s="1"/>
  <c r="K300" i="39" s="1"/>
  <c r="K301" i="39" s="1"/>
  <c r="K302" i="39" s="1"/>
  <c r="K303" i="39" s="1"/>
  <c r="K304" i="39" s="1"/>
  <c r="K305" i="39" s="1"/>
  <c r="K306" i="39" s="1"/>
  <c r="K307" i="39" s="1"/>
  <c r="K308" i="39" s="1"/>
  <c r="K309" i="39" s="1"/>
  <c r="K310" i="39" s="1"/>
  <c r="K311" i="39" s="1"/>
  <c r="K312" i="39" s="1"/>
  <c r="K313" i="39" s="1"/>
  <c r="K314" i="39" s="1"/>
  <c r="K315" i="39" s="1"/>
  <c r="K316" i="39" s="1"/>
  <c r="K317" i="39" s="1"/>
  <c r="K318" i="39" s="1"/>
  <c r="K319" i="39" s="1"/>
  <c r="K320" i="39" s="1"/>
  <c r="K321" i="39" s="1"/>
  <c r="K322" i="39" s="1"/>
  <c r="K323" i="39" s="1"/>
  <c r="K324" i="39" s="1"/>
  <c r="K325" i="39" s="1"/>
  <c r="K326" i="39" s="1"/>
  <c r="K327" i="39" s="1"/>
  <c r="K328" i="39" s="1"/>
  <c r="K329" i="39" s="1"/>
  <c r="K330" i="39" s="1"/>
  <c r="K331" i="39" s="1"/>
  <c r="K332" i="39" s="1"/>
  <c r="K333" i="39" s="1"/>
  <c r="K334" i="39" s="1"/>
  <c r="K335" i="39" s="1"/>
  <c r="K336" i="39" s="1"/>
  <c r="K337" i="39" s="1"/>
  <c r="K338" i="39" s="1"/>
  <c r="K339" i="39" s="1"/>
  <c r="K340" i="39" s="1"/>
  <c r="K341" i="39" s="1"/>
  <c r="K342" i="39" s="1"/>
  <c r="K343" i="39" s="1"/>
  <c r="K344" i="39" s="1"/>
  <c r="K345" i="39" s="1"/>
  <c r="K346" i="39" s="1"/>
  <c r="K347" i="39" s="1"/>
  <c r="K348" i="39" s="1"/>
  <c r="K349" i="39" s="1"/>
  <c r="K350" i="39" s="1"/>
  <c r="K351" i="39" s="1"/>
  <c r="K352" i="39" s="1"/>
  <c r="K353" i="39" s="1"/>
  <c r="K354" i="39" s="1"/>
  <c r="K355" i="39" s="1"/>
  <c r="K356" i="39" s="1"/>
  <c r="K357" i="39" s="1"/>
  <c r="K358" i="39" s="1"/>
  <c r="K359" i="39" s="1"/>
  <c r="K360" i="39" s="1"/>
  <c r="K361" i="39" s="1"/>
  <c r="K362" i="39" s="1"/>
  <c r="K363" i="39" s="1"/>
  <c r="K364" i="39" s="1"/>
  <c r="K365" i="39" s="1"/>
  <c r="K366" i="39" s="1"/>
  <c r="M259" i="39"/>
  <c r="L259" i="39"/>
  <c r="C265" i="31"/>
  <c r="D264" i="31"/>
  <c r="U263" i="32"/>
  <c r="W263" i="32" s="1"/>
  <c r="T264" i="32"/>
  <c r="V263" i="32"/>
  <c r="AJ204" i="35" l="1"/>
  <c r="C266" i="31"/>
  <c r="D265" i="31"/>
  <c r="T265" i="32"/>
  <c r="U264" i="32"/>
  <c r="W264" i="32" s="1"/>
  <c r="V264" i="32"/>
  <c r="K232" i="5" l="1"/>
  <c r="Y232" i="5" s="1"/>
  <c r="W192" i="30"/>
  <c r="AJ193" i="35"/>
  <c r="K221" i="5" s="1"/>
  <c r="AJ183" i="35"/>
  <c r="K211" i="5" s="1"/>
  <c r="W182" i="30"/>
  <c r="W190" i="30"/>
  <c r="AJ191" i="35"/>
  <c r="K219" i="5" s="1"/>
  <c r="W183" i="30"/>
  <c r="AJ184" i="35"/>
  <c r="K212" i="5" s="1"/>
  <c r="W196" i="30"/>
  <c r="AJ197" i="35"/>
  <c r="K225" i="5" s="1"/>
  <c r="AJ190" i="35"/>
  <c r="K218" i="5" s="1"/>
  <c r="W189" i="30"/>
  <c r="W187" i="30"/>
  <c r="AJ188" i="35"/>
  <c r="K216" i="5" s="1"/>
  <c r="W202" i="30"/>
  <c r="AJ203" i="35"/>
  <c r="W193" i="30"/>
  <c r="AJ194" i="35"/>
  <c r="K222" i="5" s="1"/>
  <c r="AJ192" i="35"/>
  <c r="K220" i="5" s="1"/>
  <c r="W191" i="30"/>
  <c r="W186" i="30"/>
  <c r="AJ187" i="35"/>
  <c r="K215" i="5" s="1"/>
  <c r="W16" i="30"/>
  <c r="AJ17" i="35"/>
  <c r="AU15" i="30"/>
  <c r="C267" i="31"/>
  <c r="D266" i="31"/>
  <c r="U265" i="32"/>
  <c r="W265" i="32" s="1"/>
  <c r="T266" i="32"/>
  <c r="V265" i="32"/>
  <c r="K231" i="5" l="1"/>
  <c r="Y231" i="5" s="1"/>
  <c r="AK17" i="35"/>
  <c r="K45" i="5"/>
  <c r="Y16" i="30"/>
  <c r="Z16" i="30" s="1"/>
  <c r="AE16" i="30"/>
  <c r="AA16" i="30"/>
  <c r="AB16" i="30" s="1"/>
  <c r="AK184" i="35"/>
  <c r="M212" i="5" s="1"/>
  <c r="Y212" i="5" s="1"/>
  <c r="AK190" i="35"/>
  <c r="M218" i="5" s="1"/>
  <c r="Y218" i="5" s="1"/>
  <c r="AK187" i="35"/>
  <c r="M215" i="5" s="1"/>
  <c r="Y215" i="5" s="1"/>
  <c r="AK191" i="35"/>
  <c r="M219" i="5" s="1"/>
  <c r="Y219" i="5" s="1"/>
  <c r="AK192" i="35"/>
  <c r="M220" i="5" s="1"/>
  <c r="Y220" i="5" s="1"/>
  <c r="AK183" i="35"/>
  <c r="M211" i="5" s="1"/>
  <c r="Y211" i="5" s="1"/>
  <c r="AK194" i="35"/>
  <c r="M222" i="5" s="1"/>
  <c r="Y222" i="5" s="1"/>
  <c r="AK197" i="35"/>
  <c r="M225" i="5" s="1"/>
  <c r="Y225" i="5" s="1"/>
  <c r="AK188" i="35"/>
  <c r="M216" i="5" s="1"/>
  <c r="Y216" i="5" s="1"/>
  <c r="AK193" i="35"/>
  <c r="M221" i="5" s="1"/>
  <c r="Y221" i="5" s="1"/>
  <c r="C268" i="31"/>
  <c r="D267" i="31"/>
  <c r="U266" i="32"/>
  <c r="W266" i="32" s="1"/>
  <c r="T267" i="32"/>
  <c r="V266" i="32"/>
  <c r="M45" i="5" l="1"/>
  <c r="Y45" i="5" s="1"/>
  <c r="AR17" i="35"/>
  <c r="Q45" i="5" s="1"/>
  <c r="AC16" i="30"/>
  <c r="U267" i="32"/>
  <c r="W267" i="32" s="1"/>
  <c r="T268" i="32"/>
  <c r="V267" i="32"/>
  <c r="C269" i="31"/>
  <c r="D268" i="31"/>
  <c r="AG16" i="30" l="1"/>
  <c r="AH16" i="30" s="1"/>
  <c r="AM16" i="30" s="1"/>
  <c r="AD16" i="30"/>
  <c r="AF16" i="30" s="1"/>
  <c r="AR18" i="35"/>
  <c r="AF45" i="5"/>
  <c r="AL45" i="5"/>
  <c r="C270" i="31"/>
  <c r="D269" i="31"/>
  <c r="U268" i="32"/>
  <c r="W268" i="32" s="1"/>
  <c r="T269" i="32"/>
  <c r="V268" i="32"/>
  <c r="W17" i="30" l="1"/>
  <c r="Y17" i="30" s="1"/>
  <c r="Z17" i="30" s="1"/>
  <c r="AJ18" i="35"/>
  <c r="K46" i="5" s="1"/>
  <c r="AU16" i="30"/>
  <c r="AH45" i="5"/>
  <c r="AJ45" i="5"/>
  <c r="Q46" i="5"/>
  <c r="AE17" i="30"/>
  <c r="AA17" i="30"/>
  <c r="AB17" i="30" s="1"/>
  <c r="AC17" i="30" s="1"/>
  <c r="AN16" i="30"/>
  <c r="AL16" i="30"/>
  <c r="AO16" i="30" s="1"/>
  <c r="U269" i="32"/>
  <c r="W269" i="32" s="1"/>
  <c r="T270" i="32"/>
  <c r="V269" i="32"/>
  <c r="C271" i="31"/>
  <c r="D270" i="31"/>
  <c r="AK18" i="35" l="1"/>
  <c r="AD17" i="30"/>
  <c r="AF17" i="30" s="1"/>
  <c r="AG17" i="30"/>
  <c r="AH17" i="30" s="1"/>
  <c r="Q16" i="30"/>
  <c r="AR16" i="30"/>
  <c r="AP16" i="30"/>
  <c r="AL18" i="35"/>
  <c r="L46" i="5" s="1"/>
  <c r="AC46" i="5" s="1"/>
  <c r="AM18" i="35"/>
  <c r="U270" i="32"/>
  <c r="W270" i="32" s="1"/>
  <c r="T271" i="32"/>
  <c r="V270" i="32"/>
  <c r="C272" i="31"/>
  <c r="D271" i="31"/>
  <c r="M46" i="5" l="1"/>
  <c r="Y46" i="5" s="1"/>
  <c r="AL46" i="5" s="1"/>
  <c r="AR19" i="35"/>
  <c r="Q47" i="5" s="1"/>
  <c r="AM46" i="5"/>
  <c r="AS16" i="30"/>
  <c r="AN18" i="35"/>
  <c r="AQ16" i="30"/>
  <c r="C273" i="31"/>
  <c r="D272" i="31"/>
  <c r="U271" i="32"/>
  <c r="W271" i="32" s="1"/>
  <c r="T272" i="32"/>
  <c r="V271" i="32"/>
  <c r="AF46" i="5" l="1"/>
  <c r="AH46" i="5" s="1"/>
  <c r="AL17" i="30"/>
  <c r="AO17" i="30" s="1"/>
  <c r="Q17" i="30" s="1"/>
  <c r="AM17" i="30"/>
  <c r="AN17" i="30"/>
  <c r="AT16" i="30"/>
  <c r="AQ18" i="35" s="1"/>
  <c r="O46" i="5" s="1"/>
  <c r="AO18" i="35"/>
  <c r="T273" i="32"/>
  <c r="U272" i="32"/>
  <c r="W272" i="32" s="1"/>
  <c r="V272" i="32"/>
  <c r="C274" i="31"/>
  <c r="D273" i="31"/>
  <c r="AJ46" i="5" l="1"/>
  <c r="AR17" i="30"/>
  <c r="AP17" i="30"/>
  <c r="AU17" i="30"/>
  <c r="AJ19" i="35"/>
  <c r="K47" i="5" s="1"/>
  <c r="W18" i="30"/>
  <c r="AS17" i="30"/>
  <c r="AN19" i="35"/>
  <c r="AQ17" i="30"/>
  <c r="AL19" i="35"/>
  <c r="AM19" i="35"/>
  <c r="C275" i="31"/>
  <c r="D274" i="31"/>
  <c r="U273" i="32"/>
  <c r="W273" i="32" s="1"/>
  <c r="T274" i="32"/>
  <c r="V273" i="32"/>
  <c r="L47" i="5" l="1"/>
  <c r="AC47" i="5" s="1"/>
  <c r="AM47" i="5" s="1"/>
  <c r="AK19" i="35"/>
  <c r="M47" i="5" s="1"/>
  <c r="Y47" i="5" s="1"/>
  <c r="Y18" i="30"/>
  <c r="AA18" i="30"/>
  <c r="AB18" i="30" s="1"/>
  <c r="AE18" i="30"/>
  <c r="AO19" i="35"/>
  <c r="AT17" i="30"/>
  <c r="AQ19" i="35" s="1"/>
  <c r="O47" i="5" s="1"/>
  <c r="C276" i="31"/>
  <c r="D275" i="31"/>
  <c r="U274" i="32"/>
  <c r="W274" i="32" s="1"/>
  <c r="T275" i="32"/>
  <c r="V274" i="32"/>
  <c r="AR20" i="35" l="1"/>
  <c r="Q48" i="5" s="1"/>
  <c r="U275" i="32"/>
  <c r="W275" i="32" s="1"/>
  <c r="T276" i="32"/>
  <c r="V275" i="32"/>
  <c r="C277" i="31"/>
  <c r="D276" i="31"/>
  <c r="AL47" i="5" l="1"/>
  <c r="AF47" i="5"/>
  <c r="U276" i="32"/>
  <c r="W276" i="32" s="1"/>
  <c r="T277" i="32"/>
  <c r="V276" i="32"/>
  <c r="C278" i="31"/>
  <c r="D277" i="31"/>
  <c r="AJ47" i="5" l="1"/>
  <c r="AH47" i="5"/>
  <c r="C279" i="31"/>
  <c r="D278" i="31"/>
  <c r="U277" i="32"/>
  <c r="W277" i="32" s="1"/>
  <c r="T278" i="32"/>
  <c r="V277" i="32"/>
  <c r="C280" i="31" l="1"/>
  <c r="D279" i="31"/>
  <c r="U278" i="32"/>
  <c r="W278" i="32" s="1"/>
  <c r="T279" i="32"/>
  <c r="V278" i="32"/>
  <c r="U279" i="32" l="1"/>
  <c r="W279" i="32" s="1"/>
  <c r="T280" i="32"/>
  <c r="V279" i="32"/>
  <c r="C281" i="31"/>
  <c r="D280" i="31"/>
  <c r="C282" i="31" l="1"/>
  <c r="D281" i="31"/>
  <c r="T281" i="32"/>
  <c r="U280" i="32"/>
  <c r="W280" i="32" s="1"/>
  <c r="V280" i="32"/>
  <c r="U281" i="32" l="1"/>
  <c r="W281" i="32" s="1"/>
  <c r="T282" i="32"/>
  <c r="V281" i="32"/>
  <c r="C283" i="31"/>
  <c r="D282" i="31"/>
  <c r="C284" i="31" l="1"/>
  <c r="D283" i="31"/>
  <c r="U282" i="32"/>
  <c r="W282" i="32" s="1"/>
  <c r="T283" i="32"/>
  <c r="V282" i="32"/>
  <c r="C285" i="31" l="1"/>
  <c r="D284" i="31"/>
  <c r="U283" i="32"/>
  <c r="W283" i="32" s="1"/>
  <c r="T284" i="32"/>
  <c r="V283" i="32"/>
  <c r="U284" i="32" l="1"/>
  <c r="W284" i="32" s="1"/>
  <c r="T285" i="32"/>
  <c r="V284" i="32"/>
  <c r="C286" i="31"/>
  <c r="D285" i="31"/>
  <c r="U285" i="32" l="1"/>
  <c r="W285" i="32" s="1"/>
  <c r="T286" i="32"/>
  <c r="V285" i="32"/>
  <c r="C287" i="31"/>
  <c r="D286" i="31"/>
  <c r="C288" i="31" l="1"/>
  <c r="D287" i="31"/>
  <c r="U286" i="32"/>
  <c r="W286" i="32" s="1"/>
  <c r="T287" i="32"/>
  <c r="V286" i="32"/>
  <c r="U287" i="32" l="1"/>
  <c r="W287" i="32" s="1"/>
  <c r="T288" i="32"/>
  <c r="V287" i="32"/>
  <c r="C289" i="31"/>
  <c r="D288" i="31"/>
  <c r="T289" i="32" l="1"/>
  <c r="U288" i="32"/>
  <c r="W288" i="32" s="1"/>
  <c r="V288" i="32"/>
  <c r="C290" i="31"/>
  <c r="D289" i="31"/>
  <c r="C291" i="31" l="1"/>
  <c r="D290" i="31"/>
  <c r="U289" i="32"/>
  <c r="W289" i="32" s="1"/>
  <c r="T290" i="32"/>
  <c r="V289" i="32"/>
  <c r="U290" i="32" l="1"/>
  <c r="W290" i="32" s="1"/>
  <c r="T291" i="32"/>
  <c r="V290" i="32"/>
  <c r="C292" i="31"/>
  <c r="D291" i="31"/>
  <c r="U291" i="32" l="1"/>
  <c r="W291" i="32" s="1"/>
  <c r="T292" i="32"/>
  <c r="V291" i="32"/>
  <c r="C293" i="31"/>
  <c r="D292" i="31"/>
  <c r="C294" i="31" l="1"/>
  <c r="D293" i="31"/>
  <c r="U292" i="32"/>
  <c r="W292" i="32" s="1"/>
  <c r="T293" i="32"/>
  <c r="V292" i="32"/>
  <c r="U293" i="32" l="1"/>
  <c r="W293" i="32" s="1"/>
  <c r="T294" i="32"/>
  <c r="V293" i="32"/>
  <c r="C295" i="31"/>
  <c r="D294" i="31"/>
  <c r="U294" i="32" l="1"/>
  <c r="W294" i="32" s="1"/>
  <c r="T295" i="32"/>
  <c r="V294" i="32"/>
  <c r="C296" i="31"/>
  <c r="D295" i="31"/>
  <c r="C297" i="31" l="1"/>
  <c r="D296" i="31"/>
  <c r="U295" i="32"/>
  <c r="W295" i="32" s="1"/>
  <c r="T296" i="32"/>
  <c r="V295" i="32"/>
  <c r="T297" i="32" l="1"/>
  <c r="U296" i="32"/>
  <c r="W296" i="32" s="1"/>
  <c r="V296" i="32"/>
  <c r="C298" i="31"/>
  <c r="D297" i="31"/>
  <c r="U297" i="32" l="1"/>
  <c r="W297" i="32" s="1"/>
  <c r="T298" i="32"/>
  <c r="V297" i="32"/>
  <c r="C299" i="31"/>
  <c r="D298" i="31"/>
  <c r="C300" i="31" l="1"/>
  <c r="D299" i="31"/>
  <c r="U298" i="32"/>
  <c r="W298" i="32" s="1"/>
  <c r="T299" i="32"/>
  <c r="V298" i="32"/>
  <c r="U299" i="32" l="1"/>
  <c r="W299" i="32" s="1"/>
  <c r="T300" i="32"/>
  <c r="V299" i="32"/>
  <c r="C301" i="31"/>
  <c r="D300" i="31"/>
  <c r="C302" i="31" l="1"/>
  <c r="D301" i="31"/>
  <c r="U300" i="32"/>
  <c r="W300" i="32" s="1"/>
  <c r="T301" i="32"/>
  <c r="V300" i="32"/>
  <c r="U301" i="32" l="1"/>
  <c r="W301" i="32" s="1"/>
  <c r="T302" i="32"/>
  <c r="V301" i="32"/>
  <c r="C303" i="31"/>
  <c r="D302" i="31"/>
  <c r="C304" i="31" l="1"/>
  <c r="D303" i="31"/>
  <c r="U302" i="32"/>
  <c r="W302" i="32" s="1"/>
  <c r="T303" i="32"/>
  <c r="V302" i="32"/>
  <c r="U303" i="32" l="1"/>
  <c r="W303" i="32" s="1"/>
  <c r="T304" i="32"/>
  <c r="V303" i="32"/>
  <c r="C305" i="31"/>
  <c r="D304" i="31"/>
  <c r="C306" i="31" l="1"/>
  <c r="D305" i="31"/>
  <c r="T305" i="32"/>
  <c r="U304" i="32"/>
  <c r="W304" i="32" s="1"/>
  <c r="V304" i="32"/>
  <c r="U305" i="32" l="1"/>
  <c r="W305" i="32" s="1"/>
  <c r="T306" i="32"/>
  <c r="V305" i="32"/>
  <c r="C307" i="31"/>
  <c r="D306" i="31"/>
  <c r="C308" i="31" l="1"/>
  <c r="D307" i="31"/>
  <c r="U306" i="32"/>
  <c r="W306" i="32" s="1"/>
  <c r="T307" i="32"/>
  <c r="V306" i="32"/>
  <c r="U307" i="32" l="1"/>
  <c r="W307" i="32" s="1"/>
  <c r="T308" i="32"/>
  <c r="V307" i="32"/>
  <c r="C309" i="31"/>
  <c r="D308" i="31"/>
  <c r="C310" i="31" l="1"/>
  <c r="D309" i="31"/>
  <c r="U308" i="32"/>
  <c r="W308" i="32" s="1"/>
  <c r="T309" i="32"/>
  <c r="V308" i="32"/>
  <c r="U309" i="32" l="1"/>
  <c r="W309" i="32" s="1"/>
  <c r="T310" i="32"/>
  <c r="V309" i="32"/>
  <c r="C311" i="31"/>
  <c r="D310" i="31"/>
  <c r="C312" i="31" l="1"/>
  <c r="D311" i="31"/>
  <c r="U310" i="32"/>
  <c r="W310" i="32" s="1"/>
  <c r="T311" i="32"/>
  <c r="V310" i="32"/>
  <c r="U311" i="32" l="1"/>
  <c r="W311" i="32" s="1"/>
  <c r="T312" i="32"/>
  <c r="V311" i="32"/>
  <c r="C313" i="31"/>
  <c r="D312" i="31"/>
  <c r="C314" i="31" l="1"/>
  <c r="D313" i="31"/>
  <c r="T313" i="32"/>
  <c r="U312" i="32"/>
  <c r="W312" i="32" s="1"/>
  <c r="V312" i="32"/>
  <c r="U313" i="32" l="1"/>
  <c r="T314" i="32"/>
  <c r="V313" i="32"/>
  <c r="C315" i="31"/>
  <c r="D314" i="31"/>
  <c r="D18" i="30" l="1"/>
  <c r="D21" i="30"/>
  <c r="D27" i="30"/>
  <c r="S27" i="30" s="1"/>
  <c r="D29" i="30"/>
  <c r="S29" i="30" s="1"/>
  <c r="D33" i="30"/>
  <c r="D49" i="30"/>
  <c r="D68" i="30"/>
  <c r="S68" i="30" s="1"/>
  <c r="D80" i="30"/>
  <c r="D97" i="30"/>
  <c r="D102" i="30"/>
  <c r="D105" i="30"/>
  <c r="D110" i="30"/>
  <c r="D123" i="30"/>
  <c r="D134" i="30"/>
  <c r="D136" i="30"/>
  <c r="D150" i="30"/>
  <c r="D157" i="30"/>
  <c r="D161" i="30"/>
  <c r="D169" i="30"/>
  <c r="D174" i="30"/>
  <c r="D177" i="30"/>
  <c r="AM177" i="30" s="1"/>
  <c r="D187" i="30"/>
  <c r="D194" i="30"/>
  <c r="C316" i="31"/>
  <c r="D315" i="31"/>
  <c r="U314" i="32"/>
  <c r="W314" i="32" s="1"/>
  <c r="T315" i="32"/>
  <c r="V314" i="32"/>
  <c r="W313" i="32"/>
  <c r="D25" i="30"/>
  <c r="D28" i="30"/>
  <c r="D30" i="30"/>
  <c r="D34" i="30"/>
  <c r="D35" i="30"/>
  <c r="D38" i="30"/>
  <c r="D52" i="30"/>
  <c r="D66" i="30"/>
  <c r="D71" i="30"/>
  <c r="D69" i="30"/>
  <c r="D70" i="30"/>
  <c r="D72" i="30"/>
  <c r="D82" i="30"/>
  <c r="D84" i="30"/>
  <c r="D89" i="30"/>
  <c r="D94" i="30"/>
  <c r="D96" i="30"/>
  <c r="D104" i="30"/>
  <c r="D107" i="30"/>
  <c r="D108" i="30"/>
  <c r="D114" i="30"/>
  <c r="D116" i="30"/>
  <c r="D118" i="30"/>
  <c r="D119" i="30"/>
  <c r="D122" i="30"/>
  <c r="D127" i="30"/>
  <c r="D129" i="30"/>
  <c r="D130" i="30"/>
  <c r="D139" i="30"/>
  <c r="D149" i="30"/>
  <c r="D152" i="30"/>
  <c r="D162" i="30"/>
  <c r="D168" i="30"/>
  <c r="D178" i="30"/>
  <c r="AM178" i="30" s="1"/>
  <c r="D179" i="30"/>
  <c r="AM179" i="30" s="1"/>
  <c r="D183" i="30"/>
  <c r="AM183" i="30" s="1"/>
  <c r="D193" i="30"/>
  <c r="AM193" i="30" s="1"/>
  <c r="D196" i="30"/>
  <c r="AM196" i="30" s="1"/>
  <c r="D197" i="30"/>
  <c r="AM197" i="30" s="1"/>
  <c r="D198" i="30"/>
  <c r="AM198" i="30" s="1"/>
  <c r="D199" i="30"/>
  <c r="AM199" i="30" s="1"/>
  <c r="AJ198" i="35" l="1"/>
  <c r="K226" i="5" s="1"/>
  <c r="W197" i="30"/>
  <c r="S194" i="30"/>
  <c r="T194" i="30" s="1"/>
  <c r="AM194" i="30"/>
  <c r="W194" i="30"/>
  <c r="AJ195" i="35"/>
  <c r="K223" i="5" s="1"/>
  <c r="S187" i="30"/>
  <c r="N189" i="35" s="1"/>
  <c r="E217" i="5" s="1"/>
  <c r="AM187" i="30"/>
  <c r="W184" i="30"/>
  <c r="AJ185" i="35"/>
  <c r="K213" i="5" s="1"/>
  <c r="S150" i="30"/>
  <c r="AY150" i="30"/>
  <c r="AZ150" i="30"/>
  <c r="BB150" i="30" s="1"/>
  <c r="BF150" i="30" s="1"/>
  <c r="S80" i="30"/>
  <c r="AY80" i="30"/>
  <c r="AY79" i="30"/>
  <c r="AZ80" i="30"/>
  <c r="BB80" i="30" s="1"/>
  <c r="BF80" i="30" s="1"/>
  <c r="AZ79" i="30"/>
  <c r="BB79" i="30" s="1"/>
  <c r="BF79" i="30" s="1"/>
  <c r="N196" i="35"/>
  <c r="E224" i="5" s="1"/>
  <c r="S136" i="30"/>
  <c r="AY135" i="30"/>
  <c r="AY136" i="30"/>
  <c r="AZ135" i="30"/>
  <c r="BB135" i="30" s="1"/>
  <c r="BF135" i="30" s="1"/>
  <c r="AZ136" i="30"/>
  <c r="BB136" i="30" s="1"/>
  <c r="BF136" i="30" s="1"/>
  <c r="N70" i="35"/>
  <c r="E98" i="5" s="1"/>
  <c r="T68" i="30"/>
  <c r="T187" i="30"/>
  <c r="S134" i="30"/>
  <c r="AY134" i="30"/>
  <c r="AY133" i="30"/>
  <c r="AZ134" i="30"/>
  <c r="BB134" i="30" s="1"/>
  <c r="BF134" i="30" s="1"/>
  <c r="AZ133" i="30"/>
  <c r="BB133" i="30" s="1"/>
  <c r="BF133" i="30" s="1"/>
  <c r="S49" i="30"/>
  <c r="AY49" i="30"/>
  <c r="AZ49" i="30"/>
  <c r="BB49" i="30" s="1"/>
  <c r="BF49" i="30" s="1"/>
  <c r="AY50" i="30"/>
  <c r="AZ50" i="30"/>
  <c r="BB50" i="30" s="1"/>
  <c r="BF50" i="30" s="1"/>
  <c r="AZ48" i="30"/>
  <c r="BB48" i="30" s="1"/>
  <c r="BF48" i="30" s="1"/>
  <c r="AY48" i="30"/>
  <c r="S177" i="30"/>
  <c r="AY176" i="30"/>
  <c r="AZ176" i="30"/>
  <c r="BB176" i="30" s="1"/>
  <c r="BF176" i="30" s="1"/>
  <c r="S123" i="30"/>
  <c r="AY123" i="30"/>
  <c r="AZ123" i="30"/>
  <c r="BB123" i="30" s="1"/>
  <c r="BF123" i="30" s="1"/>
  <c r="S33" i="30"/>
  <c r="AY32" i="30"/>
  <c r="AZ32" i="30"/>
  <c r="BB32" i="30" s="1"/>
  <c r="BF32" i="30" s="1"/>
  <c r="S174" i="30"/>
  <c r="AY175" i="30"/>
  <c r="AY173" i="30"/>
  <c r="AY174" i="30"/>
  <c r="AZ174" i="30"/>
  <c r="BB174" i="30" s="1"/>
  <c r="BF174" i="30" s="1"/>
  <c r="AZ175" i="30"/>
  <c r="BB175" i="30" s="1"/>
  <c r="BF175" i="30" s="1"/>
  <c r="AZ173" i="30"/>
  <c r="BB173" i="30" s="1"/>
  <c r="BF173" i="30" s="1"/>
  <c r="S110" i="30"/>
  <c r="AY109" i="30"/>
  <c r="AY110" i="30"/>
  <c r="AZ109" i="30"/>
  <c r="BB109" i="30" s="1"/>
  <c r="BF109" i="30" s="1"/>
  <c r="AZ110" i="30"/>
  <c r="BB110" i="30" s="1"/>
  <c r="BF110" i="30" s="1"/>
  <c r="N31" i="35"/>
  <c r="E59" i="5" s="1"/>
  <c r="T29" i="30"/>
  <c r="S169" i="30"/>
  <c r="AY169" i="30"/>
  <c r="AZ169" i="30"/>
  <c r="BB169" i="30" s="1"/>
  <c r="BF169" i="30" s="1"/>
  <c r="S105" i="30"/>
  <c r="AY105" i="30"/>
  <c r="AZ105" i="30"/>
  <c r="BB105" i="30" s="1"/>
  <c r="BF105" i="30" s="1"/>
  <c r="N29" i="35"/>
  <c r="E57" i="5" s="1"/>
  <c r="T27" i="30"/>
  <c r="S161" i="30"/>
  <c r="AY160" i="30"/>
  <c r="AZ160" i="30"/>
  <c r="BB160" i="30" s="1"/>
  <c r="BF160" i="30" s="1"/>
  <c r="S102" i="30"/>
  <c r="AY101" i="30"/>
  <c r="AY102" i="30"/>
  <c r="AZ102" i="30"/>
  <c r="BB102" i="30" s="1"/>
  <c r="BF102" i="30" s="1"/>
  <c r="AZ101" i="30"/>
  <c r="BB101" i="30" s="1"/>
  <c r="BF101" i="30" s="1"/>
  <c r="S21" i="30"/>
  <c r="AZ22" i="30"/>
  <c r="BB22" i="30" s="1"/>
  <c r="AZ20" i="30"/>
  <c r="BB20" i="30" s="1"/>
  <c r="AY20" i="30"/>
  <c r="AZ21" i="30"/>
  <c r="BB21" i="30" s="1"/>
  <c r="AY21" i="30"/>
  <c r="AY22" i="30"/>
  <c r="S157" i="30"/>
  <c r="AY156" i="30"/>
  <c r="AY157" i="30"/>
  <c r="AZ156" i="30"/>
  <c r="BB156" i="30" s="1"/>
  <c r="BF156" i="30" s="1"/>
  <c r="AZ157" i="30"/>
  <c r="BB157" i="30" s="1"/>
  <c r="BF157" i="30" s="1"/>
  <c r="S97" i="30"/>
  <c r="AY97" i="30"/>
  <c r="AZ97" i="30"/>
  <c r="BB97" i="30" s="1"/>
  <c r="BF97" i="30" s="1"/>
  <c r="X18" i="30"/>
  <c r="S18" i="30"/>
  <c r="AY18" i="30"/>
  <c r="AY19" i="30"/>
  <c r="AZ19" i="30"/>
  <c r="BB19" i="30" s="1"/>
  <c r="AZ18" i="30"/>
  <c r="BB18" i="30" s="1"/>
  <c r="AY17" i="30"/>
  <c r="AZ17" i="30"/>
  <c r="S196" i="30"/>
  <c r="S178" i="30"/>
  <c r="AY177" i="30"/>
  <c r="AZ177" i="30"/>
  <c r="S149" i="30"/>
  <c r="AY148" i="30"/>
  <c r="AZ148" i="30"/>
  <c r="AY149" i="30"/>
  <c r="AZ149" i="30"/>
  <c r="S127" i="30"/>
  <c r="AY126" i="30"/>
  <c r="AZ126" i="30"/>
  <c r="AY127" i="30"/>
  <c r="AZ127" i="30"/>
  <c r="S116" i="30"/>
  <c r="AY116" i="30"/>
  <c r="AZ116" i="30"/>
  <c r="AY115" i="30"/>
  <c r="AZ115" i="30"/>
  <c r="S104" i="30"/>
  <c r="AZ104" i="30"/>
  <c r="AY104" i="30"/>
  <c r="AY103" i="30"/>
  <c r="AZ103" i="30"/>
  <c r="S84" i="30"/>
  <c r="AY84" i="30"/>
  <c r="AZ84" i="30"/>
  <c r="AZ83" i="30"/>
  <c r="AY83" i="30"/>
  <c r="S69" i="30"/>
  <c r="AY68" i="30"/>
  <c r="AZ68" i="30"/>
  <c r="S38" i="30"/>
  <c r="AZ38" i="30"/>
  <c r="AY38" i="30"/>
  <c r="AY37" i="30"/>
  <c r="AY39" i="30"/>
  <c r="AZ37" i="30"/>
  <c r="AZ39" i="30"/>
  <c r="S28" i="30"/>
  <c r="AZ28" i="30"/>
  <c r="AY28" i="30"/>
  <c r="AY27" i="30"/>
  <c r="AZ27" i="30"/>
  <c r="U315" i="32"/>
  <c r="W315" i="32" s="1"/>
  <c r="V315" i="32"/>
  <c r="T316" i="32"/>
  <c r="S199" i="30"/>
  <c r="S193" i="30"/>
  <c r="S168" i="30"/>
  <c r="AZ168" i="30"/>
  <c r="AY168" i="30"/>
  <c r="AZ167" i="30"/>
  <c r="AY167" i="30"/>
  <c r="S139" i="30"/>
  <c r="AY138" i="30"/>
  <c r="AZ138" i="30"/>
  <c r="AY139" i="30"/>
  <c r="AZ139" i="30"/>
  <c r="S122" i="30"/>
  <c r="AY122" i="30"/>
  <c r="AZ122" i="30"/>
  <c r="AY121" i="30"/>
  <c r="AZ121" i="30"/>
  <c r="S114" i="30"/>
  <c r="AZ114" i="30"/>
  <c r="AY114" i="30"/>
  <c r="AZ113" i="30"/>
  <c r="AY113" i="30"/>
  <c r="S96" i="30"/>
  <c r="AZ96" i="30"/>
  <c r="AY96" i="30"/>
  <c r="AY95" i="30"/>
  <c r="AZ95" i="30"/>
  <c r="S82" i="30"/>
  <c r="AZ82" i="30"/>
  <c r="AY82" i="30"/>
  <c r="AZ81" i="30"/>
  <c r="AY81" i="30"/>
  <c r="S71" i="30"/>
  <c r="AY70" i="30"/>
  <c r="AZ70" i="30"/>
  <c r="S35" i="30"/>
  <c r="AZ34" i="30"/>
  <c r="AY36" i="30"/>
  <c r="AY34" i="30"/>
  <c r="AZ36" i="30"/>
  <c r="AY35" i="30"/>
  <c r="AZ35" i="30"/>
  <c r="S25" i="30"/>
  <c r="AY24" i="30"/>
  <c r="AZ26" i="30"/>
  <c r="AZ24" i="30"/>
  <c r="AY26" i="30"/>
  <c r="AZ25" i="30"/>
  <c r="AY25" i="30"/>
  <c r="S198" i="30"/>
  <c r="S183" i="30"/>
  <c r="S162" i="30"/>
  <c r="AZ162" i="30"/>
  <c r="AY162" i="30"/>
  <c r="AZ161" i="30"/>
  <c r="AY161" i="30"/>
  <c r="S130" i="30"/>
  <c r="AY130" i="30"/>
  <c r="AZ130" i="30"/>
  <c r="AY129" i="30"/>
  <c r="AZ129" i="30"/>
  <c r="S119" i="30"/>
  <c r="AZ118" i="30"/>
  <c r="AY118" i="30"/>
  <c r="AY119" i="30"/>
  <c r="AZ119" i="30"/>
  <c r="S108" i="30"/>
  <c r="AY108" i="30"/>
  <c r="AZ108" i="30"/>
  <c r="AY107" i="30"/>
  <c r="AZ107" i="30"/>
  <c r="S94" i="30"/>
  <c r="AY94" i="30"/>
  <c r="AZ94" i="30"/>
  <c r="AY93" i="30"/>
  <c r="AZ93" i="30"/>
  <c r="S72" i="30"/>
  <c r="AZ72" i="30"/>
  <c r="AY72" i="30"/>
  <c r="AY71" i="30"/>
  <c r="AZ73" i="30"/>
  <c r="AZ71" i="30"/>
  <c r="AY73" i="30"/>
  <c r="S66" i="30"/>
  <c r="AY66" i="30"/>
  <c r="AZ66" i="30"/>
  <c r="AZ65" i="30"/>
  <c r="AZ67" i="30"/>
  <c r="AY65" i="30"/>
  <c r="AY67" i="30"/>
  <c r="S34" i="30"/>
  <c r="AZ33" i="30"/>
  <c r="AY33" i="30"/>
  <c r="S197" i="30"/>
  <c r="S179" i="30"/>
  <c r="AZ178" i="30"/>
  <c r="AY178" i="30"/>
  <c r="AY179" i="30"/>
  <c r="AZ179" i="30"/>
  <c r="S152" i="30"/>
  <c r="AZ152" i="30"/>
  <c r="AY152" i="30"/>
  <c r="AY151" i="30"/>
  <c r="AZ151" i="30"/>
  <c r="S129" i="30"/>
  <c r="AZ128" i="30"/>
  <c r="AY128" i="30"/>
  <c r="S118" i="30"/>
  <c r="AZ117" i="30"/>
  <c r="AY117" i="30"/>
  <c r="S107" i="30"/>
  <c r="AY106" i="30"/>
  <c r="AZ106" i="30"/>
  <c r="S89" i="30"/>
  <c r="AY88" i="30"/>
  <c r="AZ88" i="30"/>
  <c r="AY89" i="30"/>
  <c r="AZ89" i="30"/>
  <c r="S70" i="30"/>
  <c r="AZ69" i="30"/>
  <c r="AY69" i="30"/>
  <c r="S52" i="30"/>
  <c r="AY52" i="30"/>
  <c r="AZ52" i="30"/>
  <c r="AZ51" i="30"/>
  <c r="AZ53" i="30"/>
  <c r="AY51" i="30"/>
  <c r="AY53" i="30"/>
  <c r="S30" i="30"/>
  <c r="AZ30" i="30"/>
  <c r="AY30" i="30"/>
  <c r="AZ29" i="30"/>
  <c r="AY31" i="30"/>
  <c r="AY29" i="30"/>
  <c r="AZ31" i="30"/>
  <c r="C317" i="31"/>
  <c r="D316" i="31"/>
  <c r="W188" i="30" l="1"/>
  <c r="AJ189" i="35"/>
  <c r="K217" i="5" s="1"/>
  <c r="AK185" i="35"/>
  <c r="M213" i="5" s="1"/>
  <c r="Y213" i="5" s="1"/>
  <c r="AK195" i="35"/>
  <c r="M223" i="5" s="1"/>
  <c r="Y223" i="5" s="1"/>
  <c r="AK198" i="35"/>
  <c r="M226" i="5" s="1"/>
  <c r="Y226" i="5" s="1"/>
  <c r="BF20" i="30"/>
  <c r="BF22" i="30"/>
  <c r="N112" i="35"/>
  <c r="E140" i="5" s="1"/>
  <c r="T110" i="30"/>
  <c r="N179" i="35"/>
  <c r="E207" i="5" s="1"/>
  <c r="T177" i="30"/>
  <c r="N51" i="35"/>
  <c r="E79" i="5" s="1"/>
  <c r="T49" i="30"/>
  <c r="N20" i="35"/>
  <c r="E48" i="5" s="1"/>
  <c r="AJ18" i="30"/>
  <c r="T18" i="30"/>
  <c r="N23" i="35"/>
  <c r="E51" i="5" s="1"/>
  <c r="T21" i="30"/>
  <c r="N163" i="35"/>
  <c r="E191" i="5" s="1"/>
  <c r="T161" i="30"/>
  <c r="N171" i="35"/>
  <c r="E199" i="5" s="1"/>
  <c r="T169" i="30"/>
  <c r="N176" i="35"/>
  <c r="E204" i="5" s="1"/>
  <c r="T174" i="30"/>
  <c r="V18" i="30"/>
  <c r="R20" i="35" s="1"/>
  <c r="X19" i="30"/>
  <c r="Z18" i="30"/>
  <c r="N159" i="35"/>
  <c r="E187" i="5" s="1"/>
  <c r="T157" i="30"/>
  <c r="N35" i="35"/>
  <c r="E63" i="5" s="1"/>
  <c r="T33" i="30"/>
  <c r="N136" i="35"/>
  <c r="E164" i="5" s="1"/>
  <c r="T134" i="30"/>
  <c r="N82" i="35"/>
  <c r="E110" i="5" s="1"/>
  <c r="T80" i="30"/>
  <c r="BB17" i="30"/>
  <c r="BA17" i="30"/>
  <c r="BA18" i="30" s="1"/>
  <c r="BA19" i="30" s="1"/>
  <c r="BA20" i="30" s="1"/>
  <c r="BA21" i="30" s="1"/>
  <c r="BA22" i="30" s="1"/>
  <c r="BA23" i="30" s="1"/>
  <c r="BA24" i="30" s="1"/>
  <c r="BA25" i="30" s="1"/>
  <c r="BA26" i="30" s="1"/>
  <c r="BA27" i="30" s="1"/>
  <c r="BA28" i="30" s="1"/>
  <c r="BA29" i="30" s="1"/>
  <c r="BA30" i="30" s="1"/>
  <c r="BA31" i="30" s="1"/>
  <c r="BA32" i="30" s="1"/>
  <c r="BA33" i="30" s="1"/>
  <c r="BA34" i="30" s="1"/>
  <c r="BA35" i="30" s="1"/>
  <c r="BA36" i="30" s="1"/>
  <c r="BA37" i="30" s="1"/>
  <c r="BA38" i="30" s="1"/>
  <c r="BA39" i="30" s="1"/>
  <c r="BA40" i="30" s="1"/>
  <c r="BA41" i="30" s="1"/>
  <c r="BA42" i="30" s="1"/>
  <c r="BA43" i="30" s="1"/>
  <c r="BA44" i="30" s="1"/>
  <c r="BA45" i="30" s="1"/>
  <c r="BA46" i="30" s="1"/>
  <c r="BA47" i="30" s="1"/>
  <c r="BA48" i="30" s="1"/>
  <c r="BA49" i="30" s="1"/>
  <c r="BA50" i="30" s="1"/>
  <c r="BA51" i="30" s="1"/>
  <c r="BA52" i="30" s="1"/>
  <c r="BA53" i="30" s="1"/>
  <c r="BA54" i="30" s="1"/>
  <c r="BA55" i="30" s="1"/>
  <c r="BA56" i="30" s="1"/>
  <c r="BA57" i="30" s="1"/>
  <c r="BA58" i="30" s="1"/>
  <c r="BA59" i="30" s="1"/>
  <c r="BA60" i="30" s="1"/>
  <c r="BA61" i="30" s="1"/>
  <c r="BA62" i="30" s="1"/>
  <c r="BA63" i="30" s="1"/>
  <c r="BA64" i="30" s="1"/>
  <c r="BA65" i="30" s="1"/>
  <c r="BA66" i="30" s="1"/>
  <c r="BA67" i="30" s="1"/>
  <c r="BA68" i="30" s="1"/>
  <c r="BA69" i="30" s="1"/>
  <c r="BA70" i="30" s="1"/>
  <c r="BA71" i="30" s="1"/>
  <c r="BA72" i="30" s="1"/>
  <c r="BA73" i="30" s="1"/>
  <c r="BA74" i="30" s="1"/>
  <c r="BA75" i="30" s="1"/>
  <c r="BA76" i="30" s="1"/>
  <c r="BA77" i="30" s="1"/>
  <c r="BA78" i="30" s="1"/>
  <c r="BA79" i="30" s="1"/>
  <c r="BA80" i="30" s="1"/>
  <c r="BA81" i="30" s="1"/>
  <c r="BA82" i="30" s="1"/>
  <c r="BA83" i="30" s="1"/>
  <c r="BA84" i="30" s="1"/>
  <c r="BA85" i="30" s="1"/>
  <c r="BA86" i="30" s="1"/>
  <c r="BA87" i="30" s="1"/>
  <c r="BA88" i="30" s="1"/>
  <c r="BA89" i="30" s="1"/>
  <c r="BA90" i="30" s="1"/>
  <c r="BA91" i="30" s="1"/>
  <c r="BA92" i="30" s="1"/>
  <c r="BA93" i="30" s="1"/>
  <c r="BA94" i="30" s="1"/>
  <c r="BA95" i="30" s="1"/>
  <c r="BA96" i="30" s="1"/>
  <c r="BA97" i="30" s="1"/>
  <c r="BA98" i="30" s="1"/>
  <c r="BA99" i="30" s="1"/>
  <c r="BA100" i="30" s="1"/>
  <c r="BA101" i="30" s="1"/>
  <c r="BA102" i="30" s="1"/>
  <c r="BA103" i="30" s="1"/>
  <c r="BA104" i="30" s="1"/>
  <c r="BA105" i="30" s="1"/>
  <c r="BA106" i="30" s="1"/>
  <c r="BA107" i="30" s="1"/>
  <c r="BA108" i="30" s="1"/>
  <c r="BA109" i="30" s="1"/>
  <c r="BA110" i="30" s="1"/>
  <c r="BA111" i="30" s="1"/>
  <c r="BA112" i="30" s="1"/>
  <c r="BA113" i="30" s="1"/>
  <c r="BA114" i="30" s="1"/>
  <c r="BA115" i="30" s="1"/>
  <c r="BA116" i="30" s="1"/>
  <c r="BA117" i="30" s="1"/>
  <c r="BA118" i="30" s="1"/>
  <c r="BA119" i="30" s="1"/>
  <c r="BA120" i="30" s="1"/>
  <c r="BA121" i="30" s="1"/>
  <c r="BA122" i="30" s="1"/>
  <c r="BA123" i="30" s="1"/>
  <c r="BA124" i="30" s="1"/>
  <c r="BA125" i="30" s="1"/>
  <c r="BA126" i="30" s="1"/>
  <c r="BA127" i="30" s="1"/>
  <c r="BA128" i="30" s="1"/>
  <c r="BA129" i="30" s="1"/>
  <c r="BA130" i="30" s="1"/>
  <c r="BA131" i="30" s="1"/>
  <c r="BA132" i="30" s="1"/>
  <c r="BA133" i="30" s="1"/>
  <c r="BA134" i="30" s="1"/>
  <c r="BA135" i="30" s="1"/>
  <c r="BA136" i="30" s="1"/>
  <c r="BA137" i="30" s="1"/>
  <c r="BA138" i="30" s="1"/>
  <c r="BA139" i="30" s="1"/>
  <c r="BA140" i="30" s="1"/>
  <c r="BA141" i="30" s="1"/>
  <c r="BA142" i="30" s="1"/>
  <c r="BA143" i="30" s="1"/>
  <c r="BA144" i="30" s="1"/>
  <c r="BA145" i="30" s="1"/>
  <c r="BA146" i="30" s="1"/>
  <c r="BA147" i="30" s="1"/>
  <c r="BA148" i="30" s="1"/>
  <c r="BA149" i="30" s="1"/>
  <c r="BA150" i="30" s="1"/>
  <c r="BA151" i="30" s="1"/>
  <c r="BA152" i="30" s="1"/>
  <c r="BA153" i="30" s="1"/>
  <c r="BA154" i="30" s="1"/>
  <c r="BA155" i="30" s="1"/>
  <c r="BA156" i="30" s="1"/>
  <c r="BA157" i="30" s="1"/>
  <c r="BA158" i="30" s="1"/>
  <c r="BA159" i="30" s="1"/>
  <c r="BA160" i="30" s="1"/>
  <c r="BA161" i="30" s="1"/>
  <c r="BA162" i="30" s="1"/>
  <c r="BA163" i="30" s="1"/>
  <c r="BA164" i="30" s="1"/>
  <c r="BA165" i="30" s="1"/>
  <c r="BA166" i="30" s="1"/>
  <c r="BA167" i="30" s="1"/>
  <c r="BA168" i="30" s="1"/>
  <c r="BA169" i="30" s="1"/>
  <c r="BA170" i="30" s="1"/>
  <c r="BA171" i="30" s="1"/>
  <c r="BA172" i="30" s="1"/>
  <c r="BA173" i="30" s="1"/>
  <c r="BA174" i="30" s="1"/>
  <c r="BA175" i="30" s="1"/>
  <c r="BA176" i="30" s="1"/>
  <c r="BA177" i="30" s="1"/>
  <c r="BA178" i="30" s="1"/>
  <c r="BA179" i="30" s="1"/>
  <c r="BA180" i="30" s="1"/>
  <c r="BA181" i="30" s="1"/>
  <c r="BA182" i="30" s="1"/>
  <c r="BA183" i="30" s="1"/>
  <c r="BA184" i="30" s="1"/>
  <c r="BA185" i="30" s="1"/>
  <c r="BA186" i="30" s="1"/>
  <c r="BA187" i="30" s="1"/>
  <c r="BA188" i="30" s="1"/>
  <c r="BA189" i="30" s="1"/>
  <c r="BA190" i="30" s="1"/>
  <c r="BA191" i="30" s="1"/>
  <c r="BA192" i="30" s="1"/>
  <c r="BA193" i="30" s="1"/>
  <c r="BA194" i="30" s="1"/>
  <c r="BA195" i="30" s="1"/>
  <c r="BA196" i="30" s="1"/>
  <c r="BA197" i="30" s="1"/>
  <c r="BA198" i="30" s="1"/>
  <c r="BA199" i="30" s="1"/>
  <c r="BA200" i="30" s="1"/>
  <c r="BA201" i="30" s="1"/>
  <c r="BA202" i="30" s="1"/>
  <c r="BF18" i="30"/>
  <c r="N99" i="35"/>
  <c r="E127" i="5" s="1"/>
  <c r="T97" i="30"/>
  <c r="BF21" i="30"/>
  <c r="N125" i="35"/>
  <c r="E153" i="5" s="1"/>
  <c r="T123" i="30"/>
  <c r="N138" i="35"/>
  <c r="E166" i="5" s="1"/>
  <c r="T136" i="30"/>
  <c r="BF19" i="30"/>
  <c r="N104" i="35"/>
  <c r="E132" i="5" s="1"/>
  <c r="T102" i="30"/>
  <c r="N107" i="35"/>
  <c r="E135" i="5" s="1"/>
  <c r="T105" i="30"/>
  <c r="N152" i="35"/>
  <c r="E180" i="5" s="1"/>
  <c r="T150" i="30"/>
  <c r="BB29" i="30"/>
  <c r="T129" i="30"/>
  <c r="N131" i="35"/>
  <c r="E159" i="5" s="1"/>
  <c r="W181" i="30"/>
  <c r="AJ182" i="35"/>
  <c r="K210" i="5" s="1"/>
  <c r="BB178" i="30"/>
  <c r="BB33" i="30"/>
  <c r="BB66" i="30"/>
  <c r="BB94" i="30"/>
  <c r="BB119" i="30"/>
  <c r="T130" i="30"/>
  <c r="N132" i="35"/>
  <c r="E160" i="5" s="1"/>
  <c r="W185" i="30"/>
  <c r="AJ186" i="35"/>
  <c r="K214" i="5" s="1"/>
  <c r="BB25" i="30"/>
  <c r="BB8" i="30"/>
  <c r="BB35" i="30"/>
  <c r="T71" i="30"/>
  <c r="N73" i="35"/>
  <c r="E101" i="5" s="1"/>
  <c r="BB96" i="30"/>
  <c r="T122" i="30"/>
  <c r="N124" i="35"/>
  <c r="E152" i="5" s="1"/>
  <c r="BB138" i="30"/>
  <c r="BB168" i="30"/>
  <c r="BB28" i="30"/>
  <c r="BB39" i="30"/>
  <c r="T69" i="30"/>
  <c r="N71" i="35"/>
  <c r="E99" i="5" s="1"/>
  <c r="BB84" i="30"/>
  <c r="BB104" i="30"/>
  <c r="BB115" i="30"/>
  <c r="T127" i="30"/>
  <c r="N129" i="35"/>
  <c r="E157" i="5" s="1"/>
  <c r="BB148" i="30"/>
  <c r="T178" i="30"/>
  <c r="N180" i="35"/>
  <c r="E208" i="5" s="1"/>
  <c r="BB69" i="30"/>
  <c r="BB51" i="30"/>
  <c r="T52" i="30"/>
  <c r="N54" i="35"/>
  <c r="E82" i="5" s="1"/>
  <c r="T89" i="30"/>
  <c r="N91" i="35"/>
  <c r="E119" i="5" s="1"/>
  <c r="BB117" i="30"/>
  <c r="BB152" i="30"/>
  <c r="BB179" i="30"/>
  <c r="T197" i="30"/>
  <c r="N199" i="35"/>
  <c r="E227" i="5" s="1"/>
  <c r="BB107" i="30"/>
  <c r="T119" i="30"/>
  <c r="N121" i="35"/>
  <c r="E149" i="5" s="1"/>
  <c r="BB130" i="30"/>
  <c r="BB162" i="30"/>
  <c r="T198" i="30"/>
  <c r="N200" i="35"/>
  <c r="E228" i="5" s="1"/>
  <c r="T25" i="30"/>
  <c r="N27" i="35"/>
  <c r="E55" i="5" s="1"/>
  <c r="BB34" i="30"/>
  <c r="BB70" i="30"/>
  <c r="BB82" i="30"/>
  <c r="BB95" i="30"/>
  <c r="BB113" i="30"/>
  <c r="T114" i="30"/>
  <c r="N116" i="35"/>
  <c r="E144" i="5" s="1"/>
  <c r="BB122" i="30"/>
  <c r="T193" i="30"/>
  <c r="N195" i="35"/>
  <c r="E223" i="5" s="1"/>
  <c r="T317" i="32"/>
  <c r="U316" i="32"/>
  <c r="W316" i="32" s="1"/>
  <c r="V316" i="32"/>
  <c r="BB27" i="30"/>
  <c r="BB37" i="30"/>
  <c r="BB38" i="30"/>
  <c r="BB68" i="30"/>
  <c r="BB103" i="30"/>
  <c r="T116" i="30"/>
  <c r="N118" i="35"/>
  <c r="E146" i="5" s="1"/>
  <c r="BB126" i="30"/>
  <c r="BB177" i="30"/>
  <c r="W198" i="30"/>
  <c r="AJ199" i="35"/>
  <c r="K227" i="5" s="1"/>
  <c r="T30" i="30"/>
  <c r="N32" i="35"/>
  <c r="E60" i="5" s="1"/>
  <c r="BB31" i="30"/>
  <c r="BB30" i="30"/>
  <c r="BB52" i="30"/>
  <c r="T70" i="30"/>
  <c r="N72" i="35"/>
  <c r="E100" i="5" s="1"/>
  <c r="BB88" i="30"/>
  <c r="T107" i="30"/>
  <c r="N109" i="35"/>
  <c r="E137" i="5" s="1"/>
  <c r="BB128" i="30"/>
  <c r="BB151" i="30"/>
  <c r="T179" i="30"/>
  <c r="N181" i="35"/>
  <c r="E209" i="5" s="1"/>
  <c r="T34" i="30"/>
  <c r="N36" i="35"/>
  <c r="E64" i="5" s="1"/>
  <c r="BB67" i="30"/>
  <c r="BB71" i="30"/>
  <c r="BB72" i="30"/>
  <c r="BB93" i="30"/>
  <c r="T108" i="30"/>
  <c r="N110" i="35"/>
  <c r="E138" i="5" s="1"/>
  <c r="T183" i="30"/>
  <c r="N185" i="35"/>
  <c r="E213" i="5" s="1"/>
  <c r="BB24" i="30"/>
  <c r="BB36" i="30"/>
  <c r="T82" i="30"/>
  <c r="N84" i="35"/>
  <c r="E112" i="5" s="1"/>
  <c r="T96" i="30"/>
  <c r="N98" i="35"/>
  <c r="E126" i="5" s="1"/>
  <c r="BB139" i="30"/>
  <c r="T139" i="30"/>
  <c r="N141" i="35"/>
  <c r="E169" i="5" s="1"/>
  <c r="BB167" i="30"/>
  <c r="T168" i="30"/>
  <c r="N170" i="35"/>
  <c r="E198" i="5" s="1"/>
  <c r="W201" i="30"/>
  <c r="AJ202" i="35"/>
  <c r="K230" i="5" s="1"/>
  <c r="T28" i="30"/>
  <c r="N30" i="35"/>
  <c r="E58" i="5" s="1"/>
  <c r="T84" i="30"/>
  <c r="N86" i="35"/>
  <c r="E114" i="5" s="1"/>
  <c r="T104" i="30"/>
  <c r="N106" i="35"/>
  <c r="E134" i="5" s="1"/>
  <c r="BB116" i="30"/>
  <c r="BB149" i="30"/>
  <c r="T149" i="30"/>
  <c r="N151" i="35"/>
  <c r="E179" i="5" s="1"/>
  <c r="BB53" i="30"/>
  <c r="BB89" i="30"/>
  <c r="C318" i="31"/>
  <c r="D317" i="31"/>
  <c r="BB106" i="30"/>
  <c r="T118" i="30"/>
  <c r="N120" i="35"/>
  <c r="E148" i="5" s="1"/>
  <c r="T152" i="30"/>
  <c r="N154" i="35"/>
  <c r="E182" i="5" s="1"/>
  <c r="W199" i="30"/>
  <c r="AJ200" i="35"/>
  <c r="K228" i="5" s="1"/>
  <c r="BB65" i="30"/>
  <c r="T66" i="30"/>
  <c r="N68" i="35"/>
  <c r="E96" i="5" s="1"/>
  <c r="BB73" i="30"/>
  <c r="T72" i="30"/>
  <c r="N74" i="35"/>
  <c r="E102" i="5" s="1"/>
  <c r="T94" i="30"/>
  <c r="N96" i="35"/>
  <c r="E124" i="5" s="1"/>
  <c r="BB108" i="30"/>
  <c r="BB118" i="30"/>
  <c r="BB129" i="30"/>
  <c r="BB161" i="30"/>
  <c r="T162" i="30"/>
  <c r="N164" i="35"/>
  <c r="E192" i="5" s="1"/>
  <c r="W200" i="30"/>
  <c r="AJ201" i="35"/>
  <c r="K229" i="5" s="1"/>
  <c r="BB26" i="30"/>
  <c r="T35" i="30"/>
  <c r="N37" i="35"/>
  <c r="E65" i="5" s="1"/>
  <c r="BB81" i="30"/>
  <c r="BB114" i="30"/>
  <c r="BB121" i="30"/>
  <c r="W195" i="30"/>
  <c r="AJ196" i="35"/>
  <c r="K224" i="5" s="1"/>
  <c r="T199" i="30"/>
  <c r="N201" i="35"/>
  <c r="E229" i="5" s="1"/>
  <c r="T38" i="30"/>
  <c r="N40" i="35"/>
  <c r="E68" i="5" s="1"/>
  <c r="BB83" i="30"/>
  <c r="BB127" i="30"/>
  <c r="T196" i="30"/>
  <c r="N198" i="35"/>
  <c r="E226" i="5" s="1"/>
  <c r="AC18" i="30" l="1"/>
  <c r="AG18" i="30" s="1"/>
  <c r="AH18" i="30" s="1"/>
  <c r="AL18" i="30" s="1"/>
  <c r="AK189" i="35"/>
  <c r="M217" i="5" s="1"/>
  <c r="Y217" i="5" s="1"/>
  <c r="AN18" i="30"/>
  <c r="BF17" i="30"/>
  <c r="BC17" i="30"/>
  <c r="AD18" i="30"/>
  <c r="AF18" i="30" s="1"/>
  <c r="Q20" i="35"/>
  <c r="AK18" i="30"/>
  <c r="AM18" i="30" s="1"/>
  <c r="W19" i="30" s="1"/>
  <c r="Y19" i="30" s="1"/>
  <c r="Z19" i="30" s="1"/>
  <c r="AJ19" i="30"/>
  <c r="V19" i="30"/>
  <c r="R21" i="35" s="1"/>
  <c r="X20" i="30"/>
  <c r="AK201" i="35"/>
  <c r="M229" i="5" s="1"/>
  <c r="Y229" i="5" s="1"/>
  <c r="AK200" i="35"/>
  <c r="M228" i="5" s="1"/>
  <c r="Y228" i="5" s="1"/>
  <c r="C319" i="31"/>
  <c r="D318" i="31"/>
  <c r="BF116" i="30"/>
  <c r="BF167" i="30"/>
  <c r="BF24" i="30"/>
  <c r="BB9" i="30"/>
  <c r="BF71" i="30"/>
  <c r="BF177" i="30"/>
  <c r="BF37" i="30"/>
  <c r="BF122" i="30"/>
  <c r="BF107" i="30"/>
  <c r="BF69" i="30"/>
  <c r="BF104" i="30"/>
  <c r="BF138" i="30"/>
  <c r="BF119" i="30"/>
  <c r="BF66" i="30"/>
  <c r="BF178" i="30"/>
  <c r="BF72" i="30"/>
  <c r="BF67" i="30"/>
  <c r="BF52" i="30"/>
  <c r="AK199" i="35"/>
  <c r="M227" i="5" s="1"/>
  <c r="Y227" i="5" s="1"/>
  <c r="T318" i="32"/>
  <c r="V317" i="32"/>
  <c r="U317" i="32"/>
  <c r="W317" i="32" s="1"/>
  <c r="BF95" i="30"/>
  <c r="BF70" i="30"/>
  <c r="BF130" i="30"/>
  <c r="BF152" i="30"/>
  <c r="BF168" i="30"/>
  <c r="BF25" i="30"/>
  <c r="BF94" i="30"/>
  <c r="BF127" i="30"/>
  <c r="BF65" i="30"/>
  <c r="BF81" i="30"/>
  <c r="BF106" i="30"/>
  <c r="BF89" i="30"/>
  <c r="BF149" i="30"/>
  <c r="BF151" i="30"/>
  <c r="BF88" i="30"/>
  <c r="BF31" i="30"/>
  <c r="BF126" i="30"/>
  <c r="BF103" i="30"/>
  <c r="BF38" i="30"/>
  <c r="BF27" i="30"/>
  <c r="BF117" i="30"/>
  <c r="BF84" i="30"/>
  <c r="BF39" i="30"/>
  <c r="BF96" i="30"/>
  <c r="BF35" i="30"/>
  <c r="BF33" i="30"/>
  <c r="AK182" i="35"/>
  <c r="M210" i="5" s="1"/>
  <c r="Y210" i="5" s="1"/>
  <c r="BF29" i="30"/>
  <c r="BF114" i="30"/>
  <c r="BF26" i="30"/>
  <c r="BF161" i="30"/>
  <c r="BF118" i="30"/>
  <c r="BF121" i="30"/>
  <c r="BF108" i="30"/>
  <c r="BF83" i="30"/>
  <c r="AK196" i="35"/>
  <c r="M224" i="5" s="1"/>
  <c r="Y224" i="5" s="1"/>
  <c r="BF129" i="30"/>
  <c r="BF73" i="30"/>
  <c r="BF53" i="30"/>
  <c r="AK202" i="35"/>
  <c r="M230" i="5" s="1"/>
  <c r="Y230" i="5" s="1"/>
  <c r="BF139" i="30"/>
  <c r="BF36" i="30"/>
  <c r="BB7" i="30"/>
  <c r="BF93" i="30"/>
  <c r="BF128" i="30"/>
  <c r="BF30" i="30"/>
  <c r="BF68" i="30"/>
  <c r="BF113" i="30"/>
  <c r="BF82" i="30"/>
  <c r="BF34" i="30"/>
  <c r="BF162" i="30"/>
  <c r="BF179" i="30"/>
  <c r="BF51" i="30"/>
  <c r="BF148" i="30"/>
  <c r="BF115" i="30"/>
  <c r="BF28" i="30"/>
  <c r="AK186" i="35"/>
  <c r="M214" i="5" s="1"/>
  <c r="Y214" i="5" s="1"/>
  <c r="AJ20" i="35" l="1"/>
  <c r="AK19" i="30"/>
  <c r="AU18" i="30"/>
  <c r="AA19" i="30"/>
  <c r="AB19" i="30" s="1"/>
  <c r="AC19" i="30" s="1"/>
  <c r="AE19" i="30"/>
  <c r="BD17" i="30"/>
  <c r="BE17" i="30" s="1"/>
  <c r="AY47" i="5" s="1"/>
  <c r="AX47" i="5"/>
  <c r="BC18" i="30"/>
  <c r="X21" i="30"/>
  <c r="V20" i="30"/>
  <c r="R22" i="35" s="1"/>
  <c r="AO18" i="30"/>
  <c r="Q21" i="35"/>
  <c r="AJ20" i="30"/>
  <c r="AM20" i="35"/>
  <c r="AL20" i="35"/>
  <c r="U318" i="32"/>
  <c r="W318" i="32" s="1"/>
  <c r="T319" i="32"/>
  <c r="V318" i="32"/>
  <c r="C320" i="31"/>
  <c r="D319" i="31"/>
  <c r="L48" i="5" l="1"/>
  <c r="AC48" i="5" s="1"/>
  <c r="AM48" i="5" s="1"/>
  <c r="AK20" i="35"/>
  <c r="M48" i="5" s="1"/>
  <c r="K48" i="5"/>
  <c r="AD19" i="30"/>
  <c r="AF19" i="30" s="1"/>
  <c r="AG19" i="30"/>
  <c r="AH19" i="30" s="1"/>
  <c r="V21" i="30"/>
  <c r="R23" i="35" s="1"/>
  <c r="X22" i="30"/>
  <c r="AX48" i="5"/>
  <c r="BD18" i="30"/>
  <c r="BE18" i="30" s="1"/>
  <c r="AY48" i="5" s="1"/>
  <c r="BC19" i="30"/>
  <c r="Q22" i="35"/>
  <c r="AJ21" i="30"/>
  <c r="Q18" i="30"/>
  <c r="AR18" i="30"/>
  <c r="AP18" i="30"/>
  <c r="AK20" i="30"/>
  <c r="AK21" i="30" s="1"/>
  <c r="C321" i="31"/>
  <c r="D320" i="31"/>
  <c r="U319" i="32"/>
  <c r="W319" i="32" s="1"/>
  <c r="V319" i="32"/>
  <c r="T320" i="32"/>
  <c r="Y48" i="5" l="1"/>
  <c r="AL48" i="5" s="1"/>
  <c r="AR21" i="35"/>
  <c r="Q49" i="5" s="1"/>
  <c r="AS18" i="30"/>
  <c r="AN20" i="35"/>
  <c r="AQ18" i="30"/>
  <c r="AM19" i="30" s="1"/>
  <c r="Q23" i="35"/>
  <c r="AJ22" i="30"/>
  <c r="V22" i="30"/>
  <c r="R24" i="35" s="1"/>
  <c r="X23" i="30"/>
  <c r="BD19" i="30"/>
  <c r="BE19" i="30" s="1"/>
  <c r="AY49" i="5" s="1"/>
  <c r="AX49" i="5"/>
  <c r="BC20" i="30"/>
  <c r="AK22" i="30"/>
  <c r="T321" i="32"/>
  <c r="V320" i="32"/>
  <c r="U320" i="32"/>
  <c r="W320" i="32" s="1"/>
  <c r="C322" i="31"/>
  <c r="D321" i="31"/>
  <c r="AF48" i="5" l="1"/>
  <c r="AH48" i="5" s="1"/>
  <c r="W20" i="30"/>
  <c r="AJ21" i="35"/>
  <c r="K49" i="5" s="1"/>
  <c r="AU19" i="30"/>
  <c r="Q24" i="35"/>
  <c r="AJ23" i="30"/>
  <c r="AX50" i="5"/>
  <c r="BD20" i="30"/>
  <c r="BE20" i="30" s="1"/>
  <c r="AY50" i="5" s="1"/>
  <c r="BC21" i="30"/>
  <c r="AL19" i="30"/>
  <c r="AO19" i="30" s="1"/>
  <c r="AT18" i="30"/>
  <c r="AQ20" i="35" s="1"/>
  <c r="O48" i="5" s="1"/>
  <c r="AO20" i="35"/>
  <c r="V23" i="30"/>
  <c r="R25" i="35" s="1"/>
  <c r="X24" i="30"/>
  <c r="AN19" i="30"/>
  <c r="T322" i="32"/>
  <c r="U321" i="32"/>
  <c r="W321" i="32" s="1"/>
  <c r="V321" i="32"/>
  <c r="C323" i="31"/>
  <c r="D322" i="31"/>
  <c r="AJ48" i="5" l="1"/>
  <c r="AK21" i="35"/>
  <c r="M49" i="5" s="1"/>
  <c r="Y49" i="5" s="1"/>
  <c r="Y20" i="30"/>
  <c r="Z20" i="30" s="1"/>
  <c r="AE20" i="30"/>
  <c r="AA20" i="30"/>
  <c r="AB20" i="30" s="1"/>
  <c r="AR19" i="30"/>
  <c r="Q19" i="30"/>
  <c r="AP19" i="30"/>
  <c r="V24" i="30"/>
  <c r="R26" i="35" s="1"/>
  <c r="X25" i="30"/>
  <c r="BD21" i="30"/>
  <c r="BE21" i="30" s="1"/>
  <c r="AY51" i="5" s="1"/>
  <c r="AX51" i="5"/>
  <c r="BC22" i="30"/>
  <c r="Q25" i="35"/>
  <c r="AJ24" i="30"/>
  <c r="AL21" i="35"/>
  <c r="AM21" i="35"/>
  <c r="AK23" i="30"/>
  <c r="C324" i="31"/>
  <c r="D323" i="31"/>
  <c r="U322" i="32"/>
  <c r="W322" i="32" s="1"/>
  <c r="V322" i="32"/>
  <c r="T323" i="32"/>
  <c r="L49" i="5" l="1"/>
  <c r="AC49" i="5" s="1"/>
  <c r="AM49" i="5" s="1"/>
  <c r="AC20" i="30"/>
  <c r="AD20" i="30" s="1"/>
  <c r="AF20" i="30" s="1"/>
  <c r="AR22" i="35"/>
  <c r="Q50" i="5" s="1"/>
  <c r="AL49" i="5"/>
  <c r="Q26" i="35"/>
  <c r="AJ25" i="30"/>
  <c r="V25" i="30"/>
  <c r="R27" i="35" s="1"/>
  <c r="X26" i="30"/>
  <c r="AN21" i="35"/>
  <c r="AS19" i="30"/>
  <c r="AQ19" i="30"/>
  <c r="AK24" i="30"/>
  <c r="BD22" i="30"/>
  <c r="BE22" i="30" s="1"/>
  <c r="AY52" i="5" s="1"/>
  <c r="AX52" i="5"/>
  <c r="BC23" i="30"/>
  <c r="U323" i="32"/>
  <c r="W323" i="32" s="1"/>
  <c r="V323" i="32"/>
  <c r="T324" i="32"/>
  <c r="C325" i="31"/>
  <c r="D324" i="31"/>
  <c r="AK25" i="30" l="1"/>
  <c r="AG20" i="30"/>
  <c r="AH20" i="30" s="1"/>
  <c r="AL20" i="30" s="1"/>
  <c r="AO20" i="30" s="1"/>
  <c r="AM20" i="30"/>
  <c r="AJ22" i="35" s="1"/>
  <c r="K50" i="5" s="1"/>
  <c r="AF49" i="5"/>
  <c r="AJ49" i="5" s="1"/>
  <c r="AO21" i="35"/>
  <c r="AT19" i="30"/>
  <c r="AQ21" i="35" s="1"/>
  <c r="O49" i="5" s="1"/>
  <c r="Q27" i="35"/>
  <c r="AJ26" i="30"/>
  <c r="V26" i="30"/>
  <c r="R28" i="35" s="1"/>
  <c r="X27" i="30"/>
  <c r="BD23" i="30"/>
  <c r="BE23" i="30" s="1"/>
  <c r="AY53" i="5" s="1"/>
  <c r="AX53" i="5"/>
  <c r="BC24" i="30"/>
  <c r="T325" i="32"/>
  <c r="U324" i="32"/>
  <c r="W324" i="32" s="1"/>
  <c r="V324" i="32"/>
  <c r="C326" i="31"/>
  <c r="D325" i="31"/>
  <c r="AK26" i="30" l="1"/>
  <c r="AN20" i="30"/>
  <c r="AM22" i="35" s="1"/>
  <c r="AH49" i="5"/>
  <c r="AU20" i="30"/>
  <c r="W21" i="30"/>
  <c r="AA21" i="30" s="1"/>
  <c r="AB21" i="30" s="1"/>
  <c r="AK22" i="35"/>
  <c r="M50" i="5" s="1"/>
  <c r="Y50" i="5" s="1"/>
  <c r="BD24" i="30"/>
  <c r="BE24" i="30" s="1"/>
  <c r="AY54" i="5" s="1"/>
  <c r="AX54" i="5"/>
  <c r="BC25" i="30"/>
  <c r="V27" i="30"/>
  <c r="R29" i="35" s="1"/>
  <c r="X28" i="30"/>
  <c r="AP20" i="30"/>
  <c r="Q20" i="30"/>
  <c r="AR20" i="30"/>
  <c r="Q28" i="35"/>
  <c r="AJ27" i="30"/>
  <c r="T326" i="32"/>
  <c r="U325" i="32"/>
  <c r="W325" i="32" s="1"/>
  <c r="V325" i="32"/>
  <c r="C327" i="31"/>
  <c r="D326" i="31"/>
  <c r="AL22" i="35" l="1"/>
  <c r="AE21" i="30"/>
  <c r="Y21" i="30"/>
  <c r="Z21" i="30" s="1"/>
  <c r="AC21" i="30" s="1"/>
  <c r="AD21" i="30" s="1"/>
  <c r="AF21" i="30" s="1"/>
  <c r="AR23" i="35"/>
  <c r="Q51" i="5" s="1"/>
  <c r="AL50" i="5"/>
  <c r="V28" i="30"/>
  <c r="R30" i="35" s="1"/>
  <c r="X29" i="30"/>
  <c r="Q29" i="35"/>
  <c r="AJ28" i="30"/>
  <c r="BD25" i="30"/>
  <c r="BE25" i="30" s="1"/>
  <c r="AY55" i="5" s="1"/>
  <c r="AX55" i="5"/>
  <c r="BC26" i="30"/>
  <c r="AS20" i="30"/>
  <c r="AN22" i="35"/>
  <c r="AQ20" i="30"/>
  <c r="AK27" i="30"/>
  <c r="AK28" i="30" s="1"/>
  <c r="C328" i="31"/>
  <c r="D327" i="31"/>
  <c r="U326" i="32"/>
  <c r="W326" i="32" s="1"/>
  <c r="T327" i="32"/>
  <c r="V326" i="32"/>
  <c r="L50" i="5" l="1"/>
  <c r="AC50" i="5" s="1"/>
  <c r="AG21" i="30"/>
  <c r="AH21" i="30" s="1"/>
  <c r="AM21" i="30" s="1"/>
  <c r="AU21" i="30" s="1"/>
  <c r="AT20" i="30"/>
  <c r="AQ22" i="35" s="1"/>
  <c r="O50" i="5" s="1"/>
  <c r="AO22" i="35"/>
  <c r="V29" i="30"/>
  <c r="R31" i="35" s="1"/>
  <c r="X30" i="30"/>
  <c r="Q30" i="35"/>
  <c r="AJ29" i="30"/>
  <c r="BD26" i="30"/>
  <c r="BE26" i="30" s="1"/>
  <c r="AY56" i="5" s="1"/>
  <c r="AX56" i="5"/>
  <c r="BC27" i="30"/>
  <c r="C329" i="31"/>
  <c r="D328" i="31"/>
  <c r="T328" i="32"/>
  <c r="V327" i="32"/>
  <c r="U327" i="32"/>
  <c r="W327" i="32" s="1"/>
  <c r="AM50" i="5" l="1"/>
  <c r="AF50" i="5"/>
  <c r="AJ50" i="5" s="1"/>
  <c r="AL21" i="30"/>
  <c r="AO21" i="30" s="1"/>
  <c r="AP21" i="30" s="1"/>
  <c r="AN21" i="30"/>
  <c r="AM23" i="35" s="1"/>
  <c r="AJ23" i="35"/>
  <c r="W22" i="30"/>
  <c r="AA22" i="30" s="1"/>
  <c r="AB22" i="30" s="1"/>
  <c r="Q31" i="35"/>
  <c r="AJ30" i="30"/>
  <c r="V30" i="30"/>
  <c r="R32" i="35" s="1"/>
  <c r="X31" i="30"/>
  <c r="AK29" i="30"/>
  <c r="AL23" i="35"/>
  <c r="BD27" i="30"/>
  <c r="BE27" i="30" s="1"/>
  <c r="AY57" i="5" s="1"/>
  <c r="AX57" i="5"/>
  <c r="BC28" i="30"/>
  <c r="Q21" i="30"/>
  <c r="T329" i="32"/>
  <c r="V328" i="32"/>
  <c r="U328" i="32"/>
  <c r="W328" i="32" s="1"/>
  <c r="C330" i="31"/>
  <c r="D329" i="31"/>
  <c r="AK23" i="35" l="1"/>
  <c r="M51" i="5" s="1"/>
  <c r="K51" i="5"/>
  <c r="L51" i="5"/>
  <c r="AH50" i="5"/>
  <c r="AR21" i="30"/>
  <c r="AE22" i="30"/>
  <c r="Y22" i="30"/>
  <c r="Z22" i="30" s="1"/>
  <c r="AC22" i="30" s="1"/>
  <c r="AG22" i="30" s="1"/>
  <c r="AH22" i="30" s="1"/>
  <c r="AK30" i="30"/>
  <c r="AR24" i="35"/>
  <c r="Q52" i="5" s="1"/>
  <c r="AS21" i="30"/>
  <c r="AN23" i="35"/>
  <c r="AQ21" i="30"/>
  <c r="BD28" i="30"/>
  <c r="BE28" i="30" s="1"/>
  <c r="AY58" i="5" s="1"/>
  <c r="BC29" i="30"/>
  <c r="AX58" i="5"/>
  <c r="X32" i="30"/>
  <c r="V31" i="30"/>
  <c r="R33" i="35" s="1"/>
  <c r="Q32" i="35"/>
  <c r="AJ31" i="30"/>
  <c r="C331" i="31"/>
  <c r="D330" i="31"/>
  <c r="T330" i="32"/>
  <c r="U329" i="32"/>
  <c r="W329" i="32" s="1"/>
  <c r="V329" i="32"/>
  <c r="AD22" i="30" l="1"/>
  <c r="Y51" i="5"/>
  <c r="AC51" i="5"/>
  <c r="AM51" i="5" s="1"/>
  <c r="AF22" i="30"/>
  <c r="AK31" i="30"/>
  <c r="AL51" i="5"/>
  <c r="AM22" i="30"/>
  <c r="W23" i="30" s="1"/>
  <c r="V32" i="30"/>
  <c r="R34" i="35" s="1"/>
  <c r="X33" i="30"/>
  <c r="AL22" i="30"/>
  <c r="AO22" i="30" s="1"/>
  <c r="AN22" i="30"/>
  <c r="BD29" i="30"/>
  <c r="BE29" i="30" s="1"/>
  <c r="AY59" i="5" s="1"/>
  <c r="AX59" i="5"/>
  <c r="BC30" i="30"/>
  <c r="Q33" i="35"/>
  <c r="AJ32" i="30"/>
  <c r="AT21" i="30"/>
  <c r="AQ23" i="35" s="1"/>
  <c r="O51" i="5" s="1"/>
  <c r="AO23" i="35"/>
  <c r="U330" i="32"/>
  <c r="W330" i="32" s="1"/>
  <c r="T331" i="32"/>
  <c r="V330" i="32"/>
  <c r="C332" i="31"/>
  <c r="D331" i="31"/>
  <c r="AF51" i="5" l="1"/>
  <c r="AJ51" i="5" s="1"/>
  <c r="AJ24" i="35"/>
  <c r="AU22" i="30"/>
  <c r="Y23" i="30"/>
  <c r="Z23" i="30" s="1"/>
  <c r="AE23" i="30"/>
  <c r="AA23" i="30"/>
  <c r="AB23" i="30" s="1"/>
  <c r="AX60" i="5"/>
  <c r="BD30" i="30"/>
  <c r="BE30" i="30" s="1"/>
  <c r="AY60" i="5" s="1"/>
  <c r="BC31" i="30"/>
  <c r="AM24" i="35"/>
  <c r="AL24" i="35"/>
  <c r="L52" i="5" s="1"/>
  <c r="AR22" i="30"/>
  <c r="Q22" i="30"/>
  <c r="AP22" i="30"/>
  <c r="Q34" i="35"/>
  <c r="AJ33" i="30"/>
  <c r="X34" i="30"/>
  <c r="V33" i="30"/>
  <c r="R35" i="35" s="1"/>
  <c r="AK32" i="30"/>
  <c r="C333" i="31"/>
  <c r="D332" i="31"/>
  <c r="U331" i="32"/>
  <c r="W331" i="32" s="1"/>
  <c r="T332" i="32"/>
  <c r="V331" i="32"/>
  <c r="AK24" i="35" l="1"/>
  <c r="M52" i="5" s="1"/>
  <c r="K52" i="5"/>
  <c r="Y52" i="5" s="1"/>
  <c r="AL52" i="5" s="1"/>
  <c r="AH51" i="5"/>
  <c r="AC52" i="5" s="1"/>
  <c r="AM52" i="5" s="1"/>
  <c r="AC23" i="30"/>
  <c r="AD23" i="30" s="1"/>
  <c r="AF23" i="30" s="1"/>
  <c r="AK33" i="30"/>
  <c r="AR25" i="35"/>
  <c r="Q53" i="5" s="1"/>
  <c r="V34" i="30"/>
  <c r="R36" i="35" s="1"/>
  <c r="X35" i="30"/>
  <c r="Q35" i="35"/>
  <c r="AJ34" i="30"/>
  <c r="AK34" i="30" s="1"/>
  <c r="AN24" i="35"/>
  <c r="AS22" i="30"/>
  <c r="AQ22" i="30"/>
  <c r="BC32" i="30"/>
  <c r="BD31" i="30"/>
  <c r="BE31" i="30" s="1"/>
  <c r="AY61" i="5" s="1"/>
  <c r="AX61" i="5"/>
  <c r="T333" i="32"/>
  <c r="V332" i="32"/>
  <c r="U332" i="32"/>
  <c r="W332" i="32" s="1"/>
  <c r="C334" i="31"/>
  <c r="D333" i="31"/>
  <c r="AG23" i="30" l="1"/>
  <c r="AH23" i="30" s="1"/>
  <c r="AM23" i="30"/>
  <c r="W24" i="30" s="1"/>
  <c r="AA24" i="30" s="1"/>
  <c r="AB24" i="30" s="1"/>
  <c r="AF52" i="5"/>
  <c r="AH52" i="5" s="1"/>
  <c r="AJ35" i="30"/>
  <c r="Q36" i="35"/>
  <c r="AX62" i="5"/>
  <c r="BD32" i="30"/>
  <c r="BE32" i="30" s="1"/>
  <c r="AY62" i="5" s="1"/>
  <c r="BC33" i="30"/>
  <c r="AL23" i="30"/>
  <c r="AO23" i="30" s="1"/>
  <c r="AN23" i="30"/>
  <c r="V35" i="30"/>
  <c r="R37" i="35" s="1"/>
  <c r="X36" i="30"/>
  <c r="AT22" i="30"/>
  <c r="AQ24" i="35" s="1"/>
  <c r="O52" i="5" s="1"/>
  <c r="AO24" i="35"/>
  <c r="AJ52" i="5"/>
  <c r="T334" i="32"/>
  <c r="V333" i="32"/>
  <c r="U333" i="32"/>
  <c r="W333" i="32" s="1"/>
  <c r="C335" i="31"/>
  <c r="D334" i="31"/>
  <c r="AU23" i="30" l="1"/>
  <c r="AJ25" i="35"/>
  <c r="Y24" i="30"/>
  <c r="Z24" i="30" s="1"/>
  <c r="AC24" i="30" s="1"/>
  <c r="AE24" i="30"/>
  <c r="Q23" i="30"/>
  <c r="AR23" i="30"/>
  <c r="AP23" i="30"/>
  <c r="AM25" i="35"/>
  <c r="AL25" i="35"/>
  <c r="BD33" i="30"/>
  <c r="BE33" i="30" s="1"/>
  <c r="AY63" i="5" s="1"/>
  <c r="AX63" i="5"/>
  <c r="BC34" i="30"/>
  <c r="V36" i="30"/>
  <c r="R38" i="35" s="1"/>
  <c r="X37" i="30"/>
  <c r="Q37" i="35"/>
  <c r="AJ36" i="30"/>
  <c r="AK35" i="30"/>
  <c r="AK36" i="30" s="1"/>
  <c r="T335" i="32"/>
  <c r="U334" i="32"/>
  <c r="W334" i="32" s="1"/>
  <c r="V334" i="32"/>
  <c r="C336" i="31"/>
  <c r="D335" i="31"/>
  <c r="AK25" i="35" l="1"/>
  <c r="M53" i="5" s="1"/>
  <c r="K53" i="5"/>
  <c r="L53" i="5"/>
  <c r="AC53" i="5" s="1"/>
  <c r="AM53" i="5" s="1"/>
  <c r="AD24" i="30"/>
  <c r="AF24" i="30" s="1"/>
  <c r="AG24" i="30"/>
  <c r="AH24" i="30" s="1"/>
  <c r="AR26" i="35"/>
  <c r="Q54" i="5" s="1"/>
  <c r="Q38" i="35"/>
  <c r="AJ37" i="30"/>
  <c r="AQ23" i="30"/>
  <c r="AM24" i="30" s="1"/>
  <c r="AS23" i="30"/>
  <c r="AN25" i="35"/>
  <c r="V37" i="30"/>
  <c r="R39" i="35" s="1"/>
  <c r="X38" i="30"/>
  <c r="AX64" i="5"/>
  <c r="BC35" i="30"/>
  <c r="BD34" i="30"/>
  <c r="BE34" i="30" s="1"/>
  <c r="AY64" i="5" s="1"/>
  <c r="U335" i="32"/>
  <c r="W335" i="32" s="1"/>
  <c r="T336" i="32"/>
  <c r="V335" i="32"/>
  <c r="C337" i="31"/>
  <c r="D336" i="31"/>
  <c r="Y53" i="5" l="1"/>
  <c r="AL53" i="5" s="1"/>
  <c r="W25" i="30"/>
  <c r="AA25" i="30" s="1"/>
  <c r="AB25" i="30" s="1"/>
  <c r="AU24" i="30"/>
  <c r="AJ26" i="35"/>
  <c r="K54" i="5" s="1"/>
  <c r="BD35" i="30"/>
  <c r="BE35" i="30" s="1"/>
  <c r="AY65" i="5" s="1"/>
  <c r="AX65" i="5"/>
  <c r="BC36" i="30"/>
  <c r="AO25" i="35"/>
  <c r="AT23" i="30"/>
  <c r="AQ25" i="35" s="1"/>
  <c r="O53" i="5" s="1"/>
  <c r="AL24" i="30"/>
  <c r="AO24" i="30" s="1"/>
  <c r="AN24" i="30"/>
  <c r="AJ38" i="30"/>
  <c r="Q39" i="35"/>
  <c r="AK37" i="30"/>
  <c r="AK38" i="30" s="1"/>
  <c r="V38" i="30"/>
  <c r="R40" i="35" s="1"/>
  <c r="X39" i="30"/>
  <c r="T337" i="32"/>
  <c r="U336" i="32"/>
  <c r="W336" i="32" s="1"/>
  <c r="V336" i="32"/>
  <c r="C338" i="31"/>
  <c r="D337" i="31"/>
  <c r="AF53" i="5" l="1"/>
  <c r="AK26" i="35"/>
  <c r="M54" i="5" s="1"/>
  <c r="Y54" i="5" s="1"/>
  <c r="Y25" i="30"/>
  <c r="Z25" i="30" s="1"/>
  <c r="AC25" i="30" s="1"/>
  <c r="AE25" i="30"/>
  <c r="AL26" i="35"/>
  <c r="AM26" i="35"/>
  <c r="X40" i="30"/>
  <c r="V39" i="30"/>
  <c r="R41" i="35" s="1"/>
  <c r="AP24" i="30"/>
  <c r="Q24" i="30"/>
  <c r="AR24" i="30"/>
  <c r="BD36" i="30"/>
  <c r="BE36" i="30" s="1"/>
  <c r="AY66" i="5" s="1"/>
  <c r="AX66" i="5"/>
  <c r="BC37" i="30"/>
  <c r="Q40" i="35"/>
  <c r="AJ39" i="30"/>
  <c r="AK39" i="30" s="1"/>
  <c r="C339" i="31"/>
  <c r="D338" i="31"/>
  <c r="T338" i="32"/>
  <c r="U337" i="32"/>
  <c r="W337" i="32" s="1"/>
  <c r="V337" i="32"/>
  <c r="AJ53" i="5" l="1"/>
  <c r="AH53" i="5"/>
  <c r="L54" i="5"/>
  <c r="AC54" i="5" s="1"/>
  <c r="AM54" i="5" s="1"/>
  <c r="AD25" i="30"/>
  <c r="AF25" i="30" s="1"/>
  <c r="AG25" i="30"/>
  <c r="AH25" i="30" s="1"/>
  <c r="AL54" i="5"/>
  <c r="AR27" i="35"/>
  <c r="Q55" i="5" s="1"/>
  <c r="BD37" i="30"/>
  <c r="BE37" i="30" s="1"/>
  <c r="AY67" i="5" s="1"/>
  <c r="AX67" i="5"/>
  <c r="BC38" i="30"/>
  <c r="AS24" i="30"/>
  <c r="AN26" i="35"/>
  <c r="AQ24" i="30"/>
  <c r="AM25" i="30" s="1"/>
  <c r="X41" i="30"/>
  <c r="V40" i="30"/>
  <c r="R42" i="35" s="1"/>
  <c r="Q41" i="35"/>
  <c r="AJ40" i="30"/>
  <c r="C340" i="31"/>
  <c r="D339" i="31"/>
  <c r="U338" i="32"/>
  <c r="W338" i="32" s="1"/>
  <c r="T339" i="32"/>
  <c r="V338" i="32"/>
  <c r="AF54" i="5" l="1"/>
  <c r="AH54" i="5" s="1"/>
  <c r="W26" i="30"/>
  <c r="AA26" i="30" s="1"/>
  <c r="AB26" i="30" s="1"/>
  <c r="AU25" i="30"/>
  <c r="AJ27" i="35"/>
  <c r="K55" i="5" s="1"/>
  <c r="AO26" i="35"/>
  <c r="AT24" i="30"/>
  <c r="AQ26" i="35" s="1"/>
  <c r="O54" i="5" s="1"/>
  <c r="Q42" i="35"/>
  <c r="AJ41" i="30"/>
  <c r="AX68" i="5"/>
  <c r="BD38" i="30"/>
  <c r="BE38" i="30" s="1"/>
  <c r="AY68" i="5" s="1"/>
  <c r="BC39" i="30"/>
  <c r="V41" i="30"/>
  <c r="R43" i="35" s="1"/>
  <c r="X42" i="30"/>
  <c r="AL25" i="30"/>
  <c r="AO25" i="30" s="1"/>
  <c r="AN25" i="30"/>
  <c r="AK40" i="30"/>
  <c r="AK41" i="30" s="1"/>
  <c r="C341" i="31"/>
  <c r="D340" i="31"/>
  <c r="U339" i="32"/>
  <c r="W339" i="32" s="1"/>
  <c r="T340" i="32"/>
  <c r="V339" i="32"/>
  <c r="AJ54" i="5" l="1"/>
  <c r="AK27" i="35"/>
  <c r="M55" i="5" s="1"/>
  <c r="Y55" i="5" s="1"/>
  <c r="Y26" i="30"/>
  <c r="Z26" i="30" s="1"/>
  <c r="AC26" i="30" s="1"/>
  <c r="AE26" i="30"/>
  <c r="AR25" i="30"/>
  <c r="Q25" i="30"/>
  <c r="AP25" i="30"/>
  <c r="X43" i="30"/>
  <c r="V42" i="30"/>
  <c r="R44" i="35" s="1"/>
  <c r="Q43" i="35"/>
  <c r="AJ42" i="30"/>
  <c r="AK42" i="30" s="1"/>
  <c r="AL27" i="35"/>
  <c r="AM27" i="35"/>
  <c r="AX69" i="5"/>
  <c r="BC40" i="30"/>
  <c r="BD39" i="30"/>
  <c r="BE39" i="30" s="1"/>
  <c r="AY69" i="5" s="1"/>
  <c r="T341" i="32"/>
  <c r="U340" i="32"/>
  <c r="W340" i="32" s="1"/>
  <c r="V340" i="32"/>
  <c r="C342" i="31"/>
  <c r="D341" i="31"/>
  <c r="L55" i="5" l="1"/>
  <c r="AC55" i="5" s="1"/>
  <c r="AM55" i="5" s="1"/>
  <c r="AD26" i="30"/>
  <c r="AF26" i="30" s="1"/>
  <c r="AG26" i="30"/>
  <c r="AH26" i="30" s="1"/>
  <c r="AR28" i="35"/>
  <c r="Q56" i="5" s="1"/>
  <c r="AJ43" i="30"/>
  <c r="Q44" i="35"/>
  <c r="BC41" i="30"/>
  <c r="BD40" i="30"/>
  <c r="BE40" i="30" s="1"/>
  <c r="AY70" i="5" s="1"/>
  <c r="AX70" i="5"/>
  <c r="V43" i="30"/>
  <c r="R45" i="35" s="1"/>
  <c r="X44" i="30"/>
  <c r="AS25" i="30"/>
  <c r="AN27" i="35"/>
  <c r="AQ25" i="30"/>
  <c r="AM26" i="30" s="1"/>
  <c r="C343" i="31"/>
  <c r="D342" i="31"/>
  <c r="T342" i="32"/>
  <c r="U341" i="32"/>
  <c r="W341" i="32" s="1"/>
  <c r="V341" i="32"/>
  <c r="AL55" i="5" l="1"/>
  <c r="AF55" i="5"/>
  <c r="AJ28" i="35"/>
  <c r="K56" i="5" s="1"/>
  <c r="W27" i="30"/>
  <c r="AA27" i="30" s="1"/>
  <c r="AB27" i="30" s="1"/>
  <c r="AU26" i="30"/>
  <c r="AH55" i="5"/>
  <c r="AJ55" i="5"/>
  <c r="BC42" i="30"/>
  <c r="BD41" i="30"/>
  <c r="BE41" i="30" s="1"/>
  <c r="AY71" i="5" s="1"/>
  <c r="AX71" i="5"/>
  <c r="AL26" i="30"/>
  <c r="AO26" i="30" s="1"/>
  <c r="AN26" i="30"/>
  <c r="AO27" i="35"/>
  <c r="AT25" i="30"/>
  <c r="AQ27" i="35" s="1"/>
  <c r="O55" i="5" s="1"/>
  <c r="Q45" i="35"/>
  <c r="AJ44" i="30"/>
  <c r="V44" i="30"/>
  <c r="R46" i="35" s="1"/>
  <c r="X45" i="30"/>
  <c r="AK43" i="30"/>
  <c r="C344" i="31"/>
  <c r="D343" i="31"/>
  <c r="T343" i="32"/>
  <c r="U342" i="32"/>
  <c r="W342" i="32" s="1"/>
  <c r="V342" i="32"/>
  <c r="Y27" i="30" l="1"/>
  <c r="Z27" i="30" s="1"/>
  <c r="AC27" i="30" s="1"/>
  <c r="AE27" i="30"/>
  <c r="AK28" i="35"/>
  <c r="M56" i="5" s="1"/>
  <c r="Y56" i="5" s="1"/>
  <c r="AL28" i="35"/>
  <c r="AM28" i="35"/>
  <c r="AK44" i="30"/>
  <c r="AR26" i="30"/>
  <c r="Q26" i="30"/>
  <c r="AP26" i="30"/>
  <c r="V45" i="30"/>
  <c r="R47" i="35" s="1"/>
  <c r="X46" i="30"/>
  <c r="AJ45" i="30"/>
  <c r="Q46" i="35"/>
  <c r="AX72" i="5"/>
  <c r="BC43" i="30"/>
  <c r="BD42" i="30"/>
  <c r="BE42" i="30" s="1"/>
  <c r="AY72" i="5" s="1"/>
  <c r="C345" i="31"/>
  <c r="D344" i="31"/>
  <c r="V343" i="32"/>
  <c r="T344" i="32"/>
  <c r="U343" i="32"/>
  <c r="W343" i="32" s="1"/>
  <c r="L56" i="5" l="1"/>
  <c r="AC56" i="5" s="1"/>
  <c r="AM56" i="5" s="1"/>
  <c r="AD27" i="30"/>
  <c r="AF27" i="30" s="1"/>
  <c r="AG27" i="30"/>
  <c r="AH27" i="30" s="1"/>
  <c r="AR29" i="35"/>
  <c r="Q57" i="5" s="1"/>
  <c r="AL56" i="5"/>
  <c r="Q47" i="35"/>
  <c r="AJ46" i="30"/>
  <c r="AQ26" i="30"/>
  <c r="AM27" i="30" s="1"/>
  <c r="AS26" i="30"/>
  <c r="AN28" i="35"/>
  <c r="BD43" i="30"/>
  <c r="BE43" i="30" s="1"/>
  <c r="AY73" i="5" s="1"/>
  <c r="AX73" i="5"/>
  <c r="BC44" i="30"/>
  <c r="V46" i="30"/>
  <c r="R48" i="35" s="1"/>
  <c r="X47" i="30"/>
  <c r="AK45" i="30"/>
  <c r="T345" i="32"/>
  <c r="V344" i="32"/>
  <c r="U344" i="32"/>
  <c r="W344" i="32" s="1"/>
  <c r="C346" i="31"/>
  <c r="D345" i="31"/>
  <c r="AF56" i="5" l="1"/>
  <c r="AJ56" i="5" s="1"/>
  <c r="AJ29" i="35"/>
  <c r="K57" i="5" s="1"/>
  <c r="AU27" i="30"/>
  <c r="W28" i="30"/>
  <c r="AK46" i="30"/>
  <c r="AL27" i="30"/>
  <c r="AO27" i="30" s="1"/>
  <c r="AN27" i="30"/>
  <c r="X48" i="30"/>
  <c r="V47" i="30"/>
  <c r="R49" i="35" s="1"/>
  <c r="Q48" i="35"/>
  <c r="AJ47" i="30"/>
  <c r="AT26" i="30"/>
  <c r="AQ28" i="35" s="1"/>
  <c r="O56" i="5" s="1"/>
  <c r="AO28" i="35"/>
  <c r="AX74" i="5"/>
  <c r="BC45" i="30"/>
  <c r="BD44" i="30"/>
  <c r="BE44" i="30" s="1"/>
  <c r="AY74" i="5" s="1"/>
  <c r="AH56" i="5"/>
  <c r="C347" i="31"/>
  <c r="D346" i="31"/>
  <c r="T346" i="32"/>
  <c r="V345" i="32"/>
  <c r="U345" i="32"/>
  <c r="W345" i="32" s="1"/>
  <c r="Y28" i="30" l="1"/>
  <c r="Z28" i="30" s="1"/>
  <c r="AE28" i="30"/>
  <c r="AK29" i="35"/>
  <c r="M57" i="5" s="1"/>
  <c r="Y57" i="5" s="1"/>
  <c r="AA28" i="30"/>
  <c r="AB28" i="30" s="1"/>
  <c r="AC28" i="30" s="1"/>
  <c r="Q49" i="35"/>
  <c r="AJ48" i="30"/>
  <c r="V48" i="30"/>
  <c r="R50" i="35" s="1"/>
  <c r="X49" i="30"/>
  <c r="BC46" i="30"/>
  <c r="BD45" i="30"/>
  <c r="BE45" i="30" s="1"/>
  <c r="AY75" i="5" s="1"/>
  <c r="AX75" i="5"/>
  <c r="AL29" i="35"/>
  <c r="AM29" i="35"/>
  <c r="AR27" i="30"/>
  <c r="Q27" i="30"/>
  <c r="AP27" i="30"/>
  <c r="AK47" i="30"/>
  <c r="C348" i="31"/>
  <c r="D347" i="31"/>
  <c r="U346" i="32"/>
  <c r="W346" i="32" s="1"/>
  <c r="V346" i="32"/>
  <c r="T347" i="32"/>
  <c r="L57" i="5" l="1"/>
  <c r="AC57" i="5" s="1"/>
  <c r="AM57" i="5" s="1"/>
  <c r="AD28" i="30"/>
  <c r="AF28" i="30" s="1"/>
  <c r="AG28" i="30"/>
  <c r="AH28" i="30" s="1"/>
  <c r="AR30" i="35"/>
  <c r="Q58" i="5" s="1"/>
  <c r="AL57" i="5"/>
  <c r="AK48" i="30"/>
  <c r="BD46" i="30"/>
  <c r="BE46" i="30" s="1"/>
  <c r="AY76" i="5" s="1"/>
  <c r="AX76" i="5"/>
  <c r="BC47" i="30"/>
  <c r="AS27" i="30"/>
  <c r="AN29" i="35"/>
  <c r="AQ27" i="30"/>
  <c r="AM28" i="30" s="1"/>
  <c r="X50" i="30"/>
  <c r="V49" i="30"/>
  <c r="R51" i="35" s="1"/>
  <c r="AJ49" i="30"/>
  <c r="Q50" i="35"/>
  <c r="U347" i="32"/>
  <c r="W347" i="32" s="1"/>
  <c r="V347" i="32"/>
  <c r="T348" i="32"/>
  <c r="C349" i="31"/>
  <c r="D348" i="31"/>
  <c r="AF57" i="5" l="1"/>
  <c r="AJ57" i="5" s="1"/>
  <c r="W29" i="30"/>
  <c r="AA29" i="30" s="1"/>
  <c r="AB29" i="30" s="1"/>
  <c r="AU28" i="30"/>
  <c r="AJ30" i="35"/>
  <c r="K58" i="5" s="1"/>
  <c r="BD47" i="30"/>
  <c r="BE47" i="30" s="1"/>
  <c r="AY77" i="5" s="1"/>
  <c r="AX77" i="5"/>
  <c r="BC48" i="30"/>
  <c r="AT27" i="30"/>
  <c r="AQ29" i="35" s="1"/>
  <c r="O57" i="5" s="1"/>
  <c r="AO29" i="35"/>
  <c r="AK49" i="30"/>
  <c r="V50" i="30"/>
  <c r="R52" i="35" s="1"/>
  <c r="X51" i="30"/>
  <c r="AH57" i="5"/>
  <c r="Q51" i="35"/>
  <c r="AJ50" i="30"/>
  <c r="AL28" i="30"/>
  <c r="AO28" i="30" s="1"/>
  <c r="AN28" i="30"/>
  <c r="C350" i="31"/>
  <c r="D349" i="31"/>
  <c r="T349" i="32"/>
  <c r="V348" i="32"/>
  <c r="U348" i="32"/>
  <c r="W348" i="32" s="1"/>
  <c r="AK50" i="30" l="1"/>
  <c r="AK30" i="35"/>
  <c r="M58" i="5" s="1"/>
  <c r="Y58" i="5" s="1"/>
  <c r="Y29" i="30"/>
  <c r="Z29" i="30" s="1"/>
  <c r="AC29" i="30" s="1"/>
  <c r="AE29" i="30"/>
  <c r="AL30" i="35"/>
  <c r="AM30" i="35"/>
  <c r="V51" i="30"/>
  <c r="R53" i="35" s="1"/>
  <c r="X52" i="30"/>
  <c r="Q28" i="30"/>
  <c r="AR28" i="30"/>
  <c r="AP28" i="30"/>
  <c r="AJ51" i="30"/>
  <c r="Q52" i="35"/>
  <c r="AX78" i="5"/>
  <c r="BC49" i="30"/>
  <c r="BD48" i="30"/>
  <c r="BE48" i="30" s="1"/>
  <c r="AY78" i="5" s="1"/>
  <c r="T350" i="32"/>
  <c r="U349" i="32"/>
  <c r="W349" i="32" s="1"/>
  <c r="V349" i="32"/>
  <c r="C351" i="31"/>
  <c r="D350" i="31"/>
  <c r="L58" i="5" l="1"/>
  <c r="AC58" i="5" s="1"/>
  <c r="AM58" i="5" s="1"/>
  <c r="AD29" i="30"/>
  <c r="AF29" i="30" s="1"/>
  <c r="AG29" i="30"/>
  <c r="AH29" i="30" s="1"/>
  <c r="AR31" i="35"/>
  <c r="Q59" i="5" s="1"/>
  <c r="AL58" i="5"/>
  <c r="Q53" i="35"/>
  <c r="AJ52" i="30"/>
  <c r="AK51" i="30"/>
  <c r="AK52" i="30" s="1"/>
  <c r="AS28" i="30"/>
  <c r="AN30" i="35"/>
  <c r="AQ28" i="30"/>
  <c r="AM29" i="30" s="1"/>
  <c r="BD49" i="30"/>
  <c r="BE49" i="30" s="1"/>
  <c r="AY79" i="5" s="1"/>
  <c r="AX79" i="5"/>
  <c r="BC50" i="30"/>
  <c r="X53" i="30"/>
  <c r="V52" i="30"/>
  <c r="R54" i="35" s="1"/>
  <c r="C352" i="31"/>
  <c r="D351" i="31"/>
  <c r="T351" i="32"/>
  <c r="U350" i="32"/>
  <c r="V350" i="32"/>
  <c r="W30" i="30" l="1"/>
  <c r="AU29" i="30"/>
  <c r="AJ31" i="35"/>
  <c r="K59" i="5" s="1"/>
  <c r="AF58" i="5"/>
  <c r="AH58" i="5" s="1"/>
  <c r="AA30" i="30"/>
  <c r="AB30" i="30" s="1"/>
  <c r="AL29" i="30"/>
  <c r="AO29" i="30" s="1"/>
  <c r="AN29" i="30"/>
  <c r="AT28" i="30"/>
  <c r="AQ30" i="35" s="1"/>
  <c r="O58" i="5" s="1"/>
  <c r="AO30" i="35"/>
  <c r="AW46" i="5"/>
  <c r="AW48" i="5"/>
  <c r="AW53" i="5"/>
  <c r="AW60" i="5"/>
  <c r="AW73" i="5"/>
  <c r="AW84" i="5"/>
  <c r="AW94" i="5"/>
  <c r="AW95" i="5"/>
  <c r="AW102" i="5"/>
  <c r="AW108" i="5"/>
  <c r="AW113" i="5"/>
  <c r="AW115" i="5"/>
  <c r="AW130" i="5"/>
  <c r="AW137" i="5"/>
  <c r="AW142" i="5"/>
  <c r="AW148" i="5"/>
  <c r="AW157" i="5"/>
  <c r="AW161" i="5"/>
  <c r="AW173" i="5"/>
  <c r="AW178" i="5"/>
  <c r="AW182" i="5"/>
  <c r="AW199" i="5"/>
  <c r="AW204" i="5"/>
  <c r="AW211" i="5"/>
  <c r="AW227" i="5"/>
  <c r="V53" i="30"/>
  <c r="R55" i="35" s="1"/>
  <c r="X54" i="30"/>
  <c r="Q54" i="35"/>
  <c r="AJ53" i="30"/>
  <c r="BC51" i="30"/>
  <c r="BD50" i="30"/>
  <c r="BE50" i="30" s="1"/>
  <c r="AY80" i="5" s="1"/>
  <c r="AX80" i="5"/>
  <c r="W350" i="32"/>
  <c r="AW239" i="5"/>
  <c r="AW49" i="5"/>
  <c r="AW236" i="5"/>
  <c r="AW244" i="5"/>
  <c r="AW238" i="5"/>
  <c r="AW240" i="5"/>
  <c r="AW243" i="5"/>
  <c r="AW237" i="5"/>
  <c r="AW241" i="5"/>
  <c r="AW233" i="5"/>
  <c r="AW234" i="5"/>
  <c r="AW235" i="5"/>
  <c r="AW245" i="5"/>
  <c r="AW242" i="5"/>
  <c r="AW59" i="5"/>
  <c r="AW67" i="5"/>
  <c r="AW90" i="5"/>
  <c r="AW99" i="5"/>
  <c r="AW98" i="5"/>
  <c r="AW101" i="5"/>
  <c r="AW107" i="5"/>
  <c r="AW109" i="5"/>
  <c r="AW110" i="5"/>
  <c r="AW114" i="5"/>
  <c r="AW117" i="5"/>
  <c r="AW124" i="5"/>
  <c r="AW126" i="5"/>
  <c r="AW127" i="5"/>
  <c r="AW135" i="5"/>
  <c r="AW138" i="5"/>
  <c r="AW139" i="5"/>
  <c r="AW140" i="5"/>
  <c r="AW141" i="5"/>
  <c r="AW151" i="5"/>
  <c r="AW174" i="5"/>
  <c r="AW177" i="5"/>
  <c r="AW179" i="5"/>
  <c r="AW183" i="5"/>
  <c r="AW184" i="5"/>
  <c r="AW186" i="5"/>
  <c r="AW188" i="5"/>
  <c r="AW191" i="5"/>
  <c r="AW190" i="5"/>
  <c r="AW194" i="5"/>
  <c r="AW205" i="5"/>
  <c r="AW209" i="5"/>
  <c r="AW212" i="5"/>
  <c r="AW220" i="5"/>
  <c r="AW222" i="5"/>
  <c r="AW226" i="5"/>
  <c r="C353" i="31"/>
  <c r="D352" i="31"/>
  <c r="T352" i="32"/>
  <c r="U351" i="32"/>
  <c r="W351" i="32" s="1"/>
  <c r="V351" i="32"/>
  <c r="AK31" i="35" l="1"/>
  <c r="M59" i="5" s="1"/>
  <c r="Y59" i="5" s="1"/>
  <c r="AJ58" i="5"/>
  <c r="Y30" i="30"/>
  <c r="Z30" i="30" s="1"/>
  <c r="AC30" i="30" s="1"/>
  <c r="AE30" i="30"/>
  <c r="BC52" i="30"/>
  <c r="BD51" i="30"/>
  <c r="BE51" i="30" s="1"/>
  <c r="AY81" i="5" s="1"/>
  <c r="AX81" i="5"/>
  <c r="AJ54" i="30"/>
  <c r="Q55" i="35"/>
  <c r="V54" i="30"/>
  <c r="R56" i="35" s="1"/>
  <c r="X55" i="30"/>
  <c r="AL31" i="35"/>
  <c r="AM31" i="35"/>
  <c r="AK53" i="30"/>
  <c r="Q29" i="30"/>
  <c r="AR29" i="30"/>
  <c r="AP29" i="30"/>
  <c r="C354" i="31"/>
  <c r="D353" i="31"/>
  <c r="T353" i="32"/>
  <c r="U352" i="32"/>
  <c r="W352" i="32" s="1"/>
  <c r="V352" i="32"/>
  <c r="L59" i="5" l="1"/>
  <c r="AC59" i="5" s="1"/>
  <c r="AM59" i="5" s="1"/>
  <c r="AK54" i="30"/>
  <c r="AD30" i="30"/>
  <c r="AF30" i="30" s="1"/>
  <c r="AG30" i="30"/>
  <c r="AH30" i="30" s="1"/>
  <c r="AR32" i="35"/>
  <c r="Q60" i="5" s="1"/>
  <c r="AL59" i="5"/>
  <c r="V55" i="30"/>
  <c r="R57" i="35" s="1"/>
  <c r="X56" i="30"/>
  <c r="AN31" i="35"/>
  <c r="AS29" i="30"/>
  <c r="AQ29" i="30"/>
  <c r="AM30" i="30" s="1"/>
  <c r="AJ55" i="30"/>
  <c r="Q56" i="35"/>
  <c r="BD52" i="30"/>
  <c r="BE52" i="30" s="1"/>
  <c r="AY82" i="5" s="1"/>
  <c r="AX82" i="5"/>
  <c r="BC53" i="30"/>
  <c r="C355" i="31"/>
  <c r="D354" i="31"/>
  <c r="T354" i="32"/>
  <c r="V353" i="32"/>
  <c r="U353" i="32"/>
  <c r="W353" i="32" s="1"/>
  <c r="AF59" i="5" l="1"/>
  <c r="W31" i="30"/>
  <c r="AA31" i="30" s="1"/>
  <c r="AB31" i="30" s="1"/>
  <c r="AJ32" i="35"/>
  <c r="K60" i="5" s="1"/>
  <c r="AU30" i="30"/>
  <c r="AJ56" i="30"/>
  <c r="Q57" i="35"/>
  <c r="AN30" i="30"/>
  <c r="AL30" i="30"/>
  <c r="AO30" i="30" s="1"/>
  <c r="AO31" i="35"/>
  <c r="AT29" i="30"/>
  <c r="AQ31" i="35" s="1"/>
  <c r="O59" i="5" s="1"/>
  <c r="BD53" i="30"/>
  <c r="BE53" i="30" s="1"/>
  <c r="AY83" i="5" s="1"/>
  <c r="AX83" i="5"/>
  <c r="BC54" i="30"/>
  <c r="X57" i="30"/>
  <c r="V56" i="30"/>
  <c r="R58" i="35" s="1"/>
  <c r="AK55" i="30"/>
  <c r="AH59" i="5"/>
  <c r="AJ59" i="5"/>
  <c r="U354" i="32"/>
  <c r="W354" i="32" s="1"/>
  <c r="T355" i="32"/>
  <c r="V354" i="32"/>
  <c r="C356" i="31"/>
  <c r="D355" i="31"/>
  <c r="AK56" i="30" l="1"/>
  <c r="AK32" i="35"/>
  <c r="M60" i="5" s="1"/>
  <c r="Y60" i="5" s="1"/>
  <c r="Y31" i="30"/>
  <c r="Z31" i="30" s="1"/>
  <c r="AC31" i="30" s="1"/>
  <c r="AE31" i="30"/>
  <c r="AR30" i="30"/>
  <c r="Q30" i="30"/>
  <c r="AP30" i="30"/>
  <c r="V57" i="30"/>
  <c r="R59" i="35" s="1"/>
  <c r="X58" i="30"/>
  <c r="AL32" i="35"/>
  <c r="AM32" i="35"/>
  <c r="BD54" i="30"/>
  <c r="BE54" i="30" s="1"/>
  <c r="AY84" i="5" s="1"/>
  <c r="AX84" i="5"/>
  <c r="BC55" i="30"/>
  <c r="AJ57" i="30"/>
  <c r="Q58" i="35"/>
  <c r="C357" i="31"/>
  <c r="D356" i="31"/>
  <c r="U355" i="32"/>
  <c r="W355" i="32" s="1"/>
  <c r="T356" i="32"/>
  <c r="V355" i="32"/>
  <c r="L60" i="5" l="1"/>
  <c r="AC60" i="5" s="1"/>
  <c r="AM60" i="5" s="1"/>
  <c r="AD31" i="30"/>
  <c r="AF31" i="30" s="1"/>
  <c r="AG31" i="30"/>
  <c r="AH31" i="30" s="1"/>
  <c r="AL60" i="5"/>
  <c r="AR33" i="35"/>
  <c r="Q61" i="5" s="1"/>
  <c r="V58" i="30"/>
  <c r="R60" i="35" s="1"/>
  <c r="X59" i="30"/>
  <c r="Q59" i="35"/>
  <c r="AJ58" i="30"/>
  <c r="AN32" i="35"/>
  <c r="AS30" i="30"/>
  <c r="AQ30" i="30"/>
  <c r="AM31" i="30" s="1"/>
  <c r="BD55" i="30"/>
  <c r="BE55" i="30" s="1"/>
  <c r="AY85" i="5" s="1"/>
  <c r="AX85" i="5"/>
  <c r="BC56" i="30"/>
  <c r="AK57" i="30"/>
  <c r="T357" i="32"/>
  <c r="V356" i="32"/>
  <c r="U356" i="32"/>
  <c r="W356" i="32" s="1"/>
  <c r="C358" i="31"/>
  <c r="D357" i="31"/>
  <c r="AK58" i="30" l="1"/>
  <c r="AF60" i="5"/>
  <c r="AH60" i="5" s="1"/>
  <c r="AJ33" i="35"/>
  <c r="K61" i="5" s="1"/>
  <c r="AU31" i="30"/>
  <c r="W32" i="30"/>
  <c r="AA32" i="30" s="1"/>
  <c r="AB32" i="30" s="1"/>
  <c r="AT30" i="30"/>
  <c r="AQ32" i="35" s="1"/>
  <c r="O60" i="5" s="1"/>
  <c r="AO32" i="35"/>
  <c r="Q60" i="35"/>
  <c r="AJ59" i="30"/>
  <c r="AK59" i="30"/>
  <c r="BD56" i="30"/>
  <c r="BE56" i="30" s="1"/>
  <c r="AY86" i="5" s="1"/>
  <c r="AX86" i="5"/>
  <c r="BC57" i="30"/>
  <c r="V59" i="30"/>
  <c r="R61" i="35" s="1"/>
  <c r="X60" i="30"/>
  <c r="AN31" i="30"/>
  <c r="AL31" i="30"/>
  <c r="AO31" i="30" s="1"/>
  <c r="T358" i="32"/>
  <c r="V357" i="32"/>
  <c r="U357" i="32"/>
  <c r="W357" i="32" s="1"/>
  <c r="C359" i="31"/>
  <c r="D358" i="31"/>
  <c r="AJ60" i="5" l="1"/>
  <c r="AE32" i="30"/>
  <c r="Y32" i="30"/>
  <c r="Z32" i="30" s="1"/>
  <c r="AC32" i="30" s="1"/>
  <c r="AK33" i="35"/>
  <c r="M61" i="5" s="1"/>
  <c r="Y61" i="5" s="1"/>
  <c r="AX87" i="5"/>
  <c r="BD57" i="30"/>
  <c r="BE57" i="30" s="1"/>
  <c r="AY87" i="5" s="1"/>
  <c r="BC58" i="30"/>
  <c r="AR31" i="30"/>
  <c r="Q31" i="30"/>
  <c r="AP31" i="30"/>
  <c r="AM33" i="35"/>
  <c r="AL33" i="35"/>
  <c r="AJ60" i="30"/>
  <c r="Q61" i="35"/>
  <c r="V60" i="30"/>
  <c r="R62" i="35" s="1"/>
  <c r="X61" i="30"/>
  <c r="T359" i="32"/>
  <c r="V358" i="32"/>
  <c r="U358" i="32"/>
  <c r="W358" i="32" s="1"/>
  <c r="C360" i="31"/>
  <c r="D359" i="31"/>
  <c r="L61" i="5" l="1"/>
  <c r="AC61" i="5" s="1"/>
  <c r="AM61" i="5" s="1"/>
  <c r="AR34" i="35"/>
  <c r="Q62" i="5" s="1"/>
  <c r="AL61" i="5"/>
  <c r="AG32" i="30"/>
  <c r="AH32" i="30" s="1"/>
  <c r="AD32" i="30"/>
  <c r="AF32" i="30" s="1"/>
  <c r="AJ61" i="30"/>
  <c r="Q62" i="35"/>
  <c r="AS31" i="30"/>
  <c r="AN33" i="35"/>
  <c r="AQ31" i="30"/>
  <c r="V61" i="30"/>
  <c r="R63" i="35" s="1"/>
  <c r="X62" i="30"/>
  <c r="BD58" i="30"/>
  <c r="BE58" i="30" s="1"/>
  <c r="AY88" i="5" s="1"/>
  <c r="AX88" i="5"/>
  <c r="BC59" i="30"/>
  <c r="AK60" i="30"/>
  <c r="U359" i="32"/>
  <c r="W359" i="32" s="1"/>
  <c r="V359" i="32"/>
  <c r="T360" i="32"/>
  <c r="C361" i="31"/>
  <c r="D360" i="31"/>
  <c r="AM32" i="30" l="1"/>
  <c r="AU32" i="30" s="1"/>
  <c r="AK61" i="30"/>
  <c r="AF61" i="5"/>
  <c r="AH61" i="5" s="1"/>
  <c r="AN32" i="30"/>
  <c r="AL32" i="30"/>
  <c r="AO32" i="30" s="1"/>
  <c r="AO33" i="35"/>
  <c r="AT31" i="30"/>
  <c r="AQ33" i="35" s="1"/>
  <c r="O61" i="5" s="1"/>
  <c r="BC60" i="30"/>
  <c r="AX89" i="5"/>
  <c r="BD59" i="30"/>
  <c r="BE59" i="30" s="1"/>
  <c r="AY89" i="5" s="1"/>
  <c r="V62" i="30"/>
  <c r="R64" i="35" s="1"/>
  <c r="X63" i="30"/>
  <c r="Q63" i="35"/>
  <c r="AJ62" i="30"/>
  <c r="T361" i="32"/>
  <c r="V360" i="32"/>
  <c r="U360" i="32"/>
  <c r="W360" i="32" s="1"/>
  <c r="C362" i="31"/>
  <c r="D361" i="31"/>
  <c r="W33" i="30" l="1"/>
  <c r="AJ34" i="35"/>
  <c r="AJ61" i="5"/>
  <c r="AE33" i="30"/>
  <c r="Y33" i="30"/>
  <c r="Z33" i="30" s="1"/>
  <c r="AA33" i="30"/>
  <c r="AB33" i="30" s="1"/>
  <c r="AJ63" i="30"/>
  <c r="Q64" i="35"/>
  <c r="V63" i="30"/>
  <c r="R65" i="35" s="1"/>
  <c r="X64" i="30"/>
  <c r="AK62" i="30"/>
  <c r="BD60" i="30"/>
  <c r="BE60" i="30" s="1"/>
  <c r="AY90" i="5" s="1"/>
  <c r="AX90" i="5"/>
  <c r="BC61" i="30"/>
  <c r="AP32" i="30"/>
  <c r="Q32" i="30"/>
  <c r="AR32" i="30"/>
  <c r="AM34" i="35"/>
  <c r="AL34" i="35"/>
  <c r="T362" i="32"/>
  <c r="V361" i="32"/>
  <c r="U361" i="32"/>
  <c r="W361" i="32" s="1"/>
  <c r="C363" i="31"/>
  <c r="D362" i="31"/>
  <c r="L62" i="5" l="1"/>
  <c r="AC62" i="5" s="1"/>
  <c r="AM62" i="5" s="1"/>
  <c r="AK34" i="35"/>
  <c r="M62" i="5" s="1"/>
  <c r="K62" i="5"/>
  <c r="AK63" i="30"/>
  <c r="AC33" i="30"/>
  <c r="AD33" i="30" s="1"/>
  <c r="AF33" i="30" s="1"/>
  <c r="AR35" i="35"/>
  <c r="Q63" i="5" s="1"/>
  <c r="AX91" i="5"/>
  <c r="BC62" i="30"/>
  <c r="BD61" i="30"/>
  <c r="BE61" i="30" s="1"/>
  <c r="AY91" i="5" s="1"/>
  <c r="V64" i="30"/>
  <c r="R66" i="35" s="1"/>
  <c r="X65" i="30"/>
  <c r="AN34" i="35"/>
  <c r="AS32" i="30"/>
  <c r="AQ32" i="30"/>
  <c r="AJ64" i="30"/>
  <c r="Q65" i="35"/>
  <c r="U362" i="32"/>
  <c r="W362" i="32" s="1"/>
  <c r="V362" i="32"/>
  <c r="T363" i="32"/>
  <c r="C364" i="31"/>
  <c r="D363" i="31"/>
  <c r="Y62" i="5" l="1"/>
  <c r="AL62" i="5" s="1"/>
  <c r="AG33" i="30"/>
  <c r="AH33" i="30" s="1"/>
  <c r="AM33" i="30"/>
  <c r="W34" i="30" s="1"/>
  <c r="AA34" i="30" s="1"/>
  <c r="AB34" i="30" s="1"/>
  <c r="X66" i="30"/>
  <c r="V65" i="30"/>
  <c r="R67" i="35" s="1"/>
  <c r="Q66" i="35"/>
  <c r="AJ65" i="30"/>
  <c r="AK64" i="30"/>
  <c r="AN33" i="30"/>
  <c r="AL33" i="30"/>
  <c r="AO33" i="30" s="1"/>
  <c r="BD62" i="30"/>
  <c r="BE62" i="30" s="1"/>
  <c r="AY92" i="5" s="1"/>
  <c r="AX92" i="5"/>
  <c r="BC63" i="30"/>
  <c r="AO34" i="35"/>
  <c r="AT32" i="30"/>
  <c r="AQ34" i="35" s="1"/>
  <c r="O62" i="5" s="1"/>
  <c r="C365" i="31"/>
  <c r="D364" i="31"/>
  <c r="U363" i="32"/>
  <c r="W363" i="32" s="1"/>
  <c r="V363" i="32"/>
  <c r="AF62" i="5" l="1"/>
  <c r="AH62" i="5" s="1"/>
  <c r="AJ35" i="35"/>
  <c r="K63" i="5" s="1"/>
  <c r="AU33" i="30"/>
  <c r="AE34" i="30"/>
  <c r="Y34" i="30"/>
  <c r="Z34" i="30" s="1"/>
  <c r="AC34" i="30" s="1"/>
  <c r="AK35" i="35"/>
  <c r="M63" i="5" s="1"/>
  <c r="AK65" i="30"/>
  <c r="BD63" i="30"/>
  <c r="BE63" i="30" s="1"/>
  <c r="AY93" i="5" s="1"/>
  <c r="AX93" i="5"/>
  <c r="BC64" i="30"/>
  <c r="Q67" i="35"/>
  <c r="AJ66" i="30"/>
  <c r="Q33" i="30"/>
  <c r="AP33" i="30"/>
  <c r="AR33" i="30"/>
  <c r="AM35" i="35"/>
  <c r="AL35" i="35"/>
  <c r="V66" i="30"/>
  <c r="R68" i="35" s="1"/>
  <c r="X67" i="30"/>
  <c r="C366" i="31"/>
  <c r="D365" i="31"/>
  <c r="Y63" i="5" l="1"/>
  <c r="AL63" i="5" s="1"/>
  <c r="AJ62" i="5"/>
  <c r="L63" i="5"/>
  <c r="AC63" i="5" s="1"/>
  <c r="AM63" i="5" s="1"/>
  <c r="AD34" i="30"/>
  <c r="AF34" i="30" s="1"/>
  <c r="AG34" i="30"/>
  <c r="AH34" i="30" s="1"/>
  <c r="AR36" i="35"/>
  <c r="Q64" i="5" s="1"/>
  <c r="AS33" i="30"/>
  <c r="AN35" i="35"/>
  <c r="AQ33" i="30"/>
  <c r="AJ67" i="30"/>
  <c r="Q68" i="35"/>
  <c r="X68" i="30"/>
  <c r="V67" i="30"/>
  <c r="R69" i="35" s="1"/>
  <c r="BD64" i="30"/>
  <c r="BE64" i="30" s="1"/>
  <c r="AY94" i="5" s="1"/>
  <c r="AX94" i="5"/>
  <c r="BC65" i="30"/>
  <c r="AK66" i="30"/>
  <c r="AK67" i="30" s="1"/>
  <c r="C367" i="31"/>
  <c r="D366" i="31"/>
  <c r="AM34" i="30" l="1"/>
  <c r="AU34" i="30" s="1"/>
  <c r="AF63" i="5"/>
  <c r="AJ63" i="5" s="1"/>
  <c r="X69" i="30"/>
  <c r="V68" i="30"/>
  <c r="R70" i="35" s="1"/>
  <c r="AJ68" i="30"/>
  <c r="AK68" i="30" s="1"/>
  <c r="Q69" i="35"/>
  <c r="AN34" i="30"/>
  <c r="AL34" i="30"/>
  <c r="AO34" i="30" s="1"/>
  <c r="BD65" i="30"/>
  <c r="BE65" i="30" s="1"/>
  <c r="AY95" i="5" s="1"/>
  <c r="BC66" i="30"/>
  <c r="AX95" i="5"/>
  <c r="AT33" i="30"/>
  <c r="AQ35" i="35" s="1"/>
  <c r="O63" i="5" s="1"/>
  <c r="AO35" i="35"/>
  <c r="C368" i="31"/>
  <c r="D367" i="31"/>
  <c r="AH63" i="5" l="1"/>
  <c r="AJ36" i="35"/>
  <c r="W35" i="30"/>
  <c r="AA35" i="30" s="1"/>
  <c r="AB35" i="30" s="1"/>
  <c r="BC67" i="30"/>
  <c r="BD66" i="30"/>
  <c r="BE66" i="30" s="1"/>
  <c r="AY96" i="5" s="1"/>
  <c r="AX96" i="5"/>
  <c r="Q70" i="35"/>
  <c r="AJ69" i="30"/>
  <c r="Q34" i="30"/>
  <c r="AR34" i="30"/>
  <c r="AP34" i="30"/>
  <c r="AM36" i="35"/>
  <c r="AL36" i="35"/>
  <c r="V69" i="30"/>
  <c r="R71" i="35" s="1"/>
  <c r="X70" i="30"/>
  <c r="C369" i="31"/>
  <c r="D368" i="31"/>
  <c r="L64" i="5" l="1"/>
  <c r="AC64" i="5" s="1"/>
  <c r="AM64" i="5" s="1"/>
  <c r="AK36" i="35"/>
  <c r="M64" i="5" s="1"/>
  <c r="K64" i="5"/>
  <c r="AE35" i="30"/>
  <c r="Y35" i="30"/>
  <c r="Z35" i="30" s="1"/>
  <c r="AC35" i="30" s="1"/>
  <c r="AD35" i="30" s="1"/>
  <c r="AR37" i="35"/>
  <c r="Q65" i="5" s="1"/>
  <c r="AJ70" i="30"/>
  <c r="Q71" i="35"/>
  <c r="V70" i="30"/>
  <c r="R72" i="35" s="1"/>
  <c r="X71" i="30"/>
  <c r="BC68" i="30"/>
  <c r="BD67" i="30"/>
  <c r="BE67" i="30" s="1"/>
  <c r="AY97" i="5" s="1"/>
  <c r="AX97" i="5"/>
  <c r="AS34" i="30"/>
  <c r="AN36" i="35"/>
  <c r="AQ34" i="30"/>
  <c r="AK69" i="30"/>
  <c r="AK70" i="30" s="1"/>
  <c r="C370" i="31"/>
  <c r="D369" i="31"/>
  <c r="AF35" i="30" l="1"/>
  <c r="Y64" i="5"/>
  <c r="AL64" i="5" s="1"/>
  <c r="AG35" i="30"/>
  <c r="AH35" i="30" s="1"/>
  <c r="AL35" i="30" s="1"/>
  <c r="AO35" i="30" s="1"/>
  <c r="V71" i="30"/>
  <c r="R73" i="35" s="1"/>
  <c r="X72" i="30"/>
  <c r="AX98" i="5"/>
  <c r="BD68" i="30"/>
  <c r="BE68" i="30" s="1"/>
  <c r="AY98" i="5" s="1"/>
  <c r="BC69" i="30"/>
  <c r="AT34" i="30"/>
  <c r="AQ36" i="35" s="1"/>
  <c r="O64" i="5" s="1"/>
  <c r="AO36" i="35"/>
  <c r="AJ71" i="30"/>
  <c r="Q72" i="35"/>
  <c r="C371" i="31"/>
  <c r="D370" i="31"/>
  <c r="AF64" i="5" l="1"/>
  <c r="AH64" i="5" s="1"/>
  <c r="AN35" i="30"/>
  <c r="AM35" i="30"/>
  <c r="AJ37" i="35" s="1"/>
  <c r="K65" i="5" s="1"/>
  <c r="Q73" i="35"/>
  <c r="AJ72" i="30"/>
  <c r="AR35" i="30"/>
  <c r="Q35" i="30"/>
  <c r="AP35" i="30"/>
  <c r="AM37" i="35"/>
  <c r="AL37" i="35"/>
  <c r="X73" i="30"/>
  <c r="V72" i="30"/>
  <c r="R74" i="35" s="1"/>
  <c r="AK71" i="30"/>
  <c r="AK72" i="30" s="1"/>
  <c r="BD69" i="30"/>
  <c r="BE69" i="30" s="1"/>
  <c r="AY99" i="5" s="1"/>
  <c r="AX99" i="5"/>
  <c r="BC70" i="30"/>
  <c r="C372" i="31"/>
  <c r="D372" i="31" s="1"/>
  <c r="D371" i="31"/>
  <c r="AJ64" i="5" l="1"/>
  <c r="L65" i="5"/>
  <c r="AC65" i="5" s="1"/>
  <c r="AM65" i="5" s="1"/>
  <c r="AK37" i="35"/>
  <c r="M65" i="5" s="1"/>
  <c r="W36" i="30"/>
  <c r="Y36" i="30" s="1"/>
  <c r="Z36" i="30" s="1"/>
  <c r="AU35" i="30"/>
  <c r="AR38" i="35"/>
  <c r="Q66" i="5" s="1"/>
  <c r="V73" i="30"/>
  <c r="R75" i="35" s="1"/>
  <c r="X74" i="30"/>
  <c r="AX100" i="5"/>
  <c r="BC71" i="30"/>
  <c r="BD70" i="30"/>
  <c r="BE70" i="30" s="1"/>
  <c r="AY100" i="5" s="1"/>
  <c r="AQ35" i="30"/>
  <c r="AN37" i="35"/>
  <c r="AS35" i="30"/>
  <c r="AJ73" i="30"/>
  <c r="AK73" i="30" s="1"/>
  <c r="Q74" i="35"/>
  <c r="Y65" i="5" l="1"/>
  <c r="AL65" i="5" s="1"/>
  <c r="AA36" i="30"/>
  <c r="AB36" i="30" s="1"/>
  <c r="AC36" i="30" s="1"/>
  <c r="AE36" i="30"/>
  <c r="BD71" i="30"/>
  <c r="BE71" i="30" s="1"/>
  <c r="AY101" i="5" s="1"/>
  <c r="BC72" i="30"/>
  <c r="AX101" i="5"/>
  <c r="Q75" i="35"/>
  <c r="AJ74" i="30"/>
  <c r="V74" i="30"/>
  <c r="R76" i="35" s="1"/>
  <c r="X75" i="30"/>
  <c r="AT35" i="30"/>
  <c r="AQ37" i="35" s="1"/>
  <c r="O65" i="5" s="1"/>
  <c r="AO37" i="35"/>
  <c r="AF65" i="5" l="1"/>
  <c r="AJ65" i="5" s="1"/>
  <c r="AG36" i="30"/>
  <c r="AH36" i="30" s="1"/>
  <c r="AD36" i="30"/>
  <c r="AF36" i="30" s="1"/>
  <c r="Q76" i="35"/>
  <c r="AJ75" i="30"/>
  <c r="BD72" i="30"/>
  <c r="BE72" i="30" s="1"/>
  <c r="AY102" i="5" s="1"/>
  <c r="BC73" i="30"/>
  <c r="AX102" i="5"/>
  <c r="AK74" i="30"/>
  <c r="AK75" i="30" s="1"/>
  <c r="V75" i="30"/>
  <c r="R77" i="35" s="1"/>
  <c r="X76" i="30"/>
  <c r="AH65" i="5" l="1"/>
  <c r="AM36" i="30"/>
  <c r="AL36" i="30"/>
  <c r="AO36" i="30" s="1"/>
  <c r="AN36" i="30"/>
  <c r="BD73" i="30"/>
  <c r="BE73" i="30" s="1"/>
  <c r="AY103" i="5" s="1"/>
  <c r="AX103" i="5"/>
  <c r="BC74" i="30"/>
  <c r="Q77" i="35"/>
  <c r="AJ76" i="30"/>
  <c r="V76" i="30"/>
  <c r="R78" i="35" s="1"/>
  <c r="X77" i="30"/>
  <c r="AM38" i="35" l="1"/>
  <c r="AL38" i="35"/>
  <c r="AR36" i="30"/>
  <c r="Q36" i="30"/>
  <c r="AP36" i="30"/>
  <c r="AJ38" i="35"/>
  <c r="K66" i="5" s="1"/>
  <c r="W37" i="30"/>
  <c r="AU36" i="30"/>
  <c r="Q78" i="35"/>
  <c r="AJ77" i="30"/>
  <c r="AK76" i="30"/>
  <c r="BC75" i="30"/>
  <c r="BD74" i="30"/>
  <c r="BE74" i="30" s="1"/>
  <c r="AY104" i="5" s="1"/>
  <c r="AX104" i="5"/>
  <c r="V77" i="30"/>
  <c r="R79" i="35" s="1"/>
  <c r="X78" i="30"/>
  <c r="L66" i="5" l="1"/>
  <c r="AC66" i="5" s="1"/>
  <c r="AM66" i="5" s="1"/>
  <c r="AA37" i="30"/>
  <c r="AB37" i="30" s="1"/>
  <c r="AE37" i="30"/>
  <c r="Y37" i="30"/>
  <c r="Z37" i="30" s="1"/>
  <c r="AK38" i="35"/>
  <c r="M66" i="5" s="1"/>
  <c r="Y66" i="5" s="1"/>
  <c r="AQ36" i="30"/>
  <c r="AS36" i="30"/>
  <c r="AN38" i="35"/>
  <c r="BD75" i="30"/>
  <c r="BE75" i="30" s="1"/>
  <c r="AY105" i="5" s="1"/>
  <c r="AX105" i="5"/>
  <c r="BC76" i="30"/>
  <c r="X79" i="30"/>
  <c r="V78" i="30"/>
  <c r="R80" i="35" s="1"/>
  <c r="AK77" i="30"/>
  <c r="Q79" i="35"/>
  <c r="AJ78" i="30"/>
  <c r="AR39" i="35" l="1"/>
  <c r="Q67" i="5" s="1"/>
  <c r="AT36" i="30"/>
  <c r="AQ38" i="35" s="1"/>
  <c r="O66" i="5" s="1"/>
  <c r="AO38" i="35"/>
  <c r="AC37" i="30"/>
  <c r="V79" i="30"/>
  <c r="R81" i="35" s="1"/>
  <c r="X80" i="30"/>
  <c r="Q80" i="35"/>
  <c r="AJ79" i="30"/>
  <c r="AK78" i="30"/>
  <c r="BD76" i="30"/>
  <c r="BE76" i="30" s="1"/>
  <c r="AY106" i="5" s="1"/>
  <c r="AX106" i="5"/>
  <c r="BC77" i="30"/>
  <c r="AL66" i="5" l="1"/>
  <c r="AF66" i="5"/>
  <c r="AD37" i="30"/>
  <c r="AF37" i="30" s="1"/>
  <c r="AG37" i="30"/>
  <c r="AH37" i="30" s="1"/>
  <c r="AJ80" i="30"/>
  <c r="Q81" i="35"/>
  <c r="BD77" i="30"/>
  <c r="BE77" i="30" s="1"/>
  <c r="AY107" i="5" s="1"/>
  <c r="AX107" i="5"/>
  <c r="BC78" i="30"/>
  <c r="V80" i="30"/>
  <c r="R82" i="35" s="1"/>
  <c r="X81" i="30"/>
  <c r="AK79" i="30"/>
  <c r="AK80" i="30" s="1"/>
  <c r="AM37" i="30" l="1"/>
  <c r="AN37" i="30"/>
  <c r="AL37" i="30"/>
  <c r="AO37" i="30" s="1"/>
  <c r="AJ66" i="5"/>
  <c r="AH66" i="5"/>
  <c r="V81" i="30"/>
  <c r="R83" i="35" s="1"/>
  <c r="X82" i="30"/>
  <c r="Q82" i="35"/>
  <c r="AJ81" i="30"/>
  <c r="BC79" i="30"/>
  <c r="AX108" i="5"/>
  <c r="BD78" i="30"/>
  <c r="BE78" i="30" s="1"/>
  <c r="AY108" i="5" s="1"/>
  <c r="Q37" i="30" l="1"/>
  <c r="AR37" i="30"/>
  <c r="AP37" i="30"/>
  <c r="AL39" i="35"/>
  <c r="AM39" i="35"/>
  <c r="AJ39" i="35"/>
  <c r="K67" i="5" s="1"/>
  <c r="AU37" i="30"/>
  <c r="W38" i="30"/>
  <c r="BD79" i="30"/>
  <c r="BE79" i="30" s="1"/>
  <c r="AY109" i="5" s="1"/>
  <c r="BC80" i="30"/>
  <c r="AX109" i="5"/>
  <c r="Q83" i="35"/>
  <c r="AJ82" i="30"/>
  <c r="V82" i="30"/>
  <c r="R84" i="35" s="1"/>
  <c r="X83" i="30"/>
  <c r="AK81" i="30"/>
  <c r="L67" i="5" l="1"/>
  <c r="AC67" i="5" s="1"/>
  <c r="AM67" i="5" s="1"/>
  <c r="AQ37" i="30"/>
  <c r="AN39" i="35"/>
  <c r="AS37" i="30"/>
  <c r="AA38" i="30"/>
  <c r="AB38" i="30" s="1"/>
  <c r="Y38" i="30"/>
  <c r="Z38" i="30" s="1"/>
  <c r="AE38" i="30"/>
  <c r="AK39" i="35"/>
  <c r="M67" i="5" s="1"/>
  <c r="Y67" i="5" s="1"/>
  <c r="AK82" i="30"/>
  <c r="AJ83" i="30"/>
  <c r="Q84" i="35"/>
  <c r="V83" i="30"/>
  <c r="R85" i="35" s="1"/>
  <c r="X84" i="30"/>
  <c r="BD80" i="30"/>
  <c r="BE80" i="30" s="1"/>
  <c r="AY110" i="5" s="1"/>
  <c r="AX110" i="5"/>
  <c r="BC81" i="30"/>
  <c r="AR40" i="35" l="1"/>
  <c r="Q68" i="5" s="1"/>
  <c r="AT37" i="30"/>
  <c r="AQ39" i="35" s="1"/>
  <c r="O67" i="5" s="1"/>
  <c r="AO39" i="35"/>
  <c r="AC38" i="30"/>
  <c r="BD81" i="30"/>
  <c r="BE81" i="30" s="1"/>
  <c r="AY111" i="5" s="1"/>
  <c r="BC82" i="30"/>
  <c r="AX111" i="5"/>
  <c r="X85" i="30"/>
  <c r="V84" i="30"/>
  <c r="R86" i="35" s="1"/>
  <c r="Q85" i="35"/>
  <c r="AJ84" i="30"/>
  <c r="AK83" i="30"/>
  <c r="AL67" i="5" l="1"/>
  <c r="AF67" i="5"/>
  <c r="AG38" i="30"/>
  <c r="AH38" i="30" s="1"/>
  <c r="AD38" i="30"/>
  <c r="AF38" i="30" s="1"/>
  <c r="AK84" i="30"/>
  <c r="AJ85" i="30"/>
  <c r="Q86" i="35"/>
  <c r="V85" i="30"/>
  <c r="R87" i="35" s="1"/>
  <c r="X86" i="30"/>
  <c r="BD82" i="30"/>
  <c r="BE82" i="30" s="1"/>
  <c r="AY112" i="5" s="1"/>
  <c r="AX112" i="5"/>
  <c r="BC83" i="30"/>
  <c r="AN38" i="30" l="1"/>
  <c r="AM38" i="30"/>
  <c r="AL38" i="30"/>
  <c r="AO38" i="30" s="1"/>
  <c r="AH67" i="5"/>
  <c r="AJ67" i="5"/>
  <c r="BD83" i="30"/>
  <c r="BE83" i="30" s="1"/>
  <c r="AY113" i="5" s="1"/>
  <c r="AX113" i="5"/>
  <c r="BC84" i="30"/>
  <c r="X87" i="30"/>
  <c r="V86" i="30"/>
  <c r="R88" i="35" s="1"/>
  <c r="AJ86" i="30"/>
  <c r="Q87" i="35"/>
  <c r="AK85" i="30"/>
  <c r="AP38" i="30" l="1"/>
  <c r="Q38" i="30"/>
  <c r="AR38" i="30"/>
  <c r="AU38" i="30"/>
  <c r="W39" i="30"/>
  <c r="AJ40" i="35"/>
  <c r="K68" i="5" s="1"/>
  <c r="AL40" i="35"/>
  <c r="AM40" i="35"/>
  <c r="AK86" i="30"/>
  <c r="Q88" i="35"/>
  <c r="AJ87" i="30"/>
  <c r="V87" i="30"/>
  <c r="R89" i="35" s="1"/>
  <c r="X88" i="30"/>
  <c r="AX114" i="5"/>
  <c r="BD84" i="30"/>
  <c r="BE84" i="30" s="1"/>
  <c r="AY114" i="5" s="1"/>
  <c r="BC85" i="30"/>
  <c r="L68" i="5" l="1"/>
  <c r="AC68" i="5" s="1"/>
  <c r="AM68" i="5" s="1"/>
  <c r="AK40" i="35"/>
  <c r="M68" i="5" s="1"/>
  <c r="Y68" i="5" s="1"/>
  <c r="AE39" i="30"/>
  <c r="Y39" i="30"/>
  <c r="Z39" i="30" s="1"/>
  <c r="AA39" i="30"/>
  <c r="AB39" i="30" s="1"/>
  <c r="AS38" i="30"/>
  <c r="AN40" i="35"/>
  <c r="AQ38" i="30"/>
  <c r="AX115" i="5"/>
  <c r="BD85" i="30"/>
  <c r="BE85" i="30" s="1"/>
  <c r="AY115" i="5" s="1"/>
  <c r="BC86" i="30"/>
  <c r="V88" i="30"/>
  <c r="R90" i="35" s="1"/>
  <c r="X89" i="30"/>
  <c r="AJ88" i="30"/>
  <c r="Q89" i="35"/>
  <c r="AK87" i="30"/>
  <c r="AK88" i="30" l="1"/>
  <c r="AC39" i="30"/>
  <c r="AO40" i="35"/>
  <c r="AT38" i="30"/>
  <c r="AQ40" i="35" s="1"/>
  <c r="O68" i="5" s="1"/>
  <c r="AR41" i="35"/>
  <c r="Q69" i="5" s="1"/>
  <c r="AD39" i="30"/>
  <c r="AF39" i="30" s="1"/>
  <c r="AG39" i="30"/>
  <c r="AH39" i="30" s="1"/>
  <c r="AJ89" i="30"/>
  <c r="Q90" i="35"/>
  <c r="X90" i="30"/>
  <c r="V89" i="30"/>
  <c r="R91" i="35" s="1"/>
  <c r="BD86" i="30"/>
  <c r="BE86" i="30" s="1"/>
  <c r="AY116" i="5" s="1"/>
  <c r="BC87" i="30"/>
  <c r="AX116" i="5"/>
  <c r="AL39" i="30" l="1"/>
  <c r="AO39" i="30" s="1"/>
  <c r="AN39" i="30"/>
  <c r="AL68" i="5"/>
  <c r="AF68" i="5"/>
  <c r="AM39" i="30"/>
  <c r="BD87" i="30"/>
  <c r="BE87" i="30" s="1"/>
  <c r="AY117" i="5" s="1"/>
  <c r="AX117" i="5"/>
  <c r="BC88" i="30"/>
  <c r="V90" i="30"/>
  <c r="R92" i="35" s="1"/>
  <c r="X91" i="30"/>
  <c r="AJ90" i="30"/>
  <c r="Q91" i="35"/>
  <c r="AK89" i="30"/>
  <c r="AU39" i="30" l="1"/>
  <c r="AJ41" i="35"/>
  <c r="K69" i="5" s="1"/>
  <c r="W40" i="30"/>
  <c r="AM41" i="35"/>
  <c r="AL41" i="35"/>
  <c r="L69" i="5" s="1"/>
  <c r="AH68" i="5"/>
  <c r="AJ68" i="5"/>
  <c r="Q39" i="30"/>
  <c r="AR39" i="30"/>
  <c r="AP39" i="30"/>
  <c r="AK90" i="30"/>
  <c r="Q92" i="35"/>
  <c r="AJ91" i="30"/>
  <c r="V91" i="30"/>
  <c r="R93" i="35" s="1"/>
  <c r="X92" i="30"/>
  <c r="AX118" i="5"/>
  <c r="BD88" i="30"/>
  <c r="BE88" i="30" s="1"/>
  <c r="AY118" i="5" s="1"/>
  <c r="BC89" i="30"/>
  <c r="AC69" i="5" l="1"/>
  <c r="AM69" i="5" s="1"/>
  <c r="AS39" i="30"/>
  <c r="AN41" i="35"/>
  <c r="AQ39" i="30"/>
  <c r="Y40" i="30"/>
  <c r="Z40" i="30" s="1"/>
  <c r="AE40" i="30"/>
  <c r="AA40" i="30"/>
  <c r="AB40" i="30" s="1"/>
  <c r="AK41" i="35"/>
  <c r="M69" i="5" s="1"/>
  <c r="Y69" i="5" s="1"/>
  <c r="AX119" i="5"/>
  <c r="BD89" i="30"/>
  <c r="BE89" i="30" s="1"/>
  <c r="AY119" i="5" s="1"/>
  <c r="BC90" i="30"/>
  <c r="X93" i="30"/>
  <c r="V92" i="30"/>
  <c r="R94" i="35" s="1"/>
  <c r="AJ92" i="30"/>
  <c r="Q93" i="35"/>
  <c r="AK91" i="30"/>
  <c r="AC40" i="30" l="1"/>
  <c r="AR42" i="35"/>
  <c r="Q70" i="5" s="1"/>
  <c r="AM40" i="30"/>
  <c r="AD40" i="30"/>
  <c r="AF40" i="30" s="1"/>
  <c r="AG40" i="30"/>
  <c r="AH40" i="30" s="1"/>
  <c r="AN40" i="30" s="1"/>
  <c r="AT39" i="30"/>
  <c r="AQ41" i="35" s="1"/>
  <c r="O69" i="5" s="1"/>
  <c r="AO41" i="35"/>
  <c r="AK92" i="30"/>
  <c r="Q94" i="35"/>
  <c r="AJ93" i="30"/>
  <c r="V93" i="30"/>
  <c r="R95" i="35" s="1"/>
  <c r="X94" i="30"/>
  <c r="AX120" i="5"/>
  <c r="BC91" i="30"/>
  <c r="BD90" i="30"/>
  <c r="BE90" i="30" s="1"/>
  <c r="AY120" i="5" s="1"/>
  <c r="AJ42" i="35" l="1"/>
  <c r="K70" i="5" s="1"/>
  <c r="W41" i="30"/>
  <c r="AA41" i="30" s="1"/>
  <c r="AB41" i="30" s="1"/>
  <c r="AU40" i="30"/>
  <c r="AL42" i="35"/>
  <c r="L70" i="5" s="1"/>
  <c r="AM42" i="35"/>
  <c r="AL40" i="30"/>
  <c r="AO40" i="30" s="1"/>
  <c r="AL69" i="5"/>
  <c r="AF69" i="5"/>
  <c r="BC92" i="30"/>
  <c r="BD91" i="30"/>
  <c r="BE91" i="30" s="1"/>
  <c r="AY121" i="5" s="1"/>
  <c r="AX121" i="5"/>
  <c r="V94" i="30"/>
  <c r="R96" i="35" s="1"/>
  <c r="X95" i="30"/>
  <c r="AJ94" i="30"/>
  <c r="Q95" i="35"/>
  <c r="AK93" i="30"/>
  <c r="Q40" i="30" l="1"/>
  <c r="AR40" i="30"/>
  <c r="AP40" i="30"/>
  <c r="AE41" i="30"/>
  <c r="Y41" i="30"/>
  <c r="Z41" i="30" s="1"/>
  <c r="AC41" i="30" s="1"/>
  <c r="AH69" i="5"/>
  <c r="AC70" i="5" s="1"/>
  <c r="AM70" i="5" s="1"/>
  <c r="AJ69" i="5"/>
  <c r="AK42" i="35"/>
  <c r="M70" i="5" s="1"/>
  <c r="Y70" i="5" s="1"/>
  <c r="AK94" i="30"/>
  <c r="Q96" i="35"/>
  <c r="AJ95" i="30"/>
  <c r="V95" i="30"/>
  <c r="R97" i="35" s="1"/>
  <c r="X96" i="30"/>
  <c r="BC93" i="30"/>
  <c r="BD92" i="30"/>
  <c r="BE92" i="30" s="1"/>
  <c r="AY122" i="5" s="1"/>
  <c r="AX122" i="5"/>
  <c r="AG41" i="30" l="1"/>
  <c r="AH41" i="30" s="1"/>
  <c r="AD41" i="30"/>
  <c r="AF41" i="30" s="1"/>
  <c r="AR43" i="35"/>
  <c r="Q71" i="5" s="1"/>
  <c r="AN42" i="35"/>
  <c r="AS40" i="30"/>
  <c r="AQ40" i="30"/>
  <c r="AX123" i="5"/>
  <c r="BD93" i="30"/>
  <c r="BE93" i="30" s="1"/>
  <c r="AY123" i="5" s="1"/>
  <c r="BC94" i="30"/>
  <c r="V96" i="30"/>
  <c r="R98" i="35" s="1"/>
  <c r="X97" i="30"/>
  <c r="AJ96" i="30"/>
  <c r="Q97" i="35"/>
  <c r="AK95" i="30"/>
  <c r="AL70" i="5" l="1"/>
  <c r="AF70" i="5"/>
  <c r="AM41" i="30"/>
  <c r="AL41" i="30"/>
  <c r="AO41" i="30" s="1"/>
  <c r="AT40" i="30"/>
  <c r="AQ42" i="35" s="1"/>
  <c r="O70" i="5" s="1"/>
  <c r="AO42" i="35"/>
  <c r="AN41" i="30"/>
  <c r="AK96" i="30"/>
  <c r="AJ97" i="30"/>
  <c r="Q98" i="35"/>
  <c r="X98" i="30"/>
  <c r="V97" i="30"/>
  <c r="R99" i="35" s="1"/>
  <c r="BD94" i="30"/>
  <c r="BE94" i="30" s="1"/>
  <c r="AY124" i="5" s="1"/>
  <c r="AX124" i="5"/>
  <c r="BC95" i="30"/>
  <c r="AM43" i="35" l="1"/>
  <c r="AL43" i="35"/>
  <c r="L71" i="5" s="1"/>
  <c r="AP41" i="30"/>
  <c r="AR41" i="30"/>
  <c r="Q41" i="30"/>
  <c r="W42" i="30"/>
  <c r="AJ43" i="35"/>
  <c r="K71" i="5" s="1"/>
  <c r="AU41" i="30"/>
  <c r="AH70" i="5"/>
  <c r="AJ70" i="5"/>
  <c r="V98" i="30"/>
  <c r="R100" i="35" s="1"/>
  <c r="X99" i="30"/>
  <c r="AX125" i="5"/>
  <c r="BD95" i="30"/>
  <c r="BE95" i="30" s="1"/>
  <c r="AY125" i="5" s="1"/>
  <c r="BC96" i="30"/>
  <c r="Q99" i="35"/>
  <c r="AJ98" i="30"/>
  <c r="AK97" i="30"/>
  <c r="AK98" i="30" s="1"/>
  <c r="AC71" i="5" l="1"/>
  <c r="AM71" i="5" s="1"/>
  <c r="AK43" i="35"/>
  <c r="M71" i="5" s="1"/>
  <c r="Y71" i="5" s="1"/>
  <c r="AN43" i="35"/>
  <c r="AS41" i="30"/>
  <c r="AQ41" i="30"/>
  <c r="AA42" i="30"/>
  <c r="AB42" i="30" s="1"/>
  <c r="Y42" i="30"/>
  <c r="Z42" i="30" s="1"/>
  <c r="AE42" i="30"/>
  <c r="Q100" i="35"/>
  <c r="AJ99" i="30"/>
  <c r="BC97" i="30"/>
  <c r="BD96" i="30"/>
  <c r="BE96" i="30" s="1"/>
  <c r="AY126" i="5" s="1"/>
  <c r="AX126" i="5"/>
  <c r="V99" i="30"/>
  <c r="R101" i="35" s="1"/>
  <c r="X100" i="30"/>
  <c r="AT41" i="30" l="1"/>
  <c r="AQ43" i="35" s="1"/>
  <c r="O71" i="5" s="1"/>
  <c r="AO43" i="35"/>
  <c r="AC42" i="30"/>
  <c r="AR44" i="35"/>
  <c r="Q72" i="5" s="1"/>
  <c r="BD97" i="30"/>
  <c r="BE97" i="30" s="1"/>
  <c r="AY127" i="5" s="1"/>
  <c r="AX127" i="5"/>
  <c r="BC98" i="30"/>
  <c r="Q101" i="35"/>
  <c r="AJ100" i="30"/>
  <c r="X101" i="30"/>
  <c r="V100" i="30"/>
  <c r="R102" i="35" s="1"/>
  <c r="AK99" i="30"/>
  <c r="AL71" i="5" l="1"/>
  <c r="AF71" i="5"/>
  <c r="AG42" i="30"/>
  <c r="AH42" i="30" s="1"/>
  <c r="AD42" i="30"/>
  <c r="AF42" i="30" s="1"/>
  <c r="AK100" i="30"/>
  <c r="V101" i="30"/>
  <c r="R103" i="35" s="1"/>
  <c r="X102" i="30"/>
  <c r="Q102" i="35"/>
  <c r="AJ101" i="30"/>
  <c r="BC99" i="30"/>
  <c r="BD98" i="30"/>
  <c r="BE98" i="30" s="1"/>
  <c r="AY128" i="5" s="1"/>
  <c r="AX128" i="5"/>
  <c r="AK101" i="30"/>
  <c r="AN42" i="30" l="1"/>
  <c r="AL42" i="30"/>
  <c r="AO42" i="30" s="1"/>
  <c r="AM42" i="30"/>
  <c r="AJ71" i="5"/>
  <c r="AH71" i="5"/>
  <c r="BD99" i="30"/>
  <c r="BE99" i="30" s="1"/>
  <c r="AY129" i="5" s="1"/>
  <c r="AX129" i="5"/>
  <c r="BC100" i="30"/>
  <c r="Q103" i="35"/>
  <c r="AJ102" i="30"/>
  <c r="AK102" i="30" s="1"/>
  <c r="V102" i="30"/>
  <c r="R104" i="35" s="1"/>
  <c r="X103" i="30"/>
  <c r="AU42" i="30" l="1"/>
  <c r="W43" i="30"/>
  <c r="AJ44" i="35"/>
  <c r="K72" i="5" s="1"/>
  <c r="AR42" i="30"/>
  <c r="Q42" i="30"/>
  <c r="AP42" i="30"/>
  <c r="AL44" i="35"/>
  <c r="AM44" i="35"/>
  <c r="V103" i="30"/>
  <c r="R105" i="35" s="1"/>
  <c r="X104" i="30"/>
  <c r="Q104" i="35"/>
  <c r="AJ103" i="30"/>
  <c r="BC101" i="30"/>
  <c r="BD100" i="30"/>
  <c r="BE100" i="30" s="1"/>
  <c r="AY130" i="5" s="1"/>
  <c r="AX130" i="5"/>
  <c r="L72" i="5" l="1"/>
  <c r="AC72" i="5" s="1"/>
  <c r="AM72" i="5" s="1"/>
  <c r="AS42" i="30"/>
  <c r="AN44" i="35"/>
  <c r="AQ42" i="30"/>
  <c r="AK44" i="35"/>
  <c r="M72" i="5" s="1"/>
  <c r="Y72" i="5" s="1"/>
  <c r="AA43" i="30"/>
  <c r="AB43" i="30" s="1"/>
  <c r="AE43" i="30"/>
  <c r="Y43" i="30"/>
  <c r="Z43" i="30" s="1"/>
  <c r="BD101" i="30"/>
  <c r="BE101" i="30" s="1"/>
  <c r="AY131" i="5" s="1"/>
  <c r="BC102" i="30"/>
  <c r="AX131" i="5"/>
  <c r="Q105" i="35"/>
  <c r="AJ104" i="30"/>
  <c r="V104" i="30"/>
  <c r="R106" i="35" s="1"/>
  <c r="X105" i="30"/>
  <c r="AK103" i="30"/>
  <c r="AC43" i="30" l="1"/>
  <c r="AR45" i="35"/>
  <c r="Q73" i="5" s="1"/>
  <c r="AD43" i="30"/>
  <c r="AF43" i="30" s="1"/>
  <c r="AG43" i="30"/>
  <c r="AH43" i="30" s="1"/>
  <c r="AN43" i="30" s="1"/>
  <c r="AO44" i="35"/>
  <c r="AT42" i="30"/>
  <c r="AQ44" i="35" s="1"/>
  <c r="O72" i="5" s="1"/>
  <c r="AK104" i="30"/>
  <c r="V105" i="30"/>
  <c r="R107" i="35" s="1"/>
  <c r="X106" i="30"/>
  <c r="AJ105" i="30"/>
  <c r="Q106" i="35"/>
  <c r="BD102" i="30"/>
  <c r="BE102" i="30" s="1"/>
  <c r="AY132" i="5" s="1"/>
  <c r="BC103" i="30"/>
  <c r="AX132" i="5"/>
  <c r="AL72" i="5" l="1"/>
  <c r="AF72" i="5"/>
  <c r="AL43" i="30"/>
  <c r="AO43" i="30" s="1"/>
  <c r="AL45" i="35"/>
  <c r="L73" i="5" s="1"/>
  <c r="AM45" i="35"/>
  <c r="AM43" i="30"/>
  <c r="Q107" i="35"/>
  <c r="AJ106" i="30"/>
  <c r="BC104" i="30"/>
  <c r="BD103" i="30"/>
  <c r="BE103" i="30" s="1"/>
  <c r="AY133" i="5" s="1"/>
  <c r="AX133" i="5"/>
  <c r="V106" i="30"/>
  <c r="R108" i="35" s="1"/>
  <c r="X107" i="30"/>
  <c r="AK105" i="30"/>
  <c r="AK106" i="30" s="1"/>
  <c r="Q43" i="30" l="1"/>
  <c r="AR43" i="30"/>
  <c r="AP43" i="30"/>
  <c r="AJ45" i="35"/>
  <c r="K73" i="5" s="1"/>
  <c r="AU43" i="30"/>
  <c r="W44" i="30"/>
  <c r="AJ72" i="5"/>
  <c r="AH72" i="5"/>
  <c r="AC73" i="5" s="1"/>
  <c r="AM73" i="5" s="1"/>
  <c r="V107" i="30"/>
  <c r="R109" i="35" s="1"/>
  <c r="X108" i="30"/>
  <c r="BC105" i="30"/>
  <c r="BD104" i="30"/>
  <c r="BE104" i="30" s="1"/>
  <c r="AY134" i="5" s="1"/>
  <c r="AX134" i="5"/>
  <c r="AJ107" i="30"/>
  <c r="Q108" i="35"/>
  <c r="AN45" i="35" l="1"/>
  <c r="AS43" i="30"/>
  <c r="AQ43" i="30"/>
  <c r="AA44" i="30"/>
  <c r="AB44" i="30" s="1"/>
  <c r="AC44" i="30" s="1"/>
  <c r="AE44" i="30"/>
  <c r="Y44" i="30"/>
  <c r="Z44" i="30" s="1"/>
  <c r="AK45" i="35"/>
  <c r="M73" i="5" s="1"/>
  <c r="Y73" i="5" s="1"/>
  <c r="AJ108" i="30"/>
  <c r="Q109" i="35"/>
  <c r="AX135" i="5"/>
  <c r="BC106" i="30"/>
  <c r="BD105" i="30"/>
  <c r="BE105" i="30" s="1"/>
  <c r="AY135" i="5" s="1"/>
  <c r="X109" i="30"/>
  <c r="V108" i="30"/>
  <c r="R110" i="35" s="1"/>
  <c r="AK107" i="30"/>
  <c r="AK108" i="30" l="1"/>
  <c r="AR46" i="35"/>
  <c r="Q74" i="5" s="1"/>
  <c r="AD44" i="30"/>
  <c r="AF44" i="30" s="1"/>
  <c r="AG44" i="30"/>
  <c r="AH44" i="30" s="1"/>
  <c r="AN44" i="30" s="1"/>
  <c r="AO45" i="35"/>
  <c r="AT43" i="30"/>
  <c r="AQ45" i="35" s="1"/>
  <c r="O73" i="5" s="1"/>
  <c r="V109" i="30"/>
  <c r="R111" i="35" s="1"/>
  <c r="X110" i="30"/>
  <c r="BC107" i="30"/>
  <c r="AX136" i="5"/>
  <c r="BD106" i="30"/>
  <c r="BE106" i="30" s="1"/>
  <c r="AY136" i="5" s="1"/>
  <c r="AJ109" i="30"/>
  <c r="Q110" i="35"/>
  <c r="AM44" i="30" l="1"/>
  <c r="AU44" i="30" s="1"/>
  <c r="AL44" i="30"/>
  <c r="AO44" i="30" s="1"/>
  <c r="AL46" i="35"/>
  <c r="L74" i="5" s="1"/>
  <c r="AM46" i="35"/>
  <c r="AP44" i="30"/>
  <c r="AR44" i="30"/>
  <c r="Q44" i="30"/>
  <c r="AL73" i="5"/>
  <c r="AF73" i="5"/>
  <c r="Q111" i="35"/>
  <c r="AJ110" i="30"/>
  <c r="AX137" i="5"/>
  <c r="BD107" i="30"/>
  <c r="BE107" i="30" s="1"/>
  <c r="AY137" i="5" s="1"/>
  <c r="BC108" i="30"/>
  <c r="V110" i="30"/>
  <c r="R112" i="35" s="1"/>
  <c r="X111" i="30"/>
  <c r="AK109" i="30"/>
  <c r="W45" i="30" l="1"/>
  <c r="AA45" i="30" s="1"/>
  <c r="AB45" i="30" s="1"/>
  <c r="AJ46" i="35"/>
  <c r="AH73" i="5"/>
  <c r="AC74" i="5" s="1"/>
  <c r="AM74" i="5" s="1"/>
  <c r="AJ73" i="5"/>
  <c r="Y45" i="30"/>
  <c r="Z45" i="30" s="1"/>
  <c r="AC45" i="30" s="1"/>
  <c r="AE45" i="30"/>
  <c r="AN46" i="35"/>
  <c r="AS44" i="30"/>
  <c r="AQ44" i="30"/>
  <c r="AK110" i="30"/>
  <c r="X112" i="30"/>
  <c r="V111" i="30"/>
  <c r="R113" i="35" s="1"/>
  <c r="BD108" i="30"/>
  <c r="BE108" i="30" s="1"/>
  <c r="AY138" i="5" s="1"/>
  <c r="AX138" i="5"/>
  <c r="BC109" i="30"/>
  <c r="AJ111" i="30"/>
  <c r="Q112" i="35"/>
  <c r="AK46" i="35" l="1"/>
  <c r="M74" i="5" s="1"/>
  <c r="K74" i="5"/>
  <c r="AD45" i="30"/>
  <c r="AF45" i="30" s="1"/>
  <c r="AG45" i="30"/>
  <c r="AH45" i="30" s="1"/>
  <c r="AN45" i="30" s="1"/>
  <c r="AM45" i="30"/>
  <c r="AT44" i="30"/>
  <c r="AQ46" i="35" s="1"/>
  <c r="O74" i="5" s="1"/>
  <c r="AO46" i="35"/>
  <c r="Q113" i="35"/>
  <c r="AJ112" i="30"/>
  <c r="BD109" i="30"/>
  <c r="BE109" i="30" s="1"/>
  <c r="AY139" i="5" s="1"/>
  <c r="AX139" i="5"/>
  <c r="BC110" i="30"/>
  <c r="V112" i="30"/>
  <c r="R114" i="35" s="1"/>
  <c r="X113" i="30"/>
  <c r="AK111" i="30"/>
  <c r="AK112" i="30" s="1"/>
  <c r="Y74" i="5" l="1"/>
  <c r="AR47" i="35"/>
  <c r="Q75" i="5" s="1"/>
  <c r="AJ47" i="35"/>
  <c r="K75" i="5" s="1"/>
  <c r="AU45" i="30"/>
  <c r="W46" i="30"/>
  <c r="AL74" i="5"/>
  <c r="AF74" i="5"/>
  <c r="AM47" i="35"/>
  <c r="AL47" i="35"/>
  <c r="L75" i="5" s="1"/>
  <c r="AL45" i="30"/>
  <c r="AO45" i="30" s="1"/>
  <c r="V113" i="30"/>
  <c r="R115" i="35" s="1"/>
  <c r="X114" i="30"/>
  <c r="BC111" i="30"/>
  <c r="BD110" i="30"/>
  <c r="BE110" i="30" s="1"/>
  <c r="AY140" i="5" s="1"/>
  <c r="AX140" i="5"/>
  <c r="Q114" i="35"/>
  <c r="AJ113" i="30"/>
  <c r="Q45" i="30" l="1"/>
  <c r="AR45" i="30"/>
  <c r="AP45" i="30"/>
  <c r="AA46" i="30"/>
  <c r="AB46" i="30" s="1"/>
  <c r="Y46" i="30"/>
  <c r="Z46" i="30" s="1"/>
  <c r="AE46" i="30"/>
  <c r="AJ74" i="5"/>
  <c r="AH74" i="5"/>
  <c r="AC75" i="5" s="1"/>
  <c r="AM75" i="5" s="1"/>
  <c r="AK47" i="35"/>
  <c r="M75" i="5" s="1"/>
  <c r="Y75" i="5" s="1"/>
  <c r="AJ114" i="30"/>
  <c r="Q115" i="35"/>
  <c r="BD111" i="30"/>
  <c r="BE111" i="30" s="1"/>
  <c r="AY141" i="5" s="1"/>
  <c r="AX141" i="5"/>
  <c r="BC112" i="30"/>
  <c r="V114" i="30"/>
  <c r="R116" i="35" s="1"/>
  <c r="X115" i="30"/>
  <c r="AK113" i="30"/>
  <c r="AC46" i="30" l="1"/>
  <c r="AG46" i="30" s="1"/>
  <c r="AH46" i="30" s="1"/>
  <c r="AN46" i="30" s="1"/>
  <c r="AR48" i="35"/>
  <c r="Q76" i="5" s="1"/>
  <c r="AN47" i="35"/>
  <c r="AS45" i="30"/>
  <c r="AQ45" i="30"/>
  <c r="AD46" i="30"/>
  <c r="AF46" i="30" s="1"/>
  <c r="AK114" i="30"/>
  <c r="BD112" i="30"/>
  <c r="BE112" i="30" s="1"/>
  <c r="AY142" i="5" s="1"/>
  <c r="AX142" i="5"/>
  <c r="BC113" i="30"/>
  <c r="V115" i="30"/>
  <c r="R117" i="35" s="1"/>
  <c r="X116" i="30"/>
  <c r="AJ115" i="30"/>
  <c r="Q116" i="35"/>
  <c r="AT45" i="30" l="1"/>
  <c r="AQ47" i="35" s="1"/>
  <c r="O75" i="5" s="1"/>
  <c r="AO47" i="35"/>
  <c r="AM48" i="35"/>
  <c r="AL48" i="35"/>
  <c r="L76" i="5" s="1"/>
  <c r="AL75" i="5"/>
  <c r="AF75" i="5"/>
  <c r="AM46" i="30"/>
  <c r="AL46" i="30"/>
  <c r="AO46" i="30" s="1"/>
  <c r="AJ116" i="30"/>
  <c r="Q117" i="35"/>
  <c r="V116" i="30"/>
  <c r="R118" i="35" s="1"/>
  <c r="X117" i="30"/>
  <c r="BD113" i="30"/>
  <c r="BE113" i="30" s="1"/>
  <c r="AY143" i="5" s="1"/>
  <c r="BC114" i="30"/>
  <c r="AX143" i="5"/>
  <c r="AK115" i="30"/>
  <c r="W47" i="30" l="1"/>
  <c r="AJ48" i="35"/>
  <c r="K76" i="5" s="1"/>
  <c r="AU46" i="30"/>
  <c r="AH75" i="5"/>
  <c r="AC76" i="5" s="1"/>
  <c r="AM76" i="5" s="1"/>
  <c r="AJ75" i="5"/>
  <c r="AP46" i="30"/>
  <c r="Q46" i="30"/>
  <c r="AR46" i="30"/>
  <c r="AK116" i="30"/>
  <c r="V117" i="30"/>
  <c r="R119" i="35" s="1"/>
  <c r="X118" i="30"/>
  <c r="BD114" i="30"/>
  <c r="BE114" i="30" s="1"/>
  <c r="AY144" i="5" s="1"/>
  <c r="BC115" i="30"/>
  <c r="AX144" i="5"/>
  <c r="AJ117" i="30"/>
  <c r="Q118" i="35"/>
  <c r="AS46" i="30" l="1"/>
  <c r="AN48" i="35"/>
  <c r="AQ46" i="30"/>
  <c r="AK48" i="35"/>
  <c r="M76" i="5" s="1"/>
  <c r="Y76" i="5" s="1"/>
  <c r="Y47" i="30"/>
  <c r="Z47" i="30" s="1"/>
  <c r="AE47" i="30"/>
  <c r="AA47" i="30"/>
  <c r="AB47" i="30" s="1"/>
  <c r="Q119" i="35"/>
  <c r="AJ118" i="30"/>
  <c r="BD115" i="30"/>
  <c r="BE115" i="30" s="1"/>
  <c r="AY145" i="5" s="1"/>
  <c r="AX145" i="5"/>
  <c r="BC116" i="30"/>
  <c r="V118" i="30"/>
  <c r="R120" i="35" s="1"/>
  <c r="X119" i="30"/>
  <c r="AK117" i="30"/>
  <c r="AK118" i="30" s="1"/>
  <c r="AC47" i="30" l="1"/>
  <c r="AG47" i="30" s="1"/>
  <c r="AH47" i="30" s="1"/>
  <c r="AL47" i="30" s="1"/>
  <c r="AO47" i="30" s="1"/>
  <c r="AP47" i="30" s="1"/>
  <c r="AR49" i="35"/>
  <c r="Q77" i="5" s="1"/>
  <c r="AO48" i="35"/>
  <c r="AT46" i="30"/>
  <c r="AQ48" i="35" s="1"/>
  <c r="O76" i="5" s="1"/>
  <c r="V119" i="30"/>
  <c r="R121" i="35" s="1"/>
  <c r="X120" i="30"/>
  <c r="BC117" i="30"/>
  <c r="BD116" i="30"/>
  <c r="BE116" i="30" s="1"/>
  <c r="AY146" i="5" s="1"/>
  <c r="AX146" i="5"/>
  <c r="Q120" i="35"/>
  <c r="AJ119" i="30"/>
  <c r="AD47" i="30" l="1"/>
  <c r="AF47" i="30" s="1"/>
  <c r="AS47" i="30"/>
  <c r="AN49" i="35"/>
  <c r="AL76" i="5"/>
  <c r="AF76" i="5"/>
  <c r="AR47" i="30"/>
  <c r="Q47" i="30"/>
  <c r="AM47" i="30"/>
  <c r="AN47" i="30"/>
  <c r="AQ47" i="30" s="1"/>
  <c r="AX147" i="5"/>
  <c r="BD117" i="30"/>
  <c r="BE117" i="30" s="1"/>
  <c r="AY147" i="5" s="1"/>
  <c r="BC118" i="30"/>
  <c r="V120" i="30"/>
  <c r="R122" i="35" s="1"/>
  <c r="X121" i="30"/>
  <c r="AJ120" i="30"/>
  <c r="Q121" i="35"/>
  <c r="AK119" i="30"/>
  <c r="AL49" i="35" l="1"/>
  <c r="L77" i="5" s="1"/>
  <c r="AM49" i="35"/>
  <c r="W48" i="30"/>
  <c r="AU47" i="30"/>
  <c r="AJ49" i="35"/>
  <c r="K77" i="5" s="1"/>
  <c r="AH76" i="5"/>
  <c r="AJ76" i="5"/>
  <c r="AO49" i="35"/>
  <c r="AT47" i="30"/>
  <c r="AQ49" i="35" s="1"/>
  <c r="O77" i="5" s="1"/>
  <c r="AK120" i="30"/>
  <c r="AJ121" i="30"/>
  <c r="Q122" i="35"/>
  <c r="V121" i="30"/>
  <c r="R123" i="35" s="1"/>
  <c r="X122" i="30"/>
  <c r="BD118" i="30"/>
  <c r="BE118" i="30" s="1"/>
  <c r="AY148" i="5" s="1"/>
  <c r="AX148" i="5"/>
  <c r="BC119" i="30"/>
  <c r="AC77" i="5" l="1"/>
  <c r="AM77" i="5" s="1"/>
  <c r="AK49" i="35"/>
  <c r="M77" i="5" s="1"/>
  <c r="Y77" i="5" s="1"/>
  <c r="AE48" i="30"/>
  <c r="Y48" i="30"/>
  <c r="Z48" i="30" s="1"/>
  <c r="AA48" i="30"/>
  <c r="AB48" i="30" s="1"/>
  <c r="X123" i="30"/>
  <c r="V122" i="30"/>
  <c r="R124" i="35" s="1"/>
  <c r="BD119" i="30"/>
  <c r="BE119" i="30" s="1"/>
  <c r="AY149" i="5" s="1"/>
  <c r="BC120" i="30"/>
  <c r="AX149" i="5"/>
  <c r="Q123" i="35"/>
  <c r="AJ122" i="30"/>
  <c r="AK121" i="30"/>
  <c r="AC48" i="30" l="1"/>
  <c r="AG48" i="30" s="1"/>
  <c r="AH48" i="30" s="1"/>
  <c r="AR50" i="35"/>
  <c r="Q78" i="5" s="1"/>
  <c r="AD48" i="30"/>
  <c r="AF48" i="30" s="1"/>
  <c r="X124" i="30"/>
  <c r="V123" i="30"/>
  <c r="R125" i="35" s="1"/>
  <c r="AK122" i="30"/>
  <c r="AJ123" i="30"/>
  <c r="Q124" i="35"/>
  <c r="BC121" i="30"/>
  <c r="BD120" i="30"/>
  <c r="BE120" i="30" s="1"/>
  <c r="AY150" i="5" s="1"/>
  <c r="AX150" i="5"/>
  <c r="AM48" i="30" l="1"/>
  <c r="AL48" i="30"/>
  <c r="AO48" i="30" s="1"/>
  <c r="AN48" i="30"/>
  <c r="AL77" i="5"/>
  <c r="AF77" i="5"/>
  <c r="AK123" i="30"/>
  <c r="BD121" i="30"/>
  <c r="BE121" i="30" s="1"/>
  <c r="AY151" i="5" s="1"/>
  <c r="BC122" i="30"/>
  <c r="AX151" i="5"/>
  <c r="AJ124" i="30"/>
  <c r="AK124" i="30" s="1"/>
  <c r="Q125" i="35"/>
  <c r="V124" i="30"/>
  <c r="R126" i="35" s="1"/>
  <c r="X125" i="30"/>
  <c r="AL50" i="35" l="1"/>
  <c r="L78" i="5" s="1"/>
  <c r="AM50" i="35"/>
  <c r="Q48" i="30"/>
  <c r="AR48" i="30"/>
  <c r="AP48" i="30"/>
  <c r="AH77" i="5"/>
  <c r="AJ77" i="5"/>
  <c r="AJ50" i="35"/>
  <c r="K78" i="5" s="1"/>
  <c r="W49" i="30"/>
  <c r="AU48" i="30"/>
  <c r="Q126" i="35"/>
  <c r="AJ125" i="30"/>
  <c r="AK125" i="30" s="1"/>
  <c r="X126" i="30"/>
  <c r="V125" i="30"/>
  <c r="R127" i="35" s="1"/>
  <c r="BD122" i="30"/>
  <c r="BE122" i="30" s="1"/>
  <c r="AY152" i="5" s="1"/>
  <c r="BC123" i="30"/>
  <c r="AX152" i="5"/>
  <c r="AC78" i="5" l="1"/>
  <c r="AM78" i="5" s="1"/>
  <c r="AK50" i="35"/>
  <c r="M78" i="5" s="1"/>
  <c r="Y78" i="5" s="1"/>
  <c r="AA49" i="30"/>
  <c r="AB49" i="30" s="1"/>
  <c r="Y49" i="30"/>
  <c r="Z49" i="30" s="1"/>
  <c r="AE49" i="30"/>
  <c r="AN50" i="35"/>
  <c r="AS48" i="30"/>
  <c r="AQ48" i="30"/>
  <c r="BD123" i="30"/>
  <c r="BE123" i="30" s="1"/>
  <c r="AY153" i="5" s="1"/>
  <c r="AX153" i="5"/>
  <c r="BC124" i="30"/>
  <c r="V126" i="30"/>
  <c r="R128" i="35" s="1"/>
  <c r="X127" i="30"/>
  <c r="Q127" i="35"/>
  <c r="AJ126" i="30"/>
  <c r="AK126" i="30" s="1"/>
  <c r="AC49" i="30" l="1"/>
  <c r="AG49" i="30" s="1"/>
  <c r="AH49" i="30" s="1"/>
  <c r="AO50" i="35"/>
  <c r="AT48" i="30"/>
  <c r="AQ50" i="35" s="1"/>
  <c r="O78" i="5" s="1"/>
  <c r="AR51" i="35"/>
  <c r="Q79" i="5" s="1"/>
  <c r="BC125" i="30"/>
  <c r="BD124" i="30"/>
  <c r="BE124" i="30" s="1"/>
  <c r="AY154" i="5" s="1"/>
  <c r="AX154" i="5"/>
  <c r="X128" i="30"/>
  <c r="V127" i="30"/>
  <c r="R129" i="35" s="1"/>
  <c r="AJ127" i="30"/>
  <c r="Q128" i="35"/>
  <c r="AN49" i="30" l="1"/>
  <c r="AM49" i="30"/>
  <c r="AU49" i="30" s="1"/>
  <c r="AD49" i="30"/>
  <c r="AF49" i="30" s="1"/>
  <c r="AL78" i="5"/>
  <c r="AF78" i="5"/>
  <c r="AL51" i="35"/>
  <c r="L79" i="5" s="1"/>
  <c r="AM51" i="35"/>
  <c r="AJ51" i="35"/>
  <c r="K79" i="5" s="1"/>
  <c r="AL49" i="30"/>
  <c r="AO49" i="30" s="1"/>
  <c r="Q129" i="35"/>
  <c r="AJ128" i="30"/>
  <c r="V128" i="30"/>
  <c r="R130" i="35" s="1"/>
  <c r="X129" i="30"/>
  <c r="BD125" i="30"/>
  <c r="BE125" i="30" s="1"/>
  <c r="AY155" i="5" s="1"/>
  <c r="AX155" i="5"/>
  <c r="BC126" i="30"/>
  <c r="AK127" i="30"/>
  <c r="W50" i="30" l="1"/>
  <c r="AA50" i="30" s="1"/>
  <c r="AB50" i="30" s="1"/>
  <c r="AK128" i="30"/>
  <c r="AK51" i="35"/>
  <c r="M79" i="5" s="1"/>
  <c r="Y79" i="5" s="1"/>
  <c r="AE50" i="30"/>
  <c r="AH78" i="5"/>
  <c r="AC79" i="5" s="1"/>
  <c r="AM79" i="5" s="1"/>
  <c r="AJ78" i="5"/>
  <c r="AP49" i="30"/>
  <c r="AR49" i="30"/>
  <c r="Q49" i="30"/>
  <c r="BC127" i="30"/>
  <c r="AX156" i="5"/>
  <c r="BD126" i="30"/>
  <c r="BE126" i="30" s="1"/>
  <c r="AY156" i="5" s="1"/>
  <c r="V129" i="30"/>
  <c r="R131" i="35" s="1"/>
  <c r="X130" i="30"/>
  <c r="AJ129" i="30"/>
  <c r="Q130" i="35"/>
  <c r="Y50" i="30" l="1"/>
  <c r="Z50" i="30" s="1"/>
  <c r="AC50" i="30" s="1"/>
  <c r="AG50" i="30" s="1"/>
  <c r="AH50" i="30" s="1"/>
  <c r="AS49" i="30"/>
  <c r="AN51" i="35"/>
  <c r="AQ49" i="30"/>
  <c r="AR52" i="35"/>
  <c r="Q80" i="5" s="1"/>
  <c r="Q131" i="35"/>
  <c r="AJ130" i="30"/>
  <c r="X131" i="30"/>
  <c r="V130" i="30"/>
  <c r="R132" i="35" s="1"/>
  <c r="BC128" i="30"/>
  <c r="BD127" i="30"/>
  <c r="BE127" i="30" s="1"/>
  <c r="AY157" i="5" s="1"/>
  <c r="AX157" i="5"/>
  <c r="AK129" i="30"/>
  <c r="AK130" i="30" s="1"/>
  <c r="AD50" i="30" l="1"/>
  <c r="AF50" i="30" s="1"/>
  <c r="AL79" i="5"/>
  <c r="AF79" i="5"/>
  <c r="AT49" i="30"/>
  <c r="AQ51" i="35" s="1"/>
  <c r="O79" i="5" s="1"/>
  <c r="AO51" i="35"/>
  <c r="AM50" i="30"/>
  <c r="AL50" i="30"/>
  <c r="AO50" i="30" s="1"/>
  <c r="AN50" i="30"/>
  <c r="BC129" i="30"/>
  <c r="BD128" i="30"/>
  <c r="BE128" i="30" s="1"/>
  <c r="AY158" i="5" s="1"/>
  <c r="AX158" i="5"/>
  <c r="V131" i="30"/>
  <c r="R133" i="35" s="1"/>
  <c r="X132" i="30"/>
  <c r="Q132" i="35"/>
  <c r="AJ131" i="30"/>
  <c r="AM52" i="35" l="1"/>
  <c r="AL52" i="35"/>
  <c r="L80" i="5" s="1"/>
  <c r="AR50" i="30"/>
  <c r="Q50" i="30"/>
  <c r="AP50" i="30"/>
  <c r="AH79" i="5"/>
  <c r="AJ79" i="5"/>
  <c r="AU50" i="30"/>
  <c r="W51" i="30"/>
  <c r="AJ52" i="35"/>
  <c r="K80" i="5" s="1"/>
  <c r="Q133" i="35"/>
  <c r="AJ132" i="30"/>
  <c r="X133" i="30"/>
  <c r="V132" i="30"/>
  <c r="R134" i="35" s="1"/>
  <c r="BD129" i="30"/>
  <c r="BE129" i="30" s="1"/>
  <c r="AY159" i="5" s="1"/>
  <c r="BC130" i="30"/>
  <c r="AX159" i="5"/>
  <c r="AK131" i="30"/>
  <c r="AC80" i="5" l="1"/>
  <c r="AM80" i="5" s="1"/>
  <c r="AK52" i="35"/>
  <c r="M80" i="5" s="1"/>
  <c r="Y80" i="5" s="1"/>
  <c r="AA51" i="30"/>
  <c r="AB51" i="30" s="1"/>
  <c r="AE51" i="30"/>
  <c r="Y51" i="30"/>
  <c r="Z51" i="30" s="1"/>
  <c r="AN52" i="35"/>
  <c r="AS50" i="30"/>
  <c r="AQ50" i="30"/>
  <c r="AK132" i="30"/>
  <c r="AX160" i="5"/>
  <c r="BC131" i="30"/>
  <c r="BD130" i="30"/>
  <c r="BE130" i="30" s="1"/>
  <c r="AY160" i="5" s="1"/>
  <c r="V133" i="30"/>
  <c r="R135" i="35" s="1"/>
  <c r="X134" i="30"/>
  <c r="Q134" i="35"/>
  <c r="AJ133" i="30"/>
  <c r="AT50" i="30" l="1"/>
  <c r="AQ52" i="35" s="1"/>
  <c r="O80" i="5" s="1"/>
  <c r="AO52" i="35"/>
  <c r="AC51" i="30"/>
  <c r="AR53" i="35"/>
  <c r="Q81" i="5" s="1"/>
  <c r="Q135" i="35"/>
  <c r="AJ134" i="30"/>
  <c r="X135" i="30"/>
  <c r="V134" i="30"/>
  <c r="R136" i="35" s="1"/>
  <c r="BD131" i="30"/>
  <c r="BE131" i="30" s="1"/>
  <c r="AY161" i="5" s="1"/>
  <c r="AX161" i="5"/>
  <c r="BC132" i="30"/>
  <c r="AK133" i="30"/>
  <c r="AK134" i="30" s="1"/>
  <c r="AL80" i="5" l="1"/>
  <c r="AF80" i="5"/>
  <c r="AG51" i="30"/>
  <c r="AH51" i="30" s="1"/>
  <c r="AD51" i="30"/>
  <c r="AF51" i="30" s="1"/>
  <c r="BD132" i="30"/>
  <c r="BE132" i="30" s="1"/>
  <c r="AY162" i="5" s="1"/>
  <c r="AX162" i="5"/>
  <c r="BC133" i="30"/>
  <c r="X136" i="30"/>
  <c r="V135" i="30"/>
  <c r="R137" i="35" s="1"/>
  <c r="AJ135" i="30"/>
  <c r="Q136" i="35"/>
  <c r="AN51" i="30" l="1"/>
  <c r="AM51" i="30"/>
  <c r="AL51" i="30"/>
  <c r="AO51" i="30" s="1"/>
  <c r="AH80" i="5"/>
  <c r="AJ80" i="5"/>
  <c r="V136" i="30"/>
  <c r="R138" i="35" s="1"/>
  <c r="X137" i="30"/>
  <c r="BD133" i="30"/>
  <c r="BE133" i="30" s="1"/>
  <c r="AY163" i="5" s="1"/>
  <c r="AX163" i="5"/>
  <c r="BC134" i="30"/>
  <c r="AJ136" i="30"/>
  <c r="Q137" i="35"/>
  <c r="AK135" i="30"/>
  <c r="Q51" i="30" l="1"/>
  <c r="AR51" i="30"/>
  <c r="AP51" i="30"/>
  <c r="W52" i="30"/>
  <c r="AU51" i="30"/>
  <c r="AJ53" i="35"/>
  <c r="K81" i="5" s="1"/>
  <c r="AM53" i="35"/>
  <c r="AL53" i="35"/>
  <c r="AK136" i="30"/>
  <c r="AJ137" i="30"/>
  <c r="Q138" i="35"/>
  <c r="BC135" i="30"/>
  <c r="BD134" i="30"/>
  <c r="BE134" i="30" s="1"/>
  <c r="AY164" i="5" s="1"/>
  <c r="AX164" i="5"/>
  <c r="V137" i="30"/>
  <c r="R139" i="35" s="1"/>
  <c r="X138" i="30"/>
  <c r="L81" i="5" l="1"/>
  <c r="AC81" i="5" s="1"/>
  <c r="AM81" i="5" s="1"/>
  <c r="Y52" i="30"/>
  <c r="Z52" i="30" s="1"/>
  <c r="AE52" i="30"/>
  <c r="AA52" i="30"/>
  <c r="AB52" i="30" s="1"/>
  <c r="AS51" i="30"/>
  <c r="AN53" i="35"/>
  <c r="AQ51" i="30"/>
  <c r="AK53" i="35"/>
  <c r="M81" i="5" s="1"/>
  <c r="Y81" i="5" s="1"/>
  <c r="X139" i="30"/>
  <c r="V138" i="30"/>
  <c r="R140" i="35" s="1"/>
  <c r="BD135" i="30"/>
  <c r="BE135" i="30" s="1"/>
  <c r="AY165" i="5" s="1"/>
  <c r="AX165" i="5"/>
  <c r="BC136" i="30"/>
  <c r="AJ138" i="30"/>
  <c r="Q139" i="35"/>
  <c r="AK137" i="30"/>
  <c r="AK138" i="30" s="1"/>
  <c r="AC52" i="30" l="1"/>
  <c r="AT51" i="30"/>
  <c r="AQ53" i="35" s="1"/>
  <c r="O81" i="5" s="1"/>
  <c r="AO53" i="35"/>
  <c r="AR54" i="35"/>
  <c r="Q82" i="5" s="1"/>
  <c r="AD52" i="30"/>
  <c r="AF52" i="30" s="1"/>
  <c r="AG52" i="30"/>
  <c r="AH52" i="30" s="1"/>
  <c r="AN52" i="30" s="1"/>
  <c r="AM52" i="30"/>
  <c r="Q140" i="35"/>
  <c r="AJ139" i="30"/>
  <c r="BD136" i="30"/>
  <c r="BE136" i="30" s="1"/>
  <c r="AY166" i="5" s="1"/>
  <c r="BC137" i="30"/>
  <c r="AX166" i="5"/>
  <c r="V139" i="30"/>
  <c r="R141" i="35" s="1"/>
  <c r="X140" i="30"/>
  <c r="AL52" i="30" l="1"/>
  <c r="AO52" i="30" s="1"/>
  <c r="AP52" i="30" s="1"/>
  <c r="AQ52" i="30" s="1"/>
  <c r="AS52" i="30"/>
  <c r="W53" i="30"/>
  <c r="AJ54" i="35"/>
  <c r="K82" i="5" s="1"/>
  <c r="AU52" i="30"/>
  <c r="AL81" i="5"/>
  <c r="AF81" i="5"/>
  <c r="AL54" i="35"/>
  <c r="L82" i="5" s="1"/>
  <c r="AM54" i="35"/>
  <c r="AR52" i="30"/>
  <c r="V140" i="30"/>
  <c r="R142" i="35" s="1"/>
  <c r="X141" i="30"/>
  <c r="BC138" i="30"/>
  <c r="BD137" i="30"/>
  <c r="BE137" i="30" s="1"/>
  <c r="AY167" i="5" s="1"/>
  <c r="AX167" i="5"/>
  <c r="AJ140" i="30"/>
  <c r="Q141" i="35"/>
  <c r="AK139" i="30"/>
  <c r="Q52" i="30" l="1"/>
  <c r="AN54" i="35"/>
  <c r="AA53" i="30"/>
  <c r="AB53" i="30" s="1"/>
  <c r="AE53" i="30"/>
  <c r="Y53" i="30"/>
  <c r="Z53" i="30" s="1"/>
  <c r="AO54" i="35"/>
  <c r="AT52" i="30"/>
  <c r="AQ54" i="35" s="1"/>
  <c r="O82" i="5" s="1"/>
  <c r="AH81" i="5"/>
  <c r="AC82" i="5" s="1"/>
  <c r="AM82" i="5" s="1"/>
  <c r="AJ81" i="5"/>
  <c r="AK54" i="35"/>
  <c r="M82" i="5" s="1"/>
  <c r="Y82" i="5" s="1"/>
  <c r="AK140" i="30"/>
  <c r="AJ141" i="30"/>
  <c r="Q142" i="35"/>
  <c r="AX168" i="5"/>
  <c r="BD138" i="30"/>
  <c r="BE138" i="30" s="1"/>
  <c r="AY168" i="5" s="1"/>
  <c r="BC139" i="30"/>
  <c r="V141" i="30"/>
  <c r="R143" i="35" s="1"/>
  <c r="X142" i="30"/>
  <c r="AC53" i="30" l="1"/>
  <c r="AD53" i="30" s="1"/>
  <c r="AF53" i="30" s="1"/>
  <c r="AR55" i="35"/>
  <c r="Q83" i="5" s="1"/>
  <c r="BC140" i="30"/>
  <c r="BD139" i="30"/>
  <c r="BE139" i="30" s="1"/>
  <c r="AY169" i="5" s="1"/>
  <c r="AX169" i="5"/>
  <c r="V142" i="30"/>
  <c r="R144" i="35" s="1"/>
  <c r="X143" i="30"/>
  <c r="AJ142" i="30"/>
  <c r="Q143" i="35"/>
  <c r="AK141" i="30"/>
  <c r="AK142" i="30" s="1"/>
  <c r="AG53" i="30" l="1"/>
  <c r="AH53" i="30" s="1"/>
  <c r="AL53" i="30" s="1"/>
  <c r="AO53" i="30" s="1"/>
  <c r="AL82" i="5"/>
  <c r="AF82" i="5"/>
  <c r="AN53" i="30"/>
  <c r="AJ143" i="30"/>
  <c r="Q144" i="35"/>
  <c r="V143" i="30"/>
  <c r="R145" i="35" s="1"/>
  <c r="X144" i="30"/>
  <c r="BC141" i="30"/>
  <c r="BD140" i="30"/>
  <c r="BE140" i="30" s="1"/>
  <c r="AY170" i="5" s="1"/>
  <c r="AX170" i="5"/>
  <c r="AM53" i="30" l="1"/>
  <c r="W54" i="30" s="1"/>
  <c r="AM55" i="35"/>
  <c r="AL55" i="35"/>
  <c r="L83" i="5" s="1"/>
  <c r="AH82" i="5"/>
  <c r="AJ82" i="5"/>
  <c r="AR53" i="30"/>
  <c r="Q53" i="30"/>
  <c r="AP53" i="30"/>
  <c r="BC142" i="30"/>
  <c r="BD141" i="30"/>
  <c r="BE141" i="30" s="1"/>
  <c r="AY171" i="5" s="1"/>
  <c r="AX171" i="5"/>
  <c r="V144" i="30"/>
  <c r="R146" i="35" s="1"/>
  <c r="X145" i="30"/>
  <c r="Q145" i="35"/>
  <c r="AJ144" i="30"/>
  <c r="AK143" i="30"/>
  <c r="AJ55" i="35" l="1"/>
  <c r="K83" i="5" s="1"/>
  <c r="AU53" i="30"/>
  <c r="AC83" i="5"/>
  <c r="AM83" i="5" s="1"/>
  <c r="AS53" i="30"/>
  <c r="AN55" i="35"/>
  <c r="AQ53" i="30"/>
  <c r="AK55" i="35"/>
  <c r="M83" i="5" s="1"/>
  <c r="Y83" i="5" s="1"/>
  <c r="AE54" i="30"/>
  <c r="Y54" i="30"/>
  <c r="Z54" i="30" s="1"/>
  <c r="AA54" i="30"/>
  <c r="AB54" i="30" s="1"/>
  <c r="AK144" i="30"/>
  <c r="Q146" i="35"/>
  <c r="AJ145" i="30"/>
  <c r="X146" i="30"/>
  <c r="V145" i="30"/>
  <c r="R147" i="35" s="1"/>
  <c r="BD142" i="30"/>
  <c r="BE142" i="30" s="1"/>
  <c r="AY172" i="5" s="1"/>
  <c r="AX172" i="5"/>
  <c r="BC143" i="30"/>
  <c r="AC54" i="30" l="1"/>
  <c r="AD54" i="30" s="1"/>
  <c r="AF54" i="30" s="1"/>
  <c r="AR56" i="35"/>
  <c r="Q84" i="5" s="1"/>
  <c r="AO55" i="35"/>
  <c r="AT53" i="30"/>
  <c r="AQ55" i="35" s="1"/>
  <c r="O83" i="5" s="1"/>
  <c r="BC144" i="30"/>
  <c r="BD143" i="30"/>
  <c r="BE143" i="30" s="1"/>
  <c r="AY173" i="5" s="1"/>
  <c r="AX173" i="5"/>
  <c r="X147" i="30"/>
  <c r="V146" i="30"/>
  <c r="R148" i="35" s="1"/>
  <c r="Q147" i="35"/>
  <c r="AJ146" i="30"/>
  <c r="AK145" i="30"/>
  <c r="AG54" i="30" l="1"/>
  <c r="AH54" i="30" s="1"/>
  <c r="AL54" i="30" s="1"/>
  <c r="AO54" i="30" s="1"/>
  <c r="AP54" i="30" s="1"/>
  <c r="AS54" i="30" s="1"/>
  <c r="AL83" i="5"/>
  <c r="AF83" i="5"/>
  <c r="Q54" i="30"/>
  <c r="AM54" i="30"/>
  <c r="AJ147" i="30"/>
  <c r="Q148" i="35"/>
  <c r="AK146" i="30"/>
  <c r="AK147" i="30" s="1"/>
  <c r="V147" i="30"/>
  <c r="R149" i="35" s="1"/>
  <c r="X148" i="30"/>
  <c r="BD144" i="30"/>
  <c r="BE144" i="30" s="1"/>
  <c r="AY174" i="5" s="1"/>
  <c r="AX174" i="5"/>
  <c r="BC145" i="30"/>
  <c r="AN54" i="30" l="1"/>
  <c r="AQ54" i="30" s="1"/>
  <c r="AR54" i="30"/>
  <c r="AN56" i="35"/>
  <c r="W55" i="30"/>
  <c r="AU54" i="30"/>
  <c r="AJ56" i="35"/>
  <c r="K84" i="5" s="1"/>
  <c r="AM56" i="35"/>
  <c r="AH83" i="5"/>
  <c r="AJ83" i="5"/>
  <c r="AT54" i="30"/>
  <c r="AQ56" i="35" s="1"/>
  <c r="O84" i="5" s="1"/>
  <c r="AO56" i="35"/>
  <c r="BD145" i="30"/>
  <c r="BE145" i="30" s="1"/>
  <c r="AY175" i="5" s="1"/>
  <c r="AX175" i="5"/>
  <c r="BC146" i="30"/>
  <c r="V148" i="30"/>
  <c r="R150" i="35" s="1"/>
  <c r="X149" i="30"/>
  <c r="Q149" i="35"/>
  <c r="AJ148" i="30"/>
  <c r="AL56" i="35" l="1"/>
  <c r="L84" i="5" s="1"/>
  <c r="AC84" i="5" s="1"/>
  <c r="AM84" i="5" s="1"/>
  <c r="Y55" i="30"/>
  <c r="Z55" i="30" s="1"/>
  <c r="AE55" i="30"/>
  <c r="AA55" i="30"/>
  <c r="AB55" i="30" s="1"/>
  <c r="AC55" i="30" s="1"/>
  <c r="AK56" i="35"/>
  <c r="M84" i="5" s="1"/>
  <c r="Y84" i="5" s="1"/>
  <c r="Q150" i="35"/>
  <c r="AJ149" i="30"/>
  <c r="AK148" i="30"/>
  <c r="X150" i="30"/>
  <c r="V149" i="30"/>
  <c r="R151" i="35" s="1"/>
  <c r="BD146" i="30"/>
  <c r="BE146" i="30" s="1"/>
  <c r="AY176" i="5" s="1"/>
  <c r="BC147" i="30"/>
  <c r="AX176" i="5"/>
  <c r="AK149" i="30" l="1"/>
  <c r="AR57" i="35"/>
  <c r="Q85" i="5" s="1"/>
  <c r="AD55" i="30"/>
  <c r="AF55" i="30" s="1"/>
  <c r="AG55" i="30"/>
  <c r="AH55" i="30" s="1"/>
  <c r="V150" i="30"/>
  <c r="R152" i="35" s="1"/>
  <c r="X151" i="30"/>
  <c r="BD147" i="30"/>
  <c r="BE147" i="30" s="1"/>
  <c r="AY177" i="5" s="1"/>
  <c r="AX177" i="5"/>
  <c r="BC148" i="30"/>
  <c r="Q151" i="35"/>
  <c r="AJ150" i="30"/>
  <c r="AM55" i="30" l="1"/>
  <c r="AL55" i="30"/>
  <c r="AO55" i="30" s="1"/>
  <c r="AN55" i="30"/>
  <c r="AL84" i="5"/>
  <c r="AF84" i="5"/>
  <c r="Q152" i="35"/>
  <c r="AJ151" i="30"/>
  <c r="BD148" i="30"/>
  <c r="BE148" i="30" s="1"/>
  <c r="AY178" i="5" s="1"/>
  <c r="AX178" i="5"/>
  <c r="BC149" i="30"/>
  <c r="AK150" i="30"/>
  <c r="AK151" i="30" s="1"/>
  <c r="V151" i="30"/>
  <c r="R153" i="35" s="1"/>
  <c r="X152" i="30"/>
  <c r="AM57" i="35" l="1"/>
  <c r="AL57" i="35"/>
  <c r="AH84" i="5"/>
  <c r="AJ84" i="5"/>
  <c r="AR55" i="30"/>
  <c r="Q55" i="30"/>
  <c r="AP55" i="30"/>
  <c r="AU55" i="30"/>
  <c r="AJ57" i="35"/>
  <c r="K85" i="5" s="1"/>
  <c r="W56" i="30"/>
  <c r="V152" i="30"/>
  <c r="R154" i="35" s="1"/>
  <c r="X153" i="30"/>
  <c r="AX179" i="5"/>
  <c r="BD149" i="30"/>
  <c r="BE149" i="30" s="1"/>
  <c r="AY179" i="5" s="1"/>
  <c r="BC150" i="30"/>
  <c r="Q153" i="35"/>
  <c r="AJ152" i="30"/>
  <c r="L85" i="5" l="1"/>
  <c r="AC85" i="5" s="1"/>
  <c r="AM85" i="5" s="1"/>
  <c r="AS55" i="30"/>
  <c r="AN57" i="35"/>
  <c r="AQ55" i="30"/>
  <c r="Y56" i="30"/>
  <c r="Z56" i="30" s="1"/>
  <c r="AE56" i="30"/>
  <c r="AA56" i="30"/>
  <c r="AB56" i="30" s="1"/>
  <c r="AK57" i="35"/>
  <c r="M85" i="5" s="1"/>
  <c r="Y85" i="5" s="1"/>
  <c r="AX180" i="5"/>
  <c r="BC151" i="30"/>
  <c r="BD150" i="30"/>
  <c r="BE150" i="30" s="1"/>
  <c r="AY180" i="5" s="1"/>
  <c r="V153" i="30"/>
  <c r="R155" i="35" s="1"/>
  <c r="X154" i="30"/>
  <c r="AJ153" i="30"/>
  <c r="Q154" i="35"/>
  <c r="AK152" i="30"/>
  <c r="AK153" i="30" s="1"/>
  <c r="AC56" i="30" l="1"/>
  <c r="AG56" i="30" s="1"/>
  <c r="AH56" i="30" s="1"/>
  <c r="AL56" i="30" s="1"/>
  <c r="AO56" i="30" s="1"/>
  <c r="AR58" i="35"/>
  <c r="Q86" i="5" s="1"/>
  <c r="AT55" i="30"/>
  <c r="AQ57" i="35" s="1"/>
  <c r="O85" i="5" s="1"/>
  <c r="AO57" i="35"/>
  <c r="Q155" i="35"/>
  <c r="AJ154" i="30"/>
  <c r="V154" i="30"/>
  <c r="R156" i="35" s="1"/>
  <c r="X155" i="30"/>
  <c r="AK154" i="30"/>
  <c r="BD151" i="30"/>
  <c r="BE151" i="30" s="1"/>
  <c r="AY181" i="5" s="1"/>
  <c r="AX181" i="5"/>
  <c r="BC152" i="30"/>
  <c r="AD56" i="30" l="1"/>
  <c r="AF56" i="30" s="1"/>
  <c r="AR56" i="30"/>
  <c r="Q56" i="30"/>
  <c r="AP56" i="30"/>
  <c r="AL85" i="5"/>
  <c r="AF85" i="5"/>
  <c r="AM56" i="30"/>
  <c r="AN56" i="30"/>
  <c r="V155" i="30"/>
  <c r="R157" i="35" s="1"/>
  <c r="X156" i="30"/>
  <c r="BD152" i="30"/>
  <c r="BE152" i="30" s="1"/>
  <c r="AY182" i="5" s="1"/>
  <c r="AX182" i="5"/>
  <c r="BC153" i="30"/>
  <c r="Q156" i="35"/>
  <c r="AJ155" i="30"/>
  <c r="AL58" i="35" l="1"/>
  <c r="L86" i="5" s="1"/>
  <c r="AM58" i="35"/>
  <c r="W57" i="30"/>
  <c r="AU56" i="30"/>
  <c r="AJ58" i="35"/>
  <c r="K86" i="5" s="1"/>
  <c r="AN58" i="35"/>
  <c r="AS56" i="30"/>
  <c r="AQ56" i="30"/>
  <c r="AH85" i="5"/>
  <c r="AJ85" i="5"/>
  <c r="BD153" i="30"/>
  <c r="BE153" i="30" s="1"/>
  <c r="AY183" i="5" s="1"/>
  <c r="BC154" i="30"/>
  <c r="AX183" i="5"/>
  <c r="V156" i="30"/>
  <c r="R158" i="35" s="1"/>
  <c r="X157" i="30"/>
  <c r="Q157" i="35"/>
  <c r="AJ156" i="30"/>
  <c r="AK155" i="30"/>
  <c r="AC86" i="5" l="1"/>
  <c r="AM86" i="5" s="1"/>
  <c r="AO58" i="35"/>
  <c r="AT56" i="30"/>
  <c r="AQ58" i="35" s="1"/>
  <c r="O86" i="5" s="1"/>
  <c r="AE57" i="30"/>
  <c r="Y57" i="30"/>
  <c r="Z57" i="30" s="1"/>
  <c r="AA57" i="30"/>
  <c r="AB57" i="30" s="1"/>
  <c r="AK58" i="35"/>
  <c r="M86" i="5" s="1"/>
  <c r="Y86" i="5" s="1"/>
  <c r="AK156" i="30"/>
  <c r="Q158" i="35"/>
  <c r="AJ157" i="30"/>
  <c r="V157" i="30"/>
  <c r="R159" i="35" s="1"/>
  <c r="X158" i="30"/>
  <c r="BD154" i="30"/>
  <c r="BE154" i="30" s="1"/>
  <c r="AY184" i="5" s="1"/>
  <c r="AX184" i="5"/>
  <c r="BC155" i="30"/>
  <c r="AC57" i="30" l="1"/>
  <c r="AG57" i="30" s="1"/>
  <c r="AH57" i="30" s="1"/>
  <c r="AR59" i="35"/>
  <c r="Q87" i="5" s="1"/>
  <c r="AD57" i="30"/>
  <c r="AF57" i="30" s="1"/>
  <c r="BC156" i="30"/>
  <c r="AX185" i="5"/>
  <c r="BD155" i="30"/>
  <c r="BE155" i="30" s="1"/>
  <c r="AY185" i="5" s="1"/>
  <c r="V158" i="30"/>
  <c r="R160" i="35" s="1"/>
  <c r="X159" i="30"/>
  <c r="Q159" i="35"/>
  <c r="AJ158" i="30"/>
  <c r="AK157" i="30"/>
  <c r="AK158" i="30" s="1"/>
  <c r="AM57" i="30" l="1"/>
  <c r="AN57" i="30"/>
  <c r="AL57" i="30"/>
  <c r="AO57" i="30" s="1"/>
  <c r="AL86" i="5"/>
  <c r="AF86" i="5"/>
  <c r="Q160" i="35"/>
  <c r="AJ159" i="30"/>
  <c r="X160" i="30"/>
  <c r="V159" i="30"/>
  <c r="R161" i="35" s="1"/>
  <c r="BD156" i="30"/>
  <c r="BE156" i="30" s="1"/>
  <c r="AY186" i="5" s="1"/>
  <c r="BC157" i="30"/>
  <c r="AX186" i="5"/>
  <c r="AJ86" i="5" l="1"/>
  <c r="AH86" i="5"/>
  <c r="Q57" i="30"/>
  <c r="AR57" i="30"/>
  <c r="AP57" i="30"/>
  <c r="AM59" i="35"/>
  <c r="AL59" i="35"/>
  <c r="W58" i="30"/>
  <c r="AJ59" i="35"/>
  <c r="K87" i="5" s="1"/>
  <c r="AU57" i="30"/>
  <c r="V160" i="30"/>
  <c r="R162" i="35" s="1"/>
  <c r="X161" i="30"/>
  <c r="BD157" i="30"/>
  <c r="BE157" i="30" s="1"/>
  <c r="AY187" i="5" s="1"/>
  <c r="AX187" i="5"/>
  <c r="BC158" i="30"/>
  <c r="Q161" i="35"/>
  <c r="AJ160" i="30"/>
  <c r="AK159" i="30"/>
  <c r="L87" i="5" l="1"/>
  <c r="AC87" i="5" s="1"/>
  <c r="AM87" i="5" s="1"/>
  <c r="AK59" i="35"/>
  <c r="M87" i="5" s="1"/>
  <c r="Y87" i="5" s="1"/>
  <c r="AS57" i="30"/>
  <c r="AN59" i="35"/>
  <c r="AQ57" i="30"/>
  <c r="AE58" i="30"/>
  <c r="Y58" i="30"/>
  <c r="Z58" i="30" s="1"/>
  <c r="AA58" i="30"/>
  <c r="AB58" i="30" s="1"/>
  <c r="AK160" i="30"/>
  <c r="BC159" i="30"/>
  <c r="BD158" i="30"/>
  <c r="BE158" i="30" s="1"/>
  <c r="AY188" i="5" s="1"/>
  <c r="AX188" i="5"/>
  <c r="V161" i="30"/>
  <c r="R163" i="35" s="1"/>
  <c r="X162" i="30"/>
  <c r="Q162" i="35"/>
  <c r="AJ161" i="30"/>
  <c r="AC58" i="30" l="1"/>
  <c r="AD58" i="30"/>
  <c r="AF58" i="30" s="1"/>
  <c r="AG58" i="30"/>
  <c r="AH58" i="30" s="1"/>
  <c r="AN58" i="30" s="1"/>
  <c r="AO59" i="35"/>
  <c r="AT57" i="30"/>
  <c r="AQ59" i="35" s="1"/>
  <c r="O87" i="5" s="1"/>
  <c r="AR60" i="35"/>
  <c r="Q88" i="5" s="1"/>
  <c r="AM58" i="30"/>
  <c r="AL58" i="30"/>
  <c r="AO58" i="30" s="1"/>
  <c r="AP58" i="30" s="1"/>
  <c r="Q163" i="35"/>
  <c r="AJ162" i="30"/>
  <c r="AK161" i="30"/>
  <c r="X163" i="30"/>
  <c r="V162" i="30"/>
  <c r="R164" i="35" s="1"/>
  <c r="BD159" i="30"/>
  <c r="BE159" i="30" s="1"/>
  <c r="AY189" i="5" s="1"/>
  <c r="BC160" i="30"/>
  <c r="AX189" i="5"/>
  <c r="AN60" i="35" l="1"/>
  <c r="AS58" i="30"/>
  <c r="AQ58" i="30"/>
  <c r="W59" i="30"/>
  <c r="AJ60" i="35"/>
  <c r="K88" i="5" s="1"/>
  <c r="AU58" i="30"/>
  <c r="AL87" i="5"/>
  <c r="AF87" i="5"/>
  <c r="AL60" i="35"/>
  <c r="L88" i="5" s="1"/>
  <c r="AM60" i="35"/>
  <c r="Q58" i="30"/>
  <c r="AR58" i="30"/>
  <c r="AA59" i="30"/>
  <c r="AB59" i="30" s="1"/>
  <c r="AK162" i="30"/>
  <c r="BC161" i="30"/>
  <c r="BD160" i="30"/>
  <c r="BE160" i="30" s="1"/>
  <c r="AY190" i="5" s="1"/>
  <c r="AX190" i="5"/>
  <c r="V163" i="30"/>
  <c r="R165" i="35" s="1"/>
  <c r="X164" i="30"/>
  <c r="Q164" i="35"/>
  <c r="AJ163" i="30"/>
  <c r="AK163" i="30" s="1"/>
  <c r="AH87" i="5" l="1"/>
  <c r="AC88" i="5" s="1"/>
  <c r="AM88" i="5" s="1"/>
  <c r="AJ87" i="5"/>
  <c r="Y59" i="30"/>
  <c r="Z59" i="30" s="1"/>
  <c r="AC59" i="30" s="1"/>
  <c r="AE59" i="30"/>
  <c r="AT58" i="30"/>
  <c r="AQ60" i="35" s="1"/>
  <c r="O88" i="5" s="1"/>
  <c r="AO60" i="35"/>
  <c r="AK60" i="35"/>
  <c r="M88" i="5" s="1"/>
  <c r="Y88" i="5" s="1"/>
  <c r="X165" i="30"/>
  <c r="V164" i="30"/>
  <c r="R166" i="35" s="1"/>
  <c r="Q165" i="35"/>
  <c r="AJ164" i="30"/>
  <c r="BD161" i="30"/>
  <c r="BE161" i="30" s="1"/>
  <c r="AY191" i="5" s="1"/>
  <c r="AX191" i="5"/>
  <c r="BC162" i="30"/>
  <c r="AG59" i="30" l="1"/>
  <c r="AH59" i="30" s="1"/>
  <c r="AD59" i="30"/>
  <c r="AF59" i="30" s="1"/>
  <c r="AR61" i="35"/>
  <c r="Q89" i="5" s="1"/>
  <c r="BC163" i="30"/>
  <c r="BD162" i="30"/>
  <c r="BE162" i="30" s="1"/>
  <c r="AY192" i="5" s="1"/>
  <c r="AX192" i="5"/>
  <c r="Q166" i="35"/>
  <c r="AJ165" i="30"/>
  <c r="V165" i="30"/>
  <c r="R167" i="35" s="1"/>
  <c r="X166" i="30"/>
  <c r="AK164" i="30"/>
  <c r="AK165" i="30" s="1"/>
  <c r="AL88" i="5" l="1"/>
  <c r="AF88" i="5"/>
  <c r="AN59" i="30"/>
  <c r="AM59" i="30"/>
  <c r="AL59" i="30"/>
  <c r="AO59" i="30" s="1"/>
  <c r="AJ166" i="30"/>
  <c r="Q167" i="35"/>
  <c r="V166" i="30"/>
  <c r="R168" i="35" s="1"/>
  <c r="X167" i="30"/>
  <c r="BD163" i="30"/>
  <c r="BE163" i="30" s="1"/>
  <c r="AY193" i="5" s="1"/>
  <c r="BC164" i="30"/>
  <c r="AX193" i="5"/>
  <c r="AU59" i="30" l="1"/>
  <c r="AJ61" i="35"/>
  <c r="K89" i="5" s="1"/>
  <c r="W60" i="30"/>
  <c r="AL61" i="35"/>
  <c r="AM61" i="35"/>
  <c r="AH88" i="5"/>
  <c r="AJ88" i="5"/>
  <c r="Q59" i="30"/>
  <c r="AR59" i="30"/>
  <c r="AP59" i="30"/>
  <c r="V167" i="30"/>
  <c r="R169" i="35" s="1"/>
  <c r="X168" i="30"/>
  <c r="Q168" i="35"/>
  <c r="AJ167" i="30"/>
  <c r="BD164" i="30"/>
  <c r="BE164" i="30" s="1"/>
  <c r="AY194" i="5" s="1"/>
  <c r="AX194" i="5"/>
  <c r="BC165" i="30"/>
  <c r="AK166" i="30"/>
  <c r="AK167" i="30" s="1"/>
  <c r="L89" i="5" l="1"/>
  <c r="AC89" i="5" s="1"/>
  <c r="AM89" i="5" s="1"/>
  <c r="AA60" i="30"/>
  <c r="AB60" i="30" s="1"/>
  <c r="Y60" i="30"/>
  <c r="Z60" i="30" s="1"/>
  <c r="AE60" i="30"/>
  <c r="AS59" i="30"/>
  <c r="AN61" i="35"/>
  <c r="AQ59" i="30"/>
  <c r="AK61" i="35"/>
  <c r="M89" i="5" s="1"/>
  <c r="Y89" i="5" s="1"/>
  <c r="AJ168" i="30"/>
  <c r="Q169" i="35"/>
  <c r="BD165" i="30"/>
  <c r="BE165" i="30" s="1"/>
  <c r="AY195" i="5" s="1"/>
  <c r="AX195" i="5"/>
  <c r="BC166" i="30"/>
  <c r="V168" i="30"/>
  <c r="R170" i="35" s="1"/>
  <c r="X169" i="30"/>
  <c r="AC60" i="30" l="1"/>
  <c r="AR62" i="35"/>
  <c r="Q90" i="5" s="1"/>
  <c r="AT59" i="30"/>
  <c r="AQ61" i="35" s="1"/>
  <c r="O89" i="5" s="1"/>
  <c r="AO61" i="35"/>
  <c r="AG60" i="30"/>
  <c r="AH60" i="30" s="1"/>
  <c r="AD60" i="30"/>
  <c r="AF60" i="30" s="1"/>
  <c r="BC167" i="30"/>
  <c r="BD166" i="30"/>
  <c r="BE166" i="30" s="1"/>
  <c r="AY196" i="5" s="1"/>
  <c r="AX196" i="5"/>
  <c r="Q170" i="35"/>
  <c r="AJ169" i="30"/>
  <c r="V169" i="30"/>
  <c r="R171" i="35" s="1"/>
  <c r="X170" i="30"/>
  <c r="AK168" i="30"/>
  <c r="AK169" i="30" l="1"/>
  <c r="AL60" i="30"/>
  <c r="AO60" i="30" s="1"/>
  <c r="AN60" i="30"/>
  <c r="AM60" i="30"/>
  <c r="AL89" i="5"/>
  <c r="AF89" i="5"/>
  <c r="V170" i="30"/>
  <c r="R172" i="35" s="1"/>
  <c r="X171" i="30"/>
  <c r="AJ170" i="30"/>
  <c r="Q171" i="35"/>
  <c r="BD167" i="30"/>
  <c r="BE167" i="30" s="1"/>
  <c r="AY197" i="5" s="1"/>
  <c r="AX197" i="5"/>
  <c r="BC168" i="30"/>
  <c r="AJ62" i="35" l="1"/>
  <c r="K90" i="5" s="1"/>
  <c r="AU60" i="30"/>
  <c r="W61" i="30"/>
  <c r="AL62" i="35"/>
  <c r="AM62" i="35"/>
  <c r="AJ89" i="5"/>
  <c r="AH89" i="5"/>
  <c r="Q60" i="30"/>
  <c r="AR60" i="30"/>
  <c r="AP60" i="30"/>
  <c r="BD168" i="30"/>
  <c r="BE168" i="30" s="1"/>
  <c r="AY198" i="5" s="1"/>
  <c r="AX198" i="5"/>
  <c r="BC169" i="30"/>
  <c r="AJ171" i="30"/>
  <c r="Q172" i="35"/>
  <c r="X172" i="30"/>
  <c r="V171" i="30"/>
  <c r="R173" i="35" s="1"/>
  <c r="AK170" i="30"/>
  <c r="L90" i="5" l="1"/>
  <c r="AC90" i="5" s="1"/>
  <c r="AM90" i="5" s="1"/>
  <c r="AA61" i="30"/>
  <c r="AB61" i="30" s="1"/>
  <c r="Y61" i="30"/>
  <c r="Z61" i="30" s="1"/>
  <c r="AE61" i="30"/>
  <c r="AS60" i="30"/>
  <c r="AQ60" i="30"/>
  <c r="AN62" i="35"/>
  <c r="AK62" i="35"/>
  <c r="M90" i="5" s="1"/>
  <c r="Y90" i="5" s="1"/>
  <c r="AK171" i="30"/>
  <c r="V172" i="30"/>
  <c r="R174" i="35" s="1"/>
  <c r="X173" i="30"/>
  <c r="Q173" i="35"/>
  <c r="AJ172" i="30"/>
  <c r="AX199" i="5"/>
  <c r="BD169" i="30"/>
  <c r="BE169" i="30" s="1"/>
  <c r="AY199" i="5" s="1"/>
  <c r="BC170" i="30"/>
  <c r="AC61" i="30" l="1"/>
  <c r="AT60" i="30"/>
  <c r="AQ62" i="35" s="1"/>
  <c r="O90" i="5" s="1"/>
  <c r="AO62" i="35"/>
  <c r="AR63" i="35"/>
  <c r="Q91" i="5" s="1"/>
  <c r="AM61" i="30"/>
  <c r="AG61" i="30"/>
  <c r="AH61" i="30" s="1"/>
  <c r="AD61" i="30"/>
  <c r="AF61" i="30" s="1"/>
  <c r="AX200" i="5"/>
  <c r="BC171" i="30"/>
  <c r="BD170" i="30"/>
  <c r="BE170" i="30" s="1"/>
  <c r="AY200" i="5" s="1"/>
  <c r="AJ173" i="30"/>
  <c r="Q174" i="35"/>
  <c r="AK172" i="30"/>
  <c r="V173" i="30"/>
  <c r="R175" i="35" s="1"/>
  <c r="X174" i="30"/>
  <c r="AK173" i="30" l="1"/>
  <c r="AL90" i="5"/>
  <c r="AF90" i="5"/>
  <c r="AN61" i="30"/>
  <c r="AL61" i="30"/>
  <c r="AO61" i="30" s="1"/>
  <c r="AJ63" i="35"/>
  <c r="K91" i="5" s="1"/>
  <c r="W62" i="30"/>
  <c r="AU61" i="30"/>
  <c r="AJ174" i="30"/>
  <c r="Q175" i="35"/>
  <c r="BC172" i="30"/>
  <c r="BD171" i="30"/>
  <c r="BE171" i="30" s="1"/>
  <c r="AY201" i="5" s="1"/>
  <c r="AX201" i="5"/>
  <c r="V174" i="30"/>
  <c r="R176" i="35" s="1"/>
  <c r="X175" i="30"/>
  <c r="AP61" i="30" l="1"/>
  <c r="AR61" i="30"/>
  <c r="Q61" i="30"/>
  <c r="AM63" i="35"/>
  <c r="AL63" i="35"/>
  <c r="L91" i="5" s="1"/>
  <c r="AA62" i="30"/>
  <c r="AB62" i="30" s="1"/>
  <c r="AE62" i="30"/>
  <c r="Y62" i="30"/>
  <c r="Z62" i="30" s="1"/>
  <c r="AJ90" i="5"/>
  <c r="AH90" i="5"/>
  <c r="AK63" i="35"/>
  <c r="M91" i="5" s="1"/>
  <c r="Y91" i="5" s="1"/>
  <c r="V175" i="30"/>
  <c r="R177" i="35" s="1"/>
  <c r="X176" i="30"/>
  <c r="BD172" i="30"/>
  <c r="BE172" i="30" s="1"/>
  <c r="AY202" i="5" s="1"/>
  <c r="BC173" i="30"/>
  <c r="AX202" i="5"/>
  <c r="Q176" i="35"/>
  <c r="AJ175" i="30"/>
  <c r="AK174" i="30"/>
  <c r="AC62" i="30" l="1"/>
  <c r="AG62" i="30" s="1"/>
  <c r="AH62" i="30" s="1"/>
  <c r="AD62" i="30"/>
  <c r="AF62" i="30" s="1"/>
  <c r="AR64" i="35"/>
  <c r="Q92" i="5" s="1"/>
  <c r="AC91" i="5"/>
  <c r="AM91" i="5" s="1"/>
  <c r="AN63" i="35"/>
  <c r="AQ61" i="30"/>
  <c r="AS61" i="30"/>
  <c r="AK175" i="30"/>
  <c r="AJ176" i="30"/>
  <c r="Q177" i="35"/>
  <c r="BD173" i="30"/>
  <c r="BE173" i="30" s="1"/>
  <c r="AY203" i="5" s="1"/>
  <c r="BC174" i="30"/>
  <c r="AX203" i="5"/>
  <c r="X177" i="30"/>
  <c r="V176" i="30"/>
  <c r="R178" i="35" s="1"/>
  <c r="AF91" i="5" l="1"/>
  <c r="AL91" i="5"/>
  <c r="AM62" i="30"/>
  <c r="AL62" i="30"/>
  <c r="AO62" i="30" s="1"/>
  <c r="AT61" i="30"/>
  <c r="AQ63" i="35" s="1"/>
  <c r="O91" i="5" s="1"/>
  <c r="AO63" i="35"/>
  <c r="AN62" i="30"/>
  <c r="BC175" i="30"/>
  <c r="BD174" i="30"/>
  <c r="BE174" i="30" s="1"/>
  <c r="AY204" i="5" s="1"/>
  <c r="AX204" i="5"/>
  <c r="V177" i="30"/>
  <c r="R179" i="35" s="1"/>
  <c r="X178" i="30"/>
  <c r="Q178" i="35"/>
  <c r="AJ177" i="30"/>
  <c r="AK176" i="30"/>
  <c r="AK177" i="30" s="1"/>
  <c r="Q62" i="30" l="1"/>
  <c r="AR62" i="30"/>
  <c r="AP62" i="30"/>
  <c r="AL64" i="35"/>
  <c r="L92" i="5" s="1"/>
  <c r="AM64" i="35"/>
  <c r="W63" i="30"/>
  <c r="AJ64" i="35"/>
  <c r="K92" i="5" s="1"/>
  <c r="AU62" i="30"/>
  <c r="AH91" i="5"/>
  <c r="AJ91" i="5"/>
  <c r="AJ178" i="30"/>
  <c r="AK178" i="30" s="1"/>
  <c r="Q179" i="35"/>
  <c r="X179" i="30"/>
  <c r="V178" i="30"/>
  <c r="R180" i="35" s="1"/>
  <c r="BD175" i="30"/>
  <c r="BE175" i="30" s="1"/>
  <c r="AY205" i="5" s="1"/>
  <c r="AX205" i="5"/>
  <c r="BC176" i="30"/>
  <c r="AK64" i="35" l="1"/>
  <c r="M92" i="5" s="1"/>
  <c r="Y92" i="5" s="1"/>
  <c r="AN64" i="35"/>
  <c r="AS62" i="30"/>
  <c r="AQ62" i="30"/>
  <c r="AE63" i="30"/>
  <c r="AA63" i="30"/>
  <c r="AB63" i="30" s="1"/>
  <c r="Y63" i="30"/>
  <c r="Z63" i="30" s="1"/>
  <c r="AC92" i="5"/>
  <c r="AM92" i="5" s="1"/>
  <c r="V179" i="30"/>
  <c r="R181" i="35" s="1"/>
  <c r="X180" i="30"/>
  <c r="BC177" i="30"/>
  <c r="BD176" i="30"/>
  <c r="BE176" i="30" s="1"/>
  <c r="AY206" i="5" s="1"/>
  <c r="AX206" i="5"/>
  <c r="Q180" i="35"/>
  <c r="AJ179" i="30"/>
  <c r="AC63" i="30" l="1"/>
  <c r="AG63" i="30" s="1"/>
  <c r="AH63" i="30" s="1"/>
  <c r="AO64" i="35"/>
  <c r="AT62" i="30"/>
  <c r="AQ64" i="35" s="1"/>
  <c r="O92" i="5" s="1"/>
  <c r="AR65" i="35"/>
  <c r="Q93" i="5" s="1"/>
  <c r="Q181" i="35"/>
  <c r="AJ180" i="30"/>
  <c r="BC178" i="30"/>
  <c r="BD177" i="30"/>
  <c r="BE177" i="30" s="1"/>
  <c r="AY207" i="5" s="1"/>
  <c r="AX207" i="5"/>
  <c r="V180" i="30"/>
  <c r="R182" i="35" s="1"/>
  <c r="X181" i="30"/>
  <c r="AK179" i="30"/>
  <c r="AD63" i="30" l="1"/>
  <c r="AF63" i="30" s="1"/>
  <c r="AN63" i="30"/>
  <c r="AM63" i="30"/>
  <c r="AL63" i="30"/>
  <c r="AO63" i="30" s="1"/>
  <c r="AF92" i="5"/>
  <c r="AL92" i="5"/>
  <c r="AK180" i="30"/>
  <c r="V181" i="30"/>
  <c r="R183" i="35" s="1"/>
  <c r="X182" i="30"/>
  <c r="AX208" i="5"/>
  <c r="BC179" i="30"/>
  <c r="BD178" i="30"/>
  <c r="BE178" i="30" s="1"/>
  <c r="AY208" i="5" s="1"/>
  <c r="Q182" i="35"/>
  <c r="AJ181" i="30"/>
  <c r="AH92" i="5" l="1"/>
  <c r="AJ92" i="5"/>
  <c r="AR63" i="30"/>
  <c r="Q63" i="30"/>
  <c r="AP63" i="30"/>
  <c r="W64" i="30"/>
  <c r="AU63" i="30"/>
  <c r="AJ65" i="35"/>
  <c r="K93" i="5" s="1"/>
  <c r="AM65" i="35"/>
  <c r="AL65" i="35"/>
  <c r="L93" i="5" s="1"/>
  <c r="AJ182" i="30"/>
  <c r="Q183" i="35"/>
  <c r="AX209" i="5"/>
  <c r="BC180" i="30"/>
  <c r="BD179" i="30"/>
  <c r="BE179" i="30" s="1"/>
  <c r="AY209" i="5" s="1"/>
  <c r="AK181" i="30"/>
  <c r="AK182" i="30" s="1"/>
  <c r="V182" i="30"/>
  <c r="R184" i="35" s="1"/>
  <c r="X183" i="30"/>
  <c r="AK65" i="35" l="1"/>
  <c r="M93" i="5" s="1"/>
  <c r="Y93" i="5" s="1"/>
  <c r="AA64" i="30"/>
  <c r="AB64" i="30" s="1"/>
  <c r="Y64" i="30"/>
  <c r="Z64" i="30" s="1"/>
  <c r="AE64" i="30"/>
  <c r="AS63" i="30"/>
  <c r="AN65" i="35"/>
  <c r="AQ63" i="30"/>
  <c r="AC93" i="5"/>
  <c r="AM93" i="5" s="1"/>
  <c r="V183" i="30"/>
  <c r="R185" i="35" s="1"/>
  <c r="X184" i="30"/>
  <c r="BD180" i="30"/>
  <c r="BE180" i="30" s="1"/>
  <c r="AY210" i="5" s="1"/>
  <c r="AX210" i="5"/>
  <c r="BC181" i="30"/>
  <c r="AJ183" i="30"/>
  <c r="Q184" i="35"/>
  <c r="AC64" i="30" l="1"/>
  <c r="AT63" i="30"/>
  <c r="AQ65" i="35" s="1"/>
  <c r="O93" i="5" s="1"/>
  <c r="AO65" i="35"/>
  <c r="AR66" i="35"/>
  <c r="Q94" i="5" s="1"/>
  <c r="BC182" i="30"/>
  <c r="AX211" i="5"/>
  <c r="BD181" i="30"/>
  <c r="BE181" i="30" s="1"/>
  <c r="AY211" i="5" s="1"/>
  <c r="Q185" i="35"/>
  <c r="AJ184" i="30"/>
  <c r="AK183" i="30"/>
  <c r="V184" i="30"/>
  <c r="R186" i="35" s="1"/>
  <c r="X185" i="30"/>
  <c r="AL93" i="5" l="1"/>
  <c r="AF93" i="5"/>
  <c r="AD64" i="30"/>
  <c r="AF64" i="30" s="1"/>
  <c r="AG64" i="30"/>
  <c r="AH64" i="30" s="1"/>
  <c r="V185" i="30"/>
  <c r="R187" i="35" s="1"/>
  <c r="X186" i="30"/>
  <c r="AK184" i="30"/>
  <c r="AJ185" i="30"/>
  <c r="Q186" i="35"/>
  <c r="BD182" i="30"/>
  <c r="BE182" i="30" s="1"/>
  <c r="AY212" i="5" s="1"/>
  <c r="BC183" i="30"/>
  <c r="AX212" i="5"/>
  <c r="AN64" i="30" l="1"/>
  <c r="AM64" i="30"/>
  <c r="AL64" i="30"/>
  <c r="AO64" i="30" s="1"/>
  <c r="AH93" i="5"/>
  <c r="AJ93" i="5"/>
  <c r="AK185" i="30"/>
  <c r="AJ186" i="30"/>
  <c r="Q187" i="35"/>
  <c r="X187" i="30"/>
  <c r="V186" i="30"/>
  <c r="R188" i="35" s="1"/>
  <c r="BC184" i="30"/>
  <c r="BD183" i="30"/>
  <c r="BE183" i="30" s="1"/>
  <c r="AY213" i="5" s="1"/>
  <c r="AX213" i="5"/>
  <c r="AK186" i="30" l="1"/>
  <c r="Q64" i="30"/>
  <c r="AR64" i="30"/>
  <c r="AP64" i="30"/>
  <c r="W65" i="30"/>
  <c r="AU64" i="30"/>
  <c r="AJ66" i="35"/>
  <c r="K94" i="5" s="1"/>
  <c r="AM66" i="35"/>
  <c r="AL66" i="35"/>
  <c r="BD184" i="30"/>
  <c r="BE184" i="30" s="1"/>
  <c r="AY214" i="5" s="1"/>
  <c r="BC185" i="30"/>
  <c r="AX214" i="5"/>
  <c r="X188" i="30"/>
  <c r="V187" i="30"/>
  <c r="R189" i="35" s="1"/>
  <c r="AJ187" i="30"/>
  <c r="AK187" i="30" s="1"/>
  <c r="Q188" i="35"/>
  <c r="L94" i="5" l="1"/>
  <c r="AC94" i="5" s="1"/>
  <c r="AM94" i="5" s="1"/>
  <c r="AE65" i="30"/>
  <c r="Y65" i="30"/>
  <c r="Z65" i="30" s="1"/>
  <c r="AA65" i="30"/>
  <c r="AB65" i="30" s="1"/>
  <c r="AC65" i="30" s="1"/>
  <c r="AQ64" i="30"/>
  <c r="AS64" i="30"/>
  <c r="AN66" i="35"/>
  <c r="AK66" i="35"/>
  <c r="M94" i="5" s="1"/>
  <c r="Y94" i="5" s="1"/>
  <c r="Q189" i="35"/>
  <c r="AJ188" i="30"/>
  <c r="AK188" i="30" s="1"/>
  <c r="V188" i="30"/>
  <c r="R190" i="35" s="1"/>
  <c r="X189" i="30"/>
  <c r="BD185" i="30"/>
  <c r="BE185" i="30" s="1"/>
  <c r="AY215" i="5" s="1"/>
  <c r="AX215" i="5"/>
  <c r="BC186" i="30"/>
  <c r="AR67" i="35" l="1"/>
  <c r="Q95" i="5" s="1"/>
  <c r="AD65" i="30"/>
  <c r="AF65" i="30" s="1"/>
  <c r="AG65" i="30"/>
  <c r="AH65" i="30" s="1"/>
  <c r="AN65" i="30" s="1"/>
  <c r="AT64" i="30"/>
  <c r="AQ66" i="35" s="1"/>
  <c r="O94" i="5" s="1"/>
  <c r="AO66" i="35"/>
  <c r="AX216" i="5"/>
  <c r="BD186" i="30"/>
  <c r="BE186" i="30" s="1"/>
  <c r="AY216" i="5" s="1"/>
  <c r="BC187" i="30"/>
  <c r="V189" i="30"/>
  <c r="R191" i="35" s="1"/>
  <c r="X190" i="30"/>
  <c r="Q190" i="35"/>
  <c r="AJ189" i="30"/>
  <c r="AM65" i="30" l="1"/>
  <c r="W66" i="30" s="1"/>
  <c r="AA66" i="30" s="1"/>
  <c r="AB66" i="30" s="1"/>
  <c r="AF94" i="5"/>
  <c r="AL94" i="5"/>
  <c r="AL67" i="35"/>
  <c r="L95" i="5" s="1"/>
  <c r="AM67" i="35"/>
  <c r="AL65" i="30"/>
  <c r="AO65" i="30" s="1"/>
  <c r="AJ190" i="30"/>
  <c r="Q191" i="35"/>
  <c r="V190" i="30"/>
  <c r="R192" i="35" s="1"/>
  <c r="X191" i="30"/>
  <c r="AX217" i="5"/>
  <c r="BD187" i="30"/>
  <c r="BE187" i="30" s="1"/>
  <c r="AY217" i="5" s="1"/>
  <c r="BC188" i="30"/>
  <c r="AK189" i="30"/>
  <c r="AK190" i="30" s="1"/>
  <c r="AJ67" i="35" l="1"/>
  <c r="K95" i="5" s="1"/>
  <c r="AU65" i="30"/>
  <c r="AE66" i="30"/>
  <c r="Y66" i="30"/>
  <c r="Z66" i="30" s="1"/>
  <c r="AC66" i="30" s="1"/>
  <c r="AR65" i="30"/>
  <c r="Q65" i="30"/>
  <c r="AP65" i="30"/>
  <c r="AJ94" i="5"/>
  <c r="AH94" i="5"/>
  <c r="AC95" i="5" s="1"/>
  <c r="AM95" i="5" s="1"/>
  <c r="BC189" i="30"/>
  <c r="BD188" i="30"/>
  <c r="BE188" i="30" s="1"/>
  <c r="AY218" i="5" s="1"/>
  <c r="AX218" i="5"/>
  <c r="X192" i="30"/>
  <c r="V191" i="30"/>
  <c r="R193" i="35" s="1"/>
  <c r="AJ191" i="30"/>
  <c r="Q192" i="35"/>
  <c r="AK67" i="35" l="1"/>
  <c r="AG66" i="30"/>
  <c r="AH66" i="30" s="1"/>
  <c r="AD66" i="30"/>
  <c r="AF66" i="30" s="1"/>
  <c r="AS65" i="30"/>
  <c r="AN67" i="35"/>
  <c r="AQ65" i="30"/>
  <c r="Q193" i="35"/>
  <c r="AJ192" i="30"/>
  <c r="V192" i="30"/>
  <c r="R194" i="35" s="1"/>
  <c r="X193" i="30"/>
  <c r="BD189" i="30"/>
  <c r="BE189" i="30" s="1"/>
  <c r="AY219" i="5" s="1"/>
  <c r="AX219" i="5"/>
  <c r="BC190" i="30"/>
  <c r="AK191" i="30"/>
  <c r="AR68" i="35" l="1"/>
  <c r="Q96" i="5" s="1"/>
  <c r="M95" i="5"/>
  <c r="AK192" i="30"/>
  <c r="AL66" i="30"/>
  <c r="AO66" i="30" s="1"/>
  <c r="AM66" i="30"/>
  <c r="AN66" i="30"/>
  <c r="AT65" i="30"/>
  <c r="AQ67" i="35" s="1"/>
  <c r="O95" i="5" s="1"/>
  <c r="AO67" i="35"/>
  <c r="BD190" i="30"/>
  <c r="BE190" i="30" s="1"/>
  <c r="AY220" i="5" s="1"/>
  <c r="AX220" i="5"/>
  <c r="BC191" i="30"/>
  <c r="V193" i="30"/>
  <c r="R195" i="35" s="1"/>
  <c r="X194" i="30"/>
  <c r="Q194" i="35"/>
  <c r="AJ193" i="30"/>
  <c r="Y95" i="5" l="1"/>
  <c r="AL95" i="5" s="1"/>
  <c r="AU66" i="30"/>
  <c r="W67" i="30"/>
  <c r="AJ68" i="35"/>
  <c r="K96" i="5" s="1"/>
  <c r="AL68" i="35"/>
  <c r="L96" i="5" s="1"/>
  <c r="AM68" i="35"/>
  <c r="AR66" i="30"/>
  <c r="Q66" i="30"/>
  <c r="AP66" i="30"/>
  <c r="AJ194" i="30"/>
  <c r="Q195" i="35"/>
  <c r="X195" i="30"/>
  <c r="V194" i="30"/>
  <c r="R196" i="35" s="1"/>
  <c r="BD191" i="30"/>
  <c r="BE191" i="30" s="1"/>
  <c r="AY221" i="5" s="1"/>
  <c r="AX221" i="5"/>
  <c r="BC192" i="30"/>
  <c r="AK193" i="30"/>
  <c r="AF95" i="5" l="1"/>
  <c r="AK194" i="30"/>
  <c r="AK68" i="35"/>
  <c r="M96" i="5" s="1"/>
  <c r="Y96" i="5" s="1"/>
  <c r="Y67" i="30"/>
  <c r="Z67" i="30" s="1"/>
  <c r="AE67" i="30"/>
  <c r="AA67" i="30"/>
  <c r="AB67" i="30" s="1"/>
  <c r="AS66" i="30"/>
  <c r="AN68" i="35"/>
  <c r="AQ66" i="30"/>
  <c r="AX222" i="5"/>
  <c r="BD192" i="30"/>
  <c r="BE192" i="30" s="1"/>
  <c r="AY222" i="5" s="1"/>
  <c r="BC193" i="30"/>
  <c r="V195" i="30"/>
  <c r="R197" i="35" s="1"/>
  <c r="X196" i="30"/>
  <c r="AJ195" i="30"/>
  <c r="Q196" i="35"/>
  <c r="AJ95" i="5" l="1"/>
  <c r="AH95" i="5"/>
  <c r="AC96" i="5" s="1"/>
  <c r="AM96" i="5" s="1"/>
  <c r="AC67" i="30"/>
  <c r="AG67" i="30" s="1"/>
  <c r="AH67" i="30" s="1"/>
  <c r="AN67" i="30" s="1"/>
  <c r="AO68" i="35"/>
  <c r="AT66" i="30"/>
  <c r="AQ68" i="35" s="1"/>
  <c r="O96" i="5" s="1"/>
  <c r="AR69" i="35"/>
  <c r="Q97" i="5" s="1"/>
  <c r="AJ196" i="30"/>
  <c r="Q197" i="35"/>
  <c r="X197" i="30"/>
  <c r="V196" i="30"/>
  <c r="R198" i="35" s="1"/>
  <c r="BD193" i="30"/>
  <c r="BE193" i="30" s="1"/>
  <c r="AY223" i="5" s="1"/>
  <c r="AX223" i="5"/>
  <c r="BC194" i="30"/>
  <c r="AK195" i="30"/>
  <c r="AD67" i="30" l="1"/>
  <c r="AF67" i="30" s="1"/>
  <c r="AL96" i="5"/>
  <c r="AF96" i="5"/>
  <c r="AM69" i="35"/>
  <c r="AL69" i="35"/>
  <c r="L97" i="5" s="1"/>
  <c r="AM67" i="30"/>
  <c r="AL67" i="30"/>
  <c r="AO67" i="30" s="1"/>
  <c r="AK196" i="30"/>
  <c r="BD194" i="30"/>
  <c r="BE194" i="30" s="1"/>
  <c r="AY224" i="5" s="1"/>
  <c r="AX224" i="5"/>
  <c r="BC195" i="30"/>
  <c r="V197" i="30"/>
  <c r="R199" i="35" s="1"/>
  <c r="X198" i="30"/>
  <c r="Q198" i="35"/>
  <c r="AJ197" i="30"/>
  <c r="AR67" i="30" l="1"/>
  <c r="Q67" i="30"/>
  <c r="AP67" i="30"/>
  <c r="AU67" i="30"/>
  <c r="AJ69" i="35"/>
  <c r="K97" i="5" s="1"/>
  <c r="W68" i="30"/>
  <c r="AH96" i="5"/>
  <c r="AC97" i="5" s="1"/>
  <c r="AM97" i="5" s="1"/>
  <c r="Y24" i="2" s="1"/>
  <c r="AJ96" i="5"/>
  <c r="AA25" i="2"/>
  <c r="X199" i="30"/>
  <c r="V198" i="30"/>
  <c r="R200" i="35" s="1"/>
  <c r="BC196" i="30"/>
  <c r="BD195" i="30"/>
  <c r="BE195" i="30" s="1"/>
  <c r="AY225" i="5" s="1"/>
  <c r="AX225" i="5"/>
  <c r="Q199" i="35"/>
  <c r="AJ198" i="30"/>
  <c r="AK197" i="30"/>
  <c r="AQ67" i="30" l="1"/>
  <c r="AN69" i="35"/>
  <c r="AS67" i="30"/>
  <c r="AE68" i="30"/>
  <c r="Y68" i="30"/>
  <c r="Z68" i="30" s="1"/>
  <c r="AA68" i="30"/>
  <c r="AB68" i="30" s="1"/>
  <c r="AK69" i="35"/>
  <c r="M97" i="5" s="1"/>
  <c r="Y97" i="5" s="1"/>
  <c r="AJ199" i="30"/>
  <c r="Q200" i="35"/>
  <c r="AK198" i="30"/>
  <c r="BC197" i="30"/>
  <c r="BD196" i="30"/>
  <c r="BE196" i="30" s="1"/>
  <c r="AY226" i="5" s="1"/>
  <c r="AX226" i="5"/>
  <c r="V199" i="30"/>
  <c r="R201" i="35" s="1"/>
  <c r="X200" i="30"/>
  <c r="AC68" i="30" l="1"/>
  <c r="AR70" i="35"/>
  <c r="Q98" i="5" s="1"/>
  <c r="AO69" i="35"/>
  <c r="AT67" i="30"/>
  <c r="AQ69" i="35" s="1"/>
  <c r="O97" i="5" s="1"/>
  <c r="AD68" i="30"/>
  <c r="AF68" i="30" s="1"/>
  <c r="AG68" i="30"/>
  <c r="AH68" i="30" s="1"/>
  <c r="AN68" i="30" s="1"/>
  <c r="AM68" i="30"/>
  <c r="AK199" i="30"/>
  <c r="V200" i="30"/>
  <c r="R202" i="35" s="1"/>
  <c r="X201" i="30"/>
  <c r="BD197" i="30"/>
  <c r="AX227" i="5"/>
  <c r="BC198" i="30"/>
  <c r="Q201" i="35"/>
  <c r="AJ200" i="30"/>
  <c r="AY241" i="5"/>
  <c r="AX243" i="5"/>
  <c r="AX234" i="5"/>
  <c r="AX235" i="5"/>
  <c r="AX242" i="5"/>
  <c r="AY239" i="5"/>
  <c r="AX240" i="5"/>
  <c r="AX236" i="5"/>
  <c r="AX241" i="5"/>
  <c r="AX244" i="5"/>
  <c r="AY243" i="5"/>
  <c r="AY233" i="5"/>
  <c r="AY244" i="5"/>
  <c r="AY237" i="5"/>
  <c r="AY242" i="5"/>
  <c r="AY236" i="5"/>
  <c r="AY234" i="5"/>
  <c r="AX237" i="5"/>
  <c r="AX245" i="5"/>
  <c r="AY245" i="5"/>
  <c r="AX44" i="5"/>
  <c r="AY238" i="5"/>
  <c r="AY240" i="5"/>
  <c r="AX43" i="5"/>
  <c r="AX42" i="5"/>
  <c r="AX238" i="5"/>
  <c r="AX239" i="5"/>
  <c r="AX233" i="5"/>
  <c r="AY235" i="5"/>
  <c r="AX41" i="5"/>
  <c r="AX40" i="5"/>
  <c r="AX38" i="5"/>
  <c r="AX39" i="5"/>
  <c r="AX36" i="5"/>
  <c r="AX37" i="5"/>
  <c r="AX35" i="5"/>
  <c r="AX34" i="5"/>
  <c r="AX33" i="5"/>
  <c r="AX30" i="5"/>
  <c r="AX32" i="5"/>
  <c r="AX28" i="5"/>
  <c r="AX31" i="5"/>
  <c r="AX23" i="5"/>
  <c r="AX29" i="5"/>
  <c r="AX26" i="5"/>
  <c r="AX27" i="5"/>
  <c r="AX24" i="5"/>
  <c r="AX21" i="5"/>
  <c r="AX25" i="5"/>
  <c r="AX22" i="5"/>
  <c r="AX20" i="5"/>
  <c r="AX19" i="5"/>
  <c r="AX18" i="5"/>
  <c r="AX16" i="5"/>
  <c r="AX17" i="5"/>
  <c r="AX14" i="5"/>
  <c r="AX15" i="5"/>
  <c r="AX13" i="5"/>
  <c r="AX12" i="5"/>
  <c r="AX11" i="5"/>
  <c r="AX10" i="5"/>
  <c r="AX6" i="5"/>
  <c r="AX8" i="5"/>
  <c r="AX9" i="5"/>
  <c r="AX7" i="5"/>
  <c r="AL68" i="30" l="1"/>
  <c r="AO68" i="30" s="1"/>
  <c r="AR68" i="30" s="1"/>
  <c r="W69" i="30"/>
  <c r="AU68" i="30"/>
  <c r="AJ70" i="35"/>
  <c r="K98" i="5" s="1"/>
  <c r="AL70" i="35"/>
  <c r="L98" i="5" s="1"/>
  <c r="AM70" i="35"/>
  <c r="AL97" i="5"/>
  <c r="X24" i="2" s="1"/>
  <c r="AB24" i="2" s="1"/>
  <c r="Q24" i="2" s="1"/>
  <c r="R24" i="2" s="1"/>
  <c r="S24" i="2" s="1"/>
  <c r="AF97" i="5"/>
  <c r="AJ201" i="30"/>
  <c r="Q202" i="35"/>
  <c r="AK200" i="30"/>
  <c r="AK201" i="30" s="1"/>
  <c r="BD198" i="30"/>
  <c r="BE198" i="30" s="1"/>
  <c r="AY228" i="5" s="1"/>
  <c r="AX228" i="5"/>
  <c r="BC199" i="30"/>
  <c r="BE197" i="30"/>
  <c r="AY227" i="5" s="1"/>
  <c r="V201" i="30"/>
  <c r="R203" i="35" s="1"/>
  <c r="X202" i="30"/>
  <c r="V202" i="30" s="1"/>
  <c r="R204" i="35" s="1"/>
  <c r="AP68" i="30" l="1"/>
  <c r="AS68" i="30" s="1"/>
  <c r="Q68" i="30"/>
  <c r="AE69" i="30"/>
  <c r="Y69" i="30"/>
  <c r="Z69" i="30" s="1"/>
  <c r="AA69" i="30"/>
  <c r="AB69" i="30" s="1"/>
  <c r="AN70" i="35"/>
  <c r="AQ68" i="30"/>
  <c r="AH97" i="5"/>
  <c r="AC98" i="5" s="1"/>
  <c r="AM98" i="5" s="1"/>
  <c r="AJ97" i="5"/>
  <c r="AK70" i="35"/>
  <c r="M98" i="5" s="1"/>
  <c r="Y98" i="5" s="1"/>
  <c r="P24" i="2"/>
  <c r="O24" i="2"/>
  <c r="AX229" i="5"/>
  <c r="BD199" i="30"/>
  <c r="BC200" i="30"/>
  <c r="Q203" i="35"/>
  <c r="AJ202" i="30"/>
  <c r="Q204" i="35" s="1"/>
  <c r="AC69" i="30" l="1"/>
  <c r="AR71" i="35"/>
  <c r="Q99" i="5" s="1"/>
  <c r="AT68" i="30"/>
  <c r="AQ70" i="35" s="1"/>
  <c r="O98" i="5" s="1"/>
  <c r="AO70" i="35"/>
  <c r="AK202" i="30"/>
  <c r="BD200" i="30"/>
  <c r="BE200" i="30" s="1"/>
  <c r="AY230" i="5" s="1"/>
  <c r="BC201" i="30"/>
  <c r="AX230" i="5"/>
  <c r="BE199" i="30"/>
  <c r="AY229" i="5" s="1"/>
  <c r="AD69" i="30" l="1"/>
  <c r="AF69" i="30" s="1"/>
  <c r="AG69" i="30"/>
  <c r="AH69" i="30" s="1"/>
  <c r="AL98" i="5"/>
  <c r="AF98" i="5"/>
  <c r="BC202" i="30"/>
  <c r="BD201" i="30"/>
  <c r="AX231" i="5"/>
  <c r="AN69" i="30" l="1"/>
  <c r="AM69" i="30"/>
  <c r="AL69" i="30"/>
  <c r="AO69" i="30" s="1"/>
  <c r="AH98" i="5"/>
  <c r="AJ98" i="5"/>
  <c r="BE201" i="30"/>
  <c r="AY231" i="5" s="1"/>
  <c r="BD202" i="30"/>
  <c r="BE202" i="30" s="1"/>
  <c r="AY232" i="5" s="1"/>
  <c r="AX232" i="5"/>
  <c r="AR69" i="30" l="1"/>
  <c r="Q69" i="30"/>
  <c r="AP69" i="30"/>
  <c r="W70" i="30"/>
  <c r="AU69" i="30"/>
  <c r="AJ71" i="35"/>
  <c r="K99" i="5" s="1"/>
  <c r="AL71" i="35"/>
  <c r="AM71" i="35"/>
  <c r="BB10" i="30"/>
  <c r="L99" i="5" l="1"/>
  <c r="AC99" i="5" s="1"/>
  <c r="AM99" i="5" s="1"/>
  <c r="AS69" i="30"/>
  <c r="AQ69" i="30"/>
  <c r="AN71" i="35"/>
  <c r="AK71" i="35"/>
  <c r="M99" i="5" s="1"/>
  <c r="Y99" i="5" s="1"/>
  <c r="AE70" i="30"/>
  <c r="Y70" i="30"/>
  <c r="Z70" i="30" s="1"/>
  <c r="AA70" i="30"/>
  <c r="AB70" i="30" s="1"/>
  <c r="AC70" i="30" l="1"/>
  <c r="AR72" i="35"/>
  <c r="Q100" i="5" s="1"/>
  <c r="AT69" i="30"/>
  <c r="AQ71" i="35" s="1"/>
  <c r="O99" i="5" s="1"/>
  <c r="AO71" i="35"/>
  <c r="AF99" i="5" l="1"/>
  <c r="AL99" i="5"/>
  <c r="AD70" i="30"/>
  <c r="AF70" i="30" s="1"/>
  <c r="AG70" i="30"/>
  <c r="AH70" i="30" s="1"/>
  <c r="AL70" i="30" l="1"/>
  <c r="AO70" i="30" s="1"/>
  <c r="AN70" i="30"/>
  <c r="AM70" i="30"/>
  <c r="AH99" i="5"/>
  <c r="AJ99" i="5"/>
  <c r="W71" i="30" l="1"/>
  <c r="AU70" i="30"/>
  <c r="AJ72" i="35"/>
  <c r="K100" i="5" s="1"/>
  <c r="AM72" i="35"/>
  <c r="AL72" i="35"/>
  <c r="Q70" i="30"/>
  <c r="AR70" i="30"/>
  <c r="AP70" i="30"/>
  <c r="L100" i="5" l="1"/>
  <c r="AC100" i="5" s="1"/>
  <c r="AM100" i="5" s="1"/>
  <c r="AK72" i="35"/>
  <c r="M100" i="5" s="1"/>
  <c r="Y100" i="5" s="1"/>
  <c r="Y71" i="30"/>
  <c r="Z71" i="30" s="1"/>
  <c r="AE71" i="30"/>
  <c r="AA71" i="30"/>
  <c r="AB71" i="30" s="1"/>
  <c r="AS70" i="30"/>
  <c r="AN72" i="35"/>
  <c r="AQ70" i="30"/>
  <c r="AC71" i="30" l="1"/>
  <c r="AT70" i="30"/>
  <c r="AQ72" i="35" s="1"/>
  <c r="O100" i="5" s="1"/>
  <c r="AO72" i="35"/>
  <c r="AM71" i="30"/>
  <c r="AG71" i="30"/>
  <c r="AH71" i="30" s="1"/>
  <c r="AN71" i="30" s="1"/>
  <c r="AD71" i="30"/>
  <c r="AF71" i="30" s="1"/>
  <c r="AR73" i="35"/>
  <c r="Q101" i="5" s="1"/>
  <c r="AF100" i="5" l="1"/>
  <c r="AL100" i="5"/>
  <c r="AL71" i="30"/>
  <c r="AO71" i="30" s="1"/>
  <c r="AJ73" i="35"/>
  <c r="K101" i="5" s="1"/>
  <c r="AU71" i="30"/>
  <c r="W72" i="30"/>
  <c r="AM73" i="35"/>
  <c r="AL73" i="35"/>
  <c r="L101" i="5" s="1"/>
  <c r="AK73" i="35" l="1"/>
  <c r="M101" i="5" s="1"/>
  <c r="Y101" i="5" s="1"/>
  <c r="AR71" i="30"/>
  <c r="Q71" i="30"/>
  <c r="AP71" i="30"/>
  <c r="AA72" i="30"/>
  <c r="AB72" i="30" s="1"/>
  <c r="Y72" i="30"/>
  <c r="Z72" i="30" s="1"/>
  <c r="AE72" i="30"/>
  <c r="AJ100" i="5"/>
  <c r="AH100" i="5"/>
  <c r="AC101" i="5" s="1"/>
  <c r="AM101" i="5" s="1"/>
  <c r="AC72" i="30" l="1"/>
  <c r="AQ71" i="30"/>
  <c r="AS71" i="30"/>
  <c r="AN73" i="35"/>
  <c r="AR74" i="35"/>
  <c r="Q102" i="5" s="1"/>
  <c r="AO73" i="35" l="1"/>
  <c r="AT71" i="30"/>
  <c r="AQ73" i="35" s="1"/>
  <c r="O101" i="5" s="1"/>
  <c r="AL101" i="5"/>
  <c r="AF101" i="5"/>
  <c r="AG72" i="30"/>
  <c r="AH72" i="30" s="1"/>
  <c r="AN72" i="30" s="1"/>
  <c r="AD72" i="30"/>
  <c r="AF72" i="30" s="1"/>
  <c r="AM72" i="30" l="1"/>
  <c r="AU72" i="30" s="1"/>
  <c r="AL74" i="35"/>
  <c r="L102" i="5" s="1"/>
  <c r="AM74" i="35"/>
  <c r="AJ101" i="5"/>
  <c r="AH101" i="5"/>
  <c r="AL72" i="30"/>
  <c r="AO72" i="30" s="1"/>
  <c r="W73" i="30" l="1"/>
  <c r="AA73" i="30" s="1"/>
  <c r="AB73" i="30" s="1"/>
  <c r="AJ74" i="35"/>
  <c r="AR72" i="30"/>
  <c r="Q72" i="30"/>
  <c r="AP72" i="30"/>
  <c r="AC102" i="5"/>
  <c r="AM102" i="5" s="1"/>
  <c r="Y25" i="2" s="1"/>
  <c r="AE73" i="30"/>
  <c r="Y73" i="30"/>
  <c r="Z73" i="30" s="1"/>
  <c r="AC73" i="30" s="1"/>
  <c r="AK74" i="35" l="1"/>
  <c r="M102" i="5" s="1"/>
  <c r="K102" i="5"/>
  <c r="Y102" i="5" s="1"/>
  <c r="AD73" i="30"/>
  <c r="AF73" i="30" s="1"/>
  <c r="AG73" i="30"/>
  <c r="AH73" i="30" s="1"/>
  <c r="AS72" i="30"/>
  <c r="AN74" i="35"/>
  <c r="AQ72" i="30"/>
  <c r="AR75" i="35" l="1"/>
  <c r="Q103" i="5" s="1"/>
  <c r="AL102" i="5"/>
  <c r="AF102" i="5"/>
  <c r="AO74" i="35"/>
  <c r="AT72" i="30"/>
  <c r="AQ74" i="35" s="1"/>
  <c r="O102" i="5" s="1"/>
  <c r="AM73" i="30"/>
  <c r="AL73" i="30"/>
  <c r="AO73" i="30" s="1"/>
  <c r="AN73" i="30"/>
  <c r="AM75" i="35" l="1"/>
  <c r="AL75" i="35"/>
  <c r="AR73" i="30"/>
  <c r="Q73" i="30"/>
  <c r="AP73" i="30"/>
  <c r="AJ102" i="5"/>
  <c r="AH102" i="5"/>
  <c r="W74" i="30"/>
  <c r="AU73" i="30"/>
  <c r="AJ75" i="35"/>
  <c r="K103" i="5" s="1"/>
  <c r="L103" i="5" l="1"/>
  <c r="AC103" i="5" s="1"/>
  <c r="AM103" i="5" s="1"/>
  <c r="AK75" i="35"/>
  <c r="M103" i="5" s="1"/>
  <c r="Y103" i="5" s="1"/>
  <c r="AE74" i="30"/>
  <c r="AA74" i="30"/>
  <c r="AB74" i="30" s="1"/>
  <c r="Y74" i="30"/>
  <c r="Z74" i="30" s="1"/>
  <c r="AS73" i="30"/>
  <c r="AN75" i="35"/>
  <c r="AQ73" i="30"/>
  <c r="AC74" i="30" l="1"/>
  <c r="AT73" i="30"/>
  <c r="AQ75" i="35" s="1"/>
  <c r="O103" i="5" s="1"/>
  <c r="AO75" i="35"/>
  <c r="AR76" i="35"/>
  <c r="Q104" i="5" s="1"/>
  <c r="AL103" i="5" l="1"/>
  <c r="AF103" i="5"/>
  <c r="AD74" i="30"/>
  <c r="AF74" i="30" s="1"/>
  <c r="AG74" i="30"/>
  <c r="AH74" i="30" s="1"/>
  <c r="AM74" i="30" l="1"/>
  <c r="AL74" i="30"/>
  <c r="AO74" i="30" s="1"/>
  <c r="AN74" i="30"/>
  <c r="AH103" i="5"/>
  <c r="AJ103" i="5"/>
  <c r="AL76" i="35" l="1"/>
  <c r="AM76" i="35"/>
  <c r="AR74" i="30"/>
  <c r="AP74" i="30"/>
  <c r="Q74" i="30"/>
  <c r="W75" i="30"/>
  <c r="AU74" i="30"/>
  <c r="AJ76" i="35"/>
  <c r="K104" i="5" s="1"/>
  <c r="L104" i="5" l="1"/>
  <c r="AC104" i="5" s="1"/>
  <c r="AM104" i="5" s="1"/>
  <c r="AK76" i="35"/>
  <c r="M104" i="5" s="1"/>
  <c r="Y104" i="5" s="1"/>
  <c r="AS74" i="30"/>
  <c r="AQ74" i="30"/>
  <c r="AN76" i="35"/>
  <c r="Y75" i="30"/>
  <c r="Z75" i="30" s="1"/>
  <c r="AE75" i="30"/>
  <c r="AA75" i="30"/>
  <c r="AB75" i="30" s="1"/>
  <c r="AC75" i="30" l="1"/>
  <c r="AM75" i="30"/>
  <c r="AD75" i="30"/>
  <c r="AF75" i="30" s="1"/>
  <c r="AG75" i="30"/>
  <c r="AH75" i="30" s="1"/>
  <c r="AT74" i="30"/>
  <c r="AQ76" i="35" s="1"/>
  <c r="O104" i="5" s="1"/>
  <c r="AO76" i="35"/>
  <c r="AR77" i="35"/>
  <c r="Q105" i="5" s="1"/>
  <c r="AL104" i="5" l="1"/>
  <c r="AF104" i="5"/>
  <c r="AL75" i="30"/>
  <c r="AO75" i="30" s="1"/>
  <c r="AN75" i="30"/>
  <c r="AJ77" i="35"/>
  <c r="K105" i="5" s="1"/>
  <c r="AU75" i="30"/>
  <c r="W76" i="30"/>
  <c r="AM77" i="35" l="1"/>
  <c r="AL77" i="35"/>
  <c r="AA76" i="30"/>
  <c r="AB76" i="30" s="1"/>
  <c r="AC76" i="30" s="1"/>
  <c r="AD76" i="30" s="1"/>
  <c r="AE76" i="30"/>
  <c r="Y76" i="30"/>
  <c r="Z76" i="30" s="1"/>
  <c r="AH104" i="5"/>
  <c r="AJ104" i="5"/>
  <c r="Q75" i="30"/>
  <c r="AR75" i="30"/>
  <c r="AP75" i="30"/>
  <c r="AK77" i="35"/>
  <c r="M105" i="5" s="1"/>
  <c r="Y105" i="5" s="1"/>
  <c r="AF76" i="30" l="1"/>
  <c r="L105" i="5"/>
  <c r="AC105" i="5" s="1"/>
  <c r="AM105" i="5" s="1"/>
  <c r="AG76" i="30"/>
  <c r="AH76" i="30" s="1"/>
  <c r="AR78" i="35"/>
  <c r="Q106" i="5" s="1"/>
  <c r="AN77" i="35"/>
  <c r="AQ75" i="30"/>
  <c r="AL76" i="30" s="1"/>
  <c r="AO76" i="30" s="1"/>
  <c r="AS75" i="30"/>
  <c r="AN76" i="30"/>
  <c r="AM76" i="30"/>
  <c r="AL105" i="5" l="1"/>
  <c r="AF105" i="5"/>
  <c r="AO77" i="35"/>
  <c r="AT75" i="30"/>
  <c r="AQ77" i="35" s="1"/>
  <c r="O105" i="5" s="1"/>
  <c r="AL78" i="35"/>
  <c r="L106" i="5" s="1"/>
  <c r="AM78" i="35"/>
  <c r="W77" i="30"/>
  <c r="AJ78" i="35"/>
  <c r="K106" i="5" s="1"/>
  <c r="AU76" i="30"/>
  <c r="AR76" i="30"/>
  <c r="AP76" i="30"/>
  <c r="Q76" i="30"/>
  <c r="AH105" i="5" l="1"/>
  <c r="AC106" i="5" s="1"/>
  <c r="AM106" i="5" s="1"/>
  <c r="AJ105" i="5"/>
  <c r="AK78" i="35"/>
  <c r="M106" i="5" s="1"/>
  <c r="Y106" i="5" s="1"/>
  <c r="AN78" i="35"/>
  <c r="AQ76" i="30"/>
  <c r="AS76" i="30"/>
  <c r="AE77" i="30"/>
  <c r="AA77" i="30"/>
  <c r="AB77" i="30" s="1"/>
  <c r="Y77" i="30"/>
  <c r="Z77" i="30" s="1"/>
  <c r="AC77" i="30" l="1"/>
  <c r="AG77" i="30" s="1"/>
  <c r="AH77" i="30" s="1"/>
  <c r="AO78" i="35"/>
  <c r="AT76" i="30"/>
  <c r="AQ78" i="35" s="1"/>
  <c r="O106" i="5" s="1"/>
  <c r="AR79" i="35"/>
  <c r="Q107" i="5" s="1"/>
  <c r="AD77" i="30" l="1"/>
  <c r="AF77" i="30" s="1"/>
  <c r="AN77" i="30"/>
  <c r="AM77" i="30"/>
  <c r="AU77" i="30" s="1"/>
  <c r="AL77" i="30"/>
  <c r="AO77" i="30" s="1"/>
  <c r="AF106" i="5"/>
  <c r="AL106" i="5"/>
  <c r="AL79" i="35"/>
  <c r="L107" i="5" s="1"/>
  <c r="AM79" i="35"/>
  <c r="AJ79" i="35" l="1"/>
  <c r="W78" i="30"/>
  <c r="AA78" i="30" s="1"/>
  <c r="AB78" i="30" s="1"/>
  <c r="AH106" i="5"/>
  <c r="AC107" i="5" s="1"/>
  <c r="AM107" i="5" s="1"/>
  <c r="AJ106" i="5"/>
  <c r="Q77" i="30"/>
  <c r="AR77" i="30"/>
  <c r="AP77" i="30"/>
  <c r="AK79" i="35" l="1"/>
  <c r="M107" i="5" s="1"/>
  <c r="K107" i="5"/>
  <c r="AE78" i="30"/>
  <c r="Y78" i="30"/>
  <c r="Z78" i="30" s="1"/>
  <c r="AC78" i="30" s="1"/>
  <c r="AD78" i="30" s="1"/>
  <c r="AF78" i="30" s="1"/>
  <c r="AN79" i="35"/>
  <c r="AQ77" i="30"/>
  <c r="AS77" i="30"/>
  <c r="AR80" i="35" l="1"/>
  <c r="Q108" i="5" s="1"/>
  <c r="Y107" i="5"/>
  <c r="AL107" i="5" s="1"/>
  <c r="AG78" i="30"/>
  <c r="AH78" i="30" s="1"/>
  <c r="AN78" i="30" s="1"/>
  <c r="AM80" i="35" s="1"/>
  <c r="AT77" i="30"/>
  <c r="AQ79" i="35" s="1"/>
  <c r="O107" i="5" s="1"/>
  <c r="AO79" i="35"/>
  <c r="AM78" i="30"/>
  <c r="AF107" i="5" l="1"/>
  <c r="AL78" i="30"/>
  <c r="AO78" i="30" s="1"/>
  <c r="AL80" i="35"/>
  <c r="L108" i="5" s="1"/>
  <c r="AU78" i="30"/>
  <c r="AJ80" i="35"/>
  <c r="K108" i="5" s="1"/>
  <c r="W79" i="30"/>
  <c r="Q78" i="30"/>
  <c r="AR78" i="30"/>
  <c r="AP78" i="30"/>
  <c r="AH107" i="5"/>
  <c r="AJ107" i="5"/>
  <c r="AC108" i="5" l="1"/>
  <c r="AM108" i="5" s="1"/>
  <c r="AA79" i="30"/>
  <c r="AB79" i="30" s="1"/>
  <c r="AE79" i="30"/>
  <c r="Y79" i="30"/>
  <c r="Z79" i="30" s="1"/>
  <c r="AK80" i="35"/>
  <c r="M108" i="5" s="1"/>
  <c r="Y108" i="5" s="1"/>
  <c r="AQ78" i="30"/>
  <c r="AS78" i="30"/>
  <c r="AN80" i="35"/>
  <c r="AT78" i="30" l="1"/>
  <c r="AQ80" i="35" s="1"/>
  <c r="O108" i="5" s="1"/>
  <c r="AO80" i="35"/>
  <c r="AR81" i="35"/>
  <c r="Q109" i="5" s="1"/>
  <c r="AC79" i="30"/>
  <c r="AD79" i="30" l="1"/>
  <c r="AF79" i="30" s="1"/>
  <c r="AG79" i="30"/>
  <c r="AH79" i="30" s="1"/>
  <c r="AF108" i="5"/>
  <c r="AL108" i="5"/>
  <c r="AJ108" i="5" l="1"/>
  <c r="AH108" i="5"/>
  <c r="AN79" i="30"/>
  <c r="AM79" i="30"/>
  <c r="AL79" i="30"/>
  <c r="AO79" i="30" s="1"/>
  <c r="AL81" i="35" l="1"/>
  <c r="AM81" i="35"/>
  <c r="Q79" i="30"/>
  <c r="AR79" i="30"/>
  <c r="AP79" i="30"/>
  <c r="AU79" i="30"/>
  <c r="W80" i="30"/>
  <c r="AJ81" i="35"/>
  <c r="K109" i="5" s="1"/>
  <c r="L109" i="5" l="1"/>
  <c r="AC109" i="5" s="1"/>
  <c r="AM109" i="5" s="1"/>
  <c r="AQ79" i="30"/>
  <c r="AN81" i="35"/>
  <c r="AS79" i="30"/>
  <c r="Y80" i="30"/>
  <c r="Z80" i="30" s="1"/>
  <c r="AE80" i="30"/>
  <c r="AA80" i="30"/>
  <c r="AB80" i="30" s="1"/>
  <c r="AK81" i="35"/>
  <c r="M109" i="5" s="1"/>
  <c r="Y109" i="5" s="1"/>
  <c r="AC80" i="30" l="1"/>
  <c r="AR82" i="35"/>
  <c r="Q110" i="5" s="1"/>
  <c r="AT79" i="30"/>
  <c r="AQ81" i="35" s="1"/>
  <c r="O109" i="5" s="1"/>
  <c r="AO81" i="35"/>
  <c r="AD80" i="30"/>
  <c r="AF80" i="30" s="1"/>
  <c r="AG80" i="30"/>
  <c r="AH80" i="30" s="1"/>
  <c r="AN80" i="30" s="1"/>
  <c r="AM80" i="30"/>
  <c r="AA26" i="2"/>
  <c r="AL80" i="30" l="1"/>
  <c r="AO80" i="30" s="1"/>
  <c r="W81" i="30"/>
  <c r="AU80" i="30"/>
  <c r="AJ82" i="35"/>
  <c r="K110" i="5" s="1"/>
  <c r="AL82" i="35"/>
  <c r="L110" i="5" s="1"/>
  <c r="AM82" i="35"/>
  <c r="AL109" i="5"/>
  <c r="AF109" i="5"/>
  <c r="AK82" i="35" l="1"/>
  <c r="M110" i="5" s="1"/>
  <c r="Y110" i="5" s="1"/>
  <c r="AA81" i="30"/>
  <c r="AB81" i="30" s="1"/>
  <c r="AE81" i="30"/>
  <c r="Y81" i="30"/>
  <c r="Z81" i="30" s="1"/>
  <c r="AJ109" i="5"/>
  <c r="AH109" i="5"/>
  <c r="AC110" i="5" s="1"/>
  <c r="AM110" i="5" s="1"/>
  <c r="AP80" i="30"/>
  <c r="Q80" i="30"/>
  <c r="AR80" i="30"/>
  <c r="AS80" i="30" l="1"/>
  <c r="AN82" i="35"/>
  <c r="AQ80" i="30"/>
  <c r="AC81" i="30"/>
  <c r="AR83" i="35"/>
  <c r="Q111" i="5" s="1"/>
  <c r="AD81" i="30" l="1"/>
  <c r="AF81" i="30" s="1"/>
  <c r="AG81" i="30"/>
  <c r="AH81" i="30" s="1"/>
  <c r="AN81" i="30" s="1"/>
  <c r="AM81" i="30"/>
  <c r="AL110" i="5"/>
  <c r="AF110" i="5"/>
  <c r="AT80" i="30"/>
  <c r="AQ82" i="35" s="1"/>
  <c r="O110" i="5" s="1"/>
  <c r="AO82" i="35"/>
  <c r="AL81" i="30" l="1"/>
  <c r="AO81" i="30" s="1"/>
  <c r="AP81" i="30" s="1"/>
  <c r="AS81" i="30" s="1"/>
  <c r="AU81" i="30"/>
  <c r="AJ83" i="35"/>
  <c r="K111" i="5" s="1"/>
  <c r="W82" i="30"/>
  <c r="AA82" i="30" s="1"/>
  <c r="AB82" i="30" s="1"/>
  <c r="AJ110" i="5"/>
  <c r="AH110" i="5"/>
  <c r="AL83" i="35"/>
  <c r="L111" i="5" s="1"/>
  <c r="AM83" i="35"/>
  <c r="AR81" i="30"/>
  <c r="Q81" i="30" l="1"/>
  <c r="AQ81" i="30"/>
  <c r="AN83" i="35"/>
  <c r="AC111" i="5"/>
  <c r="AM111" i="5" s="1"/>
  <c r="AE82" i="30"/>
  <c r="Y82" i="30"/>
  <c r="Z82" i="30" s="1"/>
  <c r="AC82" i="30" s="1"/>
  <c r="AT81" i="30"/>
  <c r="AQ83" i="35" s="1"/>
  <c r="O111" i="5" s="1"/>
  <c r="AO83" i="35"/>
  <c r="AK83" i="35"/>
  <c r="M111" i="5" s="1"/>
  <c r="Y111" i="5" s="1"/>
  <c r="AD82" i="30" l="1"/>
  <c r="AF82" i="30" s="1"/>
  <c r="AG82" i="30"/>
  <c r="AH82" i="30" s="1"/>
  <c r="AR84" i="35"/>
  <c r="Q112" i="5" s="1"/>
  <c r="AN82" i="30" l="1"/>
  <c r="AM82" i="30"/>
  <c r="AL82" i="30"/>
  <c r="AO82" i="30" s="1"/>
  <c r="AL111" i="5"/>
  <c r="AF111" i="5"/>
  <c r="AR82" i="30" l="1"/>
  <c r="Q82" i="30"/>
  <c r="AP82" i="30"/>
  <c r="AU82" i="30"/>
  <c r="W83" i="30"/>
  <c r="AJ84" i="35"/>
  <c r="K112" i="5" s="1"/>
  <c r="AJ111" i="5"/>
  <c r="AH111" i="5"/>
  <c r="AM84" i="35"/>
  <c r="AL84" i="35"/>
  <c r="L112" i="5" s="1"/>
  <c r="AC112" i="5" l="1"/>
  <c r="AM112" i="5" s="1"/>
  <c r="AQ82" i="30"/>
  <c r="AN84" i="35"/>
  <c r="AS82" i="30"/>
  <c r="AK84" i="35"/>
  <c r="M112" i="5" s="1"/>
  <c r="Y112" i="5" s="1"/>
  <c r="AA83" i="30"/>
  <c r="AB83" i="30" s="1"/>
  <c r="Y83" i="30"/>
  <c r="Z83" i="30" s="1"/>
  <c r="AE83" i="30"/>
  <c r="AC83" i="30" l="1"/>
  <c r="AT82" i="30"/>
  <c r="AQ84" i="35" s="1"/>
  <c r="O112" i="5" s="1"/>
  <c r="AO84" i="35"/>
  <c r="AR85" i="35"/>
  <c r="Q113" i="5" s="1"/>
  <c r="AL112" i="5" l="1"/>
  <c r="AF112" i="5"/>
  <c r="AG83" i="30"/>
  <c r="AH83" i="30" s="1"/>
  <c r="AD83" i="30"/>
  <c r="AF83" i="30" s="1"/>
  <c r="AH112" i="5" l="1"/>
  <c r="AJ112" i="5"/>
  <c r="AN83" i="30"/>
  <c r="AL83" i="30"/>
  <c r="AO83" i="30" s="1"/>
  <c r="AM83" i="30"/>
  <c r="AM85" i="35" l="1"/>
  <c r="AL85" i="35"/>
  <c r="AJ85" i="35"/>
  <c r="K113" i="5" s="1"/>
  <c r="AU83" i="30"/>
  <c r="W84" i="30"/>
  <c r="AP83" i="30"/>
  <c r="Q83" i="30"/>
  <c r="AR83" i="30"/>
  <c r="L113" i="5" l="1"/>
  <c r="AC113" i="5" s="1"/>
  <c r="AM113" i="5" s="1"/>
  <c r="AS83" i="30"/>
  <c r="AN85" i="35"/>
  <c r="AQ83" i="30"/>
  <c r="AK85" i="35"/>
  <c r="M113" i="5" s="1"/>
  <c r="Y113" i="5" s="1"/>
  <c r="AA84" i="30"/>
  <c r="AB84" i="30" s="1"/>
  <c r="Y84" i="30"/>
  <c r="Z84" i="30" s="1"/>
  <c r="AE84" i="30"/>
  <c r="AR86" i="35" l="1"/>
  <c r="Q114" i="5" s="1"/>
  <c r="AC84" i="30"/>
  <c r="AO85" i="35"/>
  <c r="AT83" i="30"/>
  <c r="AQ85" i="35" s="1"/>
  <c r="O113" i="5" s="1"/>
  <c r="AD84" i="30" l="1"/>
  <c r="AF84" i="30" s="1"/>
  <c r="AG84" i="30"/>
  <c r="AH84" i="30" s="1"/>
  <c r="AL113" i="5"/>
  <c r="X25" i="2" s="1"/>
  <c r="AB25" i="2" s="1"/>
  <c r="Q25" i="2" s="1"/>
  <c r="R25" i="2" s="1"/>
  <c r="S25" i="2" s="1"/>
  <c r="AF113" i="5"/>
  <c r="O25" i="2" l="1"/>
  <c r="P25" i="2"/>
  <c r="AN84" i="30"/>
  <c r="AL84" i="30"/>
  <c r="AO84" i="30" s="1"/>
  <c r="AM84" i="30"/>
  <c r="AJ113" i="5"/>
  <c r="AH113" i="5"/>
  <c r="Q84" i="30" l="1"/>
  <c r="AR84" i="30"/>
  <c r="AP84" i="30"/>
  <c r="AL86" i="35"/>
  <c r="AM86" i="35"/>
  <c r="AU84" i="30"/>
  <c r="W85" i="30"/>
  <c r="AJ86" i="35"/>
  <c r="K114" i="5" s="1"/>
  <c r="L114" i="5" l="1"/>
  <c r="AC114" i="5" s="1"/>
  <c r="AM114" i="5" s="1"/>
  <c r="AK86" i="35"/>
  <c r="M114" i="5" s="1"/>
  <c r="Y114" i="5" s="1"/>
  <c r="Y85" i="30"/>
  <c r="Z85" i="30" s="1"/>
  <c r="AE85" i="30"/>
  <c r="AA85" i="30"/>
  <c r="AB85" i="30" s="1"/>
  <c r="AS84" i="30"/>
  <c r="AN86" i="35"/>
  <c r="AQ84" i="30"/>
  <c r="AT84" i="30" l="1"/>
  <c r="AQ86" i="35" s="1"/>
  <c r="O114" i="5" s="1"/>
  <c r="AO86" i="35"/>
  <c r="AC85" i="30"/>
  <c r="AR87" i="35"/>
  <c r="Q115" i="5" s="1"/>
  <c r="AD85" i="30" l="1"/>
  <c r="AF85" i="30" s="1"/>
  <c r="AG85" i="30"/>
  <c r="AH85" i="30" s="1"/>
  <c r="AL114" i="5"/>
  <c r="AF114" i="5"/>
  <c r="AL85" i="30" l="1"/>
  <c r="AO85" i="30" s="1"/>
  <c r="AN85" i="30"/>
  <c r="AM85" i="30"/>
  <c r="AH114" i="5"/>
  <c r="AJ114" i="5"/>
  <c r="W86" i="30" l="1"/>
  <c r="AU85" i="30"/>
  <c r="AJ87" i="35"/>
  <c r="K115" i="5" s="1"/>
  <c r="AL87" i="35"/>
  <c r="AM87" i="35"/>
  <c r="Q85" i="30"/>
  <c r="AR85" i="30"/>
  <c r="AP85" i="30"/>
  <c r="L115" i="5" l="1"/>
  <c r="AC115" i="5" s="1"/>
  <c r="AM115" i="5" s="1"/>
  <c r="AN87" i="35"/>
  <c r="AS85" i="30"/>
  <c r="AQ85" i="30"/>
  <c r="AK87" i="35"/>
  <c r="M115" i="5" s="1"/>
  <c r="Y115" i="5" s="1"/>
  <c r="AE86" i="30"/>
  <c r="Y86" i="30"/>
  <c r="Z86" i="30" s="1"/>
  <c r="AA86" i="30"/>
  <c r="AB86" i="30" s="1"/>
  <c r="AC86" i="30" l="1"/>
  <c r="AD86" i="30"/>
  <c r="AF86" i="30" s="1"/>
  <c r="AG86" i="30"/>
  <c r="AH86" i="30" s="1"/>
  <c r="AM86" i="30"/>
  <c r="AT85" i="30"/>
  <c r="AQ87" i="35" s="1"/>
  <c r="O115" i="5" s="1"/>
  <c r="AO87" i="35"/>
  <c r="AR88" i="35"/>
  <c r="Q116" i="5" s="1"/>
  <c r="W87" i="30" l="1"/>
  <c r="AJ88" i="35"/>
  <c r="K116" i="5" s="1"/>
  <c r="AU86" i="30"/>
  <c r="AL115" i="5"/>
  <c r="AF115" i="5"/>
  <c r="AL86" i="30"/>
  <c r="AO86" i="30" s="1"/>
  <c r="AN86" i="30"/>
  <c r="AA87" i="30"/>
  <c r="AB87" i="30" s="1"/>
  <c r="AM88" i="35" l="1"/>
  <c r="AL88" i="35"/>
  <c r="L116" i="5" s="1"/>
  <c r="AR86" i="30"/>
  <c r="Q86" i="30"/>
  <c r="AP86" i="30"/>
  <c r="AH115" i="5"/>
  <c r="AJ115" i="5"/>
  <c r="AK88" i="35"/>
  <c r="M116" i="5" s="1"/>
  <c r="Y116" i="5" s="1"/>
  <c r="Y87" i="30"/>
  <c r="Z87" i="30" s="1"/>
  <c r="AC87" i="30" s="1"/>
  <c r="AE87" i="30"/>
  <c r="AC116" i="5" l="1"/>
  <c r="AM116" i="5" s="1"/>
  <c r="AD87" i="30"/>
  <c r="AF87" i="30" s="1"/>
  <c r="AG87" i="30"/>
  <c r="AH87" i="30" s="1"/>
  <c r="AR89" i="35"/>
  <c r="Q117" i="5" s="1"/>
  <c r="AN88" i="35"/>
  <c r="AS86" i="30"/>
  <c r="AQ86" i="30"/>
  <c r="AL87" i="30" l="1"/>
  <c r="AO87" i="30" s="1"/>
  <c r="AM87" i="30"/>
  <c r="AT86" i="30"/>
  <c r="AQ88" i="35" s="1"/>
  <c r="O116" i="5" s="1"/>
  <c r="AO88" i="35"/>
  <c r="AN87" i="30"/>
  <c r="AL116" i="5"/>
  <c r="AF116" i="5"/>
  <c r="AH116" i="5" l="1"/>
  <c r="AJ116" i="5"/>
  <c r="AU87" i="30"/>
  <c r="W88" i="30"/>
  <c r="AJ89" i="35"/>
  <c r="K117" i="5" s="1"/>
  <c r="AM89" i="35"/>
  <c r="AL89" i="35"/>
  <c r="AR87" i="30"/>
  <c r="Q87" i="30"/>
  <c r="AP87" i="30"/>
  <c r="L117" i="5" l="1"/>
  <c r="AC117" i="5" s="1"/>
  <c r="AM117" i="5" s="1"/>
  <c r="AN89" i="35"/>
  <c r="AS87" i="30"/>
  <c r="AQ87" i="30"/>
  <c r="AK89" i="35"/>
  <c r="M117" i="5" s="1"/>
  <c r="Y117" i="5" s="1"/>
  <c r="Y88" i="30"/>
  <c r="Z88" i="30" s="1"/>
  <c r="AE88" i="30"/>
  <c r="AA88" i="30"/>
  <c r="AB88" i="30" s="1"/>
  <c r="AC88" i="30" l="1"/>
  <c r="AD88" i="30" s="1"/>
  <c r="AF88" i="30" s="1"/>
  <c r="AR90" i="35"/>
  <c r="Q118" i="5" s="1"/>
  <c r="AO89" i="35"/>
  <c r="AT87" i="30"/>
  <c r="AQ89" i="35" s="1"/>
  <c r="O117" i="5" s="1"/>
  <c r="AG88" i="30" l="1"/>
  <c r="AH88" i="30" s="1"/>
  <c r="AM88" i="30" s="1"/>
  <c r="AU88" i="30" s="1"/>
  <c r="AL88" i="30"/>
  <c r="AO88" i="30" s="1"/>
  <c r="AN88" i="30"/>
  <c r="AL117" i="5"/>
  <c r="AF117" i="5"/>
  <c r="AJ90" i="35" l="1"/>
  <c r="K118" i="5" s="1"/>
  <c r="W89" i="30"/>
  <c r="AA89" i="30" s="1"/>
  <c r="AB89" i="30" s="1"/>
  <c r="AH117" i="5"/>
  <c r="AJ117" i="5"/>
  <c r="Q88" i="30"/>
  <c r="AR88" i="30"/>
  <c r="AP88" i="30"/>
  <c r="AK90" i="35"/>
  <c r="M118" i="5" s="1"/>
  <c r="Y118" i="5" s="1"/>
  <c r="AM90" i="35"/>
  <c r="AL90" i="35"/>
  <c r="AE89" i="30" l="1"/>
  <c r="Y89" i="30"/>
  <c r="Z89" i="30" s="1"/>
  <c r="AC89" i="30" s="1"/>
  <c r="AD89" i="30" s="1"/>
  <c r="AF89" i="30" s="1"/>
  <c r="L118" i="5"/>
  <c r="AC118" i="5" s="1"/>
  <c r="AM118" i="5" s="1"/>
  <c r="AS88" i="30"/>
  <c r="AN90" i="35"/>
  <c r="AQ88" i="30"/>
  <c r="AR91" i="35"/>
  <c r="Q119" i="5" s="1"/>
  <c r="AG89" i="30" l="1"/>
  <c r="AH89" i="30" s="1"/>
  <c r="AL118" i="5"/>
  <c r="AF118" i="5"/>
  <c r="AT88" i="30"/>
  <c r="AQ90" i="35" s="1"/>
  <c r="O118" i="5" s="1"/>
  <c r="AO90" i="35"/>
  <c r="AM89" i="30"/>
  <c r="AL89" i="30"/>
  <c r="AO89" i="30" s="1"/>
  <c r="AN89" i="30"/>
  <c r="AL91" i="35" l="1"/>
  <c r="L119" i="5" s="1"/>
  <c r="AM91" i="35"/>
  <c r="Q89" i="30"/>
  <c r="AR89" i="30"/>
  <c r="AP89" i="30"/>
  <c r="AH118" i="5"/>
  <c r="AJ118" i="5"/>
  <c r="W90" i="30"/>
  <c r="AU89" i="30"/>
  <c r="AJ91" i="35"/>
  <c r="K119" i="5" s="1"/>
  <c r="AC119" i="5" l="1"/>
  <c r="AM119" i="5" s="1"/>
  <c r="AS89" i="30"/>
  <c r="AN91" i="35"/>
  <c r="AQ89" i="30"/>
  <c r="AE90" i="30"/>
  <c r="Y90" i="30"/>
  <c r="Z90" i="30" s="1"/>
  <c r="AA90" i="30"/>
  <c r="AB90" i="30" s="1"/>
  <c r="AK91" i="35"/>
  <c r="M119" i="5" s="1"/>
  <c r="Y119" i="5" s="1"/>
  <c r="AC90" i="30" l="1"/>
  <c r="AD90" i="30" s="1"/>
  <c r="AF90" i="30" s="1"/>
  <c r="AR92" i="35"/>
  <c r="Q120" i="5" s="1"/>
  <c r="AM90" i="30"/>
  <c r="AG90" i="30"/>
  <c r="AH90" i="30" s="1"/>
  <c r="AN90" i="30" s="1"/>
  <c r="AT89" i="30"/>
  <c r="AQ91" i="35" s="1"/>
  <c r="O119" i="5" s="1"/>
  <c r="AO91" i="35"/>
  <c r="AL90" i="30" l="1"/>
  <c r="AO90" i="30" s="1"/>
  <c r="AJ92" i="35"/>
  <c r="K120" i="5" s="1"/>
  <c r="W91" i="30"/>
  <c r="AA91" i="30" s="1"/>
  <c r="AB91" i="30" s="1"/>
  <c r="AU90" i="30"/>
  <c r="AF119" i="5"/>
  <c r="AL119" i="5"/>
  <c r="AM92" i="35"/>
  <c r="AL92" i="35"/>
  <c r="L120" i="5" s="1"/>
  <c r="Y91" i="30" l="1"/>
  <c r="Z91" i="30" s="1"/>
  <c r="AE91" i="30"/>
  <c r="AK92" i="35"/>
  <c r="M120" i="5" s="1"/>
  <c r="Y120" i="5" s="1"/>
  <c r="AC91" i="30"/>
  <c r="AH119" i="5"/>
  <c r="AC120" i="5" s="1"/>
  <c r="AM120" i="5" s="1"/>
  <c r="AJ119" i="5"/>
  <c r="Q90" i="30"/>
  <c r="AR90" i="30"/>
  <c r="AP90" i="30"/>
  <c r="AS90" i="30" l="1"/>
  <c r="AN92" i="35"/>
  <c r="AQ90" i="30"/>
  <c r="AR93" i="35"/>
  <c r="Q121" i="5" s="1"/>
  <c r="AG91" i="30"/>
  <c r="AH91" i="30" s="1"/>
  <c r="AD91" i="30"/>
  <c r="AF91" i="30" s="1"/>
  <c r="AN91" i="30" l="1"/>
  <c r="AL93" i="35" s="1"/>
  <c r="L121" i="5" s="1"/>
  <c r="AL120" i="5"/>
  <c r="AF120" i="5"/>
  <c r="AL91" i="30"/>
  <c r="AO91" i="30" s="1"/>
  <c r="AM91" i="30"/>
  <c r="AT90" i="30"/>
  <c r="AQ92" i="35" s="1"/>
  <c r="O120" i="5" s="1"/>
  <c r="AO92" i="35"/>
  <c r="AM93" i="35" l="1"/>
  <c r="AJ93" i="35"/>
  <c r="K121" i="5" s="1"/>
  <c r="AU91" i="30"/>
  <c r="W92" i="30"/>
  <c r="AR91" i="30"/>
  <c r="Q91" i="30"/>
  <c r="AP91" i="30"/>
  <c r="AH120" i="5"/>
  <c r="AC121" i="5" s="1"/>
  <c r="AM121" i="5" s="1"/>
  <c r="AJ120" i="5"/>
  <c r="Y92" i="30" l="1"/>
  <c r="Z92" i="30" s="1"/>
  <c r="AA92" i="30"/>
  <c r="AB92" i="30" s="1"/>
  <c r="AE92" i="30"/>
  <c r="AQ91" i="30"/>
  <c r="AN93" i="35"/>
  <c r="AS91" i="30"/>
  <c r="AK93" i="35"/>
  <c r="M121" i="5" s="1"/>
  <c r="Y121" i="5" s="1"/>
  <c r="AC92" i="30" l="1"/>
  <c r="AR94" i="35"/>
  <c r="Q122" i="5" s="1"/>
  <c r="AT91" i="30"/>
  <c r="AQ93" i="35" s="1"/>
  <c r="O121" i="5" s="1"/>
  <c r="AO93" i="35"/>
  <c r="AD92" i="30"/>
  <c r="AF92" i="30" s="1"/>
  <c r="AG92" i="30"/>
  <c r="AH92" i="30" s="1"/>
  <c r="AN92" i="30" l="1"/>
  <c r="AL92" i="30"/>
  <c r="AO92" i="30" s="1"/>
  <c r="AM92" i="30"/>
  <c r="AL121" i="5"/>
  <c r="AF121" i="5"/>
  <c r="AU92" i="30" l="1"/>
  <c r="AJ94" i="35"/>
  <c r="K122" i="5" s="1"/>
  <c r="W93" i="30"/>
  <c r="AR92" i="30"/>
  <c r="AP92" i="30"/>
  <c r="Q92" i="30"/>
  <c r="AH121" i="5"/>
  <c r="AJ121" i="5"/>
  <c r="AL94" i="35"/>
  <c r="AM94" i="35"/>
  <c r="L122" i="5" l="1"/>
  <c r="AC122" i="5" s="1"/>
  <c r="AM122" i="5" s="1"/>
  <c r="AE93" i="30"/>
  <c r="AA93" i="30"/>
  <c r="AB93" i="30" s="1"/>
  <c r="Y93" i="30"/>
  <c r="Z93" i="30" s="1"/>
  <c r="AK94" i="35"/>
  <c r="M122" i="5" s="1"/>
  <c r="Y122" i="5" s="1"/>
  <c r="AS92" i="30"/>
  <c r="AN94" i="35"/>
  <c r="AQ92" i="30"/>
  <c r="AT92" i="30" l="1"/>
  <c r="AQ94" i="35" s="1"/>
  <c r="O122" i="5" s="1"/>
  <c r="AO94" i="35"/>
  <c r="AC93" i="30"/>
  <c r="AR95" i="35"/>
  <c r="Q123" i="5" s="1"/>
  <c r="AF122" i="5" l="1"/>
  <c r="AL122" i="5"/>
  <c r="AD93" i="30"/>
  <c r="AF93" i="30" s="1"/>
  <c r="AG93" i="30"/>
  <c r="AH93" i="30" s="1"/>
  <c r="AN93" i="30" l="1"/>
  <c r="AL93" i="30"/>
  <c r="AO93" i="30" s="1"/>
  <c r="AM93" i="30"/>
  <c r="AJ122" i="5"/>
  <c r="AH122" i="5"/>
  <c r="AJ95" i="35" l="1"/>
  <c r="K123" i="5" s="1"/>
  <c r="AU93" i="30"/>
  <c r="W94" i="30"/>
  <c r="AR93" i="30"/>
  <c r="Q93" i="30"/>
  <c r="AP93" i="30"/>
  <c r="AL95" i="35"/>
  <c r="AM95" i="35"/>
  <c r="L123" i="5" l="1"/>
  <c r="AC123" i="5" s="1"/>
  <c r="AM123" i="5" s="1"/>
  <c r="AA94" i="30"/>
  <c r="AB94" i="30" s="1"/>
  <c r="AE94" i="30"/>
  <c r="Y94" i="30"/>
  <c r="Z94" i="30" s="1"/>
  <c r="AC94" i="30" s="1"/>
  <c r="AN95" i="35"/>
  <c r="AS93" i="30"/>
  <c r="AQ93" i="30"/>
  <c r="AK95" i="35"/>
  <c r="M123" i="5" s="1"/>
  <c r="Y123" i="5" s="1"/>
  <c r="AR96" i="35" l="1"/>
  <c r="Q124" i="5" s="1"/>
  <c r="AD94" i="30"/>
  <c r="AF94" i="30" s="1"/>
  <c r="AG94" i="30"/>
  <c r="AH94" i="30" s="1"/>
  <c r="AN94" i="30" s="1"/>
  <c r="AM94" i="30"/>
  <c r="AT93" i="30"/>
  <c r="AQ95" i="35" s="1"/>
  <c r="O123" i="5" s="1"/>
  <c r="AO95" i="35"/>
  <c r="AL94" i="30" l="1"/>
  <c r="AO94" i="30" s="1"/>
  <c r="Q94" i="30" s="1"/>
  <c r="AL96" i="35"/>
  <c r="L124" i="5" s="1"/>
  <c r="AM96" i="35"/>
  <c r="W95" i="30"/>
  <c r="AJ96" i="35"/>
  <c r="K124" i="5" s="1"/>
  <c r="AU94" i="30"/>
  <c r="AR94" i="30"/>
  <c r="AP94" i="30"/>
  <c r="AL123" i="5"/>
  <c r="AF123" i="5"/>
  <c r="AA95" i="30" l="1"/>
  <c r="AB95" i="30" s="1"/>
  <c r="Y95" i="30"/>
  <c r="Z95" i="30" s="1"/>
  <c r="AE95" i="30"/>
  <c r="AH123" i="5"/>
  <c r="AC124" i="5" s="1"/>
  <c r="AM124" i="5" s="1"/>
  <c r="AJ123" i="5"/>
  <c r="AS94" i="30"/>
  <c r="AN96" i="35"/>
  <c r="AQ94" i="30"/>
  <c r="AK96" i="35"/>
  <c r="M124" i="5" s="1"/>
  <c r="Y124" i="5" s="1"/>
  <c r="AC95" i="30" l="1"/>
  <c r="AD95" i="30" s="1"/>
  <c r="AF95" i="30" s="1"/>
  <c r="AT94" i="30"/>
  <c r="AQ96" i="35" s="1"/>
  <c r="O124" i="5" s="1"/>
  <c r="AO96" i="35"/>
  <c r="AR97" i="35"/>
  <c r="Q125" i="5" s="1"/>
  <c r="AG95" i="30" l="1"/>
  <c r="AH95" i="30" s="1"/>
  <c r="AM95" i="30"/>
  <c r="AJ97" i="35" s="1"/>
  <c r="K125" i="5" s="1"/>
  <c r="AL124" i="5"/>
  <c r="AF124" i="5"/>
  <c r="AN95" i="30" l="1"/>
  <c r="AL95" i="30"/>
  <c r="AO95" i="30" s="1"/>
  <c r="AU95" i="30"/>
  <c r="W96" i="30"/>
  <c r="AA96" i="30" s="1"/>
  <c r="AB96" i="30" s="1"/>
  <c r="AK97" i="35"/>
  <c r="M125" i="5" s="1"/>
  <c r="Y125" i="5" s="1"/>
  <c r="AH124" i="5"/>
  <c r="AJ124" i="5"/>
  <c r="Y96" i="30" l="1"/>
  <c r="Z96" i="30" s="1"/>
  <c r="AE96" i="30"/>
  <c r="AL97" i="35"/>
  <c r="AM97" i="35"/>
  <c r="AP95" i="30"/>
  <c r="AR95" i="30"/>
  <c r="Q95" i="30"/>
  <c r="AC96" i="30"/>
  <c r="AD96" i="30" s="1"/>
  <c r="AF96" i="30" s="1"/>
  <c r="AR98" i="35"/>
  <c r="Q126" i="5" s="1"/>
  <c r="L125" i="5" l="1"/>
  <c r="AC125" i="5" s="1"/>
  <c r="AN97" i="35"/>
  <c r="AQ95" i="30"/>
  <c r="AS95" i="30"/>
  <c r="AG96" i="30"/>
  <c r="AH96" i="30" s="1"/>
  <c r="AL125" i="5"/>
  <c r="AM125" i="5" l="1"/>
  <c r="AF125" i="5"/>
  <c r="AL96" i="30"/>
  <c r="AO96" i="30" s="1"/>
  <c r="AP96" i="30" s="1"/>
  <c r="AS96" i="30" s="1"/>
  <c r="AO98" i="35" s="1"/>
  <c r="AT95" i="30"/>
  <c r="AQ97" i="35" s="1"/>
  <c r="O125" i="5" s="1"/>
  <c r="AO97" i="35"/>
  <c r="AN98" i="35"/>
  <c r="AR96" i="30"/>
  <c r="AN96" i="30"/>
  <c r="AQ96" i="30" s="1"/>
  <c r="AM96" i="30"/>
  <c r="Q96" i="30"/>
  <c r="AH125" i="5"/>
  <c r="AJ125" i="5"/>
  <c r="AT96" i="30" l="1"/>
  <c r="AQ98" i="35" s="1"/>
  <c r="O126" i="5" s="1"/>
  <c r="AJ98" i="35"/>
  <c r="K126" i="5" s="1"/>
  <c r="W97" i="30"/>
  <c r="AU96" i="30"/>
  <c r="AM98" i="35"/>
  <c r="AL98" i="35"/>
  <c r="L126" i="5" l="1"/>
  <c r="AC126" i="5" s="1"/>
  <c r="AM126" i="5" s="1"/>
  <c r="AA97" i="30"/>
  <c r="AB97" i="30" s="1"/>
  <c r="AE97" i="30"/>
  <c r="Y97" i="30"/>
  <c r="Z97" i="30" s="1"/>
  <c r="AK98" i="35"/>
  <c r="M126" i="5" s="1"/>
  <c r="Y126" i="5" s="1"/>
  <c r="AR99" i="35" l="1"/>
  <c r="Q127" i="5" s="1"/>
  <c r="AC97" i="30"/>
  <c r="AD97" i="30" l="1"/>
  <c r="AF97" i="30" s="1"/>
  <c r="AG97" i="30"/>
  <c r="AH97" i="30" s="1"/>
  <c r="AL126" i="5"/>
  <c r="AF126" i="5"/>
  <c r="AH126" i="5" l="1"/>
  <c r="AJ126" i="5"/>
  <c r="AM97" i="30"/>
  <c r="AL97" i="30"/>
  <c r="AO97" i="30" s="1"/>
  <c r="AN97" i="30"/>
  <c r="W98" i="30" l="1"/>
  <c r="AU97" i="30"/>
  <c r="AJ99" i="35"/>
  <c r="K127" i="5" s="1"/>
  <c r="AP97" i="30"/>
  <c r="Q97" i="30"/>
  <c r="AR97" i="30"/>
  <c r="AL99" i="35"/>
  <c r="AM99" i="35"/>
  <c r="L127" i="5" l="1"/>
  <c r="AC127" i="5" s="1"/>
  <c r="AM127" i="5" s="1"/>
  <c r="AN99" i="35"/>
  <c r="AQ97" i="30"/>
  <c r="AS97" i="30"/>
  <c r="AK99" i="35"/>
  <c r="M127" i="5" s="1"/>
  <c r="Y127" i="5" s="1"/>
  <c r="AE98" i="30"/>
  <c r="AA98" i="30"/>
  <c r="AB98" i="30" s="1"/>
  <c r="Y98" i="30"/>
  <c r="Z98" i="30" s="1"/>
  <c r="AC98" i="30" l="1"/>
  <c r="AT97" i="30"/>
  <c r="AQ99" i="35" s="1"/>
  <c r="O127" i="5" s="1"/>
  <c r="AO99" i="35"/>
  <c r="AR100" i="35"/>
  <c r="Q128" i="5" s="1"/>
  <c r="AL127" i="5" l="1"/>
  <c r="AF127" i="5"/>
  <c r="AG98" i="30"/>
  <c r="AH98" i="30" s="1"/>
  <c r="AD98" i="30"/>
  <c r="AF98" i="30" s="1"/>
  <c r="AN98" i="30" l="1"/>
  <c r="AL98" i="30"/>
  <c r="AO98" i="30" s="1"/>
  <c r="AM98" i="30"/>
  <c r="AH127" i="5"/>
  <c r="AJ127" i="5"/>
  <c r="AU98" i="30" l="1"/>
  <c r="W99" i="30"/>
  <c r="AJ100" i="35"/>
  <c r="K128" i="5" s="1"/>
  <c r="AR98" i="30"/>
  <c r="Q98" i="30"/>
  <c r="AP98" i="30"/>
  <c r="AM100" i="35"/>
  <c r="AL100" i="35"/>
  <c r="L128" i="5" l="1"/>
  <c r="AC128" i="5" s="1"/>
  <c r="AM128" i="5" s="1"/>
  <c r="AS98" i="30"/>
  <c r="AN100" i="35"/>
  <c r="AQ98" i="30"/>
  <c r="Y99" i="30"/>
  <c r="Z99" i="30" s="1"/>
  <c r="AE99" i="30"/>
  <c r="AA99" i="30"/>
  <c r="AB99" i="30" s="1"/>
  <c r="AK100" i="35"/>
  <c r="M128" i="5" s="1"/>
  <c r="Y128" i="5" s="1"/>
  <c r="AR101" i="35" l="1"/>
  <c r="Q129" i="5" s="1"/>
  <c r="AC99" i="30"/>
  <c r="AT98" i="30"/>
  <c r="AQ100" i="35" s="1"/>
  <c r="O128" i="5" s="1"/>
  <c r="AO100" i="35"/>
  <c r="AD99" i="30" l="1"/>
  <c r="AF99" i="30" s="1"/>
  <c r="AG99" i="30"/>
  <c r="AH99" i="30" s="1"/>
  <c r="AL128" i="5"/>
  <c r="AF128" i="5"/>
  <c r="AN99" i="30" l="1"/>
  <c r="AM99" i="30"/>
  <c r="AL99" i="30"/>
  <c r="AO99" i="30" s="1"/>
  <c r="AJ128" i="5"/>
  <c r="AH128" i="5"/>
  <c r="AR99" i="30" l="1"/>
  <c r="Q99" i="30"/>
  <c r="AP99" i="30"/>
  <c r="AU99" i="30"/>
  <c r="AJ101" i="35"/>
  <c r="K129" i="5" s="1"/>
  <c r="W100" i="30"/>
  <c r="AL101" i="35"/>
  <c r="AM101" i="35"/>
  <c r="L129" i="5" l="1"/>
  <c r="AC129" i="5" s="1"/>
  <c r="AM129" i="5" s="1"/>
  <c r="AN101" i="35"/>
  <c r="AS99" i="30"/>
  <c r="AQ99" i="30"/>
  <c r="AE100" i="30"/>
  <c r="Y100" i="30"/>
  <c r="Z100" i="30" s="1"/>
  <c r="AA100" i="30"/>
  <c r="AB100" i="30" s="1"/>
  <c r="AK101" i="35"/>
  <c r="M129" i="5" s="1"/>
  <c r="Y129" i="5" s="1"/>
  <c r="AR102" i="35" l="1"/>
  <c r="Q130" i="5" s="1"/>
  <c r="AC100" i="30"/>
  <c r="AO101" i="35"/>
  <c r="AT99" i="30"/>
  <c r="AQ101" i="35" s="1"/>
  <c r="O129" i="5" s="1"/>
  <c r="AL129" i="5" l="1"/>
  <c r="AF129" i="5"/>
  <c r="AD100" i="30"/>
  <c r="AF100" i="30" s="1"/>
  <c r="AG100" i="30"/>
  <c r="AH100" i="30" s="1"/>
  <c r="AN100" i="30" l="1"/>
  <c r="AL100" i="30"/>
  <c r="AO100" i="30" s="1"/>
  <c r="AM100" i="30"/>
  <c r="AJ129" i="5"/>
  <c r="AH129" i="5"/>
  <c r="W101" i="30" l="1"/>
  <c r="AJ102" i="35"/>
  <c r="K130" i="5" s="1"/>
  <c r="AU100" i="30"/>
  <c r="AM102" i="35"/>
  <c r="AL102" i="35"/>
  <c r="AR100" i="30"/>
  <c r="Q100" i="30"/>
  <c r="AP100" i="30"/>
  <c r="L130" i="5" l="1"/>
  <c r="AC130" i="5" s="1"/>
  <c r="AM130" i="5" s="1"/>
  <c r="AS100" i="30"/>
  <c r="AN102" i="35"/>
  <c r="AQ100" i="30"/>
  <c r="AK102" i="35"/>
  <c r="M130" i="5" s="1"/>
  <c r="Y130" i="5" s="1"/>
  <c r="AE101" i="30"/>
  <c r="Y101" i="30"/>
  <c r="Z101" i="30" s="1"/>
  <c r="AA101" i="30"/>
  <c r="AB101" i="30" s="1"/>
  <c r="AC101" i="30" l="1"/>
  <c r="AG101" i="30" s="1"/>
  <c r="AH101" i="30" s="1"/>
  <c r="AN101" i="30" s="1"/>
  <c r="AR103" i="35"/>
  <c r="Q131" i="5" s="1"/>
  <c r="AO102" i="35"/>
  <c r="AT100" i="30"/>
  <c r="AQ102" i="35" s="1"/>
  <c r="O130" i="5" s="1"/>
  <c r="AD101" i="30" l="1"/>
  <c r="AF101" i="30" s="1"/>
  <c r="AL130" i="5"/>
  <c r="AF130" i="5"/>
  <c r="AL103" i="35"/>
  <c r="L131" i="5" s="1"/>
  <c r="AM103" i="35"/>
  <c r="AL101" i="30"/>
  <c r="AO101" i="30" s="1"/>
  <c r="AM101" i="30"/>
  <c r="W102" i="30" l="1"/>
  <c r="AJ103" i="35"/>
  <c r="K131" i="5" s="1"/>
  <c r="AU101" i="30"/>
  <c r="AH130" i="5"/>
  <c r="AC131" i="5" s="1"/>
  <c r="AM131" i="5" s="1"/>
  <c r="AJ130" i="5"/>
  <c r="Q101" i="30"/>
  <c r="AR101" i="30"/>
  <c r="AP101" i="30"/>
  <c r="AK103" i="35" l="1"/>
  <c r="M131" i="5" s="1"/>
  <c r="Y131" i="5" s="1"/>
  <c r="AN103" i="35"/>
  <c r="AS101" i="30"/>
  <c r="AQ101" i="30"/>
  <c r="Y102" i="30"/>
  <c r="Z102" i="30" s="1"/>
  <c r="AE102" i="30"/>
  <c r="AA102" i="30"/>
  <c r="AB102" i="30" s="1"/>
  <c r="AC102" i="30" l="1"/>
  <c r="AG102" i="30" s="1"/>
  <c r="AH102" i="30" s="1"/>
  <c r="AO103" i="35"/>
  <c r="AT101" i="30"/>
  <c r="AQ103" i="35" s="1"/>
  <c r="O131" i="5" s="1"/>
  <c r="AR104" i="35"/>
  <c r="Q132" i="5" s="1"/>
  <c r="AN102" i="30" l="1"/>
  <c r="AM102" i="30"/>
  <c r="W103" i="30" s="1"/>
  <c r="AA103" i="30" s="1"/>
  <c r="AB103" i="30" s="1"/>
  <c r="AD102" i="30"/>
  <c r="AF102" i="30" s="1"/>
  <c r="AL102" i="30"/>
  <c r="AO102" i="30" s="1"/>
  <c r="AL131" i="5"/>
  <c r="AF131" i="5"/>
  <c r="AL104" i="35"/>
  <c r="L132" i="5" s="1"/>
  <c r="AM104" i="35"/>
  <c r="AU102" i="30" l="1"/>
  <c r="AJ104" i="35"/>
  <c r="AH131" i="5"/>
  <c r="AC132" i="5" s="1"/>
  <c r="AM132" i="5" s="1"/>
  <c r="AJ131" i="5"/>
  <c r="AE103" i="30"/>
  <c r="Y103" i="30"/>
  <c r="Z103" i="30" s="1"/>
  <c r="AC103" i="30" s="1"/>
  <c r="AR102" i="30"/>
  <c r="Q102" i="30"/>
  <c r="AP102" i="30"/>
  <c r="AK104" i="35" l="1"/>
  <c r="M132" i="5" s="1"/>
  <c r="K132" i="5"/>
  <c r="AS102" i="30"/>
  <c r="AN104" i="35"/>
  <c r="AQ102" i="30"/>
  <c r="AD103" i="30"/>
  <c r="AF103" i="30" s="1"/>
  <c r="AG103" i="30"/>
  <c r="AH103" i="30" s="1"/>
  <c r="Y132" i="5" l="1"/>
  <c r="AL132" i="5" s="1"/>
  <c r="AR105" i="35"/>
  <c r="Q133" i="5" s="1"/>
  <c r="AM103" i="30"/>
  <c r="AL103" i="30"/>
  <c r="AO103" i="30" s="1"/>
  <c r="AF132" i="5"/>
  <c r="AN103" i="30"/>
  <c r="AO104" i="35"/>
  <c r="AT102" i="30"/>
  <c r="AQ104" i="35" s="1"/>
  <c r="O132" i="5" s="1"/>
  <c r="AM105" i="35" l="1"/>
  <c r="AL105" i="35"/>
  <c r="L133" i="5" s="1"/>
  <c r="AH132" i="5"/>
  <c r="AJ132" i="5"/>
  <c r="AR103" i="30"/>
  <c r="Q103" i="30"/>
  <c r="AP103" i="30"/>
  <c r="AU103" i="30"/>
  <c r="AJ105" i="35"/>
  <c r="K133" i="5" s="1"/>
  <c r="W104" i="30"/>
  <c r="AK105" i="35" l="1"/>
  <c r="M133" i="5" s="1"/>
  <c r="Y133" i="5" s="1"/>
  <c r="AS103" i="30"/>
  <c r="AN105" i="35"/>
  <c r="AQ103" i="30"/>
  <c r="AE104" i="30"/>
  <c r="Y104" i="30"/>
  <c r="Z104" i="30" s="1"/>
  <c r="AA104" i="30"/>
  <c r="AB104" i="30" s="1"/>
  <c r="AC104" i="30" s="1"/>
  <c r="AC133" i="5"/>
  <c r="AM133" i="5" s="1"/>
  <c r="AT103" i="30" l="1"/>
  <c r="AQ105" i="35" s="1"/>
  <c r="O133" i="5" s="1"/>
  <c r="AO105" i="35"/>
  <c r="AD104" i="30"/>
  <c r="AF104" i="30" s="1"/>
  <c r="AG104" i="30"/>
  <c r="AH104" i="30" s="1"/>
  <c r="AN104" i="30" s="1"/>
  <c r="AR106" i="35"/>
  <c r="Q134" i="5" s="1"/>
  <c r="AM104" i="30" l="1"/>
  <c r="AM106" i="35"/>
  <c r="AL106" i="35"/>
  <c r="L134" i="5" s="1"/>
  <c r="AL104" i="30"/>
  <c r="AO104" i="30" s="1"/>
  <c r="AL133" i="5"/>
  <c r="AF133" i="5"/>
  <c r="AR104" i="30" l="1"/>
  <c r="Q104" i="30"/>
  <c r="AP104" i="30"/>
  <c r="AJ133" i="5"/>
  <c r="AH133" i="5"/>
  <c r="AC134" i="5" s="1"/>
  <c r="AM134" i="5" s="1"/>
  <c r="W105" i="30"/>
  <c r="AJ106" i="35"/>
  <c r="K134" i="5" s="1"/>
  <c r="AU104" i="30"/>
  <c r="AN106" i="35" l="1"/>
  <c r="AS104" i="30"/>
  <c r="AQ104" i="30"/>
  <c r="AE105" i="30"/>
  <c r="Y105" i="30"/>
  <c r="Z105" i="30" s="1"/>
  <c r="AA105" i="30"/>
  <c r="AB105" i="30" s="1"/>
  <c r="AK106" i="35"/>
  <c r="M134" i="5" s="1"/>
  <c r="Y134" i="5" s="1"/>
  <c r="AR107" i="35" l="1"/>
  <c r="Q135" i="5" s="1"/>
  <c r="AC105" i="30"/>
  <c r="AT104" i="30"/>
  <c r="AQ106" i="35" s="1"/>
  <c r="O134" i="5" s="1"/>
  <c r="AO106" i="35"/>
  <c r="AD105" i="30" l="1"/>
  <c r="AF105" i="30" s="1"/>
  <c r="AG105" i="30"/>
  <c r="AH105" i="30" s="1"/>
  <c r="AL134" i="5"/>
  <c r="AF134" i="5"/>
  <c r="AN105" i="30" l="1"/>
  <c r="AL105" i="30"/>
  <c r="AO105" i="30" s="1"/>
  <c r="AM105" i="30"/>
  <c r="AH134" i="5"/>
  <c r="AJ134" i="5"/>
  <c r="AU105" i="30" l="1"/>
  <c r="AJ107" i="35"/>
  <c r="K135" i="5" s="1"/>
  <c r="W106" i="30"/>
  <c r="AR105" i="30"/>
  <c r="Q105" i="30"/>
  <c r="AP105" i="30"/>
  <c r="AL107" i="35"/>
  <c r="AM107" i="35"/>
  <c r="L135" i="5" l="1"/>
  <c r="AC135" i="5" s="1"/>
  <c r="AM135" i="5" s="1"/>
  <c r="AS105" i="30"/>
  <c r="AN107" i="35"/>
  <c r="AQ105" i="30"/>
  <c r="Y106" i="30"/>
  <c r="Z106" i="30" s="1"/>
  <c r="AE106" i="30"/>
  <c r="AA106" i="30"/>
  <c r="AB106" i="30" s="1"/>
  <c r="AK107" i="35"/>
  <c r="M135" i="5" s="1"/>
  <c r="Y135" i="5" s="1"/>
  <c r="AR108" i="35" l="1"/>
  <c r="Q136" i="5" s="1"/>
  <c r="AC106" i="30"/>
  <c r="AO107" i="35"/>
  <c r="AT105" i="30"/>
  <c r="AQ107" i="35" s="1"/>
  <c r="O135" i="5" s="1"/>
  <c r="AG106" i="30" l="1"/>
  <c r="AH106" i="30" s="1"/>
  <c r="AD106" i="30"/>
  <c r="AF106" i="30" s="1"/>
  <c r="AL135" i="5"/>
  <c r="AF135" i="5"/>
  <c r="AJ135" i="5" l="1"/>
  <c r="AH135" i="5"/>
  <c r="AN106" i="30"/>
  <c r="AL106" i="30"/>
  <c r="AO106" i="30" s="1"/>
  <c r="AM106" i="30"/>
  <c r="W107" i="30" l="1"/>
  <c r="AJ108" i="35"/>
  <c r="K136" i="5" s="1"/>
  <c r="AU106" i="30"/>
  <c r="Q106" i="30"/>
  <c r="AR106" i="30"/>
  <c r="AP106" i="30"/>
  <c r="AM108" i="35"/>
  <c r="AL108" i="35"/>
  <c r="L136" i="5" l="1"/>
  <c r="AC136" i="5" s="1"/>
  <c r="AM136" i="5" s="1"/>
  <c r="AS106" i="30"/>
  <c r="AN108" i="35"/>
  <c r="AQ106" i="30"/>
  <c r="AK108" i="35"/>
  <c r="M136" i="5" s="1"/>
  <c r="Y136" i="5" s="1"/>
  <c r="Y107" i="30"/>
  <c r="Z107" i="30" s="1"/>
  <c r="AE107" i="30"/>
  <c r="AA107" i="30"/>
  <c r="AB107" i="30" s="1"/>
  <c r="AC107" i="30" s="1"/>
  <c r="AG107" i="30" l="1"/>
  <c r="AH107" i="30" s="1"/>
  <c r="AN107" i="30" s="1"/>
  <c r="AD107" i="30"/>
  <c r="AF107" i="30" s="1"/>
  <c r="AR109" i="35"/>
  <c r="Q137" i="5" s="1"/>
  <c r="AT106" i="30"/>
  <c r="AQ108" i="35" s="1"/>
  <c r="O136" i="5" s="1"/>
  <c r="AO108" i="35"/>
  <c r="AL136" i="5" l="1"/>
  <c r="AF136" i="5"/>
  <c r="AL109" i="35"/>
  <c r="L137" i="5" s="1"/>
  <c r="AM109" i="35"/>
  <c r="AM107" i="30"/>
  <c r="AL107" i="30"/>
  <c r="AO107" i="30" s="1"/>
  <c r="Q107" i="30" l="1"/>
  <c r="AR107" i="30"/>
  <c r="AP107" i="30"/>
  <c r="AH136" i="5"/>
  <c r="AC137" i="5" s="1"/>
  <c r="AM137" i="5" s="1"/>
  <c r="AJ136" i="5"/>
  <c r="W108" i="30"/>
  <c r="AU107" i="30"/>
  <c r="AJ109" i="35"/>
  <c r="K137" i="5" s="1"/>
  <c r="AE108" i="30" l="1"/>
  <c r="Y108" i="30"/>
  <c r="Z108" i="30" s="1"/>
  <c r="AA108" i="30"/>
  <c r="AB108" i="30" s="1"/>
  <c r="AC108" i="30" s="1"/>
  <c r="AS107" i="30"/>
  <c r="AN109" i="35"/>
  <c r="AQ107" i="30"/>
  <c r="AK109" i="35"/>
  <c r="M137" i="5" s="1"/>
  <c r="Y137" i="5" s="1"/>
  <c r="AO109" i="35" l="1"/>
  <c r="AT107" i="30"/>
  <c r="AQ109" i="35" s="1"/>
  <c r="O137" i="5" s="1"/>
  <c r="AD108" i="30"/>
  <c r="AF108" i="30" s="1"/>
  <c r="AG108" i="30"/>
  <c r="AH108" i="30" s="1"/>
  <c r="AN108" i="30" s="1"/>
  <c r="AR110" i="35"/>
  <c r="Q138" i="5" s="1"/>
  <c r="AL137" i="5" l="1"/>
  <c r="AF137" i="5"/>
  <c r="AL108" i="30"/>
  <c r="AO108" i="30" s="1"/>
  <c r="AM110" i="35"/>
  <c r="AL110" i="35"/>
  <c r="L138" i="5" s="1"/>
  <c r="AM108" i="30"/>
  <c r="AR108" i="30" l="1"/>
  <c r="Q108" i="30"/>
  <c r="AP108" i="30"/>
  <c r="AJ110" i="35"/>
  <c r="K138" i="5" s="1"/>
  <c r="AU108" i="30"/>
  <c r="W109" i="30"/>
  <c r="AJ137" i="5"/>
  <c r="AH137" i="5"/>
  <c r="AC138" i="5" s="1"/>
  <c r="AM138" i="5" s="1"/>
  <c r="AS108" i="30" l="1"/>
  <c r="AN110" i="35"/>
  <c r="AQ108" i="30"/>
  <c r="AK110" i="35"/>
  <c r="M138" i="5" s="1"/>
  <c r="Y138" i="5" s="1"/>
  <c r="AA109" i="30"/>
  <c r="AB109" i="30" s="1"/>
  <c r="Y109" i="30"/>
  <c r="Z109" i="30" s="1"/>
  <c r="AE109" i="30"/>
  <c r="AC109" i="30" l="1"/>
  <c r="AG109" i="30" s="1"/>
  <c r="AH109" i="30" s="1"/>
  <c r="AR111" i="35"/>
  <c r="Q139" i="5" s="1"/>
  <c r="AT108" i="30"/>
  <c r="AQ110" i="35" s="1"/>
  <c r="O138" i="5" s="1"/>
  <c r="AO110" i="35"/>
  <c r="AN109" i="30" l="1"/>
  <c r="AM111" i="35" s="1"/>
  <c r="AM109" i="30"/>
  <c r="W110" i="30" s="1"/>
  <c r="AD109" i="30"/>
  <c r="AF109" i="30" s="1"/>
  <c r="AL109" i="30"/>
  <c r="AO109" i="30" s="1"/>
  <c r="AP109" i="30" s="1"/>
  <c r="AQ109" i="30" s="1"/>
  <c r="AL138" i="5"/>
  <c r="AF138" i="5"/>
  <c r="AL111" i="35"/>
  <c r="L139" i="5" s="1"/>
  <c r="Q109" i="30" l="1"/>
  <c r="AR109" i="30"/>
  <c r="AS109" i="30"/>
  <c r="AN111" i="35"/>
  <c r="AU109" i="30"/>
  <c r="AJ111" i="35"/>
  <c r="AE110" i="30"/>
  <c r="Y110" i="30"/>
  <c r="Z110" i="30" s="1"/>
  <c r="AO111" i="35"/>
  <c r="AT109" i="30"/>
  <c r="AQ111" i="35" s="1"/>
  <c r="O139" i="5" s="1"/>
  <c r="AA110" i="30"/>
  <c r="AB110" i="30" s="1"/>
  <c r="AH138" i="5"/>
  <c r="AC139" i="5" s="1"/>
  <c r="AM139" i="5" s="1"/>
  <c r="AJ138" i="5"/>
  <c r="AC110" i="30" l="1"/>
  <c r="AK111" i="35"/>
  <c r="M139" i="5" s="1"/>
  <c r="K139" i="5"/>
  <c r="AD110" i="30"/>
  <c r="AF110" i="30" s="1"/>
  <c r="AG110" i="30"/>
  <c r="AH110" i="30" s="1"/>
  <c r="Y139" i="5" l="1"/>
  <c r="AF139" i="5" s="1"/>
  <c r="AR112" i="35"/>
  <c r="Q140" i="5" s="1"/>
  <c r="AN110" i="30"/>
  <c r="AM110" i="30"/>
  <c r="AL110" i="30"/>
  <c r="AO110" i="30" s="1"/>
  <c r="AL139" i="5"/>
  <c r="AR110" i="30" l="1"/>
  <c r="Q110" i="30"/>
  <c r="AP110" i="30"/>
  <c r="AU110" i="30"/>
  <c r="W111" i="30"/>
  <c r="AJ112" i="35"/>
  <c r="K140" i="5" s="1"/>
  <c r="AH139" i="5"/>
  <c r="AJ139" i="5"/>
  <c r="AM112" i="35"/>
  <c r="AL112" i="35"/>
  <c r="L140" i="5" s="1"/>
  <c r="AC140" i="5" l="1"/>
  <c r="AM140" i="5" s="1"/>
  <c r="AS110" i="30"/>
  <c r="AN112" i="35"/>
  <c r="AQ110" i="30"/>
  <c r="AK112" i="35"/>
  <c r="M140" i="5" s="1"/>
  <c r="Y140" i="5" s="1"/>
  <c r="AE111" i="30"/>
  <c r="Y111" i="30"/>
  <c r="Z111" i="30" s="1"/>
  <c r="AA111" i="30"/>
  <c r="AB111" i="30" s="1"/>
  <c r="AT110" i="30" l="1"/>
  <c r="AQ112" i="35" s="1"/>
  <c r="O140" i="5" s="1"/>
  <c r="AO112" i="35"/>
  <c r="AC111" i="30"/>
  <c r="AR113" i="35"/>
  <c r="Q141" i="5" s="1"/>
  <c r="AL140" i="5" l="1"/>
  <c r="AF140" i="5"/>
  <c r="AD111" i="30"/>
  <c r="AF111" i="30" s="1"/>
  <c r="AG111" i="30"/>
  <c r="AH111" i="30" s="1"/>
  <c r="AN111" i="30" l="1"/>
  <c r="AM111" i="30"/>
  <c r="AL111" i="30"/>
  <c r="AO111" i="30" s="1"/>
  <c r="AH140" i="5"/>
  <c r="AJ140" i="5"/>
  <c r="AU111" i="30" l="1"/>
  <c r="AJ113" i="35"/>
  <c r="K141" i="5" s="1"/>
  <c r="W112" i="30"/>
  <c r="AL113" i="35"/>
  <c r="AM113" i="35"/>
  <c r="Q111" i="30"/>
  <c r="AR111" i="30"/>
  <c r="AP111" i="30"/>
  <c r="L141" i="5" l="1"/>
  <c r="AC141" i="5" s="1"/>
  <c r="AM141" i="5" s="1"/>
  <c r="AE112" i="30"/>
  <c r="Y112" i="30"/>
  <c r="Z112" i="30" s="1"/>
  <c r="AA112" i="30"/>
  <c r="AB112" i="30" s="1"/>
  <c r="AN113" i="35"/>
  <c r="AS111" i="30"/>
  <c r="AQ111" i="30"/>
  <c r="AK113" i="35"/>
  <c r="M141" i="5" s="1"/>
  <c r="Y141" i="5" s="1"/>
  <c r="AR114" i="35" l="1"/>
  <c r="Q142" i="5" s="1"/>
  <c r="AC112" i="30"/>
  <c r="AT111" i="30"/>
  <c r="AQ113" i="35" s="1"/>
  <c r="O141" i="5" s="1"/>
  <c r="AO113" i="35"/>
  <c r="AD112" i="30" l="1"/>
  <c r="AF112" i="30" s="1"/>
  <c r="AG112" i="30"/>
  <c r="AH112" i="30" s="1"/>
  <c r="AL141" i="5"/>
  <c r="AF141" i="5"/>
  <c r="AL112" i="30" l="1"/>
  <c r="AO112" i="30" s="1"/>
  <c r="AN112" i="30"/>
  <c r="AM112" i="30"/>
  <c r="AJ141" i="5"/>
  <c r="AH141" i="5"/>
  <c r="AU112" i="30" l="1"/>
  <c r="W113" i="30"/>
  <c r="AJ114" i="35"/>
  <c r="K142" i="5" s="1"/>
  <c r="AM114" i="35"/>
  <c r="AL114" i="35"/>
  <c r="AR112" i="30"/>
  <c r="Q112" i="30"/>
  <c r="AP112" i="30"/>
  <c r="L142" i="5" l="1"/>
  <c r="AC142" i="5" s="1"/>
  <c r="AM142" i="5" s="1"/>
  <c r="AK114" i="35"/>
  <c r="M142" i="5" s="1"/>
  <c r="Y142" i="5" s="1"/>
  <c r="Y113" i="30"/>
  <c r="Z113" i="30" s="1"/>
  <c r="AE113" i="30"/>
  <c r="AA113" i="30"/>
  <c r="AB113" i="30" s="1"/>
  <c r="AN114" i="35"/>
  <c r="AS112" i="30"/>
  <c r="AQ112" i="30"/>
  <c r="AC113" i="30" l="1"/>
  <c r="AT112" i="30"/>
  <c r="AQ114" i="35" s="1"/>
  <c r="O142" i="5" s="1"/>
  <c r="AO114" i="35"/>
  <c r="AD113" i="30"/>
  <c r="AF113" i="30" s="1"/>
  <c r="AG113" i="30"/>
  <c r="AH113" i="30" s="1"/>
  <c r="AN113" i="30" s="1"/>
  <c r="AR115" i="35"/>
  <c r="Q143" i="5" s="1"/>
  <c r="AM115" i="35" l="1"/>
  <c r="AL115" i="35"/>
  <c r="L143" i="5" s="1"/>
  <c r="AM113" i="30"/>
  <c r="AL142" i="5"/>
  <c r="AF142" i="5"/>
  <c r="AL113" i="30"/>
  <c r="AO113" i="30" s="1"/>
  <c r="W114" i="30" l="1"/>
  <c r="AJ115" i="35"/>
  <c r="K143" i="5" s="1"/>
  <c r="AU113" i="30"/>
  <c r="Q113" i="30"/>
  <c r="AR113" i="30"/>
  <c r="AP113" i="30"/>
  <c r="AH142" i="5"/>
  <c r="AC143" i="5" s="1"/>
  <c r="AM143" i="5" s="1"/>
  <c r="AJ142" i="5"/>
  <c r="AN115" i="35" l="1"/>
  <c r="AS113" i="30"/>
  <c r="AQ113" i="30"/>
  <c r="AK115" i="35"/>
  <c r="M143" i="5" s="1"/>
  <c r="Y143" i="5" s="1"/>
  <c r="AE114" i="30"/>
  <c r="Y114" i="30"/>
  <c r="Z114" i="30" s="1"/>
  <c r="AA114" i="30"/>
  <c r="AB114" i="30" s="1"/>
  <c r="AC114" i="30" s="1"/>
  <c r="AG114" i="30" l="1"/>
  <c r="AH114" i="30" s="1"/>
  <c r="AN114" i="30" s="1"/>
  <c r="AD114" i="30"/>
  <c r="AF114" i="30" s="1"/>
  <c r="AR116" i="35"/>
  <c r="Q144" i="5" s="1"/>
  <c r="AT113" i="30"/>
  <c r="AQ115" i="35" s="1"/>
  <c r="O143" i="5" s="1"/>
  <c r="AO115" i="35"/>
  <c r="AL143" i="5" l="1"/>
  <c r="AF143" i="5"/>
  <c r="AL116" i="35"/>
  <c r="L144" i="5" s="1"/>
  <c r="AM116" i="35"/>
  <c r="AM114" i="30"/>
  <c r="AL114" i="30"/>
  <c r="AO114" i="30" s="1"/>
  <c r="Q114" i="30" l="1"/>
  <c r="AR114" i="30"/>
  <c r="AP114" i="30"/>
  <c r="AJ143" i="5"/>
  <c r="AH143" i="5"/>
  <c r="AC144" i="5" s="1"/>
  <c r="AM144" i="5" s="1"/>
  <c r="AJ116" i="35"/>
  <c r="K144" i="5" s="1"/>
  <c r="AU114" i="30"/>
  <c r="W115" i="30"/>
  <c r="AN116" i="35" l="1"/>
  <c r="AS114" i="30"/>
  <c r="AQ114" i="30"/>
  <c r="Y115" i="30"/>
  <c r="Z115" i="30" s="1"/>
  <c r="AE115" i="30"/>
  <c r="AA115" i="30"/>
  <c r="AB115" i="30" s="1"/>
  <c r="AK116" i="35"/>
  <c r="M144" i="5" s="1"/>
  <c r="Y144" i="5" s="1"/>
  <c r="AR117" i="35" l="1"/>
  <c r="Q145" i="5" s="1"/>
  <c r="AC115" i="30"/>
  <c r="AO116" i="35"/>
  <c r="AT114" i="30"/>
  <c r="AQ116" i="35" s="1"/>
  <c r="O144" i="5" s="1"/>
  <c r="AD115" i="30" l="1"/>
  <c r="AF115" i="30" s="1"/>
  <c r="AG115" i="30"/>
  <c r="AH115" i="30" s="1"/>
  <c r="AL144" i="5"/>
  <c r="AF144" i="5"/>
  <c r="AN115" i="30" l="1"/>
  <c r="AL115" i="30"/>
  <c r="AO115" i="30" s="1"/>
  <c r="AM115" i="30"/>
  <c r="AJ144" i="5"/>
  <c r="AH144" i="5"/>
  <c r="AU115" i="30" l="1"/>
  <c r="W116" i="30"/>
  <c r="AJ117" i="35"/>
  <c r="K145" i="5" s="1"/>
  <c r="AR115" i="30"/>
  <c r="Q115" i="30"/>
  <c r="AP115" i="30"/>
  <c r="AM117" i="35"/>
  <c r="AL117" i="35"/>
  <c r="L145" i="5" l="1"/>
  <c r="AC145" i="5" s="1"/>
  <c r="AM145" i="5" s="1"/>
  <c r="AN117" i="35"/>
  <c r="AS115" i="30"/>
  <c r="AQ115" i="30"/>
  <c r="AK117" i="35"/>
  <c r="M145" i="5" s="1"/>
  <c r="Y145" i="5" s="1"/>
  <c r="Y116" i="30"/>
  <c r="Z116" i="30" s="1"/>
  <c r="AE116" i="30"/>
  <c r="AA116" i="30"/>
  <c r="AB116" i="30" s="1"/>
  <c r="AC116" i="30" l="1"/>
  <c r="AM116" i="30"/>
  <c r="AG116" i="30"/>
  <c r="AH116" i="30" s="1"/>
  <c r="AN116" i="30" s="1"/>
  <c r="AD116" i="30"/>
  <c r="AF116" i="30" s="1"/>
  <c r="AR118" i="35"/>
  <c r="Q146" i="5" s="1"/>
  <c r="AT115" i="30"/>
  <c r="AQ117" i="35" s="1"/>
  <c r="O145" i="5" s="1"/>
  <c r="AO117" i="35"/>
  <c r="AL145" i="5" l="1"/>
  <c r="AF145" i="5"/>
  <c r="AL118" i="35"/>
  <c r="L146" i="5" s="1"/>
  <c r="AM118" i="35"/>
  <c r="AL116" i="30"/>
  <c r="AO116" i="30" s="1"/>
  <c r="AJ118" i="35"/>
  <c r="K146" i="5" s="1"/>
  <c r="W117" i="30"/>
  <c r="AA117" i="30" s="1"/>
  <c r="AB117" i="30" s="1"/>
  <c r="AU116" i="30"/>
  <c r="AK118" i="35" l="1"/>
  <c r="M146" i="5" s="1"/>
  <c r="Y146" i="5" s="1"/>
  <c r="AJ145" i="5"/>
  <c r="AH145" i="5"/>
  <c r="AC146" i="5" s="1"/>
  <c r="AM146" i="5" s="1"/>
  <c r="AE117" i="30"/>
  <c r="Y117" i="30"/>
  <c r="Z117" i="30" s="1"/>
  <c r="AC117" i="30" s="1"/>
  <c r="Q116" i="30"/>
  <c r="AR116" i="30"/>
  <c r="AP116" i="30"/>
  <c r="AD117" i="30" l="1"/>
  <c r="AF117" i="30" s="1"/>
  <c r="AG117" i="30"/>
  <c r="AH117" i="30" s="1"/>
  <c r="AN118" i="35"/>
  <c r="AS116" i="30"/>
  <c r="AQ116" i="30"/>
  <c r="AR119" i="35"/>
  <c r="Q147" i="5" s="1"/>
  <c r="AL117" i="30" l="1"/>
  <c r="AO117" i="30" s="1"/>
  <c r="AM117" i="30"/>
  <c r="AN117" i="30"/>
  <c r="AL146" i="5"/>
  <c r="AF146" i="5"/>
  <c r="AT116" i="30"/>
  <c r="AQ118" i="35" s="1"/>
  <c r="O146" i="5" s="1"/>
  <c r="AO118" i="35"/>
  <c r="AM119" i="35" l="1"/>
  <c r="AL119" i="35"/>
  <c r="L147" i="5" s="1"/>
  <c r="AU117" i="30"/>
  <c r="W118" i="30"/>
  <c r="AJ119" i="35"/>
  <c r="K147" i="5" s="1"/>
  <c r="AH146" i="5"/>
  <c r="AJ146" i="5"/>
  <c r="AR117" i="30"/>
  <c r="Q117" i="30"/>
  <c r="AP117" i="30"/>
  <c r="AS117" i="30" l="1"/>
  <c r="AN119" i="35"/>
  <c r="AQ117" i="30"/>
  <c r="AE118" i="30"/>
  <c r="Y118" i="30"/>
  <c r="Z118" i="30" s="1"/>
  <c r="AA118" i="30"/>
  <c r="AB118" i="30" s="1"/>
  <c r="AC118" i="30" s="1"/>
  <c r="AC147" i="5"/>
  <c r="AM147" i="5" s="1"/>
  <c r="AK119" i="35"/>
  <c r="M147" i="5" s="1"/>
  <c r="Y147" i="5" s="1"/>
  <c r="AR120" i="35" l="1"/>
  <c r="Q148" i="5" s="1"/>
  <c r="AG118" i="30"/>
  <c r="AH118" i="30" s="1"/>
  <c r="AN118" i="30" s="1"/>
  <c r="AD118" i="30"/>
  <c r="AF118" i="30" s="1"/>
  <c r="AO119" i="35"/>
  <c r="AT117" i="30"/>
  <c r="AQ119" i="35" s="1"/>
  <c r="O147" i="5" s="1"/>
  <c r="AM118" i="30" l="1"/>
  <c r="W119" i="30" s="1"/>
  <c r="AA119" i="30" s="1"/>
  <c r="AB119" i="30" s="1"/>
  <c r="AL118" i="30"/>
  <c r="AO118" i="30" s="1"/>
  <c r="AM120" i="35"/>
  <c r="AL120" i="35"/>
  <c r="L148" i="5" s="1"/>
  <c r="AL147" i="5"/>
  <c r="AF147" i="5"/>
  <c r="O8" i="30"/>
  <c r="AJ120" i="35" l="1"/>
  <c r="AU118" i="30"/>
  <c r="AJ147" i="5"/>
  <c r="AH147" i="5"/>
  <c r="AC148" i="5" s="1"/>
  <c r="AM148" i="5" s="1"/>
  <c r="Q118" i="30"/>
  <c r="AR118" i="30"/>
  <c r="AP118" i="30"/>
  <c r="AE119" i="30"/>
  <c r="Y119" i="30"/>
  <c r="Z119" i="30" s="1"/>
  <c r="AC119" i="30" s="1"/>
  <c r="O9" i="30"/>
  <c r="AK120" i="35" l="1"/>
  <c r="M148" i="5" s="1"/>
  <c r="K148" i="5"/>
  <c r="Y148" i="5" s="1"/>
  <c r="AG119" i="30"/>
  <c r="AH119" i="30" s="1"/>
  <c r="AD119" i="30"/>
  <c r="AF119" i="30" s="1"/>
  <c r="AR121" i="35"/>
  <c r="Q149" i="5" s="1"/>
  <c r="AN120" i="35"/>
  <c r="AS118" i="30"/>
  <c r="AQ118" i="30"/>
  <c r="AO120" i="35" l="1"/>
  <c r="AT118" i="30"/>
  <c r="AQ120" i="35" s="1"/>
  <c r="O148" i="5" s="1"/>
  <c r="AM119" i="30"/>
  <c r="AL119" i="30"/>
  <c r="AO119" i="30" s="1"/>
  <c r="AL148" i="5"/>
  <c r="AF148" i="5"/>
  <c r="AN119" i="30"/>
  <c r="AU119" i="30" l="1"/>
  <c r="AJ121" i="35"/>
  <c r="K149" i="5" s="1"/>
  <c r="W120" i="30"/>
  <c r="AH148" i="5"/>
  <c r="AJ148" i="5"/>
  <c r="AR119" i="30"/>
  <c r="Q119" i="30"/>
  <c r="AP119" i="30"/>
  <c r="AM121" i="35"/>
  <c r="AL121" i="35"/>
  <c r="L149" i="5" l="1"/>
  <c r="AC149" i="5" s="1"/>
  <c r="AM149" i="5" s="1"/>
  <c r="AE120" i="30"/>
  <c r="Y120" i="30"/>
  <c r="Z120" i="30" s="1"/>
  <c r="AA120" i="30"/>
  <c r="AB120" i="30" s="1"/>
  <c r="AC120" i="30" s="1"/>
  <c r="AK121" i="35"/>
  <c r="M149" i="5" s="1"/>
  <c r="Y149" i="5" s="1"/>
  <c r="AN121" i="35"/>
  <c r="AS119" i="30"/>
  <c r="AQ119" i="30"/>
  <c r="AR122" i="35" l="1"/>
  <c r="Q150" i="5" s="1"/>
  <c r="AO121" i="35"/>
  <c r="AT119" i="30"/>
  <c r="AQ121" i="35" s="1"/>
  <c r="O149" i="5" s="1"/>
  <c r="AD120" i="30"/>
  <c r="AF120" i="30" s="1"/>
  <c r="AG120" i="30"/>
  <c r="AH120" i="30" s="1"/>
  <c r="AN120" i="30" s="1"/>
  <c r="AL149" i="5" l="1"/>
  <c r="X26" i="2" s="1"/>
  <c r="AF149" i="5"/>
  <c r="AM120" i="30"/>
  <c r="AM122" i="35"/>
  <c r="AL122" i="35"/>
  <c r="L150" i="5" s="1"/>
  <c r="AL120" i="30"/>
  <c r="AO120" i="30" s="1"/>
  <c r="W121" i="30" l="1"/>
  <c r="AU120" i="30"/>
  <c r="AJ122" i="35"/>
  <c r="K150" i="5" s="1"/>
  <c r="AP120" i="30"/>
  <c r="AR120" i="30"/>
  <c r="Q120" i="30"/>
  <c r="AH149" i="5"/>
  <c r="AC150" i="5" s="1"/>
  <c r="AM150" i="5" s="1"/>
  <c r="AJ149" i="5"/>
  <c r="AA27" i="2"/>
  <c r="AK122" i="35" l="1"/>
  <c r="M150" i="5" s="1"/>
  <c r="Y150" i="5" s="1"/>
  <c r="AE121" i="30"/>
  <c r="Y121" i="30"/>
  <c r="Z121" i="30" s="1"/>
  <c r="AA121" i="30"/>
  <c r="AB121" i="30" s="1"/>
  <c r="AC121" i="30" s="1"/>
  <c r="AN122" i="35"/>
  <c r="AS120" i="30"/>
  <c r="AQ120" i="30"/>
  <c r="AT120" i="30" l="1"/>
  <c r="AQ122" i="35" s="1"/>
  <c r="O150" i="5" s="1"/>
  <c r="AO122" i="35"/>
  <c r="AR123" i="35"/>
  <c r="Q151" i="5" s="1"/>
  <c r="AG121" i="30"/>
  <c r="AH121" i="30" s="1"/>
  <c r="AD121" i="30"/>
  <c r="AF121" i="30" s="1"/>
  <c r="AM121" i="30" l="1"/>
  <c r="AN121" i="30"/>
  <c r="AF150" i="5"/>
  <c r="AL150" i="5"/>
  <c r="AL121" i="30"/>
  <c r="AO121" i="30" s="1"/>
  <c r="AR121" i="30" l="1"/>
  <c r="Q121" i="30"/>
  <c r="AP121" i="30"/>
  <c r="AH150" i="5"/>
  <c r="AJ150" i="5"/>
  <c r="AM123" i="35"/>
  <c r="AL123" i="35"/>
  <c r="AU121" i="30"/>
  <c r="AJ123" i="35"/>
  <c r="K151" i="5" s="1"/>
  <c r="W122" i="30"/>
  <c r="L151" i="5" l="1"/>
  <c r="AC151" i="5" s="1"/>
  <c r="AM151" i="5" s="1"/>
  <c r="AN123" i="35"/>
  <c r="AQ121" i="30"/>
  <c r="AS121" i="30"/>
  <c r="AE122" i="30"/>
  <c r="Y122" i="30"/>
  <c r="Z122" i="30" s="1"/>
  <c r="AA122" i="30"/>
  <c r="AB122" i="30" s="1"/>
  <c r="AK123" i="35"/>
  <c r="M151" i="5" s="1"/>
  <c r="Y151" i="5" s="1"/>
  <c r="AT121" i="30" l="1"/>
  <c r="AQ123" i="35" s="1"/>
  <c r="O151" i="5" s="1"/>
  <c r="AO123" i="35"/>
  <c r="AC122" i="30"/>
  <c r="AR124" i="35"/>
  <c r="Q152" i="5" s="1"/>
  <c r="AG122" i="30" l="1"/>
  <c r="AH122" i="30" s="1"/>
  <c r="AD122" i="30"/>
  <c r="AF122" i="30" s="1"/>
  <c r="AL151" i="5"/>
  <c r="AF151" i="5"/>
  <c r="AJ151" i="5" l="1"/>
  <c r="AH151" i="5"/>
  <c r="AN122" i="30"/>
  <c r="AL122" i="30"/>
  <c r="AO122" i="30" s="1"/>
  <c r="AM122" i="30"/>
  <c r="AL124" i="35" l="1"/>
  <c r="AM124" i="35"/>
  <c r="AU122" i="30"/>
  <c r="AJ124" i="35"/>
  <c r="K152" i="5" s="1"/>
  <c r="W123" i="30"/>
  <c r="Q122" i="30"/>
  <c r="AR122" i="30"/>
  <c r="AP122" i="30"/>
  <c r="L152" i="5" l="1"/>
  <c r="AC152" i="5" s="1"/>
  <c r="AM152" i="5" s="1"/>
  <c r="Y26" i="2" s="1"/>
  <c r="AK124" i="35"/>
  <c r="M152" i="5" s="1"/>
  <c r="Y152" i="5" s="1"/>
  <c r="AS122" i="30"/>
  <c r="AN124" i="35"/>
  <c r="AQ122" i="30"/>
  <c r="Y123" i="30"/>
  <c r="Z123" i="30" s="1"/>
  <c r="AE123" i="30"/>
  <c r="AA123" i="30"/>
  <c r="AB123" i="30" s="1"/>
  <c r="AC123" i="30" l="1"/>
  <c r="AO124" i="35"/>
  <c r="AT122" i="30"/>
  <c r="AQ124" i="35" s="1"/>
  <c r="O152" i="5" s="1"/>
  <c r="AR125" i="35"/>
  <c r="Q153" i="5" s="1"/>
  <c r="AF152" i="5" l="1"/>
  <c r="AL152" i="5"/>
  <c r="AB26" i="2" s="1"/>
  <c r="Q26" i="2" s="1"/>
  <c r="R26" i="2" s="1"/>
  <c r="S26" i="2" s="1"/>
  <c r="AD123" i="30"/>
  <c r="AF123" i="30" s="1"/>
  <c r="AG123" i="30"/>
  <c r="AH123" i="30" s="1"/>
  <c r="AN123" i="30" l="1"/>
  <c r="AL123" i="30"/>
  <c r="AO123" i="30" s="1"/>
  <c r="AM123" i="30"/>
  <c r="O26" i="2"/>
  <c r="P26" i="2"/>
  <c r="AH152" i="5"/>
  <c r="AJ152" i="5"/>
  <c r="AU123" i="30" l="1"/>
  <c r="W124" i="30"/>
  <c r="AJ125" i="35"/>
  <c r="K153" i="5" s="1"/>
  <c r="AR123" i="30"/>
  <c r="Q123" i="30"/>
  <c r="AP123" i="30"/>
  <c r="AL125" i="35"/>
  <c r="AM125" i="35"/>
  <c r="L153" i="5" l="1"/>
  <c r="AC153" i="5" s="1"/>
  <c r="AM153" i="5" s="1"/>
  <c r="AK125" i="35"/>
  <c r="M153" i="5" s="1"/>
  <c r="Y153" i="5" s="1"/>
  <c r="AN125" i="35"/>
  <c r="AS123" i="30"/>
  <c r="AQ123" i="30"/>
  <c r="AE124" i="30"/>
  <c r="Y124" i="30"/>
  <c r="Z124" i="30" s="1"/>
  <c r="AA124" i="30"/>
  <c r="AB124" i="30" s="1"/>
  <c r="AC124" i="30" l="1"/>
  <c r="AD124" i="30" s="1"/>
  <c r="AF124" i="30" s="1"/>
  <c r="AT123" i="30"/>
  <c r="AQ125" i="35" s="1"/>
  <c r="O153" i="5" s="1"/>
  <c r="AO125" i="35"/>
  <c r="AR126" i="35"/>
  <c r="Q154" i="5" s="1"/>
  <c r="AG124" i="30" l="1"/>
  <c r="AH124" i="30" s="1"/>
  <c r="AN124" i="30" s="1"/>
  <c r="AM124" i="30"/>
  <c r="AU124" i="30" s="1"/>
  <c r="AM126" i="35"/>
  <c r="AL126" i="35"/>
  <c r="L154" i="5" s="1"/>
  <c r="AL153" i="5"/>
  <c r="AF153" i="5"/>
  <c r="AL124" i="30"/>
  <c r="AO124" i="30" s="1"/>
  <c r="AJ126" i="35" l="1"/>
  <c r="K154" i="5" s="1"/>
  <c r="W125" i="30"/>
  <c r="Y125" i="30"/>
  <c r="Z125" i="30" s="1"/>
  <c r="AE125" i="30"/>
  <c r="AH153" i="5"/>
  <c r="AC154" i="5" s="1"/>
  <c r="AM154" i="5" s="1"/>
  <c r="AJ153" i="5"/>
  <c r="AR124" i="30"/>
  <c r="Q124" i="30"/>
  <c r="AP124" i="30"/>
  <c r="AA125" i="30"/>
  <c r="AB125" i="30" s="1"/>
  <c r="AK126" i="35" l="1"/>
  <c r="M154" i="5" s="1"/>
  <c r="Y154" i="5" s="1"/>
  <c r="AC125" i="30"/>
  <c r="AG125" i="30" s="1"/>
  <c r="AH125" i="30" s="1"/>
  <c r="AN126" i="35"/>
  <c r="AS124" i="30"/>
  <c r="AQ124" i="30"/>
  <c r="AR127" i="35" l="1"/>
  <c r="Q155" i="5" s="1"/>
  <c r="AD125" i="30"/>
  <c r="AF125" i="30" s="1"/>
  <c r="AT124" i="30"/>
  <c r="AQ126" i="35" s="1"/>
  <c r="O154" i="5" s="1"/>
  <c r="AO126" i="35"/>
  <c r="AL125" i="30"/>
  <c r="AO125" i="30" s="1"/>
  <c r="AM125" i="30"/>
  <c r="AL154" i="5"/>
  <c r="AF154" i="5"/>
  <c r="AN125" i="30"/>
  <c r="W126" i="30" l="1"/>
  <c r="AU125" i="30"/>
  <c r="AJ127" i="35"/>
  <c r="K155" i="5" s="1"/>
  <c r="Q125" i="30"/>
  <c r="AR125" i="30"/>
  <c r="AP125" i="30"/>
  <c r="AM127" i="35"/>
  <c r="AL127" i="35"/>
  <c r="AJ154" i="5"/>
  <c r="AH154" i="5"/>
  <c r="L155" i="5" l="1"/>
  <c r="AC155" i="5" s="1"/>
  <c r="AM155" i="5" s="1"/>
  <c r="AK127" i="35"/>
  <c r="M155" i="5" s="1"/>
  <c r="Y155" i="5" s="1"/>
  <c r="AN127" i="35"/>
  <c r="AS125" i="30"/>
  <c r="AQ125" i="30"/>
  <c r="Y126" i="30"/>
  <c r="Z126" i="30" s="1"/>
  <c r="AE126" i="30"/>
  <c r="AA126" i="30"/>
  <c r="AB126" i="30" s="1"/>
  <c r="AC126" i="30" l="1"/>
  <c r="AG126" i="30" s="1"/>
  <c r="AH126" i="30" s="1"/>
  <c r="AT125" i="30"/>
  <c r="AQ127" i="35" s="1"/>
  <c r="O155" i="5" s="1"/>
  <c r="AO127" i="35"/>
  <c r="AR128" i="35"/>
  <c r="Q156" i="5" s="1"/>
  <c r="AN126" i="30" l="1"/>
  <c r="AL126" i="30"/>
  <c r="AO126" i="30" s="1"/>
  <c r="AP126" i="30" s="1"/>
  <c r="AN128" i="35" s="1"/>
  <c r="AM126" i="30"/>
  <c r="AU126" i="30" s="1"/>
  <c r="AD126" i="30"/>
  <c r="AF126" i="30" s="1"/>
  <c r="AS126" i="30"/>
  <c r="AQ126" i="30"/>
  <c r="AL155" i="5"/>
  <c r="AF155" i="5"/>
  <c r="AR126" i="30"/>
  <c r="Q126" i="30"/>
  <c r="AM128" i="35"/>
  <c r="AL128" i="35"/>
  <c r="L156" i="5" s="1"/>
  <c r="AJ128" i="35" l="1"/>
  <c r="K156" i="5" s="1"/>
  <c r="W127" i="30"/>
  <c r="AA127" i="30" s="1"/>
  <c r="AB127" i="30" s="1"/>
  <c r="AE127" i="30"/>
  <c r="Y127" i="30"/>
  <c r="Z127" i="30" s="1"/>
  <c r="AK128" i="35"/>
  <c r="M156" i="5" s="1"/>
  <c r="Y156" i="5" s="1"/>
  <c r="AT126" i="30"/>
  <c r="AQ128" i="35" s="1"/>
  <c r="O156" i="5" s="1"/>
  <c r="AO128" i="35"/>
  <c r="AC127" i="30"/>
  <c r="AH155" i="5"/>
  <c r="AC156" i="5" s="1"/>
  <c r="AM156" i="5" s="1"/>
  <c r="AJ155" i="5"/>
  <c r="AD127" i="30" l="1"/>
  <c r="AF127" i="30" s="1"/>
  <c r="AG127" i="30"/>
  <c r="AH127" i="30" s="1"/>
  <c r="AR129" i="35"/>
  <c r="Q157" i="5" s="1"/>
  <c r="AL156" i="5" l="1"/>
  <c r="AF156" i="5"/>
  <c r="AN127" i="30"/>
  <c r="AM127" i="30"/>
  <c r="AL127" i="30"/>
  <c r="AO127" i="30" s="1"/>
  <c r="AJ129" i="35" l="1"/>
  <c r="K157" i="5" s="1"/>
  <c r="W128" i="30"/>
  <c r="AU127" i="30"/>
  <c r="AL129" i="35"/>
  <c r="L157" i="5" s="1"/>
  <c r="AM129" i="35"/>
  <c r="AH156" i="5"/>
  <c r="AJ156" i="5"/>
  <c r="Q127" i="30"/>
  <c r="AR127" i="30"/>
  <c r="AP127" i="30"/>
  <c r="AN129" i="35" l="1"/>
  <c r="AQ127" i="30"/>
  <c r="AS127" i="30"/>
  <c r="AC157" i="5"/>
  <c r="AM157" i="5" s="1"/>
  <c r="AA128" i="30"/>
  <c r="AB128" i="30" s="1"/>
  <c r="AE128" i="30"/>
  <c r="Y128" i="30"/>
  <c r="Z128" i="30" s="1"/>
  <c r="AK129" i="35"/>
  <c r="M157" i="5" s="1"/>
  <c r="Y157" i="5" s="1"/>
  <c r="AR130" i="35" l="1"/>
  <c r="Q158" i="5" s="1"/>
  <c r="AC128" i="30"/>
  <c r="AT127" i="30"/>
  <c r="AQ129" i="35" s="1"/>
  <c r="O157" i="5" s="1"/>
  <c r="AO129" i="35"/>
  <c r="AG128" i="30" l="1"/>
  <c r="AH128" i="30" s="1"/>
  <c r="AD128" i="30"/>
  <c r="AF128" i="30" s="1"/>
  <c r="AL157" i="5"/>
  <c r="AF157" i="5"/>
  <c r="AJ157" i="5" l="1"/>
  <c r="AH157" i="5"/>
  <c r="AN128" i="30"/>
  <c r="AL128" i="30"/>
  <c r="AO128" i="30" s="1"/>
  <c r="AM128" i="30"/>
  <c r="W129" i="30" l="1"/>
  <c r="AU128" i="30"/>
  <c r="AJ130" i="35"/>
  <c r="K158" i="5" s="1"/>
  <c r="Q128" i="30"/>
  <c r="AR128" i="30"/>
  <c r="AP128" i="30"/>
  <c r="AL130" i="35"/>
  <c r="AM130" i="35"/>
  <c r="L158" i="5" l="1"/>
  <c r="AC158" i="5" s="1"/>
  <c r="AM158" i="5" s="1"/>
  <c r="AN130" i="35"/>
  <c r="AS128" i="30"/>
  <c r="AQ128" i="30"/>
  <c r="AK130" i="35"/>
  <c r="M158" i="5" s="1"/>
  <c r="Y158" i="5" s="1"/>
  <c r="AE129" i="30"/>
  <c r="Y129" i="30"/>
  <c r="Z129" i="30" s="1"/>
  <c r="AA129" i="30"/>
  <c r="AB129" i="30" s="1"/>
  <c r="AC129" i="30" l="1"/>
  <c r="AR131" i="35"/>
  <c r="Q159" i="5" s="1"/>
  <c r="AT128" i="30"/>
  <c r="AQ130" i="35" s="1"/>
  <c r="O158" i="5" s="1"/>
  <c r="AO130" i="35"/>
  <c r="AL158" i="5" l="1"/>
  <c r="AF158" i="5"/>
  <c r="AD129" i="30"/>
  <c r="AF129" i="30" s="1"/>
  <c r="AG129" i="30"/>
  <c r="AH129" i="30" s="1"/>
  <c r="AN129" i="30" l="1"/>
  <c r="AM129" i="30"/>
  <c r="AL129" i="30"/>
  <c r="AO129" i="30" s="1"/>
  <c r="AJ158" i="5"/>
  <c r="AH158" i="5"/>
  <c r="AR129" i="30" l="1"/>
  <c r="Q129" i="30"/>
  <c r="AP129" i="30"/>
  <c r="AJ131" i="35"/>
  <c r="K159" i="5" s="1"/>
  <c r="AU129" i="30"/>
  <c r="W130" i="30"/>
  <c r="AL131" i="35"/>
  <c r="AM131" i="35"/>
  <c r="L159" i="5" l="1"/>
  <c r="AC159" i="5" s="1"/>
  <c r="AM159" i="5" s="1"/>
  <c r="AS129" i="30"/>
  <c r="AN131" i="35"/>
  <c r="AQ129" i="30"/>
  <c r="AE130" i="30"/>
  <c r="Y130" i="30"/>
  <c r="Z130" i="30" s="1"/>
  <c r="AA130" i="30"/>
  <c r="AB130" i="30" s="1"/>
  <c r="AC130" i="30" s="1"/>
  <c r="AK131" i="35"/>
  <c r="M159" i="5" s="1"/>
  <c r="Y159" i="5" s="1"/>
  <c r="AR132" i="35" l="1"/>
  <c r="Q160" i="5" s="1"/>
  <c r="AG130" i="30"/>
  <c r="AH130" i="30" s="1"/>
  <c r="AN130" i="30" s="1"/>
  <c r="AD130" i="30"/>
  <c r="AF130" i="30" s="1"/>
  <c r="AO131" i="35"/>
  <c r="AT129" i="30"/>
  <c r="AQ131" i="35" s="1"/>
  <c r="O159" i="5" s="1"/>
  <c r="AM130" i="30" l="1"/>
  <c r="AJ132" i="35" s="1"/>
  <c r="K160" i="5" s="1"/>
  <c r="AL130" i="30"/>
  <c r="AO130" i="30" s="1"/>
  <c r="AL132" i="35"/>
  <c r="L160" i="5" s="1"/>
  <c r="AM132" i="35"/>
  <c r="AL159" i="5"/>
  <c r="AF159" i="5"/>
  <c r="AU130" i="30" l="1"/>
  <c r="W131" i="30"/>
  <c r="AA131" i="30" s="1"/>
  <c r="AB131" i="30" s="1"/>
  <c r="AE131" i="30"/>
  <c r="Y131" i="30"/>
  <c r="Z131" i="30" s="1"/>
  <c r="AC131" i="30" s="1"/>
  <c r="AJ159" i="5"/>
  <c r="AH159" i="5"/>
  <c r="AC160" i="5" s="1"/>
  <c r="AM160" i="5" s="1"/>
  <c r="Q130" i="30"/>
  <c r="AR130" i="30"/>
  <c r="AP130" i="30"/>
  <c r="AK132" i="35"/>
  <c r="M160" i="5" s="1"/>
  <c r="Y160" i="5" s="1"/>
  <c r="AR133" i="35" l="1"/>
  <c r="Q161" i="5" s="1"/>
  <c r="AD131" i="30"/>
  <c r="AF131" i="30" s="1"/>
  <c r="AG131" i="30"/>
  <c r="AH131" i="30" s="1"/>
  <c r="AN132" i="35"/>
  <c r="AS130" i="30"/>
  <c r="AQ130" i="30"/>
  <c r="AL131" i="30" l="1"/>
  <c r="AO131" i="30" s="1"/>
  <c r="AM131" i="30"/>
  <c r="AN131" i="30"/>
  <c r="AO132" i="35"/>
  <c r="AT130" i="30"/>
  <c r="AQ132" i="35" s="1"/>
  <c r="O160" i="5" s="1"/>
  <c r="AL160" i="5"/>
  <c r="AF160" i="5"/>
  <c r="AL133" i="35" l="1"/>
  <c r="L161" i="5" s="1"/>
  <c r="AM133" i="35"/>
  <c r="AJ133" i="35"/>
  <c r="K161" i="5" s="1"/>
  <c r="W132" i="30"/>
  <c r="AU131" i="30"/>
  <c r="AJ160" i="5"/>
  <c r="AH160" i="5"/>
  <c r="Q131" i="30"/>
  <c r="AR131" i="30"/>
  <c r="AP131" i="30"/>
  <c r="AE132" i="30" l="1"/>
  <c r="Y132" i="30"/>
  <c r="Z132" i="30" s="1"/>
  <c r="AA132" i="30"/>
  <c r="AB132" i="30" s="1"/>
  <c r="AC132" i="30" s="1"/>
  <c r="AC161" i="5"/>
  <c r="AM161" i="5" s="1"/>
  <c r="AK133" i="35"/>
  <c r="M161" i="5" s="1"/>
  <c r="Y161" i="5" s="1"/>
  <c r="AS131" i="30"/>
  <c r="AN133" i="35"/>
  <c r="AQ131" i="30"/>
  <c r="AO133" i="35" l="1"/>
  <c r="AT131" i="30"/>
  <c r="AQ133" i="35" s="1"/>
  <c r="O161" i="5" s="1"/>
  <c r="AD132" i="30"/>
  <c r="AF132" i="30" s="1"/>
  <c r="AG132" i="30"/>
  <c r="AH132" i="30" s="1"/>
  <c r="AN132" i="30" s="1"/>
  <c r="AR134" i="35"/>
  <c r="Q162" i="5" s="1"/>
  <c r="AM132" i="30" l="1"/>
  <c r="AJ134" i="35" s="1"/>
  <c r="K162" i="5" s="1"/>
  <c r="AM134" i="35"/>
  <c r="AL134" i="35"/>
  <c r="L162" i="5" s="1"/>
  <c r="AL132" i="30"/>
  <c r="AO132" i="30" s="1"/>
  <c r="AL161" i="5"/>
  <c r="AF161" i="5"/>
  <c r="W133" i="30" l="1"/>
  <c r="AA133" i="30" s="1"/>
  <c r="AB133" i="30" s="1"/>
  <c r="AU132" i="30"/>
  <c r="AH161" i="5"/>
  <c r="AC162" i="5" s="1"/>
  <c r="AM162" i="5" s="1"/>
  <c r="AJ161" i="5"/>
  <c r="Q132" i="30"/>
  <c r="AR132" i="30"/>
  <c r="AP132" i="30"/>
  <c r="AE133" i="30"/>
  <c r="AK134" i="35"/>
  <c r="M162" i="5" s="1"/>
  <c r="Y162" i="5" s="1"/>
  <c r="Y133" i="30" l="1"/>
  <c r="Z133" i="30" s="1"/>
  <c r="AC133" i="30" s="1"/>
  <c r="AN134" i="35"/>
  <c r="AS132" i="30"/>
  <c r="AQ132" i="30"/>
  <c r="AR135" i="35"/>
  <c r="Q163" i="5" s="1"/>
  <c r="AD133" i="30" l="1"/>
  <c r="AF133" i="30" s="1"/>
  <c r="AG133" i="30"/>
  <c r="AH133" i="30" s="1"/>
  <c r="AN133" i="30" s="1"/>
  <c r="AL162" i="5"/>
  <c r="AF162" i="5"/>
  <c r="AM133" i="30"/>
  <c r="AL133" i="30"/>
  <c r="AO133" i="30" s="1"/>
  <c r="AT132" i="30"/>
  <c r="AQ134" i="35" s="1"/>
  <c r="O162" i="5" s="1"/>
  <c r="AO134" i="35"/>
  <c r="AU133" i="30" l="1"/>
  <c r="W134" i="30"/>
  <c r="AJ135" i="35"/>
  <c r="K163" i="5" s="1"/>
  <c r="Q133" i="30"/>
  <c r="AR133" i="30"/>
  <c r="AP133" i="30"/>
  <c r="AL135" i="35"/>
  <c r="AM135" i="35"/>
  <c r="AJ162" i="5"/>
  <c r="AH162" i="5"/>
  <c r="L163" i="5" l="1"/>
  <c r="AC163" i="5" s="1"/>
  <c r="AM163" i="5" s="1"/>
  <c r="AS133" i="30"/>
  <c r="AN135" i="35"/>
  <c r="AQ133" i="30"/>
  <c r="AK135" i="35"/>
  <c r="M163" i="5" s="1"/>
  <c r="Y163" i="5" s="1"/>
  <c r="AE134" i="30"/>
  <c r="Y134" i="30"/>
  <c r="Z134" i="30" s="1"/>
  <c r="AA134" i="30"/>
  <c r="AB134" i="30" s="1"/>
  <c r="AC134" i="30" s="1"/>
  <c r="AD134" i="30" l="1"/>
  <c r="AF134" i="30" s="1"/>
  <c r="AG134" i="30"/>
  <c r="AH134" i="30" s="1"/>
  <c r="AN134" i="30" s="1"/>
  <c r="AM134" i="30"/>
  <c r="AL134" i="30"/>
  <c r="AO134" i="30" s="1"/>
  <c r="AP134" i="30" s="1"/>
  <c r="AR136" i="35"/>
  <c r="Q164" i="5" s="1"/>
  <c r="AO135" i="35"/>
  <c r="AT133" i="30"/>
  <c r="AQ135" i="35" s="1"/>
  <c r="O163" i="5" s="1"/>
  <c r="AN136" i="35" l="1"/>
  <c r="AS134" i="30"/>
  <c r="AQ134" i="30"/>
  <c r="AL163" i="5"/>
  <c r="AF163" i="5"/>
  <c r="AM136" i="35"/>
  <c r="AL136" i="35"/>
  <c r="L164" i="5" s="1"/>
  <c r="AU134" i="30"/>
  <c r="AJ136" i="35"/>
  <c r="K164" i="5" s="1"/>
  <c r="W135" i="30"/>
  <c r="AA135" i="30" s="1"/>
  <c r="AB135" i="30" s="1"/>
  <c r="AR134" i="30"/>
  <c r="Q134" i="30"/>
  <c r="Y135" i="30" l="1"/>
  <c r="Z135" i="30" s="1"/>
  <c r="AE135" i="30"/>
  <c r="AO136" i="35"/>
  <c r="AT134" i="30"/>
  <c r="AQ136" i="35" s="1"/>
  <c r="O164" i="5" s="1"/>
  <c r="AC135" i="30"/>
  <c r="AK136" i="35"/>
  <c r="M164" i="5" s="1"/>
  <c r="Y164" i="5" s="1"/>
  <c r="AJ163" i="5"/>
  <c r="AH163" i="5"/>
  <c r="AC164" i="5" s="1"/>
  <c r="AM164" i="5" s="1"/>
  <c r="AR137" i="35" l="1"/>
  <c r="Q165" i="5" s="1"/>
  <c r="AG135" i="30"/>
  <c r="AH135" i="30" s="1"/>
  <c r="AD135" i="30"/>
  <c r="AF135" i="30" s="1"/>
  <c r="AN135" i="30" l="1"/>
  <c r="AL135" i="30"/>
  <c r="AO135" i="30" s="1"/>
  <c r="AM135" i="30"/>
  <c r="AL164" i="5"/>
  <c r="AF164" i="5"/>
  <c r="W136" i="30" l="1"/>
  <c r="AU135" i="30"/>
  <c r="AJ137" i="35"/>
  <c r="K165" i="5" s="1"/>
  <c r="AR135" i="30"/>
  <c r="Q135" i="30"/>
  <c r="AP135" i="30"/>
  <c r="AH164" i="5"/>
  <c r="AJ164" i="5"/>
  <c r="AL137" i="35"/>
  <c r="L165" i="5" s="1"/>
  <c r="AM137" i="35"/>
  <c r="AK137" i="35" l="1"/>
  <c r="M165" i="5" s="1"/>
  <c r="Y165" i="5" s="1"/>
  <c r="AC165" i="5"/>
  <c r="AM165" i="5" s="1"/>
  <c r="AS135" i="30"/>
  <c r="AN137" i="35"/>
  <c r="AQ135" i="30"/>
  <c r="Y136" i="30"/>
  <c r="Z136" i="30" s="1"/>
  <c r="AE136" i="30"/>
  <c r="AA136" i="30"/>
  <c r="AB136" i="30" s="1"/>
  <c r="AC136" i="30" l="1"/>
  <c r="AO137" i="35"/>
  <c r="AT135" i="30"/>
  <c r="AQ137" i="35" s="1"/>
  <c r="O165" i="5" s="1"/>
  <c r="AG136" i="30"/>
  <c r="AH136" i="30" s="1"/>
  <c r="AN136" i="30" s="1"/>
  <c r="AD136" i="30"/>
  <c r="AF136" i="30" s="1"/>
  <c r="AR138" i="35"/>
  <c r="Q166" i="5" s="1"/>
  <c r="AL165" i="5" l="1"/>
  <c r="AF165" i="5"/>
  <c r="AL138" i="35"/>
  <c r="L166" i="5" s="1"/>
  <c r="AM138" i="35"/>
  <c r="AM136" i="30"/>
  <c r="AL136" i="30"/>
  <c r="AO136" i="30" s="1"/>
  <c r="Q136" i="30" l="1"/>
  <c r="AR136" i="30"/>
  <c r="AP136" i="30"/>
  <c r="AH165" i="5"/>
  <c r="AC166" i="5" s="1"/>
  <c r="AM166" i="5" s="1"/>
  <c r="AJ165" i="5"/>
  <c r="AJ138" i="35"/>
  <c r="K166" i="5" s="1"/>
  <c r="W137" i="30"/>
  <c r="AU136" i="30"/>
  <c r="AK138" i="35" l="1"/>
  <c r="M166" i="5" s="1"/>
  <c r="Y166" i="5" s="1"/>
  <c r="AS136" i="30"/>
  <c r="AN138" i="35"/>
  <c r="AQ136" i="30"/>
  <c r="Y137" i="30"/>
  <c r="Z137" i="30" s="1"/>
  <c r="AE137" i="30"/>
  <c r="AA137" i="30"/>
  <c r="AB137" i="30" s="1"/>
  <c r="AC137" i="30" l="1"/>
  <c r="AT136" i="30"/>
  <c r="AQ138" i="35" s="1"/>
  <c r="O166" i="5" s="1"/>
  <c r="AO138" i="35"/>
  <c r="AD137" i="30"/>
  <c r="AF137" i="30" s="1"/>
  <c r="AG137" i="30"/>
  <c r="AH137" i="30" s="1"/>
  <c r="AN137" i="30" s="1"/>
  <c r="AM137" i="30"/>
  <c r="AR139" i="35"/>
  <c r="Q167" i="5" s="1"/>
  <c r="AM139" i="35" l="1"/>
  <c r="AL139" i="35"/>
  <c r="L167" i="5" s="1"/>
  <c r="AL137" i="30"/>
  <c r="AO137" i="30" s="1"/>
  <c r="AL166" i="5"/>
  <c r="AF166" i="5"/>
  <c r="W138" i="30"/>
  <c r="AA138" i="30" s="1"/>
  <c r="AB138" i="30" s="1"/>
  <c r="AU137" i="30"/>
  <c r="AJ139" i="35"/>
  <c r="K167" i="5" s="1"/>
  <c r="Y138" i="30" l="1"/>
  <c r="Z138" i="30" s="1"/>
  <c r="AC138" i="30" s="1"/>
  <c r="AE138" i="30"/>
  <c r="Q137" i="30"/>
  <c r="AR137" i="30"/>
  <c r="AP137" i="30"/>
  <c r="AJ166" i="5"/>
  <c r="AH166" i="5"/>
  <c r="AC167" i="5" s="1"/>
  <c r="AM167" i="5" s="1"/>
  <c r="AK139" i="35"/>
  <c r="M167" i="5" s="1"/>
  <c r="Y167" i="5" s="1"/>
  <c r="AG138" i="30" l="1"/>
  <c r="AH138" i="30" s="1"/>
  <c r="AD138" i="30"/>
  <c r="AF138" i="30" s="1"/>
  <c r="AR140" i="35"/>
  <c r="Q168" i="5" s="1"/>
  <c r="AS137" i="30"/>
  <c r="AN139" i="35"/>
  <c r="AQ137" i="30"/>
  <c r="AL167" i="5" l="1"/>
  <c r="AF167" i="5"/>
  <c r="AT137" i="30"/>
  <c r="AQ139" i="35" s="1"/>
  <c r="O167" i="5" s="1"/>
  <c r="AO139" i="35"/>
  <c r="AM138" i="30"/>
  <c r="AL138" i="30"/>
  <c r="AO138" i="30" s="1"/>
  <c r="AN138" i="30"/>
  <c r="AU138" i="30" l="1"/>
  <c r="W139" i="30"/>
  <c r="AJ140" i="35"/>
  <c r="K168" i="5" s="1"/>
  <c r="AH167" i="5"/>
  <c r="AJ167" i="5"/>
  <c r="Q138" i="30"/>
  <c r="AR138" i="30"/>
  <c r="AP138" i="30"/>
  <c r="AM140" i="35"/>
  <c r="AL140" i="35"/>
  <c r="L168" i="5" l="1"/>
  <c r="AC168" i="5" s="1"/>
  <c r="AM168" i="5" s="1"/>
  <c r="AK140" i="35"/>
  <c r="M168" i="5" s="1"/>
  <c r="Y168" i="5" s="1"/>
  <c r="AS138" i="30"/>
  <c r="AN140" i="35"/>
  <c r="AQ138" i="30"/>
  <c r="AE139" i="30"/>
  <c r="Y139" i="30"/>
  <c r="Z139" i="30" s="1"/>
  <c r="AA139" i="30"/>
  <c r="AB139" i="30" s="1"/>
  <c r="AC139" i="30" s="1"/>
  <c r="AO140" i="35" l="1"/>
  <c r="AT138" i="30"/>
  <c r="AQ140" i="35" s="1"/>
  <c r="O168" i="5" s="1"/>
  <c r="AG139" i="30"/>
  <c r="AH139" i="30" s="1"/>
  <c r="AN139" i="30" s="1"/>
  <c r="AD139" i="30"/>
  <c r="AF139" i="30" s="1"/>
  <c r="AR141" i="35"/>
  <c r="Q169" i="5" s="1"/>
  <c r="AM139" i="30"/>
  <c r="AL139" i="30"/>
  <c r="AO139" i="30" s="1"/>
  <c r="AU139" i="30" l="1"/>
  <c r="W140" i="30"/>
  <c r="AJ141" i="35"/>
  <c r="K169" i="5" s="1"/>
  <c r="AL168" i="5"/>
  <c r="AF168" i="5"/>
  <c r="AM141" i="35"/>
  <c r="AL141" i="35"/>
  <c r="L169" i="5" s="1"/>
  <c r="AA140" i="30"/>
  <c r="AB140" i="30" s="1"/>
  <c r="AR139" i="30"/>
  <c r="Q139" i="30"/>
  <c r="AP139" i="30"/>
  <c r="AK141" i="35" l="1"/>
  <c r="M169" i="5" s="1"/>
  <c r="Y169" i="5" s="1"/>
  <c r="AS139" i="30"/>
  <c r="AN141" i="35"/>
  <c r="AQ139" i="30"/>
  <c r="AE140" i="30"/>
  <c r="Y140" i="30"/>
  <c r="Z140" i="30" s="1"/>
  <c r="AC140" i="30" s="1"/>
  <c r="AJ168" i="5"/>
  <c r="AH168" i="5"/>
  <c r="AC169" i="5" s="1"/>
  <c r="AM169" i="5" s="1"/>
  <c r="AG140" i="30" l="1"/>
  <c r="AH140" i="30" s="1"/>
  <c r="AN140" i="30" s="1"/>
  <c r="AD140" i="30"/>
  <c r="AF140" i="30" s="1"/>
  <c r="AO141" i="35"/>
  <c r="AT139" i="30"/>
  <c r="AQ141" i="35" s="1"/>
  <c r="O169" i="5" s="1"/>
  <c r="AM140" i="30"/>
  <c r="AR142" i="35"/>
  <c r="Q170" i="5" s="1"/>
  <c r="AL140" i="30" l="1"/>
  <c r="AO140" i="30" s="1"/>
  <c r="AP140" i="30" s="1"/>
  <c r="AL169" i="5"/>
  <c r="AF169" i="5"/>
  <c r="W141" i="30"/>
  <c r="AU140" i="30"/>
  <c r="AJ142" i="35"/>
  <c r="K170" i="5" s="1"/>
  <c r="AL142" i="35"/>
  <c r="L170" i="5" s="1"/>
  <c r="AM142" i="35"/>
  <c r="Q140" i="30" l="1"/>
  <c r="AR140" i="30"/>
  <c r="AK142" i="35"/>
  <c r="M170" i="5" s="1"/>
  <c r="Y170" i="5" s="1"/>
  <c r="AA141" i="30"/>
  <c r="AB141" i="30" s="1"/>
  <c r="Y141" i="30"/>
  <c r="Z141" i="30" s="1"/>
  <c r="AE141" i="30"/>
  <c r="AJ169" i="5"/>
  <c r="AH169" i="5"/>
  <c r="AC170" i="5" s="1"/>
  <c r="AM170" i="5" s="1"/>
  <c r="AN142" i="35"/>
  <c r="AS140" i="30"/>
  <c r="AQ140" i="30"/>
  <c r="AC141" i="30" l="1"/>
  <c r="AG141" i="30" s="1"/>
  <c r="AH141" i="30" s="1"/>
  <c r="AO142" i="35"/>
  <c r="AT140" i="30"/>
  <c r="AQ142" i="35" s="1"/>
  <c r="O170" i="5" s="1"/>
  <c r="AR143" i="35"/>
  <c r="Q171" i="5" s="1"/>
  <c r="AN141" i="30" l="1"/>
  <c r="AL141" i="30"/>
  <c r="AO141" i="30" s="1"/>
  <c r="AP141" i="30" s="1"/>
  <c r="AN143" i="35" s="1"/>
  <c r="AM141" i="30"/>
  <c r="AJ143" i="35" s="1"/>
  <c r="K171" i="5" s="1"/>
  <c r="AD141" i="30"/>
  <c r="AF141" i="30" s="1"/>
  <c r="AL170" i="5"/>
  <c r="AF170" i="5"/>
  <c r="AR141" i="30"/>
  <c r="AM143" i="35"/>
  <c r="AL143" i="35"/>
  <c r="L171" i="5" s="1"/>
  <c r="AS141" i="30" l="1"/>
  <c r="AT141" i="30" s="1"/>
  <c r="AQ143" i="35" s="1"/>
  <c r="O171" i="5" s="1"/>
  <c r="Q141" i="30"/>
  <c r="AQ141" i="30"/>
  <c r="W142" i="30"/>
  <c r="AE142" i="30" s="1"/>
  <c r="AU141" i="30"/>
  <c r="AH170" i="5"/>
  <c r="AC171" i="5" s="1"/>
  <c r="AM171" i="5" s="1"/>
  <c r="AJ170" i="5"/>
  <c r="Y142" i="30"/>
  <c r="Z142" i="30" s="1"/>
  <c r="AO143" i="35"/>
  <c r="AA142" i="30"/>
  <c r="AB142" i="30" s="1"/>
  <c r="AC142" i="30" s="1"/>
  <c r="AK143" i="35"/>
  <c r="M171" i="5" s="1"/>
  <c r="Y171" i="5" s="1"/>
  <c r="AD142" i="30" l="1"/>
  <c r="AF142" i="30" s="1"/>
  <c r="AG142" i="30"/>
  <c r="AH142" i="30" s="1"/>
  <c r="AR144" i="35"/>
  <c r="Q172" i="5" s="1"/>
  <c r="AN142" i="30" l="1"/>
  <c r="AM142" i="30"/>
  <c r="AL142" i="30"/>
  <c r="AO142" i="30" s="1"/>
  <c r="AL171" i="5"/>
  <c r="AF171" i="5"/>
  <c r="Q142" i="30" l="1"/>
  <c r="AR142" i="30"/>
  <c r="AP142" i="30"/>
  <c r="AJ144" i="35"/>
  <c r="K172" i="5" s="1"/>
  <c r="W143" i="30"/>
  <c r="AU142" i="30"/>
  <c r="AH171" i="5"/>
  <c r="AJ171" i="5"/>
  <c r="AM144" i="35"/>
  <c r="AL144" i="35"/>
  <c r="L172" i="5" s="1"/>
  <c r="AC172" i="5" l="1"/>
  <c r="AM172" i="5" s="1"/>
  <c r="AN144" i="35"/>
  <c r="AS142" i="30"/>
  <c r="AQ142" i="30"/>
  <c r="AK144" i="35"/>
  <c r="M172" i="5" s="1"/>
  <c r="Y172" i="5" s="1"/>
  <c r="AA143" i="30"/>
  <c r="AB143" i="30" s="1"/>
  <c r="Y143" i="30"/>
  <c r="Z143" i="30" s="1"/>
  <c r="AE143" i="30"/>
  <c r="AC143" i="30" l="1"/>
  <c r="AO144" i="35"/>
  <c r="AT142" i="30"/>
  <c r="AQ144" i="35" s="1"/>
  <c r="O172" i="5" s="1"/>
  <c r="AR145" i="35"/>
  <c r="Q173" i="5" s="1"/>
  <c r="AL172" i="5" l="1"/>
  <c r="AF172" i="5"/>
  <c r="AD143" i="30"/>
  <c r="AF143" i="30" s="1"/>
  <c r="AG143" i="30"/>
  <c r="AH143" i="30" s="1"/>
  <c r="AN143" i="30" l="1"/>
  <c r="AL143" i="30"/>
  <c r="AO143" i="30" s="1"/>
  <c r="AM143" i="30"/>
  <c r="AH172" i="5"/>
  <c r="AJ172" i="5"/>
  <c r="AU143" i="30" l="1"/>
  <c r="AJ145" i="35"/>
  <c r="K173" i="5" s="1"/>
  <c r="W144" i="30"/>
  <c r="AR143" i="30"/>
  <c r="Q143" i="30"/>
  <c r="AP143" i="30"/>
  <c r="AM145" i="35"/>
  <c r="AL145" i="35"/>
  <c r="L173" i="5" l="1"/>
  <c r="AC173" i="5" s="1"/>
  <c r="AM173" i="5" s="1"/>
  <c r="Y144" i="30"/>
  <c r="Z144" i="30" s="1"/>
  <c r="AE144" i="30"/>
  <c r="AA144" i="30"/>
  <c r="AB144" i="30" s="1"/>
  <c r="AC144" i="30" s="1"/>
  <c r="AN145" i="35"/>
  <c r="AS143" i="30"/>
  <c r="AQ143" i="30"/>
  <c r="AK145" i="35"/>
  <c r="M173" i="5" s="1"/>
  <c r="Y173" i="5" s="1"/>
  <c r="AG144" i="30" l="1"/>
  <c r="AH144" i="30" s="1"/>
  <c r="AN144" i="30" s="1"/>
  <c r="AD144" i="30"/>
  <c r="AF144" i="30" s="1"/>
  <c r="AR146" i="35"/>
  <c r="Q174" i="5" s="1"/>
  <c r="AM144" i="30"/>
  <c r="AT143" i="30"/>
  <c r="AQ145" i="35" s="1"/>
  <c r="O173" i="5" s="1"/>
  <c r="AO145" i="35"/>
  <c r="AL144" i="30" l="1"/>
  <c r="AO144" i="30" s="1"/>
  <c r="AP144" i="30" s="1"/>
  <c r="AS144" i="30" s="1"/>
  <c r="AN146" i="35"/>
  <c r="W145" i="30"/>
  <c r="AJ146" i="35"/>
  <c r="K174" i="5" s="1"/>
  <c r="AU144" i="30"/>
  <c r="Q144" i="30"/>
  <c r="AL173" i="5"/>
  <c r="AF173" i="5"/>
  <c r="AL146" i="35"/>
  <c r="L174" i="5" s="1"/>
  <c r="AM146" i="35"/>
  <c r="AR144" i="30" l="1"/>
  <c r="AQ144" i="30"/>
  <c r="AJ173" i="5"/>
  <c r="AH173" i="5"/>
  <c r="AC174" i="5" s="1"/>
  <c r="AM174" i="5" s="1"/>
  <c r="Y27" i="2" s="1"/>
  <c r="AE145" i="30"/>
  <c r="Y145" i="30"/>
  <c r="Z145" i="30" s="1"/>
  <c r="AA145" i="30"/>
  <c r="AB145" i="30" s="1"/>
  <c r="AK146" i="35"/>
  <c r="M174" i="5" s="1"/>
  <c r="Y174" i="5" s="1"/>
  <c r="AT144" i="30"/>
  <c r="AQ146" i="35" s="1"/>
  <c r="O174" i="5" s="1"/>
  <c r="AO146" i="35"/>
  <c r="AC145" i="30" l="1"/>
  <c r="AD145" i="30" s="1"/>
  <c r="AF145" i="30" s="1"/>
  <c r="AR147" i="35"/>
  <c r="Q175" i="5" s="1"/>
  <c r="AG145" i="30" l="1"/>
  <c r="AH145" i="30" s="1"/>
  <c r="AN145" i="30" s="1"/>
  <c r="AM145" i="30"/>
  <c r="AL174" i="5"/>
  <c r="X27" i="2" s="1"/>
  <c r="AB27" i="2" s="1"/>
  <c r="Q27" i="2" s="1"/>
  <c r="R27" i="2" s="1"/>
  <c r="S27" i="2" s="1"/>
  <c r="AF174" i="5"/>
  <c r="AL145" i="30" l="1"/>
  <c r="AO145" i="30" s="1"/>
  <c r="AR145" i="30" s="1"/>
  <c r="AJ147" i="35"/>
  <c r="K175" i="5" s="1"/>
  <c r="W146" i="30"/>
  <c r="AU145" i="30"/>
  <c r="P27" i="2"/>
  <c r="O27" i="2"/>
  <c r="AJ174" i="5"/>
  <c r="AH174" i="5"/>
  <c r="AA28" i="2"/>
  <c r="AL147" i="35"/>
  <c r="L175" i="5" s="1"/>
  <c r="AM147" i="35"/>
  <c r="AP145" i="30" l="1"/>
  <c r="Q145" i="30"/>
  <c r="AK147" i="35"/>
  <c r="M175" i="5" s="1"/>
  <c r="Y175" i="5" s="1"/>
  <c r="AC175" i="5"/>
  <c r="AM175" i="5" s="1"/>
  <c r="AS145" i="30"/>
  <c r="AN147" i="35"/>
  <c r="AQ145" i="30"/>
  <c r="AA146" i="30"/>
  <c r="AB146" i="30" s="1"/>
  <c r="Y146" i="30"/>
  <c r="Z146" i="30" s="1"/>
  <c r="AE146" i="30"/>
  <c r="AO147" i="35" l="1"/>
  <c r="AT145" i="30"/>
  <c r="AQ147" i="35" s="1"/>
  <c r="O175" i="5" s="1"/>
  <c r="AC146" i="30"/>
  <c r="AR148" i="35"/>
  <c r="Q176" i="5" s="1"/>
  <c r="AL175" i="5" l="1"/>
  <c r="AF175" i="5"/>
  <c r="AD146" i="30"/>
  <c r="AF146" i="30" s="1"/>
  <c r="AG146" i="30"/>
  <c r="AH146" i="30" s="1"/>
  <c r="AN146" i="30" l="1"/>
  <c r="AM146" i="30"/>
  <c r="AL146" i="30"/>
  <c r="AO146" i="30" s="1"/>
  <c r="AJ175" i="5"/>
  <c r="AH175" i="5"/>
  <c r="AR146" i="30" l="1"/>
  <c r="Q146" i="30"/>
  <c r="AP146" i="30"/>
  <c r="W147" i="30"/>
  <c r="AJ148" i="35"/>
  <c r="K176" i="5" s="1"/>
  <c r="AU146" i="30"/>
  <c r="AM148" i="35"/>
  <c r="AL148" i="35"/>
  <c r="L176" i="5" l="1"/>
  <c r="AC176" i="5" s="1"/>
  <c r="AM176" i="5" s="1"/>
  <c r="AN148" i="35"/>
  <c r="AS146" i="30"/>
  <c r="AQ146" i="30"/>
  <c r="AE147" i="30"/>
  <c r="Y147" i="30"/>
  <c r="Z147" i="30" s="1"/>
  <c r="AA147" i="30"/>
  <c r="AB147" i="30" s="1"/>
  <c r="AK148" i="35"/>
  <c r="M176" i="5" s="1"/>
  <c r="Y176" i="5" s="1"/>
  <c r="AR149" i="35" l="1"/>
  <c r="Q177" i="5" s="1"/>
  <c r="AC147" i="30"/>
  <c r="AT146" i="30"/>
  <c r="AQ148" i="35" s="1"/>
  <c r="O176" i="5" s="1"/>
  <c r="AO148" i="35"/>
  <c r="AG147" i="30" l="1"/>
  <c r="AH147" i="30" s="1"/>
  <c r="AD147" i="30"/>
  <c r="AF147" i="30" s="1"/>
  <c r="AL176" i="5"/>
  <c r="AF176" i="5"/>
  <c r="AJ176" i="5" l="1"/>
  <c r="AH176" i="5"/>
  <c r="AN147" i="30"/>
  <c r="AM147" i="30"/>
  <c r="AL147" i="30"/>
  <c r="AO147" i="30" s="1"/>
  <c r="AR147" i="30" l="1"/>
  <c r="Q147" i="30"/>
  <c r="AP147" i="30"/>
  <c r="AJ149" i="35"/>
  <c r="K177" i="5" s="1"/>
  <c r="W148" i="30"/>
  <c r="AU147" i="30"/>
  <c r="AM149" i="35"/>
  <c r="AL149" i="35"/>
  <c r="L177" i="5" l="1"/>
  <c r="AC177" i="5" s="1"/>
  <c r="AM177" i="5" s="1"/>
  <c r="AN149" i="35"/>
  <c r="AS147" i="30"/>
  <c r="AQ147" i="30"/>
  <c r="AK149" i="35"/>
  <c r="M177" i="5" s="1"/>
  <c r="Y177" i="5" s="1"/>
  <c r="AE148" i="30"/>
  <c r="Y148" i="30"/>
  <c r="Z148" i="30" s="1"/>
  <c r="AA148" i="30"/>
  <c r="AB148" i="30" s="1"/>
  <c r="AC148" i="30" l="1"/>
  <c r="AD148" i="30" s="1"/>
  <c r="AF148" i="30" s="1"/>
  <c r="AT147" i="30"/>
  <c r="AQ149" i="35" s="1"/>
  <c r="O177" i="5" s="1"/>
  <c r="AO149" i="35"/>
  <c r="AR150" i="35"/>
  <c r="Q178" i="5" s="1"/>
  <c r="AG148" i="30" l="1"/>
  <c r="AH148" i="30" s="1"/>
  <c r="AL148" i="30" s="1"/>
  <c r="AO148" i="30" s="1"/>
  <c r="AL177" i="5"/>
  <c r="AF177" i="5"/>
  <c r="AN148" i="30" l="1"/>
  <c r="AM148" i="30"/>
  <c r="AH177" i="5"/>
  <c r="AJ177" i="5"/>
  <c r="AR148" i="30"/>
  <c r="Q148" i="30"/>
  <c r="AP148" i="30"/>
  <c r="W149" i="30" l="1"/>
  <c r="AJ150" i="35"/>
  <c r="K178" i="5" s="1"/>
  <c r="AU148" i="30"/>
  <c r="AL150" i="35"/>
  <c r="AM150" i="35"/>
  <c r="AN150" i="35"/>
  <c r="AS148" i="30"/>
  <c r="AQ148" i="30"/>
  <c r="L178" i="5" l="1"/>
  <c r="AC178" i="5" s="1"/>
  <c r="AM178" i="5" s="1"/>
  <c r="AK150" i="35"/>
  <c r="M178" i="5" s="1"/>
  <c r="Y178" i="5" s="1"/>
  <c r="Y149" i="30"/>
  <c r="Z149" i="30" s="1"/>
  <c r="AA149" i="30"/>
  <c r="AB149" i="30" s="1"/>
  <c r="AE149" i="30"/>
  <c r="AO150" i="35"/>
  <c r="AT148" i="30"/>
  <c r="AQ150" i="35" s="1"/>
  <c r="O178" i="5" s="1"/>
  <c r="AC149" i="30" l="1"/>
  <c r="AR151" i="35"/>
  <c r="Q179" i="5" s="1"/>
  <c r="AL178" i="5" l="1"/>
  <c r="AF178" i="5"/>
  <c r="AG149" i="30"/>
  <c r="AH149" i="30" s="1"/>
  <c r="AD149" i="30"/>
  <c r="AF149" i="30" s="1"/>
  <c r="AM149" i="30" l="1"/>
  <c r="AN149" i="30"/>
  <c r="AL149" i="30"/>
  <c r="AO149" i="30" s="1"/>
  <c r="AH178" i="5"/>
  <c r="AJ178" i="5"/>
  <c r="Q149" i="30" l="1"/>
  <c r="AR149" i="30"/>
  <c r="AP149" i="30"/>
  <c r="AM151" i="35"/>
  <c r="AL151" i="35"/>
  <c r="AU149" i="30"/>
  <c r="W150" i="30"/>
  <c r="AJ151" i="35"/>
  <c r="K179" i="5" s="1"/>
  <c r="L179" i="5" l="1"/>
  <c r="AC179" i="5" s="1"/>
  <c r="AM179" i="5" s="1"/>
  <c r="AK151" i="35"/>
  <c r="M179" i="5" s="1"/>
  <c r="Y179" i="5" s="1"/>
  <c r="AE150" i="30"/>
  <c r="AA150" i="30"/>
  <c r="AB150" i="30" s="1"/>
  <c r="Y150" i="30"/>
  <c r="Z150" i="30" s="1"/>
  <c r="AQ149" i="30"/>
  <c r="AS149" i="30"/>
  <c r="AN151" i="35"/>
  <c r="AC150" i="30" l="1"/>
  <c r="AG150" i="30" s="1"/>
  <c r="AH150" i="30" s="1"/>
  <c r="AT149" i="30"/>
  <c r="AQ151" i="35" s="1"/>
  <c r="O179" i="5" s="1"/>
  <c r="AO151" i="35"/>
  <c r="AR152" i="35"/>
  <c r="Q180" i="5" s="1"/>
  <c r="AN150" i="30" l="1"/>
  <c r="AM150" i="30"/>
  <c r="AU150" i="30" s="1"/>
  <c r="AD150" i="30"/>
  <c r="AF150" i="30" s="1"/>
  <c r="AL150" i="30"/>
  <c r="AO150" i="30" s="1"/>
  <c r="AL179" i="5"/>
  <c r="AF179" i="5"/>
  <c r="AM152" i="35"/>
  <c r="AL152" i="35"/>
  <c r="L180" i="5" s="1"/>
  <c r="W151" i="30" l="1"/>
  <c r="AJ152" i="35"/>
  <c r="K180" i="5" s="1"/>
  <c r="AJ179" i="5"/>
  <c r="AH179" i="5"/>
  <c r="AC180" i="5" s="1"/>
  <c r="AM180" i="5" s="1"/>
  <c r="AA151" i="30"/>
  <c r="AB151" i="30" s="1"/>
  <c r="Y151" i="30"/>
  <c r="Z151" i="30" s="1"/>
  <c r="AE151" i="30"/>
  <c r="AR150" i="30"/>
  <c r="Q150" i="30"/>
  <c r="AP150" i="30"/>
  <c r="AK152" i="35" l="1"/>
  <c r="M180" i="5" s="1"/>
  <c r="Y180" i="5" s="1"/>
  <c r="AN152" i="35"/>
  <c r="AS150" i="30"/>
  <c r="AQ150" i="30"/>
  <c r="AC151" i="30"/>
  <c r="AR153" i="35"/>
  <c r="Q181" i="5" s="1"/>
  <c r="AL180" i="5" l="1"/>
  <c r="AF180" i="5"/>
  <c r="AD151" i="30"/>
  <c r="AF151" i="30" s="1"/>
  <c r="AG151" i="30"/>
  <c r="AH151" i="30" s="1"/>
  <c r="AN151" i="30" s="1"/>
  <c r="AM151" i="30"/>
  <c r="AT150" i="30"/>
  <c r="AQ152" i="35" s="1"/>
  <c r="O180" i="5" s="1"/>
  <c r="AO152" i="35"/>
  <c r="AL151" i="30" l="1"/>
  <c r="AO151" i="30" s="1"/>
  <c r="AR151" i="30" s="1"/>
  <c r="AL153" i="35"/>
  <c r="L181" i="5" s="1"/>
  <c r="AM153" i="35"/>
  <c r="AJ153" i="35"/>
  <c r="K181" i="5" s="1"/>
  <c r="W152" i="30"/>
  <c r="AU151" i="30"/>
  <c r="AH180" i="5"/>
  <c r="AJ180" i="5"/>
  <c r="AP151" i="30"/>
  <c r="Q151" i="30" l="1"/>
  <c r="AK153" i="35"/>
  <c r="M181" i="5" s="1"/>
  <c r="Y181" i="5" s="1"/>
  <c r="AN153" i="35"/>
  <c r="AQ151" i="30"/>
  <c r="AS151" i="30"/>
  <c r="AA152" i="30"/>
  <c r="AB152" i="30" s="1"/>
  <c r="AE152" i="30"/>
  <c r="Y152" i="30"/>
  <c r="Z152" i="30" s="1"/>
  <c r="AC181" i="5"/>
  <c r="AM181" i="5" s="1"/>
  <c r="AC152" i="30" l="1"/>
  <c r="AO153" i="35"/>
  <c r="AT151" i="30"/>
  <c r="AQ153" i="35" s="1"/>
  <c r="O181" i="5" s="1"/>
  <c r="AR154" i="35"/>
  <c r="Q182" i="5" s="1"/>
  <c r="AF181" i="5" l="1"/>
  <c r="AL181" i="5"/>
  <c r="AG152" i="30"/>
  <c r="AH152" i="30" s="1"/>
  <c r="AD152" i="30"/>
  <c r="AF152" i="30" s="1"/>
  <c r="AN152" i="30" l="1"/>
  <c r="AM152" i="30"/>
  <c r="AL152" i="30"/>
  <c r="AO152" i="30" s="1"/>
  <c r="AH181" i="5"/>
  <c r="AJ181" i="5"/>
  <c r="AR152" i="30" l="1"/>
  <c r="Q152" i="30"/>
  <c r="AP152" i="30"/>
  <c r="AJ154" i="35"/>
  <c r="K182" i="5" s="1"/>
  <c r="W153" i="30"/>
  <c r="AU152" i="30"/>
  <c r="AM154" i="35"/>
  <c r="AL154" i="35"/>
  <c r="L182" i="5" l="1"/>
  <c r="AC182" i="5" s="1"/>
  <c r="AM182" i="5" s="1"/>
  <c r="AK154" i="35"/>
  <c r="M182" i="5" s="1"/>
  <c r="Y182" i="5" s="1"/>
  <c r="Y153" i="30"/>
  <c r="Z153" i="30" s="1"/>
  <c r="AE153" i="30"/>
  <c r="AA153" i="30"/>
  <c r="AB153" i="30" s="1"/>
  <c r="AC153" i="30" s="1"/>
  <c r="AS152" i="30"/>
  <c r="AN154" i="35"/>
  <c r="AQ152" i="30"/>
  <c r="AG153" i="30" l="1"/>
  <c r="AH153" i="30" s="1"/>
  <c r="AN153" i="30" s="1"/>
  <c r="AD153" i="30"/>
  <c r="AF153" i="30" s="1"/>
  <c r="AM153" i="30"/>
  <c r="AO154" i="35"/>
  <c r="AT152" i="30"/>
  <c r="AQ154" i="35" s="1"/>
  <c r="O182" i="5" s="1"/>
  <c r="AR155" i="35"/>
  <c r="Q183" i="5" s="1"/>
  <c r="AL153" i="30" l="1"/>
  <c r="AO153" i="30" s="1"/>
  <c r="AP153" i="30" s="1"/>
  <c r="AS153" i="30" s="1"/>
  <c r="AJ155" i="35"/>
  <c r="K183" i="5" s="1"/>
  <c r="AU153" i="30"/>
  <c r="W154" i="30"/>
  <c r="AF182" i="5"/>
  <c r="AL182" i="5"/>
  <c r="AL155" i="35"/>
  <c r="L183" i="5" s="1"/>
  <c r="AM155" i="35"/>
  <c r="AQ153" i="30" l="1"/>
  <c r="Q153" i="30"/>
  <c r="AN155" i="35"/>
  <c r="AR153" i="30"/>
  <c r="AK155" i="35"/>
  <c r="M183" i="5" s="1"/>
  <c r="Y183" i="5" s="1"/>
  <c r="AH182" i="5"/>
  <c r="AC183" i="5" s="1"/>
  <c r="AM183" i="5" s="1"/>
  <c r="AJ182" i="5"/>
  <c r="AA154" i="30"/>
  <c r="AB154" i="30" s="1"/>
  <c r="AE154" i="30"/>
  <c r="Y154" i="30"/>
  <c r="Z154" i="30" s="1"/>
  <c r="AC154" i="30" s="1"/>
  <c r="AO155" i="35"/>
  <c r="AT153" i="30"/>
  <c r="AQ155" i="35" s="1"/>
  <c r="O183" i="5" s="1"/>
  <c r="AG154" i="30" l="1"/>
  <c r="AH154" i="30" s="1"/>
  <c r="AD154" i="30"/>
  <c r="AF154" i="30" s="1"/>
  <c r="AR156" i="35"/>
  <c r="Q184" i="5" s="1"/>
  <c r="AL183" i="5" l="1"/>
  <c r="AF183" i="5"/>
  <c r="AN154" i="30"/>
  <c r="AM154" i="30"/>
  <c r="AL154" i="30"/>
  <c r="AO154" i="30" s="1"/>
  <c r="AM156" i="35" l="1"/>
  <c r="AL156" i="35"/>
  <c r="L184" i="5" s="1"/>
  <c r="AP154" i="30"/>
  <c r="Q154" i="30"/>
  <c r="AR154" i="30"/>
  <c r="AA29" i="2"/>
  <c r="AA31" i="2" s="1"/>
  <c r="AH183" i="5"/>
  <c r="AJ183" i="5"/>
  <c r="W155" i="30"/>
  <c r="AU154" i="30"/>
  <c r="AJ156" i="35"/>
  <c r="K184" i="5" s="1"/>
  <c r="AE155" i="30" l="1"/>
  <c r="Y155" i="30"/>
  <c r="Z155" i="30" s="1"/>
  <c r="AA155" i="30"/>
  <c r="AB155" i="30" s="1"/>
  <c r="AK156" i="35"/>
  <c r="M184" i="5" s="1"/>
  <c r="Y184" i="5" s="1"/>
  <c r="AC184" i="5"/>
  <c r="AM184" i="5" s="1"/>
  <c r="AS154" i="30"/>
  <c r="AN156" i="35"/>
  <c r="AQ154" i="30"/>
  <c r="AR157" i="35" l="1"/>
  <c r="Q185" i="5" s="1"/>
  <c r="AO156" i="35"/>
  <c r="AT154" i="30"/>
  <c r="AQ156" i="35" s="1"/>
  <c r="O184" i="5" s="1"/>
  <c r="AC155" i="30"/>
  <c r="AG155" i="30" l="1"/>
  <c r="AH155" i="30" s="1"/>
  <c r="AD155" i="30"/>
  <c r="AF155" i="30" s="1"/>
  <c r="AL184" i="5"/>
  <c r="AF184" i="5"/>
  <c r="AH184" i="5" l="1"/>
  <c r="AJ184" i="5"/>
  <c r="AN155" i="30"/>
  <c r="AM155" i="30"/>
  <c r="AL155" i="30"/>
  <c r="AO155" i="30" s="1"/>
  <c r="Q155" i="30" l="1"/>
  <c r="AR155" i="30"/>
  <c r="AP155" i="30"/>
  <c r="W156" i="30"/>
  <c r="AJ157" i="35"/>
  <c r="K185" i="5" s="1"/>
  <c r="AU155" i="30"/>
  <c r="AM157" i="35"/>
  <c r="AL157" i="35"/>
  <c r="L185" i="5" l="1"/>
  <c r="AC185" i="5" s="1"/>
  <c r="AM185" i="5" s="1"/>
  <c r="AE156" i="30"/>
  <c r="Y156" i="30"/>
  <c r="Z156" i="30" s="1"/>
  <c r="AA156" i="30"/>
  <c r="AB156" i="30" s="1"/>
  <c r="AS155" i="30"/>
  <c r="AN157" i="35"/>
  <c r="AQ155" i="30"/>
  <c r="AK157" i="35"/>
  <c r="M185" i="5" s="1"/>
  <c r="Y185" i="5" s="1"/>
  <c r="AC156" i="30" l="1"/>
  <c r="AT155" i="30"/>
  <c r="AQ157" i="35" s="1"/>
  <c r="O185" i="5" s="1"/>
  <c r="AO157" i="35"/>
  <c r="AR158" i="35"/>
  <c r="Q186" i="5" s="1"/>
  <c r="AD156" i="30"/>
  <c r="AF156" i="30" s="1"/>
  <c r="AG156" i="30"/>
  <c r="AH156" i="30" s="1"/>
  <c r="AN156" i="30" s="1"/>
  <c r="AM156" i="30"/>
  <c r="AL156" i="30"/>
  <c r="AO156" i="30" s="1"/>
  <c r="Q156" i="30" l="1"/>
  <c r="AR156" i="30"/>
  <c r="AA157" i="30"/>
  <c r="AB157" i="30" s="1"/>
  <c r="AU156" i="30"/>
  <c r="AJ158" i="35"/>
  <c r="K186" i="5" s="1"/>
  <c r="W157" i="30"/>
  <c r="AP156" i="30"/>
  <c r="AL185" i="5"/>
  <c r="AF185" i="5"/>
  <c r="AL158" i="35"/>
  <c r="L186" i="5" s="1"/>
  <c r="AM158" i="35"/>
  <c r="AS156" i="30" l="1"/>
  <c r="AN158" i="35"/>
  <c r="AQ156" i="30"/>
  <c r="AJ185" i="5"/>
  <c r="AH185" i="5"/>
  <c r="AC186" i="5" s="1"/>
  <c r="AM186" i="5" s="1"/>
  <c r="Y157" i="30"/>
  <c r="Z157" i="30" s="1"/>
  <c r="AC157" i="30" s="1"/>
  <c r="AE157" i="30"/>
  <c r="AK158" i="35"/>
  <c r="M186" i="5" s="1"/>
  <c r="Y186" i="5" s="1"/>
  <c r="AG157" i="30" l="1"/>
  <c r="AH157" i="30" s="1"/>
  <c r="AN157" i="30" s="1"/>
  <c r="AD157" i="30"/>
  <c r="AF157" i="30" s="1"/>
  <c r="AM157" i="30"/>
  <c r="AR159" i="35"/>
  <c r="Q187" i="5" s="1"/>
  <c r="AO158" i="35"/>
  <c r="AT156" i="30"/>
  <c r="AQ158" i="35" s="1"/>
  <c r="O186" i="5" s="1"/>
  <c r="AL157" i="30" l="1"/>
  <c r="AO157" i="30" s="1"/>
  <c r="AP157" i="30" s="1"/>
  <c r="AN159" i="35" s="1"/>
  <c r="AJ159" i="35"/>
  <c r="K187" i="5" s="1"/>
  <c r="AU157" i="30"/>
  <c r="W158" i="30"/>
  <c r="AL186" i="5"/>
  <c r="AF186" i="5"/>
  <c r="AM159" i="35"/>
  <c r="AL159" i="35"/>
  <c r="L187" i="5" s="1"/>
  <c r="AQ157" i="30" l="1"/>
  <c r="AR157" i="30"/>
  <c r="AS157" i="30"/>
  <c r="Q157" i="30"/>
  <c r="AH186" i="5"/>
  <c r="AC187" i="5" s="1"/>
  <c r="AM187" i="5" s="1"/>
  <c r="Y28" i="2" s="1"/>
  <c r="AJ186" i="5"/>
  <c r="AK159" i="35"/>
  <c r="M187" i="5" s="1"/>
  <c r="Y187" i="5" s="1"/>
  <c r="AA158" i="30"/>
  <c r="AB158" i="30" s="1"/>
  <c r="AE158" i="30"/>
  <c r="Y158" i="30"/>
  <c r="Z158" i="30" s="1"/>
  <c r="AO159" i="35"/>
  <c r="AT157" i="30"/>
  <c r="AQ159" i="35" s="1"/>
  <c r="O187" i="5" s="1"/>
  <c r="AR160" i="35" l="1"/>
  <c r="Q188" i="5" s="1"/>
  <c r="AC158" i="30"/>
  <c r="AD158" i="30" l="1"/>
  <c r="AF158" i="30" s="1"/>
  <c r="AG158" i="30"/>
  <c r="AH158" i="30" s="1"/>
  <c r="AL187" i="5"/>
  <c r="X28" i="2" s="1"/>
  <c r="AB28" i="2" s="1"/>
  <c r="Q28" i="2" s="1"/>
  <c r="R28" i="2" s="1"/>
  <c r="S28" i="2" s="1"/>
  <c r="AF187" i="5"/>
  <c r="O28" i="2" l="1"/>
  <c r="P28" i="2"/>
  <c r="AN158" i="30"/>
  <c r="AL158" i="30"/>
  <c r="AO158" i="30" s="1"/>
  <c r="AM158" i="30"/>
  <c r="AH187" i="5"/>
  <c r="AJ187" i="5"/>
  <c r="Q158" i="30" l="1"/>
  <c r="AR158" i="30"/>
  <c r="AP158" i="30"/>
  <c r="AM160" i="35"/>
  <c r="AL160" i="35"/>
  <c r="W159" i="30"/>
  <c r="AJ160" i="35"/>
  <c r="K188" i="5" s="1"/>
  <c r="AU158" i="30"/>
  <c r="L188" i="5" l="1"/>
  <c r="AC188" i="5" s="1"/>
  <c r="AM188" i="5" s="1"/>
  <c r="AK160" i="35"/>
  <c r="M188" i="5" s="1"/>
  <c r="Y188" i="5" s="1"/>
  <c r="AN160" i="35"/>
  <c r="AS158" i="30"/>
  <c r="AQ158" i="30"/>
  <c r="Y159" i="30"/>
  <c r="Z159" i="30" s="1"/>
  <c r="AE159" i="30"/>
  <c r="AA159" i="30"/>
  <c r="AB159" i="30" s="1"/>
  <c r="AC159" i="30" l="1"/>
  <c r="AD159" i="30" s="1"/>
  <c r="AF159" i="30" s="1"/>
  <c r="AM159" i="30"/>
  <c r="AG159" i="30"/>
  <c r="AH159" i="30" s="1"/>
  <c r="AN159" i="30" s="1"/>
  <c r="AT158" i="30"/>
  <c r="AQ160" i="35" s="1"/>
  <c r="O188" i="5" s="1"/>
  <c r="AO160" i="35"/>
  <c r="AR161" i="35"/>
  <c r="Q189" i="5" s="1"/>
  <c r="AL161" i="35" l="1"/>
  <c r="L189" i="5" s="1"/>
  <c r="AM161" i="35"/>
  <c r="W160" i="30"/>
  <c r="AJ161" i="35"/>
  <c r="K189" i="5" s="1"/>
  <c r="AU159" i="30"/>
  <c r="AL188" i="5"/>
  <c r="AF188" i="5"/>
  <c r="AA160" i="30"/>
  <c r="AB160" i="30" s="1"/>
  <c r="AL159" i="30"/>
  <c r="AO159" i="30" s="1"/>
  <c r="AJ188" i="5" l="1"/>
  <c r="AH188" i="5"/>
  <c r="AC189" i="5" s="1"/>
  <c r="AM189" i="5" s="1"/>
  <c r="AK161" i="35"/>
  <c r="M189" i="5" s="1"/>
  <c r="Y189" i="5" s="1"/>
  <c r="Y160" i="30"/>
  <c r="Z160" i="30" s="1"/>
  <c r="AC160" i="30" s="1"/>
  <c r="AE160" i="30"/>
  <c r="AR159" i="30"/>
  <c r="Q159" i="30"/>
  <c r="AP159" i="30"/>
  <c r="AG160" i="30" l="1"/>
  <c r="AH160" i="30" s="1"/>
  <c r="AD160" i="30"/>
  <c r="AF160" i="30" s="1"/>
  <c r="AS159" i="30"/>
  <c r="AN161" i="35"/>
  <c r="AQ159" i="30"/>
  <c r="AR162" i="35"/>
  <c r="Q190" i="5" s="1"/>
  <c r="AL189" i="5" l="1"/>
  <c r="AF189" i="5"/>
  <c r="AT159" i="30"/>
  <c r="AQ161" i="35" s="1"/>
  <c r="O189" i="5" s="1"/>
  <c r="AO161" i="35"/>
  <c r="AM160" i="30"/>
  <c r="AL160" i="30"/>
  <c r="AO160" i="30" s="1"/>
  <c r="AN160" i="30"/>
  <c r="AL162" i="35" l="1"/>
  <c r="L190" i="5" s="1"/>
  <c r="AM162" i="35"/>
  <c r="AR160" i="30"/>
  <c r="Q160" i="30"/>
  <c r="AP160" i="30"/>
  <c r="AJ189" i="5"/>
  <c r="AH189" i="5"/>
  <c r="W161" i="30"/>
  <c r="AJ162" i="35"/>
  <c r="K190" i="5" s="1"/>
  <c r="AU160" i="30"/>
  <c r="AA161" i="30" l="1"/>
  <c r="AB161" i="30" s="1"/>
  <c r="Y161" i="30"/>
  <c r="Z161" i="30" s="1"/>
  <c r="AE161" i="30"/>
  <c r="AN162" i="35"/>
  <c r="AS160" i="30"/>
  <c r="AQ160" i="30"/>
  <c r="AC190" i="5"/>
  <c r="AM190" i="5" s="1"/>
  <c r="AK162" i="35"/>
  <c r="M190" i="5" s="1"/>
  <c r="Y190" i="5" s="1"/>
  <c r="AC161" i="30" l="1"/>
  <c r="AR163" i="35"/>
  <c r="Q191" i="5" s="1"/>
  <c r="AT160" i="30"/>
  <c r="AQ162" i="35" s="1"/>
  <c r="O190" i="5" s="1"/>
  <c r="AO162" i="35"/>
  <c r="AG161" i="30" l="1"/>
  <c r="AH161" i="30" s="1"/>
  <c r="AD161" i="30"/>
  <c r="AF161" i="30" s="1"/>
  <c r="AL190" i="5"/>
  <c r="AF190" i="5"/>
  <c r="AH190" i="5" l="1"/>
  <c r="AJ190" i="5"/>
  <c r="AN161" i="30"/>
  <c r="AL161" i="30"/>
  <c r="AO161" i="30" s="1"/>
  <c r="AM161" i="30"/>
  <c r="AU161" i="30" l="1"/>
  <c r="AJ163" i="35"/>
  <c r="K191" i="5" s="1"/>
  <c r="W162" i="30"/>
  <c r="AP161" i="30"/>
  <c r="Q161" i="30"/>
  <c r="AR161" i="30"/>
  <c r="AL163" i="35"/>
  <c r="AM163" i="35"/>
  <c r="L191" i="5" l="1"/>
  <c r="AC191" i="5" s="1"/>
  <c r="AM191" i="5" s="1"/>
  <c r="Y162" i="30"/>
  <c r="Z162" i="30" s="1"/>
  <c r="AE162" i="30"/>
  <c r="AA162" i="30"/>
  <c r="AB162" i="30" s="1"/>
  <c r="AC162" i="30" s="1"/>
  <c r="AK163" i="35"/>
  <c r="M191" i="5" s="1"/>
  <c r="Y191" i="5" s="1"/>
  <c r="AS161" i="30"/>
  <c r="AN163" i="35"/>
  <c r="AQ161" i="30"/>
  <c r="AD162" i="30" l="1"/>
  <c r="AF162" i="30" s="1"/>
  <c r="AG162" i="30"/>
  <c r="AH162" i="30" s="1"/>
  <c r="AN162" i="30" s="1"/>
  <c r="AO163" i="35"/>
  <c r="AT161" i="30"/>
  <c r="AQ163" i="35" s="1"/>
  <c r="O191" i="5" s="1"/>
  <c r="AR164" i="35"/>
  <c r="Q192" i="5" s="1"/>
  <c r="AL191" i="5" l="1"/>
  <c r="AF191" i="5"/>
  <c r="AL162" i="30"/>
  <c r="AO162" i="30" s="1"/>
  <c r="AL164" i="35"/>
  <c r="L192" i="5" s="1"/>
  <c r="AM164" i="35"/>
  <c r="AM162" i="30"/>
  <c r="AR162" i="30" l="1"/>
  <c r="Q162" i="30"/>
  <c r="AP162" i="30"/>
  <c r="AJ164" i="35"/>
  <c r="K192" i="5" s="1"/>
  <c r="W163" i="30"/>
  <c r="AU162" i="30"/>
  <c r="AH191" i="5"/>
  <c r="AC192" i="5" s="1"/>
  <c r="AM192" i="5" s="1"/>
  <c r="AJ191" i="5"/>
  <c r="AK164" i="35" l="1"/>
  <c r="M192" i="5" s="1"/>
  <c r="Y192" i="5" s="1"/>
  <c r="AN164" i="35"/>
  <c r="AS162" i="30"/>
  <c r="AQ162" i="30"/>
  <c r="AE163" i="30"/>
  <c r="Y163" i="30"/>
  <c r="Z163" i="30" s="1"/>
  <c r="AA163" i="30"/>
  <c r="AB163" i="30" s="1"/>
  <c r="AC163" i="30" l="1"/>
  <c r="AO164" i="35"/>
  <c r="AT162" i="30"/>
  <c r="AQ164" i="35" s="1"/>
  <c r="O192" i="5" s="1"/>
  <c r="AR165" i="35"/>
  <c r="Q193" i="5" s="1"/>
  <c r="AL192" i="5" l="1"/>
  <c r="AF192" i="5"/>
  <c r="AG163" i="30"/>
  <c r="AH163" i="30" s="1"/>
  <c r="AD163" i="30"/>
  <c r="AF163" i="30" s="1"/>
  <c r="AN163" i="30" l="1"/>
  <c r="AM163" i="30"/>
  <c r="AL163" i="30"/>
  <c r="AO163" i="30" s="1"/>
  <c r="AJ192" i="5"/>
  <c r="AH192" i="5"/>
  <c r="AR163" i="30" l="1"/>
  <c r="Q163" i="30"/>
  <c r="AP163" i="30"/>
  <c r="W164" i="30"/>
  <c r="AU163" i="30"/>
  <c r="AJ165" i="35"/>
  <c r="K193" i="5" s="1"/>
  <c r="AL165" i="35"/>
  <c r="AM165" i="35"/>
  <c r="L193" i="5" l="1"/>
  <c r="AC193" i="5" s="1"/>
  <c r="AM193" i="5" s="1"/>
  <c r="Y164" i="30"/>
  <c r="Z164" i="30" s="1"/>
  <c r="AE164" i="30"/>
  <c r="AA164" i="30"/>
  <c r="AB164" i="30" s="1"/>
  <c r="AC164" i="30" s="1"/>
  <c r="AN165" i="35"/>
  <c r="AS163" i="30"/>
  <c r="AQ163" i="30"/>
  <c r="AK165" i="35"/>
  <c r="M193" i="5" s="1"/>
  <c r="Y193" i="5" s="1"/>
  <c r="AG164" i="30" l="1"/>
  <c r="AH164" i="30" s="1"/>
  <c r="AN164" i="30" s="1"/>
  <c r="AD164" i="30"/>
  <c r="AF164" i="30" s="1"/>
  <c r="AR166" i="35"/>
  <c r="Q194" i="5" s="1"/>
  <c r="AL164" i="30"/>
  <c r="AO164" i="30" s="1"/>
  <c r="AM164" i="30"/>
  <c r="AT163" i="30"/>
  <c r="AQ165" i="35" s="1"/>
  <c r="O193" i="5" s="1"/>
  <c r="AO165" i="35"/>
  <c r="AL193" i="5" l="1"/>
  <c r="AF193" i="5"/>
  <c r="W165" i="30"/>
  <c r="AU164" i="30"/>
  <c r="AJ166" i="35"/>
  <c r="K194" i="5" s="1"/>
  <c r="AP164" i="30"/>
  <c r="AR164" i="30"/>
  <c r="Q164" i="30"/>
  <c r="AL166" i="35"/>
  <c r="L194" i="5" s="1"/>
  <c r="AM166" i="35"/>
  <c r="AN166" i="35" l="1"/>
  <c r="AS164" i="30"/>
  <c r="AQ164" i="30"/>
  <c r="AA165" i="30"/>
  <c r="AB165" i="30" s="1"/>
  <c r="Y165" i="30"/>
  <c r="Z165" i="30" s="1"/>
  <c r="AE165" i="30"/>
  <c r="AH193" i="5"/>
  <c r="AC194" i="5" s="1"/>
  <c r="AM194" i="5" s="1"/>
  <c r="AJ193" i="5"/>
  <c r="AK166" i="35"/>
  <c r="M194" i="5" s="1"/>
  <c r="Y194" i="5" s="1"/>
  <c r="AR167" i="35" l="1"/>
  <c r="Q195" i="5" s="1"/>
  <c r="AT164" i="30"/>
  <c r="AQ166" i="35" s="1"/>
  <c r="O194" i="5" s="1"/>
  <c r="AO166" i="35"/>
  <c r="AC165" i="30"/>
  <c r="W176" i="30"/>
  <c r="AJ177" i="35"/>
  <c r="K205" i="5" s="1"/>
  <c r="AL194" i="5" l="1"/>
  <c r="AF194" i="5"/>
  <c r="AG165" i="30"/>
  <c r="AH165" i="30" s="1"/>
  <c r="AD165" i="30"/>
  <c r="AF165" i="30" s="1"/>
  <c r="AK177" i="35"/>
  <c r="M205" i="5" s="1"/>
  <c r="Y205" i="5" s="1"/>
  <c r="Y176" i="30"/>
  <c r="Z176" i="30" s="1"/>
  <c r="AN165" i="30" l="1"/>
  <c r="AM165" i="30"/>
  <c r="AL165" i="30"/>
  <c r="AO165" i="30" s="1"/>
  <c r="AJ194" i="5"/>
  <c r="AH194" i="5"/>
  <c r="AJ167" i="35" l="1"/>
  <c r="K195" i="5" s="1"/>
  <c r="W166" i="30"/>
  <c r="AU165" i="30"/>
  <c r="AR165" i="30"/>
  <c r="Q165" i="30"/>
  <c r="AP165" i="30"/>
  <c r="AL167" i="35"/>
  <c r="AM167" i="35"/>
  <c r="L195" i="5" l="1"/>
  <c r="AC195" i="5" s="1"/>
  <c r="AM195" i="5" s="1"/>
  <c r="AS165" i="30"/>
  <c r="AN167" i="35"/>
  <c r="AQ165" i="30"/>
  <c r="Y166" i="30"/>
  <c r="Z166" i="30" s="1"/>
  <c r="AE166" i="30"/>
  <c r="AA166" i="30"/>
  <c r="AB166" i="30" s="1"/>
  <c r="AK167" i="35"/>
  <c r="M195" i="5" s="1"/>
  <c r="Y195" i="5" s="1"/>
  <c r="AJ178" i="35"/>
  <c r="K206" i="5" s="1"/>
  <c r="W177" i="30"/>
  <c r="AR168" i="35" l="1"/>
  <c r="Q196" i="5" s="1"/>
  <c r="AC166" i="30"/>
  <c r="AO167" i="35"/>
  <c r="AT165" i="30"/>
  <c r="AQ167" i="35" s="1"/>
  <c r="O195" i="5" s="1"/>
  <c r="Y177" i="30"/>
  <c r="Z177" i="30" s="1"/>
  <c r="AK178" i="35"/>
  <c r="M206" i="5" s="1"/>
  <c r="Y206" i="5" s="1"/>
  <c r="AL195" i="5" l="1"/>
  <c r="AF195" i="5"/>
  <c r="AD166" i="30"/>
  <c r="AF166" i="30" s="1"/>
  <c r="AG166" i="30"/>
  <c r="AH166" i="30" s="1"/>
  <c r="AN166" i="30" l="1"/>
  <c r="AL166" i="30"/>
  <c r="AO166" i="30" s="1"/>
  <c r="AM166" i="30"/>
  <c r="AJ195" i="5"/>
  <c r="AH195" i="5"/>
  <c r="W167" i="30" l="1"/>
  <c r="AJ168" i="35"/>
  <c r="K196" i="5" s="1"/>
  <c r="AU166" i="30"/>
  <c r="Q166" i="30"/>
  <c r="AR166" i="30"/>
  <c r="AP166" i="30"/>
  <c r="AL168" i="35"/>
  <c r="AM168" i="35"/>
  <c r="W178" i="30"/>
  <c r="Y178" i="30" s="1"/>
  <c r="Z178" i="30" s="1"/>
  <c r="AJ179" i="35"/>
  <c r="L196" i="5" l="1"/>
  <c r="AC196" i="5" s="1"/>
  <c r="AM196" i="5" s="1"/>
  <c r="AK179" i="35"/>
  <c r="M207" i="5" s="1"/>
  <c r="K207" i="5"/>
  <c r="AN168" i="35"/>
  <c r="AS166" i="30"/>
  <c r="AQ166" i="30"/>
  <c r="AK168" i="35"/>
  <c r="M196" i="5" s="1"/>
  <c r="Y196" i="5" s="1"/>
  <c r="AA167" i="30"/>
  <c r="AB167" i="30" s="1"/>
  <c r="Y167" i="30"/>
  <c r="Z167" i="30" s="1"/>
  <c r="AC167" i="30" s="1"/>
  <c r="AE167" i="30"/>
  <c r="Y207" i="5" l="1"/>
  <c r="AG167" i="30"/>
  <c r="AH167" i="30" s="1"/>
  <c r="AN167" i="30" s="1"/>
  <c r="AD167" i="30"/>
  <c r="AF167" i="30" s="1"/>
  <c r="AM167" i="30"/>
  <c r="AL167" i="30"/>
  <c r="AO167" i="30" s="1"/>
  <c r="AP167" i="30" s="1"/>
  <c r="AO168" i="35"/>
  <c r="AT166" i="30"/>
  <c r="AQ168" i="35" s="1"/>
  <c r="O196" i="5" s="1"/>
  <c r="AR169" i="35"/>
  <c r="Q197" i="5" s="1"/>
  <c r="AN169" i="35" l="1"/>
  <c r="AS167" i="30"/>
  <c r="AQ167" i="30"/>
  <c r="AJ169" i="35"/>
  <c r="K197" i="5" s="1"/>
  <c r="W168" i="30"/>
  <c r="AU167" i="30"/>
  <c r="AL196" i="5"/>
  <c r="AF196" i="5"/>
  <c r="Q167" i="30"/>
  <c r="AR167" i="30"/>
  <c r="AM169" i="35"/>
  <c r="AL169" i="35"/>
  <c r="L197" i="5" s="1"/>
  <c r="AK169" i="35" l="1"/>
  <c r="M197" i="5" s="1"/>
  <c r="Y197" i="5" s="1"/>
  <c r="AT167" i="30"/>
  <c r="AQ169" i="35" s="1"/>
  <c r="O197" i="5" s="1"/>
  <c r="AO169" i="35"/>
  <c r="AJ196" i="5"/>
  <c r="AH196" i="5"/>
  <c r="AC197" i="5" s="1"/>
  <c r="AM197" i="5" s="1"/>
  <c r="AA168" i="30"/>
  <c r="AB168" i="30" s="1"/>
  <c r="AE168" i="30"/>
  <c r="Y168" i="30"/>
  <c r="Z168" i="30" s="1"/>
  <c r="AJ180" i="35"/>
  <c r="W179" i="30"/>
  <c r="AK180" i="35" l="1"/>
  <c r="M208" i="5" s="1"/>
  <c r="K208" i="5"/>
  <c r="AC168" i="30"/>
  <c r="AD168" i="30"/>
  <c r="AF168" i="30" s="1"/>
  <c r="AG168" i="30"/>
  <c r="AH168" i="30" s="1"/>
  <c r="AR170" i="35"/>
  <c r="Q198" i="5" s="1"/>
  <c r="Y179" i="30"/>
  <c r="Z179" i="30" s="1"/>
  <c r="Y208" i="5" l="1"/>
  <c r="AN168" i="30"/>
  <c r="AM168" i="30"/>
  <c r="AL168" i="30"/>
  <c r="AO168" i="30" s="1"/>
  <c r="AL197" i="5"/>
  <c r="AF197" i="5"/>
  <c r="W180" i="30"/>
  <c r="AR168" i="30" l="1"/>
  <c r="Q168" i="30"/>
  <c r="AP168" i="30"/>
  <c r="AJ170" i="35"/>
  <c r="K198" i="5" s="1"/>
  <c r="W169" i="30"/>
  <c r="AU168" i="30"/>
  <c r="AH197" i="5"/>
  <c r="AJ197" i="5"/>
  <c r="AL170" i="35"/>
  <c r="AM170" i="35"/>
  <c r="AJ181" i="35"/>
  <c r="Y180" i="30"/>
  <c r="AK181" i="35" l="1"/>
  <c r="M209" i="5" s="1"/>
  <c r="K209" i="5"/>
  <c r="L198" i="5"/>
  <c r="AC198" i="5" s="1"/>
  <c r="AM198" i="5" s="1"/>
  <c r="AK170" i="35"/>
  <c r="M198" i="5" s="1"/>
  <c r="Y198" i="5" s="1"/>
  <c r="AN170" i="35"/>
  <c r="AS168" i="30"/>
  <c r="AQ168" i="30"/>
  <c r="AE169" i="30"/>
  <c r="Y169" i="30"/>
  <c r="Z169" i="30" s="1"/>
  <c r="AA169" i="30"/>
  <c r="AB169" i="30" s="1"/>
  <c r="Y181" i="30"/>
  <c r="Z180" i="30"/>
  <c r="Y209" i="5" l="1"/>
  <c r="AC169" i="30"/>
  <c r="AO170" i="35"/>
  <c r="AT168" i="30"/>
  <c r="AQ170" i="35" s="1"/>
  <c r="O198" i="5" s="1"/>
  <c r="AR171" i="35"/>
  <c r="Q199" i="5" s="1"/>
  <c r="Z181" i="30"/>
  <c r="Y182" i="30"/>
  <c r="AL198" i="5" l="1"/>
  <c r="AF198" i="5"/>
  <c r="AG169" i="30"/>
  <c r="AH169" i="30" s="1"/>
  <c r="AD169" i="30"/>
  <c r="AF169" i="30" s="1"/>
  <c r="Y183" i="30"/>
  <c r="Z182" i="30"/>
  <c r="AN169" i="30" l="1"/>
  <c r="AL169" i="30"/>
  <c r="AO169" i="30" s="1"/>
  <c r="AM169" i="30"/>
  <c r="AH198" i="5"/>
  <c r="AJ198" i="5"/>
  <c r="Y184" i="30"/>
  <c r="Z183" i="30"/>
  <c r="AJ171" i="35" l="1"/>
  <c r="K199" i="5" s="1"/>
  <c r="AU169" i="30"/>
  <c r="W170" i="30"/>
  <c r="Q169" i="30"/>
  <c r="AR169" i="30"/>
  <c r="AP169" i="30"/>
  <c r="AM171" i="35"/>
  <c r="AL171" i="35"/>
  <c r="Y185" i="30"/>
  <c r="Z184" i="30"/>
  <c r="L199" i="5" l="1"/>
  <c r="AC199" i="5" s="1"/>
  <c r="AM199" i="5" s="1"/>
  <c r="AE170" i="30"/>
  <c r="Y170" i="30"/>
  <c r="Z170" i="30" s="1"/>
  <c r="AA170" i="30"/>
  <c r="AB170" i="30" s="1"/>
  <c r="AC170" i="30" s="1"/>
  <c r="AN171" i="35"/>
  <c r="AS169" i="30"/>
  <c r="AQ169" i="30"/>
  <c r="AK171" i="35"/>
  <c r="M199" i="5" s="1"/>
  <c r="Y199" i="5" s="1"/>
  <c r="Y186" i="30"/>
  <c r="Z185" i="30"/>
  <c r="AR172" i="35" l="1"/>
  <c r="Q200" i="5" s="1"/>
  <c r="AD170" i="30"/>
  <c r="AF170" i="30" s="1"/>
  <c r="AG170" i="30"/>
  <c r="AH170" i="30" s="1"/>
  <c r="AN170" i="30" s="1"/>
  <c r="AL170" i="30"/>
  <c r="AO170" i="30" s="1"/>
  <c r="AM170" i="30"/>
  <c r="AO171" i="35"/>
  <c r="AT169" i="30"/>
  <c r="AQ171" i="35" s="1"/>
  <c r="O199" i="5" s="1"/>
  <c r="Y187" i="30"/>
  <c r="Z186" i="30"/>
  <c r="AL172" i="35" l="1"/>
  <c r="L200" i="5" s="1"/>
  <c r="AM172" i="35"/>
  <c r="AP170" i="30"/>
  <c r="AR170" i="30"/>
  <c r="Q170" i="30"/>
  <c r="W171" i="30"/>
  <c r="AJ172" i="35"/>
  <c r="K200" i="5" s="1"/>
  <c r="AU170" i="30"/>
  <c r="AL199" i="5"/>
  <c r="AF199" i="5"/>
  <c r="Y188" i="30"/>
  <c r="Z187" i="30"/>
  <c r="AJ199" i="5" l="1"/>
  <c r="AH199" i="5"/>
  <c r="AC200" i="5" s="1"/>
  <c r="AM200" i="5" s="1"/>
  <c r="Y29" i="2" s="1"/>
  <c r="Y31" i="2" s="1"/>
  <c r="AK172" i="35"/>
  <c r="M200" i="5" s="1"/>
  <c r="Y200" i="5" s="1"/>
  <c r="AQ170" i="30"/>
  <c r="AN172" i="35"/>
  <c r="AS170" i="30"/>
  <c r="AA171" i="30"/>
  <c r="AB171" i="30" s="1"/>
  <c r="AE171" i="30"/>
  <c r="Y171" i="30"/>
  <c r="Z171" i="30" s="1"/>
  <c r="Y189" i="30"/>
  <c r="Z188" i="30"/>
  <c r="AC171" i="30" l="1"/>
  <c r="AD171" i="30" s="1"/>
  <c r="AF171" i="30" s="1"/>
  <c r="AG171" i="30"/>
  <c r="AH171" i="30" s="1"/>
  <c r="AN171" i="30" s="1"/>
  <c r="AT170" i="30"/>
  <c r="AQ172" i="35" s="1"/>
  <c r="O200" i="5" s="1"/>
  <c r="AO172" i="35"/>
  <c r="AM171" i="30"/>
  <c r="AL171" i="30"/>
  <c r="AO171" i="30" s="1"/>
  <c r="AR173" i="35"/>
  <c r="Q201" i="5" s="1"/>
  <c r="Y190" i="30"/>
  <c r="Z189" i="30"/>
  <c r="AL200" i="5" l="1"/>
  <c r="X29" i="2" s="1"/>
  <c r="AF200" i="5"/>
  <c r="AR171" i="30"/>
  <c r="Q171" i="30"/>
  <c r="AP171" i="30"/>
  <c r="AU171" i="30"/>
  <c r="W172" i="30"/>
  <c r="AJ173" i="35"/>
  <c r="K201" i="5" s="1"/>
  <c r="AM173" i="35"/>
  <c r="AL173" i="35"/>
  <c r="L201" i="5" s="1"/>
  <c r="AA172" i="30"/>
  <c r="AB172" i="30" s="1"/>
  <c r="Y191" i="30"/>
  <c r="Z190" i="30"/>
  <c r="AS171" i="30" l="1"/>
  <c r="AN173" i="35"/>
  <c r="AQ171" i="30"/>
  <c r="AK173" i="35"/>
  <c r="M201" i="5" s="1"/>
  <c r="Y201" i="5" s="1"/>
  <c r="AE172" i="30"/>
  <c r="Y172" i="30"/>
  <c r="Z172" i="30" s="1"/>
  <c r="AC172" i="30" s="1"/>
  <c r="AJ200" i="5"/>
  <c r="AH200" i="5"/>
  <c r="AC201" i="5" s="1"/>
  <c r="AM201" i="5" s="1"/>
  <c r="AB29" i="2"/>
  <c r="Q29" i="2" s="1"/>
  <c r="X31" i="2"/>
  <c r="Y192" i="30"/>
  <c r="Z191" i="30"/>
  <c r="AD172" i="30" l="1"/>
  <c r="AF172" i="30" s="1"/>
  <c r="AG172" i="30"/>
  <c r="AH172" i="30" s="1"/>
  <c r="AN172" i="30" s="1"/>
  <c r="AM172" i="30"/>
  <c r="R29" i="2"/>
  <c r="Q31" i="2"/>
  <c r="AR174" i="35"/>
  <c r="Q202" i="5" s="1"/>
  <c r="AT171" i="30"/>
  <c r="AQ173" i="35" s="1"/>
  <c r="O201" i="5" s="1"/>
  <c r="AO173" i="35"/>
  <c r="Y193" i="30"/>
  <c r="Z192" i="30"/>
  <c r="AL172" i="30" l="1"/>
  <c r="AO172" i="30" s="1"/>
  <c r="AR172" i="30" s="1"/>
  <c r="AL201" i="5"/>
  <c r="AF201" i="5"/>
  <c r="Q172" i="30"/>
  <c r="S29" i="2"/>
  <c r="R31" i="2"/>
  <c r="AM174" i="35"/>
  <c r="AL174" i="35"/>
  <c r="L202" i="5" s="1"/>
  <c r="AJ174" i="35"/>
  <c r="K202" i="5" s="1"/>
  <c r="AU172" i="30"/>
  <c r="W173" i="30"/>
  <c r="AA173" i="30"/>
  <c r="AB173" i="30" s="1"/>
  <c r="Y194" i="30"/>
  <c r="Z193" i="30"/>
  <c r="AP172" i="30" l="1"/>
  <c r="AN174" i="35" s="1"/>
  <c r="AE173" i="30"/>
  <c r="Y173" i="30"/>
  <c r="Z173" i="30" s="1"/>
  <c r="AS172" i="30"/>
  <c r="AQ172" i="30"/>
  <c r="AC173" i="30"/>
  <c r="AK174" i="35"/>
  <c r="M202" i="5" s="1"/>
  <c r="Y202" i="5" s="1"/>
  <c r="AJ201" i="5"/>
  <c r="AH201" i="5"/>
  <c r="AC202" i="5" s="1"/>
  <c r="AM202" i="5" s="1"/>
  <c r="O29" i="2"/>
  <c r="O31" i="2" s="1"/>
  <c r="S31" i="2"/>
  <c r="P29" i="2"/>
  <c r="P31" i="2" s="1"/>
  <c r="Y195" i="30"/>
  <c r="Z194" i="30"/>
  <c r="AO174" i="35" l="1"/>
  <c r="AT172" i="30"/>
  <c r="AQ174" i="35" s="1"/>
  <c r="O202" i="5" s="1"/>
  <c r="AR175" i="35"/>
  <c r="Q203" i="5" s="1"/>
  <c r="AD173" i="30"/>
  <c r="AF173" i="30" s="1"/>
  <c r="AG173" i="30"/>
  <c r="AH173" i="30" s="1"/>
  <c r="AN173" i="30" s="1"/>
  <c r="AM173" i="30"/>
  <c r="Y196" i="30"/>
  <c r="Z195" i="30"/>
  <c r="AL202" i="5" l="1"/>
  <c r="AF202" i="5"/>
  <c r="AL175" i="35"/>
  <c r="L203" i="5" s="1"/>
  <c r="AM175" i="35"/>
  <c r="AL173" i="30"/>
  <c r="AO173" i="30" s="1"/>
  <c r="AJ175" i="35"/>
  <c r="K203" i="5" s="1"/>
  <c r="W174" i="30"/>
  <c r="AU173" i="30"/>
  <c r="Y197" i="30"/>
  <c r="Z196" i="30"/>
  <c r="Y174" i="30" l="1"/>
  <c r="Z174" i="30" s="1"/>
  <c r="AE174" i="30"/>
  <c r="AA174" i="30"/>
  <c r="AB174" i="30" s="1"/>
  <c r="AC174" i="30" s="1"/>
  <c r="AH202" i="5"/>
  <c r="AC203" i="5" s="1"/>
  <c r="AM203" i="5" s="1"/>
  <c r="AJ202" i="5"/>
  <c r="AK175" i="35"/>
  <c r="M203" i="5" s="1"/>
  <c r="Y203" i="5" s="1"/>
  <c r="AR173" i="30"/>
  <c r="Q173" i="30"/>
  <c r="AP173" i="30"/>
  <c r="Y198" i="30"/>
  <c r="Z197" i="30"/>
  <c r="AN175" i="35" l="1"/>
  <c r="AS173" i="30"/>
  <c r="AQ173" i="30"/>
  <c r="AD174" i="30"/>
  <c r="AF174" i="30" s="1"/>
  <c r="AG174" i="30"/>
  <c r="AH174" i="30" s="1"/>
  <c r="AR176" i="35"/>
  <c r="Q204" i="5" s="1"/>
  <c r="Y199" i="30"/>
  <c r="Z198" i="30"/>
  <c r="AN174" i="30" l="1"/>
  <c r="AM176" i="35" s="1"/>
  <c r="AL203" i="5"/>
  <c r="AF203" i="5"/>
  <c r="AL174" i="30"/>
  <c r="AO174" i="30" s="1"/>
  <c r="AM174" i="30"/>
  <c r="AT173" i="30"/>
  <c r="AQ175" i="35" s="1"/>
  <c r="O203" i="5" s="1"/>
  <c r="AO175" i="35"/>
  <c r="AL176" i="35"/>
  <c r="L204" i="5" s="1"/>
  <c r="Y200" i="30"/>
  <c r="Z199" i="30"/>
  <c r="W175" i="30" l="1"/>
  <c r="AJ176" i="35"/>
  <c r="K204" i="5" s="1"/>
  <c r="AU174" i="30"/>
  <c r="AU175" i="30" s="1"/>
  <c r="AU176" i="30" s="1"/>
  <c r="AU177" i="30" s="1"/>
  <c r="AU178" i="30" s="1"/>
  <c r="AU179" i="30" s="1"/>
  <c r="AU180" i="30" s="1"/>
  <c r="AU181" i="30" s="1"/>
  <c r="AU182" i="30" s="1"/>
  <c r="AU183" i="30" s="1"/>
  <c r="AU184" i="30" s="1"/>
  <c r="AU185" i="30" s="1"/>
  <c r="AU186" i="30" s="1"/>
  <c r="AU187" i="30" s="1"/>
  <c r="AU188" i="30" s="1"/>
  <c r="AU189" i="30" s="1"/>
  <c r="AU190" i="30" s="1"/>
  <c r="AU191" i="30" s="1"/>
  <c r="AU192" i="30" s="1"/>
  <c r="AU193" i="30" s="1"/>
  <c r="AU194" i="30" s="1"/>
  <c r="AU195" i="30" s="1"/>
  <c r="AU196" i="30" s="1"/>
  <c r="AU197" i="30" s="1"/>
  <c r="AU198" i="30" s="1"/>
  <c r="AU199" i="30" s="1"/>
  <c r="AU200" i="30" s="1"/>
  <c r="AU201" i="30" s="1"/>
  <c r="AU202" i="30" s="1"/>
  <c r="AM6" i="30"/>
  <c r="Q174" i="30"/>
  <c r="AR174" i="30"/>
  <c r="AP174" i="30"/>
  <c r="AH203" i="5"/>
  <c r="AC204" i="5" s="1"/>
  <c r="AM204" i="5" s="1"/>
  <c r="AJ203" i="5"/>
  <c r="Y201" i="30"/>
  <c r="Z200" i="30"/>
  <c r="AK176" i="35" l="1"/>
  <c r="M204" i="5" s="1"/>
  <c r="Y204" i="5" s="1"/>
  <c r="AN176" i="35"/>
  <c r="AS174" i="30"/>
  <c r="AQ174" i="30"/>
  <c r="AE175" i="30"/>
  <c r="Y175" i="30"/>
  <c r="Z175" i="30" s="1"/>
  <c r="AA175" i="30"/>
  <c r="AB175" i="30" s="1"/>
  <c r="Y202" i="30"/>
  <c r="Z202" i="30" s="1"/>
  <c r="Z201" i="30"/>
  <c r="AC175" i="30" l="1"/>
  <c r="AO176" i="35"/>
  <c r="AT174" i="30"/>
  <c r="AQ176" i="35" s="1"/>
  <c r="O204" i="5" s="1"/>
  <c r="K233" i="5"/>
  <c r="AR177" i="35"/>
  <c r="Q205" i="5" s="1"/>
  <c r="M233" i="5"/>
  <c r="Y233" i="5" l="1"/>
  <c r="AR178" i="35"/>
  <c r="Q206" i="5" s="1"/>
  <c r="AG175" i="30"/>
  <c r="AH175" i="30" s="1"/>
  <c r="AD175" i="30"/>
  <c r="AF175" i="30" s="1"/>
  <c r="AA176" i="30" l="1"/>
  <c r="AB176" i="30" s="1"/>
  <c r="AC176" i="30" s="1"/>
  <c r="AE176" i="30"/>
  <c r="AN175" i="30"/>
  <c r="AL175" i="30"/>
  <c r="AO175" i="30" s="1"/>
  <c r="AL204" i="5"/>
  <c r="AL205" i="5" s="1"/>
  <c r="AL206" i="5" s="1"/>
  <c r="AL207" i="5" s="1"/>
  <c r="AL208" i="5" s="1"/>
  <c r="AL209" i="5" s="1"/>
  <c r="AL210" i="5" s="1"/>
  <c r="AL211" i="5" s="1"/>
  <c r="AL212" i="5" s="1"/>
  <c r="AL213" i="5" s="1"/>
  <c r="AL214" i="5" s="1"/>
  <c r="AL215" i="5" s="1"/>
  <c r="AL216" i="5" s="1"/>
  <c r="AL217" i="5" s="1"/>
  <c r="AL218" i="5" s="1"/>
  <c r="AL219" i="5" s="1"/>
  <c r="AL220" i="5" s="1"/>
  <c r="AL221" i="5" s="1"/>
  <c r="AL222" i="5" s="1"/>
  <c r="AL223" i="5" s="1"/>
  <c r="AL224" i="5" s="1"/>
  <c r="AL225" i="5" s="1"/>
  <c r="AL226" i="5" s="1"/>
  <c r="AL227" i="5" s="1"/>
  <c r="AL228" i="5" s="1"/>
  <c r="AL229" i="5" s="1"/>
  <c r="AL230" i="5" s="1"/>
  <c r="AL231" i="5" s="1"/>
  <c r="AL232" i="5" s="1"/>
  <c r="F10" i="16"/>
  <c r="D10" i="16"/>
  <c r="AF204" i="5"/>
  <c r="AR179" i="35"/>
  <c r="Q207" i="5" s="1"/>
  <c r="H10" i="16" l="1"/>
  <c r="J8" i="16" s="1"/>
  <c r="AJ204" i="5"/>
  <c r="AH204" i="5"/>
  <c r="AR175" i="30"/>
  <c r="Q175" i="30"/>
  <c r="AP175" i="30"/>
  <c r="AL177" i="35"/>
  <c r="AM177" i="35"/>
  <c r="AR180" i="35"/>
  <c r="Q208" i="5" s="1"/>
  <c r="AD176" i="30"/>
  <c r="AF176" i="30" s="1"/>
  <c r="AG176" i="30"/>
  <c r="AH176" i="30" s="1"/>
  <c r="L205" i="5" l="1"/>
  <c r="AC205" i="5" s="1"/>
  <c r="AR181" i="35"/>
  <c r="Q209" i="5" s="1"/>
  <c r="AN177" i="35"/>
  <c r="AS175" i="30"/>
  <c r="AQ175" i="30"/>
  <c r="AE177" i="30"/>
  <c r="AA177" i="30"/>
  <c r="AB177" i="30" s="1"/>
  <c r="AC177" i="30" s="1"/>
  <c r="AM205" i="5" l="1"/>
  <c r="AF205" i="5"/>
  <c r="AG177" i="30"/>
  <c r="AH177" i="30" s="1"/>
  <c r="AD177" i="30"/>
  <c r="AF177" i="30" s="1"/>
  <c r="AN176" i="30"/>
  <c r="AL176" i="30"/>
  <c r="AO176" i="30" s="1"/>
  <c r="AR182" i="35"/>
  <c r="Q210" i="5" s="1"/>
  <c r="AT175" i="30"/>
  <c r="AQ177" i="35" s="1"/>
  <c r="O205" i="5" s="1"/>
  <c r="AO177" i="35"/>
  <c r="AJ205" i="5"/>
  <c r="AH205" i="5"/>
  <c r="AR183" i="35" l="1"/>
  <c r="Q211" i="5" s="1"/>
  <c r="AL178" i="35"/>
  <c r="AM178" i="35"/>
  <c r="AE178" i="30"/>
  <c r="AA178" i="30"/>
  <c r="AB178" i="30" s="1"/>
  <c r="AC178" i="30" s="1"/>
  <c r="AR176" i="30"/>
  <c r="Q176" i="30"/>
  <c r="AP176" i="30"/>
  <c r="L206" i="5" l="1"/>
  <c r="AC206" i="5" s="1"/>
  <c r="AD178" i="30"/>
  <c r="AF178" i="30" s="1"/>
  <c r="AG178" i="30"/>
  <c r="AH178" i="30" s="1"/>
  <c r="AR184" i="35"/>
  <c r="Q212" i="5" s="1"/>
  <c r="AN178" i="35"/>
  <c r="AS176" i="30"/>
  <c r="AQ176" i="30"/>
  <c r="AF206" i="5" l="1"/>
  <c r="AM206" i="5"/>
  <c r="AO178" i="35"/>
  <c r="AT176" i="30"/>
  <c r="AQ178" i="35" s="1"/>
  <c r="O206" i="5" s="1"/>
  <c r="AL177" i="30"/>
  <c r="AO177" i="30" s="1"/>
  <c r="AN177" i="30"/>
  <c r="AA179" i="30"/>
  <c r="AB179" i="30" s="1"/>
  <c r="AC179" i="30" s="1"/>
  <c r="AE179" i="30"/>
  <c r="AR185" i="35"/>
  <c r="Q213" i="5" s="1"/>
  <c r="AH206" i="5"/>
  <c r="AJ206" i="5"/>
  <c r="AR177" i="30" l="1"/>
  <c r="Q177" i="30"/>
  <c r="AP177" i="30"/>
  <c r="AR186" i="35"/>
  <c r="Q214" i="5" s="1"/>
  <c r="AM179" i="35"/>
  <c r="AL179" i="35"/>
  <c r="AG179" i="30"/>
  <c r="AH179" i="30" s="1"/>
  <c r="AD179" i="30"/>
  <c r="AF179" i="30" s="1"/>
  <c r="L207" i="5" l="1"/>
  <c r="AC207" i="5" s="1"/>
  <c r="AS177" i="30"/>
  <c r="AN179" i="35"/>
  <c r="AQ177" i="30"/>
  <c r="AA180" i="30"/>
  <c r="AB180" i="30" s="1"/>
  <c r="AC180" i="30" s="1"/>
  <c r="AE180" i="30"/>
  <c r="AR187" i="35"/>
  <c r="Q215" i="5" s="1"/>
  <c r="AF207" i="5" l="1"/>
  <c r="AH207" i="5" s="1"/>
  <c r="AM207" i="5"/>
  <c r="AD180" i="30"/>
  <c r="AF180" i="30" s="1"/>
  <c r="AG180" i="30"/>
  <c r="AH180" i="30" s="1"/>
  <c r="AT177" i="30"/>
  <c r="AQ179" i="35" s="1"/>
  <c r="O207" i="5" s="1"/>
  <c r="AO179" i="35"/>
  <c r="AR188" i="35"/>
  <c r="Q216" i="5" s="1"/>
  <c r="AL178" i="30"/>
  <c r="AO178" i="30" s="1"/>
  <c r="AN178" i="30"/>
  <c r="AJ207" i="5" l="1"/>
  <c r="AL180" i="35"/>
  <c r="AM180" i="35"/>
  <c r="AR178" i="30"/>
  <c r="AP178" i="30"/>
  <c r="Q178" i="30"/>
  <c r="AR189" i="35"/>
  <c r="Q217" i="5" s="1"/>
  <c r="AE181" i="30"/>
  <c r="AA181" i="30"/>
  <c r="AB181" i="30" s="1"/>
  <c r="AC181" i="30" s="1"/>
  <c r="L208" i="5" l="1"/>
  <c r="AC208" i="5" s="1"/>
  <c r="AG181" i="30"/>
  <c r="AH181" i="30" s="1"/>
  <c r="AD181" i="30"/>
  <c r="AF181" i="30" s="1"/>
  <c r="AN180" i="35"/>
  <c r="AS178" i="30"/>
  <c r="AQ178" i="30"/>
  <c r="AR190" i="35"/>
  <c r="Q218" i="5" s="1"/>
  <c r="AM208" i="5" l="1"/>
  <c r="AF208" i="5"/>
  <c r="AJ208" i="5" s="1"/>
  <c r="AT178" i="30"/>
  <c r="AQ180" i="35" s="1"/>
  <c r="O208" i="5" s="1"/>
  <c r="AO180" i="35"/>
  <c r="AR191" i="35"/>
  <c r="Q219" i="5" s="1"/>
  <c r="AA182" i="30"/>
  <c r="AB182" i="30" s="1"/>
  <c r="AC182" i="30" s="1"/>
  <c r="AE182" i="30"/>
  <c r="AH208" i="5"/>
  <c r="AL179" i="30"/>
  <c r="AO179" i="30" s="1"/>
  <c r="AN179" i="30"/>
  <c r="AL181" i="35" l="1"/>
  <c r="AM181" i="35"/>
  <c r="AR192" i="35"/>
  <c r="Q220" i="5" s="1"/>
  <c r="AG182" i="30"/>
  <c r="AH182" i="30" s="1"/>
  <c r="AD182" i="30"/>
  <c r="AF182" i="30" s="1"/>
  <c r="Q179" i="30"/>
  <c r="AR179" i="30"/>
  <c r="AP179" i="30"/>
  <c r="L209" i="5" l="1"/>
  <c r="AC209" i="5" s="1"/>
  <c r="AS179" i="30"/>
  <c r="AN181" i="35"/>
  <c r="AQ179" i="30"/>
  <c r="AR193" i="35"/>
  <c r="Q221" i="5" s="1"/>
  <c r="AE183" i="30"/>
  <c r="AA183" i="30"/>
  <c r="AB183" i="30" s="1"/>
  <c r="AC183" i="30" s="1"/>
  <c r="AM209" i="5" l="1"/>
  <c r="AF209" i="5"/>
  <c r="AH209" i="5" s="1"/>
  <c r="AG183" i="30"/>
  <c r="AH183" i="30" s="1"/>
  <c r="AD183" i="30"/>
  <c r="AF183" i="30" s="1"/>
  <c r="AL180" i="30"/>
  <c r="AO180" i="30" s="1"/>
  <c r="AN180" i="30"/>
  <c r="AR194" i="35"/>
  <c r="Q222" i="5" s="1"/>
  <c r="AT179" i="30"/>
  <c r="AQ181" i="35" s="1"/>
  <c r="O209" i="5" s="1"/>
  <c r="AO181" i="35"/>
  <c r="AJ209" i="5" l="1"/>
  <c r="AL182" i="35"/>
  <c r="AM182" i="35"/>
  <c r="AR180" i="30"/>
  <c r="Q180" i="30"/>
  <c r="AP180" i="30"/>
  <c r="AE184" i="30"/>
  <c r="AA184" i="30"/>
  <c r="AB184" i="30" s="1"/>
  <c r="AC184" i="30" s="1"/>
  <c r="AR195" i="35"/>
  <c r="Q223" i="5" s="1"/>
  <c r="L210" i="5" l="1"/>
  <c r="AC210" i="5" s="1"/>
  <c r="AN182" i="35"/>
  <c r="AS180" i="30"/>
  <c r="AQ180" i="30"/>
  <c r="AR196" i="35"/>
  <c r="Q224" i="5" s="1"/>
  <c r="AD184" i="30"/>
  <c r="AF184" i="30" s="1"/>
  <c r="AG184" i="30"/>
  <c r="AH184" i="30" s="1"/>
  <c r="AF210" i="5" l="1"/>
  <c r="AH210" i="5" s="1"/>
  <c r="AM210" i="5"/>
  <c r="AN181" i="30"/>
  <c r="AL181" i="30"/>
  <c r="AO181" i="30" s="1"/>
  <c r="AA185" i="30"/>
  <c r="AB185" i="30" s="1"/>
  <c r="AC185" i="30" s="1"/>
  <c r="AE185" i="30"/>
  <c r="AO182" i="35"/>
  <c r="AT180" i="30"/>
  <c r="AQ182" i="35" s="1"/>
  <c r="O210" i="5" s="1"/>
  <c r="AJ210" i="5"/>
  <c r="AR197" i="35"/>
  <c r="Q225" i="5" s="1"/>
  <c r="AG185" i="30" l="1"/>
  <c r="AH185" i="30" s="1"/>
  <c r="AD185" i="30"/>
  <c r="AF185" i="30" s="1"/>
  <c r="AR198" i="35"/>
  <c r="Q226" i="5" s="1"/>
  <c r="AR181" i="30"/>
  <c r="Q181" i="30"/>
  <c r="AP181" i="30"/>
  <c r="AM183" i="35"/>
  <c r="AL183" i="35"/>
  <c r="L211" i="5" l="1"/>
  <c r="AC211" i="5" s="1"/>
  <c r="AS181" i="30"/>
  <c r="AN183" i="35"/>
  <c r="AQ181" i="30"/>
  <c r="AR199" i="35"/>
  <c r="Q227" i="5" s="1"/>
  <c r="AA186" i="30"/>
  <c r="AB186" i="30" s="1"/>
  <c r="AC186" i="30" s="1"/>
  <c r="AE186" i="30"/>
  <c r="AM211" i="5" l="1"/>
  <c r="AF211" i="5"/>
  <c r="AH211" i="5" s="1"/>
  <c r="AL182" i="30"/>
  <c r="AO182" i="30" s="1"/>
  <c r="AN182" i="30"/>
  <c r="AD186" i="30"/>
  <c r="AF186" i="30" s="1"/>
  <c r="AG186" i="30"/>
  <c r="AH186" i="30" s="1"/>
  <c r="AR200" i="35"/>
  <c r="Q228" i="5" s="1"/>
  <c r="AO183" i="35"/>
  <c r="AT181" i="30"/>
  <c r="AQ183" i="35" s="1"/>
  <c r="O211" i="5" s="1"/>
  <c r="AJ211" i="5" l="1"/>
  <c r="AE187" i="30"/>
  <c r="AA187" i="30"/>
  <c r="AB187" i="30" s="1"/>
  <c r="AC187" i="30" s="1"/>
  <c r="AR201" i="35"/>
  <c r="Q229" i="5" s="1"/>
  <c r="AL184" i="35"/>
  <c r="AM184" i="35"/>
  <c r="AP182" i="30"/>
  <c r="Q182" i="30"/>
  <c r="AR182" i="30"/>
  <c r="L212" i="5" l="1"/>
  <c r="AC212" i="5" s="1"/>
  <c r="AR202" i="35"/>
  <c r="Q230" i="5" s="1"/>
  <c r="AN184" i="35"/>
  <c r="AS182" i="30"/>
  <c r="AQ182" i="30"/>
  <c r="AD187" i="30"/>
  <c r="AF187" i="30" s="1"/>
  <c r="AG187" i="30"/>
  <c r="AH187" i="30" s="1"/>
  <c r="AM212" i="5" l="1"/>
  <c r="AF212" i="5"/>
  <c r="AH212" i="5" s="1"/>
  <c r="AO184" i="35"/>
  <c r="AT182" i="30"/>
  <c r="AQ184" i="35" s="1"/>
  <c r="O212" i="5" s="1"/>
  <c r="AA188" i="30"/>
  <c r="AB188" i="30" s="1"/>
  <c r="AC188" i="30" s="1"/>
  <c r="AE188" i="30"/>
  <c r="AJ212" i="5"/>
  <c r="AL183" i="30"/>
  <c r="AO183" i="30" s="1"/>
  <c r="AN183" i="30"/>
  <c r="AR203" i="35"/>
  <c r="Q231" i="5" s="1"/>
  <c r="AR183" i="30" l="1"/>
  <c r="Q183" i="30"/>
  <c r="AP183" i="30"/>
  <c r="AR204" i="35"/>
  <c r="Q232" i="5" s="1"/>
  <c r="AD188" i="30"/>
  <c r="AF188" i="30" s="1"/>
  <c r="AG188" i="30"/>
  <c r="AH188" i="30" s="1"/>
  <c r="AM185" i="35"/>
  <c r="AL185" i="35"/>
  <c r="L213" i="5" l="1"/>
  <c r="AC213" i="5" s="1"/>
  <c r="AR205" i="35"/>
  <c r="AR206" i="35" s="1"/>
  <c r="AR207" i="35" s="1"/>
  <c r="AR208" i="35" s="1"/>
  <c r="AR209" i="35" s="1"/>
  <c r="AR210" i="35" s="1"/>
  <c r="AR211" i="35" s="1"/>
  <c r="AR212" i="35" s="1"/>
  <c r="AR213" i="35" s="1"/>
  <c r="AR214" i="35" s="1"/>
  <c r="AR215" i="35" s="1"/>
  <c r="AR216" i="35" s="1"/>
  <c r="AR217" i="35" s="1"/>
  <c r="AR218" i="35" s="1"/>
  <c r="AR219" i="35" s="1"/>
  <c r="AR220" i="35" s="1"/>
  <c r="AR221" i="35" s="1"/>
  <c r="AR222" i="35" s="1"/>
  <c r="AR223" i="35" s="1"/>
  <c r="AR224" i="35" s="1"/>
  <c r="AR225" i="35" s="1"/>
  <c r="AR226" i="35" s="1"/>
  <c r="AR227" i="35" s="1"/>
  <c r="AR228" i="35" s="1"/>
  <c r="AR229" i="35" s="1"/>
  <c r="AR230" i="35" s="1"/>
  <c r="AR231" i="35" s="1"/>
  <c r="AR232" i="35" s="1"/>
  <c r="AR233" i="35" s="1"/>
  <c r="AR234" i="35" s="1"/>
  <c r="AR235" i="35" s="1"/>
  <c r="AR236" i="35" s="1"/>
  <c r="AR237" i="35" s="1"/>
  <c r="AR238" i="35" s="1"/>
  <c r="AR239" i="35" s="1"/>
  <c r="AR240" i="35" s="1"/>
  <c r="AR241" i="35" s="1"/>
  <c r="AR242" i="35" s="1"/>
  <c r="AR243" i="35" s="1"/>
  <c r="AR244" i="35" s="1"/>
  <c r="AR245" i="35" s="1"/>
  <c r="AR246" i="35" s="1"/>
  <c r="B12" i="35" s="1"/>
  <c r="AN185" i="35"/>
  <c r="AS183" i="30"/>
  <c r="AQ183" i="30"/>
  <c r="AA189" i="30"/>
  <c r="AB189" i="30" s="1"/>
  <c r="AC189" i="30" s="1"/>
  <c r="AE189" i="30"/>
  <c r="AF213" i="5" l="1"/>
  <c r="AJ213" i="5" s="1"/>
  <c r="AM213" i="5"/>
  <c r="AD189" i="30"/>
  <c r="AF189" i="30" s="1"/>
  <c r="AG189" i="30"/>
  <c r="AH189" i="30" s="1"/>
  <c r="AT183" i="30"/>
  <c r="AQ185" i="35" s="1"/>
  <c r="O213" i="5" s="1"/>
  <c r="AO185" i="35"/>
  <c r="AN184" i="30"/>
  <c r="AL184" i="30"/>
  <c r="AO184" i="30" s="1"/>
  <c r="AH213" i="5"/>
  <c r="AP184" i="30" l="1"/>
  <c r="Q184" i="30"/>
  <c r="AR184" i="30"/>
  <c r="AM186" i="35"/>
  <c r="AL186" i="35"/>
  <c r="AA190" i="30"/>
  <c r="AB190" i="30" s="1"/>
  <c r="AC190" i="30" s="1"/>
  <c r="AE190" i="30"/>
  <c r="L214" i="5" l="1"/>
  <c r="AC214" i="5" s="1"/>
  <c r="AD190" i="30"/>
  <c r="AF190" i="30" s="1"/>
  <c r="AG190" i="30"/>
  <c r="AH190" i="30" s="1"/>
  <c r="AS184" i="30"/>
  <c r="AN186" i="35"/>
  <c r="AQ184" i="30"/>
  <c r="AM214" i="5" l="1"/>
  <c r="AF214" i="5"/>
  <c r="AJ214" i="5" s="1"/>
  <c r="AL185" i="30"/>
  <c r="AO185" i="30" s="1"/>
  <c r="AN185" i="30"/>
  <c r="AT184" i="30"/>
  <c r="AQ186" i="35" s="1"/>
  <c r="O214" i="5" s="1"/>
  <c r="AO186" i="35"/>
  <c r="AE191" i="30"/>
  <c r="AA191" i="30"/>
  <c r="AB191" i="30" s="1"/>
  <c r="AC191" i="30" s="1"/>
  <c r="AH214" i="5" l="1"/>
  <c r="AR185" i="30"/>
  <c r="Q185" i="30"/>
  <c r="AP185" i="30"/>
  <c r="AG191" i="30"/>
  <c r="AH191" i="30" s="1"/>
  <c r="AD191" i="30"/>
  <c r="AF191" i="30" s="1"/>
  <c r="AL187" i="35"/>
  <c r="AM187" i="35"/>
  <c r="L215" i="5" l="1"/>
  <c r="AC215" i="5" s="1"/>
  <c r="AS185" i="30"/>
  <c r="AN187" i="35"/>
  <c r="AQ185" i="30"/>
  <c r="AE192" i="30"/>
  <c r="AA192" i="30"/>
  <c r="AB192" i="30" s="1"/>
  <c r="AC192" i="30" s="1"/>
  <c r="AM215" i="5" l="1"/>
  <c r="AF215" i="5"/>
  <c r="AH215" i="5" s="1"/>
  <c r="AG192" i="30"/>
  <c r="AH192" i="30" s="1"/>
  <c r="AD192" i="30"/>
  <c r="AF192" i="30" s="1"/>
  <c r="AL186" i="30"/>
  <c r="AO186" i="30" s="1"/>
  <c r="AN186" i="30"/>
  <c r="AO187" i="35"/>
  <c r="AT185" i="30"/>
  <c r="AQ187" i="35" s="1"/>
  <c r="O215" i="5" s="1"/>
  <c r="AJ215" i="5" l="1"/>
  <c r="AL188" i="35"/>
  <c r="AM188" i="35"/>
  <c r="AR186" i="30"/>
  <c r="AP186" i="30"/>
  <c r="Q186" i="30"/>
  <c r="AA193" i="30"/>
  <c r="AB193" i="30" s="1"/>
  <c r="AC193" i="30" s="1"/>
  <c r="AE193" i="30"/>
  <c r="L216" i="5" l="1"/>
  <c r="AC216" i="5" s="1"/>
  <c r="AS186" i="30"/>
  <c r="AN188" i="35"/>
  <c r="AQ186" i="30"/>
  <c r="AD193" i="30"/>
  <c r="AF193" i="30" s="1"/>
  <c r="AG193" i="30"/>
  <c r="AH193" i="30" s="1"/>
  <c r="AF216" i="5" l="1"/>
  <c r="AH216" i="5" s="1"/>
  <c r="AM216" i="5"/>
  <c r="AA194" i="30"/>
  <c r="AB194" i="30" s="1"/>
  <c r="AC194" i="30" s="1"/>
  <c r="AE194" i="30"/>
  <c r="AL187" i="30"/>
  <c r="AO187" i="30" s="1"/>
  <c r="AN187" i="30"/>
  <c r="AO188" i="35"/>
  <c r="AT186" i="30"/>
  <c r="AQ188" i="35" s="1"/>
  <c r="O216" i="5" s="1"/>
  <c r="AJ216" i="5" l="1"/>
  <c r="AM189" i="35"/>
  <c r="AL189" i="35"/>
  <c r="AR187" i="30"/>
  <c r="AP187" i="30"/>
  <c r="Q187" i="30"/>
  <c r="AD194" i="30"/>
  <c r="AF194" i="30" s="1"/>
  <c r="AG194" i="30"/>
  <c r="AH194" i="30" s="1"/>
  <c r="L217" i="5" l="1"/>
  <c r="AC217" i="5" s="1"/>
  <c r="AN189" i="35"/>
  <c r="AS187" i="30"/>
  <c r="AQ187" i="30"/>
  <c r="AA195" i="30"/>
  <c r="AB195" i="30" s="1"/>
  <c r="AC195" i="30" s="1"/>
  <c r="AE195" i="30"/>
  <c r="AF217" i="5" l="1"/>
  <c r="AM217" i="5"/>
  <c r="AD195" i="30"/>
  <c r="AF195" i="30" s="1"/>
  <c r="AG195" i="30"/>
  <c r="AH195" i="30" s="1"/>
  <c r="AJ217" i="5"/>
  <c r="AH217" i="5"/>
  <c r="AN188" i="30"/>
  <c r="AL188" i="30"/>
  <c r="AO188" i="30" s="1"/>
  <c r="AT187" i="30"/>
  <c r="AQ189" i="35" s="1"/>
  <c r="O217" i="5" s="1"/>
  <c r="AO189" i="35"/>
  <c r="Q188" i="30" l="1"/>
  <c r="AP188" i="30"/>
  <c r="AR188" i="30"/>
  <c r="AL190" i="35"/>
  <c r="AM190" i="35"/>
  <c r="AE196" i="30"/>
  <c r="AA196" i="30"/>
  <c r="AB196" i="30" s="1"/>
  <c r="AC196" i="30" s="1"/>
  <c r="L218" i="5" l="1"/>
  <c r="AC218" i="5" s="1"/>
  <c r="AG196" i="30"/>
  <c r="AH196" i="30" s="1"/>
  <c r="AD196" i="30"/>
  <c r="AF196" i="30" s="1"/>
  <c r="AS188" i="30"/>
  <c r="AN190" i="35"/>
  <c r="AQ188" i="30"/>
  <c r="AM218" i="5" l="1"/>
  <c r="AF218" i="5"/>
  <c r="AH218" i="5" s="1"/>
  <c r="AA197" i="30"/>
  <c r="AB197" i="30" s="1"/>
  <c r="AC197" i="30" s="1"/>
  <c r="AE197" i="30"/>
  <c r="AL189" i="30"/>
  <c r="AO189" i="30" s="1"/>
  <c r="AN189" i="30"/>
  <c r="AO190" i="35"/>
  <c r="AT188" i="30"/>
  <c r="AQ190" i="35" s="1"/>
  <c r="O218" i="5" s="1"/>
  <c r="AJ218" i="5" l="1"/>
  <c r="AM191" i="35"/>
  <c r="AL191" i="35"/>
  <c r="AP189" i="30"/>
  <c r="Q189" i="30"/>
  <c r="AR189" i="30"/>
  <c r="AG197" i="30"/>
  <c r="AH197" i="30" s="1"/>
  <c r="AD197" i="30"/>
  <c r="AF197" i="30" s="1"/>
  <c r="L219" i="5" l="1"/>
  <c r="AC219" i="5" s="1"/>
  <c r="AA198" i="30"/>
  <c r="AB198" i="30" s="1"/>
  <c r="AC198" i="30" s="1"/>
  <c r="AE198" i="30"/>
  <c r="AS189" i="30"/>
  <c r="AN191" i="35"/>
  <c r="AQ189" i="30"/>
  <c r="AF219" i="5" l="1"/>
  <c r="AJ219" i="5" s="1"/>
  <c r="AM219" i="5"/>
  <c r="AT189" i="30"/>
  <c r="AQ191" i="35" s="1"/>
  <c r="O219" i="5" s="1"/>
  <c r="AO191" i="35"/>
  <c r="AL190" i="30"/>
  <c r="AO190" i="30" s="1"/>
  <c r="AN190" i="30"/>
  <c r="AD198" i="30"/>
  <c r="AF198" i="30" s="1"/>
  <c r="AG198" i="30"/>
  <c r="AH198" i="30" s="1"/>
  <c r="AH219" i="5" l="1"/>
  <c r="AL192" i="35"/>
  <c r="AM192" i="35"/>
  <c r="AP190" i="30"/>
  <c r="Q190" i="30"/>
  <c r="AR190" i="30"/>
  <c r="AA199" i="30"/>
  <c r="AB199" i="30" s="1"/>
  <c r="AC199" i="30" s="1"/>
  <c r="AE199" i="30"/>
  <c r="L220" i="5" l="1"/>
  <c r="AC220" i="5" s="1"/>
  <c r="AS190" i="30"/>
  <c r="AN192" i="35"/>
  <c r="AQ190" i="30"/>
  <c r="AD199" i="30"/>
  <c r="AF199" i="30" s="1"/>
  <c r="AG199" i="30"/>
  <c r="AH199" i="30" s="1"/>
  <c r="AF220" i="5" l="1"/>
  <c r="AM220" i="5"/>
  <c r="AA200" i="30"/>
  <c r="AB200" i="30" s="1"/>
  <c r="AC200" i="30" s="1"/>
  <c r="AE200" i="30"/>
  <c r="AJ220" i="5"/>
  <c r="AH220" i="5"/>
  <c r="AL191" i="30"/>
  <c r="AO191" i="30" s="1"/>
  <c r="AN191" i="30"/>
  <c r="AT190" i="30"/>
  <c r="AQ192" i="35" s="1"/>
  <c r="O220" i="5" s="1"/>
  <c r="AO192" i="35"/>
  <c r="AM193" i="35" l="1"/>
  <c r="AL193" i="35"/>
  <c r="AP191" i="30"/>
  <c r="AR191" i="30"/>
  <c r="Q191" i="30"/>
  <c r="AD200" i="30"/>
  <c r="AF200" i="30" s="1"/>
  <c r="AG200" i="30"/>
  <c r="AH200" i="30" s="1"/>
  <c r="L221" i="5" l="1"/>
  <c r="AC221" i="5" s="1"/>
  <c r="AA201" i="30"/>
  <c r="AB201" i="30" s="1"/>
  <c r="AC201" i="30" s="1"/>
  <c r="AE201" i="30"/>
  <c r="AS191" i="30"/>
  <c r="AN193" i="35"/>
  <c r="AQ191" i="30"/>
  <c r="AF221" i="5" l="1"/>
  <c r="AJ221" i="5" s="1"/>
  <c r="AM221" i="5"/>
  <c r="AO193" i="35"/>
  <c r="AT191" i="30"/>
  <c r="AQ193" i="35" s="1"/>
  <c r="O221" i="5" s="1"/>
  <c r="AL192" i="30"/>
  <c r="AO192" i="30" s="1"/>
  <c r="AN192" i="30"/>
  <c r="AG201" i="30"/>
  <c r="AH201" i="30" s="1"/>
  <c r="AD201" i="30"/>
  <c r="AF201" i="30" s="1"/>
  <c r="AH221" i="5" l="1"/>
  <c r="AM194" i="35"/>
  <c r="AL194" i="35"/>
  <c r="AA202" i="30"/>
  <c r="AB202" i="30" s="1"/>
  <c r="AC202" i="30" s="1"/>
  <c r="AE202" i="30"/>
  <c r="AP192" i="30"/>
  <c r="AR192" i="30"/>
  <c r="Q192" i="30"/>
  <c r="L222" i="5" l="1"/>
  <c r="AC222" i="5" s="1"/>
  <c r="AD202" i="30"/>
  <c r="AF202" i="30" s="1"/>
  <c r="AG202" i="30"/>
  <c r="AH202" i="30" s="1"/>
  <c r="AN194" i="35"/>
  <c r="AS192" i="30"/>
  <c r="AQ192" i="30"/>
  <c r="AM222" i="5" l="1"/>
  <c r="AF222" i="5"/>
  <c r="AJ222" i="5" s="1"/>
  <c r="AL193" i="30"/>
  <c r="AO193" i="30" s="1"/>
  <c r="AN193" i="30"/>
  <c r="AT192" i="30"/>
  <c r="AQ194" i="35" s="1"/>
  <c r="O222" i="5" s="1"/>
  <c r="AO194" i="35"/>
  <c r="AH222" i="5" l="1"/>
  <c r="AP193" i="30"/>
  <c r="Q193" i="30"/>
  <c r="AR193" i="30"/>
  <c r="AM195" i="35"/>
  <c r="AL195" i="35"/>
  <c r="L223" i="5" l="1"/>
  <c r="AC223" i="5" s="1"/>
  <c r="AN195" i="35"/>
  <c r="AS193" i="30"/>
  <c r="AQ193" i="30"/>
  <c r="AM223" i="5" l="1"/>
  <c r="AF223" i="5"/>
  <c r="AH223" i="5" s="1"/>
  <c r="AT193" i="30"/>
  <c r="AQ195" i="35" s="1"/>
  <c r="O223" i="5" s="1"/>
  <c r="AO195" i="35"/>
  <c r="AN194" i="30"/>
  <c r="AL194" i="30"/>
  <c r="AO194" i="30" s="1"/>
  <c r="AJ223" i="5" l="1"/>
  <c r="AP194" i="30"/>
  <c r="Q194" i="30"/>
  <c r="AR194" i="30"/>
  <c r="AL196" i="35"/>
  <c r="AM196" i="35"/>
  <c r="L224" i="5" l="1"/>
  <c r="AC224" i="5" s="1"/>
  <c r="AN196" i="35"/>
  <c r="AS194" i="30"/>
  <c r="AQ194" i="30"/>
  <c r="AM224" i="5" l="1"/>
  <c r="AF224" i="5"/>
  <c r="AJ224" i="5" s="1"/>
  <c r="AO196" i="35"/>
  <c r="AT194" i="30"/>
  <c r="AQ196" i="35" s="1"/>
  <c r="O224" i="5" s="1"/>
  <c r="AL195" i="30"/>
  <c r="AO195" i="30" s="1"/>
  <c r="AN195" i="30"/>
  <c r="AH224" i="5" l="1"/>
  <c r="AL197" i="35"/>
  <c r="AM197" i="35"/>
  <c r="Q195" i="30"/>
  <c r="AR195" i="30"/>
  <c r="AP195" i="30"/>
  <c r="L225" i="5" l="1"/>
  <c r="AC225" i="5" s="1"/>
  <c r="AS195" i="30"/>
  <c r="AN197" i="35"/>
  <c r="AQ195" i="30"/>
  <c r="AM225" i="5" l="1"/>
  <c r="AF225" i="5"/>
  <c r="AH225" i="5" s="1"/>
  <c r="AN196" i="30"/>
  <c r="AL196" i="30"/>
  <c r="AO196" i="30" s="1"/>
  <c r="AO197" i="35"/>
  <c r="AT195" i="30"/>
  <c r="AQ197" i="35" s="1"/>
  <c r="O225" i="5" s="1"/>
  <c r="AJ225" i="5" l="1"/>
  <c r="AR196" i="30"/>
  <c r="Q196" i="30"/>
  <c r="AP196" i="30"/>
  <c r="AM198" i="35"/>
  <c r="AL198" i="35"/>
  <c r="L226" i="5" l="1"/>
  <c r="AC226" i="5" s="1"/>
  <c r="AN198" i="35"/>
  <c r="AS196" i="30"/>
  <c r="AQ196" i="30"/>
  <c r="AM226" i="5" l="1"/>
  <c r="AF226" i="5"/>
  <c r="AJ226" i="5" s="1"/>
  <c r="AN197" i="30"/>
  <c r="AL197" i="30"/>
  <c r="AO197" i="30" s="1"/>
  <c r="AT196" i="30"/>
  <c r="AQ198" i="35" s="1"/>
  <c r="O226" i="5" s="1"/>
  <c r="AO198" i="35"/>
  <c r="AH226" i="5" l="1"/>
  <c r="Q197" i="30"/>
  <c r="AR197" i="30"/>
  <c r="AP197" i="30"/>
  <c r="AL199" i="35"/>
  <c r="L227" i="5" s="1"/>
  <c r="AM199" i="35"/>
  <c r="AC227" i="5" l="1"/>
  <c r="AS197" i="30"/>
  <c r="AN199" i="35"/>
  <c r="AQ197" i="30"/>
  <c r="AO199" i="35" l="1"/>
  <c r="AT197" i="30"/>
  <c r="AQ199" i="35" s="1"/>
  <c r="O227" i="5" s="1"/>
  <c r="AN198" i="30"/>
  <c r="AL198" i="30"/>
  <c r="AO198" i="30" s="1"/>
  <c r="AM227" i="5"/>
  <c r="AF227" i="5"/>
  <c r="AP198" i="30" l="1"/>
  <c r="AR198" i="30"/>
  <c r="Q198" i="30"/>
  <c r="AL200" i="35"/>
  <c r="L228" i="5" s="1"/>
  <c r="AM200" i="35"/>
  <c r="AJ227" i="5"/>
  <c r="AH227" i="5"/>
  <c r="AC228" i="5" l="1"/>
  <c r="L233" i="5"/>
  <c r="AN200" i="35"/>
  <c r="AS198" i="30"/>
  <c r="AQ198" i="30"/>
  <c r="AT198" i="30" l="1"/>
  <c r="AQ200" i="35" s="1"/>
  <c r="O228" i="5" s="1"/>
  <c r="AO200" i="35"/>
  <c r="AN199" i="30"/>
  <c r="AL199" i="30"/>
  <c r="AO199" i="30" s="1"/>
  <c r="AM228" i="5"/>
  <c r="F13" i="16"/>
  <c r="D13" i="16"/>
  <c r="AC233" i="5"/>
  <c r="AF228" i="5"/>
  <c r="H13" i="16" l="1"/>
  <c r="Q199" i="30"/>
  <c r="AP199" i="30"/>
  <c r="AR199" i="30"/>
  <c r="AM201" i="35"/>
  <c r="AL201" i="35"/>
  <c r="AF233" i="5"/>
  <c r="AJ233" i="5" s="1"/>
  <c r="AH228" i="5"/>
  <c r="AJ228" i="5"/>
  <c r="D14" i="16"/>
  <c r="F8" i="16"/>
  <c r="F14" i="16"/>
  <c r="H14" i="16" s="1"/>
  <c r="J12" i="16" l="1"/>
  <c r="J6" i="16" s="1"/>
  <c r="L229" i="5"/>
  <c r="AC229" i="5" s="1"/>
  <c r="AS199" i="30"/>
  <c r="AN201" i="35"/>
  <c r="AQ199" i="30"/>
  <c r="AM229" i="5" l="1"/>
  <c r="AF229" i="5"/>
  <c r="AH229" i="5" s="1"/>
  <c r="AN200" i="30"/>
  <c r="AL200" i="30"/>
  <c r="AO200" i="30" s="1"/>
  <c r="AT199" i="30"/>
  <c r="AQ201" i="35" s="1"/>
  <c r="O229" i="5" s="1"/>
  <c r="AO201" i="35"/>
  <c r="AJ229" i="5" l="1"/>
  <c r="AL202" i="35"/>
  <c r="AM202" i="35"/>
  <c r="AP200" i="30"/>
  <c r="Q200" i="30"/>
  <c r="AR200" i="30"/>
  <c r="L230" i="5" l="1"/>
  <c r="AC230" i="5" s="1"/>
  <c r="AN202" i="35"/>
  <c r="AS200" i="30"/>
  <c r="AQ200" i="30"/>
  <c r="AM230" i="5" l="1"/>
  <c r="AF230" i="5"/>
  <c r="AJ230" i="5" s="1"/>
  <c r="AL201" i="30"/>
  <c r="AO201" i="30" s="1"/>
  <c r="AN201" i="30"/>
  <c r="AL203" i="35" s="1"/>
  <c r="L231" i="5" s="1"/>
  <c r="AO202" i="35"/>
  <c r="AT200" i="30"/>
  <c r="AQ202" i="35" s="1"/>
  <c r="O230" i="5" s="1"/>
  <c r="AH230" i="5" l="1"/>
  <c r="AC231" i="5" s="1"/>
  <c r="Q201" i="30"/>
  <c r="AR201" i="30"/>
  <c r="AP201" i="30"/>
  <c r="AM231" i="5" l="1"/>
  <c r="AF231" i="5"/>
  <c r="AH231" i="5" s="1"/>
  <c r="AS201" i="30"/>
  <c r="AQ201" i="30"/>
  <c r="AJ231" i="5" l="1"/>
  <c r="AN202" i="30"/>
  <c r="AL204" i="35" s="1"/>
  <c r="AL202" i="30"/>
  <c r="AO202" i="30" s="1"/>
  <c r="AT201" i="30"/>
  <c r="L232" i="5" l="1"/>
  <c r="AC232" i="5" s="1"/>
  <c r="AP202" i="30"/>
  <c r="Q202" i="30"/>
  <c r="AR202" i="30"/>
  <c r="AM232" i="5" l="1"/>
  <c r="AF232" i="5"/>
  <c r="AH232" i="5" s="1"/>
  <c r="AS202" i="30"/>
  <c r="AQ202" i="30"/>
  <c r="AJ232" i="5" l="1"/>
  <c r="AT202" i="30"/>
  <c r="AP6" i="3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 Jara</author>
    <author>Horacio López</author>
  </authors>
  <commentList>
    <comment ref="C13" authorId="0" shapeId="0" xr:uid="{63291DAC-703E-4FCF-B823-5B5E737C8F22}">
      <text>
        <r>
          <rPr>
            <b/>
            <sz val="9"/>
            <color indexed="81"/>
            <rFont val="Tahoma"/>
            <family val="2"/>
          </rPr>
          <t>Fran Jara:</t>
        </r>
        <r>
          <rPr>
            <sz val="9"/>
            <color indexed="81"/>
            <rFont val="Tahoma"/>
            <family val="2"/>
          </rPr>
          <t xml:space="preserve">
Dato L1: puntual (inicio de campaña)</t>
        </r>
      </text>
    </comment>
    <comment ref="C14" authorId="0" shapeId="0" xr:uid="{8373D79A-AD88-42A7-892A-DB28EAE5B09D}">
      <text>
        <r>
          <rPr>
            <b/>
            <sz val="9"/>
            <color indexed="81"/>
            <rFont val="Tahoma"/>
            <family val="2"/>
          </rPr>
          <t>Fran Jara:</t>
        </r>
        <r>
          <rPr>
            <sz val="9"/>
            <color indexed="81"/>
            <rFont val="Tahoma"/>
            <family val="2"/>
          </rPr>
          <t xml:space="preserve">
Dato L1: puntual (inicio de campaña), podríamos tener datos de sensórica para integrar.</t>
        </r>
      </text>
    </comment>
    <comment ref="AB23" authorId="1" shapeId="0" xr:uid="{00000000-0006-0000-0400-000002000000}">
      <text>
        <r>
          <rPr>
            <b/>
            <sz val="9"/>
            <color indexed="81"/>
            <rFont val="Tahoma"/>
            <family val="2"/>
          </rPr>
          <t>Horacio López:</t>
        </r>
        <r>
          <rPr>
            <sz val="9"/>
            <color indexed="81"/>
            <rFont val="Tahoma"/>
            <family val="2"/>
          </rPr>
          <t xml:space="preserve">
Criterio de signos:
+ Aportes
- Salidas
Un valor &lt;0 implica que hay que aportar N con el fertilizante. Le cambiamos el signo para hablar de aportes de fertilizantes en términos positivos.</t>
        </r>
      </text>
    </comment>
    <comment ref="C30" authorId="0" shapeId="0" xr:uid="{493D820F-DD5C-4095-807E-E5E3CCFAA1AC}">
      <text>
        <r>
          <rPr>
            <b/>
            <sz val="9"/>
            <color indexed="81"/>
            <rFont val="Tahoma"/>
            <family val="2"/>
          </rPr>
          <t xml:space="preserve">Fran Jara:
</t>
        </r>
        <r>
          <rPr>
            <sz val="9"/>
            <color indexed="81"/>
            <rFont val="Tahoma"/>
            <family val="2"/>
          </rPr>
          <t>Introducir fecha de fin de cultivo o cualquiera posterior a la última aplicación de fertilizante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 Jara</author>
  </authors>
  <commentList>
    <comment ref="AI5" authorId="0" shapeId="0" xr:uid="{60F40FAF-9D67-4C1F-8A8A-B72C2DBDE86F}">
      <text>
        <r>
          <rPr>
            <b/>
            <sz val="9"/>
            <color indexed="81"/>
            <rFont val="Tahoma"/>
            <family val="2"/>
          </rPr>
          <t>Fran Jara:</t>
        </r>
        <r>
          <rPr>
            <sz val="9"/>
            <color indexed="81"/>
            <rFont val="Tahoma"/>
            <family val="2"/>
          </rPr>
          <t xml:space="preserve">
Campo susceptible de L1 si hay un sensor de Nmin en el suelo</t>
        </r>
      </text>
    </comment>
    <comment ref="A45" authorId="0" shapeId="0" xr:uid="{1DE609EC-2B5C-4453-B723-B43DA026CEB8}">
      <text>
        <r>
          <rPr>
            <b/>
            <sz val="9"/>
            <color indexed="81"/>
            <rFont val="Tahoma"/>
            <family val="2"/>
          </rPr>
          <t>Fran Jara:</t>
        </r>
        <r>
          <rPr>
            <sz val="9"/>
            <color indexed="81"/>
            <rFont val="Tahoma"/>
            <family val="2"/>
          </rPr>
          <t xml:space="preserve">
Inicio del cultivo, lee de "Inputs"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 Jara</author>
  </authors>
  <commentList>
    <comment ref="A3" authorId="0" shapeId="0" xr:uid="{9501B431-B4C6-465F-9432-277CBC7B62A5}">
      <text>
        <r>
          <rPr>
            <b/>
            <sz val="9"/>
            <color indexed="81"/>
            <rFont val="Tahoma"/>
            <family val="2"/>
          </rPr>
          <t>Fran Jara:</t>
        </r>
        <r>
          <rPr>
            <sz val="9"/>
            <color indexed="81"/>
            <rFont val="Tahoma"/>
            <family val="2"/>
          </rPr>
          <t xml:space="preserve">
Integral Térmica modificable en función de variedad o conocimiento agronómico local</t>
        </r>
      </text>
    </comment>
    <comment ref="C3" authorId="0" shapeId="0" xr:uid="{B6A454C7-6355-46E0-90E0-7EC7E57F1B57}">
      <text>
        <r>
          <rPr>
            <b/>
            <sz val="9"/>
            <color indexed="81"/>
            <rFont val="Tahoma"/>
            <family val="2"/>
          </rPr>
          <t>Fran Jara:</t>
        </r>
        <r>
          <rPr>
            <sz val="9"/>
            <color indexed="81"/>
            <rFont val="Tahoma"/>
            <family val="2"/>
          </rPr>
          <t xml:space="preserve">
Lee de Inputs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Jesús Garrido Rubio</author>
    <author>JesusGR</author>
  </authors>
  <commentList>
    <comment ref="S14" authorId="0" shapeId="0" xr:uid="{00000000-0006-0000-0A00-000001000000}">
      <text>
        <r>
          <rPr>
            <b/>
            <sz val="8"/>
            <color indexed="81"/>
            <rFont val="Tahoma"/>
            <family val="2"/>
          </rPr>
          <t>JesusGR:</t>
        </r>
        <r>
          <rPr>
            <sz val="8"/>
            <color indexed="81"/>
            <rFont val="Tahoma"/>
            <family val="2"/>
          </rPr>
          <t xml:space="preserve">
Kcb=1,44*NDVI-0,1</t>
        </r>
      </text>
    </comment>
    <comment ref="X14" authorId="1" shapeId="0" xr:uid="{00000000-0006-0000-0A00-000002000000}">
      <text>
        <r>
          <rPr>
            <b/>
            <sz val="8"/>
            <color indexed="81"/>
            <rFont val="Tahoma"/>
            <family val="2"/>
          </rPr>
          <t>JesusGR:</t>
        </r>
        <r>
          <rPr>
            <sz val="8"/>
            <color indexed="81"/>
            <rFont val="Tahoma"/>
            <family val="2"/>
          </rPr>
          <t xml:space="preserve">
Fc=(1,19*NDVI)-0,16</t>
        </r>
      </text>
    </comment>
    <comment ref="AB14" authorId="1" shapeId="0" xr:uid="{00000000-0006-0000-0A00-000003000000}">
      <text>
        <r>
          <rPr>
            <b/>
            <sz val="8"/>
            <color indexed="81"/>
            <rFont val="Tahoma"/>
            <family val="2"/>
          </rPr>
          <t>JesusGR:</t>
        </r>
        <r>
          <rPr>
            <sz val="8"/>
            <color indexed="81"/>
            <rFont val="Tahoma"/>
            <family val="2"/>
          </rPr>
          <t xml:space="preserve">
Modificado Torres and Calera (2010)
HSJ - 55: 3, 303 - 315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 Jara</author>
  </authors>
  <commentList>
    <comment ref="F1" authorId="0" shapeId="0" xr:uid="{43CFAFE7-C172-4BAF-92CC-63A431820214}">
      <text>
        <r>
          <rPr>
            <b/>
            <sz val="9"/>
            <color indexed="81"/>
            <rFont val="Tahoma"/>
            <family val="2"/>
          </rPr>
          <t>Fran Jara:</t>
        </r>
        <r>
          <rPr>
            <sz val="9"/>
            <color indexed="81"/>
            <rFont val="Tahoma"/>
            <family val="2"/>
          </rPr>
          <t xml:space="preserve">
En este caso, es un ejemplo con riegos de volumen fijo.
Para riegos variables, directamente escribir dosis/dia en columna E (y los días/mes/año en A-C)</t>
        </r>
      </text>
    </comment>
    <comment ref="K2" authorId="0" shapeId="0" xr:uid="{2BD733DD-1327-4690-A011-44CC2CACC196}">
      <text>
        <r>
          <rPr>
            <b/>
            <sz val="9"/>
            <color indexed="81"/>
            <rFont val="Tahoma"/>
            <family val="2"/>
          </rPr>
          <t>Fran Jara:</t>
        </r>
        <r>
          <rPr>
            <sz val="9"/>
            <color indexed="81"/>
            <rFont val="Tahoma"/>
            <family val="2"/>
          </rPr>
          <t xml:space="preserve">
Día 1 de enero del año de campaña donde empiezan los riegos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Pacomi Jg</author>
  </authors>
  <commentList>
    <comment ref="E7" authorId="0" shapeId="0" xr:uid="{00000000-0006-0000-0C00-000001000000}">
      <text>
        <r>
          <rPr>
            <b/>
            <sz val="9"/>
            <color indexed="81"/>
            <rFont val="Tahoma"/>
            <family val="2"/>
          </rPr>
          <t>Pacomi Jg:</t>
        </r>
        <r>
          <rPr>
            <sz val="9"/>
            <color indexed="81"/>
            <rFont val="Tahoma"/>
            <family val="2"/>
          </rPr>
          <t xml:space="preserve">
Cambiar el valor del año para que coincida con la campaña actual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Horacio López</author>
    <author>HLC</author>
  </authors>
  <commentList>
    <comment ref="F3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Horacio López:</t>
        </r>
        <r>
          <rPr>
            <sz val="9"/>
            <color indexed="81"/>
            <rFont val="Tahoma"/>
            <family val="2"/>
          </rPr>
          <t xml:space="preserve">
Nmin inicial</t>
        </r>
      </text>
    </comment>
    <comment ref="B9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HLC:</t>
        </r>
        <r>
          <rPr>
            <sz val="9"/>
            <color indexed="81"/>
            <rFont val="Tahoma"/>
            <family val="2"/>
          </rPr>
          <t xml:space="preserve">
Introducir 1er día (lunes) de inicio balance</t>
        </r>
      </text>
    </comment>
  </commentList>
</comments>
</file>

<file path=xl/sharedStrings.xml><?xml version="1.0" encoding="utf-8"?>
<sst xmlns="http://schemas.openxmlformats.org/spreadsheetml/2006/main" count="3039" uniqueCount="710">
  <si>
    <t>Semana</t>
  </si>
  <si>
    <t>Entradas</t>
  </si>
  <si>
    <t>N</t>
  </si>
  <si>
    <t>P</t>
  </si>
  <si>
    <t>K</t>
  </si>
  <si>
    <t>Cantidad (kg/ha)</t>
  </si>
  <si>
    <t>Eficiencia</t>
  </si>
  <si>
    <t>N agua</t>
  </si>
  <si>
    <t>ppm</t>
  </si>
  <si>
    <t>kg/ha</t>
  </si>
  <si>
    <t>J</t>
  </si>
  <si>
    <t>Sem</t>
  </si>
  <si>
    <t>Prec_efec</t>
  </si>
  <si>
    <t>Etc_Acc</t>
  </si>
  <si>
    <t>Prec_efec_Acc.</t>
  </si>
  <si>
    <t>Riego_Acc</t>
  </si>
  <si>
    <t>Riego_neces</t>
  </si>
  <si>
    <t>Etiquetas de fila</t>
  </si>
  <si>
    <t>Total general</t>
  </si>
  <si>
    <t>Suma de N agua</t>
  </si>
  <si>
    <t>Orden</t>
  </si>
  <si>
    <t>Temperatura media del día</t>
  </si>
  <si>
    <t>Grados favorables considerados</t>
  </si>
  <si>
    <t>&gt;19 ºC</t>
  </si>
  <si>
    <t>Temperatura media del día *0.9</t>
  </si>
  <si>
    <t>Temperatura media del día *0.8</t>
  </si>
  <si>
    <t>Temperatura media del día *0.7</t>
  </si>
  <si>
    <t>Temperatura media del día *0.6</t>
  </si>
  <si>
    <t>Temperatura media del día *0.4</t>
  </si>
  <si>
    <t>Temperatura media del día *0.3</t>
  </si>
  <si>
    <t>&lt; 13 ºC</t>
  </si>
  <si>
    <t>Temperatura media del día *0</t>
  </si>
  <si>
    <t>18 - 19 ºC</t>
  </si>
  <si>
    <t>17 - 18 ºC</t>
  </si>
  <si>
    <t>16 - 17 ºC</t>
  </si>
  <si>
    <t>15 - 16 ºC</t>
  </si>
  <si>
    <t>14 - 15 ºC</t>
  </si>
  <si>
    <t>13 - 14 ºC</t>
  </si>
  <si>
    <t>Tª</t>
  </si>
  <si>
    <t>Coef_min</t>
  </si>
  <si>
    <t>Tm</t>
  </si>
  <si>
    <t>MO</t>
  </si>
  <si>
    <t>Baja</t>
  </si>
  <si>
    <t>Media</t>
  </si>
  <si>
    <t>Alta</t>
  </si>
  <si>
    <t>&gt; 2,5%</t>
  </si>
  <si>
    <t>1% - 2,5%</t>
  </si>
  <si>
    <t>&lt;  1%</t>
  </si>
  <si>
    <t>Coef 0-30</t>
  </si>
  <si>
    <t>Coef 30-60</t>
  </si>
  <si>
    <t>Tª media</t>
  </si>
  <si>
    <t>Salidas</t>
  </si>
  <si>
    <t>Extracciones</t>
  </si>
  <si>
    <t>Cebada</t>
  </si>
  <si>
    <t>UF/t grano</t>
  </si>
  <si>
    <t>IT</t>
  </si>
  <si>
    <t>IT nascencia</t>
  </si>
  <si>
    <t>N extr</t>
  </si>
  <si>
    <t>Cultivo</t>
  </si>
  <si>
    <t>N extrA</t>
  </si>
  <si>
    <t>Valores semanales</t>
  </si>
  <si>
    <t>Balance</t>
  </si>
  <si>
    <t>Total</t>
  </si>
  <si>
    <t>Nf</t>
  </si>
  <si>
    <t>Na</t>
  </si>
  <si>
    <t>Nm</t>
  </si>
  <si>
    <t>Nt</t>
  </si>
  <si>
    <t>Nl</t>
  </si>
  <si>
    <t>Nr</t>
  </si>
  <si>
    <t>Nh</t>
  </si>
  <si>
    <t>Ugc</t>
  </si>
  <si>
    <t>Fecha consulta</t>
  </si>
  <si>
    <t>Textura USDA</t>
  </si>
  <si>
    <t>Profundidad máxima</t>
  </si>
  <si>
    <t>Deficit inicial</t>
  </si>
  <si>
    <t>Deficit final</t>
  </si>
  <si>
    <t>Fecha inicio reducción</t>
  </si>
  <si>
    <t>Etapas Kcb</t>
  </si>
  <si>
    <t>Etapas duración</t>
  </si>
  <si>
    <t>Etapas agotamiento crítico</t>
  </si>
  <si>
    <t>Etapas altura cultivo</t>
  </si>
  <si>
    <t>Tipo Estrategia</t>
  </si>
  <si>
    <t>Regla 1</t>
  </si>
  <si>
    <t>Etapa</t>
  </si>
  <si>
    <t>Fecha</t>
  </si>
  <si>
    <t>T max</t>
  </si>
  <si>
    <t>T min</t>
  </si>
  <si>
    <t>T med</t>
  </si>
  <si>
    <t>u2</t>
  </si>
  <si>
    <t>ET0</t>
  </si>
  <si>
    <t>Rn</t>
  </si>
  <si>
    <t>HR min</t>
  </si>
  <si>
    <t>P - RO</t>
  </si>
  <si>
    <t>Kcb</t>
  </si>
  <si>
    <t>altura</t>
  </si>
  <si>
    <t>Kc min</t>
  </si>
  <si>
    <t>tau</t>
  </si>
  <si>
    <t>Kc max</t>
  </si>
  <si>
    <t>fc</t>
  </si>
  <si>
    <t>fw</t>
  </si>
  <si>
    <t>few</t>
  </si>
  <si>
    <t>AET</t>
  </si>
  <si>
    <t>De ini</t>
  </si>
  <si>
    <t>AFE</t>
  </si>
  <si>
    <t>Kr</t>
  </si>
  <si>
    <t>Ke</t>
  </si>
  <si>
    <t>DPe</t>
  </si>
  <si>
    <t>De fin</t>
  </si>
  <si>
    <t>Kc</t>
  </si>
  <si>
    <t>ETc</t>
  </si>
  <si>
    <t>Zr</t>
  </si>
  <si>
    <t>p</t>
  </si>
  <si>
    <t>ADT</t>
  </si>
  <si>
    <t>AFA</t>
  </si>
  <si>
    <t>DP</t>
  </si>
  <si>
    <t>Ks</t>
  </si>
  <si>
    <t>Kc ajustada</t>
  </si>
  <si>
    <t>ETc ajustada</t>
  </si>
  <si>
    <t>Dr fin</t>
  </si>
  <si>
    <t>ETc acumulada</t>
  </si>
  <si>
    <t>IP acumulada</t>
  </si>
  <si>
    <t>PEE acumulada</t>
  </si>
  <si>
    <t>E</t>
  </si>
  <si>
    <t>q</t>
  </si>
  <si>
    <t>a</t>
  </si>
  <si>
    <t>Ia</t>
  </si>
  <si>
    <t>Di</t>
  </si>
  <si>
    <t>tr</t>
  </si>
  <si>
    <t>tr convertido</t>
  </si>
  <si>
    <t>Dr fin usuario</t>
  </si>
  <si>
    <t>Inicial</t>
  </si>
  <si>
    <t>-</t>
  </si>
  <si>
    <t>No</t>
  </si>
  <si>
    <t>Desarrollo</t>
  </si>
  <si>
    <t>Mediados</t>
  </si>
  <si>
    <t>Final</t>
  </si>
  <si>
    <t>Maíz</t>
  </si>
  <si>
    <t>N mineralizado</t>
  </si>
  <si>
    <t>N fert bruto</t>
  </si>
  <si>
    <t>N fert neto</t>
  </si>
  <si>
    <t>BBCH</t>
  </si>
  <si>
    <t>87-97</t>
  </si>
  <si>
    <t>Estadio</t>
  </si>
  <si>
    <t>Periodos</t>
  </si>
  <si>
    <t>Inicio -&gt;</t>
  </si>
  <si>
    <t>Día consulta</t>
  </si>
  <si>
    <t>-&gt; Fin</t>
  </si>
  <si>
    <t>Nmin inicio</t>
  </si>
  <si>
    <t>N agua riego</t>
  </si>
  <si>
    <t>N extraido</t>
  </si>
  <si>
    <t>N lixiviado</t>
  </si>
  <si>
    <t>Nmin fin</t>
  </si>
  <si>
    <t>N fertilizante neto</t>
  </si>
  <si>
    <t>Extrac N</t>
  </si>
  <si>
    <t>IT BBCH 89</t>
  </si>
  <si>
    <t>IT espigado (BBCH 55)</t>
  </si>
  <si>
    <t>IT dif 1</t>
  </si>
  <si>
    <t>IT dif 2</t>
  </si>
  <si>
    <t>N extr 1</t>
  </si>
  <si>
    <t>N extrA 1</t>
  </si>
  <si>
    <t>Check</t>
  </si>
  <si>
    <t>Suma de N fert neto</t>
  </si>
  <si>
    <t>Suma de N extr 1</t>
  </si>
  <si>
    <t>Fecha I</t>
  </si>
  <si>
    <t>Fecha F</t>
  </si>
  <si>
    <t>Suma de N mineralizado</t>
  </si>
  <si>
    <t>N fertilizer</t>
  </si>
  <si>
    <t>N watering</t>
  </si>
  <si>
    <t>N mineralized</t>
  </si>
  <si>
    <t>N uptake</t>
  </si>
  <si>
    <t>N min soil</t>
  </si>
  <si>
    <t>N limit</t>
  </si>
  <si>
    <t>Comienzo del ahijamiento; 1 hijuelo visible</t>
  </si>
  <si>
    <t>Inicio de encañado: 1er nudo, por lo menos a 1 cm por encima del nudo del macollaje</t>
  </si>
  <si>
    <t>Siembra</t>
  </si>
  <si>
    <t>Emergencia</t>
  </si>
  <si>
    <t>Primera hoja desplegada</t>
  </si>
  <si>
    <t>Dos hojas desplegadas</t>
  </si>
  <si>
    <t>Tres hojas desplegadas</t>
  </si>
  <si>
    <t>Estadio hoja bandera: hoja bandera completamente desenrollada, lígula recién visible</t>
  </si>
  <si>
    <t>Primeras aristas (barbas), visibles (sólo en variedades aristadas)</t>
  </si>
  <si>
    <t>Comienzo del espigado: la punta de la espiga o de la panícula emegen de la vaina; 1 espiguilla recién visible.</t>
  </si>
  <si>
    <t>Mitad del espigado: emergida la mitad de la espiga o panicula.</t>
  </si>
  <si>
    <t>Fin del espigado: la espiga o panicula completamente fuera.</t>
  </si>
  <si>
    <t>Estadio de madurez acuosa: los primeros granos han alcanzado la mitad de su tamaño final</t>
  </si>
  <si>
    <t>Plena floración: 50 % de las anteras maduras</t>
  </si>
  <si>
    <t>Grano lechoso medio: contenido del grano lechoso. Granos del tamaño final, verdes todavía.</t>
  </si>
  <si>
    <t>Pastoso temprano</t>
  </si>
  <si>
    <t>Pastoso blando: contenido del grano, blando, pero seco; no se mantiene la huella de la uña del dedo</t>
  </si>
  <si>
    <t>Pastoso duro: contenido del grano, sólido; se mantiene la huella de la uña del dedo.</t>
  </si>
  <si>
    <t>Madurez completa: grano duro, difícil de dividir con la uña del pulgar.</t>
  </si>
  <si>
    <t>Trigo fuerza</t>
  </si>
  <si>
    <t>Profundidad (cm)</t>
  </si>
  <si>
    <t>Pedregosidad (%)</t>
  </si>
  <si>
    <t>N NO3 (ppm)</t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</si>
  <si>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 xml:space="preserve"> N-NH4</t>
    </r>
  </si>
  <si>
    <t>Máx. de N extrA 1</t>
  </si>
  <si>
    <t>N leached</t>
  </si>
  <si>
    <t>N min soil (measured)</t>
  </si>
  <si>
    <t>N uptake accumulated</t>
  </si>
  <si>
    <t>Tallo + hojas (Xv: paja de cereal)</t>
  </si>
  <si>
    <t>Espiga</t>
  </si>
  <si>
    <t>Grano</t>
  </si>
  <si>
    <t>Parcela</t>
  </si>
  <si>
    <t>Explotación</t>
  </si>
  <si>
    <t>Campaña</t>
  </si>
  <si>
    <t>CodFinca</t>
  </si>
  <si>
    <t>Finca</t>
  </si>
  <si>
    <t>CJ</t>
  </si>
  <si>
    <t>Casa Jara</t>
  </si>
  <si>
    <t>CM</t>
  </si>
  <si>
    <t>Casa del Monte</t>
  </si>
  <si>
    <t>DL</t>
  </si>
  <si>
    <t>Dehesa los Llanos</t>
  </si>
  <si>
    <t>EP</t>
  </si>
  <si>
    <t>EL Pilar</t>
  </si>
  <si>
    <t>LG</t>
  </si>
  <si>
    <t>La Grajuela</t>
  </si>
  <si>
    <t>LH</t>
  </si>
  <si>
    <t>La Herrera</t>
  </si>
  <si>
    <t>LT</t>
  </si>
  <si>
    <t>Las Tiesas</t>
  </si>
  <si>
    <t>OF</t>
  </si>
  <si>
    <t>Ontalafia</t>
  </si>
  <si>
    <t>OR</t>
  </si>
  <si>
    <t>Orán</t>
  </si>
  <si>
    <t>PR</t>
  </si>
  <si>
    <t>Puñonrostro</t>
  </si>
  <si>
    <t>xx</t>
  </si>
  <si>
    <t>CodA_Parc</t>
  </si>
  <si>
    <t>CodParcela</t>
  </si>
  <si>
    <t>P4V</t>
  </si>
  <si>
    <t>Casa Monte Pivot 4</t>
  </si>
  <si>
    <t>P11</t>
  </si>
  <si>
    <t>Casa Monte Pivot 11</t>
  </si>
  <si>
    <t>P01</t>
  </si>
  <si>
    <t>Las Tiesas Pivot 01</t>
  </si>
  <si>
    <t>P02</t>
  </si>
  <si>
    <t>Las Tiesas Pivot 02</t>
  </si>
  <si>
    <t>P03</t>
  </si>
  <si>
    <t>Las Tiesas Pivot 03</t>
  </si>
  <si>
    <t>P04</t>
  </si>
  <si>
    <t>Las Tiesas Pivot 04</t>
  </si>
  <si>
    <t>P05</t>
  </si>
  <si>
    <t>Las Tiesas Pivot 05</t>
  </si>
  <si>
    <t>Vill</t>
  </si>
  <si>
    <t>Orán Villares</t>
  </si>
  <si>
    <t>CHz</t>
  </si>
  <si>
    <t>Oran Cañada hazna</t>
  </si>
  <si>
    <t>Qui</t>
  </si>
  <si>
    <t>Quiles</t>
  </si>
  <si>
    <t>Campaña de recolección</t>
  </si>
  <si>
    <t>CodSp</t>
  </si>
  <si>
    <t>Ad</t>
  </si>
  <si>
    <t>Adormidera</t>
  </si>
  <si>
    <t>AjC</t>
  </si>
  <si>
    <t>Ajo chino</t>
  </si>
  <si>
    <t>AjM</t>
  </si>
  <si>
    <t>Ajo morado</t>
  </si>
  <si>
    <t>Cb</t>
  </si>
  <si>
    <t>Cbl</t>
  </si>
  <si>
    <t>Cebolla</t>
  </si>
  <si>
    <t>Mz</t>
  </si>
  <si>
    <t>TrB</t>
  </si>
  <si>
    <t>Trigo blando</t>
  </si>
  <si>
    <t>TrD</t>
  </si>
  <si>
    <t>Trigo duro</t>
  </si>
  <si>
    <t>CodZona</t>
  </si>
  <si>
    <t>Z0</t>
  </si>
  <si>
    <t>Zona bajo potencial</t>
  </si>
  <si>
    <t>Z1</t>
  </si>
  <si>
    <t>Zona potencial medio</t>
  </si>
  <si>
    <t>Z2</t>
  </si>
  <si>
    <t>Zona alto potencial</t>
  </si>
  <si>
    <t>CodRecom</t>
  </si>
  <si>
    <t>F0</t>
  </si>
  <si>
    <t>Recomendación HAD - x UF</t>
  </si>
  <si>
    <t>F1</t>
  </si>
  <si>
    <t>Recomendación HAD</t>
  </si>
  <si>
    <t>F2</t>
  </si>
  <si>
    <t>Recomendación HAD + UF</t>
  </si>
  <si>
    <t>Órganos</t>
  </si>
  <si>
    <t>Ent</t>
  </si>
  <si>
    <t>Planta entera</t>
  </si>
  <si>
    <t>T+H</t>
  </si>
  <si>
    <t>Esp</t>
  </si>
  <si>
    <t>Gra</t>
  </si>
  <si>
    <t>Tal</t>
  </si>
  <si>
    <t>Tallo</t>
  </si>
  <si>
    <t>Hoj</t>
  </si>
  <si>
    <t>Hojas</t>
  </si>
  <si>
    <t>Z+E</t>
  </si>
  <si>
    <t>Zuro + espatas</t>
  </si>
  <si>
    <t>Bul</t>
  </si>
  <si>
    <t>Bulbo</t>
  </si>
  <si>
    <t>Pst</t>
  </si>
  <si>
    <t>Pseudotallo</t>
  </si>
  <si>
    <t>CodHorizonte</t>
  </si>
  <si>
    <t>0-20 cm</t>
  </si>
  <si>
    <t>20-40 cm</t>
  </si>
  <si>
    <t>Especie</t>
  </si>
  <si>
    <t>Semana ISO</t>
  </si>
  <si>
    <t xml:space="preserve"> </t>
  </si>
  <si>
    <t>Limosa</t>
  </si>
  <si>
    <t>Inicio: 0,15</t>
  </si>
  <si>
    <t>Final: 0,15</t>
  </si>
  <si>
    <t>Inicio: 0,55</t>
  </si>
  <si>
    <t>Desarrollo: 0,55</t>
  </si>
  <si>
    <t>Mediados: 0,55</t>
  </si>
  <si>
    <t>Final: 0,55</t>
  </si>
  <si>
    <t>Inicio: 0,10</t>
  </si>
  <si>
    <t>Déficit AFA variable, Volumen variable</t>
  </si>
  <si>
    <t>Frec.: 100 % AFA</t>
  </si>
  <si>
    <t>Vol.: 0,00 CC ± mm</t>
  </si>
  <si>
    <t>Nmin medido</t>
  </si>
  <si>
    <t>Máx. de Nmin medido</t>
  </si>
  <si>
    <t>Ralentización mineralización</t>
  </si>
  <si>
    <t>Pre sowing</t>
  </si>
  <si>
    <t>Top dressing 1</t>
  </si>
  <si>
    <t>Top dressing 2</t>
  </si>
  <si>
    <t>T Nf recomendado</t>
  </si>
  <si>
    <t>Fertilizante (kg/ha)</t>
  </si>
  <si>
    <t>Nneto + control</t>
  </si>
  <si>
    <t>Nbruto</t>
  </si>
  <si>
    <t>Eto acumulada</t>
  </si>
  <si>
    <t>Pixel:</t>
  </si>
  <si>
    <t>3 x 3</t>
  </si>
  <si>
    <t>CRS: epsg:900913</t>
  </si>
  <si>
    <t>X :</t>
  </si>
  <si>
    <t>Y :</t>
  </si>
  <si>
    <t>NDVI Multisensor Multi</t>
  </si>
  <si>
    <t>NDVI promedio</t>
  </si>
  <si>
    <t>Año</t>
  </si>
  <si>
    <t>N mineralizado A</t>
  </si>
  <si>
    <t>N agua A</t>
  </si>
  <si>
    <t>Nl A</t>
  </si>
  <si>
    <r>
      <t>N recom (kg ha</t>
    </r>
    <r>
      <rPr>
        <vertAlign val="superscript"/>
        <sz val="11"/>
        <color rgb="FF000000"/>
        <rFont val="Calibri"/>
        <family val="2"/>
      </rPr>
      <t>-1</t>
    </r>
    <r>
      <rPr>
        <sz val="11"/>
        <color theme="1"/>
        <rFont val="Calibri"/>
        <family val="2"/>
        <scheme val="minor"/>
      </rPr>
      <t>)</t>
    </r>
  </si>
  <si>
    <r>
      <rPr>
        <sz val="8"/>
        <color rgb="FF000000"/>
        <rFont val="Calibri"/>
        <family val="2"/>
      </rPr>
      <t>Fecha</t>
    </r>
  </si>
  <si>
    <r>
      <rPr>
        <sz val="8"/>
        <color rgb="FF000000"/>
        <rFont val="Calibri"/>
        <family val="2"/>
      </rPr>
      <t>Jp</t>
    </r>
  </si>
  <si>
    <r>
      <rPr>
        <sz val="8"/>
        <color rgb="FF000000"/>
        <rFont val="Calibri"/>
        <family val="2"/>
      </rPr>
      <t>Etapa</t>
    </r>
  </si>
  <si>
    <r>
      <rPr>
        <sz val="8"/>
        <color rgb="FF000000"/>
        <rFont val="Calibri"/>
        <family val="2"/>
      </rPr>
      <t>ET0</t>
    </r>
  </si>
  <si>
    <r>
      <rPr>
        <sz val="8"/>
        <color rgb="FF000000"/>
        <rFont val="Calibri"/>
        <family val="2"/>
      </rPr>
      <t>Kcb</t>
    </r>
  </si>
  <si>
    <r>
      <rPr>
        <sz val="8"/>
        <color rgb="FF000000"/>
        <rFont val="Calibri"/>
        <family val="2"/>
      </rPr>
      <t>h</t>
    </r>
  </si>
  <si>
    <r>
      <rPr>
        <sz val="8"/>
        <color rgb="FF000000"/>
        <rFont val="Calibri"/>
        <family val="2"/>
      </rPr>
      <t>Ke</t>
    </r>
  </si>
  <si>
    <r>
      <rPr>
        <sz val="8"/>
        <color rgb="FF000000"/>
        <rFont val="Calibri"/>
        <family val="2"/>
      </rPr>
      <t>Kc</t>
    </r>
  </si>
  <si>
    <r>
      <rPr>
        <sz val="8"/>
        <color rgb="FF000000"/>
        <rFont val="Calibri"/>
        <family val="2"/>
      </rPr>
      <t>ETc</t>
    </r>
  </si>
  <si>
    <r>
      <rPr>
        <sz val="8"/>
        <color rgb="FF000000"/>
        <rFont val="Calibri"/>
        <family val="2"/>
      </rPr>
      <t>DP</t>
    </r>
  </si>
  <si>
    <r>
      <rPr>
        <sz val="8"/>
        <color rgb="FF000000"/>
        <rFont val="Calibri"/>
        <family val="2"/>
      </rPr>
      <t>Riego</t>
    </r>
    <r>
      <rPr>
        <sz val="8"/>
        <color rgb="FF000000"/>
        <rFont val="Calibri"/>
        <family val="2"/>
      </rPr>
      <t xml:space="preserve">
Efec.</t>
    </r>
  </si>
  <si>
    <r>
      <rPr>
        <sz val="8"/>
        <color rgb="FF000000"/>
        <rFont val="Calibri"/>
        <family val="2"/>
      </rPr>
      <t>t</t>
    </r>
  </si>
  <si>
    <r>
      <rPr>
        <sz val="8"/>
        <color rgb="FF000000"/>
        <rFont val="Calibri"/>
        <family val="2"/>
      </rPr>
      <t>Jp: día de la etapa</t>
    </r>
  </si>
  <si>
    <r>
      <rPr>
        <sz val="8"/>
        <color rgb="FF000000"/>
        <rFont val="Calibri"/>
        <family val="2"/>
      </rPr>
      <t>Etapa: inicial, dessarrollo, mediados, final</t>
    </r>
  </si>
  <si>
    <r>
      <rPr>
        <sz val="8"/>
        <color rgb="FF000000"/>
        <rFont val="Calibri"/>
        <family val="2"/>
      </rPr>
      <t>ET0: evapotranspiración de referencia (mm/dia^-1)</t>
    </r>
  </si>
  <si>
    <r>
      <rPr>
        <sz val="8"/>
        <color rgb="FF000000"/>
        <rFont val="Calibri"/>
        <family val="2"/>
      </rPr>
      <t>Kcb: coeficiente basal de cultivo o de transpiración de la planta h: altura del cultivo (cm)</t>
    </r>
  </si>
  <si>
    <r>
      <rPr>
        <sz val="8"/>
        <color rgb="FF000000"/>
        <rFont val="Calibri"/>
        <family val="2"/>
      </rPr>
      <t>Ke: coeficiente de evaporación del agua del suelo</t>
    </r>
  </si>
  <si>
    <r>
      <rPr>
        <sz val="8"/>
        <color rgb="FF000000"/>
        <rFont val="Calibri"/>
        <family val="2"/>
      </rPr>
      <t>Kc: coeficiente único</t>
    </r>
  </si>
  <si>
    <r>
      <rPr>
        <sz val="8"/>
        <color rgb="FF000000"/>
        <rFont val="Calibri"/>
        <family val="2"/>
      </rPr>
      <t>ETc: evapotranspiración de cultivo (mm/dia^-1) Prec. efect.: precipitación efectiva (mm)</t>
    </r>
  </si>
  <si>
    <r>
      <rPr>
        <sz val="8"/>
        <color rgb="FF000000"/>
        <rFont val="Calibri"/>
        <family val="2"/>
      </rPr>
      <t>Riego neces.: riego necesario (mm)</t>
    </r>
  </si>
  <si>
    <r>
      <rPr>
        <sz val="8"/>
        <color rgb="FF000000"/>
        <rFont val="Calibri"/>
        <family val="2"/>
      </rPr>
      <t>DP: pérdidas de agua de la zona radicular por percolación profunda (mm) Riego aplic.: riego aplicado (mm)</t>
    </r>
  </si>
  <si>
    <r>
      <rPr>
        <sz val="8"/>
        <color rgb="FF000000"/>
        <rFont val="Calibri"/>
        <family val="2"/>
      </rPr>
      <t>t: tiempo de riego (HH:MM)</t>
    </r>
  </si>
  <si>
    <r>
      <rPr>
        <sz val="8"/>
        <color rgb="FF000000"/>
        <rFont val="Calibri"/>
        <family val="2"/>
      </rPr>
      <t>ETc Acc.: evapotranspiración de cultivo acumulada (mm/dia^-1) Prec. efec. Acc.: precipitación efectiva acumulada (mm)</t>
    </r>
  </si>
  <si>
    <r>
      <rPr>
        <sz val="8"/>
        <color rgb="FF000000"/>
        <rFont val="Calibri"/>
        <family val="2"/>
      </rPr>
      <t>Riego Acc.: riego necesario acumulado (mm)</t>
    </r>
  </si>
  <si>
    <t>Eto</t>
  </si>
  <si>
    <t>CP</t>
  </si>
  <si>
    <t>Casa del Pozo</t>
  </si>
  <si>
    <t>CP_P05</t>
  </si>
  <si>
    <t>Pivot 05</t>
  </si>
  <si>
    <t>Desarrollo: 0,35</t>
  </si>
  <si>
    <t>Riego planificado IPn derivado de la estrategia</t>
  </si>
  <si>
    <t>riego efectivo/efectuado</t>
  </si>
  <si>
    <t>Riego</t>
  </si>
  <si>
    <t>mm</t>
  </si>
  <si>
    <t>m3/ha</t>
  </si>
  <si>
    <t>Concentración nitratos</t>
  </si>
  <si>
    <t>Concentración nitrógeno</t>
  </si>
  <si>
    <t>ppm o mg/L</t>
  </si>
  <si>
    <t>mg/ha</t>
  </si>
  <si>
    <t>Trigo Blando</t>
  </si>
  <si>
    <t>Desarrollo: 1,10</t>
  </si>
  <si>
    <t>Mediados: 1,10</t>
  </si>
  <si>
    <t>Mediados: 0,70</t>
  </si>
  <si>
    <t>Final: 0,70</t>
  </si>
  <si>
    <t>NDVI real</t>
  </si>
  <si>
    <t>NDVI r.int</t>
  </si>
  <si>
    <t>BBCH real</t>
  </si>
  <si>
    <t>Máx. de NDVI r.int</t>
  </si>
  <si>
    <t>Fenología tipo</t>
  </si>
  <si>
    <t>Máx. de N recom (kg ha-1)</t>
  </si>
  <si>
    <t>Nmin d-1</t>
  </si>
  <si>
    <t>Nfert</t>
  </si>
  <si>
    <t>Ejemplo de hoja de cálculo para determinar Etc= (Kcb + Ke)Eto y el calendario de riego</t>
  </si>
  <si>
    <t>Date</t>
  </si>
  <si>
    <t>NDVI Norm Daily1</t>
  </si>
  <si>
    <t>Cultivo:</t>
  </si>
  <si>
    <t>NDVIserie Cuadro 11</t>
  </si>
  <si>
    <t>Cuadro 17</t>
  </si>
  <si>
    <t>Ajustes: En función de la evolución de NDVI</t>
  </si>
  <si>
    <r>
      <t>J</t>
    </r>
    <r>
      <rPr>
        <vertAlign val="subscript"/>
        <sz val="11"/>
        <rFont val="Calibri"/>
        <family val="2"/>
        <scheme val="minor"/>
      </rPr>
      <t>Plant</t>
    </r>
  </si>
  <si>
    <r>
      <t>f</t>
    </r>
    <r>
      <rPr>
        <vertAlign val="subscript"/>
        <sz val="11"/>
        <rFont val="Calibri"/>
        <family val="2"/>
        <scheme val="minor"/>
      </rPr>
      <t>w</t>
    </r>
    <r>
      <rPr>
        <sz val="11"/>
        <rFont val="Calibri"/>
        <family val="2"/>
        <scheme val="minor"/>
      </rPr>
      <t xml:space="preserve"> (irrig.):</t>
    </r>
  </si>
  <si>
    <t>Coef Kr (m):</t>
  </si>
  <si>
    <r>
      <t>Raíz</t>
    </r>
    <r>
      <rPr>
        <vertAlign val="subscript"/>
        <sz val="11"/>
        <rFont val="Calibri"/>
        <family val="2"/>
        <scheme val="minor"/>
      </rPr>
      <t>min</t>
    </r>
  </si>
  <si>
    <t>m</t>
  </si>
  <si>
    <t>AMP durante el estado inicial</t>
  </si>
  <si>
    <t>%</t>
  </si>
  <si>
    <t>NDVImin as</t>
  </si>
  <si>
    <t>Formula Kc</t>
  </si>
  <si>
    <r>
      <t xml:space="preserve">  L</t>
    </r>
    <r>
      <rPr>
        <vertAlign val="subscript"/>
        <sz val="11"/>
        <rFont val="Calibri"/>
        <family val="2"/>
        <scheme val="minor"/>
      </rPr>
      <t>ini</t>
    </r>
  </si>
  <si>
    <r>
      <t>K</t>
    </r>
    <r>
      <rPr>
        <vertAlign val="subscript"/>
        <sz val="11"/>
        <rFont val="Calibri"/>
        <family val="2"/>
        <scheme val="minor"/>
      </rPr>
      <t>cb ini</t>
    </r>
  </si>
  <si>
    <r>
      <t>K</t>
    </r>
    <r>
      <rPr>
        <vertAlign val="subscript"/>
        <sz val="11"/>
        <rFont val="Calibri"/>
        <family val="2"/>
        <scheme val="minor"/>
      </rPr>
      <t>cmin</t>
    </r>
  </si>
  <si>
    <r>
      <t>J</t>
    </r>
    <r>
      <rPr>
        <vertAlign val="subscript"/>
        <sz val="11"/>
        <rFont val="Calibri"/>
        <family val="2"/>
        <scheme val="minor"/>
      </rPr>
      <t>Dev</t>
    </r>
  </si>
  <si>
    <t>REW (AFE)</t>
  </si>
  <si>
    <t>Dosis max:</t>
  </si>
  <si>
    <r>
      <t>Raíz</t>
    </r>
    <r>
      <rPr>
        <vertAlign val="subscript"/>
        <sz val="11"/>
        <rFont val="Calibri"/>
        <family val="2"/>
        <scheme val="minor"/>
      </rPr>
      <t>max</t>
    </r>
  </si>
  <si>
    <t>AMP después del estado inicial</t>
  </si>
  <si>
    <t>NDVImin de</t>
  </si>
  <si>
    <t>WP*</t>
  </si>
  <si>
    <r>
      <t xml:space="preserve">  L</t>
    </r>
    <r>
      <rPr>
        <vertAlign val="subscript"/>
        <sz val="11"/>
        <rFont val="Calibri"/>
        <family val="2"/>
        <scheme val="minor"/>
      </rPr>
      <t>dev</t>
    </r>
  </si>
  <si>
    <r>
      <t>K</t>
    </r>
    <r>
      <rPr>
        <vertAlign val="subscript"/>
        <sz val="11"/>
        <rFont val="Calibri"/>
        <family val="2"/>
        <scheme val="minor"/>
      </rPr>
      <t>cb mid</t>
    </r>
  </si>
  <si>
    <t>Max.Ht.:</t>
  </si>
  <si>
    <r>
      <t>J</t>
    </r>
    <r>
      <rPr>
        <vertAlign val="subscript"/>
        <sz val="11"/>
        <rFont val="Calibri"/>
        <family val="2"/>
        <scheme val="minor"/>
      </rPr>
      <t>Mid</t>
    </r>
  </si>
  <si>
    <t>TEW (AET)</t>
  </si>
  <si>
    <t>Corte Riego (J)</t>
  </si>
  <si>
    <t>Agua disp.</t>
  </si>
  <si>
    <t>mm/m</t>
  </si>
  <si>
    <r>
      <t xml:space="preserve">  L</t>
    </r>
    <r>
      <rPr>
        <vertAlign val="subscript"/>
        <sz val="11"/>
        <rFont val="Calibri"/>
        <family val="2"/>
        <scheme val="minor"/>
      </rPr>
      <t>mid</t>
    </r>
  </si>
  <si>
    <r>
      <t>K</t>
    </r>
    <r>
      <rPr>
        <vertAlign val="subscript"/>
        <sz val="11"/>
        <rFont val="Calibri"/>
        <family val="2"/>
        <scheme val="minor"/>
      </rPr>
      <t>cb end</t>
    </r>
  </si>
  <si>
    <r>
      <t>J</t>
    </r>
    <r>
      <rPr>
        <vertAlign val="subscript"/>
        <sz val="11"/>
        <rFont val="Calibri"/>
        <family val="2"/>
        <scheme val="minor"/>
      </rPr>
      <t>Late</t>
    </r>
  </si>
  <si>
    <t>De inicial</t>
  </si>
  <si>
    <t>Precip campaña (mm)</t>
  </si>
  <si>
    <t>Riego campaña (mm)</t>
  </si>
  <si>
    <t>Etc TOTAL</t>
  </si>
  <si>
    <t>Doy fin de ciclo</t>
  </si>
  <si>
    <t>cosecha</t>
  </si>
  <si>
    <t>doy</t>
  </si>
  <si>
    <r>
      <t xml:space="preserve">  L</t>
    </r>
    <r>
      <rPr>
        <vertAlign val="subscript"/>
        <sz val="11"/>
        <rFont val="Calibri"/>
        <family val="2"/>
        <scheme val="minor"/>
      </rPr>
      <t>late</t>
    </r>
  </si>
  <si>
    <r>
      <t>J</t>
    </r>
    <r>
      <rPr>
        <vertAlign val="subscript"/>
        <sz val="11"/>
        <rFont val="Calibri"/>
        <family val="2"/>
        <scheme val="minor"/>
      </rPr>
      <t>Harv</t>
    </r>
  </si>
  <si>
    <t>fw inicial</t>
  </si>
  <si>
    <t>Dosis riego</t>
  </si>
  <si>
    <t>Transp_Acumulada</t>
  </si>
  <si>
    <t xml:space="preserve">Riego </t>
  </si>
  <si>
    <t>Si</t>
  </si>
  <si>
    <t>Velocidad del viento media</t>
  </si>
  <si>
    <t>m/s</t>
  </si>
  <si>
    <t>Valores calculados
 automáticamente del Lookup en las columnas AO y AP</t>
  </si>
  <si>
    <t>El riego que sea necesario, se aplica presumiblemente al inicio del día siguiente</t>
  </si>
  <si>
    <t>Dias ciclo</t>
  </si>
  <si>
    <t>dias</t>
  </si>
  <si>
    <t>Humedad relativa mín. media</t>
  </si>
  <si>
    <t>Cálculo de la evaporación</t>
  </si>
  <si>
    <t>Calendario de riego</t>
  </si>
  <si>
    <t>(Utilizado para 
calcular u2 y HR mín durante período medio de la temporada)</t>
  </si>
  <si>
    <t xml:space="preserve">Biomasa </t>
  </si>
  <si>
    <t>(t/ha)</t>
  </si>
  <si>
    <t>Kc veg</t>
  </si>
  <si>
    <t>(de la precip.)</t>
  </si>
  <si>
    <t>(KsKcb+Ke)</t>
  </si>
  <si>
    <t>D</t>
  </si>
  <si>
    <t>Nuptake</t>
  </si>
  <si>
    <t xml:space="preserve"> (kg/ha</t>
  </si>
  <si>
    <t>=INT(275*A15/9-30+B15)+IF(A15&gt;2,-2,0)+IF(MOD(C15,4)=0,IF(A15&gt;2,1,0),0)</t>
  </si>
  <si>
    <t>Ajuste Kcb</t>
  </si>
  <si>
    <t>Kc soil</t>
  </si>
  <si>
    <t>Req. Neto de
 riego/fw</t>
  </si>
  <si>
    <t>del calendario de riego, día anterior</t>
  </si>
  <si>
    <t>De,i
inicio</t>
  </si>
  <si>
    <t>De,i 
final</t>
  </si>
  <si>
    <t>Profundidad
radicular</t>
  </si>
  <si>
    <t>Final del 
agotamiento</t>
  </si>
  <si>
    <t>Riego neto 
necesario</t>
  </si>
  <si>
    <t>Drenaje 
(DP)</t>
  </si>
  <si>
    <t>Kc 
Ajustado</t>
  </si>
  <si>
    <t>Final del 
agotamiento corregido</t>
  </si>
  <si>
    <t>Acumulado</t>
  </si>
  <si>
    <t>Día Juliano</t>
  </si>
  <si>
    <t>NDVI interpolado</t>
  </si>
  <si>
    <r>
      <t>T</t>
    </r>
    <r>
      <rPr>
        <b/>
        <vertAlign val="subscript"/>
        <sz val="11"/>
        <rFont val="Calibri"/>
        <family val="2"/>
        <scheme val="minor"/>
      </rPr>
      <t>m</t>
    </r>
  </si>
  <si>
    <r>
      <t>T</t>
    </r>
    <r>
      <rPr>
        <b/>
        <vertAlign val="subscript"/>
        <sz val="11"/>
        <rFont val="Calibri"/>
        <family val="2"/>
        <scheme val="minor"/>
      </rPr>
      <t>dew</t>
    </r>
  </si>
  <si>
    <r>
      <t>ET</t>
    </r>
    <r>
      <rPr>
        <b/>
        <vertAlign val="subscript"/>
        <sz val="11"/>
        <rFont val="Calibri"/>
        <family val="2"/>
        <scheme val="minor"/>
      </rPr>
      <t>o</t>
    </r>
  </si>
  <si>
    <r>
      <t>e</t>
    </r>
    <r>
      <rPr>
        <b/>
        <vertAlign val="superscript"/>
        <sz val="11"/>
        <rFont val="Calibri"/>
        <family val="2"/>
        <scheme val="minor"/>
      </rPr>
      <t>o</t>
    </r>
    <r>
      <rPr>
        <b/>
        <sz val="11"/>
        <rFont val="Calibri"/>
        <family val="2"/>
        <scheme val="minor"/>
      </rPr>
      <t>(T</t>
    </r>
    <r>
      <rPr>
        <b/>
        <vertAlign val="subscript"/>
        <sz val="11"/>
        <rFont val="Calibri"/>
        <family val="2"/>
        <scheme val="minor"/>
      </rPr>
      <t>dew</t>
    </r>
    <r>
      <rPr>
        <b/>
        <sz val="11"/>
        <rFont val="Calibri"/>
        <family val="2"/>
        <scheme val="minor"/>
      </rPr>
      <t>)</t>
    </r>
  </si>
  <si>
    <r>
      <t>e</t>
    </r>
    <r>
      <rPr>
        <b/>
        <vertAlign val="superscript"/>
        <sz val="11"/>
        <rFont val="Calibri"/>
        <family val="2"/>
        <scheme val="minor"/>
      </rPr>
      <t>o</t>
    </r>
    <r>
      <rPr>
        <b/>
        <sz val="11"/>
        <rFont val="Calibri"/>
        <family val="2"/>
        <scheme val="minor"/>
      </rPr>
      <t>(T</t>
    </r>
    <r>
      <rPr>
        <b/>
        <vertAlign val="subscript"/>
        <sz val="11"/>
        <rFont val="Calibri"/>
        <family val="2"/>
        <scheme val="minor"/>
      </rPr>
      <t>max</t>
    </r>
    <r>
      <rPr>
        <b/>
        <sz val="11"/>
        <rFont val="Calibri"/>
        <family val="2"/>
        <scheme val="minor"/>
      </rPr>
      <t>)</t>
    </r>
  </si>
  <si>
    <r>
      <t>RH</t>
    </r>
    <r>
      <rPr>
        <b/>
        <vertAlign val="subscript"/>
        <sz val="11"/>
        <rFont val="Calibri"/>
        <family val="2"/>
        <scheme val="minor"/>
      </rPr>
      <t>min</t>
    </r>
  </si>
  <si>
    <t>Tadj</t>
  </si>
  <si>
    <t>Tmed(ºC)-Tbase</t>
  </si>
  <si>
    <t>T</t>
  </si>
  <si>
    <t>Altura</t>
  </si>
  <si>
    <r>
      <t>DP</t>
    </r>
    <r>
      <rPr>
        <b/>
        <vertAlign val="subscript"/>
        <sz val="11"/>
        <rFont val="Calibri"/>
        <family val="2"/>
        <scheme val="minor"/>
      </rPr>
      <t>e</t>
    </r>
  </si>
  <si>
    <r>
      <t>ET</t>
    </r>
    <r>
      <rPr>
        <b/>
        <vertAlign val="subscript"/>
        <sz val="11"/>
        <rFont val="Calibri"/>
        <family val="2"/>
        <scheme val="minor"/>
      </rPr>
      <t>c</t>
    </r>
  </si>
  <si>
    <t>RAW</t>
  </si>
  <si>
    <r>
      <t>K</t>
    </r>
    <r>
      <rPr>
        <b/>
        <vertAlign val="subscript"/>
        <sz val="11"/>
        <rFont val="Calibri"/>
        <family val="2"/>
        <scheme val="minor"/>
      </rPr>
      <t>s</t>
    </r>
  </si>
  <si>
    <t>Etcadj</t>
  </si>
  <si>
    <t>Etcadj acumulada</t>
  </si>
  <si>
    <t>Riego acumulado</t>
  </si>
  <si>
    <t>Pp</t>
  </si>
  <si>
    <t>Viento</t>
  </si>
  <si>
    <t>HR mín</t>
  </si>
  <si>
    <t>NDVI ciclo</t>
  </si>
  <si>
    <t>Transp ciclo</t>
  </si>
  <si>
    <t>Transp acum</t>
  </si>
  <si>
    <t>Biomas potencial (t/ha dia)</t>
  </si>
  <si>
    <t>Biomasa acumulada (t/ha)</t>
  </si>
  <si>
    <t>Nuptake (kg/ha)</t>
  </si>
  <si>
    <t>Nuptakediario (Kg/ha dia)</t>
  </si>
  <si>
    <t>Etoacumulada</t>
  </si>
  <si>
    <t>(d)</t>
  </si>
  <si>
    <t>(dd/mm/aaaa)</t>
  </si>
  <si>
    <t>Mes</t>
  </si>
  <si>
    <t>Día</t>
  </si>
  <si>
    <t>C</t>
  </si>
  <si>
    <t>mm/d</t>
  </si>
  <si>
    <t>kPa</t>
  </si>
  <si>
    <r>
      <t>K</t>
    </r>
    <r>
      <rPr>
        <b/>
        <vertAlign val="subscript"/>
        <sz val="11"/>
        <rFont val="Calibri"/>
        <family val="2"/>
        <scheme val="minor"/>
      </rPr>
      <t>cb</t>
    </r>
  </si>
  <si>
    <r>
      <t>K</t>
    </r>
    <r>
      <rPr>
        <b/>
        <vertAlign val="subscript"/>
        <sz val="11"/>
        <rFont val="Calibri"/>
        <family val="2"/>
        <scheme val="minor"/>
      </rPr>
      <t>c max</t>
    </r>
  </si>
  <si>
    <r>
      <t>f</t>
    </r>
    <r>
      <rPr>
        <b/>
        <vertAlign val="subscript"/>
        <sz val="11"/>
        <rFont val="Calibri"/>
        <family val="2"/>
        <scheme val="minor"/>
      </rPr>
      <t>c</t>
    </r>
  </si>
  <si>
    <r>
      <t>f</t>
    </r>
    <r>
      <rPr>
        <b/>
        <vertAlign val="subscript"/>
        <sz val="11"/>
        <rFont val="Calibri"/>
        <family val="2"/>
        <scheme val="minor"/>
      </rPr>
      <t>w</t>
    </r>
  </si>
  <si>
    <r>
      <t>f</t>
    </r>
    <r>
      <rPr>
        <b/>
        <vertAlign val="subscript"/>
        <sz val="11"/>
        <rFont val="Calibri"/>
        <family val="2"/>
        <scheme val="minor"/>
      </rPr>
      <t>ew</t>
    </r>
  </si>
  <si>
    <r>
      <t>K</t>
    </r>
    <r>
      <rPr>
        <b/>
        <vertAlign val="subscript"/>
        <sz val="11"/>
        <rFont val="Calibri"/>
        <family val="2"/>
        <scheme val="minor"/>
      </rPr>
      <t>r</t>
    </r>
  </si>
  <si>
    <r>
      <t>K</t>
    </r>
    <r>
      <rPr>
        <b/>
        <vertAlign val="subscript"/>
        <sz val="11"/>
        <rFont val="Calibri"/>
        <family val="2"/>
        <scheme val="minor"/>
      </rPr>
      <t>e</t>
    </r>
  </si>
  <si>
    <r>
      <t>K</t>
    </r>
    <r>
      <rPr>
        <b/>
        <vertAlign val="subscript"/>
        <sz val="11"/>
        <rFont val="Calibri"/>
        <family val="2"/>
        <scheme val="minor"/>
      </rPr>
      <t>c</t>
    </r>
  </si>
  <si>
    <t xml:space="preserve">   m</t>
  </si>
  <si>
    <r>
      <t>(K</t>
    </r>
    <r>
      <rPr>
        <b/>
        <vertAlign val="subscript"/>
        <sz val="11"/>
        <rFont val="Calibri"/>
        <family val="2"/>
        <scheme val="minor"/>
      </rPr>
      <t>c adj</t>
    </r>
    <r>
      <rPr>
        <b/>
        <sz val="11"/>
        <rFont val="Calibri"/>
        <family val="2"/>
        <scheme val="minor"/>
      </rPr>
      <t>)</t>
    </r>
  </si>
  <si>
    <t>acumulada</t>
  </si>
  <si>
    <t>INICIO</t>
  </si>
  <si>
    <t>Kc aj</t>
  </si>
  <si>
    <t>Precipitación</t>
  </si>
  <si>
    <t>Riego neto</t>
  </si>
  <si>
    <t>Agotamiento permisible</t>
  </si>
  <si>
    <t>Agotamiento final</t>
  </si>
  <si>
    <t>MEDIO</t>
  </si>
  <si>
    <t>DESARROLLO</t>
  </si>
  <si>
    <t>FINAL</t>
  </si>
  <si>
    <t>Tarascon</t>
  </si>
  <si>
    <t>dia</t>
  </si>
  <si>
    <t xml:space="preserve">mes </t>
  </si>
  <si>
    <t>año</t>
  </si>
  <si>
    <t>Tm (ºC)</t>
  </si>
  <si>
    <t>TMA (ºC)</t>
  </si>
  <si>
    <t>tma (ºC)</t>
  </si>
  <si>
    <t>Hr (%)</t>
  </si>
  <si>
    <t>Hrmax (%)</t>
  </si>
  <si>
    <t>Hrmin (%)</t>
  </si>
  <si>
    <t>RS (MJ/m²)</t>
  </si>
  <si>
    <t>V (m/s)</t>
  </si>
  <si>
    <t>VMA (m/s)</t>
  </si>
  <si>
    <t>HS (horas)</t>
  </si>
  <si>
    <t>P (mm)</t>
  </si>
  <si>
    <t>ETo (mm)</t>
  </si>
  <si>
    <t>NDVI inter 1</t>
  </si>
  <si>
    <t>l/ha</t>
  </si>
  <si>
    <t>FINCA</t>
  </si>
  <si>
    <t>Fecha Aux</t>
  </si>
  <si>
    <t>NDVI diario</t>
  </si>
  <si>
    <t>NDVI campaña en evaluación</t>
  </si>
  <si>
    <t xml:space="preserve">Datos climáticos </t>
  </si>
  <si>
    <t>Francia</t>
  </si>
  <si>
    <t>FR</t>
  </si>
  <si>
    <t>Tar</t>
  </si>
  <si>
    <t>Avi</t>
  </si>
  <si>
    <t>Avignon</t>
  </si>
  <si>
    <t>FR_Tar</t>
  </si>
  <si>
    <t>FR_Avi</t>
  </si>
  <si>
    <t>Regadio</t>
  </si>
  <si>
    <t>CJ_P3_TrB_1_pivot</t>
  </si>
  <si>
    <t>Desarrollo: 0,15</t>
  </si>
  <si>
    <t>Mediados: 0,15</t>
  </si>
  <si>
    <t>Inicio: 72,00</t>
  </si>
  <si>
    <t>Desarrollo: 72,00</t>
  </si>
  <si>
    <t>Mediados: 72,00</t>
  </si>
  <si>
    <t>Final: 72,00</t>
  </si>
  <si>
    <t>Desarrollo: 0,10</t>
  </si>
  <si>
    <t>Mediados: 0,10</t>
  </si>
  <si>
    <t>Final: 0,10</t>
  </si>
  <si>
    <t>A partir del 09-01-2015</t>
  </si>
  <si>
    <t>riego/fw</t>
  </si>
  <si>
    <t>riego calculado</t>
  </si>
  <si>
    <t>riego efectivo</t>
  </si>
  <si>
    <t>109h 53m</t>
  </si>
  <si>
    <t>Fecha Aux CSV</t>
  </si>
  <si>
    <t>Biomasa</t>
  </si>
  <si>
    <t>Eto acumulada real</t>
  </si>
  <si>
    <t>Agroasesor</t>
  </si>
  <si>
    <t>Sí</t>
  </si>
  <si>
    <t>AGROASESOR</t>
  </si>
  <si>
    <t>.</t>
  </si>
  <si>
    <t>Máx. de Eto acumulada real</t>
  </si>
  <si>
    <t>Máx. de Biomasa</t>
  </si>
  <si>
    <t>NDVI tipo</t>
  </si>
  <si>
    <t>NDVI tipo i</t>
  </si>
  <si>
    <t>Máx. de NDVI tipo i</t>
  </si>
  <si>
    <t>Eto racum etiquetas</t>
  </si>
  <si>
    <t>BBCH tipo</t>
  </si>
  <si>
    <t>BBCH t.graf</t>
  </si>
  <si>
    <t>Eto tipo gra</t>
  </si>
  <si>
    <t>Eto tipo acum</t>
  </si>
  <si>
    <t>Máx. de BBCH tipo</t>
  </si>
  <si>
    <t>Fenología tipo etiquetas</t>
  </si>
  <si>
    <t>Feno real etiquetas</t>
  </si>
  <si>
    <t>Eto real acum.</t>
  </si>
  <si>
    <t>Fenología real</t>
  </si>
  <si>
    <t>Puño en Rostro 2015</t>
  </si>
  <si>
    <t>Eto acum</t>
  </si>
  <si>
    <t>Eto  real</t>
  </si>
  <si>
    <t>Eto elegida</t>
  </si>
  <si>
    <t>Eto acumulada elegida</t>
  </si>
  <si>
    <t>Eto tipo</t>
  </si>
  <si>
    <t>Máx. de Eto acumulada</t>
  </si>
  <si>
    <t>fecha</t>
  </si>
  <si>
    <t>Fenologia real observada</t>
  </si>
  <si>
    <t>Albacete</t>
  </si>
  <si>
    <t>Urea</t>
  </si>
  <si>
    <t>NDVI CSM</t>
  </si>
  <si>
    <t>Mediados: 28,00</t>
  </si>
  <si>
    <t>14/35,5/12</t>
  </si>
  <si>
    <t>N32</t>
  </si>
  <si>
    <t>Top dressing 3</t>
  </si>
  <si>
    <t>Top dressing 4</t>
  </si>
  <si>
    <t>Top dressing 5</t>
  </si>
  <si>
    <t>Suma de Nl</t>
  </si>
  <si>
    <t/>
  </si>
  <si>
    <t>Tipos de celdas:</t>
  </si>
  <si>
    <t>ENTRADA DE DATOS</t>
  </si>
  <si>
    <t>DATOS CALCULADOS</t>
  </si>
  <si>
    <t>Código de Zona de potencial productivo del suelo</t>
  </si>
  <si>
    <t>Código de Dosis de fertilización</t>
  </si>
  <si>
    <t>Código AUX 1</t>
  </si>
  <si>
    <t>Código AUX 2</t>
  </si>
  <si>
    <t>Código AUX 3</t>
  </si>
  <si>
    <t>Aplicado (1=SI, 0=NO)</t>
  </si>
  <si>
    <t>ENTRADA INFO CODIFICADA AUXILIAR no necesaria para cálculos</t>
  </si>
  <si>
    <t>Nsalida-Nentrada</t>
  </si>
  <si>
    <t>AUXILIARES DE CÁLCULO</t>
  </si>
  <si>
    <t>ExtracR N (kg/día)</t>
  </si>
  <si>
    <r>
      <t>N recom (kg/ha</t>
    </r>
    <r>
      <rPr>
        <sz val="11"/>
        <color theme="1"/>
        <rFont val="Calibri"/>
        <family val="2"/>
        <scheme val="minor"/>
      </rPr>
      <t>)</t>
    </r>
  </si>
  <si>
    <t>ExtracR (% N/día)</t>
  </si>
  <si>
    <t>Extrac. Acc % (N/ Estadio BBCH)</t>
  </si>
  <si>
    <t>Año estandar (CLIMATOLOGÍA)</t>
  </si>
  <si>
    <t>Campaña actual (METEOROLOGÍA)</t>
  </si>
  <si>
    <t>29/02/2015</t>
  </si>
  <si>
    <t>BBCH real et</t>
  </si>
  <si>
    <t>Máx. de BBCH real et</t>
  </si>
  <si>
    <t>Hojas:</t>
  </si>
  <si>
    <t>SALIDA GRÁFICO</t>
  </si>
  <si>
    <t>HOJAS CON INPUTS</t>
  </si>
  <si>
    <t>HOJAS DE PROCESADO Y/O CÁLCULO</t>
  </si>
  <si>
    <t>HOJAS AUXILIARES (no fundametales)</t>
  </si>
  <si>
    <t>HOJAS PIVOTE</t>
  </si>
  <si>
    <t>CALENDARIO DE FERTILIZACIÓN</t>
  </si>
  <si>
    <t>UFN</t>
  </si>
  <si>
    <t>CULTIVO</t>
  </si>
  <si>
    <t>Fecha de siembra</t>
  </si>
  <si>
    <t>Extracciones (kg N/ha)</t>
  </si>
  <si>
    <t>Rdto. Pot. Grano (kg/ha)</t>
  </si>
  <si>
    <t>Extracciones (kg N/t grano)</t>
  </si>
  <si>
    <t>SUELO</t>
  </si>
  <si>
    <t>AGUA DE RIEGO</t>
  </si>
  <si>
    <t>Materia orgánica</t>
  </si>
  <si>
    <r>
      <t>D. Aparente (g/cm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</si>
  <si>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t>Nmin Inicial (ppm)</t>
  </si>
  <si>
    <t>Coef. Mineralización</t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</si>
  <si>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 xml:space="preserve"> extracción raices</t>
    </r>
  </si>
  <si>
    <t>Nitrificación (días post aporte)</t>
  </si>
  <si>
    <t>NITRIFICACIÓN DE LOS APORTES DE N</t>
  </si>
  <si>
    <t>MINERALIZACIÓN</t>
  </si>
  <si>
    <t>Tipo de fertilizante</t>
  </si>
  <si>
    <t>PLANIFICACIÓN Y FERTILIZANTES</t>
  </si>
  <si>
    <t>BALANCE</t>
  </si>
  <si>
    <t>ACUMULADO ENTRE PERIODOS</t>
  </si>
  <si>
    <r>
      <t>[NO</t>
    </r>
    <r>
      <rPr>
        <vertAlign val="subscript"/>
        <sz val="11"/>
        <color theme="1"/>
        <rFont val="Calibri"/>
        <family val="2"/>
        <scheme val="minor"/>
      </rPr>
      <t>3</t>
    </r>
    <r>
      <rPr>
        <vertAlign val="superscript"/>
        <sz val="11"/>
        <color theme="1"/>
        <rFont val="Calibri"/>
        <family val="2"/>
        <scheme val="minor"/>
      </rPr>
      <t>-</t>
    </r>
    <r>
      <rPr>
        <sz val="11"/>
        <color theme="1"/>
        <rFont val="Calibri"/>
        <family val="2"/>
        <scheme val="minor"/>
      </rPr>
      <t>] Agua riego (ppm)</t>
    </r>
  </si>
  <si>
    <t>INTRUCCIONES</t>
  </si>
  <si>
    <t>Trigo Duro</t>
  </si>
  <si>
    <t>IT BBCH 55</t>
  </si>
  <si>
    <t>Fecha Nmin Inicial</t>
  </si>
  <si>
    <t>LT Pivot 02_1 R0 Zh</t>
  </si>
  <si>
    <t>Franca</t>
  </si>
  <si>
    <t>Desarrollo: 54,00</t>
  </si>
  <si>
    <t>Final: 31,00</t>
  </si>
  <si>
    <t>A partir del 22-01-2015</t>
  </si>
  <si>
    <t>Inicio: 59,00</t>
  </si>
  <si>
    <t>2h 23m</t>
  </si>
  <si>
    <t>MANUALES</t>
  </si>
  <si>
    <t>Dia</t>
  </si>
  <si>
    <t>FENOLOGÍA OBS</t>
  </si>
  <si>
    <t>FECHA</t>
  </si>
  <si>
    <t>RESUMEN ESTIMACIONES</t>
  </si>
  <si>
    <t>BIOMASA</t>
  </si>
  <si>
    <t>IT bbch 09</t>
  </si>
  <si>
    <t>EXTRACCIONES (kg N/ha)- INTEGRAL TÉRMICA (ºC día)</t>
  </si>
  <si>
    <t>INDICE DE COSECHA</t>
  </si>
  <si>
    <t>N Uptake</t>
  </si>
  <si>
    <t>ET0 acumulada</t>
  </si>
  <si>
    <t>PREVISIÓN MEJORAS HOJA</t>
  </si>
  <si>
    <t>Duración de ciclo, etc</t>
  </si>
  <si>
    <t>Nmin estimado fin de la campaña</t>
  </si>
  <si>
    <t>¿REGADÍO?</t>
  </si>
  <si>
    <t>SÍ</t>
  </si>
  <si>
    <t>¿CSV RIEGOS AGROASESOR?</t>
  </si>
  <si>
    <t>¿NDVI SPIDER?</t>
  </si>
  <si>
    <t>BOOLEANOS</t>
  </si>
  <si>
    <t xml:space="preserve">1. Pestaña "Inputs": </t>
  </si>
  <si>
    <t>Caracterización: se ajustan/aportan los datos básicos de cultivo, suelo, agua de riego, …</t>
  </si>
  <si>
    <t>Selección de las condiciones de cálculo (orígenes de datos)</t>
  </si>
  <si>
    <t>Definición de la estrategia de fertilización (coberteras, fertilizantes, dosis y eficiencias)</t>
  </si>
  <si>
    <t>Parametrización de mineralización, extracciones, fenología, IT, etc.</t>
  </si>
  <si>
    <t>COPIAR CSV AGROASESOR COMPLETO DESDE LA CELDA "B2" EN ESTA HOJA (y sustituir puntos por comas si es necesario)</t>
  </si>
  <si>
    <t>2. Pestaña "SWB"</t>
  </si>
  <si>
    <t>3. Pestaña "Riego"</t>
  </si>
  <si>
    <t>4. Pestaña "Clima"</t>
  </si>
  <si>
    <t>5. Pestaña "NDVI real"</t>
  </si>
  <si>
    <t>Ajuste de parámetros de cultivo y NDVI si es necesario</t>
  </si>
  <si>
    <t>Introducción de planificación de riegos (si se dispone de ellos)</t>
  </si>
  <si>
    <t>Actualización de los datos meteorológicos del año medio y la campaña actual</t>
  </si>
  <si>
    <t xml:space="preserve">Actualización de NDVI tipo (estimación kc tipo) y real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</si>
</sst>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-* #,##0.00\ _€_-;\-* #,##0.00\ _€_-;_-* &quot;-&quot;??\ _€_-;_-@_-"/>
    <numFmt numFmtId="165" formatCode="dd/mm/yyyy;@"/>
    <numFmt numFmtId="166" formatCode="0.0"/>
    <numFmt numFmtId="167" formatCode="[$-C0A]d\-mmm\-yy;@"/>
    <numFmt numFmtId="168" formatCode="0.0%"/>
    <numFmt numFmtId="169" formatCode="0.000"/>
    <numFmt numFmtId="170" formatCode="0;0"/>
    <numFmt numFmtId="171" formatCode="0.0000"/>
    <numFmt numFmtId="172" formatCode="_-* #,##0.000\ _€_-;\-* #,##0.000\ _€_-;_-* &quot;-&quot;??\ _€_-;_-@_-"/>
    <numFmt numFmtId="173" formatCode="0.000000"/>
    <numFmt numFmtId="174" formatCode="0.00000"/>
    <numFmt numFmtId="175" formatCode="d/mm/yyyy;@"/>
  </numFmts>
  <fonts count="7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sz val="10"/>
      <name val="Arial"/>
      <family val="2"/>
    </font>
    <font>
      <b/>
      <vertAlign val="super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rgb="FFFA7D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FFFF"/>
      <name val="Calibri"/>
      <family val="2"/>
      <scheme val="minor"/>
    </font>
    <font>
      <sz val="10"/>
      <color rgb="FF000000"/>
      <name val="Calibri"/>
      <family val="2"/>
    </font>
    <font>
      <vertAlign val="superscript"/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  <font>
      <vertAlign val="subscript"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name val="Calibri"/>
      <family val="2"/>
      <scheme val="minor"/>
    </font>
    <font>
      <vertAlign val="subscript"/>
      <sz val="11"/>
      <name val="Calibri"/>
      <family val="2"/>
      <scheme val="minor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9"/>
      <name val="Calibri"/>
      <family val="2"/>
      <scheme val="minor"/>
    </font>
    <font>
      <b/>
      <sz val="10"/>
      <name val="Arial"/>
      <family val="2"/>
    </font>
    <font>
      <sz val="8"/>
      <name val="Calibri"/>
      <family val="2"/>
      <scheme val="minor"/>
    </font>
    <font>
      <b/>
      <vertAlign val="subscript"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rgb="FF000000"/>
      <name val="Calibri"/>
      <family val="2"/>
    </font>
    <font>
      <b/>
      <sz val="12"/>
      <color rgb="FFFA7D00"/>
      <name val="Calibri"/>
      <family val="2"/>
      <scheme val="minor"/>
    </font>
    <font>
      <sz val="14"/>
      <color rgb="FFFFFFFF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rgb="FF3F3F76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b/>
      <sz val="9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0"/>
      <color theme="9" tint="0.39997558519241921"/>
      <name val="Calibri"/>
      <family val="2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2"/>
      <color rgb="FF002060"/>
      <name val="Calibri"/>
      <family val="2"/>
      <scheme val="minor"/>
    </font>
    <font>
      <sz val="11"/>
      <color theme="1"/>
      <name val="Calibri"/>
      <family val="1"/>
      <charset val="2"/>
      <scheme val="minor"/>
    </font>
    <font>
      <b/>
      <sz val="11"/>
      <color rgb="FF9C5700"/>
      <name val="Calibri"/>
      <family val="2"/>
      <scheme val="minor"/>
    </font>
    <font>
      <b/>
      <sz val="11"/>
      <color theme="9" tint="0.39997558519241921"/>
      <name val="Calibri"/>
      <family val="2"/>
      <scheme val="minor"/>
    </font>
    <font>
      <sz val="8"/>
      <name val="Calibri"/>
      <family val="2"/>
    </font>
    <font>
      <sz val="8"/>
      <color rgb="FF0061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92D050"/>
      <name val="Calibri"/>
      <family val="2"/>
      <scheme val="minor"/>
    </font>
    <font>
      <sz val="10"/>
      <name val="Calibri"/>
      <family val="2"/>
      <scheme val="minor"/>
    </font>
    <font>
      <b/>
      <sz val="11"/>
      <color rgb="FFFF0000"/>
      <name val="Arial"/>
      <family val="2"/>
    </font>
    <font>
      <sz val="11"/>
      <name val="Arial"/>
      <family val="2"/>
    </font>
  </fonts>
  <fills count="6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A03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9933CC"/>
        <bgColor indexed="64"/>
      </patternFill>
    </fill>
    <fill>
      <patternFill patternType="solid">
        <fgColor rgb="FF3399CC"/>
        <bgColor indexed="64"/>
      </patternFill>
    </fill>
    <fill>
      <patternFill patternType="solid">
        <fgColor rgb="FF33CC99"/>
        <bgColor indexed="64"/>
      </patternFill>
    </fill>
    <fill>
      <patternFill patternType="solid">
        <fgColor rgb="FFCC9933"/>
        <bgColor indexed="64"/>
      </patternFill>
    </fill>
    <fill>
      <patternFill patternType="solid">
        <fgColor rgb="FF99CC33"/>
        <bgColor indexed="64"/>
      </patternFill>
    </fill>
    <fill>
      <patternFill patternType="solid">
        <fgColor rgb="FFCC3399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EFDE5"/>
        <bgColor indexed="64"/>
      </patternFill>
    </fill>
  </fills>
  <borders count="6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ck">
        <color auto="1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/>
      <right style="thin">
        <color rgb="FF7F7F7F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</borders>
  <cellStyleXfs count="49">
    <xf numFmtId="167" fontId="0" fillId="0" borderId="0"/>
    <xf numFmtId="167" fontId="3" fillId="0" borderId="0"/>
    <xf numFmtId="167" fontId="4" fillId="2" borderId="1" applyNumberFormat="0" applyAlignment="0" applyProtection="0"/>
    <xf numFmtId="167" fontId="5" fillId="3" borderId="1" applyNumberFormat="0" applyAlignment="0" applyProtection="0"/>
    <xf numFmtId="9" fontId="1" fillId="0" borderId="0" applyFont="0" applyFill="0" applyBorder="0" applyAlignment="0" applyProtection="0"/>
    <xf numFmtId="167" fontId="11" fillId="0" borderId="0"/>
    <xf numFmtId="167" fontId="14" fillId="0" borderId="36" applyNumberFormat="0" applyFill="0" applyAlignment="0" applyProtection="0"/>
    <xf numFmtId="167" fontId="23" fillId="3" borderId="37" applyNumberFormat="0" applyAlignment="0" applyProtection="0"/>
    <xf numFmtId="167" fontId="26" fillId="0" borderId="0" applyNumberFormat="0" applyFill="0" applyBorder="0" applyAlignment="0" applyProtection="0"/>
    <xf numFmtId="167" fontId="27" fillId="0" borderId="38" applyNumberFormat="0" applyFill="0" applyAlignment="0" applyProtection="0"/>
    <xf numFmtId="167" fontId="28" fillId="0" borderId="39" applyNumberFormat="0" applyFill="0" applyAlignment="0" applyProtection="0"/>
    <xf numFmtId="167" fontId="29" fillId="0" borderId="40" applyNumberFormat="0" applyFill="0" applyAlignment="0" applyProtection="0"/>
    <xf numFmtId="167" fontId="29" fillId="0" borderId="0" applyNumberFormat="0" applyFill="0" applyBorder="0" applyAlignment="0" applyProtection="0"/>
    <xf numFmtId="167" fontId="30" fillId="19" borderId="0" applyNumberFormat="0" applyBorder="0" applyAlignment="0" applyProtection="0"/>
    <xf numFmtId="167" fontId="31" fillId="20" borderId="0" applyNumberFormat="0" applyBorder="0" applyAlignment="0" applyProtection="0"/>
    <xf numFmtId="167" fontId="32" fillId="21" borderId="0" applyNumberFormat="0" applyBorder="0" applyAlignment="0" applyProtection="0"/>
    <xf numFmtId="167" fontId="24" fillId="22" borderId="41" applyNumberFormat="0" applyAlignment="0" applyProtection="0"/>
    <xf numFmtId="167" fontId="33" fillId="0" borderId="0" applyNumberFormat="0" applyFill="0" applyBorder="0" applyAlignment="0" applyProtection="0"/>
    <xf numFmtId="167" fontId="1" fillId="23" borderId="42" applyNumberFormat="0" applyFont="0" applyAlignment="0" applyProtection="0"/>
    <xf numFmtId="167" fontId="34" fillId="0" borderId="0" applyNumberFormat="0" applyFill="0" applyBorder="0" applyAlignment="0" applyProtection="0"/>
    <xf numFmtId="167" fontId="2" fillId="0" borderId="43" applyNumberFormat="0" applyFill="0" applyAlignment="0" applyProtection="0"/>
    <xf numFmtId="167" fontId="9" fillId="24" borderId="0" applyNumberFormat="0" applyBorder="0" applyAlignment="0" applyProtection="0"/>
    <xf numFmtId="167" fontId="1" fillId="25" borderId="0" applyNumberFormat="0" applyBorder="0" applyAlignment="0" applyProtection="0"/>
    <xf numFmtId="167" fontId="1" fillId="26" borderId="0" applyNumberFormat="0" applyBorder="0" applyAlignment="0" applyProtection="0"/>
    <xf numFmtId="167" fontId="1" fillId="27" borderId="0" applyNumberFormat="0" applyBorder="0" applyAlignment="0" applyProtection="0"/>
    <xf numFmtId="167" fontId="9" fillId="28" borderId="0" applyNumberFormat="0" applyBorder="0" applyAlignment="0" applyProtection="0"/>
    <xf numFmtId="167" fontId="1" fillId="29" borderId="0" applyNumberFormat="0" applyBorder="0" applyAlignment="0" applyProtection="0"/>
    <xf numFmtId="167" fontId="1" fillId="30" borderId="0" applyNumberFormat="0" applyBorder="0" applyAlignment="0" applyProtection="0"/>
    <xf numFmtId="167" fontId="1" fillId="31" borderId="0" applyNumberFormat="0" applyBorder="0" applyAlignment="0" applyProtection="0"/>
    <xf numFmtId="167" fontId="9" fillId="32" borderId="0" applyNumberFormat="0" applyBorder="0" applyAlignment="0" applyProtection="0"/>
    <xf numFmtId="167" fontId="1" fillId="33" borderId="0" applyNumberFormat="0" applyBorder="0" applyAlignment="0" applyProtection="0"/>
    <xf numFmtId="167" fontId="1" fillId="34" borderId="0" applyNumberFormat="0" applyBorder="0" applyAlignment="0" applyProtection="0"/>
    <xf numFmtId="167" fontId="1" fillId="35" borderId="0" applyNumberFormat="0" applyBorder="0" applyAlignment="0" applyProtection="0"/>
    <xf numFmtId="167" fontId="9" fillId="36" borderId="0" applyNumberFormat="0" applyBorder="0" applyAlignment="0" applyProtection="0"/>
    <xf numFmtId="167" fontId="1" fillId="37" borderId="0" applyNumberFormat="0" applyBorder="0" applyAlignment="0" applyProtection="0"/>
    <xf numFmtId="167" fontId="1" fillId="38" borderId="0" applyNumberFormat="0" applyBorder="0" applyAlignment="0" applyProtection="0"/>
    <xf numFmtId="167" fontId="1" fillId="39" borderId="0" applyNumberFormat="0" applyBorder="0" applyAlignment="0" applyProtection="0"/>
    <xf numFmtId="167" fontId="9" fillId="40" borderId="0" applyNumberFormat="0" applyBorder="0" applyAlignment="0" applyProtection="0"/>
    <xf numFmtId="167" fontId="1" fillId="41" borderId="0" applyNumberFormat="0" applyBorder="0" applyAlignment="0" applyProtection="0"/>
    <xf numFmtId="167" fontId="1" fillId="42" borderId="0" applyNumberFormat="0" applyBorder="0" applyAlignment="0" applyProtection="0"/>
    <xf numFmtId="167" fontId="1" fillId="43" borderId="0" applyNumberFormat="0" applyBorder="0" applyAlignment="0" applyProtection="0"/>
    <xf numFmtId="167" fontId="9" fillId="44" borderId="0" applyNumberFormat="0" applyBorder="0" applyAlignment="0" applyProtection="0"/>
    <xf numFmtId="167" fontId="1" fillId="45" borderId="0" applyNumberFormat="0" applyBorder="0" applyAlignment="0" applyProtection="0"/>
    <xf numFmtId="167" fontId="1" fillId="46" borderId="0" applyNumberFormat="0" applyBorder="0" applyAlignment="0" applyProtection="0"/>
    <xf numFmtId="167" fontId="1" fillId="47" borderId="0" applyNumberFormat="0" applyBorder="0" applyAlignment="0" applyProtection="0"/>
    <xf numFmtId="167" fontId="48" fillId="0" borderId="0"/>
    <xf numFmtId="164" fontId="1" fillId="0" borderId="0" applyFont="0" applyFill="0" applyBorder="0" applyAlignment="0" applyProtection="0"/>
    <xf numFmtId="0" fontId="48" fillId="0" borderId="0"/>
    <xf numFmtId="0" fontId="48" fillId="0" borderId="0"/>
  </cellStyleXfs>
  <cellXfs count="582">
    <xf numFmtId="167" fontId="0" fillId="0" borderId="0" xfId="0"/>
    <xf numFmtId="167" fontId="0" fillId="0" borderId="0" xfId="0" applyBorder="1"/>
    <xf numFmtId="167" fontId="4" fillId="2" borderId="1" xfId="2"/>
    <xf numFmtId="166" fontId="5" fillId="3" borderId="1" xfId="3" applyNumberFormat="1"/>
    <xf numFmtId="9" fontId="0" fillId="0" borderId="0" xfId="0" applyNumberFormat="1"/>
    <xf numFmtId="167" fontId="0" fillId="0" borderId="0" xfId="0"/>
    <xf numFmtId="166" fontId="0" fillId="0" borderId="0" xfId="0" applyNumberFormat="1"/>
    <xf numFmtId="1" fontId="0" fillId="0" borderId="0" xfId="0" applyNumberFormat="1"/>
    <xf numFmtId="14" fontId="4" fillId="2" borderId="1" xfId="2" applyNumberFormat="1"/>
    <xf numFmtId="166" fontId="2" fillId="0" borderId="14" xfId="0" applyNumberFormat="1" applyFont="1" applyBorder="1" applyAlignment="1">
      <alignment horizontal="center"/>
    </xf>
    <xf numFmtId="1" fontId="2" fillId="0" borderId="14" xfId="0" applyNumberFormat="1" applyFont="1" applyBorder="1" applyAlignment="1">
      <alignment horizontal="center"/>
    </xf>
    <xf numFmtId="1" fontId="2" fillId="0" borderId="16" xfId="0" quotePrefix="1" applyNumberFormat="1" applyFont="1" applyBorder="1" applyAlignment="1">
      <alignment horizontal="center"/>
    </xf>
    <xf numFmtId="9" fontId="0" fillId="0" borderId="0" xfId="4" applyFont="1"/>
    <xf numFmtId="14" fontId="0" fillId="4" borderId="0" xfId="0" applyNumberFormat="1" applyFill="1" applyAlignment="1">
      <alignment wrapText="1"/>
    </xf>
    <xf numFmtId="167" fontId="0" fillId="4" borderId="0" xfId="0" applyFill="1" applyAlignment="1">
      <alignment wrapText="1"/>
    </xf>
    <xf numFmtId="167" fontId="0" fillId="4" borderId="0" xfId="0" applyFill="1" applyAlignment="1">
      <alignment horizontal="center" wrapText="1"/>
    </xf>
    <xf numFmtId="9" fontId="0" fillId="4" borderId="0" xfId="4" applyFont="1" applyFill="1" applyAlignment="1">
      <alignment horizontal="center" wrapText="1"/>
    </xf>
    <xf numFmtId="167" fontId="0" fillId="0" borderId="0" xfId="0" applyAlignment="1">
      <alignment wrapText="1"/>
    </xf>
    <xf numFmtId="166" fontId="0" fillId="4" borderId="0" xfId="4" applyNumberFormat="1" applyFont="1" applyFill="1" applyAlignment="1">
      <alignment horizontal="center" wrapText="1"/>
    </xf>
    <xf numFmtId="167" fontId="0" fillId="0" borderId="18" xfId="0" applyBorder="1"/>
    <xf numFmtId="166" fontId="2" fillId="0" borderId="21" xfId="0" applyNumberFormat="1" applyFont="1" applyBorder="1" applyAlignment="1">
      <alignment horizontal="center"/>
    </xf>
    <xf numFmtId="166" fontId="2" fillId="0" borderId="23" xfId="0" applyNumberFormat="1" applyFon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167" fontId="0" fillId="0" borderId="0" xfId="0" applyBorder="1" applyAlignment="1">
      <alignment horizontal="center"/>
    </xf>
    <xf numFmtId="167" fontId="0" fillId="0" borderId="26" xfId="0" applyBorder="1"/>
    <xf numFmtId="167" fontId="0" fillId="0" borderId="26" xfId="0" applyBorder="1" applyAlignment="1">
      <alignment horizontal="center"/>
    </xf>
    <xf numFmtId="166" fontId="2" fillId="0" borderId="28" xfId="0" applyNumberFormat="1" applyFont="1" applyBorder="1" applyAlignment="1">
      <alignment horizontal="center"/>
    </xf>
    <xf numFmtId="1" fontId="2" fillId="0" borderId="28" xfId="0" quotePrefix="1" applyNumberFormat="1" applyFont="1" applyBorder="1" applyAlignment="1">
      <alignment horizontal="center"/>
    </xf>
    <xf numFmtId="1" fontId="2" fillId="0" borderId="29" xfId="0" quotePrefix="1" applyNumberFormat="1" applyFont="1" applyBorder="1" applyAlignment="1">
      <alignment horizontal="center"/>
    </xf>
    <xf numFmtId="1" fontId="0" fillId="0" borderId="18" xfId="0" applyNumberFormat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166" fontId="2" fillId="0" borderId="33" xfId="0" applyNumberFormat="1" applyFont="1" applyBorder="1" applyAlignment="1">
      <alignment horizontal="center"/>
    </xf>
    <xf numFmtId="167" fontId="0" fillId="0" borderId="24" xfId="0" applyBorder="1"/>
    <xf numFmtId="167" fontId="0" fillId="0" borderId="27" xfId="0" applyBorder="1"/>
    <xf numFmtId="166" fontId="2" fillId="0" borderId="35" xfId="0" applyNumberFormat="1" applyFont="1" applyBorder="1" applyAlignment="1">
      <alignment horizontal="center"/>
    </xf>
    <xf numFmtId="167" fontId="2" fillId="0" borderId="0" xfId="0" applyFont="1" applyAlignment="1">
      <alignment horizontal="center" textRotation="90" wrapText="1"/>
    </xf>
    <xf numFmtId="1" fontId="2" fillId="0" borderId="0" xfId="0" applyNumberFormat="1" applyFont="1" applyAlignment="1">
      <alignment horizontal="center" textRotation="90" wrapText="1"/>
    </xf>
    <xf numFmtId="167" fontId="2" fillId="0" borderId="0" xfId="0" applyFont="1"/>
    <xf numFmtId="166" fontId="0" fillId="0" borderId="0" xfId="0" applyNumberFormat="1" applyAlignment="1">
      <alignment horizontal="center" wrapText="1"/>
    </xf>
    <xf numFmtId="166" fontId="0" fillId="0" borderId="0" xfId="0" applyNumberFormat="1" applyAlignment="1">
      <alignment wrapText="1"/>
    </xf>
    <xf numFmtId="10" fontId="10" fillId="0" borderId="0" xfId="0" applyNumberFormat="1" applyFont="1"/>
    <xf numFmtId="166" fontId="10" fillId="0" borderId="0" xfId="0" applyNumberFormat="1" applyFont="1"/>
    <xf numFmtId="3" fontId="5" fillId="3" borderId="1" xfId="3" applyNumberFormat="1"/>
    <xf numFmtId="14" fontId="0" fillId="0" borderId="0" xfId="0" applyNumberFormat="1" applyAlignment="1">
      <alignment horizontal="center" wrapText="1"/>
    </xf>
    <xf numFmtId="9" fontId="0" fillId="5" borderId="0" xfId="4" applyFont="1" applyFill="1"/>
    <xf numFmtId="10" fontId="10" fillId="5" borderId="0" xfId="0" applyNumberFormat="1" applyFont="1" applyFill="1"/>
    <xf numFmtId="166" fontId="10" fillId="5" borderId="0" xfId="0" applyNumberFormat="1" applyFont="1" applyFill="1"/>
    <xf numFmtId="168" fontId="10" fillId="0" borderId="0" xfId="0" applyNumberFormat="1" applyFont="1"/>
    <xf numFmtId="168" fontId="10" fillId="5" borderId="0" xfId="0" applyNumberFormat="1" applyFont="1" applyFill="1"/>
    <xf numFmtId="167" fontId="16" fillId="7" borderId="0" xfId="0" applyFont="1" applyFill="1" applyAlignment="1">
      <alignment wrapText="1"/>
    </xf>
    <xf numFmtId="167" fontId="16" fillId="8" borderId="0" xfId="0" applyFont="1" applyFill="1" applyAlignment="1">
      <alignment wrapText="1"/>
    </xf>
    <xf numFmtId="167" fontId="16" fillId="9" borderId="0" xfId="0" applyFont="1" applyFill="1" applyAlignment="1">
      <alignment wrapText="1"/>
    </xf>
    <xf numFmtId="167" fontId="16" fillId="10" borderId="0" xfId="0" applyFont="1" applyFill="1" applyAlignment="1">
      <alignment wrapText="1"/>
    </xf>
    <xf numFmtId="167" fontId="16" fillId="11" borderId="0" xfId="0" applyFont="1" applyFill="1" applyAlignment="1">
      <alignment wrapText="1"/>
    </xf>
    <xf numFmtId="167" fontId="16" fillId="12" borderId="0" xfId="0" applyFont="1" applyFill="1" applyAlignment="1">
      <alignment wrapText="1"/>
    </xf>
    <xf numFmtId="167" fontId="16" fillId="13" borderId="0" xfId="0" applyFont="1" applyFill="1" applyAlignment="1">
      <alignment wrapText="1"/>
    </xf>
    <xf numFmtId="167" fontId="16" fillId="14" borderId="0" xfId="0" applyFont="1" applyFill="1" applyAlignment="1">
      <alignment wrapText="1"/>
    </xf>
    <xf numFmtId="167" fontId="16" fillId="15" borderId="0" xfId="0" applyFont="1" applyFill="1" applyAlignment="1">
      <alignment wrapText="1"/>
    </xf>
    <xf numFmtId="167" fontId="16" fillId="16" borderId="0" xfId="0" applyFont="1" applyFill="1" applyAlignment="1">
      <alignment wrapText="1"/>
    </xf>
    <xf numFmtId="167" fontId="0" fillId="0" borderId="0" xfId="0" applyFont="1" applyAlignment="1"/>
    <xf numFmtId="169" fontId="0" fillId="0" borderId="0" xfId="0" applyNumberFormat="1"/>
    <xf numFmtId="167" fontId="5" fillId="3" borderId="1" xfId="3"/>
    <xf numFmtId="1" fontId="0" fillId="0" borderId="0" xfId="0" applyNumberFormat="1"/>
    <xf numFmtId="167" fontId="0" fillId="0" borderId="0" xfId="0" applyAlignment="1">
      <alignment wrapText="1"/>
    </xf>
    <xf numFmtId="167" fontId="0" fillId="0" borderId="0" xfId="0" applyNumberFormat="1"/>
    <xf numFmtId="14" fontId="15" fillId="17" borderId="0" xfId="0" applyNumberFormat="1" applyFont="1" applyFill="1" applyAlignment="1">
      <alignment wrapText="1"/>
    </xf>
    <xf numFmtId="4" fontId="15" fillId="6" borderId="0" xfId="0" applyNumberFormat="1" applyFont="1" applyFill="1" applyAlignment="1">
      <alignment wrapText="1"/>
    </xf>
    <xf numFmtId="167" fontId="0" fillId="0" borderId="0" xfId="0"/>
    <xf numFmtId="14" fontId="0" fillId="0" borderId="0" xfId="0" applyNumberFormat="1"/>
    <xf numFmtId="167" fontId="3" fillId="0" borderId="0" xfId="1"/>
    <xf numFmtId="167" fontId="0" fillId="0" borderId="0" xfId="0" applyAlignment="1">
      <alignment horizontal="center" vertical="center"/>
    </xf>
    <xf numFmtId="14" fontId="48" fillId="0" borderId="0" xfId="45" applyNumberFormat="1"/>
    <xf numFmtId="2" fontId="3" fillId="0" borderId="0" xfId="1" applyNumberFormat="1"/>
    <xf numFmtId="167" fontId="15" fillId="0" borderId="0" xfId="0" applyFont="1" applyAlignment="1">
      <alignment wrapText="1"/>
    </xf>
    <xf numFmtId="172" fontId="0" fillId="0" borderId="0" xfId="46" applyNumberFormat="1" applyFont="1"/>
    <xf numFmtId="167" fontId="5" fillId="3" borderId="1" xfId="3" applyAlignment="1"/>
    <xf numFmtId="167" fontId="49" fillId="3" borderId="1" xfId="3" applyFont="1" applyAlignment="1">
      <alignment horizontal="center"/>
    </xf>
    <xf numFmtId="169" fontId="23" fillId="3" borderId="37" xfId="7" applyNumberFormat="1"/>
    <xf numFmtId="171" fontId="23" fillId="3" borderId="37" xfId="7" applyNumberFormat="1"/>
    <xf numFmtId="167" fontId="30" fillId="19" borderId="0" xfId="13" applyAlignment="1">
      <alignment vertical="center"/>
    </xf>
    <xf numFmtId="169" fontId="0" fillId="0" borderId="0" xfId="0" applyNumberFormat="1" applyFont="1" applyAlignment="1">
      <alignment horizontal="center"/>
    </xf>
    <xf numFmtId="171" fontId="0" fillId="0" borderId="0" xfId="0" applyNumberFormat="1" applyFont="1" applyAlignment="1">
      <alignment horizontal="center"/>
    </xf>
    <xf numFmtId="167" fontId="16" fillId="8" borderId="0" xfId="0" applyFont="1" applyFill="1" applyAlignment="1">
      <alignment vertical="center" wrapText="1"/>
    </xf>
    <xf numFmtId="167" fontId="16" fillId="9" borderId="0" xfId="0" applyFont="1" applyFill="1" applyAlignment="1">
      <alignment vertical="center" wrapText="1"/>
    </xf>
    <xf numFmtId="167" fontId="16" fillId="10" borderId="0" xfId="0" applyFont="1" applyFill="1" applyAlignment="1">
      <alignment vertical="center" wrapText="1"/>
    </xf>
    <xf numFmtId="167" fontId="16" fillId="11" borderId="0" xfId="0" applyFont="1" applyFill="1" applyAlignment="1">
      <alignment vertical="center" wrapText="1"/>
    </xf>
    <xf numFmtId="167" fontId="16" fillId="12" borderId="0" xfId="0" applyFont="1" applyFill="1" applyAlignment="1">
      <alignment vertical="center" wrapText="1"/>
    </xf>
    <xf numFmtId="167" fontId="16" fillId="13" borderId="0" xfId="0" applyFont="1" applyFill="1" applyAlignment="1">
      <alignment vertical="center" wrapText="1"/>
    </xf>
    <xf numFmtId="167" fontId="16" fillId="14" borderId="0" xfId="0" applyFont="1" applyFill="1" applyAlignment="1">
      <alignment vertical="center" wrapText="1"/>
    </xf>
    <xf numFmtId="167" fontId="16" fillId="15" borderId="0" xfId="0" applyFont="1" applyFill="1" applyAlignment="1">
      <alignment vertical="center" wrapText="1"/>
    </xf>
    <xf numFmtId="167" fontId="16" fillId="16" borderId="0" xfId="0" applyFont="1" applyFill="1" applyAlignment="1">
      <alignment vertical="center" wrapText="1"/>
    </xf>
    <xf numFmtId="171" fontId="15" fillId="0" borderId="0" xfId="0" applyNumberFormat="1" applyFont="1" applyAlignment="1">
      <alignment horizontal="center" wrapText="1"/>
    </xf>
    <xf numFmtId="171" fontId="0" fillId="0" borderId="0" xfId="0" applyNumberFormat="1" applyAlignment="1">
      <alignment horizontal="center" wrapText="1"/>
    </xf>
    <xf numFmtId="167" fontId="15" fillId="0" borderId="0" xfId="0" applyFont="1" applyAlignment="1">
      <alignment horizontal="right" wrapText="1"/>
    </xf>
    <xf numFmtId="167" fontId="50" fillId="7" borderId="0" xfId="0" applyFont="1" applyFill="1" applyAlignment="1">
      <alignment horizontal="center" vertical="center" wrapText="1"/>
    </xf>
    <xf numFmtId="167" fontId="0" fillId="0" borderId="0" xfId="0" applyFont="1" applyFill="1" applyBorder="1" applyAlignment="1"/>
    <xf numFmtId="167" fontId="51" fillId="0" borderId="0" xfId="0" applyFont="1"/>
    <xf numFmtId="173" fontId="23" fillId="3" borderId="37" xfId="7" applyNumberFormat="1"/>
    <xf numFmtId="167" fontId="48" fillId="0" borderId="0" xfId="45"/>
    <xf numFmtId="167" fontId="0" fillId="0" borderId="0" xfId="0" applyFill="1"/>
    <xf numFmtId="167" fontId="0" fillId="0" borderId="0" xfId="0"/>
    <xf numFmtId="166" fontId="0" fillId="0" borderId="0" xfId="0" applyNumberFormat="1"/>
    <xf numFmtId="167" fontId="0" fillId="0" borderId="0" xfId="0" applyNumberFormat="1"/>
    <xf numFmtId="14" fontId="15" fillId="17" borderId="0" xfId="0" applyNumberFormat="1" applyFont="1" applyFill="1" applyAlignment="1">
      <alignment wrapText="1"/>
    </xf>
    <xf numFmtId="14" fontId="0" fillId="0" borderId="0" xfId="0" applyNumberFormat="1" applyFill="1"/>
    <xf numFmtId="14" fontId="0" fillId="0" borderId="0" xfId="0" applyNumberFormat="1" applyAlignment="1">
      <alignment horizontal="center" vertical="center"/>
    </xf>
    <xf numFmtId="167" fontId="52" fillId="0" borderId="0" xfId="0" applyFont="1" applyAlignment="1">
      <alignment horizontal="center" vertical="center"/>
    </xf>
    <xf numFmtId="14" fontId="5" fillId="3" borderId="1" xfId="3" applyNumberFormat="1" applyAlignment="1">
      <alignment horizontal="center" vertical="center"/>
    </xf>
    <xf numFmtId="167" fontId="5" fillId="3" borderId="1" xfId="3" applyAlignment="1">
      <alignment horizontal="center" vertical="center"/>
    </xf>
    <xf numFmtId="167" fontId="5" fillId="3" borderId="1" xfId="3" applyNumberFormat="1"/>
    <xf numFmtId="167" fontId="3" fillId="0" borderId="0" xfId="1" applyFill="1"/>
    <xf numFmtId="2" fontId="3" fillId="0" borderId="0" xfId="1" applyNumberFormat="1" applyFill="1"/>
    <xf numFmtId="2" fontId="0" fillId="0" borderId="0" xfId="0" applyNumberFormat="1" applyFill="1"/>
    <xf numFmtId="167" fontId="0" fillId="0" borderId="0" xfId="0" applyFill="1" applyAlignment="1">
      <alignment horizontal="center" vertical="center"/>
    </xf>
    <xf numFmtId="14" fontId="5" fillId="3" borderId="1" xfId="3" applyNumberFormat="1"/>
    <xf numFmtId="0" fontId="0" fillId="0" borderId="0" xfId="0" applyNumberFormat="1"/>
    <xf numFmtId="0" fontId="0" fillId="5" borderId="0" xfId="0" applyNumberFormat="1" applyFill="1"/>
    <xf numFmtId="0" fontId="54" fillId="0" borderId="0" xfId="0" applyNumberFormat="1" applyFont="1"/>
    <xf numFmtId="0" fontId="0" fillId="0" borderId="0" xfId="0" applyNumberFormat="1" applyAlignment="1">
      <alignment horizontal="center" wrapText="1"/>
    </xf>
    <xf numFmtId="0" fontId="4" fillId="2" borderId="1" xfId="2" applyNumberFormat="1"/>
    <xf numFmtId="0" fontId="2" fillId="0" borderId="0" xfId="0" applyNumberFormat="1" applyFont="1"/>
    <xf numFmtId="0" fontId="5" fillId="3" borderId="1" xfId="3" applyNumberFormat="1"/>
    <xf numFmtId="0" fontId="0" fillId="0" borderId="0" xfId="0" applyNumberFormat="1" applyBorder="1"/>
    <xf numFmtId="0" fontId="0" fillId="0" borderId="5" xfId="0" applyNumberFormat="1" applyBorder="1"/>
    <xf numFmtId="0" fontId="0" fillId="0" borderId="6" xfId="0" applyNumberFormat="1" applyBorder="1"/>
    <xf numFmtId="0" fontId="0" fillId="0" borderId="0" xfId="0" applyNumberFormat="1" applyFill="1" applyBorder="1"/>
    <xf numFmtId="0" fontId="0" fillId="0" borderId="7" xfId="0" applyNumberFormat="1" applyBorder="1"/>
    <xf numFmtId="0" fontId="0" fillId="0" borderId="8" xfId="0" applyNumberFormat="1" applyBorder="1"/>
    <xf numFmtId="0" fontId="0" fillId="0" borderId="9" xfId="0" applyNumberFormat="1" applyBorder="1"/>
    <xf numFmtId="0" fontId="0" fillId="0" borderId="11" xfId="0" applyNumberFormat="1" applyBorder="1"/>
    <xf numFmtId="0" fontId="0" fillId="0" borderId="12" xfId="0" applyNumberFormat="1" applyBorder="1" applyAlignment="1">
      <alignment horizontal="center"/>
    </xf>
    <xf numFmtId="0" fontId="0" fillId="0" borderId="12" xfId="0" applyNumberFormat="1" applyBorder="1"/>
    <xf numFmtId="0" fontId="0" fillId="0" borderId="13" xfId="0" applyNumberFormat="1" applyBorder="1"/>
    <xf numFmtId="0" fontId="0" fillId="0" borderId="3" xfId="0" applyNumberFormat="1" applyBorder="1"/>
    <xf numFmtId="0" fontId="0" fillId="0" borderId="4" xfId="0" applyNumberFormat="1" applyBorder="1"/>
    <xf numFmtId="0" fontId="0" fillId="0" borderId="0" xfId="0" applyNumberFormat="1" applyFill="1"/>
    <xf numFmtId="0" fontId="15" fillId="0" borderId="0" xfId="0" applyNumberFormat="1" applyFont="1" applyFill="1" applyAlignment="1">
      <alignment wrapText="1"/>
    </xf>
    <xf numFmtId="0" fontId="16" fillId="0" borderId="0" xfId="0" applyNumberFormat="1" applyFont="1" applyFill="1" applyAlignment="1">
      <alignment wrapText="1"/>
    </xf>
    <xf numFmtId="0" fontId="0" fillId="0" borderId="0" xfId="0" applyNumberFormat="1" applyFont="1" applyFill="1" applyAlignment="1"/>
    <xf numFmtId="0" fontId="0" fillId="0" borderId="0" xfId="0" applyNumberFormat="1" applyFont="1" applyFill="1"/>
    <xf numFmtId="0" fontId="0" fillId="0" borderId="0" xfId="0" applyNumberFormat="1" applyFill="1" applyAlignment="1">
      <alignment wrapText="1"/>
    </xf>
    <xf numFmtId="0" fontId="0" fillId="0" borderId="0" xfId="0" pivotButton="1" applyNumberFormat="1"/>
    <xf numFmtId="0" fontId="0" fillId="0" borderId="0" xfId="0" applyNumberFormat="1" applyAlignment="1">
      <alignment horizontal="left"/>
    </xf>
    <xf numFmtId="0" fontId="25" fillId="0" borderId="0" xfId="5" applyNumberFormat="1" applyFont="1" applyFill="1"/>
    <xf numFmtId="0" fontId="25" fillId="0" borderId="0" xfId="5" applyNumberFormat="1" applyFont="1"/>
    <xf numFmtId="0" fontId="35" fillId="0" borderId="0" xfId="5" applyNumberFormat="1" applyFont="1"/>
    <xf numFmtId="0" fontId="25" fillId="0" borderId="0" xfId="5" applyNumberFormat="1" applyFont="1" applyAlignment="1">
      <alignment horizontal="center" vertical="center"/>
    </xf>
    <xf numFmtId="0" fontId="35" fillId="0" borderId="0" xfId="5" applyNumberFormat="1" applyFont="1" applyBorder="1"/>
    <xf numFmtId="0" fontId="25" fillId="0" borderId="0" xfId="5" applyNumberFormat="1" applyFont="1" applyBorder="1"/>
    <xf numFmtId="0" fontId="25" fillId="0" borderId="8" xfId="5" applyNumberFormat="1" applyFont="1" applyBorder="1"/>
    <xf numFmtId="0" fontId="16" fillId="8" borderId="0" xfId="0" applyNumberFormat="1" applyFont="1" applyFill="1" applyAlignment="1">
      <alignment wrapText="1"/>
    </xf>
    <xf numFmtId="0" fontId="36" fillId="0" borderId="0" xfId="5" applyNumberFormat="1" applyFont="1"/>
    <xf numFmtId="0" fontId="25" fillId="0" borderId="0" xfId="5" applyNumberFormat="1" applyFont="1" applyFill="1" applyBorder="1" applyAlignment="1"/>
    <xf numFmtId="0" fontId="37" fillId="0" borderId="0" xfId="5" applyNumberFormat="1" applyFont="1" applyBorder="1" applyAlignment="1">
      <alignment horizontal="center"/>
    </xf>
    <xf numFmtId="0" fontId="25" fillId="48" borderId="0" xfId="5" applyNumberFormat="1" applyFont="1" applyFill="1" applyBorder="1"/>
    <xf numFmtId="0" fontId="25" fillId="0" borderId="0" xfId="5" applyNumberFormat="1" applyFont="1" applyFill="1" applyBorder="1"/>
    <xf numFmtId="0" fontId="25" fillId="48" borderId="0" xfId="5" applyNumberFormat="1" applyFont="1" applyFill="1" applyAlignment="1">
      <alignment horizontal="right"/>
    </xf>
    <xf numFmtId="0" fontId="25" fillId="0" borderId="6" xfId="5" applyNumberFormat="1" applyFont="1" applyBorder="1"/>
    <xf numFmtId="0" fontId="25" fillId="48" borderId="10" xfId="5" applyNumberFormat="1" applyFont="1" applyFill="1" applyBorder="1"/>
    <xf numFmtId="0" fontId="25" fillId="48" borderId="14" xfId="5" applyNumberFormat="1" applyFont="1" applyFill="1" applyBorder="1"/>
    <xf numFmtId="0" fontId="25" fillId="0" borderId="13" xfId="5" applyNumberFormat="1" applyFont="1" applyBorder="1" applyAlignment="1">
      <alignment horizontal="left"/>
    </xf>
    <xf numFmtId="0" fontId="25" fillId="48" borderId="15" xfId="5" applyNumberFormat="1" applyFont="1" applyFill="1" applyBorder="1"/>
    <xf numFmtId="0" fontId="25" fillId="48" borderId="16" xfId="5" applyNumberFormat="1" applyFont="1" applyFill="1" applyBorder="1"/>
    <xf numFmtId="0" fontId="25" fillId="0" borderId="0" xfId="5" applyNumberFormat="1" applyFont="1" applyAlignment="1">
      <alignment horizontal="centerContinuous"/>
    </xf>
    <xf numFmtId="0" fontId="25" fillId="0" borderId="10" xfId="5" applyNumberFormat="1" applyFont="1" applyBorder="1" applyAlignment="1">
      <alignment horizontal="left"/>
    </xf>
    <xf numFmtId="0" fontId="39" fillId="0" borderId="44" xfId="0" applyNumberFormat="1" applyFont="1" applyBorder="1" applyAlignment="1"/>
    <xf numFmtId="0" fontId="0" fillId="0" borderId="44" xfId="0" applyNumberFormat="1" applyBorder="1"/>
    <xf numFmtId="0" fontId="25" fillId="0" borderId="0" xfId="5" applyNumberFormat="1" applyFont="1" applyAlignment="1">
      <alignment horizontal="left"/>
    </xf>
    <xf numFmtId="0" fontId="25" fillId="0" borderId="44" xfId="5" applyNumberFormat="1" applyFont="1" applyBorder="1"/>
    <xf numFmtId="0" fontId="25" fillId="0" borderId="0" xfId="5" applyNumberFormat="1" applyFont="1" applyAlignment="1">
      <alignment horizontal="center"/>
    </xf>
    <xf numFmtId="0" fontId="25" fillId="0" borderId="18" xfId="5" applyNumberFormat="1" applyFont="1" applyBorder="1"/>
    <xf numFmtId="0" fontId="25" fillId="0" borderId="0" xfId="5" applyNumberFormat="1" applyFont="1" applyFill="1" applyAlignment="1">
      <alignment horizontal="center"/>
    </xf>
    <xf numFmtId="0" fontId="25" fillId="0" borderId="0" xfId="5" quotePrefix="1" applyNumberFormat="1" applyFont="1"/>
    <xf numFmtId="0" fontId="43" fillId="48" borderId="0" xfId="5" applyNumberFormat="1" applyFont="1" applyFill="1" applyAlignment="1">
      <alignment horizontal="left"/>
    </xf>
    <xf numFmtId="0" fontId="25" fillId="48" borderId="0" xfId="5" applyNumberFormat="1" applyFont="1" applyFill="1" applyAlignment="1">
      <alignment horizontal="center"/>
    </xf>
    <xf numFmtId="0" fontId="35" fillId="0" borderId="0" xfId="5" applyNumberFormat="1" applyFont="1" applyFill="1" applyAlignment="1">
      <alignment horizontal="center"/>
    </xf>
    <xf numFmtId="0" fontId="35" fillId="0" borderId="0" xfId="5" applyNumberFormat="1" applyFont="1" applyAlignment="1">
      <alignment horizontal="center"/>
    </xf>
    <xf numFmtId="0" fontId="25" fillId="0" borderId="5" xfId="5" applyNumberFormat="1" applyFont="1" applyBorder="1" applyAlignment="1">
      <alignment horizontal="center" vertical="center"/>
    </xf>
    <xf numFmtId="0" fontId="25" fillId="0" borderId="6" xfId="5" applyNumberFormat="1" applyFont="1" applyBorder="1" applyAlignment="1">
      <alignment horizontal="center" vertical="center"/>
    </xf>
    <xf numFmtId="0" fontId="11" fillId="0" borderId="0" xfId="0" applyNumberFormat="1" applyFont="1" applyBorder="1" applyAlignment="1">
      <alignment horizontal="center"/>
    </xf>
    <xf numFmtId="0" fontId="35" fillId="0" borderId="0" xfId="5" applyNumberFormat="1" applyFont="1" applyFill="1" applyAlignment="1"/>
    <xf numFmtId="0" fontId="35" fillId="0" borderId="49" xfId="5" applyNumberFormat="1" applyFont="1" applyBorder="1" applyAlignment="1">
      <alignment horizontal="center"/>
    </xf>
    <xf numFmtId="0" fontId="35" fillId="0" borderId="50" xfId="5" applyNumberFormat="1" applyFont="1" applyBorder="1" applyAlignment="1">
      <alignment horizontal="center"/>
    </xf>
    <xf numFmtId="0" fontId="25" fillId="0" borderId="50" xfId="5" applyNumberFormat="1" applyFont="1" applyFill="1" applyBorder="1" applyAlignment="1">
      <alignment horizontal="center"/>
    </xf>
    <xf numFmtId="0" fontId="35" fillId="0" borderId="50" xfId="5" applyNumberFormat="1" applyFont="1" applyFill="1" applyBorder="1" applyAlignment="1">
      <alignment horizontal="center"/>
    </xf>
    <xf numFmtId="0" fontId="25" fillId="0" borderId="50" xfId="5" applyNumberFormat="1" applyFont="1" applyBorder="1" applyAlignment="1">
      <alignment horizontal="center"/>
    </xf>
    <xf numFmtId="0" fontId="35" fillId="0" borderId="0" xfId="5" applyNumberFormat="1" applyFont="1" applyBorder="1" applyAlignment="1">
      <alignment horizontal="center"/>
    </xf>
    <xf numFmtId="0" fontId="35" fillId="0" borderId="51" xfId="5" applyNumberFormat="1" applyFont="1" applyBorder="1" applyAlignment="1">
      <alignment horizontal="center" vertical="center"/>
    </xf>
    <xf numFmtId="0" fontId="35" fillId="0" borderId="52" xfId="5" applyNumberFormat="1" applyFont="1" applyBorder="1" applyAlignment="1">
      <alignment horizontal="center" vertical="center"/>
    </xf>
    <xf numFmtId="0" fontId="25" fillId="0" borderId="5" xfId="5" applyNumberFormat="1" applyFont="1" applyBorder="1" applyAlignment="1">
      <alignment horizontal="center"/>
    </xf>
    <xf numFmtId="0" fontId="17" fillId="48" borderId="0" xfId="1" applyNumberFormat="1" applyFont="1" applyFill="1"/>
    <xf numFmtId="0" fontId="17" fillId="0" borderId="0" xfId="1" applyNumberFormat="1" applyFont="1" applyFill="1"/>
    <xf numFmtId="0" fontId="35" fillId="51" borderId="5" xfId="5" applyNumberFormat="1" applyFont="1" applyFill="1" applyBorder="1" applyAlignment="1">
      <alignment horizontal="center"/>
    </xf>
    <xf numFmtId="0" fontId="25" fillId="0" borderId="0" xfId="5" applyNumberFormat="1" applyFont="1" applyFill="1" applyBorder="1" applyAlignment="1">
      <alignment horizontal="center"/>
    </xf>
    <xf numFmtId="0" fontId="25" fillId="0" borderId="0" xfId="5" applyNumberFormat="1" applyFont="1" applyBorder="1" applyAlignment="1">
      <alignment horizontal="center"/>
    </xf>
    <xf numFmtId="0" fontId="25" fillId="0" borderId="15" xfId="5" applyNumberFormat="1" applyFont="1" applyBorder="1" applyAlignment="1">
      <alignment horizontal="center"/>
    </xf>
    <xf numFmtId="0" fontId="25" fillId="51" borderId="0" xfId="5" applyNumberFormat="1" applyFont="1" applyFill="1" applyAlignment="1">
      <alignment horizontal="center"/>
    </xf>
    <xf numFmtId="0" fontId="25" fillId="0" borderId="6" xfId="5" applyNumberFormat="1" applyFont="1" applyBorder="1" applyAlignment="1">
      <alignment horizontal="center"/>
    </xf>
    <xf numFmtId="0" fontId="25" fillId="0" borderId="0" xfId="5" quotePrefix="1" applyNumberFormat="1" applyFont="1" applyAlignment="1">
      <alignment horizontal="center"/>
    </xf>
    <xf numFmtId="0" fontId="25" fillId="0" borderId="0" xfId="5" applyNumberFormat="1" applyFont="1" applyFill="1" applyAlignment="1">
      <alignment horizontal="center" vertical="center"/>
    </xf>
    <xf numFmtId="174" fontId="0" fillId="0" borderId="0" xfId="0" applyNumberFormat="1"/>
    <xf numFmtId="166" fontId="0" fillId="0" borderId="0" xfId="0" applyNumberFormat="1" applyAlignment="1">
      <alignment horizontal="center"/>
    </xf>
    <xf numFmtId="174" fontId="0" fillId="0" borderId="0" xfId="0" applyNumberFormat="1" applyAlignment="1">
      <alignment horizontal="center" wrapText="1"/>
    </xf>
    <xf numFmtId="0" fontId="0" fillId="0" borderId="0" xfId="0" quotePrefix="1" applyNumberFormat="1" applyAlignment="1">
      <alignment horizontal="center"/>
    </xf>
    <xf numFmtId="0" fontId="0" fillId="0" borderId="0" xfId="0" applyNumberFormat="1" applyAlignment="1">
      <alignment wrapText="1"/>
    </xf>
    <xf numFmtId="0" fontId="15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/>
    <xf numFmtId="0" fontId="49" fillId="3" borderId="1" xfId="3" applyNumberFormat="1" applyFont="1" applyAlignment="1">
      <alignment horizontal="center"/>
    </xf>
    <xf numFmtId="0" fontId="5" fillId="3" borderId="1" xfId="3" applyNumberFormat="1" applyAlignment="1">
      <alignment horizontal="center" vertical="center"/>
    </xf>
    <xf numFmtId="0" fontId="3" fillId="0" borderId="0" xfId="1" applyNumberFormat="1" applyFill="1"/>
    <xf numFmtId="0" fontId="0" fillId="0" borderId="0" xfId="0" applyNumberFormat="1" applyFill="1" applyAlignment="1">
      <alignment horizontal="center" vertical="center"/>
    </xf>
    <xf numFmtId="0" fontId="0" fillId="4" borderId="0" xfId="0" applyNumberFormat="1" applyFill="1"/>
    <xf numFmtId="166" fontId="0" fillId="4" borderId="0" xfId="0" applyNumberFormat="1" applyFill="1"/>
    <xf numFmtId="166" fontId="0" fillId="4" borderId="0" xfId="0" applyNumberFormat="1" applyFill="1" applyAlignment="1">
      <alignment horizontal="center"/>
    </xf>
    <xf numFmtId="0" fontId="0" fillId="4" borderId="0" xfId="0" applyNumberFormat="1" applyFill="1" applyAlignment="1">
      <alignment horizontal="center" wrapText="1"/>
    </xf>
    <xf numFmtId="166" fontId="0" fillId="4" borderId="0" xfId="0" applyNumberFormat="1" applyFill="1" applyAlignment="1">
      <alignment horizontal="center" wrapText="1"/>
    </xf>
    <xf numFmtId="1" fontId="0" fillId="4" borderId="0" xfId="0" applyNumberFormat="1" applyFill="1" applyAlignment="1">
      <alignment horizontal="center" wrapText="1"/>
    </xf>
    <xf numFmtId="1" fontId="0" fillId="0" borderId="0" xfId="0" applyNumberFormat="1" applyAlignment="1">
      <alignment horizontal="center" wrapText="1"/>
    </xf>
    <xf numFmtId="10" fontId="4" fillId="2" borderId="1" xfId="4" applyNumberFormat="1" applyFont="1" applyFill="1" applyBorder="1"/>
    <xf numFmtId="0" fontId="17" fillId="0" borderId="0" xfId="1" applyNumberFormat="1" applyFont="1" applyFill="1" applyAlignment="1" applyProtection="1">
      <alignment horizontal="left" vertical="top"/>
    </xf>
    <xf numFmtId="167" fontId="3" fillId="0" borderId="0" xfId="1" applyAlignment="1">
      <alignment horizontal="center" vertical="center"/>
    </xf>
    <xf numFmtId="14" fontId="0" fillId="0" borderId="0" xfId="0" applyNumberFormat="1" applyFill="1" applyBorder="1"/>
    <xf numFmtId="0" fontId="17" fillId="0" borderId="0" xfId="1" applyNumberFormat="1" applyFont="1" applyFill="1" applyBorder="1"/>
    <xf numFmtId="0" fontId="35" fillId="0" borderId="0" xfId="5" applyNumberFormat="1" applyFont="1" applyFill="1" applyBorder="1" applyAlignment="1">
      <alignment horizontal="center"/>
    </xf>
    <xf numFmtId="0" fontId="25" fillId="0" borderId="0" xfId="5" quotePrefix="1" applyNumberFormat="1" applyFont="1" applyFill="1" applyBorder="1" applyAlignment="1">
      <alignment horizontal="center"/>
    </xf>
    <xf numFmtId="0" fontId="25" fillId="0" borderId="0" xfId="5" applyNumberFormat="1" applyFont="1" applyFill="1" applyBorder="1" applyAlignment="1">
      <alignment horizontal="center" vertical="center"/>
    </xf>
    <xf numFmtId="2" fontId="0" fillId="0" borderId="0" xfId="0" applyNumberFormat="1"/>
    <xf numFmtId="0" fontId="55" fillId="0" borderId="0" xfId="0" applyNumberFormat="1" applyFont="1" applyFill="1" applyBorder="1"/>
    <xf numFmtId="14" fontId="55" fillId="0" borderId="0" xfId="0" applyNumberFormat="1" applyFont="1" applyFill="1" applyBorder="1"/>
    <xf numFmtId="0" fontId="56" fillId="0" borderId="0" xfId="0" applyNumberFormat="1" applyFont="1" applyFill="1" applyBorder="1"/>
    <xf numFmtId="14" fontId="56" fillId="0" borderId="0" xfId="0" applyNumberFormat="1" applyFont="1" applyFill="1" applyBorder="1"/>
    <xf numFmtId="174" fontId="15" fillId="0" borderId="0" xfId="0" applyNumberFormat="1" applyFont="1" applyAlignment="1">
      <alignment wrapText="1"/>
    </xf>
    <xf numFmtId="174" fontId="0" fillId="0" borderId="0" xfId="0" applyNumberFormat="1" applyFont="1" applyAlignment="1">
      <alignment horizontal="center"/>
    </xf>
    <xf numFmtId="167" fontId="15" fillId="0" borderId="0" xfId="0" applyFont="1" applyAlignment="1">
      <alignment wrapText="1"/>
    </xf>
    <xf numFmtId="171" fontId="15" fillId="0" borderId="0" xfId="0" applyNumberFormat="1" applyFont="1" applyAlignment="1">
      <alignment wrapText="1"/>
    </xf>
    <xf numFmtId="167" fontId="25" fillId="0" borderId="0" xfId="0" applyFont="1" applyAlignment="1">
      <alignment horizontal="center"/>
    </xf>
    <xf numFmtId="1" fontId="0" fillId="0" borderId="30" xfId="0" applyNumberFormat="1" applyBorder="1" applyAlignment="1">
      <alignment horizontal="right" vertical="center"/>
    </xf>
    <xf numFmtId="1" fontId="0" fillId="0" borderId="18" xfId="0" applyNumberFormat="1" applyBorder="1" applyAlignment="1">
      <alignment horizontal="right" vertical="center"/>
    </xf>
    <xf numFmtId="1" fontId="0" fillId="0" borderId="31" xfId="0" applyNumberFormat="1" applyBorder="1" applyAlignment="1">
      <alignment horizontal="right" vertical="center"/>
    </xf>
    <xf numFmtId="1" fontId="0" fillId="0" borderId="21" xfId="0" applyNumberFormat="1" applyBorder="1" applyAlignment="1">
      <alignment horizontal="right" vertical="center"/>
    </xf>
    <xf numFmtId="1" fontId="0" fillId="0" borderId="5" xfId="0" applyNumberFormat="1" applyBorder="1" applyAlignment="1">
      <alignment horizontal="right" vertical="center"/>
    </xf>
    <xf numFmtId="1" fontId="0" fillId="0" borderId="0" xfId="0" applyNumberFormat="1" applyBorder="1" applyAlignment="1">
      <alignment horizontal="right" vertical="center"/>
    </xf>
    <xf numFmtId="1" fontId="0" fillId="0" borderId="6" xfId="0" applyNumberFormat="1" applyBorder="1" applyAlignment="1">
      <alignment horizontal="right" vertical="center"/>
    </xf>
    <xf numFmtId="1" fontId="0" fillId="0" borderId="34" xfId="0" applyNumberFormat="1" applyBorder="1" applyAlignment="1">
      <alignment horizontal="right" vertical="center"/>
    </xf>
    <xf numFmtId="1" fontId="0" fillId="0" borderId="32" xfId="0" applyNumberFormat="1" applyBorder="1" applyAlignment="1">
      <alignment horizontal="right" vertical="center"/>
    </xf>
    <xf numFmtId="1" fontId="0" fillId="0" borderId="26" xfId="0" applyNumberFormat="1" applyBorder="1" applyAlignment="1">
      <alignment horizontal="right" vertical="center"/>
    </xf>
    <xf numFmtId="1" fontId="0" fillId="0" borderId="33" xfId="0" applyNumberFormat="1" applyBorder="1" applyAlignment="1">
      <alignment horizontal="right" vertical="center"/>
    </xf>
    <xf numFmtId="1" fontId="0" fillId="0" borderId="29" xfId="0" applyNumberFormat="1" applyBorder="1" applyAlignment="1">
      <alignment horizontal="right" vertical="center"/>
    </xf>
    <xf numFmtId="0" fontId="32" fillId="21" borderId="1" xfId="15" applyNumberFormat="1" applyBorder="1"/>
    <xf numFmtId="0" fontId="4" fillId="2" borderId="1" xfId="2" applyNumberFormat="1" applyAlignment="1">
      <alignment horizontal="center"/>
    </xf>
    <xf numFmtId="0" fontId="4" fillId="2" borderId="1" xfId="2" applyNumberFormat="1" applyAlignment="1">
      <alignment horizontal="center" vertical="center"/>
    </xf>
    <xf numFmtId="167" fontId="30" fillId="0" borderId="0" xfId="13" applyFill="1" applyAlignment="1">
      <alignment vertical="center"/>
    </xf>
    <xf numFmtId="0" fontId="25" fillId="0" borderId="0" xfId="5" applyNumberFormat="1" applyFont="1" applyAlignment="1">
      <alignment horizontal="center"/>
    </xf>
    <xf numFmtId="2" fontId="56" fillId="0" borderId="0" xfId="0" applyNumberFormat="1" applyFont="1" applyFill="1" applyBorder="1"/>
    <xf numFmtId="171" fontId="56" fillId="0" borderId="0" xfId="0" applyNumberFormat="1" applyFont="1" applyFill="1" applyBorder="1"/>
    <xf numFmtId="171" fontId="0" fillId="0" borderId="0" xfId="0" applyNumberFormat="1"/>
    <xf numFmtId="0" fontId="5" fillId="3" borderId="1" xfId="3" applyNumberFormat="1" applyAlignment="1">
      <alignment horizontal="center" wrapText="1"/>
    </xf>
    <xf numFmtId="1" fontId="4" fillId="2" borderId="1" xfId="2" applyNumberFormat="1" applyAlignment="1">
      <alignment horizontal="center" vertical="center"/>
    </xf>
    <xf numFmtId="166" fontId="17" fillId="0" borderId="0" xfId="1" applyNumberFormat="1" applyFont="1" applyFill="1" applyAlignment="1" applyProtection="1">
      <alignment horizontal="left" vertical="top"/>
    </xf>
    <xf numFmtId="1" fontId="17" fillId="0" borderId="0" xfId="1" applyNumberFormat="1" applyFont="1" applyFill="1" applyAlignment="1" applyProtection="1">
      <alignment horizontal="left" vertical="top"/>
    </xf>
    <xf numFmtId="167" fontId="17" fillId="0" borderId="0" xfId="1" applyFont="1" applyFill="1" applyAlignment="1" applyProtection="1">
      <alignment horizontal="left" vertical="top"/>
    </xf>
    <xf numFmtId="0" fontId="17" fillId="0" borderId="0" xfId="1" applyNumberFormat="1" applyFont="1" applyFill="1" applyAlignment="1" applyProtection="1">
      <alignment horizontal="center" vertical="top"/>
    </xf>
    <xf numFmtId="167" fontId="51" fillId="0" borderId="0" xfId="0" applyFont="1" applyFill="1"/>
    <xf numFmtId="1" fontId="0" fillId="0" borderId="0" xfId="0" applyNumberFormat="1" applyFill="1"/>
    <xf numFmtId="167" fontId="17" fillId="0" borderId="0" xfId="1" applyFont="1" applyFill="1" applyAlignment="1" applyProtection="1">
      <alignment horizontal="center" vertical="top"/>
    </xf>
    <xf numFmtId="0" fontId="17" fillId="0" borderId="0" xfId="1" applyNumberFormat="1" applyFont="1" applyFill="1" applyAlignment="1" applyProtection="1">
      <alignment horizontal="right" vertical="top"/>
    </xf>
    <xf numFmtId="165" fontId="17" fillId="0" borderId="0" xfId="1" applyNumberFormat="1" applyFont="1" applyFill="1" applyAlignment="1" applyProtection="1">
      <alignment horizontal="left" vertical="top"/>
    </xf>
    <xf numFmtId="167" fontId="58" fillId="0" borderId="0" xfId="0" applyFont="1"/>
    <xf numFmtId="0" fontId="59" fillId="0" borderId="0" xfId="1" applyNumberFormat="1" applyFont="1" applyFill="1" applyAlignment="1" applyProtection="1">
      <alignment horizontal="center" vertical="top"/>
    </xf>
    <xf numFmtId="166" fontId="17" fillId="55" borderId="56" xfId="1" applyNumberFormat="1" applyFont="1" applyFill="1" applyBorder="1" applyAlignment="1" applyProtection="1">
      <alignment horizontal="center" vertical="top" wrapText="1"/>
    </xf>
    <xf numFmtId="1" fontId="20" fillId="0" borderId="57" xfId="1" applyNumberFormat="1" applyFont="1" applyFill="1" applyBorder="1" applyAlignment="1" applyProtection="1">
      <alignment horizontal="right" vertical="top" wrapText="1"/>
    </xf>
    <xf numFmtId="165" fontId="20" fillId="0" borderId="0" xfId="1" applyNumberFormat="1" applyFont="1" applyFill="1" applyBorder="1" applyAlignment="1" applyProtection="1">
      <alignment horizontal="left" vertical="top" wrapText="1"/>
    </xf>
    <xf numFmtId="170" fontId="20" fillId="0" borderId="0" xfId="1" applyNumberFormat="1" applyFont="1" applyFill="1" applyBorder="1" applyAlignment="1" applyProtection="1">
      <alignment horizontal="left" vertical="top" wrapText="1"/>
    </xf>
    <xf numFmtId="167" fontId="17" fillId="0" borderId="0" xfId="1" applyFont="1" applyFill="1" applyBorder="1" applyAlignment="1" applyProtection="1">
      <alignment horizontal="left" vertical="top"/>
    </xf>
    <xf numFmtId="2" fontId="20" fillId="0" borderId="0" xfId="1" applyNumberFormat="1" applyFont="1" applyFill="1" applyBorder="1" applyAlignment="1" applyProtection="1">
      <alignment horizontal="right" vertical="top" wrapText="1"/>
    </xf>
    <xf numFmtId="2" fontId="17" fillId="0" borderId="0" xfId="1" applyNumberFormat="1" applyFont="1" applyFill="1" applyBorder="1" applyAlignment="1" applyProtection="1">
      <alignment horizontal="right" vertical="top" wrapText="1"/>
    </xf>
    <xf numFmtId="166" fontId="20" fillId="0" borderId="0" xfId="1" applyNumberFormat="1" applyFont="1" applyFill="1" applyBorder="1" applyAlignment="1" applyProtection="1">
      <alignment horizontal="right" vertical="top" wrapText="1"/>
    </xf>
    <xf numFmtId="1" fontId="20" fillId="0" borderId="0" xfId="1" applyNumberFormat="1" applyFont="1" applyFill="1" applyBorder="1" applyAlignment="1" applyProtection="1">
      <alignment horizontal="right" vertical="top" wrapText="1"/>
    </xf>
    <xf numFmtId="166" fontId="4" fillId="0" borderId="0" xfId="2" applyNumberFormat="1" applyFill="1" applyBorder="1" applyAlignment="1" applyProtection="1">
      <alignment horizontal="right" vertical="top" wrapText="1"/>
    </xf>
    <xf numFmtId="0" fontId="17" fillId="0" borderId="0" xfId="1" applyNumberFormat="1" applyFont="1" applyFill="1" applyBorder="1" applyAlignment="1" applyProtection="1">
      <alignment horizontal="left" vertical="top"/>
    </xf>
    <xf numFmtId="0" fontId="17" fillId="0" borderId="0" xfId="1" applyNumberFormat="1" applyFont="1" applyFill="1" applyBorder="1" applyAlignment="1" applyProtection="1">
      <alignment horizontal="right" vertical="top"/>
    </xf>
    <xf numFmtId="2" fontId="17" fillId="0" borderId="0" xfId="1" applyNumberFormat="1" applyFont="1" applyFill="1" applyBorder="1" applyAlignment="1" applyProtection="1">
      <alignment horizontal="center" vertical="center"/>
    </xf>
    <xf numFmtId="165" fontId="17" fillId="0" borderId="0" xfId="1" applyNumberFormat="1" applyFont="1" applyFill="1" applyBorder="1" applyAlignment="1" applyProtection="1">
      <alignment horizontal="left" vertical="top"/>
    </xf>
    <xf numFmtId="2" fontId="17" fillId="0" borderId="0" xfId="1" applyNumberFormat="1" applyFont="1" applyFill="1" applyBorder="1" applyAlignment="1" applyProtection="1">
      <alignment horizontal="left" vertical="top"/>
    </xf>
    <xf numFmtId="166" fontId="17" fillId="0" borderId="0" xfId="1" applyNumberFormat="1" applyFont="1" applyFill="1" applyBorder="1" applyAlignment="1" applyProtection="1">
      <alignment horizontal="center" vertical="top"/>
    </xf>
    <xf numFmtId="167" fontId="0" fillId="0" borderId="0" xfId="0" applyFill="1" applyBorder="1"/>
    <xf numFmtId="0" fontId="21" fillId="0" borderId="0" xfId="1" applyNumberFormat="1" applyFont="1" applyFill="1" applyBorder="1" applyAlignment="1" applyProtection="1">
      <alignment horizontal="left" vertical="top"/>
    </xf>
    <xf numFmtId="1" fontId="21" fillId="0" borderId="0" xfId="1" applyNumberFormat="1" applyFont="1" applyFill="1" applyBorder="1" applyAlignment="1" applyProtection="1">
      <alignment horizontal="left" vertical="top"/>
    </xf>
    <xf numFmtId="165" fontId="30" fillId="19" borderId="0" xfId="13" applyNumberFormat="1" applyBorder="1" applyAlignment="1" applyProtection="1">
      <alignment horizontal="left" vertical="top" wrapText="1"/>
    </xf>
    <xf numFmtId="0" fontId="30" fillId="19" borderId="0" xfId="13" applyNumberFormat="1" applyBorder="1" applyAlignment="1" applyProtection="1">
      <alignment horizontal="left" vertical="top"/>
    </xf>
    <xf numFmtId="167" fontId="30" fillId="19" borderId="0" xfId="13" applyBorder="1" applyAlignment="1" applyProtection="1">
      <alignment horizontal="left" vertical="top"/>
    </xf>
    <xf numFmtId="2" fontId="30" fillId="19" borderId="0" xfId="13" applyNumberFormat="1" applyBorder="1" applyAlignment="1" applyProtection="1">
      <alignment horizontal="right" vertical="top" wrapText="1"/>
    </xf>
    <xf numFmtId="166" fontId="30" fillId="19" borderId="0" xfId="13" applyNumberFormat="1" applyBorder="1" applyAlignment="1" applyProtection="1">
      <alignment horizontal="right" vertical="top" wrapText="1"/>
    </xf>
    <xf numFmtId="1" fontId="30" fillId="19" borderId="0" xfId="13" applyNumberFormat="1" applyBorder="1" applyAlignment="1" applyProtection="1">
      <alignment horizontal="right" vertical="top" wrapText="1"/>
    </xf>
    <xf numFmtId="0" fontId="30" fillId="19" borderId="0" xfId="13" applyNumberFormat="1" applyBorder="1" applyAlignment="1" applyProtection="1">
      <alignment horizontal="right" vertical="top"/>
    </xf>
    <xf numFmtId="2" fontId="30" fillId="19" borderId="0" xfId="13" applyNumberFormat="1" applyBorder="1" applyAlignment="1" applyProtection="1">
      <alignment horizontal="center" vertical="center"/>
    </xf>
    <xf numFmtId="165" fontId="30" fillId="19" borderId="0" xfId="13" applyNumberFormat="1" applyBorder="1" applyAlignment="1" applyProtection="1">
      <alignment horizontal="left" vertical="top"/>
    </xf>
    <xf numFmtId="0" fontId="58" fillId="0" borderId="0" xfId="0" applyNumberFormat="1" applyFont="1" applyAlignment="1">
      <alignment horizontal="center"/>
    </xf>
    <xf numFmtId="9" fontId="58" fillId="0" borderId="0" xfId="4" applyFont="1"/>
    <xf numFmtId="167" fontId="10" fillId="0" borderId="0" xfId="0" applyNumberFormat="1" applyFont="1" applyFill="1"/>
    <xf numFmtId="167" fontId="14" fillId="0" borderId="36" xfId="6" applyNumberFormat="1" applyFill="1"/>
    <xf numFmtId="0" fontId="0" fillId="0" borderId="0" xfId="0" quotePrefix="1" applyNumberFormat="1" applyFill="1" applyAlignment="1">
      <alignment horizontal="center"/>
    </xf>
    <xf numFmtId="0" fontId="0" fillId="0" borderId="0" xfId="0" applyNumberFormat="1" applyFill="1" applyAlignment="1">
      <alignment horizontal="center"/>
    </xf>
    <xf numFmtId="0" fontId="58" fillId="0" borderId="0" xfId="0" applyNumberFormat="1" applyFont="1"/>
    <xf numFmtId="171" fontId="0" fillId="4" borderId="0" xfId="0" applyNumberFormat="1" applyFill="1" applyAlignment="1">
      <alignment horizontal="center" wrapText="1"/>
    </xf>
    <xf numFmtId="171" fontId="0" fillId="0" borderId="0" xfId="0" applyNumberFormat="1" applyFill="1" applyAlignment="1">
      <alignment horizontal="center" wrapText="1"/>
    </xf>
    <xf numFmtId="14" fontId="25" fillId="0" borderId="0" xfId="1" applyNumberFormat="1" applyFont="1" applyBorder="1" applyAlignment="1">
      <alignment horizontal="left" vertical="center"/>
    </xf>
    <xf numFmtId="167" fontId="60" fillId="0" borderId="0" xfId="0" applyFont="1"/>
    <xf numFmtId="167" fontId="61" fillId="0" borderId="0" xfId="0" applyFont="1"/>
    <xf numFmtId="167" fontId="61" fillId="0" borderId="0" xfId="0" applyFont="1" applyAlignment="1">
      <alignment horizontal="right"/>
    </xf>
    <xf numFmtId="0" fontId="61" fillId="0" borderId="0" xfId="0" applyNumberFormat="1" applyFont="1"/>
    <xf numFmtId="167" fontId="61" fillId="0" borderId="2" xfId="0" applyFont="1" applyBorder="1"/>
    <xf numFmtId="167" fontId="61" fillId="0" borderId="3" xfId="0" applyFont="1" applyBorder="1"/>
    <xf numFmtId="167" fontId="61" fillId="0" borderId="5" xfId="0" applyFont="1" applyBorder="1"/>
    <xf numFmtId="167" fontId="61" fillId="0" borderId="0" xfId="0" applyFont="1" applyBorder="1"/>
    <xf numFmtId="167" fontId="61" fillId="0" borderId="7" xfId="0" applyFont="1" applyBorder="1"/>
    <xf numFmtId="167" fontId="61" fillId="0" borderId="8" xfId="0" applyFont="1" applyBorder="1"/>
    <xf numFmtId="166" fontId="60" fillId="0" borderId="0" xfId="0" applyNumberFormat="1" applyFont="1" applyAlignment="1">
      <alignment horizontal="center" textRotation="90" wrapText="1"/>
    </xf>
    <xf numFmtId="167" fontId="60" fillId="0" borderId="0" xfId="0" applyFont="1" applyAlignment="1">
      <alignment horizontal="center" textRotation="90" wrapText="1"/>
    </xf>
    <xf numFmtId="9" fontId="61" fillId="0" borderId="0" xfId="0" applyNumberFormat="1" applyFont="1"/>
    <xf numFmtId="1" fontId="60" fillId="0" borderId="0" xfId="0" applyNumberFormat="1" applyFont="1" applyAlignment="1">
      <alignment horizontal="center" textRotation="90" wrapText="1"/>
    </xf>
    <xf numFmtId="167" fontId="61" fillId="0" borderId="4" xfId="0" applyFont="1" applyBorder="1"/>
    <xf numFmtId="167" fontId="61" fillId="0" borderId="6" xfId="0" applyFont="1" applyBorder="1"/>
    <xf numFmtId="0" fontId="61" fillId="0" borderId="0" xfId="0" applyNumberFormat="1" applyFont="1" applyBorder="1"/>
    <xf numFmtId="0" fontId="61" fillId="0" borderId="6" xfId="0" applyNumberFormat="1" applyFont="1" applyBorder="1"/>
    <xf numFmtId="167" fontId="61" fillId="0" borderId="9" xfId="0" applyFont="1" applyBorder="1"/>
    <xf numFmtId="0" fontId="0" fillId="0" borderId="18" xfId="0" applyNumberFormat="1" applyBorder="1"/>
    <xf numFmtId="0" fontId="0" fillId="0" borderId="22" xfId="0" applyNumberFormat="1" applyBorder="1"/>
    <xf numFmtId="0" fontId="4" fillId="2" borderId="1" xfId="2" applyNumberFormat="1" applyBorder="1"/>
    <xf numFmtId="0" fontId="32" fillId="21" borderId="59" xfId="15" applyNumberFormat="1" applyBorder="1"/>
    <xf numFmtId="0" fontId="0" fillId="0" borderId="22" xfId="0" applyNumberFormat="1" applyBorder="1" applyAlignment="1">
      <alignment vertical="center"/>
    </xf>
    <xf numFmtId="0" fontId="23" fillId="3" borderId="37" xfId="7" applyNumberFormat="1" applyBorder="1"/>
    <xf numFmtId="0" fontId="23" fillId="3" borderId="60" xfId="7" applyNumberFormat="1" applyBorder="1"/>
    <xf numFmtId="0" fontId="0" fillId="0" borderId="0" xfId="0" applyNumberFormat="1" applyBorder="1" applyAlignment="1">
      <alignment vertical="center"/>
    </xf>
    <xf numFmtId="0" fontId="63" fillId="2" borderId="1" xfId="2" applyNumberFormat="1" applyFont="1" applyBorder="1"/>
    <xf numFmtId="10" fontId="4" fillId="2" borderId="1" xfId="2" applyNumberFormat="1" applyBorder="1"/>
    <xf numFmtId="0" fontId="5" fillId="3" borderId="1" xfId="3" applyNumberFormat="1" applyBorder="1"/>
    <xf numFmtId="14" fontId="63" fillId="2" borderId="1" xfId="2" applyNumberFormat="1" applyFont="1" applyBorder="1" applyAlignment="1">
      <alignment horizontal="center" vertical="center"/>
    </xf>
    <xf numFmtId="0" fontId="64" fillId="2" borderId="1" xfId="2" applyNumberFormat="1" applyFont="1" applyBorder="1" applyAlignment="1">
      <alignment horizontal="center" vertical="center"/>
    </xf>
    <xf numFmtId="0" fontId="4" fillId="2" borderId="1" xfId="2" applyNumberFormat="1" applyBorder="1" applyAlignment="1">
      <alignment horizontal="center" vertical="center"/>
    </xf>
    <xf numFmtId="14" fontId="4" fillId="2" borderId="1" xfId="2" applyNumberFormat="1" applyBorder="1" applyAlignment="1">
      <alignment horizontal="center"/>
    </xf>
    <xf numFmtId="0" fontId="5" fillId="3" borderId="1" xfId="3" applyNumberFormat="1" applyBorder="1" applyAlignment="1">
      <alignment horizontal="center"/>
    </xf>
    <xf numFmtId="0" fontId="4" fillId="2" borderId="1" xfId="2" applyNumberFormat="1" applyBorder="1" applyAlignment="1">
      <alignment horizontal="center"/>
    </xf>
    <xf numFmtId="2" fontId="4" fillId="2" borderId="1" xfId="2" applyNumberFormat="1" applyBorder="1" applyAlignment="1">
      <alignment horizontal="center"/>
    </xf>
    <xf numFmtId="166" fontId="5" fillId="3" borderId="1" xfId="3" applyNumberFormat="1" applyBorder="1"/>
    <xf numFmtId="0" fontId="5" fillId="3" borderId="63" xfId="3" applyNumberFormat="1" applyBorder="1"/>
    <xf numFmtId="0" fontId="0" fillId="0" borderId="64" xfId="0" applyNumberFormat="1" applyBorder="1"/>
    <xf numFmtId="2" fontId="5" fillId="3" borderId="1" xfId="3" applyNumberFormat="1" applyBorder="1" applyAlignment="1">
      <alignment horizontal="center"/>
    </xf>
    <xf numFmtId="1" fontId="5" fillId="3" borderId="1" xfId="3" applyNumberFormat="1" applyBorder="1" applyAlignment="1">
      <alignment horizontal="center"/>
    </xf>
    <xf numFmtId="166" fontId="5" fillId="3" borderId="63" xfId="3" applyNumberFormat="1" applyBorder="1"/>
    <xf numFmtId="0" fontId="0" fillId="0" borderId="62" xfId="0" applyNumberFormat="1" applyBorder="1"/>
    <xf numFmtId="0" fontId="5" fillId="3" borderId="65" xfId="3" applyNumberFormat="1" applyBorder="1"/>
    <xf numFmtId="166" fontId="5" fillId="3" borderId="65" xfId="3" applyNumberFormat="1" applyBorder="1"/>
    <xf numFmtId="0" fontId="57" fillId="0" borderId="10" xfId="0" applyNumberFormat="1" applyFont="1" applyBorder="1" applyAlignment="1">
      <alignment horizontal="center" vertical="center" wrapText="1"/>
    </xf>
    <xf numFmtId="0" fontId="57" fillId="0" borderId="10" xfId="0" applyNumberFormat="1" applyFont="1" applyFill="1" applyBorder="1" applyAlignment="1">
      <alignment horizontal="center" vertical="center" wrapText="1"/>
    </xf>
    <xf numFmtId="14" fontId="4" fillId="2" borderId="65" xfId="2" applyNumberFormat="1" applyBorder="1" applyAlignment="1">
      <alignment horizontal="center"/>
    </xf>
    <xf numFmtId="0" fontId="5" fillId="3" borderId="65" xfId="3" applyNumberFormat="1" applyBorder="1" applyAlignment="1">
      <alignment horizontal="center"/>
    </xf>
    <xf numFmtId="0" fontId="4" fillId="2" borderId="65" xfId="2" applyNumberFormat="1" applyBorder="1"/>
    <xf numFmtId="0" fontId="4" fillId="2" borderId="65" xfId="2" applyNumberFormat="1" applyBorder="1" applyAlignment="1">
      <alignment horizontal="center"/>
    </xf>
    <xf numFmtId="2" fontId="4" fillId="2" borderId="65" xfId="2" applyNumberFormat="1" applyBorder="1" applyAlignment="1">
      <alignment horizontal="center"/>
    </xf>
    <xf numFmtId="0" fontId="4" fillId="2" borderId="65" xfId="2" applyNumberFormat="1" applyBorder="1" applyAlignment="1">
      <alignment horizontal="center" vertical="center"/>
    </xf>
    <xf numFmtId="0" fontId="0" fillId="0" borderId="10" xfId="0" applyNumberFormat="1" applyBorder="1"/>
    <xf numFmtId="0" fontId="2" fillId="0" borderId="10" xfId="0" applyNumberFormat="1" applyFont="1" applyBorder="1" applyAlignment="1">
      <alignment horizontal="center" wrapText="1"/>
    </xf>
    <xf numFmtId="0" fontId="2" fillId="0" borderId="10" xfId="0" applyNumberFormat="1" applyFont="1" applyBorder="1" applyAlignment="1">
      <alignment horizontal="center" textRotation="90" wrapText="1"/>
    </xf>
    <xf numFmtId="0" fontId="63" fillId="2" borderId="1" xfId="2" applyNumberFormat="1" applyFont="1" applyBorder="1" applyAlignment="1">
      <alignment horizontal="center"/>
    </xf>
    <xf numFmtId="167" fontId="2" fillId="0" borderId="2" xfId="0" applyFont="1" applyBorder="1"/>
    <xf numFmtId="167" fontId="0" fillId="0" borderId="3" xfId="0" applyBorder="1"/>
    <xf numFmtId="167" fontId="2" fillId="0" borderId="5" xfId="0" applyFont="1" applyBorder="1"/>
    <xf numFmtId="167" fontId="2" fillId="0" borderId="7" xfId="0" applyFont="1" applyBorder="1"/>
    <xf numFmtId="167" fontId="0" fillId="0" borderId="8" xfId="0" applyBorder="1"/>
    <xf numFmtId="167" fontId="0" fillId="0" borderId="5" xfId="0" applyBorder="1"/>
    <xf numFmtId="167" fontId="0" fillId="0" borderId="7" xfId="0" applyBorder="1"/>
    <xf numFmtId="0" fontId="0" fillId="0" borderId="62" xfId="0" applyNumberFormat="1" applyBorder="1" applyAlignment="1">
      <alignment vertical="center"/>
    </xf>
    <xf numFmtId="0" fontId="0" fillId="0" borderId="3" xfId="0" applyNumberFormat="1" applyBorder="1" applyAlignment="1">
      <alignment vertical="center"/>
    </xf>
    <xf numFmtId="0" fontId="0" fillId="0" borderId="4" xfId="0" applyNumberFormat="1" applyBorder="1" applyAlignment="1">
      <alignment vertical="center"/>
    </xf>
    <xf numFmtId="0" fontId="0" fillId="0" borderId="0" xfId="0" applyNumberFormat="1" applyBorder="1" applyAlignment="1">
      <alignment horizontal="center" vertical="center"/>
    </xf>
    <xf numFmtId="0" fontId="0" fillId="0" borderId="6" xfId="0" applyNumberFormat="1" applyBorder="1" applyAlignment="1">
      <alignment vertical="center"/>
    </xf>
    <xf numFmtId="0" fontId="0" fillId="0" borderId="64" xfId="0" applyNumberFormat="1" applyBorder="1" applyAlignment="1">
      <alignment vertical="center"/>
    </xf>
    <xf numFmtId="0" fontId="0" fillId="0" borderId="8" xfId="0" applyNumberFormat="1" applyBorder="1" applyAlignment="1">
      <alignment vertical="center"/>
    </xf>
    <xf numFmtId="0" fontId="0" fillId="0" borderId="8" xfId="0" applyNumberFormat="1" applyBorder="1" applyAlignment="1">
      <alignment horizontal="center" vertical="center"/>
    </xf>
    <xf numFmtId="0" fontId="0" fillId="0" borderId="9" xfId="0" applyNumberFormat="1" applyBorder="1" applyAlignment="1">
      <alignment vertical="center"/>
    </xf>
    <xf numFmtId="166" fontId="5" fillId="3" borderId="65" xfId="3" applyNumberFormat="1" applyBorder="1" applyAlignment="1">
      <alignment horizontal="center"/>
    </xf>
    <xf numFmtId="166" fontId="5" fillId="3" borderId="1" xfId="3" applyNumberFormat="1" applyBorder="1" applyAlignment="1">
      <alignment horizontal="center"/>
    </xf>
    <xf numFmtId="0" fontId="0" fillId="61" borderId="0" xfId="0" applyNumberFormat="1" applyFill="1"/>
    <xf numFmtId="0" fontId="0" fillId="61" borderId="18" xfId="0" applyNumberFormat="1" applyFill="1" applyBorder="1"/>
    <xf numFmtId="0" fontId="0" fillId="61" borderId="0" xfId="0" applyNumberFormat="1" applyFill="1" applyBorder="1"/>
    <xf numFmtId="0" fontId="51" fillId="61" borderId="0" xfId="0" applyNumberFormat="1" applyFont="1" applyFill="1" applyBorder="1"/>
    <xf numFmtId="0" fontId="19" fillId="61" borderId="0" xfId="0" applyNumberFormat="1" applyFont="1" applyFill="1" applyAlignment="1">
      <alignment horizontal="center" wrapText="1"/>
    </xf>
    <xf numFmtId="2" fontId="5" fillId="61" borderId="0" xfId="3" applyNumberFormat="1" applyFill="1" applyBorder="1"/>
    <xf numFmtId="0" fontId="54" fillId="62" borderId="17" xfId="0" applyNumberFormat="1" applyFont="1" applyFill="1" applyBorder="1"/>
    <xf numFmtId="0" fontId="0" fillId="62" borderId="18" xfId="0" applyNumberFormat="1" applyFill="1" applyBorder="1"/>
    <xf numFmtId="0" fontId="0" fillId="62" borderId="58" xfId="0" applyNumberFormat="1" applyFill="1" applyBorder="1"/>
    <xf numFmtId="0" fontId="0" fillId="62" borderId="22" xfId="0" applyNumberFormat="1" applyFill="1" applyBorder="1"/>
    <xf numFmtId="0" fontId="0" fillId="62" borderId="0" xfId="0" applyNumberFormat="1" applyFill="1" applyBorder="1"/>
    <xf numFmtId="0" fontId="0" fillId="62" borderId="24" xfId="0" applyNumberFormat="1" applyFill="1" applyBorder="1"/>
    <xf numFmtId="0" fontId="2" fillId="62" borderId="22" xfId="0" applyNumberFormat="1" applyFont="1" applyFill="1" applyBorder="1"/>
    <xf numFmtId="166" fontId="0" fillId="62" borderId="0" xfId="0" applyNumberFormat="1" applyFill="1" applyBorder="1"/>
    <xf numFmtId="0" fontId="0" fillId="62" borderId="26" xfId="0" applyNumberFormat="1" applyFill="1" applyBorder="1"/>
    <xf numFmtId="0" fontId="0" fillId="62" borderId="27" xfId="0" applyNumberFormat="1" applyFill="1" applyBorder="1"/>
    <xf numFmtId="0" fontId="0" fillId="62" borderId="25" xfId="0" applyNumberFormat="1" applyFill="1" applyBorder="1"/>
    <xf numFmtId="0" fontId="2" fillId="62" borderId="62" xfId="0" applyNumberFormat="1" applyFont="1" applyFill="1" applyBorder="1" applyAlignment="1">
      <alignment horizontal="center" textRotation="90" wrapText="1"/>
    </xf>
    <xf numFmtId="0" fontId="0" fillId="62" borderId="64" xfId="0" applyNumberFormat="1" applyFill="1" applyBorder="1"/>
    <xf numFmtId="0" fontId="52" fillId="62" borderId="66" xfId="0" applyNumberFormat="1" applyFont="1" applyFill="1" applyBorder="1" applyAlignment="1">
      <alignment horizontal="center"/>
    </xf>
    <xf numFmtId="0" fontId="0" fillId="62" borderId="17" xfId="0" applyNumberFormat="1" applyFill="1" applyBorder="1"/>
    <xf numFmtId="0" fontId="62" fillId="62" borderId="0" xfId="0" applyNumberFormat="1" applyFont="1" applyFill="1" applyBorder="1"/>
    <xf numFmtId="0" fontId="2" fillId="62" borderId="0" xfId="0" applyNumberFormat="1" applyFont="1" applyFill="1" applyBorder="1" applyAlignment="1">
      <alignment horizontal="center" wrapText="1"/>
    </xf>
    <xf numFmtId="0" fontId="0" fillId="62" borderId="11" xfId="0" applyNumberFormat="1" applyFill="1" applyBorder="1"/>
    <xf numFmtId="0" fontId="54" fillId="62" borderId="17" xfId="0" applyNumberFormat="1" applyFont="1" applyFill="1" applyBorder="1" applyAlignment="1">
      <alignment vertical="center"/>
    </xf>
    <xf numFmtId="0" fontId="2" fillId="62" borderId="18" xfId="0" applyNumberFormat="1" applyFont="1" applyFill="1" applyBorder="1"/>
    <xf numFmtId="14" fontId="58" fillId="62" borderId="24" xfId="0" applyNumberFormat="1" applyFont="1" applyFill="1" applyBorder="1"/>
    <xf numFmtId="0" fontId="0" fillId="62" borderId="0" xfId="0" applyNumberFormat="1" applyFill="1" applyBorder="1" applyAlignment="1">
      <alignment horizontal="left" vertical="center"/>
    </xf>
    <xf numFmtId="0" fontId="0" fillId="62" borderId="24" xfId="0" applyNumberFormat="1" applyFill="1" applyBorder="1" applyAlignment="1">
      <alignment horizontal="left" vertical="center"/>
    </xf>
    <xf numFmtId="0" fontId="0" fillId="62" borderId="0" xfId="0" applyNumberFormat="1" applyFill="1" applyBorder="1" applyAlignment="1">
      <alignment horizontal="right"/>
    </xf>
    <xf numFmtId="0" fontId="0" fillId="62" borderId="18" xfId="0" quotePrefix="1" applyNumberFormat="1" applyFill="1" applyBorder="1"/>
    <xf numFmtId="0" fontId="0" fillId="62" borderId="22" xfId="0" applyNumberFormat="1" applyFill="1" applyBorder="1" applyAlignment="1">
      <alignment horizontal="left" vertical="center"/>
    </xf>
    <xf numFmtId="0" fontId="0" fillId="62" borderId="22" xfId="0" applyNumberFormat="1" applyFill="1" applyBorder="1" applyAlignment="1">
      <alignment vertical="center"/>
    </xf>
    <xf numFmtId="0" fontId="0" fillId="62" borderId="0" xfId="0" applyNumberFormat="1" applyFill="1" applyBorder="1" applyAlignment="1">
      <alignment vertical="center"/>
    </xf>
    <xf numFmtId="0" fontId="0" fillId="62" borderId="61" xfId="0" applyNumberFormat="1" applyFill="1" applyBorder="1" applyAlignment="1">
      <alignment vertical="center"/>
    </xf>
    <xf numFmtId="0" fontId="0" fillId="62" borderId="22" xfId="0" applyNumberFormat="1" applyFill="1" applyBorder="1" applyAlignment="1"/>
    <xf numFmtId="0" fontId="0" fillId="62" borderId="0" xfId="0" applyNumberFormat="1" applyFill="1" applyBorder="1" applyAlignment="1"/>
    <xf numFmtId="0" fontId="65" fillId="62" borderId="22" xfId="0" applyNumberFormat="1" applyFont="1" applyFill="1" applyBorder="1" applyAlignment="1">
      <alignment horizontal="left" vertical="center"/>
    </xf>
    <xf numFmtId="0" fontId="0" fillId="62" borderId="22" xfId="0" applyNumberFormat="1" applyFill="1" applyBorder="1" applyAlignment="1">
      <alignment horizontal="left"/>
    </xf>
    <xf numFmtId="0" fontId="2" fillId="0" borderId="3" xfId="0" applyNumberFormat="1" applyFont="1" applyBorder="1"/>
    <xf numFmtId="0" fontId="2" fillId="0" borderId="3" xfId="0" applyNumberFormat="1" applyFont="1" applyFill="1" applyBorder="1"/>
    <xf numFmtId="0" fontId="2" fillId="0" borderId="4" xfId="0" applyNumberFormat="1" applyFont="1" applyFill="1" applyBorder="1"/>
    <xf numFmtId="0" fontId="63" fillId="2" borderId="1" xfId="2" applyNumberFormat="1" applyFont="1" applyBorder="1" applyAlignment="1">
      <alignment horizontal="center" vertical="center"/>
    </xf>
    <xf numFmtId="1" fontId="5" fillId="3" borderId="10" xfId="3" applyNumberFormat="1" applyBorder="1" applyAlignment="1">
      <alignment horizontal="center" vertical="center"/>
    </xf>
    <xf numFmtId="10" fontId="63" fillId="2" borderId="1" xfId="2" applyNumberFormat="1" applyFont="1" applyBorder="1"/>
    <xf numFmtId="1" fontId="5" fillId="3" borderId="1" xfId="3" applyNumberFormat="1" applyFont="1" applyBorder="1"/>
    <xf numFmtId="0" fontId="5" fillId="3" borderId="1" xfId="3" applyNumberFormat="1" applyFont="1" applyBorder="1"/>
    <xf numFmtId="0" fontId="17" fillId="0" borderId="57" xfId="1" applyNumberFormat="1" applyFont="1" applyFill="1" applyBorder="1" applyAlignment="1" applyProtection="1">
      <alignment horizontal="center" vertical="center" wrapText="1"/>
    </xf>
    <xf numFmtId="0" fontId="17" fillId="0" borderId="67" xfId="1" applyNumberFormat="1" applyFont="1" applyFill="1" applyBorder="1" applyAlignment="1" applyProtection="1">
      <alignment horizontal="center" vertical="center" wrapText="1"/>
    </xf>
    <xf numFmtId="0" fontId="2" fillId="62" borderId="18" xfId="0" applyNumberFormat="1" applyFont="1" applyFill="1" applyBorder="1" applyAlignment="1">
      <alignment horizontal="left" vertical="center"/>
    </xf>
    <xf numFmtId="0" fontId="2" fillId="62" borderId="0" xfId="0" applyNumberFormat="1" applyFont="1" applyFill="1" applyBorder="1" applyAlignment="1">
      <alignment horizontal="left" vertical="center"/>
    </xf>
    <xf numFmtId="0" fontId="2" fillId="62" borderId="17" xfId="0" applyNumberFormat="1" applyFont="1" applyFill="1" applyBorder="1" applyAlignment="1">
      <alignment horizontal="left" vertical="center"/>
    </xf>
    <xf numFmtId="0" fontId="2" fillId="62" borderId="22" xfId="0" applyNumberFormat="1" applyFont="1" applyFill="1" applyBorder="1" applyAlignment="1">
      <alignment vertical="center"/>
    </xf>
    <xf numFmtId="0" fontId="2" fillId="62" borderId="25" xfId="0" applyNumberFormat="1" applyFont="1" applyFill="1" applyBorder="1" applyAlignment="1">
      <alignment vertical="center"/>
    </xf>
    <xf numFmtId="0" fontId="2" fillId="0" borderId="62" xfId="0" applyNumberFormat="1" applyFont="1" applyBorder="1"/>
    <xf numFmtId="0" fontId="0" fillId="0" borderId="0" xfId="0" applyNumberFormat="1" applyAlignment="1">
      <alignment horizontal="right" wrapText="1"/>
    </xf>
    <xf numFmtId="14" fontId="63" fillId="2" borderId="1" xfId="2" applyNumberFormat="1" applyFont="1" applyBorder="1"/>
    <xf numFmtId="166" fontId="17" fillId="0" borderId="0" xfId="1" applyNumberFormat="1" applyFont="1" applyFill="1" applyBorder="1" applyAlignment="1" applyProtection="1">
      <alignment horizontal="right" vertical="top" wrapText="1"/>
    </xf>
    <xf numFmtId="2" fontId="68" fillId="0" borderId="0" xfId="1" applyNumberFormat="1" applyFont="1" applyFill="1" applyBorder="1" applyAlignment="1" applyProtection="1">
      <alignment horizontal="right" vertical="top" wrapText="1"/>
    </xf>
    <xf numFmtId="1" fontId="69" fillId="19" borderId="0" xfId="13" applyNumberFormat="1" applyFont="1" applyBorder="1" applyAlignment="1" applyProtection="1">
      <alignment horizontal="right" vertical="center" wrapText="1"/>
    </xf>
    <xf numFmtId="169" fontId="41" fillId="0" borderId="15" xfId="5" applyNumberFormat="1" applyFont="1" applyBorder="1" applyAlignment="1">
      <alignment horizontal="center"/>
    </xf>
    <xf numFmtId="0" fontId="41" fillId="0" borderId="0" xfId="5" applyNumberFormat="1" applyFont="1" applyBorder="1" applyAlignment="1">
      <alignment horizontal="center"/>
    </xf>
    <xf numFmtId="169" fontId="41" fillId="0" borderId="0" xfId="5" applyNumberFormat="1" applyFont="1" applyAlignment="1">
      <alignment horizontal="center"/>
    </xf>
    <xf numFmtId="0" fontId="41" fillId="0" borderId="0" xfId="5" applyNumberFormat="1" applyFont="1" applyAlignment="1">
      <alignment horizontal="center"/>
    </xf>
    <xf numFmtId="171" fontId="41" fillId="0" borderId="0" xfId="5" applyNumberFormat="1" applyFont="1" applyAlignment="1">
      <alignment horizontal="center"/>
    </xf>
    <xf numFmtId="1" fontId="41" fillId="0" borderId="0" xfId="5" applyNumberFormat="1" applyFont="1" applyAlignment="1">
      <alignment horizontal="center"/>
    </xf>
    <xf numFmtId="0" fontId="41" fillId="0" borderId="0" xfId="5" applyNumberFormat="1" applyFont="1" applyFill="1" applyAlignment="1">
      <alignment horizontal="center"/>
    </xf>
    <xf numFmtId="0" fontId="35" fillId="0" borderId="0" xfId="5" applyNumberFormat="1" applyFont="1" applyFill="1" applyAlignment="1">
      <alignment horizontal="left"/>
    </xf>
    <xf numFmtId="0" fontId="41" fillId="0" borderId="0" xfId="5" applyNumberFormat="1" applyFont="1" applyBorder="1" applyAlignment="1">
      <alignment horizontal="center" vertical="center"/>
    </xf>
    <xf numFmtId="0" fontId="3" fillId="0" borderId="0" xfId="1" applyNumberFormat="1" applyAlignment="1">
      <alignment horizontal="left" vertical="center"/>
    </xf>
    <xf numFmtId="0" fontId="35" fillId="0" borderId="5" xfId="5" applyNumberFormat="1" applyFont="1" applyFill="1" applyBorder="1" applyAlignment="1">
      <alignment horizontal="center"/>
    </xf>
    <xf numFmtId="0" fontId="25" fillId="49" borderId="0" xfId="5" applyNumberFormat="1" applyFont="1" applyFill="1" applyAlignment="1">
      <alignment horizontal="left" vertical="center"/>
    </xf>
    <xf numFmtId="0" fontId="0" fillId="62" borderId="0" xfId="0" applyNumberFormat="1" applyFill="1"/>
    <xf numFmtId="0" fontId="0" fillId="61" borderId="22" xfId="0" applyNumberFormat="1" applyFill="1" applyBorder="1"/>
    <xf numFmtId="0" fontId="0" fillId="61" borderId="26" xfId="0" applyNumberFormat="1" applyFill="1" applyBorder="1"/>
    <xf numFmtId="0" fontId="33" fillId="62" borderId="17" xfId="0" applyNumberFormat="1" applyFont="1" applyFill="1" applyBorder="1"/>
    <xf numFmtId="14" fontId="0" fillId="62" borderId="22" xfId="0" applyNumberFormat="1" applyFill="1" applyBorder="1" applyAlignment="1">
      <alignment horizontal="left" vertical="center"/>
    </xf>
    <xf numFmtId="0" fontId="0" fillId="62" borderId="24" xfId="0" applyNumberFormat="1" applyFill="1" applyBorder="1" applyAlignment="1">
      <alignment horizontal="center"/>
    </xf>
    <xf numFmtId="14" fontId="0" fillId="62" borderId="22" xfId="0" applyNumberFormat="1" applyFill="1" applyBorder="1" applyAlignment="1">
      <alignment horizontal="center" vertical="center"/>
    </xf>
    <xf numFmtId="0" fontId="0" fillId="62" borderId="24" xfId="0" applyNumberFormat="1" applyFill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0" fillId="0" borderId="6" xfId="0" applyNumberFormat="1" applyBorder="1" applyAlignment="1">
      <alignment horizontal="center" vertical="center"/>
    </xf>
    <xf numFmtId="0" fontId="0" fillId="0" borderId="6" xfId="0" applyNumberFormat="1" applyFill="1" applyBorder="1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0" fontId="0" fillId="0" borderId="9" xfId="0" applyNumberFormat="1" applyFill="1" applyBorder="1" applyAlignment="1">
      <alignment horizontal="center" vertical="center"/>
    </xf>
    <xf numFmtId="0" fontId="33" fillId="62" borderId="18" xfId="0" applyNumberFormat="1" applyFont="1" applyFill="1" applyBorder="1"/>
    <xf numFmtId="0" fontId="33" fillId="62" borderId="22" xfId="0" applyNumberFormat="1" applyFont="1" applyFill="1" applyBorder="1"/>
    <xf numFmtId="0" fontId="33" fillId="62" borderId="0" xfId="0" applyNumberFormat="1" applyFont="1" applyFill="1" applyBorder="1"/>
    <xf numFmtId="167" fontId="0" fillId="0" borderId="6" xfId="0" applyBorder="1"/>
    <xf numFmtId="0" fontId="0" fillId="62" borderId="44" xfId="0" applyNumberFormat="1" applyFill="1" applyBorder="1"/>
    <xf numFmtId="0" fontId="0" fillId="62" borderId="47" xfId="0" applyNumberFormat="1" applyFill="1" applyBorder="1"/>
    <xf numFmtId="0" fontId="35" fillId="62" borderId="46" xfId="0" applyNumberFormat="1" applyFont="1" applyFill="1" applyBorder="1" applyAlignment="1">
      <alignment horizontal="left" vertical="center"/>
    </xf>
    <xf numFmtId="0" fontId="0" fillId="62" borderId="44" xfId="0" applyNumberFormat="1" applyFill="1" applyBorder="1" applyAlignment="1">
      <alignment horizontal="left" vertical="center"/>
    </xf>
    <xf numFmtId="0" fontId="4" fillId="2" borderId="68" xfId="2" applyNumberFormat="1" applyBorder="1" applyAlignment="1">
      <alignment horizontal="center" vertical="center"/>
    </xf>
    <xf numFmtId="0" fontId="2" fillId="62" borderId="46" xfId="0" applyNumberFormat="1" applyFont="1" applyFill="1" applyBorder="1"/>
    <xf numFmtId="0" fontId="35" fillId="61" borderId="0" xfId="0" applyNumberFormat="1" applyFont="1" applyFill="1" applyBorder="1"/>
    <xf numFmtId="0" fontId="70" fillId="61" borderId="0" xfId="0" applyNumberFormat="1" applyFont="1" applyFill="1" applyBorder="1"/>
    <xf numFmtId="0" fontId="70" fillId="62" borderId="46" xfId="0" applyNumberFormat="1" applyFont="1" applyFill="1" applyBorder="1"/>
    <xf numFmtId="0" fontId="71" fillId="61" borderId="0" xfId="0" applyNumberFormat="1" applyFont="1" applyFill="1"/>
    <xf numFmtId="2" fontId="17" fillId="0" borderId="0" xfId="1" applyNumberFormat="1" applyFont="1" applyFill="1" applyBorder="1" applyAlignment="1" applyProtection="1">
      <alignment horizontal="center" vertical="center" wrapText="1"/>
    </xf>
    <xf numFmtId="2" fontId="30" fillId="19" borderId="0" xfId="13" applyNumberFormat="1" applyBorder="1" applyAlignment="1" applyProtection="1">
      <alignment horizontal="center" vertical="center" wrapText="1"/>
    </xf>
    <xf numFmtId="167" fontId="5" fillId="3" borderId="1" xfId="3" applyAlignment="1" applyProtection="1">
      <alignment horizontal="center" vertical="center"/>
    </xf>
    <xf numFmtId="0" fontId="72" fillId="0" borderId="0" xfId="5" applyNumberFormat="1" applyFont="1"/>
    <xf numFmtId="0" fontId="5" fillId="3" borderId="1" xfId="3" applyNumberFormat="1" applyAlignment="1">
      <alignment horizontal="center"/>
    </xf>
    <xf numFmtId="1" fontId="5" fillId="3" borderId="1" xfId="3" applyNumberFormat="1" applyAlignment="1">
      <alignment horizontal="center"/>
    </xf>
    <xf numFmtId="166" fontId="73" fillId="0" borderId="45" xfId="0" applyNumberFormat="1" applyFont="1" applyBorder="1"/>
    <xf numFmtId="0" fontId="74" fillId="0" borderId="45" xfId="0" applyNumberFormat="1" applyFont="1" applyBorder="1"/>
    <xf numFmtId="166" fontId="73" fillId="0" borderId="45" xfId="5" applyNumberFormat="1" applyFont="1" applyBorder="1"/>
    <xf numFmtId="166" fontId="73" fillId="0" borderId="48" xfId="5" applyNumberFormat="1" applyFont="1" applyBorder="1"/>
    <xf numFmtId="0" fontId="73" fillId="0" borderId="48" xfId="5" applyNumberFormat="1" applyFont="1" applyBorder="1"/>
    <xf numFmtId="0" fontId="39" fillId="0" borderId="46" xfId="0" applyNumberFormat="1" applyFont="1" applyBorder="1" applyAlignment="1"/>
    <xf numFmtId="175" fontId="5" fillId="3" borderId="59" xfId="3" applyNumberFormat="1" applyBorder="1" applyAlignment="1"/>
    <xf numFmtId="0" fontId="5" fillId="3" borderId="59" xfId="3" applyNumberFormat="1" applyBorder="1"/>
    <xf numFmtId="0" fontId="40" fillId="0" borderId="47" xfId="0" applyNumberFormat="1" applyFont="1" applyBorder="1"/>
    <xf numFmtId="0" fontId="42" fillId="0" borderId="46" xfId="0" applyNumberFormat="1" applyFont="1" applyBorder="1"/>
    <xf numFmtId="0" fontId="11" fillId="0" borderId="47" xfId="0" applyNumberFormat="1" applyFont="1" applyBorder="1" applyAlignment="1">
      <alignment horizontal="center"/>
    </xf>
    <xf numFmtId="0" fontId="35" fillId="0" borderId="46" xfId="5" applyNumberFormat="1" applyFont="1" applyBorder="1"/>
    <xf numFmtId="0" fontId="25" fillId="0" borderId="47" xfId="5" applyNumberFormat="1" applyFont="1" applyBorder="1"/>
    <xf numFmtId="0" fontId="35" fillId="0" borderId="17" xfId="5" applyNumberFormat="1" applyFont="1" applyBorder="1"/>
    <xf numFmtId="0" fontId="25" fillId="0" borderId="58" xfId="5" applyNumberFormat="1" applyFont="1" applyBorder="1"/>
    <xf numFmtId="0" fontId="25" fillId="0" borderId="46" xfId="5" applyNumberFormat="1" applyFont="1" applyBorder="1"/>
    <xf numFmtId="0" fontId="73" fillId="0" borderId="45" xfId="5" applyNumberFormat="1" applyFont="1" applyBorder="1"/>
    <xf numFmtId="0" fontId="41" fillId="0" borderId="0" xfId="5" applyNumberFormat="1" applyFont="1"/>
    <xf numFmtId="0" fontId="5" fillId="3" borderId="1" xfId="3" applyNumberFormat="1" applyAlignment="1">
      <alignment horizontal="left"/>
    </xf>
    <xf numFmtId="167" fontId="25" fillId="0" borderId="0" xfId="0" applyFont="1"/>
    <xf numFmtId="167" fontId="0" fillId="0" borderId="0" xfId="0" applyAlignment="1">
      <alignment horizontal="left" vertical="center"/>
    </xf>
    <xf numFmtId="167" fontId="2" fillId="58" borderId="5" xfId="0" applyFont="1" applyFill="1" applyBorder="1" applyAlignment="1">
      <alignment horizontal="left"/>
    </xf>
    <xf numFmtId="167" fontId="2" fillId="58" borderId="0" xfId="0" applyFont="1" applyFill="1" applyBorder="1" applyAlignment="1">
      <alignment horizontal="left"/>
    </xf>
    <xf numFmtId="167" fontId="2" fillId="58" borderId="6" xfId="0" applyFont="1" applyFill="1" applyBorder="1" applyAlignment="1">
      <alignment horizontal="left"/>
    </xf>
    <xf numFmtId="167" fontId="2" fillId="60" borderId="5" xfId="0" applyFont="1" applyFill="1" applyBorder="1" applyAlignment="1">
      <alignment horizontal="left"/>
    </xf>
    <xf numFmtId="167" fontId="2" fillId="60" borderId="0" xfId="0" applyFont="1" applyFill="1" applyBorder="1" applyAlignment="1">
      <alignment horizontal="left"/>
    </xf>
    <xf numFmtId="167" fontId="2" fillId="60" borderId="6" xfId="0" applyFont="1" applyFill="1" applyBorder="1" applyAlignment="1">
      <alignment horizontal="left"/>
    </xf>
    <xf numFmtId="167" fontId="2" fillId="59" borderId="7" xfId="0" applyFont="1" applyFill="1" applyBorder="1" applyAlignment="1">
      <alignment horizontal="left"/>
    </xf>
    <xf numFmtId="167" fontId="2" fillId="59" borderId="8" xfId="0" applyFont="1" applyFill="1" applyBorder="1" applyAlignment="1">
      <alignment horizontal="left"/>
    </xf>
    <xf numFmtId="167" fontId="2" fillId="59" borderId="9" xfId="0" applyFont="1" applyFill="1" applyBorder="1" applyAlignment="1">
      <alignment horizontal="left"/>
    </xf>
    <xf numFmtId="167" fontId="63" fillId="2" borderId="2" xfId="2" applyFont="1" applyBorder="1" applyAlignment="1">
      <alignment horizontal="left"/>
    </xf>
    <xf numFmtId="167" fontId="63" fillId="2" borderId="3" xfId="2" applyFont="1" applyBorder="1" applyAlignment="1">
      <alignment horizontal="left"/>
    </xf>
    <xf numFmtId="167" fontId="63" fillId="2" borderId="4" xfId="2" applyFont="1" applyBorder="1" applyAlignment="1">
      <alignment horizontal="left"/>
    </xf>
    <xf numFmtId="167" fontId="5" fillId="3" borderId="5" xfId="3" applyFont="1" applyBorder="1" applyAlignment="1">
      <alignment horizontal="left"/>
    </xf>
    <xf numFmtId="167" fontId="5" fillId="3" borderId="0" xfId="3" applyFont="1" applyBorder="1" applyAlignment="1">
      <alignment horizontal="left"/>
    </xf>
    <xf numFmtId="167" fontId="5" fillId="3" borderId="6" xfId="3" applyFont="1" applyBorder="1" applyAlignment="1">
      <alignment horizontal="left"/>
    </xf>
    <xf numFmtId="0" fontId="66" fillId="21" borderId="5" xfId="15" applyNumberFormat="1" applyFont="1" applyBorder="1" applyAlignment="1">
      <alignment horizontal="left"/>
    </xf>
    <xf numFmtId="0" fontId="66" fillId="21" borderId="0" xfId="15" applyNumberFormat="1" applyFont="1" applyBorder="1" applyAlignment="1">
      <alignment horizontal="left"/>
    </xf>
    <xf numFmtId="0" fontId="66" fillId="21" borderId="6" xfId="15" applyNumberFormat="1" applyFont="1" applyBorder="1" applyAlignment="1">
      <alignment horizontal="left"/>
    </xf>
    <xf numFmtId="167" fontId="67" fillId="0" borderId="5" xfId="0" applyFont="1" applyBorder="1" applyAlignment="1">
      <alignment horizontal="left"/>
    </xf>
    <xf numFmtId="167" fontId="67" fillId="0" borderId="0" xfId="0" applyFont="1" applyBorder="1" applyAlignment="1">
      <alignment horizontal="left"/>
    </xf>
    <xf numFmtId="167" fontId="67" fillId="0" borderId="6" xfId="0" applyFont="1" applyBorder="1" applyAlignment="1">
      <alignment horizontal="left"/>
    </xf>
    <xf numFmtId="167" fontId="35" fillId="56" borderId="2" xfId="0" applyFont="1" applyFill="1" applyBorder="1" applyAlignment="1">
      <alignment horizontal="left"/>
    </xf>
    <xf numFmtId="167" fontId="35" fillId="56" borderId="3" xfId="0" applyFont="1" applyFill="1" applyBorder="1" applyAlignment="1">
      <alignment horizontal="left"/>
    </xf>
    <xf numFmtId="167" fontId="35" fillId="56" borderId="4" xfId="0" applyFont="1" applyFill="1" applyBorder="1" applyAlignment="1">
      <alignment horizontal="left"/>
    </xf>
    <xf numFmtId="167" fontId="2" fillId="57" borderId="5" xfId="0" applyFont="1" applyFill="1" applyBorder="1" applyAlignment="1">
      <alignment horizontal="left"/>
    </xf>
    <xf numFmtId="167" fontId="2" fillId="57" borderId="0" xfId="0" applyFont="1" applyFill="1" applyBorder="1" applyAlignment="1">
      <alignment horizontal="left"/>
    </xf>
    <xf numFmtId="167" fontId="2" fillId="57" borderId="6" xfId="0" applyFont="1" applyFill="1" applyBorder="1" applyAlignment="1">
      <alignment horizontal="left"/>
    </xf>
    <xf numFmtId="167" fontId="70" fillId="62" borderId="7" xfId="0" applyFont="1" applyFill="1" applyBorder="1" applyAlignment="1">
      <alignment horizontal="left" vertical="center"/>
    </xf>
    <xf numFmtId="167" fontId="70" fillId="62" borderId="8" xfId="0" applyFont="1" applyFill="1" applyBorder="1" applyAlignment="1">
      <alignment horizontal="left" vertical="center"/>
    </xf>
    <xf numFmtId="167" fontId="70" fillId="62" borderId="9" xfId="0" applyFont="1" applyFill="1" applyBorder="1" applyAlignment="1">
      <alignment horizontal="left" vertical="center"/>
    </xf>
    <xf numFmtId="0" fontId="24" fillId="18" borderId="11" xfId="0" applyNumberFormat="1" applyFont="1" applyFill="1" applyBorder="1" applyAlignment="1">
      <alignment horizontal="center"/>
    </xf>
    <xf numFmtId="0" fontId="24" fillId="18" borderId="12" xfId="0" applyNumberFormat="1" applyFont="1" applyFill="1" applyBorder="1" applyAlignment="1">
      <alignment horizontal="center"/>
    </xf>
    <xf numFmtId="0" fontId="24" fillId="18" borderId="13" xfId="0" applyNumberFormat="1" applyFont="1" applyFill="1" applyBorder="1" applyAlignment="1">
      <alignment horizontal="center"/>
    </xf>
    <xf numFmtId="0" fontId="2" fillId="62" borderId="17" xfId="0" applyNumberFormat="1" applyFont="1" applyFill="1" applyBorder="1" applyAlignment="1">
      <alignment horizontal="center"/>
    </xf>
    <xf numFmtId="0" fontId="2" fillId="62" borderId="58" xfId="0" applyNumberFormat="1" applyFont="1" applyFill="1" applyBorder="1" applyAlignment="1">
      <alignment horizontal="center"/>
    </xf>
    <xf numFmtId="167" fontId="53" fillId="0" borderId="1" xfId="2" applyFont="1" applyFill="1" applyAlignment="1" applyProtection="1">
      <alignment horizontal="center" vertical="center"/>
    </xf>
    <xf numFmtId="167" fontId="53" fillId="0" borderId="53" xfId="2" applyFont="1" applyFill="1" applyBorder="1" applyAlignment="1" applyProtection="1">
      <alignment horizontal="center" vertical="center"/>
    </xf>
    <xf numFmtId="0" fontId="35" fillId="0" borderId="0" xfId="5" applyNumberFormat="1" applyFont="1" applyBorder="1" applyAlignment="1">
      <alignment horizontal="center"/>
    </xf>
    <xf numFmtId="0" fontId="5" fillId="3" borderId="1" xfId="3" applyNumberFormat="1" applyAlignment="1">
      <alignment horizontal="center"/>
    </xf>
    <xf numFmtId="0" fontId="41" fillId="0" borderId="5" xfId="5" applyNumberFormat="1" applyFont="1" applyBorder="1" applyAlignment="1">
      <alignment horizontal="center" vertical="center" wrapText="1"/>
    </xf>
    <xf numFmtId="0" fontId="41" fillId="0" borderId="0" xfId="5" applyNumberFormat="1" applyFont="1" applyBorder="1" applyAlignment="1">
      <alignment horizontal="center" vertical="center" wrapText="1"/>
    </xf>
    <xf numFmtId="0" fontId="25" fillId="0" borderId="0" xfId="5" applyNumberFormat="1" applyFont="1" applyAlignment="1">
      <alignment horizontal="center"/>
    </xf>
    <xf numFmtId="0" fontId="25" fillId="50" borderId="46" xfId="5" applyNumberFormat="1" applyFont="1" applyFill="1" applyBorder="1" applyAlignment="1">
      <alignment horizontal="center" vertical="center"/>
    </xf>
    <xf numFmtId="0" fontId="25" fillId="50" borderId="44" xfId="5" applyNumberFormat="1" applyFont="1" applyFill="1" applyBorder="1" applyAlignment="1">
      <alignment horizontal="center" vertical="center"/>
    </xf>
    <xf numFmtId="0" fontId="25" fillId="50" borderId="47" xfId="5" applyNumberFormat="1" applyFont="1" applyFill="1" applyBorder="1" applyAlignment="1">
      <alignment horizontal="center" vertical="center"/>
    </xf>
    <xf numFmtId="0" fontId="2" fillId="54" borderId="0" xfId="0" applyNumberFormat="1" applyFont="1" applyFill="1" applyAlignment="1">
      <alignment horizontal="center" vertical="center" textRotation="90"/>
    </xf>
    <xf numFmtId="0" fontId="25" fillId="0" borderId="0" xfId="5" applyNumberFormat="1" applyFont="1" applyAlignment="1">
      <alignment horizontal="center" wrapText="1"/>
    </xf>
    <xf numFmtId="0" fontId="25" fillId="0" borderId="8" xfId="5" applyNumberFormat="1" applyFont="1" applyBorder="1" applyAlignment="1">
      <alignment horizontal="center"/>
    </xf>
    <xf numFmtId="0" fontId="35" fillId="0" borderId="0" xfId="5" applyNumberFormat="1" applyFont="1" applyBorder="1" applyAlignment="1">
      <alignment horizontal="center" vertical="center" wrapText="1"/>
    </xf>
    <xf numFmtId="0" fontId="35" fillId="0" borderId="0" xfId="5" applyNumberFormat="1" applyFont="1" applyAlignment="1">
      <alignment horizontal="center" wrapText="1"/>
    </xf>
    <xf numFmtId="0" fontId="35" fillId="0" borderId="0" xfId="5" applyNumberFormat="1" applyFont="1" applyAlignment="1">
      <alignment horizontal="center"/>
    </xf>
    <xf numFmtId="0" fontId="25" fillId="0" borderId="2" xfId="5" applyNumberFormat="1" applyFont="1" applyBorder="1" applyAlignment="1">
      <alignment horizontal="center"/>
    </xf>
    <xf numFmtId="0" fontId="25" fillId="0" borderId="3" xfId="5" applyNumberFormat="1" applyFont="1" applyBorder="1" applyAlignment="1">
      <alignment horizontal="center"/>
    </xf>
    <xf numFmtId="0" fontId="2" fillId="50" borderId="0" xfId="0" applyNumberFormat="1" applyFont="1" applyFill="1" applyAlignment="1">
      <alignment horizontal="center" vertical="center" textRotation="90"/>
    </xf>
    <xf numFmtId="0" fontId="2" fillId="52" borderId="0" xfId="0" applyNumberFormat="1" applyFont="1" applyFill="1" applyAlignment="1">
      <alignment horizontal="center" vertical="center" textRotation="90"/>
    </xf>
    <xf numFmtId="0" fontId="2" fillId="53" borderId="0" xfId="0" applyNumberFormat="1" applyFont="1" applyFill="1" applyAlignment="1">
      <alignment horizontal="center" vertical="center" textRotation="90"/>
    </xf>
    <xf numFmtId="167" fontId="4" fillId="2" borderId="53" xfId="2" applyBorder="1" applyAlignment="1">
      <alignment horizontal="center"/>
    </xf>
    <xf numFmtId="167" fontId="4" fillId="2" borderId="54" xfId="2" applyBorder="1" applyAlignment="1">
      <alignment horizontal="center"/>
    </xf>
    <xf numFmtId="167" fontId="4" fillId="2" borderId="55" xfId="2" applyBorder="1" applyAlignment="1">
      <alignment horizontal="center"/>
    </xf>
    <xf numFmtId="167" fontId="15" fillId="0" borderId="0" xfId="0" applyFont="1" applyAlignment="1">
      <alignment wrapText="1"/>
    </xf>
    <xf numFmtId="166" fontId="2" fillId="0" borderId="19" xfId="0" applyNumberFormat="1" applyFont="1" applyBorder="1" applyAlignment="1">
      <alignment horizontal="center"/>
    </xf>
    <xf numFmtId="166" fontId="2" fillId="0" borderId="20" xfId="0" applyNumberFormat="1" applyFont="1" applyBorder="1" applyAlignment="1">
      <alignment horizontal="center"/>
    </xf>
    <xf numFmtId="166" fontId="0" fillId="0" borderId="17" xfId="0" applyNumberFormat="1" applyBorder="1" applyAlignment="1">
      <alignment horizontal="center" vertical="center"/>
    </xf>
    <xf numFmtId="166" fontId="0" fillId="0" borderId="22" xfId="0" applyNumberFormat="1" applyBorder="1" applyAlignment="1">
      <alignment horizontal="center" vertical="center"/>
    </xf>
    <xf numFmtId="166" fontId="0" fillId="0" borderId="25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center" vertical="center"/>
    </xf>
    <xf numFmtId="1" fontId="0" fillId="0" borderId="22" xfId="0" applyNumberFormat="1" applyBorder="1" applyAlignment="1">
      <alignment horizontal="center" vertical="center"/>
    </xf>
    <xf numFmtId="1" fontId="0" fillId="0" borderId="25" xfId="0" applyNumberFormat="1" applyBorder="1" applyAlignment="1">
      <alignment horizontal="center" vertical="center"/>
    </xf>
  </cellXfs>
  <cellStyles count="49">
    <cellStyle name="20% - Énfasis1" xfId="22" builtinId="30" customBuiltin="1"/>
    <cellStyle name="20% - Énfasis2" xfId="26" builtinId="34" customBuiltin="1"/>
    <cellStyle name="20% - Énfasis3" xfId="30" builtinId="38" customBuiltin="1"/>
    <cellStyle name="20% - Énfasis4" xfId="34" builtinId="42" customBuiltin="1"/>
    <cellStyle name="20% - Énfasis5" xfId="38" builtinId="46" customBuiltin="1"/>
    <cellStyle name="20% - Énfasis6" xfId="42" builtinId="50" customBuiltin="1"/>
    <cellStyle name="40% - Énfasis1" xfId="23" builtinId="31" customBuiltin="1"/>
    <cellStyle name="40% - Énfasis2" xfId="27" builtinId="35" customBuiltin="1"/>
    <cellStyle name="40% - Énfasis3" xfId="31" builtinId="39" customBuiltin="1"/>
    <cellStyle name="40% - Énfasis4" xfId="35" builtinId="43" customBuiltin="1"/>
    <cellStyle name="40% - Énfasis5" xfId="39" builtinId="47" customBuiltin="1"/>
    <cellStyle name="40% - Énfasis6" xfId="43" builtinId="51" customBuiltin="1"/>
    <cellStyle name="60% - Énfasis1" xfId="24" builtinId="32" customBuiltin="1"/>
    <cellStyle name="60% - Énfasis2" xfId="28" builtinId="36" customBuiltin="1"/>
    <cellStyle name="60% - Énfasis3" xfId="32" builtinId="40" customBuiltin="1"/>
    <cellStyle name="60% - Énfasis4" xfId="36" builtinId="44" customBuiltin="1"/>
    <cellStyle name="60% - Énfasis5" xfId="40" builtinId="48" customBuiltin="1"/>
    <cellStyle name="60% - Énfasis6" xfId="44" builtinId="52" customBuiltin="1"/>
    <cellStyle name="Bueno" xfId="13" builtinId="26" customBuiltin="1"/>
    <cellStyle name="Cálculo" xfId="3" builtinId="22" customBuiltin="1"/>
    <cellStyle name="Celda de comprobación" xfId="16" builtinId="23" customBuiltin="1"/>
    <cellStyle name="Celda vinculada" xfId="6" builtinId="24" customBuiltin="1"/>
    <cellStyle name="Encabezado 1" xfId="9" builtinId="16" customBuiltin="1"/>
    <cellStyle name="Encabezado 4" xfId="12" builtinId="19" customBuiltin="1"/>
    <cellStyle name="Énfasis1" xfId="21" builtinId="29" customBuiltin="1"/>
    <cellStyle name="Énfasis2" xfId="25" builtinId="33" customBuiltin="1"/>
    <cellStyle name="Énfasis3" xfId="29" builtinId="37" customBuiltin="1"/>
    <cellStyle name="Énfasis4" xfId="33" builtinId="41" customBuiltin="1"/>
    <cellStyle name="Énfasis5" xfId="37" builtinId="45" customBuiltin="1"/>
    <cellStyle name="Énfasis6" xfId="41" builtinId="49" customBuiltin="1"/>
    <cellStyle name="Entrada" xfId="2" builtinId="20" customBuiltin="1"/>
    <cellStyle name="Incorrecto" xfId="14" builtinId="27" customBuiltin="1"/>
    <cellStyle name="Millares" xfId="46" builtinId="3"/>
    <cellStyle name="Neutral" xfId="15" builtinId="28" customBuiltin="1"/>
    <cellStyle name="Normal" xfId="0" builtinId="0"/>
    <cellStyle name="Normal 2" xfId="1" xr:uid="{00000000-0005-0000-0000-000023000000}"/>
    <cellStyle name="Normal 3" xfId="5" xr:uid="{00000000-0005-0000-0000-000024000000}"/>
    <cellStyle name="Normal 4" xfId="45" xr:uid="{00000000-0005-0000-0000-000025000000}"/>
    <cellStyle name="Normal 5" xfId="47" xr:uid="{00000000-0005-0000-0000-000026000000}"/>
    <cellStyle name="Normal 6" xfId="48" xr:uid="{00000000-0005-0000-0000-000027000000}"/>
    <cellStyle name="Notas" xfId="18" builtinId="10" customBuiltin="1"/>
    <cellStyle name="Porcentaje" xfId="4" builtinId="5"/>
    <cellStyle name="Salida" xfId="7" builtinId="21" customBuiltin="1"/>
    <cellStyle name="Texto de advertencia" xfId="17" builtinId="11" customBuiltin="1"/>
    <cellStyle name="Texto explicativo" xfId="19" builtinId="53" customBuiltin="1"/>
    <cellStyle name="Título" xfId="8" builtinId="15" customBuiltin="1"/>
    <cellStyle name="Título 2" xfId="10" builtinId="17" customBuiltin="1"/>
    <cellStyle name="Título 3" xfId="11" builtinId="18" customBuiltin="1"/>
    <cellStyle name="Total" xfId="20" builtinId="25" customBuiltin="1"/>
  </cellStyles>
  <dxfs count="148">
    <dxf>
      <font>
        <color rgb="FF9C0006"/>
      </font>
      <fill>
        <patternFill>
          <bgColor rgb="FFFFC7CE"/>
        </patternFill>
      </fill>
    </dxf>
    <dxf>
      <numFmt numFmtId="166" formatCode="0.0"/>
    </dxf>
    <dxf>
      <numFmt numFmtId="174" formatCode="0.00000"/>
    </dxf>
    <dxf>
      <numFmt numFmtId="166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theme="0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</dxfs>
  <tableStyles count="0" defaultTableStyle="TableStyleMedium2" defaultPivotStyle="PivotStyleLight16"/>
  <colors>
    <mruColors>
      <color rgb="FFFEFDE5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theme" Target="theme/theme1.xml"/><Relationship Id="rId3" Type="http://schemas.openxmlformats.org/officeDocument/2006/relationships/worksheet" Target="worksheets/sheet2.xml"/><Relationship Id="rId21" Type="http://schemas.openxmlformats.org/officeDocument/2006/relationships/calcChain" Target="calcChain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pivotCacheDefinition" Target="pivotCache/pivotCacheDefinition1.xml"/><Relationship Id="rId2" Type="http://schemas.openxmlformats.org/officeDocument/2006/relationships/chartsheet" Target="chartsheets/sheet1.xml"/><Relationship Id="rId16" Type="http://schemas.openxmlformats.org/officeDocument/2006/relationships/worksheet" Target="worksheets/sheet15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Simplified nitrogen 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>
        <c:manualLayout>
          <c:layoutTarget val="inner"/>
          <c:xMode val="edge"/>
          <c:yMode val="edge"/>
          <c:x val="7.0442192912028731E-2"/>
          <c:y val="0.12348739642625668"/>
          <c:w val="0.88652573494843334"/>
          <c:h val="0.68241354626909878"/>
        </c:manualLayout>
      </c:layout>
      <c:barChart>
        <c:barDir val="col"/>
        <c:grouping val="clustered"/>
        <c:varyColors val="0"/>
        <c:ser>
          <c:idx val="0"/>
          <c:order val="2"/>
          <c:tx>
            <c:strRef>
              <c:f>'Res Bal Sem'!$C$3</c:f>
              <c:strCache>
                <c:ptCount val="1"/>
                <c:pt idx="0">
                  <c:v>N fertilizer</c:v>
                </c:pt>
              </c:strCache>
            </c:strRef>
          </c:tx>
          <c:spPr>
            <a:solidFill>
              <a:srgbClr val="FF0000"/>
            </a:solidFill>
            <a:ln w="25400">
              <a:solidFill>
                <a:srgbClr val="FF0000"/>
              </a:solidFill>
            </a:ln>
            <a:effectLst/>
          </c:spPr>
          <c:invertIfNegative val="0"/>
          <c:cat>
            <c:numRef>
              <c:f>'Res Bal Sem'!$B$4:$B$34</c:f>
              <c:numCache>
                <c:formatCode>m/d/yyyy</c:formatCode>
                <c:ptCount val="31"/>
                <c:pt idx="0">
                  <c:v>42346</c:v>
                </c:pt>
                <c:pt idx="1">
                  <c:v>42353</c:v>
                </c:pt>
                <c:pt idx="2">
                  <c:v>42360</c:v>
                </c:pt>
                <c:pt idx="3">
                  <c:v>42367</c:v>
                </c:pt>
                <c:pt idx="4">
                  <c:v>42374</c:v>
                </c:pt>
                <c:pt idx="5">
                  <c:v>42381</c:v>
                </c:pt>
                <c:pt idx="6">
                  <c:v>42388</c:v>
                </c:pt>
                <c:pt idx="7">
                  <c:v>42395</c:v>
                </c:pt>
                <c:pt idx="8">
                  <c:v>42402</c:v>
                </c:pt>
                <c:pt idx="9">
                  <c:v>42409</c:v>
                </c:pt>
                <c:pt idx="10">
                  <c:v>42416</c:v>
                </c:pt>
                <c:pt idx="11">
                  <c:v>42423</c:v>
                </c:pt>
                <c:pt idx="12">
                  <c:v>42430</c:v>
                </c:pt>
                <c:pt idx="13">
                  <c:v>42437</c:v>
                </c:pt>
                <c:pt idx="14">
                  <c:v>42444</c:v>
                </c:pt>
                <c:pt idx="15">
                  <c:v>42451</c:v>
                </c:pt>
                <c:pt idx="16">
                  <c:v>42458</c:v>
                </c:pt>
                <c:pt idx="17">
                  <c:v>42465</c:v>
                </c:pt>
                <c:pt idx="18">
                  <c:v>42472</c:v>
                </c:pt>
                <c:pt idx="19">
                  <c:v>42479</c:v>
                </c:pt>
                <c:pt idx="20">
                  <c:v>42486</c:v>
                </c:pt>
                <c:pt idx="21">
                  <c:v>42493</c:v>
                </c:pt>
                <c:pt idx="22">
                  <c:v>42500</c:v>
                </c:pt>
                <c:pt idx="23">
                  <c:v>42507</c:v>
                </c:pt>
                <c:pt idx="24">
                  <c:v>42514</c:v>
                </c:pt>
                <c:pt idx="25">
                  <c:v>42521</c:v>
                </c:pt>
                <c:pt idx="26">
                  <c:v>42528</c:v>
                </c:pt>
                <c:pt idx="27">
                  <c:v>42535</c:v>
                </c:pt>
                <c:pt idx="28">
                  <c:v>42542</c:v>
                </c:pt>
                <c:pt idx="29">
                  <c:v>42549</c:v>
                </c:pt>
                <c:pt idx="30">
                  <c:v>42556</c:v>
                </c:pt>
              </c:numCache>
            </c:numRef>
          </c:cat>
          <c:val>
            <c:numRef>
              <c:f>'Res Bal Sem'!$C$4:$C$37</c:f>
              <c:numCache>
                <c:formatCode>General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14.52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88.32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70.38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21.76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C4-41A0-AA0B-8EE237B9BA53}"/>
            </c:ext>
          </c:extLst>
        </c:ser>
        <c:ser>
          <c:idx val="1"/>
          <c:order val="3"/>
          <c:tx>
            <c:strRef>
              <c:f>'Res Bal Sem'!$D$3</c:f>
              <c:strCache>
                <c:ptCount val="1"/>
                <c:pt idx="0">
                  <c:v>N watering</c:v>
                </c:pt>
              </c:strCache>
            </c:strRef>
          </c:tx>
          <c:spPr>
            <a:solidFill>
              <a:srgbClr val="00B0F0"/>
            </a:solidFill>
            <a:ln w="31750">
              <a:solidFill>
                <a:srgbClr val="00B0F0"/>
              </a:solidFill>
            </a:ln>
            <a:effectLst/>
          </c:spPr>
          <c:invertIfNegative val="0"/>
          <c:cat>
            <c:numRef>
              <c:f>'Res Bal Sem'!$B$4:$B$34</c:f>
              <c:numCache>
                <c:formatCode>m/d/yyyy</c:formatCode>
                <c:ptCount val="31"/>
                <c:pt idx="0">
                  <c:v>42346</c:v>
                </c:pt>
                <c:pt idx="1">
                  <c:v>42353</c:v>
                </c:pt>
                <c:pt idx="2">
                  <c:v>42360</c:v>
                </c:pt>
                <c:pt idx="3">
                  <c:v>42367</c:v>
                </c:pt>
                <c:pt idx="4">
                  <c:v>42374</c:v>
                </c:pt>
                <c:pt idx="5">
                  <c:v>42381</c:v>
                </c:pt>
                <c:pt idx="6">
                  <c:v>42388</c:v>
                </c:pt>
                <c:pt idx="7">
                  <c:v>42395</c:v>
                </c:pt>
                <c:pt idx="8">
                  <c:v>42402</c:v>
                </c:pt>
                <c:pt idx="9">
                  <c:v>42409</c:v>
                </c:pt>
                <c:pt idx="10">
                  <c:v>42416</c:v>
                </c:pt>
                <c:pt idx="11">
                  <c:v>42423</c:v>
                </c:pt>
                <c:pt idx="12">
                  <c:v>42430</c:v>
                </c:pt>
                <c:pt idx="13">
                  <c:v>42437</c:v>
                </c:pt>
                <c:pt idx="14">
                  <c:v>42444</c:v>
                </c:pt>
                <c:pt idx="15">
                  <c:v>42451</c:v>
                </c:pt>
                <c:pt idx="16">
                  <c:v>42458</c:v>
                </c:pt>
                <c:pt idx="17">
                  <c:v>42465</c:v>
                </c:pt>
                <c:pt idx="18">
                  <c:v>42472</c:v>
                </c:pt>
                <c:pt idx="19">
                  <c:v>42479</c:v>
                </c:pt>
                <c:pt idx="20">
                  <c:v>42486</c:v>
                </c:pt>
                <c:pt idx="21">
                  <c:v>42493</c:v>
                </c:pt>
                <c:pt idx="22">
                  <c:v>42500</c:v>
                </c:pt>
                <c:pt idx="23">
                  <c:v>42507</c:v>
                </c:pt>
                <c:pt idx="24">
                  <c:v>42514</c:v>
                </c:pt>
                <c:pt idx="25">
                  <c:v>42521</c:v>
                </c:pt>
                <c:pt idx="26">
                  <c:v>42528</c:v>
                </c:pt>
                <c:pt idx="27">
                  <c:v>42535</c:v>
                </c:pt>
                <c:pt idx="28">
                  <c:v>42542</c:v>
                </c:pt>
                <c:pt idx="29">
                  <c:v>42549</c:v>
                </c:pt>
                <c:pt idx="30">
                  <c:v>42556</c:v>
                </c:pt>
              </c:numCache>
            </c:numRef>
          </c:cat>
          <c:val>
            <c:numRef>
              <c:f>'Res Bal Sem'!$D$4:$D$37</c:f>
              <c:numCache>
                <c:formatCode>General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 formatCode="0.0">
                  <c:v>0</c:v>
                </c:pt>
                <c:pt idx="6" formatCode="0.0">
                  <c:v>0</c:v>
                </c:pt>
                <c:pt idx="7" formatCode="0.0">
                  <c:v>0</c:v>
                </c:pt>
                <c:pt idx="8" formatCode="0.0">
                  <c:v>0</c:v>
                </c:pt>
                <c:pt idx="9" formatCode="0.0">
                  <c:v>0</c:v>
                </c:pt>
                <c:pt idx="10" formatCode="0.0">
                  <c:v>0</c:v>
                </c:pt>
                <c:pt idx="11" formatCode="0.0">
                  <c:v>0</c:v>
                </c:pt>
                <c:pt idx="12" formatCode="0.0">
                  <c:v>0</c:v>
                </c:pt>
                <c:pt idx="13" formatCode="0.0">
                  <c:v>0</c:v>
                </c:pt>
                <c:pt idx="14" formatCode="0.0">
                  <c:v>0</c:v>
                </c:pt>
                <c:pt idx="15" formatCode="0.0">
                  <c:v>0</c:v>
                </c:pt>
                <c:pt idx="16" formatCode="0.0">
                  <c:v>0</c:v>
                </c:pt>
                <c:pt idx="17" formatCode="0.0">
                  <c:v>0</c:v>
                </c:pt>
                <c:pt idx="18" formatCode="0.0">
                  <c:v>0</c:v>
                </c:pt>
                <c:pt idx="19" formatCode="0.0">
                  <c:v>0</c:v>
                </c:pt>
                <c:pt idx="20" formatCode="0.0">
                  <c:v>0</c:v>
                </c:pt>
                <c:pt idx="21" formatCode="0.0">
                  <c:v>0</c:v>
                </c:pt>
                <c:pt idx="22" formatCode="0.0">
                  <c:v>0</c:v>
                </c:pt>
                <c:pt idx="23" formatCode="0.0">
                  <c:v>0</c:v>
                </c:pt>
                <c:pt idx="24" formatCode="0.0">
                  <c:v>0</c:v>
                </c:pt>
                <c:pt idx="25" formatCode="0.0">
                  <c:v>0</c:v>
                </c:pt>
                <c:pt idx="26" formatCode="0.0">
                  <c:v>0</c:v>
                </c:pt>
                <c:pt idx="27" formatCode="0.0">
                  <c:v>0</c:v>
                </c:pt>
                <c:pt idx="28" formatCode="0.0">
                  <c:v>0</c:v>
                </c:pt>
                <c:pt idx="29" formatCode="0.0">
                  <c:v>0</c:v>
                </c:pt>
                <c:pt idx="30" formatCode="0.0">
                  <c:v>0</c:v>
                </c:pt>
                <c:pt idx="31" formatCode="0.0">
                  <c:v>0</c:v>
                </c:pt>
                <c:pt idx="32" formatCode="0.0">
                  <c:v>0</c:v>
                </c:pt>
                <c:pt idx="33" formatCode="0.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C4-41A0-AA0B-8EE237B9BA53}"/>
            </c:ext>
          </c:extLst>
        </c:ser>
        <c:ser>
          <c:idx val="4"/>
          <c:order val="6"/>
          <c:tx>
            <c:strRef>
              <c:f>'Res Bal Sem'!$H$3</c:f>
              <c:strCache>
                <c:ptCount val="1"/>
                <c:pt idx="0">
                  <c:v>N leached</c:v>
                </c:pt>
              </c:strCache>
              <c:extLst xmlns:c15="http://schemas.microsoft.com/office/drawing/2012/chart"/>
            </c:strRef>
          </c:tx>
          <c:spPr>
            <a:solidFill>
              <a:srgbClr val="00B050"/>
            </a:solidFill>
            <a:ln w="25400">
              <a:solidFill>
                <a:srgbClr val="00B050"/>
              </a:solidFill>
            </a:ln>
            <a:effectLst/>
          </c:spPr>
          <c:invertIfNegative val="0"/>
          <c:cat>
            <c:numRef>
              <c:f>'Res Bal Sem'!$B$4:$B$34</c:f>
              <c:numCache>
                <c:formatCode>m/d/yyyy</c:formatCode>
                <c:ptCount val="31"/>
                <c:pt idx="0">
                  <c:v>42346</c:v>
                </c:pt>
                <c:pt idx="1">
                  <c:v>42353</c:v>
                </c:pt>
                <c:pt idx="2">
                  <c:v>42360</c:v>
                </c:pt>
                <c:pt idx="3">
                  <c:v>42367</c:v>
                </c:pt>
                <c:pt idx="4">
                  <c:v>42374</c:v>
                </c:pt>
                <c:pt idx="5">
                  <c:v>42381</c:v>
                </c:pt>
                <c:pt idx="6">
                  <c:v>42388</c:v>
                </c:pt>
                <c:pt idx="7">
                  <c:v>42395</c:v>
                </c:pt>
                <c:pt idx="8">
                  <c:v>42402</c:v>
                </c:pt>
                <c:pt idx="9">
                  <c:v>42409</c:v>
                </c:pt>
                <c:pt idx="10">
                  <c:v>42416</c:v>
                </c:pt>
                <c:pt idx="11">
                  <c:v>42423</c:v>
                </c:pt>
                <c:pt idx="12">
                  <c:v>42430</c:v>
                </c:pt>
                <c:pt idx="13">
                  <c:v>42437</c:v>
                </c:pt>
                <c:pt idx="14">
                  <c:v>42444</c:v>
                </c:pt>
                <c:pt idx="15">
                  <c:v>42451</c:v>
                </c:pt>
                <c:pt idx="16">
                  <c:v>42458</c:v>
                </c:pt>
                <c:pt idx="17">
                  <c:v>42465</c:v>
                </c:pt>
                <c:pt idx="18">
                  <c:v>42472</c:v>
                </c:pt>
                <c:pt idx="19">
                  <c:v>42479</c:v>
                </c:pt>
                <c:pt idx="20">
                  <c:v>42486</c:v>
                </c:pt>
                <c:pt idx="21">
                  <c:v>42493</c:v>
                </c:pt>
                <c:pt idx="22">
                  <c:v>42500</c:v>
                </c:pt>
                <c:pt idx="23">
                  <c:v>42507</c:v>
                </c:pt>
                <c:pt idx="24">
                  <c:v>42514</c:v>
                </c:pt>
                <c:pt idx="25">
                  <c:v>42521</c:v>
                </c:pt>
                <c:pt idx="26">
                  <c:v>42528</c:v>
                </c:pt>
                <c:pt idx="27">
                  <c:v>42535</c:v>
                </c:pt>
                <c:pt idx="28">
                  <c:v>42542</c:v>
                </c:pt>
                <c:pt idx="29">
                  <c:v>42549</c:v>
                </c:pt>
                <c:pt idx="30">
                  <c:v>42556</c:v>
                </c:pt>
              </c:numCache>
            </c:numRef>
          </c:cat>
          <c:val>
            <c:numRef>
              <c:f>'Res Bal Sem'!$H$4:$H$37</c:f>
              <c:numCache>
                <c:formatCode>General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 formatCode="0.0">
                  <c:v>-0.57092100295794512</c:v>
                </c:pt>
                <c:pt idx="16" formatCode="0.0">
                  <c:v>-4.5897563640178092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C4-41A0-AA0B-8EE237B9BA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5219256"/>
        <c:axId val="155223176"/>
      </c:barChart>
      <c:scatterChart>
        <c:scatterStyle val="lineMarker"/>
        <c:varyColors val="0"/>
        <c:ser>
          <c:idx val="2"/>
          <c:order val="4"/>
          <c:tx>
            <c:strRef>
              <c:f>'Res Bal Sem'!$E$3</c:f>
              <c:strCache>
                <c:ptCount val="1"/>
                <c:pt idx="0">
                  <c:v>N mineralized</c:v>
                </c:pt>
              </c:strCache>
            </c:strRef>
          </c:tx>
          <c:spPr>
            <a:ln w="63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'Res Bal Sem'!$B$4:$B$37</c:f>
              <c:numCache>
                <c:formatCode>m/d/yyyy</c:formatCode>
                <c:ptCount val="34"/>
                <c:pt idx="0">
                  <c:v>42346</c:v>
                </c:pt>
                <c:pt idx="1">
                  <c:v>42353</c:v>
                </c:pt>
                <c:pt idx="2">
                  <c:v>42360</c:v>
                </c:pt>
                <c:pt idx="3">
                  <c:v>42367</c:v>
                </c:pt>
                <c:pt idx="4">
                  <c:v>42374</c:v>
                </c:pt>
                <c:pt idx="5">
                  <c:v>42381</c:v>
                </c:pt>
                <c:pt idx="6">
                  <c:v>42388</c:v>
                </c:pt>
                <c:pt idx="7">
                  <c:v>42395</c:v>
                </c:pt>
                <c:pt idx="8">
                  <c:v>42402</c:v>
                </c:pt>
                <c:pt idx="9">
                  <c:v>42409</c:v>
                </c:pt>
                <c:pt idx="10">
                  <c:v>42416</c:v>
                </c:pt>
                <c:pt idx="11">
                  <c:v>42423</c:v>
                </c:pt>
                <c:pt idx="12">
                  <c:v>42430</c:v>
                </c:pt>
                <c:pt idx="13">
                  <c:v>42437</c:v>
                </c:pt>
                <c:pt idx="14">
                  <c:v>42444</c:v>
                </c:pt>
                <c:pt idx="15">
                  <c:v>42451</c:v>
                </c:pt>
                <c:pt idx="16">
                  <c:v>42458</c:v>
                </c:pt>
                <c:pt idx="17">
                  <c:v>42465</c:v>
                </c:pt>
                <c:pt idx="18">
                  <c:v>42472</c:v>
                </c:pt>
                <c:pt idx="19">
                  <c:v>42479</c:v>
                </c:pt>
                <c:pt idx="20">
                  <c:v>42486</c:v>
                </c:pt>
                <c:pt idx="21">
                  <c:v>42493</c:v>
                </c:pt>
                <c:pt idx="22">
                  <c:v>42500</c:v>
                </c:pt>
                <c:pt idx="23">
                  <c:v>42507</c:v>
                </c:pt>
                <c:pt idx="24">
                  <c:v>42514</c:v>
                </c:pt>
                <c:pt idx="25">
                  <c:v>42521</c:v>
                </c:pt>
                <c:pt idx="26">
                  <c:v>42528</c:v>
                </c:pt>
                <c:pt idx="27">
                  <c:v>42535</c:v>
                </c:pt>
                <c:pt idx="28">
                  <c:v>42542</c:v>
                </c:pt>
                <c:pt idx="29">
                  <c:v>42549</c:v>
                </c:pt>
                <c:pt idx="30">
                  <c:v>42556</c:v>
                </c:pt>
                <c:pt idx="31">
                  <c:v>42563</c:v>
                </c:pt>
                <c:pt idx="32">
                  <c:v>42570</c:v>
                </c:pt>
                <c:pt idx="33">
                  <c:v>42577</c:v>
                </c:pt>
              </c:numCache>
            </c:numRef>
          </c:xVal>
          <c:yVal>
            <c:numRef>
              <c:f>'Res Bal Sem'!$E$4:$E$37</c:f>
              <c:numCache>
                <c:formatCode>General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 formatCode="0.0">
                  <c:v>0</c:v>
                </c:pt>
                <c:pt idx="8" formatCode="0.0">
                  <c:v>0</c:v>
                </c:pt>
                <c:pt idx="9" formatCode="0.0">
                  <c:v>0</c:v>
                </c:pt>
                <c:pt idx="10" formatCode="0.0">
                  <c:v>0</c:v>
                </c:pt>
                <c:pt idx="11" formatCode="0.0">
                  <c:v>0</c:v>
                </c:pt>
                <c:pt idx="12" formatCode="0.0">
                  <c:v>0</c:v>
                </c:pt>
                <c:pt idx="13" formatCode="0.0">
                  <c:v>0.56000000000000005</c:v>
                </c:pt>
                <c:pt idx="14" formatCode="0.0">
                  <c:v>0</c:v>
                </c:pt>
                <c:pt idx="15" formatCode="0.0">
                  <c:v>0</c:v>
                </c:pt>
                <c:pt idx="16" formatCode="0.0">
                  <c:v>0.79800000000000004</c:v>
                </c:pt>
                <c:pt idx="17" formatCode="0.0">
                  <c:v>2.7199999999999998</c:v>
                </c:pt>
                <c:pt idx="18" formatCode="0.0">
                  <c:v>0</c:v>
                </c:pt>
                <c:pt idx="19" formatCode="0.0">
                  <c:v>0.57600000000000007</c:v>
                </c:pt>
                <c:pt idx="20" formatCode="0.0">
                  <c:v>2.6480000000000001</c:v>
                </c:pt>
                <c:pt idx="21" formatCode="0.0">
                  <c:v>6.2690000000000001</c:v>
                </c:pt>
                <c:pt idx="22" formatCode="0.0">
                  <c:v>10.214000000000002</c:v>
                </c:pt>
                <c:pt idx="23" formatCode="0.0">
                  <c:v>13.085000000000001</c:v>
                </c:pt>
                <c:pt idx="24" formatCode="0.0">
                  <c:v>6.4080000000000013</c:v>
                </c:pt>
                <c:pt idx="25" formatCode="0.0">
                  <c:v>10.952</c:v>
                </c:pt>
                <c:pt idx="26">
                  <c:v>14.160000000000002</c:v>
                </c:pt>
                <c:pt idx="27">
                  <c:v>11.472000000000001</c:v>
                </c:pt>
                <c:pt idx="28">
                  <c:v>12.618000000000002</c:v>
                </c:pt>
                <c:pt idx="29">
                  <c:v>5.8049999999999997</c:v>
                </c:pt>
                <c:pt idx="30">
                  <c:v>1.8280000000000003</c:v>
                </c:pt>
                <c:pt idx="31">
                  <c:v>1.9530000000000001</c:v>
                </c:pt>
                <c:pt idx="32">
                  <c:v>1.6450000000000002</c:v>
                </c:pt>
                <c:pt idx="3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2C4-41A0-AA0B-8EE237B9BA53}"/>
            </c:ext>
          </c:extLst>
        </c:ser>
        <c:ser>
          <c:idx val="3"/>
          <c:order val="5"/>
          <c:tx>
            <c:strRef>
              <c:f>'Res Bal Sem'!$G$3</c:f>
              <c:strCache>
                <c:ptCount val="1"/>
                <c:pt idx="0">
                  <c:v>N uptake</c:v>
                </c:pt>
              </c:strCache>
            </c:strRef>
          </c:tx>
          <c:spPr>
            <a:ln w="63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'Res Bal Sem'!$B$4:$B$37</c:f>
              <c:numCache>
                <c:formatCode>m/d/yyyy</c:formatCode>
                <c:ptCount val="34"/>
                <c:pt idx="0">
                  <c:v>42346</c:v>
                </c:pt>
                <c:pt idx="1">
                  <c:v>42353</c:v>
                </c:pt>
                <c:pt idx="2">
                  <c:v>42360</c:v>
                </c:pt>
                <c:pt idx="3">
                  <c:v>42367</c:v>
                </c:pt>
                <c:pt idx="4">
                  <c:v>42374</c:v>
                </c:pt>
                <c:pt idx="5">
                  <c:v>42381</c:v>
                </c:pt>
                <c:pt idx="6">
                  <c:v>42388</c:v>
                </c:pt>
                <c:pt idx="7">
                  <c:v>42395</c:v>
                </c:pt>
                <c:pt idx="8">
                  <c:v>42402</c:v>
                </c:pt>
                <c:pt idx="9">
                  <c:v>42409</c:v>
                </c:pt>
                <c:pt idx="10">
                  <c:v>42416</c:v>
                </c:pt>
                <c:pt idx="11">
                  <c:v>42423</c:v>
                </c:pt>
                <c:pt idx="12">
                  <c:v>42430</c:v>
                </c:pt>
                <c:pt idx="13">
                  <c:v>42437</c:v>
                </c:pt>
                <c:pt idx="14">
                  <c:v>42444</c:v>
                </c:pt>
                <c:pt idx="15">
                  <c:v>42451</c:v>
                </c:pt>
                <c:pt idx="16">
                  <c:v>42458</c:v>
                </c:pt>
                <c:pt idx="17">
                  <c:v>42465</c:v>
                </c:pt>
                <c:pt idx="18">
                  <c:v>42472</c:v>
                </c:pt>
                <c:pt idx="19">
                  <c:v>42479</c:v>
                </c:pt>
                <c:pt idx="20">
                  <c:v>42486</c:v>
                </c:pt>
                <c:pt idx="21">
                  <c:v>42493</c:v>
                </c:pt>
                <c:pt idx="22">
                  <c:v>42500</c:v>
                </c:pt>
                <c:pt idx="23">
                  <c:v>42507</c:v>
                </c:pt>
                <c:pt idx="24">
                  <c:v>42514</c:v>
                </c:pt>
                <c:pt idx="25">
                  <c:v>42521</c:v>
                </c:pt>
                <c:pt idx="26">
                  <c:v>42528</c:v>
                </c:pt>
                <c:pt idx="27">
                  <c:v>42535</c:v>
                </c:pt>
                <c:pt idx="28">
                  <c:v>42542</c:v>
                </c:pt>
                <c:pt idx="29">
                  <c:v>42549</c:v>
                </c:pt>
                <c:pt idx="30">
                  <c:v>42556</c:v>
                </c:pt>
                <c:pt idx="31">
                  <c:v>42563</c:v>
                </c:pt>
                <c:pt idx="32">
                  <c:v>42570</c:v>
                </c:pt>
                <c:pt idx="33">
                  <c:v>42577</c:v>
                </c:pt>
              </c:numCache>
            </c:numRef>
          </c:xVal>
          <c:yVal>
            <c:numRef>
              <c:f>'Res Bal Sem'!$G$4:$G$37</c:f>
              <c:numCache>
                <c:formatCode>General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 formatCode="0.0">
                  <c:v>0</c:v>
                </c:pt>
                <c:pt idx="6" formatCode="0.0">
                  <c:v>0</c:v>
                </c:pt>
                <c:pt idx="7" formatCode="0.0">
                  <c:v>-0.97615945945945926</c:v>
                </c:pt>
                <c:pt idx="8" formatCode="0.0">
                  <c:v>-6.8331162162162133</c:v>
                </c:pt>
                <c:pt idx="9" formatCode="0.0">
                  <c:v>-5.5873508108108112</c:v>
                </c:pt>
                <c:pt idx="10" formatCode="0.0">
                  <c:v>-4.6530267567567583</c:v>
                </c:pt>
                <c:pt idx="11" formatCode="0.0">
                  <c:v>-6.1102933783783788</c:v>
                </c:pt>
                <c:pt idx="12" formatCode="0.0">
                  <c:v>-14.29874391891892</c:v>
                </c:pt>
                <c:pt idx="13" formatCode="0.0">
                  <c:v>-24.229844035414729</c:v>
                </c:pt>
                <c:pt idx="14" formatCode="0.0">
                  <c:v>-10.023666961789376</c:v>
                </c:pt>
                <c:pt idx="15" formatCode="0.0">
                  <c:v>-10.023666961789376</c:v>
                </c:pt>
                <c:pt idx="16" formatCode="0.0">
                  <c:v>-10.023666961789376</c:v>
                </c:pt>
                <c:pt idx="17" formatCode="0.0">
                  <c:v>-11.874346117623977</c:v>
                </c:pt>
                <c:pt idx="18" formatCode="0.0">
                  <c:v>-22.978421052631578</c:v>
                </c:pt>
                <c:pt idx="19" formatCode="0.0">
                  <c:v>-22.978421052631578</c:v>
                </c:pt>
                <c:pt idx="20" formatCode="0.0">
                  <c:v>-17.003703315789441</c:v>
                </c:pt>
                <c:pt idx="21" formatCode="0.0">
                  <c:v>-19.646549999999991</c:v>
                </c:pt>
                <c:pt idx="22" formatCode="0.0">
                  <c:v>-27.84196800000003</c:v>
                </c:pt>
                <c:pt idx="23" formatCode="0.0">
                  <c:v>-29.355479999999794</c:v>
                </c:pt>
                <c:pt idx="24" formatCode="0.0">
                  <c:v>-25.259849999999901</c:v>
                </c:pt>
                <c:pt idx="25" formatCode="0.0">
                  <c:v>-29.774249999999999</c:v>
                </c:pt>
                <c:pt idx="26" formatCode="0.0">
                  <c:v>-8.3160000000000007</c:v>
                </c:pt>
                <c:pt idx="27" formatCode="0.0">
                  <c:v>-8.3160000000000007</c:v>
                </c:pt>
                <c:pt idx="28" formatCode="0.0">
                  <c:v>-13.365000000000002</c:v>
                </c:pt>
                <c:pt idx="29" formatCode="0.0">
                  <c:v>-12.474000000000002</c:v>
                </c:pt>
                <c:pt idx="30" formatCode="0.0">
                  <c:v>0</c:v>
                </c:pt>
                <c:pt idx="31" formatCode="0.0">
                  <c:v>0</c:v>
                </c:pt>
                <c:pt idx="32" formatCode="0.0">
                  <c:v>0</c:v>
                </c:pt>
                <c:pt idx="33" formatCode="0.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2C4-41A0-AA0B-8EE237B9BA53}"/>
            </c:ext>
          </c:extLst>
        </c:ser>
        <c:ser>
          <c:idx val="5"/>
          <c:order val="7"/>
          <c:tx>
            <c:strRef>
              <c:f>'Res Bal Sem'!$I$3</c:f>
              <c:strCache>
                <c:ptCount val="1"/>
                <c:pt idx="0">
                  <c:v>N min soil</c:v>
                </c:pt>
              </c:strCache>
            </c:strRef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'Res Bal Sem'!$B$4:$B$37</c:f>
              <c:numCache>
                <c:formatCode>m/d/yyyy</c:formatCode>
                <c:ptCount val="34"/>
                <c:pt idx="0">
                  <c:v>42346</c:v>
                </c:pt>
                <c:pt idx="1">
                  <c:v>42353</c:v>
                </c:pt>
                <c:pt idx="2">
                  <c:v>42360</c:v>
                </c:pt>
                <c:pt idx="3">
                  <c:v>42367</c:v>
                </c:pt>
                <c:pt idx="4">
                  <c:v>42374</c:v>
                </c:pt>
                <c:pt idx="5">
                  <c:v>42381</c:v>
                </c:pt>
                <c:pt idx="6">
                  <c:v>42388</c:v>
                </c:pt>
                <c:pt idx="7">
                  <c:v>42395</c:v>
                </c:pt>
                <c:pt idx="8">
                  <c:v>42402</c:v>
                </c:pt>
                <c:pt idx="9">
                  <c:v>42409</c:v>
                </c:pt>
                <c:pt idx="10">
                  <c:v>42416</c:v>
                </c:pt>
                <c:pt idx="11">
                  <c:v>42423</c:v>
                </c:pt>
                <c:pt idx="12">
                  <c:v>42430</c:v>
                </c:pt>
                <c:pt idx="13">
                  <c:v>42437</c:v>
                </c:pt>
                <c:pt idx="14">
                  <c:v>42444</c:v>
                </c:pt>
                <c:pt idx="15">
                  <c:v>42451</c:v>
                </c:pt>
                <c:pt idx="16">
                  <c:v>42458</c:v>
                </c:pt>
                <c:pt idx="17">
                  <c:v>42465</c:v>
                </c:pt>
                <c:pt idx="18">
                  <c:v>42472</c:v>
                </c:pt>
                <c:pt idx="19">
                  <c:v>42479</c:v>
                </c:pt>
                <c:pt idx="20">
                  <c:v>42486</c:v>
                </c:pt>
                <c:pt idx="21">
                  <c:v>42493</c:v>
                </c:pt>
                <c:pt idx="22">
                  <c:v>42500</c:v>
                </c:pt>
                <c:pt idx="23">
                  <c:v>42507</c:v>
                </c:pt>
                <c:pt idx="24">
                  <c:v>42514</c:v>
                </c:pt>
                <c:pt idx="25">
                  <c:v>42521</c:v>
                </c:pt>
                <c:pt idx="26">
                  <c:v>42528</c:v>
                </c:pt>
                <c:pt idx="27">
                  <c:v>42535</c:v>
                </c:pt>
                <c:pt idx="28">
                  <c:v>42542</c:v>
                </c:pt>
                <c:pt idx="29">
                  <c:v>42549</c:v>
                </c:pt>
                <c:pt idx="30">
                  <c:v>42556</c:v>
                </c:pt>
                <c:pt idx="31">
                  <c:v>42563</c:v>
                </c:pt>
                <c:pt idx="32">
                  <c:v>42570</c:v>
                </c:pt>
                <c:pt idx="33">
                  <c:v>42577</c:v>
                </c:pt>
              </c:numCache>
            </c:numRef>
          </c:xVal>
          <c:yVal>
            <c:numRef>
              <c:f>'Res Bal Sem'!$I$4:$I$37</c:f>
              <c:numCache>
                <c:formatCode>0.0</c:formatCode>
                <c:ptCount val="34"/>
                <c:pt idx="0">
                  <c:v>66.64</c:v>
                </c:pt>
                <c:pt idx="1">
                  <c:v>66.64</c:v>
                </c:pt>
                <c:pt idx="2">
                  <c:v>66.64</c:v>
                </c:pt>
                <c:pt idx="3">
                  <c:v>66.64</c:v>
                </c:pt>
                <c:pt idx="4">
                  <c:v>81.16</c:v>
                </c:pt>
                <c:pt idx="5">
                  <c:v>81.16</c:v>
                </c:pt>
                <c:pt idx="6">
                  <c:v>81.16</c:v>
                </c:pt>
                <c:pt idx="7">
                  <c:v>80.183840540540544</c:v>
                </c:pt>
                <c:pt idx="8">
                  <c:v>73.350724324324332</c:v>
                </c:pt>
                <c:pt idx="9">
                  <c:v>67.763373513513528</c:v>
                </c:pt>
                <c:pt idx="10">
                  <c:v>63.110346756756769</c:v>
                </c:pt>
                <c:pt idx="11">
                  <c:v>57.000053378378389</c:v>
                </c:pt>
                <c:pt idx="12">
                  <c:v>42.701309459459466</c:v>
                </c:pt>
                <c:pt idx="13">
                  <c:v>107.35146542404475</c:v>
                </c:pt>
                <c:pt idx="14">
                  <c:v>97.327798462255373</c:v>
                </c:pt>
                <c:pt idx="15">
                  <c:v>86.733210497508054</c:v>
                </c:pt>
                <c:pt idx="16">
                  <c:v>72.917787171700866</c:v>
                </c:pt>
                <c:pt idx="17">
                  <c:v>63.763441054076885</c:v>
                </c:pt>
                <c:pt idx="18">
                  <c:v>40.785020001445304</c:v>
                </c:pt>
                <c:pt idx="19">
                  <c:v>88.762598948813718</c:v>
                </c:pt>
                <c:pt idx="20">
                  <c:v>74.406895633024277</c:v>
                </c:pt>
                <c:pt idx="21">
                  <c:v>61.029345633024292</c:v>
                </c:pt>
                <c:pt idx="22">
                  <c:v>43.401377633024261</c:v>
                </c:pt>
                <c:pt idx="23">
                  <c:v>48.890897633024458</c:v>
                </c:pt>
                <c:pt idx="24">
                  <c:v>30.039047633024559</c:v>
                </c:pt>
                <c:pt idx="25">
                  <c:v>11.216797633024559</c:v>
                </c:pt>
                <c:pt idx="26">
                  <c:v>17.060797633024556</c:v>
                </c:pt>
                <c:pt idx="27">
                  <c:v>20.216797633024555</c:v>
                </c:pt>
                <c:pt idx="28">
                  <c:v>19.469797633024555</c:v>
                </c:pt>
                <c:pt idx="29">
                  <c:v>12.800797633024553</c:v>
                </c:pt>
                <c:pt idx="30">
                  <c:v>14.628797633024554</c:v>
                </c:pt>
                <c:pt idx="31">
                  <c:v>16.581797633024554</c:v>
                </c:pt>
                <c:pt idx="32">
                  <c:v>18.226797633024553</c:v>
                </c:pt>
                <c:pt idx="33">
                  <c:v>18.226797633024553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2C4-41A0-AA0B-8EE237B9BA53}"/>
            </c:ext>
          </c:extLst>
        </c:ser>
        <c:ser>
          <c:idx val="6"/>
          <c:order val="8"/>
          <c:tx>
            <c:strRef>
              <c:f>'Res Bal Sem'!$K$3</c:f>
              <c:strCache>
                <c:ptCount val="1"/>
                <c:pt idx="0">
                  <c:v>N limit</c:v>
                </c:pt>
              </c:strCache>
            </c:strRef>
          </c:tx>
          <c:spPr>
            <a:ln w="25400" cap="rnd">
              <a:solidFill>
                <a:schemeClr val="accent2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'Res Bal Sem'!$B$4:$B$37</c:f>
              <c:numCache>
                <c:formatCode>m/d/yyyy</c:formatCode>
                <c:ptCount val="34"/>
                <c:pt idx="0">
                  <c:v>42346</c:v>
                </c:pt>
                <c:pt idx="1">
                  <c:v>42353</c:v>
                </c:pt>
                <c:pt idx="2">
                  <c:v>42360</c:v>
                </c:pt>
                <c:pt idx="3">
                  <c:v>42367</c:v>
                </c:pt>
                <c:pt idx="4">
                  <c:v>42374</c:v>
                </c:pt>
                <c:pt idx="5">
                  <c:v>42381</c:v>
                </c:pt>
                <c:pt idx="6">
                  <c:v>42388</c:v>
                </c:pt>
                <c:pt idx="7">
                  <c:v>42395</c:v>
                </c:pt>
                <c:pt idx="8">
                  <c:v>42402</c:v>
                </c:pt>
                <c:pt idx="9">
                  <c:v>42409</c:v>
                </c:pt>
                <c:pt idx="10">
                  <c:v>42416</c:v>
                </c:pt>
                <c:pt idx="11">
                  <c:v>42423</c:v>
                </c:pt>
                <c:pt idx="12">
                  <c:v>42430</c:v>
                </c:pt>
                <c:pt idx="13">
                  <c:v>42437</c:v>
                </c:pt>
                <c:pt idx="14">
                  <c:v>42444</c:v>
                </c:pt>
                <c:pt idx="15">
                  <c:v>42451</c:v>
                </c:pt>
                <c:pt idx="16">
                  <c:v>42458</c:v>
                </c:pt>
                <c:pt idx="17">
                  <c:v>42465</c:v>
                </c:pt>
                <c:pt idx="18">
                  <c:v>42472</c:v>
                </c:pt>
                <c:pt idx="19">
                  <c:v>42479</c:v>
                </c:pt>
                <c:pt idx="20">
                  <c:v>42486</c:v>
                </c:pt>
                <c:pt idx="21">
                  <c:v>42493</c:v>
                </c:pt>
                <c:pt idx="22">
                  <c:v>42500</c:v>
                </c:pt>
                <c:pt idx="23">
                  <c:v>42507</c:v>
                </c:pt>
                <c:pt idx="24">
                  <c:v>42514</c:v>
                </c:pt>
                <c:pt idx="25">
                  <c:v>42521</c:v>
                </c:pt>
                <c:pt idx="26">
                  <c:v>42528</c:v>
                </c:pt>
                <c:pt idx="27">
                  <c:v>42535</c:v>
                </c:pt>
                <c:pt idx="28">
                  <c:v>42542</c:v>
                </c:pt>
                <c:pt idx="29">
                  <c:v>42549</c:v>
                </c:pt>
                <c:pt idx="30">
                  <c:v>42556</c:v>
                </c:pt>
                <c:pt idx="31">
                  <c:v>42563</c:v>
                </c:pt>
                <c:pt idx="32">
                  <c:v>42570</c:v>
                </c:pt>
                <c:pt idx="33">
                  <c:v>42577</c:v>
                </c:pt>
              </c:numCache>
            </c:numRef>
          </c:xVal>
          <c:yVal>
            <c:numRef>
              <c:f>'Res Bal Sem'!$K$4:$K$37</c:f>
              <c:numCache>
                <c:formatCode>General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40</c:v>
                </c:pt>
                <c:pt idx="13">
                  <c:v>40</c:v>
                </c:pt>
                <c:pt idx="14">
                  <c:v>40</c:v>
                </c:pt>
                <c:pt idx="15">
                  <c:v>40</c:v>
                </c:pt>
                <c:pt idx="16">
                  <c:v>40</c:v>
                </c:pt>
                <c:pt idx="17">
                  <c:v>40</c:v>
                </c:pt>
                <c:pt idx="18">
                  <c:v>40</c:v>
                </c:pt>
                <c:pt idx="19">
                  <c:v>40</c:v>
                </c:pt>
                <c:pt idx="20">
                  <c:v>40</c:v>
                </c:pt>
                <c:pt idx="21">
                  <c:v>40</c:v>
                </c:pt>
                <c:pt idx="22">
                  <c:v>40</c:v>
                </c:pt>
                <c:pt idx="23">
                  <c:v>40</c:v>
                </c:pt>
                <c:pt idx="24">
                  <c:v>25</c:v>
                </c:pt>
                <c:pt idx="25">
                  <c:v>25</c:v>
                </c:pt>
                <c:pt idx="26">
                  <c:v>25</c:v>
                </c:pt>
                <c:pt idx="27">
                  <c:v>25</c:v>
                </c:pt>
                <c:pt idx="28">
                  <c:v>25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2C4-41A0-AA0B-8EE237B9BA53}"/>
            </c:ext>
          </c:extLst>
        </c:ser>
        <c:ser>
          <c:idx val="7"/>
          <c:order val="9"/>
          <c:tx>
            <c:strRef>
              <c:f>'Res Bal Sem'!$J$3</c:f>
              <c:strCache>
                <c:ptCount val="1"/>
                <c:pt idx="0">
                  <c:v>N min soil (measured)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002060"/>
              </a:solidFill>
              <a:ln w="9525">
                <a:solidFill>
                  <a:srgbClr val="002060"/>
                </a:solidFill>
              </a:ln>
              <a:effectLst/>
            </c:spPr>
          </c:marker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C5B-4F49-ABBA-CBBF6B866FED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s-ES_tradn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'Res Bal Sem'!$B$4:$B$37</c:f>
              <c:numCache>
                <c:formatCode>m/d/yyyy</c:formatCode>
                <c:ptCount val="34"/>
                <c:pt idx="0">
                  <c:v>42346</c:v>
                </c:pt>
                <c:pt idx="1">
                  <c:v>42353</c:v>
                </c:pt>
                <c:pt idx="2">
                  <c:v>42360</c:v>
                </c:pt>
                <c:pt idx="3">
                  <c:v>42367</c:v>
                </c:pt>
                <c:pt idx="4">
                  <c:v>42374</c:v>
                </c:pt>
                <c:pt idx="5">
                  <c:v>42381</c:v>
                </c:pt>
                <c:pt idx="6">
                  <c:v>42388</c:v>
                </c:pt>
                <c:pt idx="7">
                  <c:v>42395</c:v>
                </c:pt>
                <c:pt idx="8">
                  <c:v>42402</c:v>
                </c:pt>
                <c:pt idx="9">
                  <c:v>42409</c:v>
                </c:pt>
                <c:pt idx="10">
                  <c:v>42416</c:v>
                </c:pt>
                <c:pt idx="11">
                  <c:v>42423</c:v>
                </c:pt>
                <c:pt idx="12">
                  <c:v>42430</c:v>
                </c:pt>
                <c:pt idx="13">
                  <c:v>42437</c:v>
                </c:pt>
                <c:pt idx="14">
                  <c:v>42444</c:v>
                </c:pt>
                <c:pt idx="15">
                  <c:v>42451</c:v>
                </c:pt>
                <c:pt idx="16">
                  <c:v>42458</c:v>
                </c:pt>
                <c:pt idx="17">
                  <c:v>42465</c:v>
                </c:pt>
                <c:pt idx="18">
                  <c:v>42472</c:v>
                </c:pt>
                <c:pt idx="19">
                  <c:v>42479</c:v>
                </c:pt>
                <c:pt idx="20">
                  <c:v>42486</c:v>
                </c:pt>
                <c:pt idx="21">
                  <c:v>42493</c:v>
                </c:pt>
                <c:pt idx="22">
                  <c:v>42500</c:v>
                </c:pt>
                <c:pt idx="23">
                  <c:v>42507</c:v>
                </c:pt>
                <c:pt idx="24">
                  <c:v>42514</c:v>
                </c:pt>
                <c:pt idx="25">
                  <c:v>42521</c:v>
                </c:pt>
                <c:pt idx="26">
                  <c:v>42528</c:v>
                </c:pt>
                <c:pt idx="27">
                  <c:v>42535</c:v>
                </c:pt>
                <c:pt idx="28">
                  <c:v>42542</c:v>
                </c:pt>
                <c:pt idx="29">
                  <c:v>42549</c:v>
                </c:pt>
                <c:pt idx="30">
                  <c:v>42556</c:v>
                </c:pt>
                <c:pt idx="31">
                  <c:v>42563</c:v>
                </c:pt>
                <c:pt idx="32">
                  <c:v>42570</c:v>
                </c:pt>
                <c:pt idx="33">
                  <c:v>42577</c:v>
                </c:pt>
              </c:numCache>
            </c:numRef>
          </c:xVal>
          <c:yVal>
            <c:numRef>
              <c:f>'Res Bal Sem'!$J$4:$J$37</c:f>
              <c:numCache>
                <c:formatCode>General</c:formatCode>
                <c:ptCount val="34"/>
                <c:pt idx="0">
                  <c:v>-100</c:v>
                </c:pt>
                <c:pt idx="1">
                  <c:v>-100</c:v>
                </c:pt>
                <c:pt idx="2">
                  <c:v>-100</c:v>
                </c:pt>
                <c:pt idx="3">
                  <c:v>0</c:v>
                </c:pt>
                <c:pt idx="4">
                  <c:v>66.64</c:v>
                </c:pt>
                <c:pt idx="5">
                  <c:v>-100</c:v>
                </c:pt>
                <c:pt idx="6">
                  <c:v>-100</c:v>
                </c:pt>
                <c:pt idx="7">
                  <c:v>-100</c:v>
                </c:pt>
                <c:pt idx="8">
                  <c:v>-100</c:v>
                </c:pt>
                <c:pt idx="9">
                  <c:v>-100</c:v>
                </c:pt>
                <c:pt idx="10">
                  <c:v>-100</c:v>
                </c:pt>
                <c:pt idx="11">
                  <c:v>-100</c:v>
                </c:pt>
                <c:pt idx="12">
                  <c:v>-100</c:v>
                </c:pt>
                <c:pt idx="13">
                  <c:v>-100</c:v>
                </c:pt>
                <c:pt idx="14">
                  <c:v>-100</c:v>
                </c:pt>
                <c:pt idx="15">
                  <c:v>-100</c:v>
                </c:pt>
                <c:pt idx="16">
                  <c:v>-100</c:v>
                </c:pt>
                <c:pt idx="17">
                  <c:v>-100</c:v>
                </c:pt>
                <c:pt idx="18">
                  <c:v>-100</c:v>
                </c:pt>
                <c:pt idx="19">
                  <c:v>-100</c:v>
                </c:pt>
                <c:pt idx="20">
                  <c:v>-100</c:v>
                </c:pt>
                <c:pt idx="21">
                  <c:v>-100</c:v>
                </c:pt>
                <c:pt idx="22">
                  <c:v>-100</c:v>
                </c:pt>
                <c:pt idx="23">
                  <c:v>-100</c:v>
                </c:pt>
                <c:pt idx="24">
                  <c:v>-100</c:v>
                </c:pt>
                <c:pt idx="25">
                  <c:v>-100</c:v>
                </c:pt>
                <c:pt idx="26">
                  <c:v>-100</c:v>
                </c:pt>
                <c:pt idx="27">
                  <c:v>-100</c:v>
                </c:pt>
                <c:pt idx="28">
                  <c:v>-100</c:v>
                </c:pt>
                <c:pt idx="29">
                  <c:v>-100</c:v>
                </c:pt>
                <c:pt idx="30">
                  <c:v>-100</c:v>
                </c:pt>
                <c:pt idx="31">
                  <c:v>-100</c:v>
                </c:pt>
                <c:pt idx="32">
                  <c:v>-100</c:v>
                </c:pt>
                <c:pt idx="3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2C4-41A0-AA0B-8EE237B9BA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19256"/>
        <c:axId val="155223176"/>
      </c:scatterChart>
      <c:scatterChart>
        <c:scatterStyle val="lineMarker"/>
        <c:varyColors val="0"/>
        <c:ser>
          <c:idx val="13"/>
          <c:order val="11"/>
          <c:tx>
            <c:strRef>
              <c:f>'Res Bal Sem'!$T$3</c:f>
              <c:strCache>
                <c:ptCount val="1"/>
                <c:pt idx="0">
                  <c:v>Eto real acum.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dLbls>
            <c:dLbl>
              <c:idx val="5"/>
              <c:tx>
                <c:strRef>
                  <c:f>'Res Bal Sem'!$U$9</c:f>
                  <c:strCache>
                    <c:ptCount val="1"/>
                    <c:pt idx="0">
                      <c:v>0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{467A7504-F2D7-4441-BF2F-3ACC71A6A900}</c15:txfldGUID>
                      <c15:f>'Res Bal Sem'!$U$9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AAAB-4228-A82D-59DDAC683E82}"/>
                </c:ext>
              </c:extLst>
            </c:dLbl>
            <c:dLbl>
              <c:idx val="6"/>
              <c:tx>
                <c:strRef>
                  <c:f>'Res Bal Sem'!$U$10</c:f>
                  <c:strCache>
                    <c:ptCount val="1"/>
                    <c:pt idx="0">
                      <c:v>9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{5016DA89-B24C-40EB-85D3-4FB29864781F}</c15:txfldGUID>
                      <c15:f>'Res Bal Sem'!$U$10</c15:f>
                      <c15:dlblFieldTableCache>
                        <c:ptCount val="1"/>
                        <c:pt idx="0">
                          <c:v>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AAAB-4228-A82D-59DDAC683E82}"/>
                </c:ext>
              </c:extLst>
            </c:dLbl>
            <c:dLbl>
              <c:idx val="7"/>
              <c:tx>
                <c:strRef>
                  <c:f>'Res Bal Sem'!$U$11</c:f>
                  <c:strCache>
                    <c:ptCount val="1"/>
                    <c:pt idx="0">
                      <c:v>21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{171AEE83-79CB-4215-9C3C-F161832CA450}</c15:txfldGUID>
                      <c15:f>'Res Bal Sem'!$U$11</c15:f>
                      <c15:dlblFieldTableCache>
                        <c:ptCount val="1"/>
                        <c:pt idx="0">
                          <c:v>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AAAB-4228-A82D-59DDAC683E82}"/>
                </c:ext>
              </c:extLst>
            </c:dLbl>
            <c:dLbl>
              <c:idx val="8"/>
              <c:tx>
                <c:strRef>
                  <c:f>'Res Bal Sem'!$U$12</c:f>
                  <c:strCache>
                    <c:ptCount val="1"/>
                    <c:pt idx="0">
                      <c:v>36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{CF379227-415C-41A8-AFD6-8E7F6A87ACA1}</c15:txfldGUID>
                      <c15:f>'Res Bal Sem'!$U$12</c15:f>
                      <c15:dlblFieldTableCache>
                        <c:ptCount val="1"/>
                        <c:pt idx="0">
                          <c:v>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AAAB-4228-A82D-59DDAC683E82}"/>
                </c:ext>
              </c:extLst>
            </c:dLbl>
            <c:dLbl>
              <c:idx val="9"/>
              <c:tx>
                <c:strRef>
                  <c:f>'Res Bal Sem'!$U$13</c:f>
                  <c:strCache>
                    <c:ptCount val="1"/>
                    <c:pt idx="0">
                      <c:v>45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{CCEEA4DD-49E3-4E3B-B365-238264BE5647}</c15:txfldGUID>
                      <c15:f>'Res Bal Sem'!$U$13</c15:f>
                      <c15:dlblFieldTableCache>
                        <c:ptCount val="1"/>
                        <c:pt idx="0">
                          <c:v>45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AAAB-4228-A82D-59DDAC683E82}"/>
                </c:ext>
              </c:extLst>
            </c:dLbl>
            <c:dLbl>
              <c:idx val="10"/>
              <c:tx>
                <c:strRef>
                  <c:f>'Res Bal Sem'!$U$14</c:f>
                  <c:strCache>
                    <c:ptCount val="1"/>
                    <c:pt idx="0">
                      <c:v>54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{98C6CEFB-7144-4C23-9EF8-8DE1E46DA139}</c15:txfldGUID>
                      <c15:f>'Res Bal Sem'!$U$14</c15:f>
                      <c15:dlblFieldTableCache>
                        <c:ptCount val="1"/>
                        <c:pt idx="0">
                          <c:v>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AAAB-4228-A82D-59DDAC683E82}"/>
                </c:ext>
              </c:extLst>
            </c:dLbl>
            <c:dLbl>
              <c:idx val="11"/>
              <c:tx>
                <c:strRef>
                  <c:f>'Res Bal Sem'!$U$15</c:f>
                  <c:strCache>
                    <c:ptCount val="1"/>
                    <c:pt idx="0">
                      <c:v>65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{A6D82C41-BC43-4828-BF4F-9BB1B5DDE221}</c15:txfldGUID>
                      <c15:f>'Res Bal Sem'!$U$15</c15:f>
                      <c15:dlblFieldTableCache>
                        <c:ptCount val="1"/>
                        <c:pt idx="0">
                          <c:v>65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AAAB-4228-A82D-59DDAC683E82}"/>
                </c:ext>
              </c:extLst>
            </c:dLbl>
            <c:dLbl>
              <c:idx val="12"/>
              <c:tx>
                <c:strRef>
                  <c:f>'Res Bal Sem'!$U$16</c:f>
                  <c:strCache>
                    <c:ptCount val="1"/>
                    <c:pt idx="0">
                      <c:v>85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{E7CB88FF-21AA-418E-AA8E-C1908159B948}</c15:txfldGUID>
                      <c15:f>'Res Bal Sem'!$U$16</c15:f>
                      <c15:dlblFieldTableCache>
                        <c:ptCount val="1"/>
                        <c:pt idx="0">
                          <c:v>85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AAAB-4228-A82D-59DDAC683E82}"/>
                </c:ext>
              </c:extLst>
            </c:dLbl>
            <c:dLbl>
              <c:idx val="13"/>
              <c:tx>
                <c:strRef>
                  <c:f>'Res Bal Sem'!$U$17</c:f>
                  <c:strCache>
                    <c:ptCount val="1"/>
                    <c:pt idx="0">
                      <c:v>105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{EB1BDE4A-F743-44EA-8D96-3B5B026318CE}</c15:txfldGUID>
                      <c15:f>'Res Bal Sem'!$U$17</c15:f>
                      <c15:dlblFieldTableCache>
                        <c:ptCount val="1"/>
                        <c:pt idx="0">
                          <c:v>105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AAAB-4228-A82D-59DDAC683E82}"/>
                </c:ext>
              </c:extLst>
            </c:dLbl>
            <c:dLbl>
              <c:idx val="14"/>
              <c:tx>
                <c:strRef>
                  <c:f>'Res Bal Sem'!$U$18</c:f>
                  <c:strCache>
                    <c:ptCount val="1"/>
                    <c:pt idx="0">
                      <c:v>126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{FD4D7F55-2841-46F4-A7CD-1D277F36B8B0}</c15:txfldGUID>
                      <c15:f>'Res Bal Sem'!$U$18</c15:f>
                      <c15:dlblFieldTableCache>
                        <c:ptCount val="1"/>
                        <c:pt idx="0">
                          <c:v>126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AAAB-4228-A82D-59DDAC683E82}"/>
                </c:ext>
              </c:extLst>
            </c:dLbl>
            <c:dLbl>
              <c:idx val="15"/>
              <c:tx>
                <c:strRef>
                  <c:f>'Res Bal Sem'!$U$19</c:f>
                  <c:strCache>
                    <c:ptCount val="1"/>
                    <c:pt idx="0">
                      <c:v>137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{B9972A0F-AF73-4F14-93F0-45032CAC07D7}</c15:txfldGUID>
                      <c15:f>'Res Bal Sem'!$U$19</c15:f>
                      <c15:dlblFieldTableCache>
                        <c:ptCount val="1"/>
                        <c:pt idx="0">
                          <c:v>137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AAAB-4228-A82D-59DDAC683E82}"/>
                </c:ext>
              </c:extLst>
            </c:dLbl>
            <c:dLbl>
              <c:idx val="16"/>
              <c:tx>
                <c:strRef>
                  <c:f>'Res Bal Sem'!$U$20</c:f>
                  <c:strCache>
                    <c:ptCount val="1"/>
                    <c:pt idx="0">
                      <c:v>159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{0B4B34B4-4D67-4A46-924D-26E0BE0DAC62}</c15:txfldGUID>
                      <c15:f>'Res Bal Sem'!$U$20</c15:f>
                      <c15:dlblFieldTableCache>
                        <c:ptCount val="1"/>
                        <c:pt idx="0">
                          <c:v>159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AAAB-4228-A82D-59DDAC683E82}"/>
                </c:ext>
              </c:extLst>
            </c:dLbl>
            <c:dLbl>
              <c:idx val="17"/>
              <c:tx>
                <c:strRef>
                  <c:f>'Res Bal Sem'!$U$21</c:f>
                  <c:strCache>
                    <c:ptCount val="1"/>
                    <c:pt idx="0">
                      <c:v>188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{22A8425E-B8AA-497B-A36D-F31CAFA1A21C}</c15:txfldGUID>
                      <c15:f>'Res Bal Sem'!$U$21</c15:f>
                      <c15:dlblFieldTableCache>
                        <c:ptCount val="1"/>
                        <c:pt idx="0">
                          <c:v>188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AAAB-4228-A82D-59DDAC683E82}"/>
                </c:ext>
              </c:extLst>
            </c:dLbl>
            <c:dLbl>
              <c:idx val="18"/>
              <c:tx>
                <c:strRef>
                  <c:f>'Res Bal Sem'!$U$22</c:f>
                  <c:strCache>
                    <c:ptCount val="1"/>
                    <c:pt idx="0">
                      <c:v>206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{8B8E0909-F291-43A7-826E-8142CF74E7A6}</c15:txfldGUID>
                      <c15:f>'Res Bal Sem'!$U$22</c15:f>
                      <c15:dlblFieldTableCache>
                        <c:ptCount val="1"/>
                        <c:pt idx="0">
                          <c:v>206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AAAB-4228-A82D-59DDAC683E82}"/>
                </c:ext>
              </c:extLst>
            </c:dLbl>
            <c:dLbl>
              <c:idx val="19"/>
              <c:tx>
                <c:strRef>
                  <c:f>'Res Bal Sem'!$U$23</c:f>
                  <c:strCache>
                    <c:ptCount val="1"/>
                    <c:pt idx="0">
                      <c:v>230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{1C7D3D50-4527-44B7-9C54-34FD62320DC5}</c15:txfldGUID>
                      <c15:f>'Res Bal Sem'!$U$23</c15:f>
                      <c15:dlblFieldTableCache>
                        <c:ptCount val="1"/>
                        <c:pt idx="0">
                          <c:v>230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AAAB-4228-A82D-59DDAC683E82}"/>
                </c:ext>
              </c:extLst>
            </c:dLbl>
            <c:dLbl>
              <c:idx val="20"/>
              <c:tx>
                <c:strRef>
                  <c:f>'Res Bal Sem'!$U$24</c:f>
                  <c:strCache>
                    <c:ptCount val="1"/>
                    <c:pt idx="0">
                      <c:v>257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{C502C654-6EEF-40AC-A5D1-02C0CCF5445C}</c15:txfldGUID>
                      <c15:f>'Res Bal Sem'!$U$24</c15:f>
                      <c15:dlblFieldTableCache>
                        <c:ptCount val="1"/>
                        <c:pt idx="0">
                          <c:v>257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AAAB-4228-A82D-59DDAC683E82}"/>
                </c:ext>
              </c:extLst>
            </c:dLbl>
            <c:dLbl>
              <c:idx val="21"/>
              <c:tx>
                <c:strRef>
                  <c:f>'Res Bal Sem'!$U$25</c:f>
                  <c:strCache>
                    <c:ptCount val="1"/>
                    <c:pt idx="0">
                      <c:v>289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{1C721332-3057-4240-B723-48C5654FCA97}</c15:txfldGUID>
                      <c15:f>'Res Bal Sem'!$U$25</c15:f>
                      <c15:dlblFieldTableCache>
                        <c:ptCount val="1"/>
                        <c:pt idx="0">
                          <c:v>289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AAAB-4228-A82D-59DDAC683E82}"/>
                </c:ext>
              </c:extLst>
            </c:dLbl>
            <c:dLbl>
              <c:idx val="22"/>
              <c:tx>
                <c:strRef>
                  <c:f>'Res Bal Sem'!$U$26</c:f>
                  <c:strCache>
                    <c:ptCount val="1"/>
                    <c:pt idx="0">
                      <c:v>326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{F3E0E639-C5FA-4CB6-8405-6EE334ED454D}</c15:txfldGUID>
                      <c15:f>'Res Bal Sem'!$U$26</c15:f>
                      <c15:dlblFieldTableCache>
                        <c:ptCount val="1"/>
                        <c:pt idx="0">
                          <c:v>326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AAAB-4228-A82D-59DDAC683E82}"/>
                </c:ext>
              </c:extLst>
            </c:dLbl>
            <c:dLbl>
              <c:idx val="23"/>
              <c:tx>
                <c:strRef>
                  <c:f>'Res Bal Sem'!$U$27</c:f>
                  <c:strCache>
                    <c:ptCount val="1"/>
                    <c:pt idx="0">
                      <c:v>372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{EC76B208-2DBD-45BD-91A4-146BF216C83E}</c15:txfldGUID>
                      <c15:f>'Res Bal Sem'!$U$27</c15:f>
                      <c15:dlblFieldTableCache>
                        <c:ptCount val="1"/>
                        <c:pt idx="0">
                          <c:v>372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AAAB-4228-A82D-59DDAC683E82}"/>
                </c:ext>
              </c:extLst>
            </c:dLbl>
            <c:dLbl>
              <c:idx val="24"/>
              <c:tx>
                <c:strRef>
                  <c:f>'Res Bal Sem'!$U$28</c:f>
                  <c:strCache>
                    <c:ptCount val="1"/>
                    <c:pt idx="0">
                      <c:v>408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{5A52AD87-55FB-481B-9F86-1717FDC4979E}</c15:txfldGUID>
                      <c15:f>'Res Bal Sem'!$U$28</c15:f>
                      <c15:dlblFieldTableCache>
                        <c:ptCount val="1"/>
                        <c:pt idx="0">
                          <c:v>408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AAAB-4228-A82D-59DDAC683E82}"/>
                </c:ext>
              </c:extLst>
            </c:dLbl>
            <c:dLbl>
              <c:idx val="25"/>
              <c:tx>
                <c:strRef>
                  <c:f>'Res Bal Sem'!$U$29</c:f>
                  <c:strCache>
                    <c:ptCount val="1"/>
                    <c:pt idx="0">
                      <c:v>446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{6AEE9BE4-D849-4674-82E7-D4C50405E9B7}</c15:txfldGUID>
                      <c15:f>'Res Bal Sem'!$U$29</c15:f>
                      <c15:dlblFieldTableCache>
                        <c:ptCount val="1"/>
                        <c:pt idx="0">
                          <c:v>446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AAAB-4228-A82D-59DDAC683E82}"/>
                </c:ext>
              </c:extLst>
            </c:dLbl>
            <c:dLbl>
              <c:idx val="26"/>
              <c:tx>
                <c:strRef>
                  <c:f>'Res Bal Sem'!$U$30</c:f>
                  <c:strCache>
                    <c:ptCount val="1"/>
                    <c:pt idx="0">
                      <c:v>491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{AF2E302E-4337-4792-880A-80F3DBA2646D}</c15:txfldGUID>
                      <c15:f>'Res Bal Sem'!$U$30</c15:f>
                      <c15:dlblFieldTableCache>
                        <c:ptCount val="1"/>
                        <c:pt idx="0">
                          <c:v>491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CFFA-46DB-BF1E-357505728C9B}"/>
                </c:ext>
              </c:extLst>
            </c:dLbl>
            <c:dLbl>
              <c:idx val="27"/>
              <c:tx>
                <c:strRef>
                  <c:f>'Res Bal Sem'!$U$31</c:f>
                  <c:strCache>
                    <c:ptCount val="1"/>
                    <c:pt idx="0">
                      <c:v>526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{39395C3C-2A82-46C3-A72F-1EE4C5028993}</c15:txfldGUID>
                      <c15:f>'Res Bal Sem'!$U$31</c15:f>
                      <c15:dlblFieldTableCache>
                        <c:ptCount val="1"/>
                        <c:pt idx="0">
                          <c:v>526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CFFA-46DB-BF1E-357505728C9B}"/>
                </c:ext>
              </c:extLst>
            </c:dLbl>
            <c:dLbl>
              <c:idx val="28"/>
              <c:tx>
                <c:strRef>
                  <c:f>'Res Bal Sem'!$U$32</c:f>
                  <c:strCache>
                    <c:ptCount val="1"/>
                    <c:pt idx="0">
                      <c:v>566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{44E3CC2A-6387-4FBB-966C-B4D422B9BADF}</c15:txfldGUID>
                      <c15:f>'Res Bal Sem'!$U$32</c15:f>
                      <c15:dlblFieldTableCache>
                        <c:ptCount val="1"/>
                        <c:pt idx="0">
                          <c:v>566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CFFA-46DB-BF1E-357505728C9B}"/>
                </c:ext>
              </c:extLst>
            </c:dLbl>
            <c:dLbl>
              <c:idx val="29"/>
              <c:tx>
                <c:strRef>
                  <c:f>'Res Bal Sem'!$U$33</c:f>
                  <c:strCache>
                    <c:ptCount val="1"/>
                    <c:pt idx="0">
                      <c:v>612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{039B9808-D9E6-4C14-AF91-9EC8DCB4F75B}</c15:txfldGUID>
                      <c15:f>'Res Bal Sem'!$U$33</c15:f>
                      <c15:dlblFieldTableCache>
                        <c:ptCount val="1"/>
                        <c:pt idx="0">
                          <c:v>612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CFFA-46DB-BF1E-357505728C9B}"/>
                </c:ext>
              </c:extLst>
            </c:dLbl>
            <c:dLbl>
              <c:idx val="30"/>
              <c:tx>
                <c:strRef>
                  <c:f>'Res Bal Sem'!$U$34</c:f>
                  <c:strCache>
                    <c:ptCount val="1"/>
                    <c:pt idx="0">
                      <c:v>668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{FB7509C6-4153-41B8-AD63-12E9D7A3F323}</c15:txfldGUID>
                      <c15:f>'Res Bal Sem'!$U$34</c15:f>
                      <c15:dlblFieldTableCache>
                        <c:ptCount val="1"/>
                        <c:pt idx="0">
                          <c:v>668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CFFA-46DB-BF1E-357505728C9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_tradn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'Res Bal Sem'!$B$4:$B$37</c:f>
              <c:numCache>
                <c:formatCode>m/d/yyyy</c:formatCode>
                <c:ptCount val="34"/>
                <c:pt idx="0">
                  <c:v>42346</c:v>
                </c:pt>
                <c:pt idx="1">
                  <c:v>42353</c:v>
                </c:pt>
                <c:pt idx="2">
                  <c:v>42360</c:v>
                </c:pt>
                <c:pt idx="3">
                  <c:v>42367</c:v>
                </c:pt>
                <c:pt idx="4">
                  <c:v>42374</c:v>
                </c:pt>
                <c:pt idx="5">
                  <c:v>42381</c:v>
                </c:pt>
                <c:pt idx="6">
                  <c:v>42388</c:v>
                </c:pt>
                <c:pt idx="7">
                  <c:v>42395</c:v>
                </c:pt>
                <c:pt idx="8">
                  <c:v>42402</c:v>
                </c:pt>
                <c:pt idx="9">
                  <c:v>42409</c:v>
                </c:pt>
                <c:pt idx="10">
                  <c:v>42416</c:v>
                </c:pt>
                <c:pt idx="11">
                  <c:v>42423</c:v>
                </c:pt>
                <c:pt idx="12">
                  <c:v>42430</c:v>
                </c:pt>
                <c:pt idx="13">
                  <c:v>42437</c:v>
                </c:pt>
                <c:pt idx="14">
                  <c:v>42444</c:v>
                </c:pt>
                <c:pt idx="15">
                  <c:v>42451</c:v>
                </c:pt>
                <c:pt idx="16">
                  <c:v>42458</c:v>
                </c:pt>
                <c:pt idx="17">
                  <c:v>42465</c:v>
                </c:pt>
                <c:pt idx="18">
                  <c:v>42472</c:v>
                </c:pt>
                <c:pt idx="19">
                  <c:v>42479</c:v>
                </c:pt>
                <c:pt idx="20">
                  <c:v>42486</c:v>
                </c:pt>
                <c:pt idx="21">
                  <c:v>42493</c:v>
                </c:pt>
                <c:pt idx="22">
                  <c:v>42500</c:v>
                </c:pt>
                <c:pt idx="23">
                  <c:v>42507</c:v>
                </c:pt>
                <c:pt idx="24">
                  <c:v>42514</c:v>
                </c:pt>
                <c:pt idx="25">
                  <c:v>42521</c:v>
                </c:pt>
                <c:pt idx="26">
                  <c:v>42528</c:v>
                </c:pt>
                <c:pt idx="27">
                  <c:v>42535</c:v>
                </c:pt>
                <c:pt idx="28">
                  <c:v>42542</c:v>
                </c:pt>
                <c:pt idx="29">
                  <c:v>42549</c:v>
                </c:pt>
                <c:pt idx="30">
                  <c:v>42556</c:v>
                </c:pt>
                <c:pt idx="31">
                  <c:v>42563</c:v>
                </c:pt>
                <c:pt idx="32">
                  <c:v>42570</c:v>
                </c:pt>
                <c:pt idx="33">
                  <c:v>42577</c:v>
                </c:pt>
              </c:numCache>
            </c:numRef>
          </c:xVal>
          <c:yVal>
            <c:numRef>
              <c:f>'Res Bal Sem'!$T$4:$T$37</c:f>
              <c:numCache>
                <c:formatCode>General</c:formatCode>
                <c:ptCount val="34"/>
                <c:pt idx="5">
                  <c:v>1.4</c:v>
                </c:pt>
                <c:pt idx="6">
                  <c:v>1.4</c:v>
                </c:pt>
                <c:pt idx="7">
                  <c:v>1.4</c:v>
                </c:pt>
                <c:pt idx="8">
                  <c:v>1.4</c:v>
                </c:pt>
                <c:pt idx="9">
                  <c:v>1.4</c:v>
                </c:pt>
                <c:pt idx="10">
                  <c:v>1.4</c:v>
                </c:pt>
                <c:pt idx="11">
                  <c:v>1.4</c:v>
                </c:pt>
                <c:pt idx="12">
                  <c:v>1.4</c:v>
                </c:pt>
                <c:pt idx="13">
                  <c:v>1.4</c:v>
                </c:pt>
                <c:pt idx="14">
                  <c:v>1.4</c:v>
                </c:pt>
                <c:pt idx="15">
                  <c:v>1.4</c:v>
                </c:pt>
                <c:pt idx="16">
                  <c:v>1.4</c:v>
                </c:pt>
                <c:pt idx="17">
                  <c:v>1.4</c:v>
                </c:pt>
                <c:pt idx="18">
                  <c:v>1.4</c:v>
                </c:pt>
                <c:pt idx="19">
                  <c:v>1.4</c:v>
                </c:pt>
                <c:pt idx="20">
                  <c:v>1.4</c:v>
                </c:pt>
                <c:pt idx="21">
                  <c:v>1.4</c:v>
                </c:pt>
                <c:pt idx="22">
                  <c:v>1.4</c:v>
                </c:pt>
                <c:pt idx="23">
                  <c:v>1.4</c:v>
                </c:pt>
                <c:pt idx="24">
                  <c:v>1.4</c:v>
                </c:pt>
                <c:pt idx="25">
                  <c:v>1.4</c:v>
                </c:pt>
                <c:pt idx="26">
                  <c:v>1.4</c:v>
                </c:pt>
                <c:pt idx="27">
                  <c:v>1.4</c:v>
                </c:pt>
                <c:pt idx="28">
                  <c:v>1.4</c:v>
                </c:pt>
                <c:pt idx="29">
                  <c:v>1.4</c:v>
                </c:pt>
                <c:pt idx="30">
                  <c:v>1.4</c:v>
                </c:pt>
                <c:pt idx="31">
                  <c:v>1.4</c:v>
                </c:pt>
                <c:pt idx="32">
                  <c:v>1.4</c:v>
                </c:pt>
                <c:pt idx="33">
                  <c:v>1.4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AAAB-4228-A82D-59DDAC683E82}"/>
            </c:ext>
          </c:extLst>
        </c:ser>
        <c:ser>
          <c:idx val="12"/>
          <c:order val="12"/>
          <c:tx>
            <c:strRef>
              <c:f>'Res Bal Sem'!$P$3</c:f>
              <c:strCache>
                <c:ptCount val="1"/>
                <c:pt idx="0">
                  <c:v>Fenología real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dLbls>
            <c:dLbl>
              <c:idx val="0"/>
              <c:tx>
                <c:strRef>
                  <c:f>'Res Bal Sem'!$P$9</c:f>
                  <c:strCache>
                    <c:ptCount val="1"/>
                    <c:pt idx="0">
                      <c:v>0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-5400000" spcFirstLastPara="1" vertOverflow="ellipsis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0070C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{EC50A568-258D-40B5-90B1-25A495EEDF65}</c15:txfldGUID>
                      <c15:f>'Res Bal Sem'!$P$9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4F-AAAB-4228-A82D-59DDAC683E82}"/>
                </c:ext>
              </c:extLst>
            </c:dLbl>
            <c:dLbl>
              <c:idx val="1"/>
              <c:tx>
                <c:strRef>
                  <c:f>'Res Bal Sem'!$P$10</c:f>
                  <c:strCache>
                    <c:ptCount val="1"/>
                    <c:pt idx="0">
                      <c:v>-99999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-5400000" spcFirstLastPara="1" vertOverflow="ellipsis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0070C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{B6C76F51-3E60-4167-B135-B3F964B08FE5}</c15:txfldGUID>
                      <c15:f>'Res Bal Sem'!$P$10</c15:f>
                      <c15:dlblFieldTableCache>
                        <c:ptCount val="1"/>
                        <c:pt idx="0">
                          <c:v>-99999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50-AAAB-4228-A82D-59DDAC683E82}"/>
                </c:ext>
              </c:extLst>
            </c:dLbl>
            <c:dLbl>
              <c:idx val="2"/>
              <c:tx>
                <c:strRef>
                  <c:f>'Res Bal Sem'!$P$11</c:f>
                  <c:strCache>
                    <c:ptCount val="1"/>
                    <c:pt idx="0">
                      <c:v>-99999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-5400000" spcFirstLastPara="1" vertOverflow="ellipsis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0070C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{1753F954-A3C1-4194-8643-55688316F37F}</c15:txfldGUID>
                      <c15:f>'Res Bal Sem'!$P$11</c15:f>
                      <c15:dlblFieldTableCache>
                        <c:ptCount val="1"/>
                        <c:pt idx="0">
                          <c:v>-99999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51-AAAB-4228-A82D-59DDAC683E82}"/>
                </c:ext>
              </c:extLst>
            </c:dLbl>
            <c:dLbl>
              <c:idx val="3"/>
              <c:tx>
                <c:strRef>
                  <c:f>'Res Bal Sem'!$P$12</c:f>
                  <c:strCache>
                    <c:ptCount val="1"/>
                    <c:pt idx="0">
                      <c:v>-99999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-5400000" spcFirstLastPara="1" vertOverflow="ellipsis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0070C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{93C0ACE0-A659-4FE1-896C-8F306F44EDDD}</c15:txfldGUID>
                      <c15:f>'Res Bal Sem'!$P$12</c15:f>
                      <c15:dlblFieldTableCache>
                        <c:ptCount val="1"/>
                        <c:pt idx="0">
                          <c:v>-99999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52-AAAB-4228-A82D-59DDAC683E82}"/>
                </c:ext>
              </c:extLst>
            </c:dLbl>
            <c:dLbl>
              <c:idx val="4"/>
              <c:tx>
                <c:strRef>
                  <c:f>'Res Bal Sem'!$P$13</c:f>
                  <c:strCache>
                    <c:ptCount val="1"/>
                    <c:pt idx="0">
                      <c:v>-99999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-5400000" spcFirstLastPara="1" vertOverflow="ellipsis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0070C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{F42B4A5B-EDD3-43B5-86F7-4E611D8B6119}</c15:txfldGUID>
                      <c15:f>'Res Bal Sem'!$P$13</c15:f>
                      <c15:dlblFieldTableCache>
                        <c:ptCount val="1"/>
                        <c:pt idx="0">
                          <c:v>-99999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53-AAAB-4228-A82D-59DDAC683E82}"/>
                </c:ext>
              </c:extLst>
            </c:dLbl>
            <c:dLbl>
              <c:idx val="5"/>
              <c:tx>
                <c:strRef>
                  <c:f>'Res Bal Sem'!$P$14</c:f>
                  <c:strCache>
                    <c:ptCount val="1"/>
                    <c:pt idx="0">
                      <c:v>-99999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-5400000" spcFirstLastPara="1" vertOverflow="ellipsis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0070C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{00954C96-0E8C-440E-888F-888017552C82}</c15:txfldGUID>
                      <c15:f>'Res Bal Sem'!$P$14</c15:f>
                      <c15:dlblFieldTableCache>
                        <c:ptCount val="1"/>
                        <c:pt idx="0">
                          <c:v>-99999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54-AAAB-4228-A82D-59DDAC683E82}"/>
                </c:ext>
              </c:extLst>
            </c:dLbl>
            <c:dLbl>
              <c:idx val="6"/>
              <c:tx>
                <c:strRef>
                  <c:f>'Res Bal Sem'!$P$15</c:f>
                  <c:strCache>
                    <c:ptCount val="1"/>
                    <c:pt idx="0">
                      <c:v>-99999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-5400000" spcFirstLastPara="1" vertOverflow="ellipsis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0070C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{366133FC-C2E9-4AA1-98B3-E35AD2E41D9C}</c15:txfldGUID>
                      <c15:f>'Res Bal Sem'!$P$15</c15:f>
                      <c15:dlblFieldTableCache>
                        <c:ptCount val="1"/>
                        <c:pt idx="0">
                          <c:v>-99999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AAAB-4228-A82D-59DDAC683E82}"/>
                </c:ext>
              </c:extLst>
            </c:dLbl>
            <c:dLbl>
              <c:idx val="7"/>
              <c:tx>
                <c:strRef>
                  <c:f>'Res Bal Sem'!$P$16</c:f>
                  <c:strCache>
                    <c:ptCount val="1"/>
                    <c:pt idx="0">
                      <c:v>-99999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-5400000" spcFirstLastPara="1" vertOverflow="ellipsis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0070C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{93563CC8-42AA-4DC3-AB0E-876BDF8D5956}</c15:txfldGUID>
                      <c15:f>'Res Bal Sem'!$P$16</c15:f>
                      <c15:dlblFieldTableCache>
                        <c:ptCount val="1"/>
                        <c:pt idx="0">
                          <c:v>-99999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6-AAAB-4228-A82D-59DDAC683E82}"/>
                </c:ext>
              </c:extLst>
            </c:dLbl>
            <c:dLbl>
              <c:idx val="8"/>
              <c:tx>
                <c:strRef>
                  <c:f>'Res Bal Sem'!$P$17</c:f>
                  <c:strCache>
                    <c:ptCount val="1"/>
                    <c:pt idx="0">
                      <c:v>-99999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-5400000" spcFirstLastPara="1" vertOverflow="ellipsis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0070C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{79177E89-5831-4F8E-A4F3-592123153FB6}</c15:txfldGUID>
                      <c15:f>'Res Bal Sem'!$P$17</c15:f>
                      <c15:dlblFieldTableCache>
                        <c:ptCount val="1"/>
                        <c:pt idx="0">
                          <c:v>-99999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AAAB-4228-A82D-59DDAC683E82}"/>
                </c:ext>
              </c:extLst>
            </c:dLbl>
            <c:dLbl>
              <c:idx val="9"/>
              <c:tx>
                <c:strRef>
                  <c:f>'Res Bal Sem'!$P$18</c:f>
                  <c:strCache>
                    <c:ptCount val="1"/>
                    <c:pt idx="0">
                      <c:v>22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-5400000" spcFirstLastPara="1" vertOverflow="ellipsis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0070C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{6A9E2683-E14F-4411-8A26-DC7B7930D704}</c15:txfldGUID>
                      <c15:f>'Res Bal Sem'!$P$18</c15:f>
                      <c15:dlblFieldTableCache>
                        <c:ptCount val="1"/>
                        <c:pt idx="0">
                          <c:v>22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AAAB-4228-A82D-59DDAC683E82}"/>
                </c:ext>
              </c:extLst>
            </c:dLbl>
            <c:dLbl>
              <c:idx val="10"/>
              <c:tx>
                <c:strRef>
                  <c:f>'Res Bal Sem'!$P$19</c:f>
                  <c:strCache>
                    <c:ptCount val="1"/>
                    <c:pt idx="0">
                      <c:v>-99999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-5400000" spcFirstLastPara="1" vertOverflow="ellipsis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0070C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{2F3BEB52-A9A0-4E58-BCC1-CD730D28A891}</c15:txfldGUID>
                      <c15:f>'Res Bal Sem'!$P$19</c15:f>
                      <c15:dlblFieldTableCache>
                        <c:ptCount val="1"/>
                        <c:pt idx="0">
                          <c:v>-99999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AAAB-4228-A82D-59DDAC683E82}"/>
                </c:ext>
              </c:extLst>
            </c:dLbl>
            <c:dLbl>
              <c:idx val="11"/>
              <c:tx>
                <c:strRef>
                  <c:f>'Res Bal Sem'!$P$20</c:f>
                  <c:strCache>
                    <c:ptCount val="1"/>
                    <c:pt idx="0">
                      <c:v>-99999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-5400000" spcFirstLastPara="1" vertOverflow="ellipsis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0070C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{0D9427EB-22B0-4356-94D9-C40A9A209659}</c15:txfldGUID>
                      <c15:f>'Res Bal Sem'!$P$20</c15:f>
                      <c15:dlblFieldTableCache>
                        <c:ptCount val="1"/>
                        <c:pt idx="0">
                          <c:v>-99999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AAAB-4228-A82D-59DDAC683E82}"/>
                </c:ext>
              </c:extLst>
            </c:dLbl>
            <c:dLbl>
              <c:idx val="12"/>
              <c:tx>
                <c:strRef>
                  <c:f>'Res Bal Sem'!$P$21</c:f>
                  <c:strCache>
                    <c:ptCount val="1"/>
                    <c:pt idx="0">
                      <c:v>30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-5400000" spcFirstLastPara="1" vertOverflow="ellipsis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0070C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{34D19A5C-96AA-40B3-BB88-85B670BFA0A2}</c15:txfldGUID>
                      <c15:f>'Res Bal Sem'!$P$21</c15:f>
                      <c15:dlblFieldTableCache>
                        <c:ptCount val="1"/>
                        <c:pt idx="0">
                          <c:v>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AAAB-4228-A82D-59DDAC683E82}"/>
                </c:ext>
              </c:extLst>
            </c:dLbl>
            <c:dLbl>
              <c:idx val="13"/>
              <c:tx>
                <c:strRef>
                  <c:f>'Res Bal Sem'!$P$22</c:f>
                  <c:strCache>
                    <c:ptCount val="1"/>
                    <c:pt idx="0">
                      <c:v>-99999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-5400000" spcFirstLastPara="1" vertOverflow="ellipsis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0070C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{C3E50772-05BC-41D1-8D71-9EB7DA0D4370}</c15:txfldGUID>
                      <c15:f>'Res Bal Sem'!$P$22</c15:f>
                      <c15:dlblFieldTableCache>
                        <c:ptCount val="1"/>
                        <c:pt idx="0">
                          <c:v>-99999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AAAB-4228-A82D-59DDAC683E82}"/>
                </c:ext>
              </c:extLst>
            </c:dLbl>
            <c:dLbl>
              <c:idx val="14"/>
              <c:tx>
                <c:strRef>
                  <c:f>'Res Bal Sem'!$P$23</c:f>
                  <c:strCache>
                    <c:ptCount val="1"/>
                    <c:pt idx="0">
                      <c:v>33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-5400000" spcFirstLastPara="1" vertOverflow="ellipsis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0070C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{4D7AFB34-FD52-4864-B525-5FBF75B70B7A}</c15:txfldGUID>
                      <c15:f>'Res Bal Sem'!$P$23</c15:f>
                      <c15:dlblFieldTableCache>
                        <c:ptCount val="1"/>
                        <c:pt idx="0">
                          <c:v>33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D-AAAB-4228-A82D-59DDAC683E82}"/>
                </c:ext>
              </c:extLst>
            </c:dLbl>
            <c:dLbl>
              <c:idx val="15"/>
              <c:tx>
                <c:strRef>
                  <c:f>'Res Bal Sem'!$P$24</c:f>
                  <c:strCache>
                    <c:ptCount val="1"/>
                    <c:pt idx="0">
                      <c:v>-99999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-5400000" spcFirstLastPara="1" vertOverflow="ellipsis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0070C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{F917812C-CDE2-4575-B3F8-B7F95A826273}</c15:txfldGUID>
                      <c15:f>'Res Bal Sem'!$P$24</c15:f>
                      <c15:dlblFieldTableCache>
                        <c:ptCount val="1"/>
                        <c:pt idx="0">
                          <c:v>-99999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E-AAAB-4228-A82D-59DDAC683E82}"/>
                </c:ext>
              </c:extLst>
            </c:dLbl>
            <c:dLbl>
              <c:idx val="16"/>
              <c:tx>
                <c:strRef>
                  <c:f>'Res Bal Sem'!$P$25</c:f>
                  <c:strCache>
                    <c:ptCount val="1"/>
                    <c:pt idx="0">
                      <c:v>41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-5400000" spcFirstLastPara="1" vertOverflow="ellipsis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0070C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{CA2FD361-452D-4F40-9504-42D0A20D39D3}</c15:txfldGUID>
                      <c15:f>'Res Bal Sem'!$P$25</c15:f>
                      <c15:dlblFieldTableCache>
                        <c:ptCount val="1"/>
                        <c:pt idx="0">
                          <c:v>41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F-AAAB-4228-A82D-59DDAC683E82}"/>
                </c:ext>
              </c:extLst>
            </c:dLbl>
            <c:dLbl>
              <c:idx val="17"/>
              <c:tx>
                <c:strRef>
                  <c:f>'Res Bal Sem'!$P$26</c:f>
                  <c:strCache>
                    <c:ptCount val="1"/>
                    <c:pt idx="0">
                      <c:v>-99999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-5400000" spcFirstLastPara="1" vertOverflow="ellipsis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0070C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{9EC5A9F1-56B3-4D40-99A1-D9B521680C7D}</c15:txfldGUID>
                      <c15:f>'Res Bal Sem'!$P$26</c15:f>
                      <c15:dlblFieldTableCache>
                        <c:ptCount val="1"/>
                        <c:pt idx="0">
                          <c:v>-99999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0-AAAB-4228-A82D-59DDAC683E82}"/>
                </c:ext>
              </c:extLst>
            </c:dLbl>
            <c:dLbl>
              <c:idx val="18"/>
              <c:tx>
                <c:strRef>
                  <c:f>'Res Bal Sem'!$P$27</c:f>
                  <c:strCache>
                    <c:ptCount val="1"/>
                    <c:pt idx="0">
                      <c:v>59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-5400000" spcFirstLastPara="1" vertOverflow="ellipsis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0070C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{6BDE9755-12C5-44B0-8812-6F5B080241AE}</c15:txfldGUID>
                      <c15:f>'Res Bal Sem'!$P$27</c15:f>
                      <c15:dlblFieldTableCache>
                        <c:ptCount val="1"/>
                        <c:pt idx="0">
                          <c:v>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1-AAAB-4228-A82D-59DDAC683E82}"/>
                </c:ext>
              </c:extLst>
            </c:dLbl>
            <c:dLbl>
              <c:idx val="19"/>
              <c:tx>
                <c:strRef>
                  <c:f>'Res Bal Sem'!$P$28</c:f>
                  <c:strCache>
                    <c:ptCount val="1"/>
                    <c:pt idx="0">
                      <c:v>65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-5400000" spcFirstLastPara="1" vertOverflow="ellipsis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0070C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{6FD25FCF-F082-4EA2-ABE5-F13EDE9F8491}</c15:txfldGUID>
                      <c15:f>'Res Bal Sem'!$P$28</c15:f>
                      <c15:dlblFieldTableCache>
                        <c:ptCount val="1"/>
                        <c:pt idx="0">
                          <c:v>65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2-AAAB-4228-A82D-59DDAC683E82}"/>
                </c:ext>
              </c:extLst>
            </c:dLbl>
            <c:dLbl>
              <c:idx val="20"/>
              <c:tx>
                <c:strRef>
                  <c:f>'Res Bal Sem'!$P$29</c:f>
                  <c:strCache>
                    <c:ptCount val="1"/>
                    <c:pt idx="0">
                      <c:v>-99999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-5400000" spcFirstLastPara="1" vertOverflow="ellipsis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0070C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{4E22A63D-E7BF-47BF-9AA2-DF128B86DE4D}</c15:txfldGUID>
                      <c15:f>'Res Bal Sem'!$P$29</c15:f>
                      <c15:dlblFieldTableCache>
                        <c:ptCount val="1"/>
                        <c:pt idx="0">
                          <c:v>-99999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3-AAAB-4228-A82D-59DDAC683E82}"/>
                </c:ext>
              </c:extLst>
            </c:dLbl>
            <c:dLbl>
              <c:idx val="21"/>
              <c:tx>
                <c:strRef>
                  <c:f>'Res Bal Sem'!$P$30</c:f>
                  <c:strCache>
                    <c:ptCount val="1"/>
                    <c:pt idx="0">
                      <c:v>-99999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-5400000" spcFirstLastPara="1" vertOverflow="ellipsis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0070C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{AD3FBCA5-9CEA-4BD8-BFAF-2CD7096B9A81}</c15:txfldGUID>
                      <c15:f>'Res Bal Sem'!$P$30</c15:f>
                      <c15:dlblFieldTableCache>
                        <c:ptCount val="1"/>
                        <c:pt idx="0">
                          <c:v>-99999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4-AAAB-4228-A82D-59DDAC683E82}"/>
                </c:ext>
              </c:extLst>
            </c:dLbl>
            <c:dLbl>
              <c:idx val="22"/>
              <c:tx>
                <c:strRef>
                  <c:f>'Res Bal Sem'!$P$31</c:f>
                  <c:strCache>
                    <c:ptCount val="1"/>
                    <c:pt idx="0">
                      <c:v>83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-5400000" spcFirstLastPara="1" vertOverflow="ellipsis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0070C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{E5342C57-305C-4A65-A8D3-3E7944371AD7}</c15:txfldGUID>
                      <c15:f>'Res Bal Sem'!$P$31</c15:f>
                      <c15:dlblFieldTableCache>
                        <c:ptCount val="1"/>
                        <c:pt idx="0">
                          <c:v>83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5-AAAB-4228-A82D-59DDAC683E82}"/>
                </c:ext>
              </c:extLst>
            </c:dLbl>
            <c:dLbl>
              <c:idx val="23"/>
              <c:tx>
                <c:strRef>
                  <c:f>'Res Bal Sem'!$P$32</c:f>
                  <c:strCache>
                    <c:ptCount val="1"/>
                    <c:pt idx="0">
                      <c:v>83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-5400000" spcFirstLastPara="1" vertOverflow="ellipsis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0070C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{B01315DB-5585-4275-9497-72A548B00132}</c15:txfldGUID>
                      <c15:f>'Res Bal Sem'!$P$32</c15:f>
                      <c15:dlblFieldTableCache>
                        <c:ptCount val="1"/>
                        <c:pt idx="0">
                          <c:v>83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00-6D19-4E88-AE9F-F740052A028A}"/>
                </c:ext>
              </c:extLst>
            </c:dLbl>
            <c:dLbl>
              <c:idx val="24"/>
              <c:tx>
                <c:strRef>
                  <c:f>'Res Bal Sem'!$P$33</c:f>
                  <c:strCache>
                    <c:ptCount val="1"/>
                    <c:pt idx="0">
                      <c:v>-99999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-5400000" spcFirstLastPara="1" vertOverflow="ellipsis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0070C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{0E7783BB-8EA3-4DC1-952C-5CA289BED5D4}</c15:txfldGUID>
                      <c15:f>'Res Bal Sem'!$P$33</c15:f>
                      <c15:dlblFieldTableCache>
                        <c:ptCount val="1"/>
                        <c:pt idx="0">
                          <c:v>-99999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01-6D19-4E88-AE9F-F740052A028A}"/>
                </c:ext>
              </c:extLst>
            </c:dLbl>
            <c:dLbl>
              <c:idx val="25"/>
              <c:tx>
                <c:strRef>
                  <c:f>'Res Bal Sem'!$P$34</c:f>
                  <c:strCache>
                    <c:ptCount val="1"/>
                    <c:pt idx="0">
                      <c:v>89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-5400000" spcFirstLastPara="1" vertOverflow="ellipsis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0070C0"/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es-ES_tradn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{48840B26-8482-4225-91ED-2B9B42EAB645}</c15:txfldGUID>
                      <c15:f>'Res Bal Sem'!$P$34</c15:f>
                      <c15:dlblFieldTableCache>
                        <c:ptCount val="1"/>
                        <c:pt idx="0">
                          <c:v>89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02-6D19-4E88-AE9F-F740052A028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91A4755-F671-4D0F-9550-B2523063EB57}" type="YVALUE">
                      <a:rPr lang="en-US"/>
                      <a:pPr/>
                      <a:t>[VALOR DE Y]</a:t>
                    </a:fld>
                    <a:endParaRPr lang="es-ES_tradnl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2C5B-4F49-ABBA-CBBF6B866FE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381487E-047B-4428-BAFB-1FA296B3B576}" type="YVALUE">
                      <a:rPr lang="en-US"/>
                      <a:pPr/>
                      <a:t>[VALOR DE Y]</a:t>
                    </a:fld>
                    <a:endParaRPr lang="es-ES_tradnl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C5B-4F49-ABBA-CBBF6B866FE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5A4F0D3-5535-45A5-8D56-7DAE72141D97}" type="YVALUE">
                      <a:rPr lang="en-US"/>
                      <a:pPr/>
                      <a:t>[VALOR DE Y]</a:t>
                    </a:fld>
                    <a:endParaRPr lang="es-ES_tradnl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C5B-4F49-ABBA-CBBF6B866F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rgbClr val="0070C0"/>
                    </a:solidFill>
                    <a:latin typeface="+mn-lt"/>
                    <a:ea typeface="+mn-ea"/>
                    <a:cs typeface="+mn-cs"/>
                  </a:defRPr>
                </a:pPr>
                <a:endParaRPr lang="es-ES_tradn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'Res Bal Sem'!$B$9:$B$37</c:f>
              <c:numCache>
                <c:formatCode>m/d/yyyy</c:formatCode>
                <c:ptCount val="29"/>
                <c:pt idx="0">
                  <c:v>42381</c:v>
                </c:pt>
                <c:pt idx="1">
                  <c:v>42388</c:v>
                </c:pt>
                <c:pt idx="2">
                  <c:v>42395</c:v>
                </c:pt>
                <c:pt idx="3">
                  <c:v>42402</c:v>
                </c:pt>
                <c:pt idx="4">
                  <c:v>42409</c:v>
                </c:pt>
                <c:pt idx="5">
                  <c:v>42416</c:v>
                </c:pt>
                <c:pt idx="6">
                  <c:v>42423</c:v>
                </c:pt>
                <c:pt idx="7">
                  <c:v>42430</c:v>
                </c:pt>
                <c:pt idx="8">
                  <c:v>42437</c:v>
                </c:pt>
                <c:pt idx="9">
                  <c:v>42444</c:v>
                </c:pt>
                <c:pt idx="10">
                  <c:v>42451</c:v>
                </c:pt>
                <c:pt idx="11">
                  <c:v>42458</c:v>
                </c:pt>
                <c:pt idx="12">
                  <c:v>42465</c:v>
                </c:pt>
                <c:pt idx="13">
                  <c:v>42472</c:v>
                </c:pt>
                <c:pt idx="14">
                  <c:v>42479</c:v>
                </c:pt>
                <c:pt idx="15">
                  <c:v>42486</c:v>
                </c:pt>
                <c:pt idx="16">
                  <c:v>42493</c:v>
                </c:pt>
                <c:pt idx="17">
                  <c:v>42500</c:v>
                </c:pt>
                <c:pt idx="18">
                  <c:v>42507</c:v>
                </c:pt>
                <c:pt idx="19">
                  <c:v>42514</c:v>
                </c:pt>
                <c:pt idx="20">
                  <c:v>42521</c:v>
                </c:pt>
                <c:pt idx="21">
                  <c:v>42528</c:v>
                </c:pt>
                <c:pt idx="22">
                  <c:v>42535</c:v>
                </c:pt>
                <c:pt idx="23">
                  <c:v>42542</c:v>
                </c:pt>
                <c:pt idx="24">
                  <c:v>42549</c:v>
                </c:pt>
                <c:pt idx="25">
                  <c:v>42556</c:v>
                </c:pt>
                <c:pt idx="26">
                  <c:v>42563</c:v>
                </c:pt>
                <c:pt idx="27">
                  <c:v>42570</c:v>
                </c:pt>
                <c:pt idx="28">
                  <c:v>42577</c:v>
                </c:pt>
              </c:numCache>
            </c:numRef>
          </c:xVal>
          <c:yVal>
            <c:numRef>
              <c:f>'Res Bal Sem'!$Q$9:$Q$37</c:f>
              <c:numCache>
                <c:formatCode>General</c:formatCode>
                <c:ptCount val="29"/>
                <c:pt idx="0">
                  <c:v>-999</c:v>
                </c:pt>
                <c:pt idx="1">
                  <c:v>-999</c:v>
                </c:pt>
                <c:pt idx="2">
                  <c:v>-999</c:v>
                </c:pt>
                <c:pt idx="3">
                  <c:v>-999</c:v>
                </c:pt>
                <c:pt idx="4">
                  <c:v>-999</c:v>
                </c:pt>
                <c:pt idx="5">
                  <c:v>-999</c:v>
                </c:pt>
                <c:pt idx="6">
                  <c:v>-999</c:v>
                </c:pt>
                <c:pt idx="7">
                  <c:v>-999</c:v>
                </c:pt>
                <c:pt idx="8">
                  <c:v>-999</c:v>
                </c:pt>
                <c:pt idx="9">
                  <c:v>1.1000000000000001</c:v>
                </c:pt>
                <c:pt idx="10">
                  <c:v>-999</c:v>
                </c:pt>
                <c:pt idx="11">
                  <c:v>-999</c:v>
                </c:pt>
                <c:pt idx="12">
                  <c:v>1.1000000000000001</c:v>
                </c:pt>
                <c:pt idx="13">
                  <c:v>-999</c:v>
                </c:pt>
                <c:pt idx="14">
                  <c:v>1.1000000000000001</c:v>
                </c:pt>
                <c:pt idx="15">
                  <c:v>-999</c:v>
                </c:pt>
                <c:pt idx="16">
                  <c:v>1.1000000000000001</c:v>
                </c:pt>
                <c:pt idx="17">
                  <c:v>-999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-999</c:v>
                </c:pt>
                <c:pt idx="21">
                  <c:v>-999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-999</c:v>
                </c:pt>
                <c:pt idx="25">
                  <c:v>1.1000000000000001</c:v>
                </c:pt>
                <c:pt idx="26">
                  <c:v>-999</c:v>
                </c:pt>
                <c:pt idx="27">
                  <c:v>-999</c:v>
                </c:pt>
                <c:pt idx="28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('Res Bal Sem'!$P$9:$P$11,'Res Bal Sem'!$P$13,'Res Bal Sem'!$P$16,'Res Bal Sem'!$P$18)</c15:f>
                <c15:dlblRangeCache>
                  <c:ptCount val="6"/>
                  <c:pt idx="0">
                    <c:v>0</c:v>
                  </c:pt>
                  <c:pt idx="1">
                    <c:v>-99999</c:v>
                  </c:pt>
                  <c:pt idx="2">
                    <c:v>-99999</c:v>
                  </c:pt>
                  <c:pt idx="3">
                    <c:v>-99999</c:v>
                  </c:pt>
                  <c:pt idx="4">
                    <c:v>-99999</c:v>
                  </c:pt>
                  <c:pt idx="5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66-AAAB-4228-A82D-59DDAC683E82}"/>
            </c:ext>
          </c:extLst>
        </c:ser>
        <c:ser>
          <c:idx val="11"/>
          <c:order val="13"/>
          <c:tx>
            <c:strRef>
              <c:f>'Res Bal Sem'!$V$3</c:f>
              <c:strCache>
                <c:ptCount val="1"/>
                <c:pt idx="0">
                  <c:v>NDVI real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'Res Bal Sem'!$B$9:$B$37</c:f>
              <c:numCache>
                <c:formatCode>m/d/yyyy</c:formatCode>
                <c:ptCount val="29"/>
                <c:pt idx="0">
                  <c:v>42381</c:v>
                </c:pt>
                <c:pt idx="1">
                  <c:v>42388</c:v>
                </c:pt>
                <c:pt idx="2">
                  <c:v>42395</c:v>
                </c:pt>
                <c:pt idx="3">
                  <c:v>42402</c:v>
                </c:pt>
                <c:pt idx="4">
                  <c:v>42409</c:v>
                </c:pt>
                <c:pt idx="5">
                  <c:v>42416</c:v>
                </c:pt>
                <c:pt idx="6">
                  <c:v>42423</c:v>
                </c:pt>
                <c:pt idx="7">
                  <c:v>42430</c:v>
                </c:pt>
                <c:pt idx="8">
                  <c:v>42437</c:v>
                </c:pt>
                <c:pt idx="9">
                  <c:v>42444</c:v>
                </c:pt>
                <c:pt idx="10">
                  <c:v>42451</c:v>
                </c:pt>
                <c:pt idx="11">
                  <c:v>42458</c:v>
                </c:pt>
                <c:pt idx="12">
                  <c:v>42465</c:v>
                </c:pt>
                <c:pt idx="13">
                  <c:v>42472</c:v>
                </c:pt>
                <c:pt idx="14">
                  <c:v>42479</c:v>
                </c:pt>
                <c:pt idx="15">
                  <c:v>42486</c:v>
                </c:pt>
                <c:pt idx="16">
                  <c:v>42493</c:v>
                </c:pt>
                <c:pt idx="17">
                  <c:v>42500</c:v>
                </c:pt>
                <c:pt idx="18">
                  <c:v>42507</c:v>
                </c:pt>
                <c:pt idx="19">
                  <c:v>42514</c:v>
                </c:pt>
                <c:pt idx="20">
                  <c:v>42521</c:v>
                </c:pt>
                <c:pt idx="21">
                  <c:v>42528</c:v>
                </c:pt>
                <c:pt idx="22">
                  <c:v>42535</c:v>
                </c:pt>
                <c:pt idx="23">
                  <c:v>42542</c:v>
                </c:pt>
                <c:pt idx="24">
                  <c:v>42549</c:v>
                </c:pt>
                <c:pt idx="25">
                  <c:v>42556</c:v>
                </c:pt>
                <c:pt idx="26">
                  <c:v>42563</c:v>
                </c:pt>
                <c:pt idx="27">
                  <c:v>42570</c:v>
                </c:pt>
                <c:pt idx="28">
                  <c:v>42577</c:v>
                </c:pt>
              </c:numCache>
            </c:numRef>
          </c:xVal>
          <c:yVal>
            <c:numRef>
              <c:f>'Res Bal Sem'!$V$9:$V$37</c:f>
              <c:numCache>
                <c:formatCode>0.0000</c:formatCode>
                <c:ptCount val="29"/>
                <c:pt idx="0">
                  <c:v>-999</c:v>
                </c:pt>
                <c:pt idx="1">
                  <c:v>0.26209876444444441</c:v>
                </c:pt>
                <c:pt idx="2">
                  <c:v>0.26155864106481486</c:v>
                </c:pt>
                <c:pt idx="3">
                  <c:v>0.26080246833333348</c:v>
                </c:pt>
                <c:pt idx="4">
                  <c:v>0.26004629560185211</c:v>
                </c:pt>
                <c:pt idx="5">
                  <c:v>0.25929012287037073</c:v>
                </c:pt>
                <c:pt idx="6">
                  <c:v>0.25853395013888936</c:v>
                </c:pt>
                <c:pt idx="7">
                  <c:v>0.25777777740740798</c:v>
                </c:pt>
                <c:pt idx="8">
                  <c:v>0.27446208079365075</c:v>
                </c:pt>
                <c:pt idx="9">
                  <c:v>0.34682324574525747</c:v>
                </c:pt>
                <c:pt idx="10">
                  <c:v>0.43830171623306247</c:v>
                </c:pt>
                <c:pt idx="11">
                  <c:v>0.52978018672086746</c:v>
                </c:pt>
                <c:pt idx="12">
                  <c:v>0.62125865720867246</c:v>
                </c:pt>
                <c:pt idx="13">
                  <c:v>0.71273712769647746</c:v>
                </c:pt>
                <c:pt idx="14">
                  <c:v>0.80421559818428245</c:v>
                </c:pt>
                <c:pt idx="15">
                  <c:v>0.83978395069444456</c:v>
                </c:pt>
                <c:pt idx="16">
                  <c:v>0.86603395020833362</c:v>
                </c:pt>
                <c:pt idx="17">
                  <c:v>0.87907407333333365</c:v>
                </c:pt>
                <c:pt idx="18">
                  <c:v>0.88220678916666728</c:v>
                </c:pt>
                <c:pt idx="19">
                  <c:v>0.88444444333333339</c:v>
                </c:pt>
                <c:pt idx="20">
                  <c:v>0.87317129541666683</c:v>
                </c:pt>
                <c:pt idx="21">
                  <c:v>0.84686728361111152</c:v>
                </c:pt>
                <c:pt idx="22">
                  <c:v>0.79585648152777777</c:v>
                </c:pt>
                <c:pt idx="23">
                  <c:v>0.59660493777777801</c:v>
                </c:pt>
                <c:pt idx="24">
                  <c:v>0.39735339402777803</c:v>
                </c:pt>
                <c:pt idx="25">
                  <c:v>0.34486772492063505</c:v>
                </c:pt>
                <c:pt idx="26">
                  <c:v>0.31543209851851861</c:v>
                </c:pt>
                <c:pt idx="27">
                  <c:v>0.30395061777777777</c:v>
                </c:pt>
                <c:pt idx="28">
                  <c:v>-999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7-AAAB-4228-A82D-59DDAC683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392"/>
        <c:axId val="155225136"/>
        <c:extLst>
          <c:ext xmlns:c15="http://schemas.microsoft.com/office/drawing/2012/chart" uri="{02D57815-91ED-43cb-92C2-25804820EDAC}">
            <c15:filteredScatterSeries>
              <c15:ser>
                <c:idx val="9"/>
                <c:order val="0"/>
                <c:tx>
                  <c:strRef>
                    <c:extLst>
                      <c:ext uri="{02D57815-91ED-43cb-92C2-25804820EDAC}">
                        <c15:formulaRef>
                          <c15:sqref>'Res Bal Sem'!$R$3</c15:sqref>
                        </c15:formulaRef>
                      </c:ext>
                    </c:extLst>
                    <c:strCache>
                      <c:ptCount val="1"/>
                      <c:pt idx="0">
                        <c:v>Eto tipo gra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7030A0"/>
                    </a:solidFill>
                    <a:ln w="9525">
                      <a:solidFill>
                        <a:srgbClr val="7030A0"/>
                      </a:solidFill>
                    </a:ln>
                    <a:effectLst/>
                  </c:spPr>
                </c:marker>
                <c:dLbls>
                  <c:dLbl>
                    <c:idx val="0"/>
                    <c:tx>
                      <c:strRef>
                        <c:f>'Res Bal Sem'!$S$9</c:f>
                        <c:strCache>
                          <c:ptCount val="1"/>
                          <c:pt idx="0">
                            <c:v>0</c:v>
                          </c:pt>
                        </c:strCache>
                      </c:strRef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800" b="1" i="0" u="none" strike="noStrike" kern="1200" baseline="0">
                            <a:solidFill>
                              <a:srgbClr val="7030A0"/>
                            </a:solidFill>
                            <a:latin typeface="Calibri" panose="020F0502020204030204" pitchFamily="34" charset="0"/>
                            <a:ea typeface="+mn-ea"/>
                            <a:cs typeface="+mn-cs"/>
                          </a:defRPr>
                        </a:pPr>
                        <a:endParaRPr lang="es-ES_tradnl"/>
                      </a:p>
                    </c:txPr>
                    <c:dLblPos val="t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>
                          <c15:dlblFTEntry>
                            <c15:txfldGUID>{75A4BCFC-61CC-45A5-86E6-E654DC608AC3}</c15:txfldGUID>
                            <c15:f>'Res Bal Sem'!$S$9</c15:f>
                            <c15:dlblFieldTableCache>
                              <c:ptCount val="1"/>
                              <c:pt idx="0">
                                <c:v>0</c:v>
                              </c:pt>
                            </c15:dlblFieldTableCache>
                          </c15:dlblFTEntry>
                        </c15:dlblFieldTable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0-AAAB-4228-A82D-59DDAC683E82}"/>
                      </c:ext>
                    </c:extLst>
                  </c:dLbl>
                  <c:dLbl>
                    <c:idx val="1"/>
                    <c:tx>
                      <c:rich>
                        <a:bodyPr rot="0" spcFirstLastPara="1" vertOverflow="ellipsis" vert="horz" wrap="square" lIns="38100" tIns="19050" rIns="38100" bIns="19050" anchor="ctr" anchorCtr="1">
                          <a:spAutoFit/>
                        </a:bodyPr>
                        <a:lstStyle/>
                        <a:p>
                          <a:pPr>
                            <a:defRPr sz="800" b="1" i="0" u="none" strike="noStrike" kern="1200" baseline="0">
                              <a:solidFill>
                                <a:srgbClr val="7030A0"/>
                              </a:solidFill>
                              <a:latin typeface="Calibri" panose="020F0502020204030204" pitchFamily="34" charset="0"/>
                              <a:ea typeface="+mn-ea"/>
                              <a:cs typeface="+mn-cs"/>
                            </a:defRPr>
                          </a:pPr>
                          <a:fld id="{4CF083AA-0F1E-450F-8641-5753C522C636}" type="CELLRANGE">
                            <a:rPr lang="es-ES_tradnl"/>
                            <a:pPr>
                              <a:defRPr sz="800" b="1">
                                <a:solidFill>
                                  <a:srgbClr val="7030A0"/>
                                </a:solidFill>
                                <a:latin typeface="Calibri" panose="020F0502020204030204" pitchFamily="34" charset="0"/>
                              </a:defRPr>
                            </a:pPr>
                            <a:t>[CELLRANGE]</a:t>
                          </a:fld>
                          <a:endParaRPr lang="es-ES_tradnl"/>
                        </a:p>
                      </c:rich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800" b="1" i="0" u="none" strike="noStrike" kern="1200" baseline="0">
                            <a:solidFill>
                              <a:srgbClr val="7030A0"/>
                            </a:solidFill>
                            <a:latin typeface="Calibri" panose="020F0502020204030204" pitchFamily="34" charset="0"/>
                            <a:ea typeface="+mn-ea"/>
                            <a:cs typeface="+mn-cs"/>
                          </a:defRPr>
                        </a:pPr>
                        <a:endParaRPr lang="es-ES_tradnl"/>
                      </a:p>
                    </c:txPr>
                    <c:dLblPos val="t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1-AAAB-4228-A82D-59DDAC683E82}"/>
                      </c:ext>
                    </c:extLst>
                  </c:dLbl>
                  <c:dLbl>
                    <c:idx val="2"/>
                    <c:tx>
                      <c:rich>
                        <a:bodyPr rot="0" spcFirstLastPara="1" vertOverflow="ellipsis" vert="horz" wrap="square" lIns="38100" tIns="19050" rIns="38100" bIns="19050" anchor="ctr" anchorCtr="1">
                          <a:spAutoFit/>
                        </a:bodyPr>
                        <a:lstStyle/>
                        <a:p>
                          <a:pPr>
                            <a:defRPr sz="800" b="1" i="0" u="none" strike="noStrike" kern="1200" baseline="0">
                              <a:solidFill>
                                <a:srgbClr val="7030A0"/>
                              </a:solidFill>
                              <a:latin typeface="Calibri" panose="020F0502020204030204" pitchFamily="34" charset="0"/>
                              <a:ea typeface="+mn-ea"/>
                              <a:cs typeface="+mn-cs"/>
                            </a:defRPr>
                          </a:pPr>
                          <a:fld id="{0CC65009-02AF-42D9-B193-E296E1334F0F}" type="CELLRANGE">
                            <a:rPr lang="es-ES_tradnl"/>
                            <a:pPr>
                              <a:defRPr sz="800" b="1">
                                <a:solidFill>
                                  <a:srgbClr val="7030A0"/>
                                </a:solidFill>
                                <a:latin typeface="Calibri" panose="020F0502020204030204" pitchFamily="34" charset="0"/>
                              </a:defRPr>
                            </a:pPr>
                            <a:t>[CELLRANGE]</a:t>
                          </a:fld>
                          <a:endParaRPr lang="es-ES_tradnl"/>
                        </a:p>
                      </c:rich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800" b="1" i="0" u="none" strike="noStrike" kern="1200" baseline="0">
                            <a:solidFill>
                              <a:srgbClr val="7030A0"/>
                            </a:solidFill>
                            <a:latin typeface="Calibri" panose="020F0502020204030204" pitchFamily="34" charset="0"/>
                            <a:ea typeface="+mn-ea"/>
                            <a:cs typeface="+mn-cs"/>
                          </a:defRPr>
                        </a:pPr>
                        <a:endParaRPr lang="es-ES_tradnl"/>
                      </a:p>
                    </c:txPr>
                    <c:dLblPos val="t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2-AAAB-4228-A82D-59DDAC683E82}"/>
                      </c:ext>
                    </c:extLst>
                  </c:dLbl>
                  <c:dLbl>
                    <c:idx val="3"/>
                    <c:tx>
                      <c:rich>
                        <a:bodyPr rot="0" spcFirstLastPara="1" vertOverflow="ellipsis" vert="horz" wrap="square" lIns="38100" tIns="19050" rIns="38100" bIns="19050" anchor="ctr" anchorCtr="1">
                          <a:spAutoFit/>
                        </a:bodyPr>
                        <a:lstStyle/>
                        <a:p>
                          <a:pPr>
                            <a:defRPr sz="800" b="1" i="0" u="none" strike="noStrike" kern="1200" baseline="0">
                              <a:solidFill>
                                <a:srgbClr val="7030A0"/>
                              </a:solidFill>
                              <a:latin typeface="Calibri" panose="020F0502020204030204" pitchFamily="34" charset="0"/>
                              <a:ea typeface="+mn-ea"/>
                              <a:cs typeface="+mn-cs"/>
                            </a:defRPr>
                          </a:pPr>
                          <a:fld id="{3EF14616-0C54-4684-99A2-5E97E20B705D}" type="CELLRANGE">
                            <a:rPr lang="es-ES_tradnl"/>
                            <a:pPr>
                              <a:defRPr sz="800" b="1">
                                <a:solidFill>
                                  <a:srgbClr val="7030A0"/>
                                </a:solidFill>
                                <a:latin typeface="Calibri" panose="020F0502020204030204" pitchFamily="34" charset="0"/>
                              </a:defRPr>
                            </a:pPr>
                            <a:t>[CELLRANGE]</a:t>
                          </a:fld>
                          <a:endParaRPr lang="es-ES_tradnl"/>
                        </a:p>
                      </c:rich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800" b="1" i="0" u="none" strike="noStrike" kern="1200" baseline="0">
                            <a:solidFill>
                              <a:srgbClr val="7030A0"/>
                            </a:solidFill>
                            <a:latin typeface="Calibri" panose="020F0502020204030204" pitchFamily="34" charset="0"/>
                            <a:ea typeface="+mn-ea"/>
                            <a:cs typeface="+mn-cs"/>
                          </a:defRPr>
                        </a:pPr>
                        <a:endParaRPr lang="es-ES_tradnl"/>
                      </a:p>
                    </c:txPr>
                    <c:dLblPos val="t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3-AAAB-4228-A82D-59DDAC683E82}"/>
                      </c:ext>
                    </c:extLst>
                  </c:dLbl>
                  <c:dLbl>
                    <c:idx val="4"/>
                    <c:tx>
                      <c:rich>
                        <a:bodyPr rot="0" spcFirstLastPara="1" vertOverflow="ellipsis" vert="horz" wrap="square" lIns="38100" tIns="19050" rIns="38100" bIns="19050" anchor="ctr" anchorCtr="1">
                          <a:spAutoFit/>
                        </a:bodyPr>
                        <a:lstStyle/>
                        <a:p>
                          <a:pPr>
                            <a:defRPr sz="800" b="1" i="0" u="none" strike="noStrike" kern="1200" baseline="0">
                              <a:solidFill>
                                <a:srgbClr val="7030A0"/>
                              </a:solidFill>
                              <a:latin typeface="Calibri" panose="020F0502020204030204" pitchFamily="34" charset="0"/>
                              <a:ea typeface="+mn-ea"/>
                              <a:cs typeface="+mn-cs"/>
                            </a:defRPr>
                          </a:pPr>
                          <a:fld id="{BBD16C01-C839-4982-A1F2-23A7C1EE21EF}" type="CELLRANGE">
                            <a:rPr lang="es-ES_tradnl"/>
                            <a:pPr>
                              <a:defRPr sz="800" b="1">
                                <a:solidFill>
                                  <a:srgbClr val="7030A0"/>
                                </a:solidFill>
                                <a:latin typeface="Calibri" panose="020F0502020204030204" pitchFamily="34" charset="0"/>
                              </a:defRPr>
                            </a:pPr>
                            <a:t>[CELLRANGE]</a:t>
                          </a:fld>
                          <a:endParaRPr lang="es-ES_tradnl"/>
                        </a:p>
                      </c:rich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800" b="1" i="0" u="none" strike="noStrike" kern="1200" baseline="0">
                            <a:solidFill>
                              <a:srgbClr val="7030A0"/>
                            </a:solidFill>
                            <a:latin typeface="Calibri" panose="020F0502020204030204" pitchFamily="34" charset="0"/>
                            <a:ea typeface="+mn-ea"/>
                            <a:cs typeface="+mn-cs"/>
                          </a:defRPr>
                        </a:pPr>
                        <a:endParaRPr lang="es-ES_tradnl"/>
                      </a:p>
                    </c:txPr>
                    <c:dLblPos val="t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4-AAAB-4228-A82D-59DDAC683E82}"/>
                      </c:ext>
                    </c:extLst>
                  </c:dLbl>
                  <c:dLbl>
                    <c:idx val="5"/>
                    <c:tx>
                      <c:rich>
                        <a:bodyPr rot="0" spcFirstLastPara="1" vertOverflow="ellipsis" vert="horz" wrap="square" lIns="38100" tIns="19050" rIns="38100" bIns="19050" anchor="ctr" anchorCtr="1">
                          <a:spAutoFit/>
                        </a:bodyPr>
                        <a:lstStyle/>
                        <a:p>
                          <a:pPr>
                            <a:defRPr sz="800" b="1" i="0" u="none" strike="noStrike" kern="1200" baseline="0">
                              <a:solidFill>
                                <a:srgbClr val="7030A0"/>
                              </a:solidFill>
                              <a:latin typeface="Calibri" panose="020F0502020204030204" pitchFamily="34" charset="0"/>
                              <a:ea typeface="+mn-ea"/>
                              <a:cs typeface="+mn-cs"/>
                            </a:defRPr>
                          </a:pPr>
                          <a:fld id="{B96ECFF8-F4BB-4CA6-AFBA-9732C49C139C}" type="CELLRANGE">
                            <a:rPr lang="es-ES_tradnl"/>
                            <a:pPr>
                              <a:defRPr sz="800" b="1">
                                <a:solidFill>
                                  <a:srgbClr val="7030A0"/>
                                </a:solidFill>
                                <a:latin typeface="Calibri" panose="020F0502020204030204" pitchFamily="34" charset="0"/>
                              </a:defRPr>
                            </a:pPr>
                            <a:t>[CELLRANGE]</a:t>
                          </a:fld>
                          <a:endParaRPr lang="es-ES_tradnl"/>
                        </a:p>
                      </c:rich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800" b="1" i="0" u="none" strike="noStrike" kern="1200" baseline="0">
                            <a:solidFill>
                              <a:srgbClr val="7030A0"/>
                            </a:solidFill>
                            <a:latin typeface="Calibri" panose="020F0502020204030204" pitchFamily="34" charset="0"/>
                            <a:ea typeface="+mn-ea"/>
                            <a:cs typeface="+mn-cs"/>
                          </a:defRPr>
                        </a:pPr>
                        <a:endParaRPr lang="es-ES_tradnl"/>
                      </a:p>
                    </c:txPr>
                    <c:dLblPos val="t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5-AAAB-4228-A82D-59DDAC683E82}"/>
                      </c:ext>
                    </c:extLst>
                  </c:dLbl>
                  <c:dLbl>
                    <c:idx val="6"/>
                    <c:tx>
                      <c:rich>
                        <a:bodyPr rot="0" spcFirstLastPara="1" vertOverflow="ellipsis" vert="horz" wrap="square" lIns="38100" tIns="19050" rIns="38100" bIns="19050" anchor="ctr" anchorCtr="1">
                          <a:spAutoFit/>
                        </a:bodyPr>
                        <a:lstStyle/>
                        <a:p>
                          <a:pPr>
                            <a:defRPr sz="800" b="1" i="0" u="none" strike="noStrike" kern="1200" baseline="0">
                              <a:solidFill>
                                <a:srgbClr val="7030A0"/>
                              </a:solidFill>
                              <a:latin typeface="Calibri" panose="020F0502020204030204" pitchFamily="34" charset="0"/>
                              <a:ea typeface="+mn-ea"/>
                              <a:cs typeface="+mn-cs"/>
                            </a:defRPr>
                          </a:pPr>
                          <a:fld id="{5FE08225-8E07-4491-A35A-C1BD291402BD}" type="CELLRANGE">
                            <a:rPr lang="es-ES_tradnl"/>
                            <a:pPr>
                              <a:defRPr sz="800" b="1">
                                <a:solidFill>
                                  <a:srgbClr val="7030A0"/>
                                </a:solidFill>
                                <a:latin typeface="Calibri" panose="020F0502020204030204" pitchFamily="34" charset="0"/>
                              </a:defRPr>
                            </a:pPr>
                            <a:t>[CELLRANGE]</a:t>
                          </a:fld>
                          <a:endParaRPr lang="es-ES_tradnl"/>
                        </a:p>
                      </c:rich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800" b="1" i="0" u="none" strike="noStrike" kern="1200" baseline="0">
                            <a:solidFill>
                              <a:srgbClr val="7030A0"/>
                            </a:solidFill>
                            <a:latin typeface="Calibri" panose="020F0502020204030204" pitchFamily="34" charset="0"/>
                            <a:ea typeface="+mn-ea"/>
                            <a:cs typeface="+mn-cs"/>
                          </a:defRPr>
                        </a:pPr>
                        <a:endParaRPr lang="es-ES_tradnl"/>
                      </a:p>
                    </c:txPr>
                    <c:dLblPos val="t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6-AAAB-4228-A82D-59DDAC683E82}"/>
                      </c:ext>
                    </c:extLst>
                  </c:dLbl>
                  <c:dLbl>
                    <c:idx val="7"/>
                    <c:tx>
                      <c:rich>
                        <a:bodyPr rot="0" spcFirstLastPara="1" vertOverflow="ellipsis" vert="horz" wrap="square" lIns="38100" tIns="19050" rIns="38100" bIns="19050" anchor="ctr" anchorCtr="1">
                          <a:spAutoFit/>
                        </a:bodyPr>
                        <a:lstStyle/>
                        <a:p>
                          <a:pPr>
                            <a:defRPr sz="800" b="1" i="0" u="none" strike="noStrike" kern="1200" baseline="0">
                              <a:solidFill>
                                <a:srgbClr val="7030A0"/>
                              </a:solidFill>
                              <a:latin typeface="Calibri" panose="020F0502020204030204" pitchFamily="34" charset="0"/>
                              <a:ea typeface="+mn-ea"/>
                              <a:cs typeface="+mn-cs"/>
                            </a:defRPr>
                          </a:pPr>
                          <a:fld id="{CBCCBA23-BA00-457A-91E2-5FDEBD07A845}" type="CELLRANGE">
                            <a:rPr lang="es-ES_tradnl"/>
                            <a:pPr>
                              <a:defRPr sz="800" b="1">
                                <a:solidFill>
                                  <a:srgbClr val="7030A0"/>
                                </a:solidFill>
                                <a:latin typeface="Calibri" panose="020F0502020204030204" pitchFamily="34" charset="0"/>
                              </a:defRPr>
                            </a:pPr>
                            <a:t>[CELLRANGE]</a:t>
                          </a:fld>
                          <a:endParaRPr lang="es-ES_tradnl"/>
                        </a:p>
                      </c:rich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800" b="1" i="0" u="none" strike="noStrike" kern="1200" baseline="0">
                            <a:solidFill>
                              <a:srgbClr val="7030A0"/>
                            </a:solidFill>
                            <a:latin typeface="Calibri" panose="020F0502020204030204" pitchFamily="34" charset="0"/>
                            <a:ea typeface="+mn-ea"/>
                            <a:cs typeface="+mn-cs"/>
                          </a:defRPr>
                        </a:pPr>
                        <a:endParaRPr lang="es-ES_tradnl"/>
                      </a:p>
                    </c:txPr>
                    <c:dLblPos val="t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7-AAAB-4228-A82D-59DDAC683E82}"/>
                      </c:ext>
                    </c:extLst>
                  </c:dLbl>
                  <c:dLbl>
                    <c:idx val="8"/>
                    <c:tx>
                      <c:rich>
                        <a:bodyPr rot="0" spcFirstLastPara="1" vertOverflow="ellipsis" vert="horz" wrap="square" lIns="38100" tIns="19050" rIns="38100" bIns="19050" anchor="ctr" anchorCtr="1">
                          <a:spAutoFit/>
                        </a:bodyPr>
                        <a:lstStyle/>
                        <a:p>
                          <a:pPr>
                            <a:defRPr sz="800" b="1" i="0" u="none" strike="noStrike" kern="1200" baseline="0">
                              <a:solidFill>
                                <a:srgbClr val="7030A0"/>
                              </a:solidFill>
                              <a:latin typeface="Calibri" panose="020F0502020204030204" pitchFamily="34" charset="0"/>
                              <a:ea typeface="+mn-ea"/>
                              <a:cs typeface="+mn-cs"/>
                            </a:defRPr>
                          </a:pPr>
                          <a:fld id="{29E5609F-B49F-451A-94AB-E172FD21FBA9}" type="CELLRANGE">
                            <a:rPr lang="es-ES_tradnl"/>
                            <a:pPr>
                              <a:defRPr sz="800" b="1">
                                <a:solidFill>
                                  <a:srgbClr val="7030A0"/>
                                </a:solidFill>
                                <a:latin typeface="Calibri" panose="020F0502020204030204" pitchFamily="34" charset="0"/>
                              </a:defRPr>
                            </a:pPr>
                            <a:t>[CELLRANGE]</a:t>
                          </a:fld>
                          <a:endParaRPr lang="es-ES_tradnl"/>
                        </a:p>
                      </c:rich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800" b="1" i="0" u="none" strike="noStrike" kern="1200" baseline="0">
                            <a:solidFill>
                              <a:srgbClr val="7030A0"/>
                            </a:solidFill>
                            <a:latin typeface="Calibri" panose="020F0502020204030204" pitchFamily="34" charset="0"/>
                            <a:ea typeface="+mn-ea"/>
                            <a:cs typeface="+mn-cs"/>
                          </a:defRPr>
                        </a:pPr>
                        <a:endParaRPr lang="es-ES_tradnl"/>
                      </a:p>
                    </c:txPr>
                    <c:dLblPos val="t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8-AAAB-4228-A82D-59DDAC683E82}"/>
                      </c:ext>
                    </c:extLst>
                  </c:dLbl>
                  <c:dLbl>
                    <c:idx val="9"/>
                    <c:tx>
                      <c:rich>
                        <a:bodyPr rot="0" spcFirstLastPara="1" vertOverflow="ellipsis" vert="horz" wrap="square" lIns="38100" tIns="19050" rIns="38100" bIns="19050" anchor="ctr" anchorCtr="1">
                          <a:spAutoFit/>
                        </a:bodyPr>
                        <a:lstStyle/>
                        <a:p>
                          <a:pPr>
                            <a:defRPr sz="800" b="1" i="0" u="none" strike="noStrike" kern="1200" baseline="0">
                              <a:solidFill>
                                <a:srgbClr val="7030A0"/>
                              </a:solidFill>
                              <a:latin typeface="Calibri" panose="020F0502020204030204" pitchFamily="34" charset="0"/>
                              <a:ea typeface="+mn-ea"/>
                              <a:cs typeface="+mn-cs"/>
                            </a:defRPr>
                          </a:pPr>
                          <a:fld id="{7FA42565-D7DD-4C25-B1E9-A3CBEAA50B3E}" type="CELLRANGE">
                            <a:rPr lang="es-ES_tradnl"/>
                            <a:pPr>
                              <a:defRPr sz="800" b="1">
                                <a:solidFill>
                                  <a:srgbClr val="7030A0"/>
                                </a:solidFill>
                                <a:latin typeface="Calibri" panose="020F0502020204030204" pitchFamily="34" charset="0"/>
                              </a:defRPr>
                            </a:pPr>
                            <a:t>[CELLRANGE]</a:t>
                          </a:fld>
                          <a:endParaRPr lang="es-ES_tradnl"/>
                        </a:p>
                      </c:rich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800" b="1" i="0" u="none" strike="noStrike" kern="1200" baseline="0">
                            <a:solidFill>
                              <a:srgbClr val="7030A0"/>
                            </a:solidFill>
                            <a:latin typeface="Calibri" panose="020F0502020204030204" pitchFamily="34" charset="0"/>
                            <a:ea typeface="+mn-ea"/>
                            <a:cs typeface="+mn-cs"/>
                          </a:defRPr>
                        </a:pPr>
                        <a:endParaRPr lang="es-ES_tradnl"/>
                      </a:p>
                    </c:txPr>
                    <c:dLblPos val="t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9-AAAB-4228-A82D-59DDAC683E82}"/>
                      </c:ext>
                    </c:extLst>
                  </c:dLbl>
                  <c:dLbl>
                    <c:idx val="10"/>
                    <c:tx>
                      <c:rich>
                        <a:bodyPr rot="0" spcFirstLastPara="1" vertOverflow="ellipsis" vert="horz" wrap="square" lIns="38100" tIns="19050" rIns="38100" bIns="19050" anchor="ctr" anchorCtr="1">
                          <a:spAutoFit/>
                        </a:bodyPr>
                        <a:lstStyle/>
                        <a:p>
                          <a:pPr>
                            <a:defRPr sz="800" b="1" i="0" u="none" strike="noStrike" kern="1200" baseline="0">
                              <a:solidFill>
                                <a:srgbClr val="7030A0"/>
                              </a:solidFill>
                              <a:latin typeface="Calibri" panose="020F0502020204030204" pitchFamily="34" charset="0"/>
                              <a:ea typeface="+mn-ea"/>
                              <a:cs typeface="+mn-cs"/>
                            </a:defRPr>
                          </a:pPr>
                          <a:fld id="{094BB058-14E1-413D-A4DD-15704E66654C}" type="CELLRANGE">
                            <a:rPr lang="es-ES_tradnl"/>
                            <a:pPr>
                              <a:defRPr sz="800" b="1">
                                <a:solidFill>
                                  <a:srgbClr val="7030A0"/>
                                </a:solidFill>
                                <a:latin typeface="Calibri" panose="020F0502020204030204" pitchFamily="34" charset="0"/>
                              </a:defRPr>
                            </a:pPr>
                            <a:t>[CELLRANGE]</a:t>
                          </a:fld>
                          <a:endParaRPr lang="es-ES_tradnl"/>
                        </a:p>
                      </c:rich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800" b="1" i="0" u="none" strike="noStrike" kern="1200" baseline="0">
                            <a:solidFill>
                              <a:srgbClr val="7030A0"/>
                            </a:solidFill>
                            <a:latin typeface="Calibri" panose="020F0502020204030204" pitchFamily="34" charset="0"/>
                            <a:ea typeface="+mn-ea"/>
                            <a:cs typeface="+mn-cs"/>
                          </a:defRPr>
                        </a:pPr>
                        <a:endParaRPr lang="es-ES_tradnl"/>
                      </a:p>
                    </c:txPr>
                    <c:dLblPos val="t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A-AAAB-4228-A82D-59DDAC683E82}"/>
                      </c:ext>
                    </c:extLst>
                  </c:dLbl>
                  <c:dLbl>
                    <c:idx val="11"/>
                    <c:tx>
                      <c:rich>
                        <a:bodyPr rot="0" spcFirstLastPara="1" vertOverflow="ellipsis" vert="horz" wrap="square" lIns="38100" tIns="19050" rIns="38100" bIns="19050" anchor="ctr" anchorCtr="1">
                          <a:spAutoFit/>
                        </a:bodyPr>
                        <a:lstStyle/>
                        <a:p>
                          <a:pPr>
                            <a:defRPr sz="800" b="1" i="0" u="none" strike="noStrike" kern="1200" baseline="0">
                              <a:solidFill>
                                <a:srgbClr val="7030A0"/>
                              </a:solidFill>
                              <a:latin typeface="Calibri" panose="020F0502020204030204" pitchFamily="34" charset="0"/>
                              <a:ea typeface="+mn-ea"/>
                              <a:cs typeface="+mn-cs"/>
                            </a:defRPr>
                          </a:pPr>
                          <a:fld id="{330A8158-CF75-4081-8ECC-B644BF3083B1}" type="CELLRANGE">
                            <a:rPr lang="es-ES_tradnl"/>
                            <a:pPr>
                              <a:defRPr sz="800" b="1">
                                <a:solidFill>
                                  <a:srgbClr val="7030A0"/>
                                </a:solidFill>
                                <a:latin typeface="Calibri" panose="020F0502020204030204" pitchFamily="34" charset="0"/>
                              </a:defRPr>
                            </a:pPr>
                            <a:t>[CELLRANGE]</a:t>
                          </a:fld>
                          <a:endParaRPr lang="es-ES_tradnl"/>
                        </a:p>
                      </c:rich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800" b="1" i="0" u="none" strike="noStrike" kern="1200" baseline="0">
                            <a:solidFill>
                              <a:srgbClr val="7030A0"/>
                            </a:solidFill>
                            <a:latin typeface="Calibri" panose="020F0502020204030204" pitchFamily="34" charset="0"/>
                            <a:ea typeface="+mn-ea"/>
                            <a:cs typeface="+mn-cs"/>
                          </a:defRPr>
                        </a:pPr>
                        <a:endParaRPr lang="es-ES_tradnl"/>
                      </a:p>
                    </c:txPr>
                    <c:dLblPos val="t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B-AAAB-4228-A82D-59DDAC683E82}"/>
                      </c:ext>
                    </c:extLst>
                  </c:dLbl>
                  <c:dLbl>
                    <c:idx val="12"/>
                    <c:tx>
                      <c:rich>
                        <a:bodyPr rot="0" spcFirstLastPara="1" vertOverflow="ellipsis" vert="horz" wrap="square" lIns="38100" tIns="19050" rIns="38100" bIns="19050" anchor="ctr" anchorCtr="1">
                          <a:spAutoFit/>
                        </a:bodyPr>
                        <a:lstStyle/>
                        <a:p>
                          <a:pPr>
                            <a:defRPr sz="800" b="1" i="0" u="none" strike="noStrike" kern="1200" baseline="0">
                              <a:solidFill>
                                <a:srgbClr val="7030A0"/>
                              </a:solidFill>
                              <a:latin typeface="Calibri" panose="020F0502020204030204" pitchFamily="34" charset="0"/>
                              <a:ea typeface="+mn-ea"/>
                              <a:cs typeface="+mn-cs"/>
                            </a:defRPr>
                          </a:pPr>
                          <a:fld id="{E7C03B24-CD1A-40B6-A60F-117782E3FEC2}" type="CELLRANGE">
                            <a:rPr lang="es-ES_tradnl"/>
                            <a:pPr>
                              <a:defRPr sz="800" b="1">
                                <a:solidFill>
                                  <a:srgbClr val="7030A0"/>
                                </a:solidFill>
                                <a:latin typeface="Calibri" panose="020F0502020204030204" pitchFamily="34" charset="0"/>
                              </a:defRPr>
                            </a:pPr>
                            <a:t>[CELLRANGE]</a:t>
                          </a:fld>
                          <a:endParaRPr lang="es-ES_tradnl"/>
                        </a:p>
                      </c:rich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800" b="1" i="0" u="none" strike="noStrike" kern="1200" baseline="0">
                            <a:solidFill>
                              <a:srgbClr val="7030A0"/>
                            </a:solidFill>
                            <a:latin typeface="Calibri" panose="020F0502020204030204" pitchFamily="34" charset="0"/>
                            <a:ea typeface="+mn-ea"/>
                            <a:cs typeface="+mn-cs"/>
                          </a:defRPr>
                        </a:pPr>
                        <a:endParaRPr lang="es-ES_tradnl"/>
                      </a:p>
                    </c:txPr>
                    <c:dLblPos val="t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C-AAAB-4228-A82D-59DDAC683E82}"/>
                      </c:ext>
                    </c:extLst>
                  </c:dLbl>
                  <c:dLbl>
                    <c:idx val="13"/>
                    <c:tx>
                      <c:rich>
                        <a:bodyPr rot="0" spcFirstLastPara="1" vertOverflow="ellipsis" vert="horz" wrap="square" lIns="38100" tIns="19050" rIns="38100" bIns="19050" anchor="ctr" anchorCtr="1">
                          <a:spAutoFit/>
                        </a:bodyPr>
                        <a:lstStyle/>
                        <a:p>
                          <a:pPr>
                            <a:defRPr sz="800" b="1" i="0" u="none" strike="noStrike" kern="1200" baseline="0">
                              <a:solidFill>
                                <a:srgbClr val="7030A0"/>
                              </a:solidFill>
                              <a:latin typeface="Calibri" panose="020F0502020204030204" pitchFamily="34" charset="0"/>
                              <a:ea typeface="+mn-ea"/>
                              <a:cs typeface="+mn-cs"/>
                            </a:defRPr>
                          </a:pPr>
                          <a:fld id="{9CAFE9E5-C055-4B60-B8BA-1F604614CB39}" type="CELLRANGE">
                            <a:rPr lang="es-ES_tradnl"/>
                            <a:pPr>
                              <a:defRPr sz="800" b="1">
                                <a:solidFill>
                                  <a:srgbClr val="7030A0"/>
                                </a:solidFill>
                                <a:latin typeface="Calibri" panose="020F0502020204030204" pitchFamily="34" charset="0"/>
                              </a:defRPr>
                            </a:pPr>
                            <a:t>[CELLRANGE]</a:t>
                          </a:fld>
                          <a:endParaRPr lang="es-ES_tradnl"/>
                        </a:p>
                      </c:rich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800" b="1" i="0" u="none" strike="noStrike" kern="1200" baseline="0">
                            <a:solidFill>
                              <a:srgbClr val="7030A0"/>
                            </a:solidFill>
                            <a:latin typeface="Calibri" panose="020F0502020204030204" pitchFamily="34" charset="0"/>
                            <a:ea typeface="+mn-ea"/>
                            <a:cs typeface="+mn-cs"/>
                          </a:defRPr>
                        </a:pPr>
                        <a:endParaRPr lang="es-ES_tradnl"/>
                      </a:p>
                    </c:txPr>
                    <c:dLblPos val="t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D-AAAB-4228-A82D-59DDAC683E82}"/>
                      </c:ext>
                    </c:extLst>
                  </c:dLbl>
                  <c:dLbl>
                    <c:idx val="14"/>
                    <c:tx>
                      <c:rich>
                        <a:bodyPr rot="0" spcFirstLastPara="1" vertOverflow="ellipsis" vert="horz" wrap="square" lIns="38100" tIns="19050" rIns="38100" bIns="19050" anchor="ctr" anchorCtr="1">
                          <a:spAutoFit/>
                        </a:bodyPr>
                        <a:lstStyle/>
                        <a:p>
                          <a:pPr>
                            <a:defRPr sz="800" b="1" i="0" u="none" strike="noStrike" kern="1200" baseline="0">
                              <a:solidFill>
                                <a:srgbClr val="7030A0"/>
                              </a:solidFill>
                              <a:latin typeface="Calibri" panose="020F0502020204030204" pitchFamily="34" charset="0"/>
                              <a:ea typeface="+mn-ea"/>
                              <a:cs typeface="+mn-cs"/>
                            </a:defRPr>
                          </a:pPr>
                          <a:fld id="{1D77E948-431C-4F90-84A8-BCD040D2845E}" type="CELLRANGE">
                            <a:rPr lang="es-ES_tradnl"/>
                            <a:pPr>
                              <a:defRPr sz="800" b="1">
                                <a:solidFill>
                                  <a:srgbClr val="7030A0"/>
                                </a:solidFill>
                                <a:latin typeface="Calibri" panose="020F0502020204030204" pitchFamily="34" charset="0"/>
                              </a:defRPr>
                            </a:pPr>
                            <a:t>[CELLRANGE]</a:t>
                          </a:fld>
                          <a:endParaRPr lang="es-ES_tradnl"/>
                        </a:p>
                      </c:rich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800" b="1" i="0" u="none" strike="noStrike" kern="1200" baseline="0">
                            <a:solidFill>
                              <a:srgbClr val="7030A0"/>
                            </a:solidFill>
                            <a:latin typeface="Calibri" panose="020F0502020204030204" pitchFamily="34" charset="0"/>
                            <a:ea typeface="+mn-ea"/>
                            <a:cs typeface="+mn-cs"/>
                          </a:defRPr>
                        </a:pPr>
                        <a:endParaRPr lang="es-ES_tradnl"/>
                      </a:p>
                    </c:txPr>
                    <c:dLblPos val="t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E-AAAB-4228-A82D-59DDAC683E82}"/>
                      </c:ext>
                    </c:extLst>
                  </c:dLbl>
                  <c:dLbl>
                    <c:idx val="15"/>
                    <c:tx>
                      <c:rich>
                        <a:bodyPr rot="0" spcFirstLastPara="1" vertOverflow="ellipsis" vert="horz" wrap="square" lIns="38100" tIns="19050" rIns="38100" bIns="19050" anchor="ctr" anchorCtr="1">
                          <a:spAutoFit/>
                        </a:bodyPr>
                        <a:lstStyle/>
                        <a:p>
                          <a:pPr>
                            <a:defRPr sz="800" b="1" i="0" u="none" strike="noStrike" kern="1200" baseline="0">
                              <a:solidFill>
                                <a:srgbClr val="7030A0"/>
                              </a:solidFill>
                              <a:latin typeface="Calibri" panose="020F0502020204030204" pitchFamily="34" charset="0"/>
                              <a:ea typeface="+mn-ea"/>
                              <a:cs typeface="+mn-cs"/>
                            </a:defRPr>
                          </a:pPr>
                          <a:fld id="{BDAFB074-6D5D-4FDF-BE60-4BF2387F5F0A}" type="CELLRANGE">
                            <a:rPr lang="es-ES_tradnl"/>
                            <a:pPr>
                              <a:defRPr sz="800" b="1">
                                <a:solidFill>
                                  <a:srgbClr val="7030A0"/>
                                </a:solidFill>
                                <a:latin typeface="Calibri" panose="020F0502020204030204" pitchFamily="34" charset="0"/>
                              </a:defRPr>
                            </a:pPr>
                            <a:t>[CELLRANGE]</a:t>
                          </a:fld>
                          <a:endParaRPr lang="es-ES_tradnl"/>
                        </a:p>
                      </c:rich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800" b="1" i="0" u="none" strike="noStrike" kern="1200" baseline="0">
                            <a:solidFill>
                              <a:srgbClr val="7030A0"/>
                            </a:solidFill>
                            <a:latin typeface="Calibri" panose="020F0502020204030204" pitchFamily="34" charset="0"/>
                            <a:ea typeface="+mn-ea"/>
                            <a:cs typeface="+mn-cs"/>
                          </a:defRPr>
                        </a:pPr>
                        <a:endParaRPr lang="es-ES_tradnl"/>
                      </a:p>
                    </c:txPr>
                    <c:dLblPos val="t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F-AAAB-4228-A82D-59DDAC683E82}"/>
                      </c:ext>
                    </c:extLst>
                  </c:dLbl>
                  <c:dLbl>
                    <c:idx val="16"/>
                    <c:tx>
                      <c:rich>
                        <a:bodyPr rot="0" spcFirstLastPara="1" vertOverflow="ellipsis" vert="horz" wrap="square" lIns="38100" tIns="19050" rIns="38100" bIns="19050" anchor="ctr" anchorCtr="1">
                          <a:spAutoFit/>
                        </a:bodyPr>
                        <a:lstStyle/>
                        <a:p>
                          <a:pPr>
                            <a:defRPr sz="800" b="1" i="0" u="none" strike="noStrike" kern="1200" baseline="0">
                              <a:solidFill>
                                <a:srgbClr val="7030A0"/>
                              </a:solidFill>
                              <a:latin typeface="Calibri" panose="020F0502020204030204" pitchFamily="34" charset="0"/>
                              <a:ea typeface="+mn-ea"/>
                              <a:cs typeface="+mn-cs"/>
                            </a:defRPr>
                          </a:pPr>
                          <a:fld id="{F3AE6A66-3FCB-4541-A8EB-033B102EAFEA}" type="CELLRANGE">
                            <a:rPr lang="es-ES_tradnl"/>
                            <a:pPr>
                              <a:defRPr sz="800" b="1">
                                <a:solidFill>
                                  <a:srgbClr val="7030A0"/>
                                </a:solidFill>
                                <a:latin typeface="Calibri" panose="020F0502020204030204" pitchFamily="34" charset="0"/>
                              </a:defRPr>
                            </a:pPr>
                            <a:t>[CELLRANGE]</a:t>
                          </a:fld>
                          <a:endParaRPr lang="es-ES_tradnl"/>
                        </a:p>
                      </c:rich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800" b="1" i="0" u="none" strike="noStrike" kern="1200" baseline="0">
                            <a:solidFill>
                              <a:srgbClr val="7030A0"/>
                            </a:solidFill>
                            <a:latin typeface="Calibri" panose="020F0502020204030204" pitchFamily="34" charset="0"/>
                            <a:ea typeface="+mn-ea"/>
                            <a:cs typeface="+mn-cs"/>
                          </a:defRPr>
                        </a:pPr>
                        <a:endParaRPr lang="es-ES_tradnl"/>
                      </a:p>
                    </c:txPr>
                    <c:dLblPos val="t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0-AAAB-4228-A82D-59DDAC683E82}"/>
                      </c:ext>
                    </c:extLst>
                  </c:dLbl>
                  <c:dLbl>
                    <c:idx val="17"/>
                    <c:tx>
                      <c:rich>
                        <a:bodyPr rot="0" spcFirstLastPara="1" vertOverflow="ellipsis" vert="horz" wrap="square" lIns="38100" tIns="19050" rIns="38100" bIns="19050" anchor="ctr" anchorCtr="1">
                          <a:spAutoFit/>
                        </a:bodyPr>
                        <a:lstStyle/>
                        <a:p>
                          <a:pPr>
                            <a:defRPr sz="800" b="1" i="0" u="none" strike="noStrike" kern="1200" baseline="0">
                              <a:solidFill>
                                <a:srgbClr val="7030A0"/>
                              </a:solidFill>
                              <a:latin typeface="Calibri" panose="020F0502020204030204" pitchFamily="34" charset="0"/>
                              <a:ea typeface="+mn-ea"/>
                              <a:cs typeface="+mn-cs"/>
                            </a:defRPr>
                          </a:pPr>
                          <a:fld id="{E8A2A19D-DFA7-4384-9036-80002D3A3546}" type="CELLRANGE">
                            <a:rPr lang="es-ES_tradnl"/>
                            <a:pPr>
                              <a:defRPr sz="800" b="1">
                                <a:solidFill>
                                  <a:srgbClr val="7030A0"/>
                                </a:solidFill>
                                <a:latin typeface="Calibri" panose="020F0502020204030204" pitchFamily="34" charset="0"/>
                              </a:defRPr>
                            </a:pPr>
                            <a:t>[CELLRANGE]</a:t>
                          </a:fld>
                          <a:endParaRPr lang="es-ES_tradnl"/>
                        </a:p>
                      </c:rich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800" b="1" i="0" u="none" strike="noStrike" kern="1200" baseline="0">
                            <a:solidFill>
                              <a:srgbClr val="7030A0"/>
                            </a:solidFill>
                            <a:latin typeface="Calibri" panose="020F0502020204030204" pitchFamily="34" charset="0"/>
                            <a:ea typeface="+mn-ea"/>
                            <a:cs typeface="+mn-cs"/>
                          </a:defRPr>
                        </a:pPr>
                        <a:endParaRPr lang="es-ES_tradnl"/>
                      </a:p>
                    </c:txPr>
                    <c:dLblPos val="t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1-AAAB-4228-A82D-59DDAC683E82}"/>
                      </c:ext>
                    </c:extLst>
                  </c:dLbl>
                  <c:dLbl>
                    <c:idx val="18"/>
                    <c:tx>
                      <c:rich>
                        <a:bodyPr rot="0" spcFirstLastPara="1" vertOverflow="ellipsis" vert="horz" wrap="square" lIns="38100" tIns="19050" rIns="38100" bIns="19050" anchor="ctr" anchorCtr="1">
                          <a:spAutoFit/>
                        </a:bodyPr>
                        <a:lstStyle/>
                        <a:p>
                          <a:pPr>
                            <a:defRPr sz="800" b="1" i="0" u="none" strike="noStrike" kern="1200" baseline="0">
                              <a:solidFill>
                                <a:srgbClr val="7030A0"/>
                              </a:solidFill>
                              <a:latin typeface="Calibri" panose="020F0502020204030204" pitchFamily="34" charset="0"/>
                              <a:ea typeface="+mn-ea"/>
                              <a:cs typeface="+mn-cs"/>
                            </a:defRPr>
                          </a:pPr>
                          <a:fld id="{08E91547-21AB-4565-9360-51A13AC53E25}" type="CELLRANGE">
                            <a:rPr lang="es-ES_tradnl"/>
                            <a:pPr>
                              <a:defRPr sz="800" b="1">
                                <a:solidFill>
                                  <a:srgbClr val="7030A0"/>
                                </a:solidFill>
                                <a:latin typeface="Calibri" panose="020F0502020204030204" pitchFamily="34" charset="0"/>
                              </a:defRPr>
                            </a:pPr>
                            <a:t>[CELLRANGE]</a:t>
                          </a:fld>
                          <a:endParaRPr lang="es-ES_tradnl"/>
                        </a:p>
                      </c:rich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800" b="1" i="0" u="none" strike="noStrike" kern="1200" baseline="0">
                            <a:solidFill>
                              <a:srgbClr val="7030A0"/>
                            </a:solidFill>
                            <a:latin typeface="Calibri" panose="020F0502020204030204" pitchFamily="34" charset="0"/>
                            <a:ea typeface="+mn-ea"/>
                            <a:cs typeface="+mn-cs"/>
                          </a:defRPr>
                        </a:pPr>
                        <a:endParaRPr lang="es-ES_tradnl"/>
                      </a:p>
                    </c:txPr>
                    <c:dLblPos val="t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2-AAAB-4228-A82D-59DDAC683E82}"/>
                      </c:ext>
                    </c:extLst>
                  </c:dLbl>
                  <c:dLbl>
                    <c:idx val="19"/>
                    <c:tx>
                      <c:rich>
                        <a:bodyPr rot="0" spcFirstLastPara="1" vertOverflow="ellipsis" vert="horz" wrap="square" lIns="38100" tIns="19050" rIns="38100" bIns="19050" anchor="ctr" anchorCtr="1">
                          <a:spAutoFit/>
                        </a:bodyPr>
                        <a:lstStyle/>
                        <a:p>
                          <a:pPr>
                            <a:defRPr sz="800" b="1" i="0" u="none" strike="noStrike" kern="1200" baseline="0">
                              <a:solidFill>
                                <a:srgbClr val="7030A0"/>
                              </a:solidFill>
                              <a:latin typeface="Calibri" panose="020F0502020204030204" pitchFamily="34" charset="0"/>
                              <a:ea typeface="+mn-ea"/>
                              <a:cs typeface="+mn-cs"/>
                            </a:defRPr>
                          </a:pPr>
                          <a:fld id="{ED0144D7-2D78-40C8-94AE-FEA6B2C5F303}" type="CELLRANGE">
                            <a:rPr lang="es-ES_tradnl"/>
                            <a:pPr>
                              <a:defRPr sz="800" b="1">
                                <a:solidFill>
                                  <a:srgbClr val="7030A0"/>
                                </a:solidFill>
                                <a:latin typeface="Calibri" panose="020F0502020204030204" pitchFamily="34" charset="0"/>
                              </a:defRPr>
                            </a:pPr>
                            <a:t>[CELLRANGE]</a:t>
                          </a:fld>
                          <a:endParaRPr lang="es-ES_tradnl"/>
                        </a:p>
                      </c:rich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800" b="1" i="0" u="none" strike="noStrike" kern="1200" baseline="0">
                            <a:solidFill>
                              <a:srgbClr val="7030A0"/>
                            </a:solidFill>
                            <a:latin typeface="Calibri" panose="020F0502020204030204" pitchFamily="34" charset="0"/>
                            <a:ea typeface="+mn-ea"/>
                            <a:cs typeface="+mn-cs"/>
                          </a:defRPr>
                        </a:pPr>
                        <a:endParaRPr lang="es-ES_tradnl"/>
                      </a:p>
                    </c:txPr>
                    <c:dLblPos val="t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3-AAAB-4228-A82D-59DDAC683E82}"/>
                      </c:ext>
                    </c:extLst>
                  </c:dLbl>
                  <c:dLbl>
                    <c:idx val="20"/>
                    <c:tx>
                      <c:rich>
                        <a:bodyPr rot="0" spcFirstLastPara="1" vertOverflow="ellipsis" vert="horz" wrap="square" lIns="38100" tIns="19050" rIns="38100" bIns="19050" anchor="ctr" anchorCtr="1">
                          <a:spAutoFit/>
                        </a:bodyPr>
                        <a:lstStyle/>
                        <a:p>
                          <a:pPr>
                            <a:defRPr sz="800" b="1" i="0" u="none" strike="noStrike" kern="1200" baseline="0">
                              <a:solidFill>
                                <a:srgbClr val="7030A0"/>
                              </a:solidFill>
                              <a:latin typeface="Calibri" panose="020F0502020204030204" pitchFamily="34" charset="0"/>
                              <a:ea typeface="+mn-ea"/>
                              <a:cs typeface="+mn-cs"/>
                            </a:defRPr>
                          </a:pPr>
                          <a:fld id="{3F917AE6-F596-4DE2-A357-3D129A5FDF4B}" type="CELLRANGE">
                            <a:rPr lang="es-ES_tradnl"/>
                            <a:pPr>
                              <a:defRPr sz="800" b="1">
                                <a:solidFill>
                                  <a:srgbClr val="7030A0"/>
                                </a:solidFill>
                                <a:latin typeface="Calibri" panose="020F0502020204030204" pitchFamily="34" charset="0"/>
                              </a:defRPr>
                            </a:pPr>
                            <a:t>[CELLRANGE]</a:t>
                          </a:fld>
                          <a:endParaRPr lang="es-ES_tradnl"/>
                        </a:p>
                      </c:rich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800" b="1" i="0" u="none" strike="noStrike" kern="1200" baseline="0">
                            <a:solidFill>
                              <a:srgbClr val="7030A0"/>
                            </a:solidFill>
                            <a:latin typeface="Calibri" panose="020F0502020204030204" pitchFamily="34" charset="0"/>
                            <a:ea typeface="+mn-ea"/>
                            <a:cs typeface="+mn-cs"/>
                          </a:defRPr>
                        </a:pPr>
                        <a:endParaRPr lang="es-ES_tradnl"/>
                      </a:p>
                    </c:txPr>
                    <c:dLblPos val="t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4-AAAB-4228-A82D-59DDAC683E82}"/>
                      </c:ext>
                    </c:extLst>
                  </c:dLbl>
                  <c:dLbl>
                    <c:idx val="21"/>
                    <c:tx>
                      <c:rich>
                        <a:bodyPr/>
                        <a:lstStyle/>
                        <a:p>
                          <a:fld id="{197F3209-26CE-4CCA-AECD-8BC8BE2A7E7C}" type="CELLRANGE">
                            <a:rPr lang="es-ES_tradnl"/>
                            <a:pPr/>
                            <a:t>[CELLRANGE]</a:t>
                          </a:fld>
                          <a:endParaRPr lang="es-ES_tradnl"/>
                        </a:p>
                      </c:rich>
                    </c:tx>
                    <c:dLblPos val="t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0-2275-43B1-B8A8-DEC690ACB372}"/>
                      </c:ext>
                    </c:extLst>
                  </c:dLbl>
                  <c:dLbl>
                    <c:idx val="22"/>
                    <c:tx>
                      <c:rich>
                        <a:bodyPr/>
                        <a:lstStyle/>
                        <a:p>
                          <a:fld id="{7C216585-FE65-43EA-BE41-C1DAE5D32B58}" type="CELLRANGE">
                            <a:rPr lang="es-ES_tradnl"/>
                            <a:pPr/>
                            <a:t>[CELLRANGE]</a:t>
                          </a:fld>
                          <a:endParaRPr lang="es-ES_tradnl"/>
                        </a:p>
                      </c:rich>
                    </c:tx>
                    <c:dLblPos val="t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1-2275-43B1-B8A8-DEC690ACB372}"/>
                      </c:ext>
                    </c:extLst>
                  </c:dLbl>
                  <c:dLbl>
                    <c:idx val="23"/>
                    <c:tx>
                      <c:rich>
                        <a:bodyPr/>
                        <a:lstStyle/>
                        <a:p>
                          <a:fld id="{B4A85D07-C81B-449D-8756-89FEAB257CE2}" type="CELLRANGE">
                            <a:rPr lang="es-ES_tradnl"/>
                            <a:pPr/>
                            <a:t>[CELLRANGE]</a:t>
                          </a:fld>
                          <a:endParaRPr lang="es-ES_tradnl"/>
                        </a:p>
                      </c:rich>
                    </c:tx>
                    <c:dLblPos val="t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2-2275-43B1-B8A8-DEC690ACB372}"/>
                      </c:ext>
                    </c:extLst>
                  </c:dLbl>
                  <c:dLbl>
                    <c:idx val="24"/>
                    <c:tx>
                      <c:rich>
                        <a:bodyPr/>
                        <a:lstStyle/>
                        <a:p>
                          <a:fld id="{45A63EC8-72EA-4B61-A457-C66DFF8C714F}" type="CELLRANGE">
                            <a:rPr lang="es-ES_tradnl"/>
                            <a:pPr/>
                            <a:t>[CELLRANGE]</a:t>
                          </a:fld>
                          <a:endParaRPr lang="es-ES_tradnl"/>
                        </a:p>
                      </c:rich>
                    </c:tx>
                    <c:dLblPos val="t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3-2275-43B1-B8A8-DEC690ACB372}"/>
                      </c:ext>
                    </c:extLst>
                  </c:dLbl>
                  <c:dLbl>
                    <c:idx val="25"/>
                    <c:tx>
                      <c:rich>
                        <a:bodyPr/>
                        <a:lstStyle/>
                        <a:p>
                          <a:fld id="{18DD4E58-67BD-4E5D-8600-056B0F425886}" type="CELLRANGE">
                            <a:rPr lang="es-ES_tradnl"/>
                            <a:pPr/>
                            <a:t>[CELLRANGE]</a:t>
                          </a:fld>
                          <a:endParaRPr lang="es-ES_tradnl"/>
                        </a:p>
                      </c:rich>
                    </c:tx>
                    <c:dLblPos val="t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4-2275-43B1-B8A8-DEC690ACB372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800" b="1" i="0" u="none" strike="noStrike" kern="1200" baseline="0">
                          <a:solidFill>
                            <a:srgbClr val="7030A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ES_tradnl"/>
                    </a:p>
                  </c:txPr>
                  <c:dLblPos val="t"/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DataLabelsRange val="1"/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'Res Bal Sem'!$B$9:$B$34</c15:sqref>
                        </c15:formulaRef>
                      </c:ext>
                    </c:extLst>
                    <c:numCache>
                      <c:formatCode>m/d/yyyy</c:formatCode>
                      <c:ptCount val="26"/>
                      <c:pt idx="0">
                        <c:v>42381</c:v>
                      </c:pt>
                      <c:pt idx="1">
                        <c:v>42388</c:v>
                      </c:pt>
                      <c:pt idx="2">
                        <c:v>42395</c:v>
                      </c:pt>
                      <c:pt idx="3">
                        <c:v>42402</c:v>
                      </c:pt>
                      <c:pt idx="4">
                        <c:v>42409</c:v>
                      </c:pt>
                      <c:pt idx="5">
                        <c:v>42416</c:v>
                      </c:pt>
                      <c:pt idx="6">
                        <c:v>42423</c:v>
                      </c:pt>
                      <c:pt idx="7">
                        <c:v>42430</c:v>
                      </c:pt>
                      <c:pt idx="8">
                        <c:v>42437</c:v>
                      </c:pt>
                      <c:pt idx="9">
                        <c:v>42444</c:v>
                      </c:pt>
                      <c:pt idx="10">
                        <c:v>42451</c:v>
                      </c:pt>
                      <c:pt idx="11">
                        <c:v>42458</c:v>
                      </c:pt>
                      <c:pt idx="12">
                        <c:v>42465</c:v>
                      </c:pt>
                      <c:pt idx="13">
                        <c:v>42472</c:v>
                      </c:pt>
                      <c:pt idx="14">
                        <c:v>42479</c:v>
                      </c:pt>
                      <c:pt idx="15">
                        <c:v>42486</c:v>
                      </c:pt>
                      <c:pt idx="16">
                        <c:v>42493</c:v>
                      </c:pt>
                      <c:pt idx="17">
                        <c:v>42500</c:v>
                      </c:pt>
                      <c:pt idx="18">
                        <c:v>42507</c:v>
                      </c:pt>
                      <c:pt idx="19">
                        <c:v>42514</c:v>
                      </c:pt>
                      <c:pt idx="20">
                        <c:v>42521</c:v>
                      </c:pt>
                      <c:pt idx="21">
                        <c:v>42528</c:v>
                      </c:pt>
                      <c:pt idx="22">
                        <c:v>42535</c:v>
                      </c:pt>
                      <c:pt idx="23">
                        <c:v>42542</c:v>
                      </c:pt>
                      <c:pt idx="24">
                        <c:v>42549</c:v>
                      </c:pt>
                      <c:pt idx="25">
                        <c:v>42556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'Res Bal Sem'!$R$9:$R$34</c15:sqref>
                        </c15:formulaRef>
                      </c:ext>
                    </c:extLst>
                    <c:numCache>
                      <c:formatCode>0.0</c:formatCode>
                      <c:ptCount val="26"/>
                      <c:pt idx="0">
                        <c:v>-999</c:v>
                      </c:pt>
                      <c:pt idx="1">
                        <c:v>1.4</c:v>
                      </c:pt>
                      <c:pt idx="2">
                        <c:v>1.4</c:v>
                      </c:pt>
                      <c:pt idx="3">
                        <c:v>1.4</c:v>
                      </c:pt>
                      <c:pt idx="4">
                        <c:v>1.4</c:v>
                      </c:pt>
                      <c:pt idx="5">
                        <c:v>1.4</c:v>
                      </c:pt>
                      <c:pt idx="6">
                        <c:v>1.4</c:v>
                      </c:pt>
                      <c:pt idx="7">
                        <c:v>1.4</c:v>
                      </c:pt>
                      <c:pt idx="8">
                        <c:v>1.4</c:v>
                      </c:pt>
                      <c:pt idx="9">
                        <c:v>1.4</c:v>
                      </c:pt>
                      <c:pt idx="10">
                        <c:v>1.4</c:v>
                      </c:pt>
                      <c:pt idx="11">
                        <c:v>1.4</c:v>
                      </c:pt>
                      <c:pt idx="12">
                        <c:v>1.4</c:v>
                      </c:pt>
                      <c:pt idx="13">
                        <c:v>1.4</c:v>
                      </c:pt>
                      <c:pt idx="14">
                        <c:v>1.4</c:v>
                      </c:pt>
                      <c:pt idx="15">
                        <c:v>1.4</c:v>
                      </c:pt>
                      <c:pt idx="16">
                        <c:v>1.4</c:v>
                      </c:pt>
                      <c:pt idx="17">
                        <c:v>1.4</c:v>
                      </c:pt>
                      <c:pt idx="18">
                        <c:v>1.4</c:v>
                      </c:pt>
                      <c:pt idx="19">
                        <c:v>1.4</c:v>
                      </c:pt>
                      <c:pt idx="20">
                        <c:v>1.4</c:v>
                      </c:pt>
                      <c:pt idx="21">
                        <c:v>1.4</c:v>
                      </c:pt>
                      <c:pt idx="22">
                        <c:v>1.4</c:v>
                      </c:pt>
                      <c:pt idx="23">
                        <c:v>1.4</c:v>
                      </c:pt>
                      <c:pt idx="24">
                        <c:v>1.4</c:v>
                      </c:pt>
                      <c:pt idx="25">
                        <c:v>1.4</c:v>
                      </c:pt>
                    </c:numCache>
                  </c:numRef>
                </c:yVal>
                <c:smooth val="0"/>
                <c:extLst>
                  <c:ext uri="{02D57815-91ED-43cb-92C2-25804820EDAC}">
                    <c15:datalabelsRange>
                      <c15:f>'Res Bal Sem'!$S$9:$S$34</c15:f>
                      <c15:dlblRangeCache>
                        <c:ptCount val="26"/>
                        <c:pt idx="0">
                          <c:v>0</c:v>
                        </c:pt>
                        <c:pt idx="1">
                          <c:v>8</c:v>
                        </c:pt>
                        <c:pt idx="2">
                          <c:v>15</c:v>
                        </c:pt>
                        <c:pt idx="3">
                          <c:v>23</c:v>
                        </c:pt>
                        <c:pt idx="4">
                          <c:v>34</c:v>
                        </c:pt>
                        <c:pt idx="5">
                          <c:v>49</c:v>
                        </c:pt>
                        <c:pt idx="6">
                          <c:v>62</c:v>
                        </c:pt>
                        <c:pt idx="7">
                          <c:v>76</c:v>
                        </c:pt>
                        <c:pt idx="8">
                          <c:v>95</c:v>
                        </c:pt>
                        <c:pt idx="9">
                          <c:v>111</c:v>
                        </c:pt>
                        <c:pt idx="10">
                          <c:v>127</c:v>
                        </c:pt>
                        <c:pt idx="11">
                          <c:v>149</c:v>
                        </c:pt>
                        <c:pt idx="12">
                          <c:v>171</c:v>
                        </c:pt>
                        <c:pt idx="13">
                          <c:v>193</c:v>
                        </c:pt>
                        <c:pt idx="14">
                          <c:v>219</c:v>
                        </c:pt>
                        <c:pt idx="15">
                          <c:v>241</c:v>
                        </c:pt>
                        <c:pt idx="16">
                          <c:v>267</c:v>
                        </c:pt>
                        <c:pt idx="17">
                          <c:v>289</c:v>
                        </c:pt>
                        <c:pt idx="18">
                          <c:v>313</c:v>
                        </c:pt>
                        <c:pt idx="19">
                          <c:v>349</c:v>
                        </c:pt>
                        <c:pt idx="20">
                          <c:v>388</c:v>
                        </c:pt>
                        <c:pt idx="21">
                          <c:v>428</c:v>
                        </c:pt>
                        <c:pt idx="22">
                          <c:v>477</c:v>
                        </c:pt>
                        <c:pt idx="23">
                          <c:v>522</c:v>
                        </c:pt>
                        <c:pt idx="24">
                          <c:v>573</c:v>
                        </c:pt>
                        <c:pt idx="25">
                          <c:v>619</c:v>
                        </c:pt>
                      </c15:dlblRangeCache>
                    </c15:datalabelsRange>
                  </c:ext>
                  <c:ext xmlns:c16="http://schemas.microsoft.com/office/drawing/2014/chart" uri="{C3380CC4-5D6E-409C-BE32-E72D297353CC}">
                    <c16:uniqueId val="{00000024-E0FF-4802-9A05-F6738E458559}"/>
                  </c:ext>
                </c:extLst>
              </c15:ser>
            </c15:filteredScatterSeries>
            <c15:filteredScatterSeries>
              <c15:ser>
                <c:idx val="8"/>
                <c:order val="1"/>
                <c:tx>
                  <c:v>Fenología tipo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3"/>
                  <c:spPr>
                    <a:solidFill>
                      <a:schemeClr val="accent6">
                        <a:lumMod val="75000"/>
                      </a:schemeClr>
                    </a:solidFill>
                    <a:ln w="9525">
                      <a:solidFill>
                        <a:schemeClr val="tx1"/>
                      </a:solidFill>
                    </a:ln>
                    <a:effectLst/>
                  </c:spPr>
                </c:marker>
                <c:dLbls>
                  <c:dLbl>
                    <c:idx val="0"/>
                    <c:tx>
                      <c:strRef>
                        <c:f>'Res Bal Sem'!$N$9</c:f>
                        <c:strCache>
                          <c:ptCount val="1"/>
                          <c:pt idx="0">
                            <c:v>0</c:v>
                          </c:pt>
                        </c:strCache>
                      </c:strRef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-5400000" spcFirstLastPara="1" vertOverflow="ellipsis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800" b="1" i="0" u="none" strike="noStrike" kern="1200" baseline="0">
                            <a:solidFill>
                              <a:schemeClr val="accent6">
                                <a:lumMod val="75000"/>
                              </a:schemeClr>
                            </a:solidFill>
                            <a:latin typeface="Calibri" panose="020F0502020204030204" pitchFamily="34" charset="0"/>
                            <a:ea typeface="+mn-ea"/>
                            <a:cs typeface="+mn-cs"/>
                          </a:defRPr>
                        </a:pPr>
                        <a:endParaRPr lang="es-ES_tradnl"/>
                      </a:p>
                    </c:txPr>
                    <c:dLblPos val="b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>
                          <c15:dlblFTEntry>
                            <c15:txfldGUID>{4A6281A4-5B78-41EE-ADF1-CAE290C9CC6D}</c15:txfldGUID>
                            <c15:f>'Res Bal Sem'!$N$9</c15:f>
                            <c15:dlblFieldTableCache>
                              <c:ptCount val="1"/>
                              <c:pt idx="0">
                                <c:v>0</c:v>
                              </c:pt>
                            </c15:dlblFieldTableCache>
                          </c15:dlblFTEntry>
                        </c15:dlblFieldTable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1A-AAAB-4228-A82D-59DDAC683E82}"/>
                      </c:ext>
                    </c:extLst>
                  </c:dLbl>
                  <c:dLbl>
                    <c:idx val="1"/>
                    <c:tx>
                      <c:strRef>
                        <c:f>'Res Bal Sem'!$N$10</c:f>
                        <c:strCache>
                          <c:ptCount val="1"/>
                          <c:pt idx="0">
                            <c:v>0</c:v>
                          </c:pt>
                        </c:strCache>
                      </c:strRef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-5400000" spcFirstLastPara="1" vertOverflow="ellipsis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800" b="1" i="0" u="none" strike="noStrike" kern="1200" baseline="0">
                            <a:solidFill>
                              <a:schemeClr val="accent6">
                                <a:lumMod val="75000"/>
                              </a:schemeClr>
                            </a:solidFill>
                            <a:latin typeface="Calibri" panose="020F0502020204030204" pitchFamily="34" charset="0"/>
                            <a:ea typeface="+mn-ea"/>
                            <a:cs typeface="+mn-cs"/>
                          </a:defRPr>
                        </a:pPr>
                        <a:endParaRPr lang="es-ES_tradnl"/>
                      </a:p>
                    </c:txPr>
                    <c:dLblPos val="b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>
                          <c15:dlblFTEntry>
                            <c15:txfldGUID>{7C236E1A-1DAC-4D91-AEA2-C6EF4373AC24}</c15:txfldGUID>
                            <c15:f>'Res Bal Sem'!$N$10</c15:f>
                            <c15:dlblFieldTableCache>
                              <c:ptCount val="1"/>
                              <c:pt idx="0">
                                <c:v>0</c:v>
                              </c:pt>
                            </c15:dlblFieldTableCache>
                          </c15:dlblFTEntry>
                        </c15:dlblFieldTable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1B-AAAB-4228-A82D-59DDAC683E82}"/>
                      </c:ext>
                    </c:extLst>
                  </c:dLbl>
                  <c:dLbl>
                    <c:idx val="2"/>
                    <c:tx>
                      <c:strRef>
                        <c:f>'Res Bal Sem'!$N$11</c:f>
                        <c:strCache>
                          <c:ptCount val="1"/>
                          <c:pt idx="0">
                            <c:v>9</c:v>
                          </c:pt>
                        </c:strCache>
                      </c:strRef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-5400000" spcFirstLastPara="1" vertOverflow="ellipsis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800" b="1" i="0" u="none" strike="noStrike" kern="1200" baseline="0">
                            <a:solidFill>
                              <a:schemeClr val="accent6">
                                <a:lumMod val="75000"/>
                              </a:schemeClr>
                            </a:solidFill>
                            <a:latin typeface="Calibri" panose="020F0502020204030204" pitchFamily="34" charset="0"/>
                            <a:ea typeface="+mn-ea"/>
                            <a:cs typeface="+mn-cs"/>
                          </a:defRPr>
                        </a:pPr>
                        <a:endParaRPr lang="es-ES_tradnl"/>
                      </a:p>
                    </c:txPr>
                    <c:dLblPos val="b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>
                          <c15:dlblFTEntry>
                            <c15:txfldGUID>{021701C0-2078-447F-B734-EEDB476AE17E}</c15:txfldGUID>
                            <c15:f>'Res Bal Sem'!$N$11</c15:f>
                            <c15:dlblFieldTableCache>
                              <c:ptCount val="1"/>
                              <c:pt idx="0">
                                <c:v>9</c:v>
                              </c:pt>
                            </c15:dlblFieldTableCache>
                          </c15:dlblFTEntry>
                        </c15:dlblFieldTable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1C-AAAB-4228-A82D-59DDAC683E82}"/>
                      </c:ext>
                    </c:extLst>
                  </c:dLbl>
                  <c:dLbl>
                    <c:idx val="3"/>
                    <c:tx>
                      <c:strRef>
                        <c:f>'Res Bal Sem'!$N$12</c:f>
                        <c:strCache>
                          <c:ptCount val="1"/>
                          <c:pt idx="0">
                            <c:v>-9999</c:v>
                          </c:pt>
                        </c:strCache>
                      </c:strRef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-5400000" spcFirstLastPara="1" vertOverflow="ellipsis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800" b="1" i="0" u="none" strike="noStrike" kern="1200" baseline="0">
                            <a:solidFill>
                              <a:schemeClr val="accent6">
                                <a:lumMod val="75000"/>
                              </a:schemeClr>
                            </a:solidFill>
                            <a:latin typeface="Calibri" panose="020F0502020204030204" pitchFamily="34" charset="0"/>
                            <a:ea typeface="+mn-ea"/>
                            <a:cs typeface="+mn-cs"/>
                          </a:defRPr>
                        </a:pPr>
                        <a:endParaRPr lang="es-ES_tradnl"/>
                      </a:p>
                    </c:txPr>
                    <c:dLblPos val="b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>
                          <c15:dlblFTEntry>
                            <c15:txfldGUID>{F371C629-99CD-4485-A7B9-1CF258E431B9}</c15:txfldGUID>
                            <c15:f>'Res Bal Sem'!$N$12</c15:f>
                            <c15:dlblFieldTableCache>
                              <c:ptCount val="1"/>
                              <c:pt idx="0">
                                <c:v>-9999</c:v>
                              </c:pt>
                            </c15:dlblFieldTableCache>
                          </c15:dlblFTEntry>
                        </c15:dlblFieldTable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1D-AAAB-4228-A82D-59DDAC683E82}"/>
                      </c:ext>
                    </c:extLst>
                  </c:dLbl>
                  <c:dLbl>
                    <c:idx val="4"/>
                    <c:tx>
                      <c:strRef>
                        <c:f>'Res Bal Sem'!$N$13</c:f>
                        <c:strCache>
                          <c:ptCount val="1"/>
                          <c:pt idx="0">
                            <c:v>11</c:v>
                          </c:pt>
                        </c:strCache>
                      </c:strRef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-5400000" spcFirstLastPara="1" vertOverflow="ellipsis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800" b="1" i="0" u="none" strike="noStrike" kern="1200" baseline="0">
                            <a:solidFill>
                              <a:schemeClr val="accent6">
                                <a:lumMod val="75000"/>
                              </a:schemeClr>
                            </a:solidFill>
                            <a:latin typeface="Calibri" panose="020F0502020204030204" pitchFamily="34" charset="0"/>
                            <a:ea typeface="+mn-ea"/>
                            <a:cs typeface="+mn-cs"/>
                          </a:defRPr>
                        </a:pPr>
                        <a:endParaRPr lang="es-ES_tradnl"/>
                      </a:p>
                    </c:txPr>
                    <c:dLblPos val="b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>
                          <c15:dlblFTEntry>
                            <c15:txfldGUID>{B4A81656-0758-465E-AABF-4CFE276B3D1D}</c15:txfldGUID>
                            <c15:f>'Res Bal Sem'!$N$13</c15:f>
                            <c15:dlblFieldTableCache>
                              <c:ptCount val="1"/>
                              <c:pt idx="0">
                                <c:v>11</c:v>
                              </c:pt>
                            </c15:dlblFieldTableCache>
                          </c15:dlblFTEntry>
                        </c15:dlblFieldTable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1E-AAAB-4228-A82D-59DDAC683E82}"/>
                      </c:ext>
                    </c:extLst>
                  </c:dLbl>
                  <c:dLbl>
                    <c:idx val="5"/>
                    <c:tx>
                      <c:strRef>
                        <c:f>'Res Bal Sem'!$N$14</c:f>
                        <c:strCache>
                          <c:ptCount val="1"/>
                          <c:pt idx="0">
                            <c:v>-9999</c:v>
                          </c:pt>
                        </c:strCache>
                      </c:strRef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-5400000" spcFirstLastPara="1" vertOverflow="ellipsis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800" b="1" i="0" u="none" strike="noStrike" kern="1200" baseline="0">
                            <a:solidFill>
                              <a:schemeClr val="accent6">
                                <a:lumMod val="75000"/>
                              </a:schemeClr>
                            </a:solidFill>
                            <a:latin typeface="Calibri" panose="020F0502020204030204" pitchFamily="34" charset="0"/>
                            <a:ea typeface="+mn-ea"/>
                            <a:cs typeface="+mn-cs"/>
                          </a:defRPr>
                        </a:pPr>
                        <a:endParaRPr lang="es-ES_tradnl"/>
                      </a:p>
                    </c:txPr>
                    <c:dLblPos val="b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>
                          <c15:dlblFTEntry>
                            <c15:txfldGUID>{E4B340CF-890C-4240-82AD-878BCD556F55}</c15:txfldGUID>
                            <c15:f>'Res Bal Sem'!$N$14</c15:f>
                            <c15:dlblFieldTableCache>
                              <c:ptCount val="1"/>
                              <c:pt idx="0">
                                <c:v>-9999</c:v>
                              </c:pt>
                            </c15:dlblFieldTableCache>
                          </c15:dlblFTEntry>
                        </c15:dlblFieldTable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1F-AAAB-4228-A82D-59DDAC683E82}"/>
                      </c:ext>
                    </c:extLst>
                  </c:dLbl>
                  <c:dLbl>
                    <c:idx val="6"/>
                    <c:tx>
                      <c:strRef>
                        <c:f>'Res Bal Sem'!$N$15</c:f>
                        <c:strCache>
                          <c:ptCount val="1"/>
                          <c:pt idx="0">
                            <c:v>12</c:v>
                          </c:pt>
                        </c:strCache>
                      </c:strRef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-5400000" spcFirstLastPara="1" vertOverflow="ellipsis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800" b="1" i="0" u="none" strike="noStrike" kern="1200" baseline="0">
                            <a:solidFill>
                              <a:schemeClr val="accent6">
                                <a:lumMod val="75000"/>
                              </a:schemeClr>
                            </a:solidFill>
                            <a:latin typeface="Calibri" panose="020F0502020204030204" pitchFamily="34" charset="0"/>
                            <a:ea typeface="+mn-ea"/>
                            <a:cs typeface="+mn-cs"/>
                          </a:defRPr>
                        </a:pPr>
                        <a:endParaRPr lang="es-ES_tradnl"/>
                      </a:p>
                    </c:txPr>
                    <c:dLblPos val="b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>
                          <c15:dlblFTEntry>
                            <c15:txfldGUID>{9FB378E9-9F1A-44AB-BA78-C660189B0455}</c15:txfldGUID>
                            <c15:f>'Res Bal Sem'!$N$15</c15:f>
                            <c15:dlblFieldTableCache>
                              <c:ptCount val="1"/>
                              <c:pt idx="0">
                                <c:v>12</c:v>
                              </c:pt>
                            </c15:dlblFieldTableCache>
                          </c15:dlblFTEntry>
                        </c15:dlblFieldTable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20-AAAB-4228-A82D-59DDAC683E82}"/>
                      </c:ext>
                    </c:extLst>
                  </c:dLbl>
                  <c:dLbl>
                    <c:idx val="7"/>
                    <c:tx>
                      <c:strRef>
                        <c:f>'Res Bal Sem'!$N$16</c:f>
                        <c:strCache>
                          <c:ptCount val="1"/>
                          <c:pt idx="0">
                            <c:v>13</c:v>
                          </c:pt>
                        </c:strCache>
                      </c:strRef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-5400000" spcFirstLastPara="1" vertOverflow="ellipsis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800" b="1" i="0" u="none" strike="noStrike" kern="1200" baseline="0">
                            <a:solidFill>
                              <a:schemeClr val="accent6">
                                <a:lumMod val="75000"/>
                              </a:schemeClr>
                            </a:solidFill>
                            <a:latin typeface="Calibri" panose="020F0502020204030204" pitchFamily="34" charset="0"/>
                            <a:ea typeface="+mn-ea"/>
                            <a:cs typeface="+mn-cs"/>
                          </a:defRPr>
                        </a:pPr>
                        <a:endParaRPr lang="es-ES_tradnl"/>
                      </a:p>
                    </c:txPr>
                    <c:dLblPos val="b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>
                          <c15:dlblFTEntry>
                            <c15:txfldGUID>{A901896E-7C3E-4CA2-BBC1-380E8F903583}</c15:txfldGUID>
                            <c15:f>'Res Bal Sem'!$N$16</c15:f>
                            <c15:dlblFieldTableCache>
                              <c:ptCount val="1"/>
                              <c:pt idx="0">
                                <c:v>13</c:v>
                              </c:pt>
                            </c15:dlblFieldTableCache>
                          </c15:dlblFTEntry>
                        </c15:dlblFieldTable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21-AAAB-4228-A82D-59DDAC683E82}"/>
                      </c:ext>
                    </c:extLst>
                  </c:dLbl>
                  <c:dLbl>
                    <c:idx val="8"/>
                    <c:tx>
                      <c:strRef>
                        <c:f>'Res Bal Sem'!$N$17</c:f>
                        <c:strCache>
                          <c:ptCount val="1"/>
                          <c:pt idx="0">
                            <c:v>21</c:v>
                          </c:pt>
                        </c:strCache>
                      </c:strRef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-5400000" spcFirstLastPara="1" vertOverflow="ellipsis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800" b="1" i="0" u="none" strike="noStrike" kern="1200" baseline="0">
                            <a:solidFill>
                              <a:schemeClr val="accent6">
                                <a:lumMod val="75000"/>
                              </a:schemeClr>
                            </a:solidFill>
                            <a:latin typeface="Calibri" panose="020F0502020204030204" pitchFamily="34" charset="0"/>
                            <a:ea typeface="+mn-ea"/>
                            <a:cs typeface="+mn-cs"/>
                          </a:defRPr>
                        </a:pPr>
                        <a:endParaRPr lang="es-ES_tradnl"/>
                      </a:p>
                    </c:txPr>
                    <c:dLblPos val="b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>
                          <c15:dlblFTEntry>
                            <c15:txfldGUID>{9C3FBD08-6A3A-4BC7-88BD-3722A5152A72}</c15:txfldGUID>
                            <c15:f>'Res Bal Sem'!$N$17</c15:f>
                            <c15:dlblFieldTableCache>
                              <c:ptCount val="1"/>
                              <c:pt idx="0">
                                <c:v>21</c:v>
                              </c:pt>
                            </c15:dlblFieldTableCache>
                          </c15:dlblFTEntry>
                        </c15:dlblFieldTable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22-AAAB-4228-A82D-59DDAC683E82}"/>
                      </c:ext>
                    </c:extLst>
                  </c:dLbl>
                  <c:dLbl>
                    <c:idx val="9"/>
                    <c:tx>
                      <c:strRef>
                        <c:f>'Res Bal Sem'!$N$18</c:f>
                        <c:strCache>
                          <c:ptCount val="1"/>
                          <c:pt idx="0">
                            <c:v>-9999</c:v>
                          </c:pt>
                        </c:strCache>
                      </c:strRef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-5400000" spcFirstLastPara="1" vertOverflow="ellipsis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800" b="1" i="0" u="none" strike="noStrike" kern="1200" baseline="0">
                            <a:solidFill>
                              <a:schemeClr val="accent6">
                                <a:lumMod val="75000"/>
                              </a:schemeClr>
                            </a:solidFill>
                            <a:latin typeface="Calibri" panose="020F0502020204030204" pitchFamily="34" charset="0"/>
                            <a:ea typeface="+mn-ea"/>
                            <a:cs typeface="+mn-cs"/>
                          </a:defRPr>
                        </a:pPr>
                        <a:endParaRPr lang="es-ES_tradnl"/>
                      </a:p>
                    </c:txPr>
                    <c:dLblPos val="b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>
                          <c15:dlblFTEntry>
                            <c15:txfldGUID>{11CB1E6A-1E2C-4232-AE8A-403B69D8B371}</c15:txfldGUID>
                            <c15:f>'Res Bal Sem'!$N$18</c15:f>
                            <c15:dlblFieldTableCache>
                              <c:ptCount val="1"/>
                              <c:pt idx="0">
                                <c:v>-9999</c:v>
                              </c:pt>
                            </c15:dlblFieldTableCache>
                          </c15:dlblFTEntry>
                        </c15:dlblFieldTable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23-AAAB-4228-A82D-59DDAC683E82}"/>
                      </c:ext>
                    </c:extLst>
                  </c:dLbl>
                  <c:dLbl>
                    <c:idx val="10"/>
                    <c:tx>
                      <c:strRef>
                        <c:f>'Res Bal Sem'!$N$19</c:f>
                        <c:strCache>
                          <c:ptCount val="1"/>
                          <c:pt idx="0">
                            <c:v>-9999</c:v>
                          </c:pt>
                        </c:strCache>
                      </c:strRef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-5400000" spcFirstLastPara="1" vertOverflow="ellipsis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800" b="1" i="0" u="none" strike="noStrike" kern="1200" baseline="0">
                            <a:solidFill>
                              <a:schemeClr val="accent6">
                                <a:lumMod val="75000"/>
                              </a:schemeClr>
                            </a:solidFill>
                            <a:latin typeface="Calibri" panose="020F0502020204030204" pitchFamily="34" charset="0"/>
                            <a:ea typeface="+mn-ea"/>
                            <a:cs typeface="+mn-cs"/>
                          </a:defRPr>
                        </a:pPr>
                        <a:endParaRPr lang="es-ES_tradnl"/>
                      </a:p>
                    </c:txPr>
                    <c:dLblPos val="b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>
                          <c15:dlblFTEntry>
                            <c15:txfldGUID>{6B289CE9-A434-4015-A78C-6A6476BC28CC}</c15:txfldGUID>
                            <c15:f>'Res Bal Sem'!$N$19</c15:f>
                            <c15:dlblFieldTableCache>
                              <c:ptCount val="1"/>
                              <c:pt idx="0">
                                <c:v>-9999</c:v>
                              </c:pt>
                            </c15:dlblFieldTableCache>
                          </c15:dlblFTEntry>
                        </c15:dlblFieldTable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24-AAAB-4228-A82D-59DDAC683E82}"/>
                      </c:ext>
                    </c:extLst>
                  </c:dLbl>
                  <c:dLbl>
                    <c:idx val="11"/>
                    <c:tx>
                      <c:strRef>
                        <c:f>'Res Bal Sem'!$N$20</c:f>
                        <c:strCache>
                          <c:ptCount val="1"/>
                          <c:pt idx="0">
                            <c:v>-9999</c:v>
                          </c:pt>
                        </c:strCache>
                      </c:strRef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-5400000" spcFirstLastPara="1" vertOverflow="ellipsis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800" b="1" i="0" u="none" strike="noStrike" kern="1200" baseline="0">
                            <a:solidFill>
                              <a:schemeClr val="accent6">
                                <a:lumMod val="75000"/>
                              </a:schemeClr>
                            </a:solidFill>
                            <a:latin typeface="Calibri" panose="020F0502020204030204" pitchFamily="34" charset="0"/>
                            <a:ea typeface="+mn-ea"/>
                            <a:cs typeface="+mn-cs"/>
                          </a:defRPr>
                        </a:pPr>
                        <a:endParaRPr lang="es-ES_tradnl"/>
                      </a:p>
                    </c:txPr>
                    <c:dLblPos val="b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>
                          <c15:dlblFTEntry>
                            <c15:txfldGUID>{A38C5468-A341-4822-B3F4-D74A7CE4541C}</c15:txfldGUID>
                            <c15:f>'Res Bal Sem'!$N$20</c15:f>
                            <c15:dlblFieldTableCache>
                              <c:ptCount val="1"/>
                              <c:pt idx="0">
                                <c:v>-9999</c:v>
                              </c:pt>
                            </c15:dlblFieldTableCache>
                          </c15:dlblFTEntry>
                        </c15:dlblFieldTable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25-AAAB-4228-A82D-59DDAC683E82}"/>
                      </c:ext>
                    </c:extLst>
                  </c:dLbl>
                  <c:dLbl>
                    <c:idx val="12"/>
                    <c:tx>
                      <c:strRef>
                        <c:f>'Res Bal Sem'!$N$21</c:f>
                        <c:strCache>
                          <c:ptCount val="1"/>
                          <c:pt idx="0">
                            <c:v>31</c:v>
                          </c:pt>
                        </c:strCache>
                      </c:strRef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-5400000" spcFirstLastPara="1" vertOverflow="ellipsis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800" b="1" i="0" u="none" strike="noStrike" kern="1200" baseline="0">
                            <a:solidFill>
                              <a:schemeClr val="accent6">
                                <a:lumMod val="75000"/>
                              </a:schemeClr>
                            </a:solidFill>
                            <a:latin typeface="Calibri" panose="020F0502020204030204" pitchFamily="34" charset="0"/>
                            <a:ea typeface="+mn-ea"/>
                            <a:cs typeface="+mn-cs"/>
                          </a:defRPr>
                        </a:pPr>
                        <a:endParaRPr lang="es-ES_tradnl"/>
                      </a:p>
                    </c:txPr>
                    <c:dLblPos val="b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>
                          <c15:dlblFTEntry>
                            <c15:txfldGUID>{90326B3E-3905-49B4-93A4-206E8EA6545B}</c15:txfldGUID>
                            <c15:f>'Res Bal Sem'!$N$21</c15:f>
                            <c15:dlblFieldTableCache>
                              <c:ptCount val="1"/>
                              <c:pt idx="0">
                                <c:v>31</c:v>
                              </c:pt>
                            </c15:dlblFieldTableCache>
                          </c15:dlblFTEntry>
                        </c15:dlblFieldTable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26-AAAB-4228-A82D-59DDAC683E82}"/>
                      </c:ext>
                    </c:extLst>
                  </c:dLbl>
                  <c:dLbl>
                    <c:idx val="13"/>
                    <c:tx>
                      <c:strRef>
                        <c:f>'Res Bal Sem'!$N$22</c:f>
                        <c:strCache>
                          <c:ptCount val="1"/>
                          <c:pt idx="0">
                            <c:v>-9999</c:v>
                          </c:pt>
                        </c:strCache>
                      </c:strRef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-5400000" spcFirstLastPara="1" vertOverflow="ellipsis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800" b="1" i="0" u="none" strike="noStrike" kern="1200" baseline="0">
                            <a:solidFill>
                              <a:schemeClr val="accent6">
                                <a:lumMod val="75000"/>
                              </a:schemeClr>
                            </a:solidFill>
                            <a:latin typeface="Calibri" panose="020F0502020204030204" pitchFamily="34" charset="0"/>
                            <a:ea typeface="+mn-ea"/>
                            <a:cs typeface="+mn-cs"/>
                          </a:defRPr>
                        </a:pPr>
                        <a:endParaRPr lang="es-ES_tradnl"/>
                      </a:p>
                    </c:txPr>
                    <c:dLblPos val="b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>
                          <c15:dlblFTEntry>
                            <c15:txfldGUID>{D9F28153-6570-4F57-9563-332BE4D6C70A}</c15:txfldGUID>
                            <c15:f>'Res Bal Sem'!$N$22</c15:f>
                            <c15:dlblFieldTableCache>
                              <c:ptCount val="1"/>
                              <c:pt idx="0">
                                <c:v>-9999</c:v>
                              </c:pt>
                            </c15:dlblFieldTableCache>
                          </c15:dlblFTEntry>
                        </c15:dlblFieldTable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27-AAAB-4228-A82D-59DDAC683E82}"/>
                      </c:ext>
                    </c:extLst>
                  </c:dLbl>
                  <c:dLbl>
                    <c:idx val="14"/>
                    <c:tx>
                      <c:strRef>
                        <c:f>'Res Bal Sem'!$N$23</c:f>
                        <c:strCache>
                          <c:ptCount val="1"/>
                          <c:pt idx="0">
                            <c:v>-9999</c:v>
                          </c:pt>
                        </c:strCache>
                      </c:strRef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-5400000" spcFirstLastPara="1" vertOverflow="ellipsis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800" b="1" i="0" u="none" strike="noStrike" kern="1200" baseline="0">
                            <a:solidFill>
                              <a:schemeClr val="accent6">
                                <a:lumMod val="75000"/>
                              </a:schemeClr>
                            </a:solidFill>
                            <a:latin typeface="Calibri" panose="020F0502020204030204" pitchFamily="34" charset="0"/>
                            <a:ea typeface="+mn-ea"/>
                            <a:cs typeface="+mn-cs"/>
                          </a:defRPr>
                        </a:pPr>
                        <a:endParaRPr lang="es-ES_tradnl"/>
                      </a:p>
                    </c:txPr>
                    <c:dLblPos val="b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>
                          <c15:dlblFTEntry>
                            <c15:txfldGUID>{0B1283BE-B698-42F0-9B1B-57E5ECC47CB8}</c15:txfldGUID>
                            <c15:f>'Res Bal Sem'!$N$23</c15:f>
                            <c15:dlblFieldTableCache>
                              <c:ptCount val="1"/>
                              <c:pt idx="0">
                                <c:v>-9999</c:v>
                              </c:pt>
                            </c15:dlblFieldTableCache>
                          </c15:dlblFTEntry>
                        </c15:dlblFieldTable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28-AAAB-4228-A82D-59DDAC683E82}"/>
                      </c:ext>
                    </c:extLst>
                  </c:dLbl>
                  <c:dLbl>
                    <c:idx val="15"/>
                    <c:tx>
                      <c:strRef>
                        <c:f>'Res Bal Sem'!$N$24</c:f>
                        <c:strCache>
                          <c:ptCount val="1"/>
                          <c:pt idx="0">
                            <c:v>39</c:v>
                          </c:pt>
                        </c:strCache>
                      </c:strRef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-5400000" spcFirstLastPara="1" vertOverflow="ellipsis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800" b="1" i="0" u="none" strike="noStrike" kern="1200" baseline="0">
                            <a:solidFill>
                              <a:schemeClr val="accent6">
                                <a:lumMod val="75000"/>
                              </a:schemeClr>
                            </a:solidFill>
                            <a:latin typeface="Calibri" panose="020F0502020204030204" pitchFamily="34" charset="0"/>
                            <a:ea typeface="+mn-ea"/>
                            <a:cs typeface="+mn-cs"/>
                          </a:defRPr>
                        </a:pPr>
                        <a:endParaRPr lang="es-ES_tradnl"/>
                      </a:p>
                    </c:txPr>
                    <c:dLblPos val="b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>
                          <c15:dlblFTEntry>
                            <c15:txfldGUID>{2D9D7E66-8019-451C-B4EC-0A6A21D6A064}</c15:txfldGUID>
                            <c15:f>'Res Bal Sem'!$N$24</c15:f>
                            <c15:dlblFieldTableCache>
                              <c:ptCount val="1"/>
                              <c:pt idx="0">
                                <c:v>39</c:v>
                              </c:pt>
                            </c15:dlblFieldTableCache>
                          </c15:dlblFTEntry>
                        </c15:dlblFieldTable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29-AAAB-4228-A82D-59DDAC683E82}"/>
                      </c:ext>
                    </c:extLst>
                  </c:dLbl>
                  <c:dLbl>
                    <c:idx val="16"/>
                    <c:tx>
                      <c:strRef>
                        <c:f>'Res Bal Sem'!$N$25</c:f>
                        <c:strCache>
                          <c:ptCount val="1"/>
                          <c:pt idx="0">
                            <c:v>51</c:v>
                          </c:pt>
                        </c:strCache>
                      </c:strRef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-5400000" spcFirstLastPara="1" vertOverflow="ellipsis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800" b="1" i="0" u="none" strike="noStrike" kern="1200" baseline="0">
                            <a:solidFill>
                              <a:schemeClr val="accent6">
                                <a:lumMod val="75000"/>
                              </a:schemeClr>
                            </a:solidFill>
                            <a:latin typeface="Calibri" panose="020F0502020204030204" pitchFamily="34" charset="0"/>
                            <a:ea typeface="+mn-ea"/>
                            <a:cs typeface="+mn-cs"/>
                          </a:defRPr>
                        </a:pPr>
                        <a:endParaRPr lang="es-ES_tradnl"/>
                      </a:p>
                    </c:txPr>
                    <c:dLblPos val="b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>
                          <c15:dlblFTEntry>
                            <c15:txfldGUID>{C0825721-46B5-40D0-9F4A-52675DD26B8E}</c15:txfldGUID>
                            <c15:f>'Res Bal Sem'!$N$25</c15:f>
                            <c15:dlblFieldTableCache>
                              <c:ptCount val="1"/>
                              <c:pt idx="0">
                                <c:v>51</c:v>
                              </c:pt>
                            </c15:dlblFieldTableCache>
                          </c15:dlblFTEntry>
                        </c15:dlblFieldTable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2A-AAAB-4228-A82D-59DDAC683E82}"/>
                      </c:ext>
                    </c:extLst>
                  </c:dLbl>
                  <c:dLbl>
                    <c:idx val="17"/>
                    <c:tx>
                      <c:strRef>
                        <c:f>'Res Bal Sem'!$N$26</c:f>
                        <c:strCache>
                          <c:ptCount val="1"/>
                          <c:pt idx="0">
                            <c:v>59</c:v>
                          </c:pt>
                        </c:strCache>
                      </c:strRef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-5400000" spcFirstLastPara="1" vertOverflow="ellipsis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800" b="1" i="0" u="none" strike="noStrike" kern="1200" baseline="0">
                            <a:solidFill>
                              <a:schemeClr val="accent6">
                                <a:lumMod val="75000"/>
                              </a:schemeClr>
                            </a:solidFill>
                            <a:latin typeface="Calibri" panose="020F0502020204030204" pitchFamily="34" charset="0"/>
                            <a:ea typeface="+mn-ea"/>
                            <a:cs typeface="+mn-cs"/>
                          </a:defRPr>
                        </a:pPr>
                        <a:endParaRPr lang="es-ES_tradnl"/>
                      </a:p>
                    </c:txPr>
                    <c:dLblPos val="b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>
                          <c15:dlblFTEntry>
                            <c15:txfldGUID>{84B01597-18C1-4BEB-BCAA-A93B6C7340E1}</c15:txfldGUID>
                            <c15:f>'Res Bal Sem'!$N$26</c15:f>
                            <c15:dlblFieldTableCache>
                              <c:ptCount val="1"/>
                              <c:pt idx="0">
                                <c:v>59</c:v>
                              </c:pt>
                            </c15:dlblFieldTableCache>
                          </c15:dlblFTEntry>
                        </c15:dlblFieldTable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2B-AAAB-4228-A82D-59DDAC683E82}"/>
                      </c:ext>
                    </c:extLst>
                  </c:dLbl>
                  <c:dLbl>
                    <c:idx val="18"/>
                    <c:tx>
                      <c:strRef>
                        <c:f>'Res Bal Sem'!$N$27</c:f>
                        <c:strCache>
                          <c:ptCount val="1"/>
                          <c:pt idx="0">
                            <c:v>65</c:v>
                          </c:pt>
                        </c:strCache>
                      </c:strRef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-5400000" spcFirstLastPara="1" vertOverflow="ellipsis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800" b="1" i="0" u="none" strike="noStrike" kern="1200" baseline="0">
                            <a:solidFill>
                              <a:schemeClr val="accent6">
                                <a:lumMod val="75000"/>
                              </a:schemeClr>
                            </a:solidFill>
                            <a:latin typeface="Calibri" panose="020F0502020204030204" pitchFamily="34" charset="0"/>
                            <a:ea typeface="+mn-ea"/>
                            <a:cs typeface="+mn-cs"/>
                          </a:defRPr>
                        </a:pPr>
                        <a:endParaRPr lang="es-ES_tradnl"/>
                      </a:p>
                    </c:txPr>
                    <c:dLblPos val="b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>
                          <c15:dlblFTEntry>
                            <c15:txfldGUID>{DA1CE2DA-BEC4-4A99-A153-6922F3CB367A}</c15:txfldGUID>
                            <c15:f>'Res Bal Sem'!$N$27</c15:f>
                            <c15:dlblFieldTableCache>
                              <c:ptCount val="1"/>
                              <c:pt idx="0">
                                <c:v>65</c:v>
                              </c:pt>
                            </c15:dlblFieldTableCache>
                          </c15:dlblFTEntry>
                        </c15:dlblFieldTable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2C-AAAB-4228-A82D-59DDAC683E82}"/>
                      </c:ext>
                    </c:extLst>
                  </c:dLbl>
                  <c:dLbl>
                    <c:idx val="19"/>
                    <c:tx>
                      <c:strRef>
                        <c:f>'Res Bal Sem'!$N$28</c:f>
                        <c:strCache>
                          <c:ptCount val="1"/>
                          <c:pt idx="0">
                            <c:v>71</c:v>
                          </c:pt>
                        </c:strCache>
                      </c:strRef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-5400000" spcFirstLastPara="1" vertOverflow="ellipsis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800" b="1" i="0" u="none" strike="noStrike" kern="1200" baseline="0">
                            <a:solidFill>
                              <a:schemeClr val="accent6">
                                <a:lumMod val="75000"/>
                              </a:schemeClr>
                            </a:solidFill>
                            <a:latin typeface="Calibri" panose="020F0502020204030204" pitchFamily="34" charset="0"/>
                            <a:ea typeface="+mn-ea"/>
                            <a:cs typeface="+mn-cs"/>
                          </a:defRPr>
                        </a:pPr>
                        <a:endParaRPr lang="es-ES_tradnl"/>
                      </a:p>
                    </c:txPr>
                    <c:dLblPos val="b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>
                          <c15:dlblFTEntry>
                            <c15:txfldGUID>{D03BCFC9-B5F3-4A8C-AAFD-07AF7E966F4E}</c15:txfldGUID>
                            <c15:f>'Res Bal Sem'!$N$28</c15:f>
                            <c15:dlblFieldTableCache>
                              <c:ptCount val="1"/>
                              <c:pt idx="0">
                                <c:v>71</c:v>
                              </c:pt>
                            </c15:dlblFieldTableCache>
                          </c15:dlblFTEntry>
                        </c15:dlblFieldTable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2D-AAAB-4228-A82D-59DDAC683E82}"/>
                      </c:ext>
                    </c:extLst>
                  </c:dLbl>
                  <c:dLbl>
                    <c:idx val="20"/>
                    <c:tx>
                      <c:strRef>
                        <c:f>'Res Bal Sem'!$N$29</c:f>
                        <c:strCache>
                          <c:ptCount val="1"/>
                          <c:pt idx="0">
                            <c:v>83</c:v>
                          </c:pt>
                        </c:strCache>
                      </c:strRef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-5400000" spcFirstLastPara="1" vertOverflow="ellipsis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800" b="1" i="0" u="none" strike="noStrike" kern="1200" baseline="0">
                            <a:solidFill>
                              <a:schemeClr val="accent6">
                                <a:lumMod val="75000"/>
                              </a:schemeClr>
                            </a:solidFill>
                            <a:latin typeface="Calibri" panose="020F0502020204030204" pitchFamily="34" charset="0"/>
                            <a:ea typeface="+mn-ea"/>
                            <a:cs typeface="+mn-cs"/>
                          </a:defRPr>
                        </a:pPr>
                        <a:endParaRPr lang="es-ES_tradnl"/>
                      </a:p>
                    </c:txPr>
                    <c:dLblPos val="b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>
                          <c15:dlblFTEntry>
                            <c15:txfldGUID>{21FB7E4A-C026-4EAF-ACAB-FE22BFBDE070}</c15:txfldGUID>
                            <c15:f>'Res Bal Sem'!$N$29</c15:f>
                            <c15:dlblFieldTableCache>
                              <c:ptCount val="1"/>
                              <c:pt idx="0">
                                <c:v>83</c:v>
                              </c:pt>
                            </c15:dlblFieldTableCache>
                          </c15:dlblFTEntry>
                        </c15:dlblFieldTable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2E-AAAB-4228-A82D-59DDAC683E82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ellipsis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800" b="1" i="0" u="none" strike="noStrike" kern="1200" baseline="0">
                          <a:solidFill>
                            <a:schemeClr val="accent6">
                              <a:lumMod val="7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ES_tradnl"/>
                    </a:p>
                  </c:txPr>
                  <c:dLblPos val="b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 Bal Sem'!$B$9:$B$34</c15:sqref>
                        </c15:formulaRef>
                      </c:ext>
                    </c:extLst>
                    <c:numCache>
                      <c:formatCode>m/d/yyyy</c:formatCode>
                      <c:ptCount val="26"/>
                      <c:pt idx="0">
                        <c:v>42381</c:v>
                      </c:pt>
                      <c:pt idx="1">
                        <c:v>42388</c:v>
                      </c:pt>
                      <c:pt idx="2">
                        <c:v>42395</c:v>
                      </c:pt>
                      <c:pt idx="3">
                        <c:v>42402</c:v>
                      </c:pt>
                      <c:pt idx="4">
                        <c:v>42409</c:v>
                      </c:pt>
                      <c:pt idx="5">
                        <c:v>42416</c:v>
                      </c:pt>
                      <c:pt idx="6">
                        <c:v>42423</c:v>
                      </c:pt>
                      <c:pt idx="7">
                        <c:v>42430</c:v>
                      </c:pt>
                      <c:pt idx="8">
                        <c:v>42437</c:v>
                      </c:pt>
                      <c:pt idx="9">
                        <c:v>42444</c:v>
                      </c:pt>
                      <c:pt idx="10">
                        <c:v>42451</c:v>
                      </c:pt>
                      <c:pt idx="11">
                        <c:v>42458</c:v>
                      </c:pt>
                      <c:pt idx="12">
                        <c:v>42465</c:v>
                      </c:pt>
                      <c:pt idx="13">
                        <c:v>42472</c:v>
                      </c:pt>
                      <c:pt idx="14">
                        <c:v>42479</c:v>
                      </c:pt>
                      <c:pt idx="15">
                        <c:v>42486</c:v>
                      </c:pt>
                      <c:pt idx="16">
                        <c:v>42493</c:v>
                      </c:pt>
                      <c:pt idx="17">
                        <c:v>42500</c:v>
                      </c:pt>
                      <c:pt idx="18">
                        <c:v>42507</c:v>
                      </c:pt>
                      <c:pt idx="19">
                        <c:v>42514</c:v>
                      </c:pt>
                      <c:pt idx="20">
                        <c:v>42521</c:v>
                      </c:pt>
                      <c:pt idx="21">
                        <c:v>42528</c:v>
                      </c:pt>
                      <c:pt idx="22">
                        <c:v>42535</c:v>
                      </c:pt>
                      <c:pt idx="23">
                        <c:v>42542</c:v>
                      </c:pt>
                      <c:pt idx="24">
                        <c:v>42549</c:v>
                      </c:pt>
                      <c:pt idx="25">
                        <c:v>42556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 Bal Sem'!$O$9:$O$34</c15:sqref>
                        </c15:formulaRef>
                      </c:ext>
                    </c:extLst>
                    <c:numCache>
                      <c:formatCode>General</c:formatCode>
                      <c:ptCount val="26"/>
                      <c:pt idx="0">
                        <c:v>-999</c:v>
                      </c:pt>
                      <c:pt idx="1">
                        <c:v>-999</c:v>
                      </c:pt>
                      <c:pt idx="2">
                        <c:v>1.1000000000000001</c:v>
                      </c:pt>
                      <c:pt idx="3">
                        <c:v>-999</c:v>
                      </c:pt>
                      <c:pt idx="4">
                        <c:v>1.1000000000000001</c:v>
                      </c:pt>
                      <c:pt idx="5">
                        <c:v>-999</c:v>
                      </c:pt>
                      <c:pt idx="6">
                        <c:v>1.1000000000000001</c:v>
                      </c:pt>
                      <c:pt idx="7">
                        <c:v>1.1000000000000001</c:v>
                      </c:pt>
                      <c:pt idx="8">
                        <c:v>1.1000000000000001</c:v>
                      </c:pt>
                      <c:pt idx="9">
                        <c:v>-999</c:v>
                      </c:pt>
                      <c:pt idx="10">
                        <c:v>-999</c:v>
                      </c:pt>
                      <c:pt idx="11">
                        <c:v>-999</c:v>
                      </c:pt>
                      <c:pt idx="12">
                        <c:v>1.1000000000000001</c:v>
                      </c:pt>
                      <c:pt idx="13">
                        <c:v>-999</c:v>
                      </c:pt>
                      <c:pt idx="14">
                        <c:v>-999</c:v>
                      </c:pt>
                      <c:pt idx="15">
                        <c:v>1.1000000000000001</c:v>
                      </c:pt>
                      <c:pt idx="16">
                        <c:v>1.1000000000000001</c:v>
                      </c:pt>
                      <c:pt idx="17">
                        <c:v>1.1000000000000001</c:v>
                      </c:pt>
                      <c:pt idx="18">
                        <c:v>1.1000000000000001</c:v>
                      </c:pt>
                      <c:pt idx="19">
                        <c:v>1.1000000000000001</c:v>
                      </c:pt>
                      <c:pt idx="20">
                        <c:v>1.1000000000000001</c:v>
                      </c:pt>
                      <c:pt idx="21">
                        <c:v>-999</c:v>
                      </c:pt>
                      <c:pt idx="22">
                        <c:v>-999</c:v>
                      </c:pt>
                      <c:pt idx="23">
                        <c:v>1.1000000000000001</c:v>
                      </c:pt>
                      <c:pt idx="24">
                        <c:v>1.1000000000000001</c:v>
                      </c:pt>
                      <c:pt idx="25">
                        <c:v>-999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0FF-4802-9A05-F6738E458559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 Bal Sem'!$W$3</c15:sqref>
                        </c15:formulaRef>
                      </c:ext>
                    </c:extLst>
                    <c:strCache>
                      <c:ptCount val="1"/>
                      <c:pt idx="0">
                        <c:v>NDVI tipo</c:v>
                      </c:pt>
                    </c:strCache>
                  </c:strRef>
                </c:tx>
                <c:spPr>
                  <a:ln w="158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70C0"/>
                    </a:solidFill>
                    <a:ln w="9525">
                      <a:solidFill>
                        <a:schemeClr val="tx1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 Bal Sem'!$B$9:$B$43</c15:sqref>
                        </c15:formulaRef>
                      </c:ext>
                    </c:extLst>
                    <c:numCache>
                      <c:formatCode>m/d/yyyy</c:formatCode>
                      <c:ptCount val="35"/>
                      <c:pt idx="0">
                        <c:v>42381</c:v>
                      </c:pt>
                      <c:pt idx="1">
                        <c:v>42388</c:v>
                      </c:pt>
                      <c:pt idx="2">
                        <c:v>42395</c:v>
                      </c:pt>
                      <c:pt idx="3">
                        <c:v>42402</c:v>
                      </c:pt>
                      <c:pt idx="4">
                        <c:v>42409</c:v>
                      </c:pt>
                      <c:pt idx="5">
                        <c:v>42416</c:v>
                      </c:pt>
                      <c:pt idx="6">
                        <c:v>42423</c:v>
                      </c:pt>
                      <c:pt idx="7">
                        <c:v>42430</c:v>
                      </c:pt>
                      <c:pt idx="8">
                        <c:v>42437</c:v>
                      </c:pt>
                      <c:pt idx="9">
                        <c:v>42444</c:v>
                      </c:pt>
                      <c:pt idx="10">
                        <c:v>42451</c:v>
                      </c:pt>
                      <c:pt idx="11">
                        <c:v>42458</c:v>
                      </c:pt>
                      <c:pt idx="12">
                        <c:v>42465</c:v>
                      </c:pt>
                      <c:pt idx="13">
                        <c:v>42472</c:v>
                      </c:pt>
                      <c:pt idx="14">
                        <c:v>42479</c:v>
                      </c:pt>
                      <c:pt idx="15">
                        <c:v>42486</c:v>
                      </c:pt>
                      <c:pt idx="16">
                        <c:v>42493</c:v>
                      </c:pt>
                      <c:pt idx="17">
                        <c:v>42500</c:v>
                      </c:pt>
                      <c:pt idx="18">
                        <c:v>42507</c:v>
                      </c:pt>
                      <c:pt idx="19">
                        <c:v>42514</c:v>
                      </c:pt>
                      <c:pt idx="20">
                        <c:v>42521</c:v>
                      </c:pt>
                      <c:pt idx="21">
                        <c:v>42528</c:v>
                      </c:pt>
                      <c:pt idx="22">
                        <c:v>42535</c:v>
                      </c:pt>
                      <c:pt idx="23">
                        <c:v>42542</c:v>
                      </c:pt>
                      <c:pt idx="24">
                        <c:v>42549</c:v>
                      </c:pt>
                      <c:pt idx="25">
                        <c:v>42556</c:v>
                      </c:pt>
                      <c:pt idx="26">
                        <c:v>42563</c:v>
                      </c:pt>
                      <c:pt idx="27">
                        <c:v>42570</c:v>
                      </c:pt>
                      <c:pt idx="28">
                        <c:v>42577</c:v>
                      </c:pt>
                      <c:pt idx="29">
                        <c:v>42584</c:v>
                      </c:pt>
                      <c:pt idx="30">
                        <c:v>42591</c:v>
                      </c:pt>
                      <c:pt idx="31">
                        <c:v>42598</c:v>
                      </c:pt>
                      <c:pt idx="32">
                        <c:v>42605</c:v>
                      </c:pt>
                      <c:pt idx="33">
                        <c:v>42612</c:v>
                      </c:pt>
                      <c:pt idx="34">
                        <c:v>42619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 Bal Sem'!$W$9:$W$35</c15:sqref>
                        </c15:formulaRef>
                      </c:ext>
                    </c:extLst>
                    <c:numCache>
                      <c:formatCode>0.0000</c:formatCode>
                      <c:ptCount val="27"/>
                      <c:pt idx="0">
                        <c:v>0</c:v>
                      </c:pt>
                      <c:pt idx="1">
                        <c:v>0.21921747272727277</c:v>
                      </c:pt>
                      <c:pt idx="2">
                        <c:v>0.22981980000000013</c:v>
                      </c:pt>
                      <c:pt idx="3">
                        <c:v>0.24042212727272749</c:v>
                      </c:pt>
                      <c:pt idx="4">
                        <c:v>0.25102445454545486</c:v>
                      </c:pt>
                      <c:pt idx="5">
                        <c:v>0.26162678181818222</c:v>
                      </c:pt>
                      <c:pt idx="6">
                        <c:v>0.27222910909090958</c:v>
                      </c:pt>
                      <c:pt idx="7">
                        <c:v>0.28283143636363695</c:v>
                      </c:pt>
                      <c:pt idx="8">
                        <c:v>0.29343376363636431</c:v>
                      </c:pt>
                      <c:pt idx="9">
                        <c:v>0.33810812195121953</c:v>
                      </c:pt>
                      <c:pt idx="10">
                        <c:v>0.39641129268292691</c:v>
                      </c:pt>
                      <c:pt idx="11">
                        <c:v>0.45471446341463428</c:v>
                      </c:pt>
                      <c:pt idx="12">
                        <c:v>0.51301763414634161</c:v>
                      </c:pt>
                      <c:pt idx="13">
                        <c:v>0.57132080487804859</c:v>
                      </c:pt>
                      <c:pt idx="14">
                        <c:v>0.62962397560975558</c:v>
                      </c:pt>
                      <c:pt idx="15">
                        <c:v>0.69987149999999976</c:v>
                      </c:pt>
                      <c:pt idx="16">
                        <c:v>0.77210974999999948</c:v>
                      </c:pt>
                      <c:pt idx="17">
                        <c:v>0.81018499999999993</c:v>
                      </c:pt>
                      <c:pt idx="18">
                        <c:v>0.82263799999999976</c:v>
                      </c:pt>
                      <c:pt idx="19">
                        <c:v>0.83153299999999997</c:v>
                      </c:pt>
                      <c:pt idx="20">
                        <c:v>0.80832912499999998</c:v>
                      </c:pt>
                      <c:pt idx="21">
                        <c:v>0.75418675000000002</c:v>
                      </c:pt>
                      <c:pt idx="22">
                        <c:v>0.68194566666666667</c:v>
                      </c:pt>
                      <c:pt idx="23">
                        <c:v>0.50111233333333305</c:v>
                      </c:pt>
                      <c:pt idx="24">
                        <c:v>0.32027899999999998</c:v>
                      </c:pt>
                      <c:pt idx="25">
                        <c:v>0.31924999999999992</c:v>
                      </c:pt>
                      <c:pt idx="26">
                        <c:v>0.30937766666666666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BF7C-4DAE-A2B0-ABC31FFC43EC}"/>
                  </c:ext>
                </c:extLst>
              </c15:ser>
            </c15:filteredScatterSeries>
          </c:ext>
        </c:extLst>
      </c:scatterChart>
      <c:dateAx>
        <c:axId val="155219256"/>
        <c:scaling>
          <c:orientation val="minMax"/>
          <c:max val="42571"/>
          <c:min val="42353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1000" b="1">
                    <a:solidFill>
                      <a:srgbClr val="FF0000"/>
                    </a:solidFill>
                  </a:rPr>
                  <a:t>ETo real</a:t>
                </a:r>
                <a:r>
                  <a:rPr lang="es-ES" sz="1000" b="1" baseline="0">
                    <a:solidFill>
                      <a:srgbClr val="FF0000"/>
                    </a:solidFill>
                  </a:rPr>
                  <a:t> (mm)</a:t>
                </a:r>
                <a:endParaRPr lang="es-ES" sz="1000" b="1">
                  <a:solidFill>
                    <a:srgbClr val="FF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7.431892638064537E-2"/>
              <c:y val="0.12673049758784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_tradnl"/>
            </a:p>
          </c:txPr>
        </c:title>
        <c:numFmt formatCode="[$-C0A]d\-mm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155223176"/>
        <c:crosses val="autoZero"/>
        <c:auto val="1"/>
        <c:lblOffset val="100"/>
        <c:baseTimeUnit val="days"/>
        <c:majorUnit val="7"/>
        <c:majorTimeUnit val="days"/>
        <c:minorUnit val="1"/>
        <c:minorTimeUnit val="days"/>
      </c:dateAx>
      <c:valAx>
        <c:axId val="155223176"/>
        <c:scaling>
          <c:orientation val="minMax"/>
          <c:max val="200"/>
          <c:min val="-5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>
                    <a:solidFill>
                      <a:sysClr val="windowText" lastClr="000000"/>
                    </a:solidFill>
                  </a:rPr>
                  <a:t>Nitrogen</a:t>
                </a:r>
                <a:r>
                  <a:rPr lang="en-US" sz="1400" b="1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sz="1400" b="1">
                    <a:solidFill>
                      <a:sysClr val="windowText" lastClr="000000"/>
                    </a:solidFill>
                  </a:rPr>
                  <a:t>(kg ha</a:t>
                </a:r>
                <a:r>
                  <a:rPr lang="en-US" sz="1400" b="1" baseline="30000">
                    <a:solidFill>
                      <a:sysClr val="windowText" lastClr="000000"/>
                    </a:solidFill>
                  </a:rPr>
                  <a:t>-1</a:t>
                </a:r>
                <a:r>
                  <a:rPr lang="en-US" sz="1400" b="1">
                    <a:solidFill>
                      <a:sysClr val="windowText" lastClr="000000"/>
                    </a:solidFill>
                  </a:rPr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_tradn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155219256"/>
        <c:crosses val="autoZero"/>
        <c:crossBetween val="between"/>
        <c:majorUnit val="25"/>
      </c:valAx>
      <c:valAx>
        <c:axId val="155225136"/>
        <c:scaling>
          <c:orientation val="minMax"/>
          <c:max val="1.4"/>
          <c:min val="-0.4"/>
        </c:scaling>
        <c:delete val="0"/>
        <c:axPos val="r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155222392"/>
        <c:crosses val="max"/>
        <c:crossBetween val="midCat"/>
      </c:valAx>
      <c:valAx>
        <c:axId val="1552223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5225136"/>
        <c:crosses val="autoZero"/>
        <c:crossBetween val="midCat"/>
      </c:valAx>
      <c:spPr>
        <a:noFill/>
        <a:ln>
          <a:solidFill>
            <a:schemeClr val="accent5"/>
          </a:solidFill>
        </a:ln>
        <a:effectLst/>
      </c:spPr>
    </c:plotArea>
    <c:legend>
      <c:legendPos val="b"/>
      <c:layout>
        <c:manualLayout>
          <c:xMode val="edge"/>
          <c:yMode val="edge"/>
          <c:x val="4.999059417914062E-3"/>
          <c:y val="0.88485565675047795"/>
          <c:w val="0.99000188116417187"/>
          <c:h val="0.10261170617380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/>
      </a:solidFill>
      <a:round/>
    </a:ln>
    <a:effectLst/>
  </c:spPr>
  <c:txPr>
    <a:bodyPr/>
    <a:lstStyle/>
    <a:p>
      <a:pPr>
        <a:defRPr/>
      </a:pPr>
      <a:endParaRPr lang="es-ES_tradnl"/>
    </a:p>
  </c:txPr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_tradnl"/>
              <a:t>Extracciones</a:t>
            </a:r>
            <a:r>
              <a:rPr lang="es-ES_tradnl" baseline="0"/>
              <a:t> N-Fenología</a:t>
            </a:r>
            <a:endParaRPr lang="es-ES_tradn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 TrB'!$H$2</c:f>
              <c:strCache>
                <c:ptCount val="1"/>
                <c:pt idx="0">
                  <c:v>Extrac. Acc % (N/ Estadio BBCH)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 TrB'!$C$3:$C$21</c:f>
              <c:numCache>
                <c:formatCode>[$-C0A]d\-mmm\-yy;@</c:formatCode>
                <c:ptCount val="19"/>
                <c:pt idx="0">
                  <c:v>42016</c:v>
                </c:pt>
                <c:pt idx="1">
                  <c:v>42028</c:v>
                </c:pt>
                <c:pt idx="2">
                  <c:v>42039</c:v>
                </c:pt>
                <c:pt idx="3">
                  <c:v>42054</c:v>
                </c:pt>
                <c:pt idx="4">
                  <c:v>42062</c:v>
                </c:pt>
                <c:pt idx="5">
                  <c:v>42069</c:v>
                </c:pt>
                <c:pt idx="6">
                  <c:v>42098</c:v>
                </c:pt>
                <c:pt idx="7">
                  <c:v>42117</c:v>
                </c:pt>
                <c:pt idx="8">
                  <c:v>42122</c:v>
                </c:pt>
                <c:pt idx="9">
                  <c:v>42126</c:v>
                </c:pt>
                <c:pt idx="10">
                  <c:v>42131</c:v>
                </c:pt>
                <c:pt idx="11">
                  <c:v>42134</c:v>
                </c:pt>
                <c:pt idx="12">
                  <c:v>42137</c:v>
                </c:pt>
                <c:pt idx="13">
                  <c:v>42143</c:v>
                </c:pt>
                <c:pt idx="14">
                  <c:v>42149</c:v>
                </c:pt>
                <c:pt idx="15">
                  <c:v>42154</c:v>
                </c:pt>
                <c:pt idx="16">
                  <c:v>42175</c:v>
                </c:pt>
                <c:pt idx="17">
                  <c:v>42177</c:v>
                </c:pt>
                <c:pt idx="18">
                  <c:v>42182</c:v>
                </c:pt>
              </c:numCache>
            </c:numRef>
          </c:xVal>
          <c:yVal>
            <c:numRef>
              <c:f>'F TrB'!$H$3:$H$21</c:f>
              <c:numCache>
                <c:formatCode>0.0%</c:formatCode>
                <c:ptCount val="19"/>
                <c:pt idx="1">
                  <c:v>0</c:v>
                </c:pt>
                <c:pt idx="2">
                  <c:v>3.4432432432432422E-2</c:v>
                </c:pt>
                <c:pt idx="3">
                  <c:v>6.6405405405405404E-2</c:v>
                </c:pt>
                <c:pt idx="4">
                  <c:v>9.5918918918918919E-2</c:v>
                </c:pt>
                <c:pt idx="5">
                  <c:v>0.19183783783783784</c:v>
                </c:pt>
                <c:pt idx="6">
                  <c:v>0.32500000000000001</c:v>
                </c:pt>
                <c:pt idx="7">
                  <c:v>0.52500000000000002</c:v>
                </c:pt>
                <c:pt idx="8">
                  <c:v>0.54569999999999985</c:v>
                </c:pt>
                <c:pt idx="9">
                  <c:v>0.58889999999999987</c:v>
                </c:pt>
                <c:pt idx="10">
                  <c:v>0.64649999999999996</c:v>
                </c:pt>
                <c:pt idx="11">
                  <c:v>0.68969999999999998</c:v>
                </c:pt>
                <c:pt idx="12">
                  <c:v>0.73849999999999993</c:v>
                </c:pt>
                <c:pt idx="13">
                  <c:v>0.80649999999999888</c:v>
                </c:pt>
                <c:pt idx="14">
                  <c:v>0.87649999999999895</c:v>
                </c:pt>
                <c:pt idx="15">
                  <c:v>0.95649999999999891</c:v>
                </c:pt>
                <c:pt idx="16">
                  <c:v>1.0364999999999989</c:v>
                </c:pt>
                <c:pt idx="17">
                  <c:v>1.0764999999999989</c:v>
                </c:pt>
                <c:pt idx="18">
                  <c:v>1.1064999999999989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D9-41B6-916D-524A10B3C1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244328"/>
        <c:axId val="473250208"/>
      </c:scatterChart>
      <c:scatterChart>
        <c:scatterStyle val="lineMarker"/>
        <c:varyColors val="0"/>
        <c:ser>
          <c:idx val="1"/>
          <c:order val="1"/>
          <c:tx>
            <c:strRef>
              <c:f>'F TrB'!$J$2</c:f>
              <c:strCache>
                <c:ptCount val="1"/>
                <c:pt idx="0">
                  <c:v>ExtracR N (kg/día)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 TrB'!$C$3:$C$21</c:f>
              <c:numCache>
                <c:formatCode>[$-C0A]d\-mmm\-yy;@</c:formatCode>
                <c:ptCount val="19"/>
                <c:pt idx="0">
                  <c:v>42016</c:v>
                </c:pt>
                <c:pt idx="1">
                  <c:v>42028</c:v>
                </c:pt>
                <c:pt idx="2">
                  <c:v>42039</c:v>
                </c:pt>
                <c:pt idx="3">
                  <c:v>42054</c:v>
                </c:pt>
                <c:pt idx="4">
                  <c:v>42062</c:v>
                </c:pt>
                <c:pt idx="5">
                  <c:v>42069</c:v>
                </c:pt>
                <c:pt idx="6">
                  <c:v>42098</c:v>
                </c:pt>
                <c:pt idx="7">
                  <c:v>42117</c:v>
                </c:pt>
                <c:pt idx="8">
                  <c:v>42122</c:v>
                </c:pt>
                <c:pt idx="9">
                  <c:v>42126</c:v>
                </c:pt>
                <c:pt idx="10">
                  <c:v>42131</c:v>
                </c:pt>
                <c:pt idx="11">
                  <c:v>42134</c:v>
                </c:pt>
                <c:pt idx="12">
                  <c:v>42137</c:v>
                </c:pt>
                <c:pt idx="13">
                  <c:v>42143</c:v>
                </c:pt>
                <c:pt idx="14">
                  <c:v>42149</c:v>
                </c:pt>
                <c:pt idx="15">
                  <c:v>42154</c:v>
                </c:pt>
                <c:pt idx="16">
                  <c:v>42175</c:v>
                </c:pt>
                <c:pt idx="17">
                  <c:v>42177</c:v>
                </c:pt>
                <c:pt idx="18">
                  <c:v>42182</c:v>
                </c:pt>
              </c:numCache>
            </c:numRef>
          </c:xVal>
          <c:yVal>
            <c:numRef>
              <c:f>'F TrB'!$J$3:$J$21</c:f>
              <c:numCache>
                <c:formatCode>0.0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0.92967567567567544</c:v>
                </c:pt>
                <c:pt idx="3">
                  <c:v>0.63306486486486502</c:v>
                </c:pt>
                <c:pt idx="4">
                  <c:v>1.0956891891891893</c:v>
                </c:pt>
                <c:pt idx="5">
                  <c:v>4.0697027027027026</c:v>
                </c:pt>
                <c:pt idx="6">
                  <c:v>1.3637642124883504</c:v>
                </c:pt>
                <c:pt idx="7">
                  <c:v>3.1263157894736842</c:v>
                </c:pt>
                <c:pt idx="8">
                  <c:v>1.2295799999999899</c:v>
                </c:pt>
                <c:pt idx="9">
                  <c:v>3.2076000000000011</c:v>
                </c:pt>
                <c:pt idx="10">
                  <c:v>3.4214400000000058</c:v>
                </c:pt>
                <c:pt idx="11">
                  <c:v>4.2768000000000015</c:v>
                </c:pt>
                <c:pt idx="12">
                  <c:v>4.8312000000000008</c:v>
                </c:pt>
                <c:pt idx="13">
                  <c:v>3.3659999999999508</c:v>
                </c:pt>
                <c:pt idx="14">
                  <c:v>3.4650000000000003</c:v>
                </c:pt>
                <c:pt idx="15">
                  <c:v>4.7519999999999998</c:v>
                </c:pt>
                <c:pt idx="16">
                  <c:v>1.1314285714285715</c:v>
                </c:pt>
                <c:pt idx="17">
                  <c:v>5.94</c:v>
                </c:pt>
                <c:pt idx="1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D9-41B6-916D-524A10B3C1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245112"/>
        <c:axId val="473244720"/>
      </c:scatterChart>
      <c:valAx>
        <c:axId val="473244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473250208"/>
        <c:crosses val="autoZero"/>
        <c:crossBetween val="midCat"/>
      </c:valAx>
      <c:valAx>
        <c:axId val="4732502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473244328"/>
        <c:crosses val="autoZero"/>
        <c:crossBetween val="midCat"/>
      </c:valAx>
      <c:valAx>
        <c:axId val="473244720"/>
        <c:scaling>
          <c:orientation val="minMax"/>
          <c:min val="0"/>
        </c:scaling>
        <c:delete val="0"/>
        <c:axPos val="r"/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473245112"/>
        <c:crosses val="max"/>
        <c:crossBetween val="midCat"/>
      </c:valAx>
      <c:valAx>
        <c:axId val="473245112"/>
        <c:scaling>
          <c:orientation val="minMax"/>
        </c:scaling>
        <c:delete val="1"/>
        <c:axPos val="b"/>
        <c:numFmt formatCode="[$-C0A]d\-mmm\-yy;@" sourceLinked="1"/>
        <c:majorTickMark val="out"/>
        <c:minorTickMark val="none"/>
        <c:tickLblPos val="nextTo"/>
        <c:crossAx val="473244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_trad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90702725175311"/>
          <c:y val="8.9285869987915017E-2"/>
          <c:w val="0.72062162276280872"/>
          <c:h val="0.63571539431395496"/>
        </c:manualLayout>
      </c:layout>
      <c:scatterChart>
        <c:scatterStyle val="lineMarker"/>
        <c:varyColors val="0"/>
        <c:ser>
          <c:idx val="0"/>
          <c:order val="0"/>
          <c:tx>
            <c:strRef>
              <c:f>SWB!$S$14</c:f>
              <c:strCache>
                <c:ptCount val="1"/>
                <c:pt idx="0">
                  <c:v>Kcb</c:v>
                </c:pt>
              </c:strCache>
            </c:strRef>
          </c:tx>
          <c:spPr>
            <a:ln w="38100">
              <a:solidFill>
                <a:srgbClr val="92D050"/>
              </a:solidFill>
              <a:prstDash val="solid"/>
            </a:ln>
          </c:spPr>
          <c:marker>
            <c:symbol val="none"/>
          </c:marker>
          <c:xVal>
            <c:numRef>
              <c:f>SWB!$C$15:$C$291</c:f>
              <c:numCache>
                <c:formatCode>m/d/yyyy</c:formatCode>
                <c:ptCount val="277"/>
                <c:pt idx="0">
                  <c:v>42016</c:v>
                </c:pt>
                <c:pt idx="1">
                  <c:v>42017</c:v>
                </c:pt>
                <c:pt idx="2">
                  <c:v>42018</c:v>
                </c:pt>
                <c:pt idx="3">
                  <c:v>42019</c:v>
                </c:pt>
                <c:pt idx="4">
                  <c:v>42020</c:v>
                </c:pt>
                <c:pt idx="5">
                  <c:v>42021</c:v>
                </c:pt>
                <c:pt idx="6">
                  <c:v>42022</c:v>
                </c:pt>
                <c:pt idx="7">
                  <c:v>42023</c:v>
                </c:pt>
                <c:pt idx="8">
                  <c:v>42024</c:v>
                </c:pt>
                <c:pt idx="9">
                  <c:v>42025</c:v>
                </c:pt>
                <c:pt idx="10">
                  <c:v>42026</c:v>
                </c:pt>
                <c:pt idx="11">
                  <c:v>42027</c:v>
                </c:pt>
                <c:pt idx="12">
                  <c:v>42028</c:v>
                </c:pt>
                <c:pt idx="13">
                  <c:v>42029</c:v>
                </c:pt>
                <c:pt idx="14">
                  <c:v>42030</c:v>
                </c:pt>
                <c:pt idx="15">
                  <c:v>42031</c:v>
                </c:pt>
                <c:pt idx="16">
                  <c:v>42032</c:v>
                </c:pt>
                <c:pt idx="17">
                  <c:v>42033</c:v>
                </c:pt>
                <c:pt idx="18">
                  <c:v>42034</c:v>
                </c:pt>
                <c:pt idx="19">
                  <c:v>42035</c:v>
                </c:pt>
                <c:pt idx="20">
                  <c:v>42036</c:v>
                </c:pt>
                <c:pt idx="21">
                  <c:v>42037</c:v>
                </c:pt>
                <c:pt idx="22">
                  <c:v>42038</c:v>
                </c:pt>
                <c:pt idx="23">
                  <c:v>42039</c:v>
                </c:pt>
                <c:pt idx="24">
                  <c:v>42040</c:v>
                </c:pt>
                <c:pt idx="25">
                  <c:v>42041</c:v>
                </c:pt>
                <c:pt idx="26">
                  <c:v>42042</c:v>
                </c:pt>
                <c:pt idx="27">
                  <c:v>42043</c:v>
                </c:pt>
                <c:pt idx="28">
                  <c:v>42044</c:v>
                </c:pt>
                <c:pt idx="29">
                  <c:v>42045</c:v>
                </c:pt>
                <c:pt idx="30">
                  <c:v>42046</c:v>
                </c:pt>
                <c:pt idx="31">
                  <c:v>42047</c:v>
                </c:pt>
                <c:pt idx="32">
                  <c:v>42048</c:v>
                </c:pt>
                <c:pt idx="33">
                  <c:v>42049</c:v>
                </c:pt>
                <c:pt idx="34">
                  <c:v>42050</c:v>
                </c:pt>
                <c:pt idx="35">
                  <c:v>42051</c:v>
                </c:pt>
                <c:pt idx="36">
                  <c:v>42052</c:v>
                </c:pt>
                <c:pt idx="37">
                  <c:v>42053</c:v>
                </c:pt>
                <c:pt idx="38">
                  <c:v>42054</c:v>
                </c:pt>
                <c:pt idx="39">
                  <c:v>42055</c:v>
                </c:pt>
                <c:pt idx="40">
                  <c:v>42056</c:v>
                </c:pt>
                <c:pt idx="41">
                  <c:v>42057</c:v>
                </c:pt>
                <c:pt idx="42">
                  <c:v>42058</c:v>
                </c:pt>
                <c:pt idx="43">
                  <c:v>42059</c:v>
                </c:pt>
                <c:pt idx="44">
                  <c:v>42060</c:v>
                </c:pt>
                <c:pt idx="45">
                  <c:v>42061</c:v>
                </c:pt>
                <c:pt idx="46">
                  <c:v>42062</c:v>
                </c:pt>
                <c:pt idx="47">
                  <c:v>42063</c:v>
                </c:pt>
                <c:pt idx="48">
                  <c:v>42064</c:v>
                </c:pt>
                <c:pt idx="49">
                  <c:v>42065</c:v>
                </c:pt>
                <c:pt idx="50">
                  <c:v>42066</c:v>
                </c:pt>
                <c:pt idx="51">
                  <c:v>42067</c:v>
                </c:pt>
                <c:pt idx="52">
                  <c:v>42068</c:v>
                </c:pt>
                <c:pt idx="53">
                  <c:v>42069</c:v>
                </c:pt>
                <c:pt idx="54">
                  <c:v>42070</c:v>
                </c:pt>
                <c:pt idx="55">
                  <c:v>42071</c:v>
                </c:pt>
                <c:pt idx="56">
                  <c:v>42072</c:v>
                </c:pt>
                <c:pt idx="57">
                  <c:v>42073</c:v>
                </c:pt>
                <c:pt idx="58">
                  <c:v>42074</c:v>
                </c:pt>
                <c:pt idx="59">
                  <c:v>42075</c:v>
                </c:pt>
                <c:pt idx="60">
                  <c:v>42076</c:v>
                </c:pt>
                <c:pt idx="61">
                  <c:v>42077</c:v>
                </c:pt>
                <c:pt idx="62">
                  <c:v>42078</c:v>
                </c:pt>
                <c:pt idx="63">
                  <c:v>42079</c:v>
                </c:pt>
                <c:pt idx="64">
                  <c:v>42080</c:v>
                </c:pt>
                <c:pt idx="65">
                  <c:v>42081</c:v>
                </c:pt>
                <c:pt idx="66">
                  <c:v>42082</c:v>
                </c:pt>
                <c:pt idx="67">
                  <c:v>42083</c:v>
                </c:pt>
                <c:pt idx="68">
                  <c:v>42084</c:v>
                </c:pt>
                <c:pt idx="69">
                  <c:v>42085</c:v>
                </c:pt>
                <c:pt idx="70">
                  <c:v>42086</c:v>
                </c:pt>
                <c:pt idx="71">
                  <c:v>42087</c:v>
                </c:pt>
                <c:pt idx="72">
                  <c:v>42088</c:v>
                </c:pt>
                <c:pt idx="73">
                  <c:v>42089</c:v>
                </c:pt>
                <c:pt idx="74">
                  <c:v>42090</c:v>
                </c:pt>
                <c:pt idx="75">
                  <c:v>42091</c:v>
                </c:pt>
                <c:pt idx="76">
                  <c:v>42092</c:v>
                </c:pt>
                <c:pt idx="77">
                  <c:v>42093</c:v>
                </c:pt>
                <c:pt idx="78">
                  <c:v>42094</c:v>
                </c:pt>
                <c:pt idx="79">
                  <c:v>42095</c:v>
                </c:pt>
                <c:pt idx="80">
                  <c:v>42096</c:v>
                </c:pt>
                <c:pt idx="81">
                  <c:v>42097</c:v>
                </c:pt>
                <c:pt idx="82">
                  <c:v>42098</c:v>
                </c:pt>
                <c:pt idx="83">
                  <c:v>42099</c:v>
                </c:pt>
                <c:pt idx="84">
                  <c:v>42100</c:v>
                </c:pt>
                <c:pt idx="85">
                  <c:v>42101</c:v>
                </c:pt>
                <c:pt idx="86">
                  <c:v>42102</c:v>
                </c:pt>
                <c:pt idx="87">
                  <c:v>42103</c:v>
                </c:pt>
                <c:pt idx="88">
                  <c:v>42104</c:v>
                </c:pt>
                <c:pt idx="89">
                  <c:v>42105</c:v>
                </c:pt>
                <c:pt idx="90">
                  <c:v>42106</c:v>
                </c:pt>
                <c:pt idx="91">
                  <c:v>42107</c:v>
                </c:pt>
                <c:pt idx="92">
                  <c:v>42108</c:v>
                </c:pt>
                <c:pt idx="93">
                  <c:v>42109</c:v>
                </c:pt>
                <c:pt idx="94">
                  <c:v>42110</c:v>
                </c:pt>
                <c:pt idx="95">
                  <c:v>42111</c:v>
                </c:pt>
                <c:pt idx="96">
                  <c:v>42112</c:v>
                </c:pt>
                <c:pt idx="97">
                  <c:v>42113</c:v>
                </c:pt>
                <c:pt idx="98">
                  <c:v>42114</c:v>
                </c:pt>
                <c:pt idx="99">
                  <c:v>42115</c:v>
                </c:pt>
                <c:pt idx="100">
                  <c:v>42116</c:v>
                </c:pt>
                <c:pt idx="101">
                  <c:v>42117</c:v>
                </c:pt>
                <c:pt idx="102">
                  <c:v>42118</c:v>
                </c:pt>
                <c:pt idx="103">
                  <c:v>42119</c:v>
                </c:pt>
                <c:pt idx="104">
                  <c:v>42120</c:v>
                </c:pt>
                <c:pt idx="105">
                  <c:v>42121</c:v>
                </c:pt>
                <c:pt idx="106">
                  <c:v>42122</c:v>
                </c:pt>
                <c:pt idx="107">
                  <c:v>42123</c:v>
                </c:pt>
                <c:pt idx="108">
                  <c:v>42124</c:v>
                </c:pt>
                <c:pt idx="109">
                  <c:v>42125</c:v>
                </c:pt>
                <c:pt idx="110">
                  <c:v>42126</c:v>
                </c:pt>
                <c:pt idx="111">
                  <c:v>42127</c:v>
                </c:pt>
                <c:pt idx="112">
                  <c:v>42128</c:v>
                </c:pt>
                <c:pt idx="113">
                  <c:v>42129</c:v>
                </c:pt>
                <c:pt idx="114">
                  <c:v>42130</c:v>
                </c:pt>
                <c:pt idx="115">
                  <c:v>42131</c:v>
                </c:pt>
                <c:pt idx="116">
                  <c:v>42132</c:v>
                </c:pt>
                <c:pt idx="117">
                  <c:v>42133</c:v>
                </c:pt>
                <c:pt idx="118">
                  <c:v>42134</c:v>
                </c:pt>
                <c:pt idx="119">
                  <c:v>42135</c:v>
                </c:pt>
                <c:pt idx="120">
                  <c:v>42136</c:v>
                </c:pt>
                <c:pt idx="121">
                  <c:v>42137</c:v>
                </c:pt>
                <c:pt idx="122">
                  <c:v>42138</c:v>
                </c:pt>
                <c:pt idx="123">
                  <c:v>42139</c:v>
                </c:pt>
                <c:pt idx="124">
                  <c:v>42140</c:v>
                </c:pt>
                <c:pt idx="125">
                  <c:v>42141</c:v>
                </c:pt>
                <c:pt idx="126">
                  <c:v>42142</c:v>
                </c:pt>
                <c:pt idx="127">
                  <c:v>42143</c:v>
                </c:pt>
                <c:pt idx="128">
                  <c:v>42144</c:v>
                </c:pt>
                <c:pt idx="129">
                  <c:v>42145</c:v>
                </c:pt>
                <c:pt idx="130">
                  <c:v>42146</c:v>
                </c:pt>
                <c:pt idx="131">
                  <c:v>42147</c:v>
                </c:pt>
                <c:pt idx="132">
                  <c:v>42148</c:v>
                </c:pt>
                <c:pt idx="133">
                  <c:v>42149</c:v>
                </c:pt>
                <c:pt idx="134">
                  <c:v>42150</c:v>
                </c:pt>
                <c:pt idx="135">
                  <c:v>42151</c:v>
                </c:pt>
                <c:pt idx="136">
                  <c:v>42152</c:v>
                </c:pt>
                <c:pt idx="137">
                  <c:v>42153</c:v>
                </c:pt>
                <c:pt idx="138">
                  <c:v>42154</c:v>
                </c:pt>
                <c:pt idx="139">
                  <c:v>42155</c:v>
                </c:pt>
                <c:pt idx="140">
                  <c:v>42156</c:v>
                </c:pt>
                <c:pt idx="141">
                  <c:v>42157</c:v>
                </c:pt>
                <c:pt idx="142">
                  <c:v>42158</c:v>
                </c:pt>
                <c:pt idx="143">
                  <c:v>42159</c:v>
                </c:pt>
                <c:pt idx="144">
                  <c:v>42160</c:v>
                </c:pt>
                <c:pt idx="145">
                  <c:v>42161</c:v>
                </c:pt>
                <c:pt idx="146">
                  <c:v>42162</c:v>
                </c:pt>
                <c:pt idx="147">
                  <c:v>42163</c:v>
                </c:pt>
                <c:pt idx="148">
                  <c:v>42164</c:v>
                </c:pt>
                <c:pt idx="149">
                  <c:v>42165</c:v>
                </c:pt>
                <c:pt idx="150">
                  <c:v>42166</c:v>
                </c:pt>
                <c:pt idx="151">
                  <c:v>42167</c:v>
                </c:pt>
                <c:pt idx="152">
                  <c:v>42168</c:v>
                </c:pt>
                <c:pt idx="153">
                  <c:v>42169</c:v>
                </c:pt>
                <c:pt idx="154">
                  <c:v>42170</c:v>
                </c:pt>
                <c:pt idx="155">
                  <c:v>42171</c:v>
                </c:pt>
                <c:pt idx="156">
                  <c:v>42172</c:v>
                </c:pt>
                <c:pt idx="157">
                  <c:v>42173</c:v>
                </c:pt>
                <c:pt idx="158">
                  <c:v>42174</c:v>
                </c:pt>
                <c:pt idx="159">
                  <c:v>42175</c:v>
                </c:pt>
                <c:pt idx="160">
                  <c:v>42176</c:v>
                </c:pt>
                <c:pt idx="161">
                  <c:v>42177</c:v>
                </c:pt>
                <c:pt idx="162">
                  <c:v>42178</c:v>
                </c:pt>
                <c:pt idx="163">
                  <c:v>42179</c:v>
                </c:pt>
                <c:pt idx="164">
                  <c:v>42180</c:v>
                </c:pt>
                <c:pt idx="165">
                  <c:v>42181</c:v>
                </c:pt>
                <c:pt idx="166">
                  <c:v>42182</c:v>
                </c:pt>
                <c:pt idx="167">
                  <c:v>42183</c:v>
                </c:pt>
                <c:pt idx="168">
                  <c:v>42184</c:v>
                </c:pt>
                <c:pt idx="169">
                  <c:v>42185</c:v>
                </c:pt>
                <c:pt idx="170">
                  <c:v>42186</c:v>
                </c:pt>
                <c:pt idx="171">
                  <c:v>42187</c:v>
                </c:pt>
                <c:pt idx="172">
                  <c:v>42188</c:v>
                </c:pt>
                <c:pt idx="173">
                  <c:v>42189</c:v>
                </c:pt>
                <c:pt idx="174">
                  <c:v>42190</c:v>
                </c:pt>
                <c:pt idx="175">
                  <c:v>42191</c:v>
                </c:pt>
                <c:pt idx="176">
                  <c:v>42192</c:v>
                </c:pt>
                <c:pt idx="177">
                  <c:v>42193</c:v>
                </c:pt>
                <c:pt idx="178">
                  <c:v>42194</c:v>
                </c:pt>
                <c:pt idx="179">
                  <c:v>42195</c:v>
                </c:pt>
                <c:pt idx="180">
                  <c:v>42196</c:v>
                </c:pt>
                <c:pt idx="181">
                  <c:v>42197</c:v>
                </c:pt>
                <c:pt idx="182">
                  <c:v>42198</c:v>
                </c:pt>
                <c:pt idx="183">
                  <c:v>42199</c:v>
                </c:pt>
                <c:pt idx="184">
                  <c:v>42200</c:v>
                </c:pt>
                <c:pt idx="185">
                  <c:v>42201</c:v>
                </c:pt>
                <c:pt idx="186">
                  <c:v>42202</c:v>
                </c:pt>
                <c:pt idx="187">
                  <c:v>42203</c:v>
                </c:pt>
              </c:numCache>
            </c:numRef>
          </c:xVal>
          <c:yVal>
            <c:numRef>
              <c:f>SWB!$S$15:$S$291</c:f>
              <c:numCache>
                <c:formatCode>General</c:formatCode>
                <c:ptCount val="277"/>
                <c:pt idx="0">
                  <c:v>0.26952098631111099</c:v>
                </c:pt>
                <c:pt idx="1">
                  <c:v>0.27347160355555544</c:v>
                </c:pt>
                <c:pt idx="2">
                  <c:v>0.2774222207999999</c:v>
                </c:pt>
                <c:pt idx="3">
                  <c:v>0.27726666526666666</c:v>
                </c:pt>
                <c:pt idx="4">
                  <c:v>0.27711110973333331</c:v>
                </c:pt>
                <c:pt idx="5">
                  <c:v>0.27695555419999995</c:v>
                </c:pt>
                <c:pt idx="6">
                  <c:v>0.27679999866666671</c:v>
                </c:pt>
                <c:pt idx="7">
                  <c:v>0.27664444313333336</c:v>
                </c:pt>
                <c:pt idx="8">
                  <c:v>0.27648888760000001</c:v>
                </c:pt>
                <c:pt idx="9">
                  <c:v>0.27633333206666677</c:v>
                </c:pt>
                <c:pt idx="10">
                  <c:v>0.27617777653333342</c:v>
                </c:pt>
                <c:pt idx="11">
                  <c:v>0.27602222100000018</c:v>
                </c:pt>
                <c:pt idx="12">
                  <c:v>0.27586666546666683</c:v>
                </c:pt>
                <c:pt idx="13">
                  <c:v>0.27571110993333348</c:v>
                </c:pt>
                <c:pt idx="14">
                  <c:v>0.27555555440000024</c:v>
                </c:pt>
                <c:pt idx="15">
                  <c:v>0.27539999886666688</c:v>
                </c:pt>
                <c:pt idx="16">
                  <c:v>0.27524444333333353</c:v>
                </c:pt>
                <c:pt idx="17">
                  <c:v>0.27508888780000029</c:v>
                </c:pt>
                <c:pt idx="18">
                  <c:v>0.27493333226666694</c:v>
                </c:pt>
                <c:pt idx="19">
                  <c:v>0.27477777673333359</c:v>
                </c:pt>
                <c:pt idx="20">
                  <c:v>0.27462222120000035</c:v>
                </c:pt>
                <c:pt idx="21">
                  <c:v>0.274466665666667</c:v>
                </c:pt>
                <c:pt idx="22">
                  <c:v>0.27431111013333376</c:v>
                </c:pt>
                <c:pt idx="23">
                  <c:v>0.27415555460000041</c:v>
                </c:pt>
                <c:pt idx="24">
                  <c:v>0.27399999906666705</c:v>
                </c:pt>
                <c:pt idx="25">
                  <c:v>0.27384444353333381</c:v>
                </c:pt>
                <c:pt idx="26">
                  <c:v>0.27368888800000046</c:v>
                </c:pt>
                <c:pt idx="27">
                  <c:v>0.27353333246666711</c:v>
                </c:pt>
                <c:pt idx="28">
                  <c:v>0.27337777693333387</c:v>
                </c:pt>
                <c:pt idx="29">
                  <c:v>0.27322222140000052</c:v>
                </c:pt>
                <c:pt idx="30">
                  <c:v>0.27306666586666717</c:v>
                </c:pt>
                <c:pt idx="31">
                  <c:v>0.27291111033333393</c:v>
                </c:pt>
                <c:pt idx="32">
                  <c:v>0.27275555480000058</c:v>
                </c:pt>
                <c:pt idx="33">
                  <c:v>0.27259999926666723</c:v>
                </c:pt>
                <c:pt idx="34">
                  <c:v>0.27244444373333399</c:v>
                </c:pt>
                <c:pt idx="35">
                  <c:v>0.27228888820000063</c:v>
                </c:pt>
                <c:pt idx="36">
                  <c:v>0.27213333266666739</c:v>
                </c:pt>
                <c:pt idx="37">
                  <c:v>0.27197777713333404</c:v>
                </c:pt>
                <c:pt idx="38">
                  <c:v>0.27182222160000069</c:v>
                </c:pt>
                <c:pt idx="39">
                  <c:v>0.27166666606666745</c:v>
                </c:pt>
                <c:pt idx="40">
                  <c:v>0.2715111105333341</c:v>
                </c:pt>
                <c:pt idx="41">
                  <c:v>0.27135555500000075</c:v>
                </c:pt>
                <c:pt idx="42">
                  <c:v>0.27119999946666751</c:v>
                </c:pt>
                <c:pt idx="43">
                  <c:v>0.27104444393333416</c:v>
                </c:pt>
                <c:pt idx="44">
                  <c:v>0.2708888884000008</c:v>
                </c:pt>
                <c:pt idx="45">
                  <c:v>0.27073333286666756</c:v>
                </c:pt>
                <c:pt idx="46">
                  <c:v>0.27057777733333421</c:v>
                </c:pt>
                <c:pt idx="47">
                  <c:v>0.27042222180000097</c:v>
                </c:pt>
                <c:pt idx="48">
                  <c:v>0.27026666626666762</c:v>
                </c:pt>
                <c:pt idx="49">
                  <c:v>0.27011111073333427</c:v>
                </c:pt>
                <c:pt idx="50">
                  <c:v>0.26995555520000003</c:v>
                </c:pt>
                <c:pt idx="51">
                  <c:v>0.27500952342857143</c:v>
                </c:pt>
                <c:pt idx="52">
                  <c:v>0.28006349165714284</c:v>
                </c:pt>
                <c:pt idx="53">
                  <c:v>0.28511745988571424</c:v>
                </c:pt>
                <c:pt idx="54">
                  <c:v>0.29017142811428565</c:v>
                </c:pt>
                <c:pt idx="55">
                  <c:v>0.29522539634285705</c:v>
                </c:pt>
                <c:pt idx="56">
                  <c:v>0.30027936457142845</c:v>
                </c:pt>
                <c:pt idx="57">
                  <c:v>0.30533333279999986</c:v>
                </c:pt>
                <c:pt idx="58">
                  <c:v>0.32415176101463405</c:v>
                </c:pt>
                <c:pt idx="59">
                  <c:v>0.34297018922926825</c:v>
                </c:pt>
                <c:pt idx="60">
                  <c:v>0.36178861744390234</c:v>
                </c:pt>
                <c:pt idx="61">
                  <c:v>0.38060704565853654</c:v>
                </c:pt>
                <c:pt idx="62">
                  <c:v>0.39942547387317073</c:v>
                </c:pt>
                <c:pt idx="63">
                  <c:v>0.41824390208780493</c:v>
                </c:pt>
                <c:pt idx="64">
                  <c:v>0.43706233030243913</c:v>
                </c:pt>
                <c:pt idx="65">
                  <c:v>0.45588075851707321</c:v>
                </c:pt>
                <c:pt idx="66">
                  <c:v>0.47469918673170741</c:v>
                </c:pt>
                <c:pt idx="67">
                  <c:v>0.49351761494634161</c:v>
                </c:pt>
                <c:pt idx="68">
                  <c:v>0.51233604316097581</c:v>
                </c:pt>
                <c:pt idx="69">
                  <c:v>0.53115447137561</c:v>
                </c:pt>
                <c:pt idx="70">
                  <c:v>0.54997289959024409</c:v>
                </c:pt>
                <c:pt idx="71">
                  <c:v>0.56879132780487829</c:v>
                </c:pt>
                <c:pt idx="72">
                  <c:v>0.58760975601951249</c:v>
                </c:pt>
                <c:pt idx="73">
                  <c:v>0.60642818423414668</c:v>
                </c:pt>
                <c:pt idx="74">
                  <c:v>0.62524661244878077</c:v>
                </c:pt>
                <c:pt idx="75">
                  <c:v>0.64406504066341497</c:v>
                </c:pt>
                <c:pt idx="76">
                  <c:v>0.66288346887804916</c:v>
                </c:pt>
                <c:pt idx="77">
                  <c:v>0.68170189709268336</c:v>
                </c:pt>
                <c:pt idx="78">
                  <c:v>0.70052032530731745</c:v>
                </c:pt>
                <c:pt idx="79">
                  <c:v>0.71933875352195165</c:v>
                </c:pt>
                <c:pt idx="80">
                  <c:v>0.73815718173658584</c:v>
                </c:pt>
                <c:pt idx="81">
                  <c:v>0.75697560995122004</c:v>
                </c:pt>
                <c:pt idx="82">
                  <c:v>0.77579403816585413</c:v>
                </c:pt>
                <c:pt idx="83">
                  <c:v>0.79461246638048832</c:v>
                </c:pt>
                <c:pt idx="84">
                  <c:v>0.81343089459512252</c:v>
                </c:pt>
                <c:pt idx="85">
                  <c:v>0.83224932280975672</c:v>
                </c:pt>
                <c:pt idx="86">
                  <c:v>0.85106775102439081</c:v>
                </c:pt>
                <c:pt idx="87">
                  <c:v>0.869886179239025</c:v>
                </c:pt>
                <c:pt idx="88">
                  <c:v>0.8887046074536592</c:v>
                </c:pt>
                <c:pt idx="89">
                  <c:v>0.9075230356682934</c:v>
                </c:pt>
                <c:pt idx="90">
                  <c:v>0.9263414638829276</c:v>
                </c:pt>
                <c:pt idx="91">
                  <c:v>0.94515989209756179</c:v>
                </c:pt>
                <c:pt idx="92">
                  <c:v>0.96397832031219577</c:v>
                </c:pt>
                <c:pt idx="93">
                  <c:v>0.98279674852682997</c:v>
                </c:pt>
                <c:pt idx="94">
                  <c:v>1.0016151767414641</c:v>
                </c:pt>
                <c:pt idx="95">
                  <c:v>1.0204336049560983</c:v>
                </c:pt>
                <c:pt idx="96">
                  <c:v>1.0392520331707324</c:v>
                </c:pt>
                <c:pt idx="97">
                  <c:v>1.0580704613853666</c:v>
                </c:pt>
                <c:pt idx="98">
                  <c:v>1.0768888895999997</c:v>
                </c:pt>
                <c:pt idx="99">
                  <c:v>1.0822888894999998</c:v>
                </c:pt>
                <c:pt idx="100">
                  <c:v>1.0876888893999999</c:v>
                </c:pt>
                <c:pt idx="101">
                  <c:v>1.0930888892999999</c:v>
                </c:pt>
                <c:pt idx="102">
                  <c:v>1.0984888892</c:v>
                </c:pt>
                <c:pt idx="103">
                  <c:v>1.1038888891</c:v>
                </c:pt>
                <c:pt idx="104">
                  <c:v>1.1092888890000001</c:v>
                </c:pt>
                <c:pt idx="105">
                  <c:v>1.1146888889000002</c:v>
                </c:pt>
                <c:pt idx="106">
                  <c:v>1.1200888888</c:v>
                </c:pt>
                <c:pt idx="107">
                  <c:v>1.1254888887000001</c:v>
                </c:pt>
                <c:pt idx="108">
                  <c:v>1.1308888886000001</c:v>
                </c:pt>
                <c:pt idx="109">
                  <c:v>1.1362888885000002</c:v>
                </c:pt>
                <c:pt idx="110">
                  <c:v>1.1416888884000003</c:v>
                </c:pt>
                <c:pt idx="111">
                  <c:v>1.1470888883000003</c:v>
                </c:pt>
                <c:pt idx="112">
                  <c:v>1.1499999999999999</c:v>
                </c:pt>
                <c:pt idx="113">
                  <c:v>1.1499999999999999</c:v>
                </c:pt>
                <c:pt idx="114">
                  <c:v>1.1499999999999999</c:v>
                </c:pt>
                <c:pt idx="115">
                  <c:v>1.1499999999999999</c:v>
                </c:pt>
                <c:pt idx="116">
                  <c:v>1.1499999999999999</c:v>
                </c:pt>
                <c:pt idx="117">
                  <c:v>1.1499999999999999</c:v>
                </c:pt>
                <c:pt idx="118">
                  <c:v>1.1499999999999999</c:v>
                </c:pt>
                <c:pt idx="119">
                  <c:v>1.1499999999999999</c:v>
                </c:pt>
                <c:pt idx="120">
                  <c:v>1.1499999999999999</c:v>
                </c:pt>
                <c:pt idx="121">
                  <c:v>1.1499999999999999</c:v>
                </c:pt>
                <c:pt idx="122">
                  <c:v>1.1499999999999999</c:v>
                </c:pt>
                <c:pt idx="123">
                  <c:v>1.1499999999999999</c:v>
                </c:pt>
                <c:pt idx="124">
                  <c:v>1.1499999999999999</c:v>
                </c:pt>
                <c:pt idx="125">
                  <c:v>1.1499999999999999</c:v>
                </c:pt>
                <c:pt idx="126">
                  <c:v>1.1499999999999999</c:v>
                </c:pt>
                <c:pt idx="127">
                  <c:v>1.1499999999999999</c:v>
                </c:pt>
                <c:pt idx="128">
                  <c:v>1.1499999999999999</c:v>
                </c:pt>
                <c:pt idx="129">
                  <c:v>1.1499999999999999</c:v>
                </c:pt>
                <c:pt idx="130">
                  <c:v>1.1499999999999999</c:v>
                </c:pt>
                <c:pt idx="131">
                  <c:v>1.1499999999999999</c:v>
                </c:pt>
                <c:pt idx="132">
                  <c:v>1.1499999999999999</c:v>
                </c:pt>
                <c:pt idx="133">
                  <c:v>1.1499999999999999</c:v>
                </c:pt>
                <c:pt idx="134">
                  <c:v>1.1499999999999999</c:v>
                </c:pt>
                <c:pt idx="135">
                  <c:v>1.1465444434000003</c:v>
                </c:pt>
                <c:pt idx="136">
                  <c:v>1.1411333324000001</c:v>
                </c:pt>
                <c:pt idx="137">
                  <c:v>1.1357222214000002</c:v>
                </c:pt>
                <c:pt idx="138">
                  <c:v>1.1303111104000003</c:v>
                </c:pt>
                <c:pt idx="139">
                  <c:v>1.1248999994000004</c:v>
                </c:pt>
                <c:pt idx="140">
                  <c:v>1.1194888884000005</c:v>
                </c:pt>
                <c:pt idx="141">
                  <c:v>1.1140777774000006</c:v>
                </c:pt>
                <c:pt idx="142">
                  <c:v>1.1086666664000007</c:v>
                </c:pt>
                <c:pt idx="143">
                  <c:v>1.1032555554000005</c:v>
                </c:pt>
                <c:pt idx="144">
                  <c:v>1.0978444444000006</c:v>
                </c:pt>
                <c:pt idx="145">
                  <c:v>1.0924333334000007</c:v>
                </c:pt>
                <c:pt idx="146">
                  <c:v>1.0870222223999999</c:v>
                </c:pt>
                <c:pt idx="147">
                  <c:v>1.0460333333999998</c:v>
                </c:pt>
                <c:pt idx="148">
                  <c:v>1.0050444444</c:v>
                </c:pt>
                <c:pt idx="149">
                  <c:v>0.96405555539999999</c:v>
                </c:pt>
                <c:pt idx="150">
                  <c:v>0.92306666640000012</c:v>
                </c:pt>
                <c:pt idx="151">
                  <c:v>0.88207777740000015</c:v>
                </c:pt>
                <c:pt idx="152">
                  <c:v>0.84108888840000018</c:v>
                </c:pt>
                <c:pt idx="153">
                  <c:v>0.80009999940000032</c:v>
                </c:pt>
                <c:pt idx="154">
                  <c:v>0.75911111040000034</c:v>
                </c:pt>
                <c:pt idx="155">
                  <c:v>0.71812222140000037</c:v>
                </c:pt>
                <c:pt idx="156">
                  <c:v>0.6771333324000004</c:v>
                </c:pt>
                <c:pt idx="157">
                  <c:v>0.63614444340000043</c:v>
                </c:pt>
                <c:pt idx="158">
                  <c:v>0.59515555440000045</c:v>
                </c:pt>
                <c:pt idx="159">
                  <c:v>0.55416666540000037</c:v>
                </c:pt>
                <c:pt idx="160">
                  <c:v>0.5131777764000004</c:v>
                </c:pt>
                <c:pt idx="161">
                  <c:v>0.47218888740000031</c:v>
                </c:pt>
                <c:pt idx="162">
                  <c:v>0.43119999840000001</c:v>
                </c:pt>
                <c:pt idx="163">
                  <c:v>0.42543491931428579</c:v>
                </c:pt>
                <c:pt idx="164">
                  <c:v>0.41966984022857146</c:v>
                </c:pt>
                <c:pt idx="165">
                  <c:v>0.41390476114285724</c:v>
                </c:pt>
                <c:pt idx="166">
                  <c:v>0.40813968205714302</c:v>
                </c:pt>
                <c:pt idx="167">
                  <c:v>0.40237460297142869</c:v>
                </c:pt>
                <c:pt idx="168">
                  <c:v>0.39660952388571447</c:v>
                </c:pt>
                <c:pt idx="169">
                  <c:v>0.39084444479999991</c:v>
                </c:pt>
                <c:pt idx="170">
                  <c:v>0.38474074097777777</c:v>
                </c:pt>
                <c:pt idx="171">
                  <c:v>0.37863703715555552</c:v>
                </c:pt>
                <c:pt idx="172">
                  <c:v>0.37253333333333338</c:v>
                </c:pt>
                <c:pt idx="173">
                  <c:v>0.36642962951111113</c:v>
                </c:pt>
                <c:pt idx="174">
                  <c:v>0.36032592568888899</c:v>
                </c:pt>
                <c:pt idx="175">
                  <c:v>0.35422222186666674</c:v>
                </c:pt>
                <c:pt idx="176">
                  <c:v>0.3481185180444446</c:v>
                </c:pt>
                <c:pt idx="177">
                  <c:v>0.34201481422222235</c:v>
                </c:pt>
                <c:pt idx="178">
                  <c:v>0.33591111039999999</c:v>
                </c:pt>
                <c:pt idx="179">
                  <c:v>0.33616507885714275</c:v>
                </c:pt>
                <c:pt idx="180">
                  <c:v>0.33641904731428562</c:v>
                </c:pt>
                <c:pt idx="181">
                  <c:v>0.3366730157714285</c:v>
                </c:pt>
                <c:pt idx="182">
                  <c:v>0.33692698422857137</c:v>
                </c:pt>
                <c:pt idx="183">
                  <c:v>0.33718095268571424</c:v>
                </c:pt>
                <c:pt idx="184">
                  <c:v>0.33743492114285711</c:v>
                </c:pt>
                <c:pt idx="185">
                  <c:v>0.33768888959999999</c:v>
                </c:pt>
                <c:pt idx="186">
                  <c:v>0.33632592657777771</c:v>
                </c:pt>
                <c:pt idx="187">
                  <c:v>0.33496296355555544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A6-4DC8-A5CD-F5C78F6448C9}"/>
            </c:ext>
          </c:extLst>
        </c:ser>
        <c:ser>
          <c:idx val="1"/>
          <c:order val="1"/>
          <c:tx>
            <c:strRef>
              <c:f>SWB!$AP$12</c:f>
              <c:strCache>
                <c:ptCount val="1"/>
                <c:pt idx="0">
                  <c:v>Kc 
Ajustado</c:v>
                </c:pt>
              </c:strCache>
            </c:strRef>
          </c:tx>
          <c:spPr>
            <a:ln w="12700">
              <a:solidFill>
                <a:schemeClr val="accent4">
                  <a:lumMod val="75000"/>
                </a:schemeClr>
              </a:solidFill>
              <a:prstDash val="sysDot"/>
            </a:ln>
          </c:spPr>
          <c:marker>
            <c:symbol val="circle"/>
            <c:size val="2"/>
            <c:spPr>
              <a:solidFill>
                <a:srgbClr val="009999"/>
              </a:solidFill>
              <a:ln>
                <a:solidFill>
                  <a:srgbClr val="009999"/>
                </a:solidFill>
              </a:ln>
            </c:spPr>
          </c:marker>
          <c:xVal>
            <c:numRef>
              <c:f>SWB!$C$15:$C$291</c:f>
              <c:numCache>
                <c:formatCode>m/d/yyyy</c:formatCode>
                <c:ptCount val="277"/>
                <c:pt idx="0">
                  <c:v>42016</c:v>
                </c:pt>
                <c:pt idx="1">
                  <c:v>42017</c:v>
                </c:pt>
                <c:pt idx="2">
                  <c:v>42018</c:v>
                </c:pt>
                <c:pt idx="3">
                  <c:v>42019</c:v>
                </c:pt>
                <c:pt idx="4">
                  <c:v>42020</c:v>
                </c:pt>
                <c:pt idx="5">
                  <c:v>42021</c:v>
                </c:pt>
                <c:pt idx="6">
                  <c:v>42022</c:v>
                </c:pt>
                <c:pt idx="7">
                  <c:v>42023</c:v>
                </c:pt>
                <c:pt idx="8">
                  <c:v>42024</c:v>
                </c:pt>
                <c:pt idx="9">
                  <c:v>42025</c:v>
                </c:pt>
                <c:pt idx="10">
                  <c:v>42026</c:v>
                </c:pt>
                <c:pt idx="11">
                  <c:v>42027</c:v>
                </c:pt>
                <c:pt idx="12">
                  <c:v>42028</c:v>
                </c:pt>
                <c:pt idx="13">
                  <c:v>42029</c:v>
                </c:pt>
                <c:pt idx="14">
                  <c:v>42030</c:v>
                </c:pt>
                <c:pt idx="15">
                  <c:v>42031</c:v>
                </c:pt>
                <c:pt idx="16">
                  <c:v>42032</c:v>
                </c:pt>
                <c:pt idx="17">
                  <c:v>42033</c:v>
                </c:pt>
                <c:pt idx="18">
                  <c:v>42034</c:v>
                </c:pt>
                <c:pt idx="19">
                  <c:v>42035</c:v>
                </c:pt>
                <c:pt idx="20">
                  <c:v>42036</c:v>
                </c:pt>
                <c:pt idx="21">
                  <c:v>42037</c:v>
                </c:pt>
                <c:pt idx="22">
                  <c:v>42038</c:v>
                </c:pt>
                <c:pt idx="23">
                  <c:v>42039</c:v>
                </c:pt>
                <c:pt idx="24">
                  <c:v>42040</c:v>
                </c:pt>
                <c:pt idx="25">
                  <c:v>42041</c:v>
                </c:pt>
                <c:pt idx="26">
                  <c:v>42042</c:v>
                </c:pt>
                <c:pt idx="27">
                  <c:v>42043</c:v>
                </c:pt>
                <c:pt idx="28">
                  <c:v>42044</c:v>
                </c:pt>
                <c:pt idx="29">
                  <c:v>42045</c:v>
                </c:pt>
                <c:pt idx="30">
                  <c:v>42046</c:v>
                </c:pt>
                <c:pt idx="31">
                  <c:v>42047</c:v>
                </c:pt>
                <c:pt idx="32">
                  <c:v>42048</c:v>
                </c:pt>
                <c:pt idx="33">
                  <c:v>42049</c:v>
                </c:pt>
                <c:pt idx="34">
                  <c:v>42050</c:v>
                </c:pt>
                <c:pt idx="35">
                  <c:v>42051</c:v>
                </c:pt>
                <c:pt idx="36">
                  <c:v>42052</c:v>
                </c:pt>
                <c:pt idx="37">
                  <c:v>42053</c:v>
                </c:pt>
                <c:pt idx="38">
                  <c:v>42054</c:v>
                </c:pt>
                <c:pt idx="39">
                  <c:v>42055</c:v>
                </c:pt>
                <c:pt idx="40">
                  <c:v>42056</c:v>
                </c:pt>
                <c:pt idx="41">
                  <c:v>42057</c:v>
                </c:pt>
                <c:pt idx="42">
                  <c:v>42058</c:v>
                </c:pt>
                <c:pt idx="43">
                  <c:v>42059</c:v>
                </c:pt>
                <c:pt idx="44">
                  <c:v>42060</c:v>
                </c:pt>
                <c:pt idx="45">
                  <c:v>42061</c:v>
                </c:pt>
                <c:pt idx="46">
                  <c:v>42062</c:v>
                </c:pt>
                <c:pt idx="47">
                  <c:v>42063</c:v>
                </c:pt>
                <c:pt idx="48">
                  <c:v>42064</c:v>
                </c:pt>
                <c:pt idx="49">
                  <c:v>42065</c:v>
                </c:pt>
                <c:pt idx="50">
                  <c:v>42066</c:v>
                </c:pt>
                <c:pt idx="51">
                  <c:v>42067</c:v>
                </c:pt>
                <c:pt idx="52">
                  <c:v>42068</c:v>
                </c:pt>
                <c:pt idx="53">
                  <c:v>42069</c:v>
                </c:pt>
                <c:pt idx="54">
                  <c:v>42070</c:v>
                </c:pt>
                <c:pt idx="55">
                  <c:v>42071</c:v>
                </c:pt>
                <c:pt idx="56">
                  <c:v>42072</c:v>
                </c:pt>
                <c:pt idx="57">
                  <c:v>42073</c:v>
                </c:pt>
                <c:pt idx="58">
                  <c:v>42074</c:v>
                </c:pt>
                <c:pt idx="59">
                  <c:v>42075</c:v>
                </c:pt>
                <c:pt idx="60">
                  <c:v>42076</c:v>
                </c:pt>
                <c:pt idx="61">
                  <c:v>42077</c:v>
                </c:pt>
                <c:pt idx="62">
                  <c:v>42078</c:v>
                </c:pt>
                <c:pt idx="63">
                  <c:v>42079</c:v>
                </c:pt>
                <c:pt idx="64">
                  <c:v>42080</c:v>
                </c:pt>
                <c:pt idx="65">
                  <c:v>42081</c:v>
                </c:pt>
                <c:pt idx="66">
                  <c:v>42082</c:v>
                </c:pt>
                <c:pt idx="67">
                  <c:v>42083</c:v>
                </c:pt>
                <c:pt idx="68">
                  <c:v>42084</c:v>
                </c:pt>
                <c:pt idx="69">
                  <c:v>42085</c:v>
                </c:pt>
                <c:pt idx="70">
                  <c:v>42086</c:v>
                </c:pt>
                <c:pt idx="71">
                  <c:v>42087</c:v>
                </c:pt>
                <c:pt idx="72">
                  <c:v>42088</c:v>
                </c:pt>
                <c:pt idx="73">
                  <c:v>42089</c:v>
                </c:pt>
                <c:pt idx="74">
                  <c:v>42090</c:v>
                </c:pt>
                <c:pt idx="75">
                  <c:v>42091</c:v>
                </c:pt>
                <c:pt idx="76">
                  <c:v>42092</c:v>
                </c:pt>
                <c:pt idx="77">
                  <c:v>42093</c:v>
                </c:pt>
                <c:pt idx="78">
                  <c:v>42094</c:v>
                </c:pt>
                <c:pt idx="79">
                  <c:v>42095</c:v>
                </c:pt>
                <c:pt idx="80">
                  <c:v>42096</c:v>
                </c:pt>
                <c:pt idx="81">
                  <c:v>42097</c:v>
                </c:pt>
                <c:pt idx="82">
                  <c:v>42098</c:v>
                </c:pt>
                <c:pt idx="83">
                  <c:v>42099</c:v>
                </c:pt>
                <c:pt idx="84">
                  <c:v>42100</c:v>
                </c:pt>
                <c:pt idx="85">
                  <c:v>42101</c:v>
                </c:pt>
                <c:pt idx="86">
                  <c:v>42102</c:v>
                </c:pt>
                <c:pt idx="87">
                  <c:v>42103</c:v>
                </c:pt>
                <c:pt idx="88">
                  <c:v>42104</c:v>
                </c:pt>
                <c:pt idx="89">
                  <c:v>42105</c:v>
                </c:pt>
                <c:pt idx="90">
                  <c:v>42106</c:v>
                </c:pt>
                <c:pt idx="91">
                  <c:v>42107</c:v>
                </c:pt>
                <c:pt idx="92">
                  <c:v>42108</c:v>
                </c:pt>
                <c:pt idx="93">
                  <c:v>42109</c:v>
                </c:pt>
                <c:pt idx="94">
                  <c:v>42110</c:v>
                </c:pt>
                <c:pt idx="95">
                  <c:v>42111</c:v>
                </c:pt>
                <c:pt idx="96">
                  <c:v>42112</c:v>
                </c:pt>
                <c:pt idx="97">
                  <c:v>42113</c:v>
                </c:pt>
                <c:pt idx="98">
                  <c:v>42114</c:v>
                </c:pt>
                <c:pt idx="99">
                  <c:v>42115</c:v>
                </c:pt>
                <c:pt idx="100">
                  <c:v>42116</c:v>
                </c:pt>
                <c:pt idx="101">
                  <c:v>42117</c:v>
                </c:pt>
                <c:pt idx="102">
                  <c:v>42118</c:v>
                </c:pt>
                <c:pt idx="103">
                  <c:v>42119</c:v>
                </c:pt>
                <c:pt idx="104">
                  <c:v>42120</c:v>
                </c:pt>
                <c:pt idx="105">
                  <c:v>42121</c:v>
                </c:pt>
                <c:pt idx="106">
                  <c:v>42122</c:v>
                </c:pt>
                <c:pt idx="107">
                  <c:v>42123</c:v>
                </c:pt>
                <c:pt idx="108">
                  <c:v>42124</c:v>
                </c:pt>
                <c:pt idx="109">
                  <c:v>42125</c:v>
                </c:pt>
                <c:pt idx="110">
                  <c:v>42126</c:v>
                </c:pt>
                <c:pt idx="111">
                  <c:v>42127</c:v>
                </c:pt>
                <c:pt idx="112">
                  <c:v>42128</c:v>
                </c:pt>
                <c:pt idx="113">
                  <c:v>42129</c:v>
                </c:pt>
                <c:pt idx="114">
                  <c:v>42130</c:v>
                </c:pt>
                <c:pt idx="115">
                  <c:v>42131</c:v>
                </c:pt>
                <c:pt idx="116">
                  <c:v>42132</c:v>
                </c:pt>
                <c:pt idx="117">
                  <c:v>42133</c:v>
                </c:pt>
                <c:pt idx="118">
                  <c:v>42134</c:v>
                </c:pt>
                <c:pt idx="119">
                  <c:v>42135</c:v>
                </c:pt>
                <c:pt idx="120">
                  <c:v>42136</c:v>
                </c:pt>
                <c:pt idx="121">
                  <c:v>42137</c:v>
                </c:pt>
                <c:pt idx="122">
                  <c:v>42138</c:v>
                </c:pt>
                <c:pt idx="123">
                  <c:v>42139</c:v>
                </c:pt>
                <c:pt idx="124">
                  <c:v>42140</c:v>
                </c:pt>
                <c:pt idx="125">
                  <c:v>42141</c:v>
                </c:pt>
                <c:pt idx="126">
                  <c:v>42142</c:v>
                </c:pt>
                <c:pt idx="127">
                  <c:v>42143</c:v>
                </c:pt>
                <c:pt idx="128">
                  <c:v>42144</c:v>
                </c:pt>
                <c:pt idx="129">
                  <c:v>42145</c:v>
                </c:pt>
                <c:pt idx="130">
                  <c:v>42146</c:v>
                </c:pt>
                <c:pt idx="131">
                  <c:v>42147</c:v>
                </c:pt>
                <c:pt idx="132">
                  <c:v>42148</c:v>
                </c:pt>
                <c:pt idx="133">
                  <c:v>42149</c:v>
                </c:pt>
                <c:pt idx="134">
                  <c:v>42150</c:v>
                </c:pt>
                <c:pt idx="135">
                  <c:v>42151</c:v>
                </c:pt>
                <c:pt idx="136">
                  <c:v>42152</c:v>
                </c:pt>
                <c:pt idx="137">
                  <c:v>42153</c:v>
                </c:pt>
                <c:pt idx="138">
                  <c:v>42154</c:v>
                </c:pt>
                <c:pt idx="139">
                  <c:v>42155</c:v>
                </c:pt>
                <c:pt idx="140">
                  <c:v>42156</c:v>
                </c:pt>
                <c:pt idx="141">
                  <c:v>42157</c:v>
                </c:pt>
                <c:pt idx="142">
                  <c:v>42158</c:v>
                </c:pt>
                <c:pt idx="143">
                  <c:v>42159</c:v>
                </c:pt>
                <c:pt idx="144">
                  <c:v>42160</c:v>
                </c:pt>
                <c:pt idx="145">
                  <c:v>42161</c:v>
                </c:pt>
                <c:pt idx="146">
                  <c:v>42162</c:v>
                </c:pt>
                <c:pt idx="147">
                  <c:v>42163</c:v>
                </c:pt>
                <c:pt idx="148">
                  <c:v>42164</c:v>
                </c:pt>
                <c:pt idx="149">
                  <c:v>42165</c:v>
                </c:pt>
                <c:pt idx="150">
                  <c:v>42166</c:v>
                </c:pt>
                <c:pt idx="151">
                  <c:v>42167</c:v>
                </c:pt>
                <c:pt idx="152">
                  <c:v>42168</c:v>
                </c:pt>
                <c:pt idx="153">
                  <c:v>42169</c:v>
                </c:pt>
                <c:pt idx="154">
                  <c:v>42170</c:v>
                </c:pt>
                <c:pt idx="155">
                  <c:v>42171</c:v>
                </c:pt>
                <c:pt idx="156">
                  <c:v>42172</c:v>
                </c:pt>
                <c:pt idx="157">
                  <c:v>42173</c:v>
                </c:pt>
                <c:pt idx="158">
                  <c:v>42174</c:v>
                </c:pt>
                <c:pt idx="159">
                  <c:v>42175</c:v>
                </c:pt>
                <c:pt idx="160">
                  <c:v>42176</c:v>
                </c:pt>
                <c:pt idx="161">
                  <c:v>42177</c:v>
                </c:pt>
                <c:pt idx="162">
                  <c:v>42178</c:v>
                </c:pt>
                <c:pt idx="163">
                  <c:v>42179</c:v>
                </c:pt>
                <c:pt idx="164">
                  <c:v>42180</c:v>
                </c:pt>
                <c:pt idx="165">
                  <c:v>42181</c:v>
                </c:pt>
                <c:pt idx="166">
                  <c:v>42182</c:v>
                </c:pt>
                <c:pt idx="167">
                  <c:v>42183</c:v>
                </c:pt>
                <c:pt idx="168">
                  <c:v>42184</c:v>
                </c:pt>
                <c:pt idx="169">
                  <c:v>42185</c:v>
                </c:pt>
                <c:pt idx="170">
                  <c:v>42186</c:v>
                </c:pt>
                <c:pt idx="171">
                  <c:v>42187</c:v>
                </c:pt>
                <c:pt idx="172">
                  <c:v>42188</c:v>
                </c:pt>
                <c:pt idx="173">
                  <c:v>42189</c:v>
                </c:pt>
                <c:pt idx="174">
                  <c:v>42190</c:v>
                </c:pt>
                <c:pt idx="175">
                  <c:v>42191</c:v>
                </c:pt>
                <c:pt idx="176">
                  <c:v>42192</c:v>
                </c:pt>
                <c:pt idx="177">
                  <c:v>42193</c:v>
                </c:pt>
                <c:pt idx="178">
                  <c:v>42194</c:v>
                </c:pt>
                <c:pt idx="179">
                  <c:v>42195</c:v>
                </c:pt>
                <c:pt idx="180">
                  <c:v>42196</c:v>
                </c:pt>
                <c:pt idx="181">
                  <c:v>42197</c:v>
                </c:pt>
                <c:pt idx="182">
                  <c:v>42198</c:v>
                </c:pt>
                <c:pt idx="183">
                  <c:v>42199</c:v>
                </c:pt>
                <c:pt idx="184">
                  <c:v>42200</c:v>
                </c:pt>
                <c:pt idx="185">
                  <c:v>42201</c:v>
                </c:pt>
                <c:pt idx="186">
                  <c:v>42202</c:v>
                </c:pt>
                <c:pt idx="187">
                  <c:v>42203</c:v>
                </c:pt>
              </c:numCache>
            </c:numRef>
          </c:xVal>
          <c:yVal>
            <c:numRef>
              <c:f>SWB!$AP$15:$AP$291</c:f>
              <c:numCache>
                <c:formatCode>0.0000</c:formatCode>
                <c:ptCount val="277"/>
                <c:pt idx="0">
                  <c:v>0.26952098631111099</c:v>
                </c:pt>
                <c:pt idx="1">
                  <c:v>0.27347160355555544</c:v>
                </c:pt>
                <c:pt idx="2">
                  <c:v>0.2774222207999999</c:v>
                </c:pt>
                <c:pt idx="3">
                  <c:v>0.27726666526666666</c:v>
                </c:pt>
                <c:pt idx="4">
                  <c:v>0.29388876392703328</c:v>
                </c:pt>
                <c:pt idx="5">
                  <c:v>0.29296210120316324</c:v>
                </c:pt>
                <c:pt idx="6">
                  <c:v>1.0227846294533334</c:v>
                </c:pt>
                <c:pt idx="7">
                  <c:v>1.0227846294533334</c:v>
                </c:pt>
                <c:pt idx="8">
                  <c:v>1.0227846294533334</c:v>
                </c:pt>
                <c:pt idx="9">
                  <c:v>1.0227846294533334</c:v>
                </c:pt>
                <c:pt idx="10">
                  <c:v>0.37826224808037662</c:v>
                </c:pt>
                <c:pt idx="11">
                  <c:v>0.37543137097975832</c:v>
                </c:pt>
                <c:pt idx="12">
                  <c:v>0.37135682032362649</c:v>
                </c:pt>
                <c:pt idx="13">
                  <c:v>0.36585881861367253</c:v>
                </c:pt>
                <c:pt idx="14">
                  <c:v>0.36244573047210271</c:v>
                </c:pt>
                <c:pt idx="15">
                  <c:v>0.35972397913315096</c:v>
                </c:pt>
                <c:pt idx="16">
                  <c:v>0.35707749162676516</c:v>
                </c:pt>
                <c:pt idx="17">
                  <c:v>0.35423353301274985</c:v>
                </c:pt>
                <c:pt idx="18">
                  <c:v>0.35787136046908663</c:v>
                </c:pt>
                <c:pt idx="19">
                  <c:v>1.0227846294533334</c:v>
                </c:pt>
                <c:pt idx="20">
                  <c:v>1.0227846294533334</c:v>
                </c:pt>
                <c:pt idx="21">
                  <c:v>1.0227846294533334</c:v>
                </c:pt>
                <c:pt idx="22">
                  <c:v>1.0227846294533334</c:v>
                </c:pt>
                <c:pt idx="23">
                  <c:v>1.0227846294533334</c:v>
                </c:pt>
                <c:pt idx="24">
                  <c:v>1.0227846294533334</c:v>
                </c:pt>
                <c:pt idx="25">
                  <c:v>1.0227846294533334</c:v>
                </c:pt>
                <c:pt idx="26">
                  <c:v>0.3744082661343614</c:v>
                </c:pt>
                <c:pt idx="27">
                  <c:v>0.36760012868804265</c:v>
                </c:pt>
                <c:pt idx="28">
                  <c:v>0.36372370150608418</c:v>
                </c:pt>
                <c:pt idx="29">
                  <c:v>0.36172279843845617</c:v>
                </c:pt>
                <c:pt idx="30">
                  <c:v>0.3601674315022797</c:v>
                </c:pt>
                <c:pt idx="31">
                  <c:v>1.0227846294533334</c:v>
                </c:pt>
                <c:pt idx="32">
                  <c:v>0.36570643920042734</c:v>
                </c:pt>
                <c:pt idx="33">
                  <c:v>0.3662633930568952</c:v>
                </c:pt>
                <c:pt idx="34">
                  <c:v>1.0227846294533334</c:v>
                </c:pt>
                <c:pt idx="35">
                  <c:v>0.35443507657643963</c:v>
                </c:pt>
                <c:pt idx="36">
                  <c:v>1.0227846294533334</c:v>
                </c:pt>
                <c:pt idx="37">
                  <c:v>1.0227846294533334</c:v>
                </c:pt>
                <c:pt idx="38">
                  <c:v>1.0227846294533334</c:v>
                </c:pt>
                <c:pt idx="39">
                  <c:v>1.0227846294533334</c:v>
                </c:pt>
                <c:pt idx="40">
                  <c:v>0.37734419080707066</c:v>
                </c:pt>
                <c:pt idx="41">
                  <c:v>0.37088111462125534</c:v>
                </c:pt>
                <c:pt idx="42">
                  <c:v>1.0227846294533334</c:v>
                </c:pt>
                <c:pt idx="43">
                  <c:v>1.0227846294533334</c:v>
                </c:pt>
                <c:pt idx="44">
                  <c:v>0.3449661412532089</c:v>
                </c:pt>
                <c:pt idx="45">
                  <c:v>0.33891401884985028</c:v>
                </c:pt>
                <c:pt idx="46">
                  <c:v>0.33491751150718779</c:v>
                </c:pt>
                <c:pt idx="47">
                  <c:v>0.33092259150706438</c:v>
                </c:pt>
                <c:pt idx="48">
                  <c:v>0.32796125352726702</c:v>
                </c:pt>
                <c:pt idx="49">
                  <c:v>0.3232093757563605</c:v>
                </c:pt>
                <c:pt idx="50">
                  <c:v>0.31705529087923612</c:v>
                </c:pt>
                <c:pt idx="51">
                  <c:v>0.31634251278408371</c:v>
                </c:pt>
                <c:pt idx="52">
                  <c:v>0.31108010616191561</c:v>
                </c:pt>
                <c:pt idx="53">
                  <c:v>1.0237385184650001</c:v>
                </c:pt>
                <c:pt idx="54">
                  <c:v>1.0243649999433333</c:v>
                </c:pt>
                <c:pt idx="55">
                  <c:v>1.0249914814216667</c:v>
                </c:pt>
                <c:pt idx="56">
                  <c:v>1.0256179629</c:v>
                </c:pt>
                <c:pt idx="57">
                  <c:v>0.38430295693689748</c:v>
                </c:pt>
                <c:pt idx="58">
                  <c:v>0.3955001000476398</c:v>
                </c:pt>
                <c:pt idx="59">
                  <c:v>0.40764635049196801</c:v>
                </c:pt>
                <c:pt idx="60">
                  <c:v>0.41958177552145171</c:v>
                </c:pt>
                <c:pt idx="61">
                  <c:v>0.43278692168517885</c:v>
                </c:pt>
                <c:pt idx="62">
                  <c:v>0.44619752761250653</c:v>
                </c:pt>
                <c:pt idx="63">
                  <c:v>0.46074250930624672</c:v>
                </c:pt>
                <c:pt idx="64">
                  <c:v>0.47540130049246249</c:v>
                </c:pt>
                <c:pt idx="65">
                  <c:v>1.0449060523578455</c:v>
                </c:pt>
                <c:pt idx="66">
                  <c:v>1.0472387533552845</c:v>
                </c:pt>
                <c:pt idx="67">
                  <c:v>1.0495714543527235</c:v>
                </c:pt>
                <c:pt idx="68">
                  <c:v>1.0519041553501625</c:v>
                </c:pt>
                <c:pt idx="69">
                  <c:v>1.0542368563476017</c:v>
                </c:pt>
                <c:pt idx="70">
                  <c:v>1.0565695573450407</c:v>
                </c:pt>
                <c:pt idx="71">
                  <c:v>1.0589022583424796</c:v>
                </c:pt>
                <c:pt idx="72">
                  <c:v>1.0612349593399186</c:v>
                </c:pt>
                <c:pt idx="73">
                  <c:v>1.0635676603373576</c:v>
                </c:pt>
                <c:pt idx="74">
                  <c:v>0.66399326992308583</c:v>
                </c:pt>
                <c:pt idx="75">
                  <c:v>0.67751469790960805</c:v>
                </c:pt>
                <c:pt idx="76">
                  <c:v>0.69146821537342928</c:v>
                </c:pt>
                <c:pt idx="77">
                  <c:v>0.70651763010484858</c:v>
                </c:pt>
                <c:pt idx="78">
                  <c:v>0.7220515740189446</c:v>
                </c:pt>
                <c:pt idx="79">
                  <c:v>0.73736954572703728</c:v>
                </c:pt>
                <c:pt idx="80">
                  <c:v>0.75401840135222853</c:v>
                </c:pt>
                <c:pt idx="81">
                  <c:v>0.77078844651761091</c:v>
                </c:pt>
                <c:pt idx="82">
                  <c:v>0.78773858179478662</c:v>
                </c:pt>
                <c:pt idx="83">
                  <c:v>0.80468886230166203</c:v>
                </c:pt>
                <c:pt idx="84">
                  <c:v>0.82266646161559154</c:v>
                </c:pt>
                <c:pt idx="85">
                  <c:v>0.84062250200561905</c:v>
                </c:pt>
                <c:pt idx="86">
                  <c:v>0.85832149594324825</c:v>
                </c:pt>
                <c:pt idx="87">
                  <c:v>0.88450970650090144</c:v>
                </c:pt>
                <c:pt idx="88">
                  <c:v>1.0985581752989431</c:v>
                </c:pt>
                <c:pt idx="89">
                  <c:v>1.1008908762963823</c:v>
                </c:pt>
                <c:pt idx="90">
                  <c:v>1.103223577293821</c:v>
                </c:pt>
                <c:pt idx="91">
                  <c:v>1.1055562782912602</c:v>
                </c:pt>
                <c:pt idx="92">
                  <c:v>1.039008149723522</c:v>
                </c:pt>
                <c:pt idx="93">
                  <c:v>1.1071137551212771</c:v>
                </c:pt>
                <c:pt idx="94">
                  <c:v>1.0960315210326244</c:v>
                </c:pt>
                <c:pt idx="95">
                  <c:v>1.1082973047932312</c:v>
                </c:pt>
                <c:pt idx="96">
                  <c:v>1.1172197832784554</c:v>
                </c:pt>
                <c:pt idx="97">
                  <c:v>0.95701100002364348</c:v>
                </c:pt>
                <c:pt idx="98">
                  <c:v>1.1218851852733334</c:v>
                </c:pt>
                <c:pt idx="99">
                  <c:v>1.1225545602609373</c:v>
                </c:pt>
                <c:pt idx="100">
                  <c:v>1.1232239352485416</c:v>
                </c:pt>
                <c:pt idx="101">
                  <c:v>1.1238933102361459</c:v>
                </c:pt>
                <c:pt idx="102">
                  <c:v>1.1245626852237498</c:v>
                </c:pt>
                <c:pt idx="103">
                  <c:v>0.91954530505264398</c:v>
                </c:pt>
                <c:pt idx="104">
                  <c:v>1.1191008937063101</c:v>
                </c:pt>
                <c:pt idx="105">
                  <c:v>1.1168385422623668</c:v>
                </c:pt>
                <c:pt idx="106">
                  <c:v>1.1272401851741667</c:v>
                </c:pt>
                <c:pt idx="107">
                  <c:v>1.1279095601617708</c:v>
                </c:pt>
                <c:pt idx="108">
                  <c:v>1.1285789351493749</c:v>
                </c:pt>
                <c:pt idx="109">
                  <c:v>1.1294200315604677</c:v>
                </c:pt>
                <c:pt idx="110">
                  <c:v>1.1304782186138889</c:v>
                </c:pt>
                <c:pt idx="111">
                  <c:v>1.1313728614544643</c:v>
                </c:pt>
                <c:pt idx="112">
                  <c:v>1.0879253589922169</c:v>
                </c:pt>
                <c:pt idx="113">
                  <c:v>1.0462681700904999</c:v>
                </c:pt>
                <c:pt idx="114">
                  <c:v>1.132595185075</c:v>
                </c:pt>
                <c:pt idx="115">
                  <c:v>1.1326750693287502</c:v>
                </c:pt>
                <c:pt idx="116">
                  <c:v>1.1327549535824999</c:v>
                </c:pt>
                <c:pt idx="117">
                  <c:v>1.1328348378362501</c:v>
                </c:pt>
                <c:pt idx="118">
                  <c:v>1.1329147220899998</c:v>
                </c:pt>
                <c:pt idx="119">
                  <c:v>1.0840454226987057</c:v>
                </c:pt>
                <c:pt idx="120">
                  <c:v>1.1148306074055956</c:v>
                </c:pt>
                <c:pt idx="121">
                  <c:v>1.1331543748512498</c:v>
                </c:pt>
                <c:pt idx="122">
                  <c:v>1.133234259105</c:v>
                </c:pt>
                <c:pt idx="123">
                  <c:v>1.1333141433587501</c:v>
                </c:pt>
                <c:pt idx="124">
                  <c:v>1.1333940276124999</c:v>
                </c:pt>
                <c:pt idx="125">
                  <c:v>1.1353101438811111</c:v>
                </c:pt>
                <c:pt idx="126">
                  <c:v>1.1353811521066668</c:v>
                </c:pt>
                <c:pt idx="127">
                  <c:v>1.1363614003114582</c:v>
                </c:pt>
                <c:pt idx="128">
                  <c:v>1.138155319729091</c:v>
                </c:pt>
                <c:pt idx="129">
                  <c:v>1.1377686406650944</c:v>
                </c:pt>
                <c:pt idx="130">
                  <c:v>1.1388781607827585</c:v>
                </c:pt>
                <c:pt idx="131">
                  <c:v>1.1375948716423077</c:v>
                </c:pt>
                <c:pt idx="132">
                  <c:v>0.90005120786706838</c:v>
                </c:pt>
                <c:pt idx="133">
                  <c:v>0.87270756764195523</c:v>
                </c:pt>
                <c:pt idx="134">
                  <c:v>0.88894475676223106</c:v>
                </c:pt>
                <c:pt idx="135">
                  <c:v>0.89508410999292953</c:v>
                </c:pt>
                <c:pt idx="136">
                  <c:v>0.84431343039211493</c:v>
                </c:pt>
                <c:pt idx="137">
                  <c:v>1.0763181834072846</c:v>
                </c:pt>
                <c:pt idx="138">
                  <c:v>1.1332796293458334</c:v>
                </c:pt>
                <c:pt idx="139">
                  <c:v>1.1318025638115385</c:v>
                </c:pt>
                <c:pt idx="140">
                  <c:v>1.1299503027527273</c:v>
                </c:pt>
                <c:pt idx="141">
                  <c:v>0.81792854603896525</c:v>
                </c:pt>
                <c:pt idx="142">
                  <c:v>0.83357784503080268</c:v>
                </c:pt>
                <c:pt idx="143">
                  <c:v>0.84868572148600119</c:v>
                </c:pt>
                <c:pt idx="144">
                  <c:v>0.8760241931759688</c:v>
                </c:pt>
                <c:pt idx="145">
                  <c:v>0.87779611368249155</c:v>
                </c:pt>
                <c:pt idx="146">
                  <c:v>0.85753578356564308</c:v>
                </c:pt>
                <c:pt idx="147">
                  <c:v>0.81396795162381397</c:v>
                </c:pt>
                <c:pt idx="148">
                  <c:v>1.0395371094350354</c:v>
                </c:pt>
                <c:pt idx="149">
                  <c:v>0.97726669358426621</c:v>
                </c:pt>
                <c:pt idx="150">
                  <c:v>1.0370162159864864</c:v>
                </c:pt>
                <c:pt idx="151">
                  <c:v>1.0039817608038355</c:v>
                </c:pt>
                <c:pt idx="152">
                  <c:v>0.84108888840000018</c:v>
                </c:pt>
                <c:pt idx="153">
                  <c:v>0.80009999940000032</c:v>
                </c:pt>
                <c:pt idx="154">
                  <c:v>0.77916314395974529</c:v>
                </c:pt>
                <c:pt idx="155">
                  <c:v>0.84002620480383583</c:v>
                </c:pt>
                <c:pt idx="156">
                  <c:v>0.7065056355978222</c:v>
                </c:pt>
                <c:pt idx="157">
                  <c:v>0.75804842680383588</c:v>
                </c:pt>
                <c:pt idx="158">
                  <c:v>0.67547794281818518</c:v>
                </c:pt>
                <c:pt idx="159">
                  <c:v>0.67607064880383572</c:v>
                </c:pt>
                <c:pt idx="160">
                  <c:v>0.5131777764000004</c:v>
                </c:pt>
                <c:pt idx="161">
                  <c:v>0.47276344266938575</c:v>
                </c:pt>
                <c:pt idx="162">
                  <c:v>0.40057932236934979</c:v>
                </c:pt>
                <c:pt idx="163">
                  <c:v>0.39579256949778369</c:v>
                </c:pt>
                <c:pt idx="164">
                  <c:v>0.30190306110978155</c:v>
                </c:pt>
                <c:pt idx="165">
                  <c:v>0.25782658646872908</c:v>
                </c:pt>
                <c:pt idx="166">
                  <c:v>0.21756365785933435</c:v>
                </c:pt>
                <c:pt idx="167">
                  <c:v>0.1871785290425711</c:v>
                </c:pt>
                <c:pt idx="168">
                  <c:v>0.17099987579453246</c:v>
                </c:pt>
                <c:pt idx="169">
                  <c:v>0.15202003585015175</c:v>
                </c:pt>
                <c:pt idx="170">
                  <c:v>0.12154988328224625</c:v>
                </c:pt>
                <c:pt idx="171">
                  <c:v>0.11377594739965974</c:v>
                </c:pt>
                <c:pt idx="172">
                  <c:v>9.4533667377788941E-2</c:v>
                </c:pt>
                <c:pt idx="173">
                  <c:v>7.4665370113268362E-2</c:v>
                </c:pt>
                <c:pt idx="174">
                  <c:v>7.3166667696854051E-2</c:v>
                </c:pt>
                <c:pt idx="175">
                  <c:v>6.3266366380122424E-2</c:v>
                </c:pt>
                <c:pt idx="176">
                  <c:v>4.8230574834585628E-2</c:v>
                </c:pt>
                <c:pt idx="177">
                  <c:v>6.0766220875779035E-2</c:v>
                </c:pt>
                <c:pt idx="178">
                  <c:v>4.7512500136308602E-2</c:v>
                </c:pt>
                <c:pt idx="179">
                  <c:v>3.850263360403846E-2</c:v>
                </c:pt>
                <c:pt idx="180">
                  <c:v>3.3646627020695388E-2</c:v>
                </c:pt>
                <c:pt idx="181">
                  <c:v>2.7654182697877325E-2</c:v>
                </c:pt>
                <c:pt idx="182">
                  <c:v>1.8911121575002604E-2</c:v>
                </c:pt>
                <c:pt idx="183">
                  <c:v>2.9303019687795306E-2</c:v>
                </c:pt>
                <c:pt idx="184">
                  <c:v>2.1005993821371929E-2</c:v>
                </c:pt>
                <c:pt idx="185">
                  <c:v>2.1852640767166899E-2</c:v>
                </c:pt>
                <c:pt idx="186">
                  <c:v>1.8015516291884331E-2</c:v>
                </c:pt>
                <c:pt idx="187">
                  <c:v>1.0793436418157687E-2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A6-4DC8-A5CD-F5C78F644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246288"/>
        <c:axId val="473247072"/>
      </c:scatterChart>
      <c:scatterChart>
        <c:scatterStyle val="lineMarker"/>
        <c:varyColors val="0"/>
        <c:ser>
          <c:idx val="3"/>
          <c:order val="2"/>
          <c:tx>
            <c:strRef>
              <c:f>SWB!$P$13</c:f>
              <c:strCache>
                <c:ptCount val="1"/>
                <c:pt idx="0">
                  <c:v>P - RO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3175">
                <a:solidFill>
                  <a:srgbClr val="000000"/>
                </a:solidFill>
                <a:prstDash val="solid"/>
              </a:ln>
            </c:spPr>
          </c:marker>
          <c:xVal>
            <c:numRef>
              <c:f>SWB!$C$15:$C$291</c:f>
              <c:numCache>
                <c:formatCode>m/d/yyyy</c:formatCode>
                <c:ptCount val="277"/>
                <c:pt idx="0">
                  <c:v>42016</c:v>
                </c:pt>
                <c:pt idx="1">
                  <c:v>42017</c:v>
                </c:pt>
                <c:pt idx="2">
                  <c:v>42018</c:v>
                </c:pt>
                <c:pt idx="3">
                  <c:v>42019</c:v>
                </c:pt>
                <c:pt idx="4">
                  <c:v>42020</c:v>
                </c:pt>
                <c:pt idx="5">
                  <c:v>42021</c:v>
                </c:pt>
                <c:pt idx="6">
                  <c:v>42022</c:v>
                </c:pt>
                <c:pt idx="7">
                  <c:v>42023</c:v>
                </c:pt>
                <c:pt idx="8">
                  <c:v>42024</c:v>
                </c:pt>
                <c:pt idx="9">
                  <c:v>42025</c:v>
                </c:pt>
                <c:pt idx="10">
                  <c:v>42026</c:v>
                </c:pt>
                <c:pt idx="11">
                  <c:v>42027</c:v>
                </c:pt>
                <c:pt idx="12">
                  <c:v>42028</c:v>
                </c:pt>
                <c:pt idx="13">
                  <c:v>42029</c:v>
                </c:pt>
                <c:pt idx="14">
                  <c:v>42030</c:v>
                </c:pt>
                <c:pt idx="15">
                  <c:v>42031</c:v>
                </c:pt>
                <c:pt idx="16">
                  <c:v>42032</c:v>
                </c:pt>
                <c:pt idx="17">
                  <c:v>42033</c:v>
                </c:pt>
                <c:pt idx="18">
                  <c:v>42034</c:v>
                </c:pt>
                <c:pt idx="19">
                  <c:v>42035</c:v>
                </c:pt>
                <c:pt idx="20">
                  <c:v>42036</c:v>
                </c:pt>
                <c:pt idx="21">
                  <c:v>42037</c:v>
                </c:pt>
                <c:pt idx="22">
                  <c:v>42038</c:v>
                </c:pt>
                <c:pt idx="23">
                  <c:v>42039</c:v>
                </c:pt>
                <c:pt idx="24">
                  <c:v>42040</c:v>
                </c:pt>
                <c:pt idx="25">
                  <c:v>42041</c:v>
                </c:pt>
                <c:pt idx="26">
                  <c:v>42042</c:v>
                </c:pt>
                <c:pt idx="27">
                  <c:v>42043</c:v>
                </c:pt>
                <c:pt idx="28">
                  <c:v>42044</c:v>
                </c:pt>
                <c:pt idx="29">
                  <c:v>42045</c:v>
                </c:pt>
                <c:pt idx="30">
                  <c:v>42046</c:v>
                </c:pt>
                <c:pt idx="31">
                  <c:v>42047</c:v>
                </c:pt>
                <c:pt idx="32">
                  <c:v>42048</c:v>
                </c:pt>
                <c:pt idx="33">
                  <c:v>42049</c:v>
                </c:pt>
                <c:pt idx="34">
                  <c:v>42050</c:v>
                </c:pt>
                <c:pt idx="35">
                  <c:v>42051</c:v>
                </c:pt>
                <c:pt idx="36">
                  <c:v>42052</c:v>
                </c:pt>
                <c:pt idx="37">
                  <c:v>42053</c:v>
                </c:pt>
                <c:pt idx="38">
                  <c:v>42054</c:v>
                </c:pt>
                <c:pt idx="39">
                  <c:v>42055</c:v>
                </c:pt>
                <c:pt idx="40">
                  <c:v>42056</c:v>
                </c:pt>
                <c:pt idx="41">
                  <c:v>42057</c:v>
                </c:pt>
                <c:pt idx="42">
                  <c:v>42058</c:v>
                </c:pt>
                <c:pt idx="43">
                  <c:v>42059</c:v>
                </c:pt>
                <c:pt idx="44">
                  <c:v>42060</c:v>
                </c:pt>
                <c:pt idx="45">
                  <c:v>42061</c:v>
                </c:pt>
                <c:pt idx="46">
                  <c:v>42062</c:v>
                </c:pt>
                <c:pt idx="47">
                  <c:v>42063</c:v>
                </c:pt>
                <c:pt idx="48">
                  <c:v>42064</c:v>
                </c:pt>
                <c:pt idx="49">
                  <c:v>42065</c:v>
                </c:pt>
                <c:pt idx="50">
                  <c:v>42066</c:v>
                </c:pt>
                <c:pt idx="51">
                  <c:v>42067</c:v>
                </c:pt>
                <c:pt idx="52">
                  <c:v>42068</c:v>
                </c:pt>
                <c:pt idx="53">
                  <c:v>42069</c:v>
                </c:pt>
                <c:pt idx="54">
                  <c:v>42070</c:v>
                </c:pt>
                <c:pt idx="55">
                  <c:v>42071</c:v>
                </c:pt>
                <c:pt idx="56">
                  <c:v>42072</c:v>
                </c:pt>
                <c:pt idx="57">
                  <c:v>42073</c:v>
                </c:pt>
                <c:pt idx="58">
                  <c:v>42074</c:v>
                </c:pt>
                <c:pt idx="59">
                  <c:v>42075</c:v>
                </c:pt>
                <c:pt idx="60">
                  <c:v>42076</c:v>
                </c:pt>
                <c:pt idx="61">
                  <c:v>42077</c:v>
                </c:pt>
                <c:pt idx="62">
                  <c:v>42078</c:v>
                </c:pt>
                <c:pt idx="63">
                  <c:v>42079</c:v>
                </c:pt>
                <c:pt idx="64">
                  <c:v>42080</c:v>
                </c:pt>
                <c:pt idx="65">
                  <c:v>42081</c:v>
                </c:pt>
                <c:pt idx="66">
                  <c:v>42082</c:v>
                </c:pt>
                <c:pt idx="67">
                  <c:v>42083</c:v>
                </c:pt>
                <c:pt idx="68">
                  <c:v>42084</c:v>
                </c:pt>
                <c:pt idx="69">
                  <c:v>42085</c:v>
                </c:pt>
                <c:pt idx="70">
                  <c:v>42086</c:v>
                </c:pt>
                <c:pt idx="71">
                  <c:v>42087</c:v>
                </c:pt>
                <c:pt idx="72">
                  <c:v>42088</c:v>
                </c:pt>
                <c:pt idx="73">
                  <c:v>42089</c:v>
                </c:pt>
                <c:pt idx="74">
                  <c:v>42090</c:v>
                </c:pt>
                <c:pt idx="75">
                  <c:v>42091</c:v>
                </c:pt>
                <c:pt idx="76">
                  <c:v>42092</c:v>
                </c:pt>
                <c:pt idx="77">
                  <c:v>42093</c:v>
                </c:pt>
                <c:pt idx="78">
                  <c:v>42094</c:v>
                </c:pt>
                <c:pt idx="79">
                  <c:v>42095</c:v>
                </c:pt>
                <c:pt idx="80">
                  <c:v>42096</c:v>
                </c:pt>
                <c:pt idx="81">
                  <c:v>42097</c:v>
                </c:pt>
                <c:pt idx="82">
                  <c:v>42098</c:v>
                </c:pt>
                <c:pt idx="83">
                  <c:v>42099</c:v>
                </c:pt>
                <c:pt idx="84">
                  <c:v>42100</c:v>
                </c:pt>
                <c:pt idx="85">
                  <c:v>42101</c:v>
                </c:pt>
                <c:pt idx="86">
                  <c:v>42102</c:v>
                </c:pt>
                <c:pt idx="87">
                  <c:v>42103</c:v>
                </c:pt>
                <c:pt idx="88">
                  <c:v>42104</c:v>
                </c:pt>
                <c:pt idx="89">
                  <c:v>42105</c:v>
                </c:pt>
                <c:pt idx="90">
                  <c:v>42106</c:v>
                </c:pt>
                <c:pt idx="91">
                  <c:v>42107</c:v>
                </c:pt>
                <c:pt idx="92">
                  <c:v>42108</c:v>
                </c:pt>
                <c:pt idx="93">
                  <c:v>42109</c:v>
                </c:pt>
                <c:pt idx="94">
                  <c:v>42110</c:v>
                </c:pt>
                <c:pt idx="95">
                  <c:v>42111</c:v>
                </c:pt>
                <c:pt idx="96">
                  <c:v>42112</c:v>
                </c:pt>
                <c:pt idx="97">
                  <c:v>42113</c:v>
                </c:pt>
                <c:pt idx="98">
                  <c:v>42114</c:v>
                </c:pt>
                <c:pt idx="99">
                  <c:v>42115</c:v>
                </c:pt>
                <c:pt idx="100">
                  <c:v>42116</c:v>
                </c:pt>
                <c:pt idx="101">
                  <c:v>42117</c:v>
                </c:pt>
                <c:pt idx="102">
                  <c:v>42118</c:v>
                </c:pt>
                <c:pt idx="103">
                  <c:v>42119</c:v>
                </c:pt>
                <c:pt idx="104">
                  <c:v>42120</c:v>
                </c:pt>
                <c:pt idx="105">
                  <c:v>42121</c:v>
                </c:pt>
                <c:pt idx="106">
                  <c:v>42122</c:v>
                </c:pt>
                <c:pt idx="107">
                  <c:v>42123</c:v>
                </c:pt>
                <c:pt idx="108">
                  <c:v>42124</c:v>
                </c:pt>
                <c:pt idx="109">
                  <c:v>42125</c:v>
                </c:pt>
                <c:pt idx="110">
                  <c:v>42126</c:v>
                </c:pt>
                <c:pt idx="111">
                  <c:v>42127</c:v>
                </c:pt>
                <c:pt idx="112">
                  <c:v>42128</c:v>
                </c:pt>
                <c:pt idx="113">
                  <c:v>42129</c:v>
                </c:pt>
                <c:pt idx="114">
                  <c:v>42130</c:v>
                </c:pt>
                <c:pt idx="115">
                  <c:v>42131</c:v>
                </c:pt>
                <c:pt idx="116">
                  <c:v>42132</c:v>
                </c:pt>
                <c:pt idx="117">
                  <c:v>42133</c:v>
                </c:pt>
                <c:pt idx="118">
                  <c:v>42134</c:v>
                </c:pt>
                <c:pt idx="119">
                  <c:v>42135</c:v>
                </c:pt>
                <c:pt idx="120">
                  <c:v>42136</c:v>
                </c:pt>
                <c:pt idx="121">
                  <c:v>42137</c:v>
                </c:pt>
                <c:pt idx="122">
                  <c:v>42138</c:v>
                </c:pt>
                <c:pt idx="123">
                  <c:v>42139</c:v>
                </c:pt>
                <c:pt idx="124">
                  <c:v>42140</c:v>
                </c:pt>
                <c:pt idx="125">
                  <c:v>42141</c:v>
                </c:pt>
                <c:pt idx="126">
                  <c:v>42142</c:v>
                </c:pt>
                <c:pt idx="127">
                  <c:v>42143</c:v>
                </c:pt>
                <c:pt idx="128">
                  <c:v>42144</c:v>
                </c:pt>
                <c:pt idx="129">
                  <c:v>42145</c:v>
                </c:pt>
                <c:pt idx="130">
                  <c:v>42146</c:v>
                </c:pt>
                <c:pt idx="131">
                  <c:v>42147</c:v>
                </c:pt>
                <c:pt idx="132">
                  <c:v>42148</c:v>
                </c:pt>
                <c:pt idx="133">
                  <c:v>42149</c:v>
                </c:pt>
                <c:pt idx="134">
                  <c:v>42150</c:v>
                </c:pt>
                <c:pt idx="135">
                  <c:v>42151</c:v>
                </c:pt>
                <c:pt idx="136">
                  <c:v>42152</c:v>
                </c:pt>
                <c:pt idx="137">
                  <c:v>42153</c:v>
                </c:pt>
                <c:pt idx="138">
                  <c:v>42154</c:v>
                </c:pt>
                <c:pt idx="139">
                  <c:v>42155</c:v>
                </c:pt>
                <c:pt idx="140">
                  <c:v>42156</c:v>
                </c:pt>
                <c:pt idx="141">
                  <c:v>42157</c:v>
                </c:pt>
                <c:pt idx="142">
                  <c:v>42158</c:v>
                </c:pt>
                <c:pt idx="143">
                  <c:v>42159</c:v>
                </c:pt>
                <c:pt idx="144">
                  <c:v>42160</c:v>
                </c:pt>
                <c:pt idx="145">
                  <c:v>42161</c:v>
                </c:pt>
                <c:pt idx="146">
                  <c:v>42162</c:v>
                </c:pt>
                <c:pt idx="147">
                  <c:v>42163</c:v>
                </c:pt>
                <c:pt idx="148">
                  <c:v>42164</c:v>
                </c:pt>
                <c:pt idx="149">
                  <c:v>42165</c:v>
                </c:pt>
                <c:pt idx="150">
                  <c:v>42166</c:v>
                </c:pt>
                <c:pt idx="151">
                  <c:v>42167</c:v>
                </c:pt>
                <c:pt idx="152">
                  <c:v>42168</c:v>
                </c:pt>
                <c:pt idx="153">
                  <c:v>42169</c:v>
                </c:pt>
                <c:pt idx="154">
                  <c:v>42170</c:v>
                </c:pt>
                <c:pt idx="155">
                  <c:v>42171</c:v>
                </c:pt>
                <c:pt idx="156">
                  <c:v>42172</c:v>
                </c:pt>
                <c:pt idx="157">
                  <c:v>42173</c:v>
                </c:pt>
                <c:pt idx="158">
                  <c:v>42174</c:v>
                </c:pt>
                <c:pt idx="159">
                  <c:v>42175</c:v>
                </c:pt>
                <c:pt idx="160">
                  <c:v>42176</c:v>
                </c:pt>
                <c:pt idx="161">
                  <c:v>42177</c:v>
                </c:pt>
                <c:pt idx="162">
                  <c:v>42178</c:v>
                </c:pt>
                <c:pt idx="163">
                  <c:v>42179</c:v>
                </c:pt>
                <c:pt idx="164">
                  <c:v>42180</c:v>
                </c:pt>
                <c:pt idx="165">
                  <c:v>42181</c:v>
                </c:pt>
                <c:pt idx="166">
                  <c:v>42182</c:v>
                </c:pt>
                <c:pt idx="167">
                  <c:v>42183</c:v>
                </c:pt>
                <c:pt idx="168">
                  <c:v>42184</c:v>
                </c:pt>
                <c:pt idx="169">
                  <c:v>42185</c:v>
                </c:pt>
                <c:pt idx="170">
                  <c:v>42186</c:v>
                </c:pt>
                <c:pt idx="171">
                  <c:v>42187</c:v>
                </c:pt>
                <c:pt idx="172">
                  <c:v>42188</c:v>
                </c:pt>
                <c:pt idx="173">
                  <c:v>42189</c:v>
                </c:pt>
                <c:pt idx="174">
                  <c:v>42190</c:v>
                </c:pt>
                <c:pt idx="175">
                  <c:v>42191</c:v>
                </c:pt>
                <c:pt idx="176">
                  <c:v>42192</c:v>
                </c:pt>
                <c:pt idx="177">
                  <c:v>42193</c:v>
                </c:pt>
                <c:pt idx="178">
                  <c:v>42194</c:v>
                </c:pt>
                <c:pt idx="179">
                  <c:v>42195</c:v>
                </c:pt>
                <c:pt idx="180">
                  <c:v>42196</c:v>
                </c:pt>
                <c:pt idx="181">
                  <c:v>42197</c:v>
                </c:pt>
                <c:pt idx="182">
                  <c:v>42198</c:v>
                </c:pt>
                <c:pt idx="183">
                  <c:v>42199</c:v>
                </c:pt>
                <c:pt idx="184">
                  <c:v>42200</c:v>
                </c:pt>
                <c:pt idx="185">
                  <c:v>42201</c:v>
                </c:pt>
                <c:pt idx="186">
                  <c:v>42202</c:v>
                </c:pt>
                <c:pt idx="187">
                  <c:v>42203</c:v>
                </c:pt>
              </c:numCache>
            </c:numRef>
          </c:xVal>
          <c:yVal>
            <c:numRef>
              <c:f>SWB!$P$15:$P$291</c:f>
              <c:numCache>
                <c:formatCode>General</c:formatCode>
                <c:ptCount val="27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0.6</c:v>
                </c:pt>
                <c:pt idx="5">
                  <c:v>0</c:v>
                </c:pt>
                <c:pt idx="6">
                  <c:v>4.0999999999999996</c:v>
                </c:pt>
                <c:pt idx="7">
                  <c:v>2.4</c:v>
                </c:pt>
                <c:pt idx="8">
                  <c:v>0</c:v>
                </c:pt>
                <c:pt idx="9">
                  <c:v>0.2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0.2</c:v>
                </c:pt>
                <c:pt idx="19">
                  <c:v>11.2</c:v>
                </c:pt>
                <c:pt idx="20">
                  <c:v>0</c:v>
                </c:pt>
                <c:pt idx="21">
                  <c:v>0.6</c:v>
                </c:pt>
                <c:pt idx="22">
                  <c:v>1.2</c:v>
                </c:pt>
                <c:pt idx="23">
                  <c:v>3.7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0.2</c:v>
                </c:pt>
                <c:pt idx="30">
                  <c:v>0.2</c:v>
                </c:pt>
                <c:pt idx="31">
                  <c:v>1.8</c:v>
                </c:pt>
                <c:pt idx="32">
                  <c:v>0</c:v>
                </c:pt>
                <c:pt idx="33">
                  <c:v>0.2</c:v>
                </c:pt>
                <c:pt idx="34">
                  <c:v>1.8</c:v>
                </c:pt>
                <c:pt idx="35">
                  <c:v>0.2</c:v>
                </c:pt>
                <c:pt idx="36">
                  <c:v>6.3</c:v>
                </c:pt>
                <c:pt idx="37">
                  <c:v>0</c:v>
                </c:pt>
                <c:pt idx="38">
                  <c:v>0</c:v>
                </c:pt>
                <c:pt idx="39">
                  <c:v>0.2</c:v>
                </c:pt>
                <c:pt idx="40">
                  <c:v>1.4</c:v>
                </c:pt>
                <c:pt idx="41">
                  <c:v>0</c:v>
                </c:pt>
                <c:pt idx="42">
                  <c:v>3.3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11.2</c:v>
                </c:pt>
                <c:pt idx="66">
                  <c:v>0.4</c:v>
                </c:pt>
                <c:pt idx="67">
                  <c:v>3.1</c:v>
                </c:pt>
                <c:pt idx="68">
                  <c:v>14.1</c:v>
                </c:pt>
                <c:pt idx="69">
                  <c:v>2.7</c:v>
                </c:pt>
                <c:pt idx="70">
                  <c:v>6.9</c:v>
                </c:pt>
                <c:pt idx="71">
                  <c:v>8</c:v>
                </c:pt>
                <c:pt idx="72">
                  <c:v>2.4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0</c:v>
                </c:pt>
                <c:pt idx="89">
                  <c:v>0.6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6.5</c:v>
                </c:pt>
                <c:pt idx="94">
                  <c:v>4.7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0.2</c:v>
                </c:pt>
                <c:pt idx="100">
                  <c:v>2.2000000000000002</c:v>
                </c:pt>
                <c:pt idx="101">
                  <c:v>0</c:v>
                </c:pt>
                <c:pt idx="102">
                  <c:v>0</c:v>
                </c:pt>
                <c:pt idx="103">
                  <c:v>0.2</c:v>
                </c:pt>
                <c:pt idx="104">
                  <c:v>2.5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17.399999999999999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3.9</c:v>
                </c:pt>
                <c:pt idx="138">
                  <c:v>7.3</c:v>
                </c:pt>
                <c:pt idx="139">
                  <c:v>1.8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5.7</c:v>
                </c:pt>
                <c:pt idx="149">
                  <c:v>1</c:v>
                </c:pt>
                <c:pt idx="150">
                  <c:v>23.3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3.3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2.9</c:v>
                </c:pt>
                <c:pt idx="162">
                  <c:v>0</c:v>
                </c:pt>
                <c:pt idx="163">
                  <c:v>1.4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A6-4DC8-A5CD-F5C78F644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293816"/>
        <c:axId val="486299696"/>
      </c:scatterChart>
      <c:valAx>
        <c:axId val="473246288"/>
        <c:scaling>
          <c:orientation val="minMax"/>
        </c:scaling>
        <c:delete val="0"/>
        <c:axPos val="b"/>
        <c:numFmt formatCode="[$-C0A]d\-mmm;@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24000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_tradnl"/>
          </a:p>
        </c:txPr>
        <c:crossAx val="473247072"/>
        <c:crosses val="autoZero"/>
        <c:crossBetween val="midCat"/>
        <c:majorUnit val="30"/>
      </c:valAx>
      <c:valAx>
        <c:axId val="473247072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s-ES" sz="12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K</a:t>
                </a:r>
                <a:r>
                  <a:rPr lang="es-ES" sz="1200" b="1" i="0" u="none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cb</a:t>
                </a:r>
                <a:r>
                  <a:rPr lang="es-ES" sz="12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, K</a:t>
                </a:r>
                <a:r>
                  <a:rPr lang="es-ES" sz="1200" b="1" i="0" u="none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c adj</a:t>
                </a:r>
              </a:p>
            </c:rich>
          </c:tx>
          <c:layout>
            <c:manualLayout>
              <c:xMode val="edge"/>
              <c:yMode val="edge"/>
              <c:x val="1.1086521673777562E-2"/>
              <c:y val="0.2714290187410784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_tradnl"/>
          </a:p>
        </c:txPr>
        <c:crossAx val="473246288"/>
        <c:crossesAt val="0"/>
        <c:crossBetween val="midCat"/>
      </c:valAx>
      <c:valAx>
        <c:axId val="48629381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86299696"/>
        <c:crosses val="autoZero"/>
        <c:crossBetween val="midCat"/>
      </c:valAx>
      <c:valAx>
        <c:axId val="486299696"/>
        <c:scaling>
          <c:orientation val="minMax"/>
          <c:max val="40"/>
          <c:min val="0.4"/>
        </c:scaling>
        <c:delete val="0"/>
        <c:axPos val="r"/>
        <c:title>
          <c:tx>
            <c:rich>
              <a:bodyPr/>
              <a:lstStyle/>
              <a:p>
                <a:pPr>
                  <a:defRPr sz="7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Precipitación y riego neto (mm)</a:t>
                </a:r>
              </a:p>
            </c:rich>
          </c:tx>
          <c:layout>
            <c:manualLayout>
              <c:xMode val="edge"/>
              <c:yMode val="edge"/>
              <c:x val="0.91796108085608241"/>
              <c:y val="0.18571478565179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_tradnl"/>
          </a:p>
        </c:txPr>
        <c:crossAx val="486293816"/>
        <c:crosses val="max"/>
        <c:crossBetween val="midCat"/>
        <c:majorUnit val="10"/>
        <c:minorUnit val="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6.4271913969286736E-3"/>
          <c:y val="0.85363117949487155"/>
          <c:w val="0.98438023380707151"/>
          <c:h val="0.10323056112578978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_trad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_tradnl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90702725175311"/>
          <c:y val="8.9285869987915017E-2"/>
          <c:w val="0.73535853929329986"/>
          <c:h val="0.63571539431395496"/>
        </c:manualLayout>
      </c:layout>
      <c:scatterChart>
        <c:scatterStyle val="lineMarker"/>
        <c:varyColors val="0"/>
        <c:ser>
          <c:idx val="0"/>
          <c:order val="0"/>
          <c:tx>
            <c:strRef>
              <c:f>SWB!$AK$13</c:f>
              <c:strCache>
                <c:ptCount val="1"/>
                <c:pt idx="0">
                  <c:v>RAW</c:v>
                </c:pt>
              </c:strCache>
            </c:strRef>
          </c:tx>
          <c:marker>
            <c:symbol val="none"/>
          </c:marker>
          <c:xVal>
            <c:numRef>
              <c:f>SWB!$C$15:$C$290</c:f>
              <c:numCache>
                <c:formatCode>m/d/yyyy</c:formatCode>
                <c:ptCount val="276"/>
                <c:pt idx="0">
                  <c:v>42016</c:v>
                </c:pt>
                <c:pt idx="1">
                  <c:v>42017</c:v>
                </c:pt>
                <c:pt idx="2">
                  <c:v>42018</c:v>
                </c:pt>
                <c:pt idx="3">
                  <c:v>42019</c:v>
                </c:pt>
                <c:pt idx="4">
                  <c:v>42020</c:v>
                </c:pt>
                <c:pt idx="5">
                  <c:v>42021</c:v>
                </c:pt>
                <c:pt idx="6">
                  <c:v>42022</c:v>
                </c:pt>
                <c:pt idx="7">
                  <c:v>42023</c:v>
                </c:pt>
                <c:pt idx="8">
                  <c:v>42024</c:v>
                </c:pt>
                <c:pt idx="9">
                  <c:v>42025</c:v>
                </c:pt>
                <c:pt idx="10">
                  <c:v>42026</c:v>
                </c:pt>
                <c:pt idx="11">
                  <c:v>42027</c:v>
                </c:pt>
                <c:pt idx="12">
                  <c:v>42028</c:v>
                </c:pt>
                <c:pt idx="13">
                  <c:v>42029</c:v>
                </c:pt>
                <c:pt idx="14">
                  <c:v>42030</c:v>
                </c:pt>
                <c:pt idx="15">
                  <c:v>42031</c:v>
                </c:pt>
                <c:pt idx="16">
                  <c:v>42032</c:v>
                </c:pt>
                <c:pt idx="17">
                  <c:v>42033</c:v>
                </c:pt>
                <c:pt idx="18">
                  <c:v>42034</c:v>
                </c:pt>
                <c:pt idx="19">
                  <c:v>42035</c:v>
                </c:pt>
                <c:pt idx="20">
                  <c:v>42036</c:v>
                </c:pt>
                <c:pt idx="21">
                  <c:v>42037</c:v>
                </c:pt>
                <c:pt idx="22">
                  <c:v>42038</c:v>
                </c:pt>
                <c:pt idx="23">
                  <c:v>42039</c:v>
                </c:pt>
                <c:pt idx="24">
                  <c:v>42040</c:v>
                </c:pt>
                <c:pt idx="25">
                  <c:v>42041</c:v>
                </c:pt>
                <c:pt idx="26">
                  <c:v>42042</c:v>
                </c:pt>
                <c:pt idx="27">
                  <c:v>42043</c:v>
                </c:pt>
                <c:pt idx="28">
                  <c:v>42044</c:v>
                </c:pt>
                <c:pt idx="29">
                  <c:v>42045</c:v>
                </c:pt>
                <c:pt idx="30">
                  <c:v>42046</c:v>
                </c:pt>
                <c:pt idx="31">
                  <c:v>42047</c:v>
                </c:pt>
                <c:pt idx="32">
                  <c:v>42048</c:v>
                </c:pt>
                <c:pt idx="33">
                  <c:v>42049</c:v>
                </c:pt>
                <c:pt idx="34">
                  <c:v>42050</c:v>
                </c:pt>
                <c:pt idx="35">
                  <c:v>42051</c:v>
                </c:pt>
                <c:pt idx="36">
                  <c:v>42052</c:v>
                </c:pt>
                <c:pt idx="37">
                  <c:v>42053</c:v>
                </c:pt>
                <c:pt idx="38">
                  <c:v>42054</c:v>
                </c:pt>
                <c:pt idx="39">
                  <c:v>42055</c:v>
                </c:pt>
                <c:pt idx="40">
                  <c:v>42056</c:v>
                </c:pt>
                <c:pt idx="41">
                  <c:v>42057</c:v>
                </c:pt>
                <c:pt idx="42">
                  <c:v>42058</c:v>
                </c:pt>
                <c:pt idx="43">
                  <c:v>42059</c:v>
                </c:pt>
                <c:pt idx="44">
                  <c:v>42060</c:v>
                </c:pt>
                <c:pt idx="45">
                  <c:v>42061</c:v>
                </c:pt>
                <c:pt idx="46">
                  <c:v>42062</c:v>
                </c:pt>
                <c:pt idx="47">
                  <c:v>42063</c:v>
                </c:pt>
                <c:pt idx="48">
                  <c:v>42064</c:v>
                </c:pt>
                <c:pt idx="49">
                  <c:v>42065</c:v>
                </c:pt>
                <c:pt idx="50">
                  <c:v>42066</c:v>
                </c:pt>
                <c:pt idx="51">
                  <c:v>42067</c:v>
                </c:pt>
                <c:pt idx="52">
                  <c:v>42068</c:v>
                </c:pt>
                <c:pt idx="53">
                  <c:v>42069</c:v>
                </c:pt>
                <c:pt idx="54">
                  <c:v>42070</c:v>
                </c:pt>
                <c:pt idx="55">
                  <c:v>42071</c:v>
                </c:pt>
                <c:pt idx="56">
                  <c:v>42072</c:v>
                </c:pt>
                <c:pt idx="57">
                  <c:v>42073</c:v>
                </c:pt>
                <c:pt idx="58">
                  <c:v>42074</c:v>
                </c:pt>
                <c:pt idx="59">
                  <c:v>42075</c:v>
                </c:pt>
                <c:pt idx="60">
                  <c:v>42076</c:v>
                </c:pt>
                <c:pt idx="61">
                  <c:v>42077</c:v>
                </c:pt>
                <c:pt idx="62">
                  <c:v>42078</c:v>
                </c:pt>
                <c:pt idx="63">
                  <c:v>42079</c:v>
                </c:pt>
                <c:pt idx="64">
                  <c:v>42080</c:v>
                </c:pt>
                <c:pt idx="65">
                  <c:v>42081</c:v>
                </c:pt>
                <c:pt idx="66">
                  <c:v>42082</c:v>
                </c:pt>
                <c:pt idx="67">
                  <c:v>42083</c:v>
                </c:pt>
                <c:pt idx="68">
                  <c:v>42084</c:v>
                </c:pt>
                <c:pt idx="69">
                  <c:v>42085</c:v>
                </c:pt>
                <c:pt idx="70">
                  <c:v>42086</c:v>
                </c:pt>
                <c:pt idx="71">
                  <c:v>42087</c:v>
                </c:pt>
                <c:pt idx="72">
                  <c:v>42088</c:v>
                </c:pt>
                <c:pt idx="73">
                  <c:v>42089</c:v>
                </c:pt>
                <c:pt idx="74">
                  <c:v>42090</c:v>
                </c:pt>
                <c:pt idx="75">
                  <c:v>42091</c:v>
                </c:pt>
                <c:pt idx="76">
                  <c:v>42092</c:v>
                </c:pt>
                <c:pt idx="77">
                  <c:v>42093</c:v>
                </c:pt>
                <c:pt idx="78">
                  <c:v>42094</c:v>
                </c:pt>
                <c:pt idx="79">
                  <c:v>42095</c:v>
                </c:pt>
                <c:pt idx="80">
                  <c:v>42096</c:v>
                </c:pt>
                <c:pt idx="81">
                  <c:v>42097</c:v>
                </c:pt>
                <c:pt idx="82">
                  <c:v>42098</c:v>
                </c:pt>
                <c:pt idx="83">
                  <c:v>42099</c:v>
                </c:pt>
                <c:pt idx="84">
                  <c:v>42100</c:v>
                </c:pt>
                <c:pt idx="85">
                  <c:v>42101</c:v>
                </c:pt>
                <c:pt idx="86">
                  <c:v>42102</c:v>
                </c:pt>
                <c:pt idx="87">
                  <c:v>42103</c:v>
                </c:pt>
                <c:pt idx="88">
                  <c:v>42104</c:v>
                </c:pt>
                <c:pt idx="89">
                  <c:v>42105</c:v>
                </c:pt>
                <c:pt idx="90">
                  <c:v>42106</c:v>
                </c:pt>
                <c:pt idx="91">
                  <c:v>42107</c:v>
                </c:pt>
                <c:pt idx="92">
                  <c:v>42108</c:v>
                </c:pt>
                <c:pt idx="93">
                  <c:v>42109</c:v>
                </c:pt>
                <c:pt idx="94">
                  <c:v>42110</c:v>
                </c:pt>
                <c:pt idx="95">
                  <c:v>42111</c:v>
                </c:pt>
                <c:pt idx="96">
                  <c:v>42112</c:v>
                </c:pt>
                <c:pt idx="97">
                  <c:v>42113</c:v>
                </c:pt>
                <c:pt idx="98">
                  <c:v>42114</c:v>
                </c:pt>
                <c:pt idx="99">
                  <c:v>42115</c:v>
                </c:pt>
                <c:pt idx="100">
                  <c:v>42116</c:v>
                </c:pt>
                <c:pt idx="101">
                  <c:v>42117</c:v>
                </c:pt>
                <c:pt idx="102">
                  <c:v>42118</c:v>
                </c:pt>
                <c:pt idx="103">
                  <c:v>42119</c:v>
                </c:pt>
                <c:pt idx="104">
                  <c:v>42120</c:v>
                </c:pt>
                <c:pt idx="105">
                  <c:v>42121</c:v>
                </c:pt>
                <c:pt idx="106">
                  <c:v>42122</c:v>
                </c:pt>
                <c:pt idx="107">
                  <c:v>42123</c:v>
                </c:pt>
                <c:pt idx="108">
                  <c:v>42124</c:v>
                </c:pt>
                <c:pt idx="109">
                  <c:v>42125</c:v>
                </c:pt>
                <c:pt idx="110">
                  <c:v>42126</c:v>
                </c:pt>
                <c:pt idx="111">
                  <c:v>42127</c:v>
                </c:pt>
                <c:pt idx="112">
                  <c:v>42128</c:v>
                </c:pt>
                <c:pt idx="113">
                  <c:v>42129</c:v>
                </c:pt>
                <c:pt idx="114">
                  <c:v>42130</c:v>
                </c:pt>
                <c:pt idx="115">
                  <c:v>42131</c:v>
                </c:pt>
                <c:pt idx="116">
                  <c:v>42132</c:v>
                </c:pt>
                <c:pt idx="117">
                  <c:v>42133</c:v>
                </c:pt>
                <c:pt idx="118">
                  <c:v>42134</c:v>
                </c:pt>
                <c:pt idx="119">
                  <c:v>42135</c:v>
                </c:pt>
                <c:pt idx="120">
                  <c:v>42136</c:v>
                </c:pt>
                <c:pt idx="121">
                  <c:v>42137</c:v>
                </c:pt>
                <c:pt idx="122">
                  <c:v>42138</c:v>
                </c:pt>
                <c:pt idx="123">
                  <c:v>42139</c:v>
                </c:pt>
                <c:pt idx="124">
                  <c:v>42140</c:v>
                </c:pt>
                <c:pt idx="125">
                  <c:v>42141</c:v>
                </c:pt>
                <c:pt idx="126">
                  <c:v>42142</c:v>
                </c:pt>
                <c:pt idx="127">
                  <c:v>42143</c:v>
                </c:pt>
                <c:pt idx="128">
                  <c:v>42144</c:v>
                </c:pt>
                <c:pt idx="129">
                  <c:v>42145</c:v>
                </c:pt>
                <c:pt idx="130">
                  <c:v>42146</c:v>
                </c:pt>
                <c:pt idx="131">
                  <c:v>42147</c:v>
                </c:pt>
                <c:pt idx="132">
                  <c:v>42148</c:v>
                </c:pt>
                <c:pt idx="133">
                  <c:v>42149</c:v>
                </c:pt>
                <c:pt idx="134">
                  <c:v>42150</c:v>
                </c:pt>
                <c:pt idx="135">
                  <c:v>42151</c:v>
                </c:pt>
                <c:pt idx="136">
                  <c:v>42152</c:v>
                </c:pt>
                <c:pt idx="137">
                  <c:v>42153</c:v>
                </c:pt>
                <c:pt idx="138">
                  <c:v>42154</c:v>
                </c:pt>
                <c:pt idx="139">
                  <c:v>42155</c:v>
                </c:pt>
                <c:pt idx="140">
                  <c:v>42156</c:v>
                </c:pt>
                <c:pt idx="141">
                  <c:v>42157</c:v>
                </c:pt>
                <c:pt idx="142">
                  <c:v>42158</c:v>
                </c:pt>
                <c:pt idx="143">
                  <c:v>42159</c:v>
                </c:pt>
                <c:pt idx="144">
                  <c:v>42160</c:v>
                </c:pt>
                <c:pt idx="145">
                  <c:v>42161</c:v>
                </c:pt>
                <c:pt idx="146">
                  <c:v>42162</c:v>
                </c:pt>
                <c:pt idx="147">
                  <c:v>42163</c:v>
                </c:pt>
                <c:pt idx="148">
                  <c:v>42164</c:v>
                </c:pt>
                <c:pt idx="149">
                  <c:v>42165</c:v>
                </c:pt>
                <c:pt idx="150">
                  <c:v>42166</c:v>
                </c:pt>
                <c:pt idx="151">
                  <c:v>42167</c:v>
                </c:pt>
                <c:pt idx="152">
                  <c:v>42168</c:v>
                </c:pt>
                <c:pt idx="153">
                  <c:v>42169</c:v>
                </c:pt>
                <c:pt idx="154">
                  <c:v>42170</c:v>
                </c:pt>
                <c:pt idx="155">
                  <c:v>42171</c:v>
                </c:pt>
                <c:pt idx="156">
                  <c:v>42172</c:v>
                </c:pt>
                <c:pt idx="157">
                  <c:v>42173</c:v>
                </c:pt>
                <c:pt idx="158">
                  <c:v>42174</c:v>
                </c:pt>
                <c:pt idx="159">
                  <c:v>42175</c:v>
                </c:pt>
                <c:pt idx="160">
                  <c:v>42176</c:v>
                </c:pt>
                <c:pt idx="161">
                  <c:v>42177</c:v>
                </c:pt>
                <c:pt idx="162">
                  <c:v>42178</c:v>
                </c:pt>
                <c:pt idx="163">
                  <c:v>42179</c:v>
                </c:pt>
                <c:pt idx="164">
                  <c:v>42180</c:v>
                </c:pt>
                <c:pt idx="165">
                  <c:v>42181</c:v>
                </c:pt>
                <c:pt idx="166">
                  <c:v>42182</c:v>
                </c:pt>
                <c:pt idx="167">
                  <c:v>42183</c:v>
                </c:pt>
                <c:pt idx="168">
                  <c:v>42184</c:v>
                </c:pt>
                <c:pt idx="169">
                  <c:v>42185</c:v>
                </c:pt>
                <c:pt idx="170">
                  <c:v>42186</c:v>
                </c:pt>
                <c:pt idx="171">
                  <c:v>42187</c:v>
                </c:pt>
                <c:pt idx="172">
                  <c:v>42188</c:v>
                </c:pt>
                <c:pt idx="173">
                  <c:v>42189</c:v>
                </c:pt>
                <c:pt idx="174">
                  <c:v>42190</c:v>
                </c:pt>
                <c:pt idx="175">
                  <c:v>42191</c:v>
                </c:pt>
                <c:pt idx="176">
                  <c:v>42192</c:v>
                </c:pt>
                <c:pt idx="177">
                  <c:v>42193</c:v>
                </c:pt>
                <c:pt idx="178">
                  <c:v>42194</c:v>
                </c:pt>
                <c:pt idx="179">
                  <c:v>42195</c:v>
                </c:pt>
                <c:pt idx="180">
                  <c:v>42196</c:v>
                </c:pt>
                <c:pt idx="181">
                  <c:v>42197</c:v>
                </c:pt>
                <c:pt idx="182">
                  <c:v>42198</c:v>
                </c:pt>
                <c:pt idx="183">
                  <c:v>42199</c:v>
                </c:pt>
                <c:pt idx="184">
                  <c:v>42200</c:v>
                </c:pt>
                <c:pt idx="185">
                  <c:v>42201</c:v>
                </c:pt>
                <c:pt idx="186">
                  <c:v>42202</c:v>
                </c:pt>
                <c:pt idx="187">
                  <c:v>42203</c:v>
                </c:pt>
              </c:numCache>
            </c:numRef>
          </c:xVal>
          <c:yVal>
            <c:numRef>
              <c:f>SWB!$AK$15:$AK$291</c:f>
              <c:numCache>
                <c:formatCode>0</c:formatCode>
                <c:ptCount val="277"/>
                <c:pt idx="0">
                  <c:v>18.273232674238677</c:v>
                </c:pt>
                <c:pt idx="1">
                  <c:v>18.463447578600821</c:v>
                </c:pt>
                <c:pt idx="2">
                  <c:v>18.653662482962961</c:v>
                </c:pt>
                <c:pt idx="3">
                  <c:v>18.653662482962961</c:v>
                </c:pt>
                <c:pt idx="4">
                  <c:v>18.653662482962961</c:v>
                </c:pt>
                <c:pt idx="5">
                  <c:v>18.653662482962961</c:v>
                </c:pt>
                <c:pt idx="6">
                  <c:v>18.653662482962961</c:v>
                </c:pt>
                <c:pt idx="7">
                  <c:v>18.653662482962961</c:v>
                </c:pt>
                <c:pt idx="8">
                  <c:v>18.653662482962961</c:v>
                </c:pt>
                <c:pt idx="9">
                  <c:v>18.653662482962961</c:v>
                </c:pt>
                <c:pt idx="10">
                  <c:v>18.653662482962961</c:v>
                </c:pt>
                <c:pt idx="11">
                  <c:v>18.653662482962961</c:v>
                </c:pt>
                <c:pt idx="12">
                  <c:v>18.653662482962961</c:v>
                </c:pt>
                <c:pt idx="13">
                  <c:v>18.653662482962961</c:v>
                </c:pt>
                <c:pt idx="14">
                  <c:v>18.653662482962961</c:v>
                </c:pt>
                <c:pt idx="15">
                  <c:v>18.653662482962961</c:v>
                </c:pt>
                <c:pt idx="16">
                  <c:v>18.653662482962961</c:v>
                </c:pt>
                <c:pt idx="17">
                  <c:v>18.653662482962961</c:v>
                </c:pt>
                <c:pt idx="18">
                  <c:v>18.653662482962961</c:v>
                </c:pt>
                <c:pt idx="19">
                  <c:v>18.653662482962961</c:v>
                </c:pt>
                <c:pt idx="20">
                  <c:v>18.653662482962961</c:v>
                </c:pt>
                <c:pt idx="21">
                  <c:v>18.653662482962961</c:v>
                </c:pt>
                <c:pt idx="22">
                  <c:v>18.653662482962961</c:v>
                </c:pt>
                <c:pt idx="23">
                  <c:v>18.653662482962961</c:v>
                </c:pt>
                <c:pt idx="24">
                  <c:v>18.653662482962961</c:v>
                </c:pt>
                <c:pt idx="25">
                  <c:v>18.653662482962961</c:v>
                </c:pt>
                <c:pt idx="26">
                  <c:v>18.653662482962961</c:v>
                </c:pt>
                <c:pt idx="27">
                  <c:v>18.653662482962961</c:v>
                </c:pt>
                <c:pt idx="28">
                  <c:v>18.653662482962961</c:v>
                </c:pt>
                <c:pt idx="29">
                  <c:v>18.653662482962961</c:v>
                </c:pt>
                <c:pt idx="30">
                  <c:v>18.653662482962961</c:v>
                </c:pt>
                <c:pt idx="31">
                  <c:v>18.653662482962961</c:v>
                </c:pt>
                <c:pt idx="32">
                  <c:v>18.653662482962961</c:v>
                </c:pt>
                <c:pt idx="33">
                  <c:v>18.653662482962961</c:v>
                </c:pt>
                <c:pt idx="34">
                  <c:v>18.653662482962961</c:v>
                </c:pt>
                <c:pt idx="35">
                  <c:v>18.653662482962961</c:v>
                </c:pt>
                <c:pt idx="36">
                  <c:v>18.653662482962961</c:v>
                </c:pt>
                <c:pt idx="37">
                  <c:v>18.653662482962961</c:v>
                </c:pt>
                <c:pt idx="38">
                  <c:v>18.653662482962961</c:v>
                </c:pt>
                <c:pt idx="39">
                  <c:v>18.653662482962961</c:v>
                </c:pt>
                <c:pt idx="40">
                  <c:v>18.653662482962961</c:v>
                </c:pt>
                <c:pt idx="41">
                  <c:v>18.653662482962961</c:v>
                </c:pt>
                <c:pt idx="42">
                  <c:v>18.653662482962961</c:v>
                </c:pt>
                <c:pt idx="43">
                  <c:v>18.653662482962961</c:v>
                </c:pt>
                <c:pt idx="44">
                  <c:v>18.653662482962961</c:v>
                </c:pt>
                <c:pt idx="45">
                  <c:v>18.653662482962961</c:v>
                </c:pt>
                <c:pt idx="46">
                  <c:v>18.653662482962961</c:v>
                </c:pt>
                <c:pt idx="47">
                  <c:v>18.653662482962961</c:v>
                </c:pt>
                <c:pt idx="48">
                  <c:v>18.653662482962961</c:v>
                </c:pt>
                <c:pt idx="49">
                  <c:v>18.653662482962961</c:v>
                </c:pt>
                <c:pt idx="50">
                  <c:v>18.653662482962961</c:v>
                </c:pt>
                <c:pt idx="51">
                  <c:v>18.653662482962961</c:v>
                </c:pt>
                <c:pt idx="52">
                  <c:v>18.780834783492061</c:v>
                </c:pt>
                <c:pt idx="53">
                  <c:v>19.02417399449735</c:v>
                </c:pt>
                <c:pt idx="54">
                  <c:v>19.267513205502645</c:v>
                </c:pt>
                <c:pt idx="55">
                  <c:v>19.510852416507934</c:v>
                </c:pt>
                <c:pt idx="56">
                  <c:v>19.754191627513222</c:v>
                </c:pt>
                <c:pt idx="57">
                  <c:v>19.997530838518514</c:v>
                </c:pt>
                <c:pt idx="58">
                  <c:v>20.903603308112011</c:v>
                </c:pt>
                <c:pt idx="59">
                  <c:v>21.809675777705511</c:v>
                </c:pt>
                <c:pt idx="60">
                  <c:v>22.715748247299004</c:v>
                </c:pt>
                <c:pt idx="61">
                  <c:v>23.621820716892504</c:v>
                </c:pt>
                <c:pt idx="62">
                  <c:v>24.527893186486001</c:v>
                </c:pt>
                <c:pt idx="63">
                  <c:v>25.433965656079494</c:v>
                </c:pt>
                <c:pt idx="64">
                  <c:v>26.340038125672994</c:v>
                </c:pt>
                <c:pt idx="65">
                  <c:v>27.246110595266494</c:v>
                </c:pt>
                <c:pt idx="66">
                  <c:v>28.152183064859987</c:v>
                </c:pt>
                <c:pt idx="67">
                  <c:v>29.058255534453487</c:v>
                </c:pt>
                <c:pt idx="68">
                  <c:v>29.96432800404698</c:v>
                </c:pt>
                <c:pt idx="69">
                  <c:v>30.87040047364048</c:v>
                </c:pt>
                <c:pt idx="70">
                  <c:v>31.776472943233973</c:v>
                </c:pt>
                <c:pt idx="71">
                  <c:v>32.68254541282748</c:v>
                </c:pt>
                <c:pt idx="72">
                  <c:v>33.588617882420976</c:v>
                </c:pt>
                <c:pt idx="73">
                  <c:v>34.494690352014466</c:v>
                </c:pt>
                <c:pt idx="74">
                  <c:v>35.400762821607969</c:v>
                </c:pt>
                <c:pt idx="75">
                  <c:v>36.306835291201459</c:v>
                </c:pt>
                <c:pt idx="76">
                  <c:v>37.212907760794963</c:v>
                </c:pt>
                <c:pt idx="77">
                  <c:v>38.118980230388466</c:v>
                </c:pt>
                <c:pt idx="78">
                  <c:v>39</c:v>
                </c:pt>
                <c:pt idx="79">
                  <c:v>39</c:v>
                </c:pt>
                <c:pt idx="80">
                  <c:v>39</c:v>
                </c:pt>
                <c:pt idx="81">
                  <c:v>39</c:v>
                </c:pt>
                <c:pt idx="82">
                  <c:v>39</c:v>
                </c:pt>
                <c:pt idx="83">
                  <c:v>39</c:v>
                </c:pt>
                <c:pt idx="84">
                  <c:v>39</c:v>
                </c:pt>
                <c:pt idx="85">
                  <c:v>39</c:v>
                </c:pt>
                <c:pt idx="86">
                  <c:v>39</c:v>
                </c:pt>
                <c:pt idx="87">
                  <c:v>39</c:v>
                </c:pt>
                <c:pt idx="88">
                  <c:v>39</c:v>
                </c:pt>
                <c:pt idx="89">
                  <c:v>39</c:v>
                </c:pt>
                <c:pt idx="90">
                  <c:v>39</c:v>
                </c:pt>
                <c:pt idx="91">
                  <c:v>39</c:v>
                </c:pt>
                <c:pt idx="92">
                  <c:v>39</c:v>
                </c:pt>
                <c:pt idx="93">
                  <c:v>39</c:v>
                </c:pt>
                <c:pt idx="94">
                  <c:v>39</c:v>
                </c:pt>
                <c:pt idx="95">
                  <c:v>39</c:v>
                </c:pt>
                <c:pt idx="96">
                  <c:v>39</c:v>
                </c:pt>
                <c:pt idx="97">
                  <c:v>39</c:v>
                </c:pt>
                <c:pt idx="98">
                  <c:v>39</c:v>
                </c:pt>
                <c:pt idx="99">
                  <c:v>39</c:v>
                </c:pt>
                <c:pt idx="100">
                  <c:v>39</c:v>
                </c:pt>
                <c:pt idx="101">
                  <c:v>39</c:v>
                </c:pt>
                <c:pt idx="102">
                  <c:v>39</c:v>
                </c:pt>
                <c:pt idx="103">
                  <c:v>39</c:v>
                </c:pt>
                <c:pt idx="104">
                  <c:v>39</c:v>
                </c:pt>
                <c:pt idx="105">
                  <c:v>39</c:v>
                </c:pt>
                <c:pt idx="106">
                  <c:v>39</c:v>
                </c:pt>
                <c:pt idx="107">
                  <c:v>39</c:v>
                </c:pt>
                <c:pt idx="108">
                  <c:v>39</c:v>
                </c:pt>
                <c:pt idx="109">
                  <c:v>39</c:v>
                </c:pt>
                <c:pt idx="110">
                  <c:v>39</c:v>
                </c:pt>
                <c:pt idx="111">
                  <c:v>39</c:v>
                </c:pt>
                <c:pt idx="112">
                  <c:v>39</c:v>
                </c:pt>
                <c:pt idx="113">
                  <c:v>39</c:v>
                </c:pt>
                <c:pt idx="114">
                  <c:v>39</c:v>
                </c:pt>
                <c:pt idx="115">
                  <c:v>39</c:v>
                </c:pt>
                <c:pt idx="116">
                  <c:v>39</c:v>
                </c:pt>
                <c:pt idx="117">
                  <c:v>39</c:v>
                </c:pt>
                <c:pt idx="118">
                  <c:v>39</c:v>
                </c:pt>
                <c:pt idx="119">
                  <c:v>39</c:v>
                </c:pt>
                <c:pt idx="120">
                  <c:v>39</c:v>
                </c:pt>
                <c:pt idx="121">
                  <c:v>39</c:v>
                </c:pt>
                <c:pt idx="122">
                  <c:v>39</c:v>
                </c:pt>
                <c:pt idx="123">
                  <c:v>39</c:v>
                </c:pt>
                <c:pt idx="124">
                  <c:v>39</c:v>
                </c:pt>
                <c:pt idx="125">
                  <c:v>39</c:v>
                </c:pt>
                <c:pt idx="126">
                  <c:v>39</c:v>
                </c:pt>
                <c:pt idx="127">
                  <c:v>39</c:v>
                </c:pt>
                <c:pt idx="128">
                  <c:v>39</c:v>
                </c:pt>
                <c:pt idx="129">
                  <c:v>39</c:v>
                </c:pt>
                <c:pt idx="130">
                  <c:v>39</c:v>
                </c:pt>
                <c:pt idx="131">
                  <c:v>39</c:v>
                </c:pt>
                <c:pt idx="132">
                  <c:v>39</c:v>
                </c:pt>
                <c:pt idx="133">
                  <c:v>39</c:v>
                </c:pt>
                <c:pt idx="134">
                  <c:v>39</c:v>
                </c:pt>
                <c:pt idx="135">
                  <c:v>39</c:v>
                </c:pt>
                <c:pt idx="136">
                  <c:v>39</c:v>
                </c:pt>
                <c:pt idx="137">
                  <c:v>39</c:v>
                </c:pt>
                <c:pt idx="138">
                  <c:v>39</c:v>
                </c:pt>
                <c:pt idx="139">
                  <c:v>39</c:v>
                </c:pt>
                <c:pt idx="140">
                  <c:v>39</c:v>
                </c:pt>
                <c:pt idx="141">
                  <c:v>39</c:v>
                </c:pt>
                <c:pt idx="142">
                  <c:v>39</c:v>
                </c:pt>
                <c:pt idx="143">
                  <c:v>39</c:v>
                </c:pt>
                <c:pt idx="144">
                  <c:v>39</c:v>
                </c:pt>
                <c:pt idx="145">
                  <c:v>39</c:v>
                </c:pt>
                <c:pt idx="146">
                  <c:v>39</c:v>
                </c:pt>
                <c:pt idx="147">
                  <c:v>39</c:v>
                </c:pt>
                <c:pt idx="148">
                  <c:v>39</c:v>
                </c:pt>
                <c:pt idx="149">
                  <c:v>39</c:v>
                </c:pt>
                <c:pt idx="150">
                  <c:v>39</c:v>
                </c:pt>
                <c:pt idx="151">
                  <c:v>39</c:v>
                </c:pt>
                <c:pt idx="152">
                  <c:v>39</c:v>
                </c:pt>
                <c:pt idx="153">
                  <c:v>39</c:v>
                </c:pt>
                <c:pt idx="154">
                  <c:v>39</c:v>
                </c:pt>
                <c:pt idx="155">
                  <c:v>39</c:v>
                </c:pt>
                <c:pt idx="156">
                  <c:v>39</c:v>
                </c:pt>
                <c:pt idx="157">
                  <c:v>39</c:v>
                </c:pt>
                <c:pt idx="158">
                  <c:v>39</c:v>
                </c:pt>
                <c:pt idx="159">
                  <c:v>39</c:v>
                </c:pt>
                <c:pt idx="160">
                  <c:v>39</c:v>
                </c:pt>
                <c:pt idx="161">
                  <c:v>39</c:v>
                </c:pt>
                <c:pt idx="162">
                  <c:v>39</c:v>
                </c:pt>
                <c:pt idx="163">
                  <c:v>39</c:v>
                </c:pt>
                <c:pt idx="164">
                  <c:v>39</c:v>
                </c:pt>
                <c:pt idx="165">
                  <c:v>39</c:v>
                </c:pt>
                <c:pt idx="166">
                  <c:v>39</c:v>
                </c:pt>
                <c:pt idx="167">
                  <c:v>39</c:v>
                </c:pt>
                <c:pt idx="168">
                  <c:v>39</c:v>
                </c:pt>
                <c:pt idx="169">
                  <c:v>39</c:v>
                </c:pt>
                <c:pt idx="170">
                  <c:v>39</c:v>
                </c:pt>
                <c:pt idx="171">
                  <c:v>39</c:v>
                </c:pt>
                <c:pt idx="172">
                  <c:v>39</c:v>
                </c:pt>
                <c:pt idx="173">
                  <c:v>39</c:v>
                </c:pt>
                <c:pt idx="174">
                  <c:v>39</c:v>
                </c:pt>
                <c:pt idx="175">
                  <c:v>39</c:v>
                </c:pt>
                <c:pt idx="176">
                  <c:v>39</c:v>
                </c:pt>
                <c:pt idx="177">
                  <c:v>39</c:v>
                </c:pt>
                <c:pt idx="178">
                  <c:v>39</c:v>
                </c:pt>
                <c:pt idx="179">
                  <c:v>39</c:v>
                </c:pt>
                <c:pt idx="180">
                  <c:v>39</c:v>
                </c:pt>
                <c:pt idx="181">
                  <c:v>39</c:v>
                </c:pt>
                <c:pt idx="182">
                  <c:v>39</c:v>
                </c:pt>
                <c:pt idx="183">
                  <c:v>39</c:v>
                </c:pt>
                <c:pt idx="184">
                  <c:v>39</c:v>
                </c:pt>
                <c:pt idx="185">
                  <c:v>39</c:v>
                </c:pt>
                <c:pt idx="186">
                  <c:v>39</c:v>
                </c:pt>
                <c:pt idx="187">
                  <c:v>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26-4E58-A6CC-7621250920B9}"/>
            </c:ext>
          </c:extLst>
        </c:ser>
        <c:ser>
          <c:idx val="1"/>
          <c:order val="1"/>
          <c:tx>
            <c:strRef>
              <c:f>SWB!$AQ$12</c:f>
              <c:strCache>
                <c:ptCount val="1"/>
                <c:pt idx="0">
                  <c:v>Final del 
agotamiento corregido</c:v>
                </c:pt>
              </c:strCache>
            </c:strRef>
          </c:tx>
          <c:marker>
            <c:symbol val="none"/>
          </c:marker>
          <c:xVal>
            <c:numRef>
              <c:f>SWB!$C$15:$C$291</c:f>
              <c:numCache>
                <c:formatCode>m/d/yyyy</c:formatCode>
                <c:ptCount val="277"/>
                <c:pt idx="0">
                  <c:v>42016</c:v>
                </c:pt>
                <c:pt idx="1">
                  <c:v>42017</c:v>
                </c:pt>
                <c:pt idx="2">
                  <c:v>42018</c:v>
                </c:pt>
                <c:pt idx="3">
                  <c:v>42019</c:v>
                </c:pt>
                <c:pt idx="4">
                  <c:v>42020</c:v>
                </c:pt>
                <c:pt idx="5">
                  <c:v>42021</c:v>
                </c:pt>
                <c:pt idx="6">
                  <c:v>42022</c:v>
                </c:pt>
                <c:pt idx="7">
                  <c:v>42023</c:v>
                </c:pt>
                <c:pt idx="8">
                  <c:v>42024</c:v>
                </c:pt>
                <c:pt idx="9">
                  <c:v>42025</c:v>
                </c:pt>
                <c:pt idx="10">
                  <c:v>42026</c:v>
                </c:pt>
                <c:pt idx="11">
                  <c:v>42027</c:v>
                </c:pt>
                <c:pt idx="12">
                  <c:v>42028</c:v>
                </c:pt>
                <c:pt idx="13">
                  <c:v>42029</c:v>
                </c:pt>
                <c:pt idx="14">
                  <c:v>42030</c:v>
                </c:pt>
                <c:pt idx="15">
                  <c:v>42031</c:v>
                </c:pt>
                <c:pt idx="16">
                  <c:v>42032</c:v>
                </c:pt>
                <c:pt idx="17">
                  <c:v>42033</c:v>
                </c:pt>
                <c:pt idx="18">
                  <c:v>42034</c:v>
                </c:pt>
                <c:pt idx="19">
                  <c:v>42035</c:v>
                </c:pt>
                <c:pt idx="20">
                  <c:v>42036</c:v>
                </c:pt>
                <c:pt idx="21">
                  <c:v>42037</c:v>
                </c:pt>
                <c:pt idx="22">
                  <c:v>42038</c:v>
                </c:pt>
                <c:pt idx="23">
                  <c:v>42039</c:v>
                </c:pt>
                <c:pt idx="24">
                  <c:v>42040</c:v>
                </c:pt>
                <c:pt idx="25">
                  <c:v>42041</c:v>
                </c:pt>
                <c:pt idx="26">
                  <c:v>42042</c:v>
                </c:pt>
                <c:pt idx="27">
                  <c:v>42043</c:v>
                </c:pt>
                <c:pt idx="28">
                  <c:v>42044</c:v>
                </c:pt>
                <c:pt idx="29">
                  <c:v>42045</c:v>
                </c:pt>
                <c:pt idx="30">
                  <c:v>42046</c:v>
                </c:pt>
                <c:pt idx="31">
                  <c:v>42047</c:v>
                </c:pt>
                <c:pt idx="32">
                  <c:v>42048</c:v>
                </c:pt>
                <c:pt idx="33">
                  <c:v>42049</c:v>
                </c:pt>
                <c:pt idx="34">
                  <c:v>42050</c:v>
                </c:pt>
                <c:pt idx="35">
                  <c:v>42051</c:v>
                </c:pt>
                <c:pt idx="36">
                  <c:v>42052</c:v>
                </c:pt>
                <c:pt idx="37">
                  <c:v>42053</c:v>
                </c:pt>
                <c:pt idx="38">
                  <c:v>42054</c:v>
                </c:pt>
                <c:pt idx="39">
                  <c:v>42055</c:v>
                </c:pt>
                <c:pt idx="40">
                  <c:v>42056</c:v>
                </c:pt>
                <c:pt idx="41">
                  <c:v>42057</c:v>
                </c:pt>
                <c:pt idx="42">
                  <c:v>42058</c:v>
                </c:pt>
                <c:pt idx="43">
                  <c:v>42059</c:v>
                </c:pt>
                <c:pt idx="44">
                  <c:v>42060</c:v>
                </c:pt>
                <c:pt idx="45">
                  <c:v>42061</c:v>
                </c:pt>
                <c:pt idx="46">
                  <c:v>42062</c:v>
                </c:pt>
                <c:pt idx="47">
                  <c:v>42063</c:v>
                </c:pt>
                <c:pt idx="48">
                  <c:v>42064</c:v>
                </c:pt>
                <c:pt idx="49">
                  <c:v>42065</c:v>
                </c:pt>
                <c:pt idx="50">
                  <c:v>42066</c:v>
                </c:pt>
                <c:pt idx="51">
                  <c:v>42067</c:v>
                </c:pt>
                <c:pt idx="52">
                  <c:v>42068</c:v>
                </c:pt>
                <c:pt idx="53">
                  <c:v>42069</c:v>
                </c:pt>
                <c:pt idx="54">
                  <c:v>42070</c:v>
                </c:pt>
                <c:pt idx="55">
                  <c:v>42071</c:v>
                </c:pt>
                <c:pt idx="56">
                  <c:v>42072</c:v>
                </c:pt>
                <c:pt idx="57">
                  <c:v>42073</c:v>
                </c:pt>
                <c:pt idx="58">
                  <c:v>42074</c:v>
                </c:pt>
                <c:pt idx="59">
                  <c:v>42075</c:v>
                </c:pt>
                <c:pt idx="60">
                  <c:v>42076</c:v>
                </c:pt>
                <c:pt idx="61">
                  <c:v>42077</c:v>
                </c:pt>
                <c:pt idx="62">
                  <c:v>42078</c:v>
                </c:pt>
                <c:pt idx="63">
                  <c:v>42079</c:v>
                </c:pt>
                <c:pt idx="64">
                  <c:v>42080</c:v>
                </c:pt>
                <c:pt idx="65">
                  <c:v>42081</c:v>
                </c:pt>
                <c:pt idx="66">
                  <c:v>42082</c:v>
                </c:pt>
                <c:pt idx="67">
                  <c:v>42083</c:v>
                </c:pt>
                <c:pt idx="68">
                  <c:v>42084</c:v>
                </c:pt>
                <c:pt idx="69">
                  <c:v>42085</c:v>
                </c:pt>
                <c:pt idx="70">
                  <c:v>42086</c:v>
                </c:pt>
                <c:pt idx="71">
                  <c:v>42087</c:v>
                </c:pt>
                <c:pt idx="72">
                  <c:v>42088</c:v>
                </c:pt>
                <c:pt idx="73">
                  <c:v>42089</c:v>
                </c:pt>
                <c:pt idx="74">
                  <c:v>42090</c:v>
                </c:pt>
                <c:pt idx="75">
                  <c:v>42091</c:v>
                </c:pt>
                <c:pt idx="76">
                  <c:v>42092</c:v>
                </c:pt>
                <c:pt idx="77">
                  <c:v>42093</c:v>
                </c:pt>
                <c:pt idx="78">
                  <c:v>42094</c:v>
                </c:pt>
                <c:pt idx="79">
                  <c:v>42095</c:v>
                </c:pt>
                <c:pt idx="80">
                  <c:v>42096</c:v>
                </c:pt>
                <c:pt idx="81">
                  <c:v>42097</c:v>
                </c:pt>
                <c:pt idx="82">
                  <c:v>42098</c:v>
                </c:pt>
                <c:pt idx="83">
                  <c:v>42099</c:v>
                </c:pt>
                <c:pt idx="84">
                  <c:v>42100</c:v>
                </c:pt>
                <c:pt idx="85">
                  <c:v>42101</c:v>
                </c:pt>
                <c:pt idx="86">
                  <c:v>42102</c:v>
                </c:pt>
                <c:pt idx="87">
                  <c:v>42103</c:v>
                </c:pt>
                <c:pt idx="88">
                  <c:v>42104</c:v>
                </c:pt>
                <c:pt idx="89">
                  <c:v>42105</c:v>
                </c:pt>
                <c:pt idx="90">
                  <c:v>42106</c:v>
                </c:pt>
                <c:pt idx="91">
                  <c:v>42107</c:v>
                </c:pt>
                <c:pt idx="92">
                  <c:v>42108</c:v>
                </c:pt>
                <c:pt idx="93">
                  <c:v>42109</c:v>
                </c:pt>
                <c:pt idx="94">
                  <c:v>42110</c:v>
                </c:pt>
                <c:pt idx="95">
                  <c:v>42111</c:v>
                </c:pt>
                <c:pt idx="96">
                  <c:v>42112</c:v>
                </c:pt>
                <c:pt idx="97">
                  <c:v>42113</c:v>
                </c:pt>
                <c:pt idx="98">
                  <c:v>42114</c:v>
                </c:pt>
                <c:pt idx="99">
                  <c:v>42115</c:v>
                </c:pt>
                <c:pt idx="100">
                  <c:v>42116</c:v>
                </c:pt>
                <c:pt idx="101">
                  <c:v>42117</c:v>
                </c:pt>
                <c:pt idx="102">
                  <c:v>42118</c:v>
                </c:pt>
                <c:pt idx="103">
                  <c:v>42119</c:v>
                </c:pt>
                <c:pt idx="104">
                  <c:v>42120</c:v>
                </c:pt>
                <c:pt idx="105">
                  <c:v>42121</c:v>
                </c:pt>
                <c:pt idx="106">
                  <c:v>42122</c:v>
                </c:pt>
                <c:pt idx="107">
                  <c:v>42123</c:v>
                </c:pt>
                <c:pt idx="108">
                  <c:v>42124</c:v>
                </c:pt>
                <c:pt idx="109">
                  <c:v>42125</c:v>
                </c:pt>
                <c:pt idx="110">
                  <c:v>42126</c:v>
                </c:pt>
                <c:pt idx="111">
                  <c:v>42127</c:v>
                </c:pt>
                <c:pt idx="112">
                  <c:v>42128</c:v>
                </c:pt>
                <c:pt idx="113">
                  <c:v>42129</c:v>
                </c:pt>
                <c:pt idx="114">
                  <c:v>42130</c:v>
                </c:pt>
                <c:pt idx="115">
                  <c:v>42131</c:v>
                </c:pt>
                <c:pt idx="116">
                  <c:v>42132</c:v>
                </c:pt>
                <c:pt idx="117">
                  <c:v>42133</c:v>
                </c:pt>
                <c:pt idx="118">
                  <c:v>42134</c:v>
                </c:pt>
                <c:pt idx="119">
                  <c:v>42135</c:v>
                </c:pt>
                <c:pt idx="120">
                  <c:v>42136</c:v>
                </c:pt>
                <c:pt idx="121">
                  <c:v>42137</c:v>
                </c:pt>
                <c:pt idx="122">
                  <c:v>42138</c:v>
                </c:pt>
                <c:pt idx="123">
                  <c:v>42139</c:v>
                </c:pt>
                <c:pt idx="124">
                  <c:v>42140</c:v>
                </c:pt>
                <c:pt idx="125">
                  <c:v>42141</c:v>
                </c:pt>
                <c:pt idx="126">
                  <c:v>42142</c:v>
                </c:pt>
                <c:pt idx="127">
                  <c:v>42143</c:v>
                </c:pt>
                <c:pt idx="128">
                  <c:v>42144</c:v>
                </c:pt>
                <c:pt idx="129">
                  <c:v>42145</c:v>
                </c:pt>
                <c:pt idx="130">
                  <c:v>42146</c:v>
                </c:pt>
                <c:pt idx="131">
                  <c:v>42147</c:v>
                </c:pt>
                <c:pt idx="132">
                  <c:v>42148</c:v>
                </c:pt>
                <c:pt idx="133">
                  <c:v>42149</c:v>
                </c:pt>
                <c:pt idx="134">
                  <c:v>42150</c:v>
                </c:pt>
                <c:pt idx="135">
                  <c:v>42151</c:v>
                </c:pt>
                <c:pt idx="136">
                  <c:v>42152</c:v>
                </c:pt>
                <c:pt idx="137">
                  <c:v>42153</c:v>
                </c:pt>
                <c:pt idx="138">
                  <c:v>42154</c:v>
                </c:pt>
                <c:pt idx="139">
                  <c:v>42155</c:v>
                </c:pt>
                <c:pt idx="140">
                  <c:v>42156</c:v>
                </c:pt>
                <c:pt idx="141">
                  <c:v>42157</c:v>
                </c:pt>
                <c:pt idx="142">
                  <c:v>42158</c:v>
                </c:pt>
                <c:pt idx="143">
                  <c:v>42159</c:v>
                </c:pt>
                <c:pt idx="144">
                  <c:v>42160</c:v>
                </c:pt>
                <c:pt idx="145">
                  <c:v>42161</c:v>
                </c:pt>
                <c:pt idx="146">
                  <c:v>42162</c:v>
                </c:pt>
                <c:pt idx="147">
                  <c:v>42163</c:v>
                </c:pt>
                <c:pt idx="148">
                  <c:v>42164</c:v>
                </c:pt>
                <c:pt idx="149">
                  <c:v>42165</c:v>
                </c:pt>
                <c:pt idx="150">
                  <c:v>42166</c:v>
                </c:pt>
                <c:pt idx="151">
                  <c:v>42167</c:v>
                </c:pt>
                <c:pt idx="152">
                  <c:v>42168</c:v>
                </c:pt>
                <c:pt idx="153">
                  <c:v>42169</c:v>
                </c:pt>
                <c:pt idx="154">
                  <c:v>42170</c:v>
                </c:pt>
                <c:pt idx="155">
                  <c:v>42171</c:v>
                </c:pt>
                <c:pt idx="156">
                  <c:v>42172</c:v>
                </c:pt>
                <c:pt idx="157">
                  <c:v>42173</c:v>
                </c:pt>
                <c:pt idx="158">
                  <c:v>42174</c:v>
                </c:pt>
                <c:pt idx="159">
                  <c:v>42175</c:v>
                </c:pt>
                <c:pt idx="160">
                  <c:v>42176</c:v>
                </c:pt>
                <c:pt idx="161">
                  <c:v>42177</c:v>
                </c:pt>
                <c:pt idx="162">
                  <c:v>42178</c:v>
                </c:pt>
                <c:pt idx="163">
                  <c:v>42179</c:v>
                </c:pt>
                <c:pt idx="164">
                  <c:v>42180</c:v>
                </c:pt>
                <c:pt idx="165">
                  <c:v>42181</c:v>
                </c:pt>
                <c:pt idx="166">
                  <c:v>42182</c:v>
                </c:pt>
                <c:pt idx="167">
                  <c:v>42183</c:v>
                </c:pt>
                <c:pt idx="168">
                  <c:v>42184</c:v>
                </c:pt>
                <c:pt idx="169">
                  <c:v>42185</c:v>
                </c:pt>
                <c:pt idx="170">
                  <c:v>42186</c:v>
                </c:pt>
                <c:pt idx="171">
                  <c:v>42187</c:v>
                </c:pt>
                <c:pt idx="172">
                  <c:v>42188</c:v>
                </c:pt>
                <c:pt idx="173">
                  <c:v>42189</c:v>
                </c:pt>
                <c:pt idx="174">
                  <c:v>42190</c:v>
                </c:pt>
                <c:pt idx="175">
                  <c:v>42191</c:v>
                </c:pt>
                <c:pt idx="176">
                  <c:v>42192</c:v>
                </c:pt>
                <c:pt idx="177">
                  <c:v>42193</c:v>
                </c:pt>
                <c:pt idx="178">
                  <c:v>42194</c:v>
                </c:pt>
                <c:pt idx="179">
                  <c:v>42195</c:v>
                </c:pt>
                <c:pt idx="180">
                  <c:v>42196</c:v>
                </c:pt>
                <c:pt idx="181">
                  <c:v>42197</c:v>
                </c:pt>
                <c:pt idx="182">
                  <c:v>42198</c:v>
                </c:pt>
                <c:pt idx="183">
                  <c:v>42199</c:v>
                </c:pt>
                <c:pt idx="184">
                  <c:v>42200</c:v>
                </c:pt>
                <c:pt idx="185">
                  <c:v>42201</c:v>
                </c:pt>
                <c:pt idx="186">
                  <c:v>42202</c:v>
                </c:pt>
                <c:pt idx="187">
                  <c:v>42203</c:v>
                </c:pt>
              </c:numCache>
            </c:numRef>
          </c:xVal>
          <c:yVal>
            <c:numRef>
              <c:f>SWB!$AQ$15:$AQ$291</c:f>
              <c:numCache>
                <c:formatCode>0.0000</c:formatCode>
                <c:ptCount val="277"/>
                <c:pt idx="0">
                  <c:v>8.269520986311111</c:v>
                </c:pt>
                <c:pt idx="1">
                  <c:v>8.4609511087999998</c:v>
                </c:pt>
                <c:pt idx="2">
                  <c:v>8.7661155516800005</c:v>
                </c:pt>
                <c:pt idx="3">
                  <c:v>9.0988355500000004</c:v>
                </c:pt>
                <c:pt idx="4">
                  <c:v>8.9102798194978465</c:v>
                </c:pt>
                <c:pt idx="5">
                  <c:v>9.203241920701009</c:v>
                </c:pt>
                <c:pt idx="6">
                  <c:v>6.7396973278263426</c:v>
                </c:pt>
                <c:pt idx="7">
                  <c:v>5.1579250313890102</c:v>
                </c:pt>
                <c:pt idx="8">
                  <c:v>5.9761527349516772</c:v>
                </c:pt>
                <c:pt idx="9">
                  <c:v>6.6966589014596769</c:v>
                </c:pt>
                <c:pt idx="10">
                  <c:v>6.9992686999239782</c:v>
                </c:pt>
                <c:pt idx="11">
                  <c:v>7.449786345099688</c:v>
                </c:pt>
                <c:pt idx="12">
                  <c:v>8.081092939649853</c:v>
                </c:pt>
                <c:pt idx="13">
                  <c:v>8.4835376401248936</c:v>
                </c:pt>
                <c:pt idx="14">
                  <c:v>8.8097387975497856</c:v>
                </c:pt>
                <c:pt idx="15">
                  <c:v>9.133490378769622</c:v>
                </c:pt>
                <c:pt idx="16">
                  <c:v>9.4905678703963865</c:v>
                </c:pt>
                <c:pt idx="17">
                  <c:v>9.7385313435053114</c:v>
                </c:pt>
                <c:pt idx="18">
                  <c:v>9.8964027039743989</c:v>
                </c:pt>
                <c:pt idx="19">
                  <c:v>0.23057964815439957</c:v>
                </c:pt>
                <c:pt idx="20">
                  <c:v>1.7647565923343995</c:v>
                </c:pt>
                <c:pt idx="21">
                  <c:v>2.6989335365143994</c:v>
                </c:pt>
                <c:pt idx="22">
                  <c:v>2.9308320177490659</c:v>
                </c:pt>
                <c:pt idx="23">
                  <c:v>0.76500896192906565</c:v>
                </c:pt>
                <c:pt idx="24">
                  <c:v>2.4014643690543993</c:v>
                </c:pt>
                <c:pt idx="25">
                  <c:v>4.3447551650157328</c:v>
                </c:pt>
                <c:pt idx="26">
                  <c:v>5.0935716972844558</c:v>
                </c:pt>
                <c:pt idx="27">
                  <c:v>5.5346918517101074</c:v>
                </c:pt>
                <c:pt idx="28">
                  <c:v>6.4440011054753175</c:v>
                </c:pt>
                <c:pt idx="29">
                  <c:v>7.1121358217276125</c:v>
                </c:pt>
                <c:pt idx="30">
                  <c:v>7.8485711436335395</c:v>
                </c:pt>
                <c:pt idx="31">
                  <c:v>7.58274808781354</c:v>
                </c:pt>
                <c:pt idx="32">
                  <c:v>8.1678783905342236</c:v>
                </c:pt>
                <c:pt idx="33">
                  <c:v>8.6271524980366348</c:v>
                </c:pt>
                <c:pt idx="34">
                  <c:v>9.384114071669968</c:v>
                </c:pt>
                <c:pt idx="35">
                  <c:v>9.7866537018499162</c:v>
                </c:pt>
                <c:pt idx="36">
                  <c:v>5.7367798866472501</c:v>
                </c:pt>
                <c:pt idx="37">
                  <c:v>6.7595645161005837</c:v>
                </c:pt>
                <c:pt idx="38">
                  <c:v>8.1914629973352504</c:v>
                </c:pt>
                <c:pt idx="39">
                  <c:v>10.037032256241917</c:v>
                </c:pt>
                <c:pt idx="40">
                  <c:v>9.3162517996946441</c:v>
                </c:pt>
                <c:pt idx="41">
                  <c:v>10.280542697709908</c:v>
                </c:pt>
                <c:pt idx="42">
                  <c:v>9.4352258083979077</c:v>
                </c:pt>
                <c:pt idx="43">
                  <c:v>11.480795067304575</c:v>
                </c:pt>
                <c:pt idx="44">
                  <c:v>12.308713806312277</c:v>
                </c:pt>
                <c:pt idx="45">
                  <c:v>12.884867638357022</c:v>
                </c:pt>
                <c:pt idx="46">
                  <c:v>13.487719159069961</c:v>
                </c:pt>
                <c:pt idx="47">
                  <c:v>13.95101078717985</c:v>
                </c:pt>
                <c:pt idx="48">
                  <c:v>14.738117795645291</c:v>
                </c:pt>
                <c:pt idx="49">
                  <c:v>15.837029673216916</c:v>
                </c:pt>
                <c:pt idx="50">
                  <c:v>16.946723191294243</c:v>
                </c:pt>
                <c:pt idx="51">
                  <c:v>17.832482227089677</c:v>
                </c:pt>
                <c:pt idx="52">
                  <c:v>18.983478619888764</c:v>
                </c:pt>
                <c:pt idx="53">
                  <c:v>16.542824916051266</c:v>
                </c:pt>
                <c:pt idx="54">
                  <c:v>14.103737415909599</c:v>
                </c:pt>
                <c:pt idx="55">
                  <c:v>15.026229749189099</c:v>
                </c:pt>
                <c:pt idx="56">
                  <c:v>17.487712860149099</c:v>
                </c:pt>
                <c:pt idx="57">
                  <c:v>18.371609661103964</c:v>
                </c:pt>
                <c:pt idx="58">
                  <c:v>19.24170988120877</c:v>
                </c:pt>
                <c:pt idx="59">
                  <c:v>20.301590392487888</c:v>
                </c:pt>
                <c:pt idx="60">
                  <c:v>21.266628476187229</c:v>
                </c:pt>
                <c:pt idx="61">
                  <c:v>22.348595780400178</c:v>
                </c:pt>
                <c:pt idx="62">
                  <c:v>23.28561058838644</c:v>
                </c:pt>
                <c:pt idx="63">
                  <c:v>24.345318359790809</c:v>
                </c:pt>
                <c:pt idx="64">
                  <c:v>26.009222911514428</c:v>
                </c:pt>
                <c:pt idx="65">
                  <c:v>17.421488042409042</c:v>
                </c:pt>
                <c:pt idx="66">
                  <c:v>14.220689424455141</c:v>
                </c:pt>
                <c:pt idx="67">
                  <c:v>12.904960896854771</c:v>
                </c:pt>
                <c:pt idx="68">
                  <c:v>1.2243404541601448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0.99595186988773987</c:v>
                </c:pt>
                <c:pt idx="73">
                  <c:v>5.1438657452034349</c:v>
                </c:pt>
                <c:pt idx="74">
                  <c:v>7.4678421899342347</c:v>
                </c:pt>
                <c:pt idx="75">
                  <c:v>10.042398041990745</c:v>
                </c:pt>
                <c:pt idx="76">
                  <c:v>12.324243152723062</c:v>
                </c:pt>
                <c:pt idx="77">
                  <c:v>14.655751332069062</c:v>
                </c:pt>
                <c:pt idx="78">
                  <c:v>17.83277825775242</c:v>
                </c:pt>
                <c:pt idx="79">
                  <c:v>19.897412985788122</c:v>
                </c:pt>
                <c:pt idx="80">
                  <c:v>22.23487002998003</c:v>
                </c:pt>
                <c:pt idx="81">
                  <c:v>24.778471903488146</c:v>
                </c:pt>
                <c:pt idx="82">
                  <c:v>28.00820008884677</c:v>
                </c:pt>
                <c:pt idx="83">
                  <c:v>28.893357837378598</c:v>
                </c:pt>
                <c:pt idx="84">
                  <c:v>30.045090883640427</c:v>
                </c:pt>
                <c:pt idx="85">
                  <c:v>32.566958389657287</c:v>
                </c:pt>
                <c:pt idx="86">
                  <c:v>35.828580074241628</c:v>
                </c:pt>
                <c:pt idx="87">
                  <c:v>38.012815017644876</c:v>
                </c:pt>
                <c:pt idx="88">
                  <c:v>37.077480266250966</c:v>
                </c:pt>
                <c:pt idx="89">
                  <c:v>35.440687420917939</c:v>
                </c:pt>
                <c:pt idx="90">
                  <c:v>33.860680510528788</c:v>
                </c:pt>
                <c:pt idx="91">
                  <c:v>37.398460601060819</c:v>
                </c:pt>
                <c:pt idx="92">
                  <c:v>40.307683420286679</c:v>
                </c:pt>
                <c:pt idx="93">
                  <c:v>33.346849816283914</c:v>
                </c:pt>
                <c:pt idx="94">
                  <c:v>28.798197965137248</c:v>
                </c:pt>
                <c:pt idx="95">
                  <c:v>33.563876375748144</c:v>
                </c:pt>
                <c:pt idx="96">
                  <c:v>36.692091768927817</c:v>
                </c:pt>
                <c:pt idx="97">
                  <c:v>40.71153796902712</c:v>
                </c:pt>
                <c:pt idx="98">
                  <c:v>38.516250932210454</c:v>
                </c:pt>
                <c:pt idx="99">
                  <c:v>34.887827316575766</c:v>
                </c:pt>
                <c:pt idx="100">
                  <c:v>31.619111089945658</c:v>
                </c:pt>
                <c:pt idx="101">
                  <c:v>34.204065703488794</c:v>
                </c:pt>
                <c:pt idx="102">
                  <c:v>38.252491370294294</c:v>
                </c:pt>
                <c:pt idx="103">
                  <c:v>42.00653618202066</c:v>
                </c:pt>
                <c:pt idx="104">
                  <c:v>39.094849846216533</c:v>
                </c:pt>
                <c:pt idx="105">
                  <c:v>39.120623286397183</c:v>
                </c:pt>
                <c:pt idx="106">
                  <c:v>38.065963934506769</c:v>
                </c:pt>
                <c:pt idx="107">
                  <c:v>37.464811219137673</c:v>
                </c:pt>
                <c:pt idx="108">
                  <c:v>34.834826982951363</c:v>
                </c:pt>
                <c:pt idx="109">
                  <c:v>34.465449112349276</c:v>
                </c:pt>
                <c:pt idx="110">
                  <c:v>34.213457630527607</c:v>
                </c:pt>
                <c:pt idx="111">
                  <c:v>33.965223648636353</c:v>
                </c:pt>
                <c:pt idx="112">
                  <c:v>39.622435515395878</c:v>
                </c:pt>
                <c:pt idx="113">
                  <c:v>40.167656816875528</c:v>
                </c:pt>
                <c:pt idx="114">
                  <c:v>37.999144779563025</c:v>
                </c:pt>
                <c:pt idx="115">
                  <c:v>35.830832452884898</c:v>
                </c:pt>
                <c:pt idx="116">
                  <c:v>32.869791369333399</c:v>
                </c:pt>
                <c:pt idx="117">
                  <c:v>35.135461045005897</c:v>
                </c:pt>
                <c:pt idx="118">
                  <c:v>37.741164905812894</c:v>
                </c:pt>
                <c:pt idx="119">
                  <c:v>39.800851208940436</c:v>
                </c:pt>
                <c:pt idx="120">
                  <c:v>39.260173638562819</c:v>
                </c:pt>
                <c:pt idx="121">
                  <c:v>37.659636763116566</c:v>
                </c:pt>
                <c:pt idx="122">
                  <c:v>35.71936926270007</c:v>
                </c:pt>
                <c:pt idx="123">
                  <c:v>35.025963007463318</c:v>
                </c:pt>
                <c:pt idx="124">
                  <c:v>34.559539117913317</c:v>
                </c:pt>
                <c:pt idx="125">
                  <c:v>34.668434765378315</c:v>
                </c:pt>
                <c:pt idx="126">
                  <c:v>34.777649949858315</c:v>
                </c:pt>
                <c:pt idx="127">
                  <c:v>17.832184671353314</c:v>
                </c:pt>
                <c:pt idx="128">
                  <c:v>19.092038929863314</c:v>
                </c:pt>
                <c:pt idx="129">
                  <c:v>25.122212725388316</c:v>
                </c:pt>
                <c:pt idx="130">
                  <c:v>31.727706057928316</c:v>
                </c:pt>
                <c:pt idx="131">
                  <c:v>37.643199390468318</c:v>
                </c:pt>
                <c:pt idx="132">
                  <c:v>42.143455429803659</c:v>
                </c:pt>
                <c:pt idx="133">
                  <c:v>42.292430078891194</c:v>
                </c:pt>
                <c:pt idx="134">
                  <c:v>42.181626241083464</c:v>
                </c:pt>
                <c:pt idx="135">
                  <c:v>42.104588846044578</c:v>
                </c:pt>
                <c:pt idx="136">
                  <c:v>42.508194800554115</c:v>
                </c:pt>
                <c:pt idx="137">
                  <c:v>39.74320844597564</c:v>
                </c:pt>
                <c:pt idx="138">
                  <c:v>32.88295066683564</c:v>
                </c:pt>
                <c:pt idx="139">
                  <c:v>31.968323998655642</c:v>
                </c:pt>
                <c:pt idx="140">
                  <c:v>38.18305066379564</c:v>
                </c:pt>
                <c:pt idx="141">
                  <c:v>43.008829085425532</c:v>
                </c:pt>
                <c:pt idx="142">
                  <c:v>42.84358058660419</c:v>
                </c:pt>
                <c:pt idx="143">
                  <c:v>42.6810891990744</c:v>
                </c:pt>
                <c:pt idx="144">
                  <c:v>42.411619842224631</c:v>
                </c:pt>
                <c:pt idx="145">
                  <c:v>42.327278078846582</c:v>
                </c:pt>
                <c:pt idx="146">
                  <c:v>42.472492780240444</c:v>
                </c:pt>
                <c:pt idx="147">
                  <c:v>42.844681260957614</c:v>
                </c:pt>
                <c:pt idx="148">
                  <c:v>39.525394737946364</c:v>
                </c:pt>
                <c:pt idx="149">
                  <c:v>40.268534923677798</c:v>
                </c:pt>
                <c:pt idx="150">
                  <c:v>19.642454921977798</c:v>
                </c:pt>
                <c:pt idx="151">
                  <c:v>20.867141838961579</c:v>
                </c:pt>
                <c:pt idx="152">
                  <c:v>26.25011072472158</c:v>
                </c:pt>
                <c:pt idx="153">
                  <c:v>32.810930719801583</c:v>
                </c:pt>
                <c:pt idx="154">
                  <c:v>35.977984814667465</c:v>
                </c:pt>
                <c:pt idx="155">
                  <c:v>37.026173489255086</c:v>
                </c:pt>
                <c:pt idx="156">
                  <c:v>35.911954485043111</c:v>
                </c:pt>
                <c:pt idx="157">
                  <c:v>35.081220832464211</c:v>
                </c:pt>
                <c:pt idx="158">
                  <c:v>34.134088489373326</c:v>
                </c:pt>
                <c:pt idx="159">
                  <c:v>33.52854770659826</c:v>
                </c:pt>
                <c:pt idx="160">
                  <c:v>36.710249920278265</c:v>
                </c:pt>
                <c:pt idx="161">
                  <c:v>37.214146707497846</c:v>
                </c:pt>
                <c:pt idx="162">
                  <c:v>40.258549557504907</c:v>
                </c:pt>
                <c:pt idx="163">
                  <c:v>41.78741457178851</c:v>
                </c:pt>
                <c:pt idx="164">
                  <c:v>44.021497224000896</c:v>
                </c:pt>
                <c:pt idx="165">
                  <c:v>45.826283329281999</c:v>
                </c:pt>
                <c:pt idx="166">
                  <c:v>47.414498031655143</c:v>
                </c:pt>
                <c:pt idx="167">
                  <c:v>48.724747734953141</c:v>
                </c:pt>
                <c:pt idx="168">
                  <c:v>49.682347039402522</c:v>
                </c:pt>
                <c:pt idx="169">
                  <c:v>50.518457236578357</c:v>
                </c:pt>
                <c:pt idx="170">
                  <c:v>51.41792637286698</c:v>
                </c:pt>
                <c:pt idx="171">
                  <c:v>52.100582057264937</c:v>
                </c:pt>
                <c:pt idx="172">
                  <c:v>52.752864362171678</c:v>
                </c:pt>
                <c:pt idx="173">
                  <c:v>53.357653860089151</c:v>
                </c:pt>
                <c:pt idx="174">
                  <c:v>53.840553866888385</c:v>
                </c:pt>
                <c:pt idx="175">
                  <c:v>54.270765158273214</c:v>
                </c:pt>
                <c:pt idx="176">
                  <c:v>54.661432814433354</c:v>
                </c:pt>
                <c:pt idx="177">
                  <c:v>54.947034052549519</c:v>
                </c:pt>
                <c:pt idx="178">
                  <c:v>55.241611553394634</c:v>
                </c:pt>
                <c:pt idx="179">
                  <c:v>55.511129988622905</c:v>
                </c:pt>
                <c:pt idx="180">
                  <c:v>55.750021040469839</c:v>
                </c:pt>
                <c:pt idx="181">
                  <c:v>55.957427410703922</c:v>
                </c:pt>
                <c:pt idx="182">
                  <c:v>56.118171944091443</c:v>
                </c:pt>
                <c:pt idx="183">
                  <c:v>56.296920364186995</c:v>
                </c:pt>
                <c:pt idx="184">
                  <c:v>56.446062920318738</c:v>
                </c:pt>
                <c:pt idx="185">
                  <c:v>56.588105085305322</c:v>
                </c:pt>
                <c:pt idx="186">
                  <c:v>56.710610596090135</c:v>
                </c:pt>
                <c:pt idx="187">
                  <c:v>56.794799400151767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26-4E58-A6CC-762125092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296952"/>
        <c:axId val="486300872"/>
      </c:scatterChart>
      <c:valAx>
        <c:axId val="486296952"/>
        <c:scaling>
          <c:orientation val="minMax"/>
        </c:scaling>
        <c:delete val="0"/>
        <c:axPos val="b"/>
        <c:numFmt formatCode="[$-C0A]d\-mmm;@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36000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_tradnl"/>
          </a:p>
        </c:txPr>
        <c:crossAx val="486300872"/>
        <c:crosses val="autoZero"/>
        <c:crossBetween val="midCat"/>
        <c:majorUnit val="30"/>
      </c:valAx>
      <c:valAx>
        <c:axId val="48630087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s-ES" sz="12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K</a:t>
                </a:r>
                <a:r>
                  <a:rPr lang="es-ES" sz="1200" b="1" i="0" u="none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cb</a:t>
                </a:r>
                <a:r>
                  <a:rPr lang="es-ES" sz="12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, K</a:t>
                </a:r>
                <a:r>
                  <a:rPr lang="es-ES" sz="1200" b="1" i="0" u="none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c adj</a:t>
                </a:r>
              </a:p>
            </c:rich>
          </c:tx>
          <c:layout>
            <c:manualLayout>
              <c:xMode val="edge"/>
              <c:yMode val="edge"/>
              <c:x val="1.1086521673777562E-2"/>
              <c:y val="0.2714290187410784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_tradnl"/>
          </a:p>
        </c:txPr>
        <c:crossAx val="486296952"/>
        <c:crossesAt val="0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9.0909153976898263E-2"/>
          <c:y val="0.91785863609154128"/>
          <c:w val="0.87583243724490378"/>
          <c:h val="5.7143067642860479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6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_trad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_tradnl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_tradnl"/>
              <a:t>NDVI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>
        <c:manualLayout>
          <c:layoutTarget val="inner"/>
          <c:xMode val="edge"/>
          <c:yMode val="edge"/>
          <c:x val="0.10363715264345826"/>
          <c:y val="0.17153781080196256"/>
          <c:w val="0.69307195713209824"/>
          <c:h val="0.642548928423551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'NDVI tipo'!$U$6</c:f>
              <c:strCache>
                <c:ptCount val="1"/>
                <c:pt idx="0">
                  <c:v>NDVI tipo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'NDVI tipo'!$T$8:$T$193</c:f>
              <c:numCache>
                <c:formatCode>m/d/yyyy</c:formatCode>
                <c:ptCount val="186"/>
                <c:pt idx="0">
                  <c:v>42009</c:v>
                </c:pt>
                <c:pt idx="1">
                  <c:v>42010</c:v>
                </c:pt>
                <c:pt idx="2">
                  <c:v>42011</c:v>
                </c:pt>
                <c:pt idx="3">
                  <c:v>42012</c:v>
                </c:pt>
                <c:pt idx="4">
                  <c:v>42013</c:v>
                </c:pt>
                <c:pt idx="5">
                  <c:v>42014</c:v>
                </c:pt>
                <c:pt idx="6">
                  <c:v>42015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42021</c:v>
                </c:pt>
                <c:pt idx="13">
                  <c:v>42022</c:v>
                </c:pt>
                <c:pt idx="14">
                  <c:v>42023</c:v>
                </c:pt>
                <c:pt idx="15">
                  <c:v>42024</c:v>
                </c:pt>
                <c:pt idx="16">
                  <c:v>42025</c:v>
                </c:pt>
                <c:pt idx="17">
                  <c:v>42026</c:v>
                </c:pt>
                <c:pt idx="18">
                  <c:v>42027</c:v>
                </c:pt>
                <c:pt idx="19">
                  <c:v>42028</c:v>
                </c:pt>
                <c:pt idx="20">
                  <c:v>42029</c:v>
                </c:pt>
                <c:pt idx="21">
                  <c:v>42030</c:v>
                </c:pt>
                <c:pt idx="22">
                  <c:v>42031</c:v>
                </c:pt>
                <c:pt idx="23">
                  <c:v>42032</c:v>
                </c:pt>
                <c:pt idx="24">
                  <c:v>42033</c:v>
                </c:pt>
                <c:pt idx="25">
                  <c:v>42034</c:v>
                </c:pt>
                <c:pt idx="26">
                  <c:v>42035</c:v>
                </c:pt>
                <c:pt idx="27">
                  <c:v>42036</c:v>
                </c:pt>
                <c:pt idx="28">
                  <c:v>42037</c:v>
                </c:pt>
                <c:pt idx="29">
                  <c:v>42038</c:v>
                </c:pt>
                <c:pt idx="30">
                  <c:v>42039</c:v>
                </c:pt>
                <c:pt idx="31">
                  <c:v>42040</c:v>
                </c:pt>
                <c:pt idx="32">
                  <c:v>42041</c:v>
                </c:pt>
                <c:pt idx="33">
                  <c:v>42042</c:v>
                </c:pt>
                <c:pt idx="34">
                  <c:v>42043</c:v>
                </c:pt>
                <c:pt idx="35">
                  <c:v>42044</c:v>
                </c:pt>
                <c:pt idx="36">
                  <c:v>42045</c:v>
                </c:pt>
                <c:pt idx="37">
                  <c:v>42046</c:v>
                </c:pt>
                <c:pt idx="38">
                  <c:v>42047</c:v>
                </c:pt>
                <c:pt idx="39">
                  <c:v>42048</c:v>
                </c:pt>
                <c:pt idx="40">
                  <c:v>42049</c:v>
                </c:pt>
                <c:pt idx="41">
                  <c:v>42050</c:v>
                </c:pt>
                <c:pt idx="42">
                  <c:v>42051</c:v>
                </c:pt>
                <c:pt idx="43">
                  <c:v>42052</c:v>
                </c:pt>
                <c:pt idx="44">
                  <c:v>42053</c:v>
                </c:pt>
                <c:pt idx="45">
                  <c:v>42054</c:v>
                </c:pt>
                <c:pt idx="46">
                  <c:v>42055</c:v>
                </c:pt>
                <c:pt idx="47">
                  <c:v>42056</c:v>
                </c:pt>
                <c:pt idx="48">
                  <c:v>42057</c:v>
                </c:pt>
                <c:pt idx="49">
                  <c:v>42058</c:v>
                </c:pt>
                <c:pt idx="50">
                  <c:v>42059</c:v>
                </c:pt>
                <c:pt idx="51">
                  <c:v>42060</c:v>
                </c:pt>
                <c:pt idx="52">
                  <c:v>42061</c:v>
                </c:pt>
                <c:pt idx="53">
                  <c:v>42062</c:v>
                </c:pt>
                <c:pt idx="54">
                  <c:v>42063</c:v>
                </c:pt>
                <c:pt idx="55">
                  <c:v>42064</c:v>
                </c:pt>
                <c:pt idx="56">
                  <c:v>42065</c:v>
                </c:pt>
                <c:pt idx="57">
                  <c:v>42066</c:v>
                </c:pt>
                <c:pt idx="58">
                  <c:v>42067</c:v>
                </c:pt>
                <c:pt idx="59">
                  <c:v>42068</c:v>
                </c:pt>
                <c:pt idx="60">
                  <c:v>42069</c:v>
                </c:pt>
                <c:pt idx="61">
                  <c:v>42070</c:v>
                </c:pt>
                <c:pt idx="62">
                  <c:v>42071</c:v>
                </c:pt>
                <c:pt idx="63">
                  <c:v>42072</c:v>
                </c:pt>
                <c:pt idx="64">
                  <c:v>42073</c:v>
                </c:pt>
                <c:pt idx="65">
                  <c:v>42074</c:v>
                </c:pt>
                <c:pt idx="66">
                  <c:v>42075</c:v>
                </c:pt>
                <c:pt idx="67">
                  <c:v>42076</c:v>
                </c:pt>
                <c:pt idx="68">
                  <c:v>42077</c:v>
                </c:pt>
                <c:pt idx="69">
                  <c:v>42078</c:v>
                </c:pt>
                <c:pt idx="70">
                  <c:v>42079</c:v>
                </c:pt>
                <c:pt idx="71">
                  <c:v>42080</c:v>
                </c:pt>
                <c:pt idx="72">
                  <c:v>42081</c:v>
                </c:pt>
                <c:pt idx="73">
                  <c:v>42082</c:v>
                </c:pt>
                <c:pt idx="74">
                  <c:v>42083</c:v>
                </c:pt>
                <c:pt idx="75">
                  <c:v>42084</c:v>
                </c:pt>
                <c:pt idx="76">
                  <c:v>42085</c:v>
                </c:pt>
                <c:pt idx="77">
                  <c:v>42086</c:v>
                </c:pt>
                <c:pt idx="78">
                  <c:v>42087</c:v>
                </c:pt>
                <c:pt idx="79">
                  <c:v>42088</c:v>
                </c:pt>
                <c:pt idx="80">
                  <c:v>42089</c:v>
                </c:pt>
                <c:pt idx="81">
                  <c:v>42090</c:v>
                </c:pt>
                <c:pt idx="82">
                  <c:v>42091</c:v>
                </c:pt>
                <c:pt idx="83">
                  <c:v>42092</c:v>
                </c:pt>
                <c:pt idx="84">
                  <c:v>42093</c:v>
                </c:pt>
                <c:pt idx="85">
                  <c:v>42094</c:v>
                </c:pt>
                <c:pt idx="86">
                  <c:v>42095</c:v>
                </c:pt>
                <c:pt idx="87">
                  <c:v>42096</c:v>
                </c:pt>
                <c:pt idx="88">
                  <c:v>42097</c:v>
                </c:pt>
                <c:pt idx="89">
                  <c:v>42098</c:v>
                </c:pt>
                <c:pt idx="90">
                  <c:v>42099</c:v>
                </c:pt>
                <c:pt idx="91">
                  <c:v>42100</c:v>
                </c:pt>
                <c:pt idx="92">
                  <c:v>42101</c:v>
                </c:pt>
                <c:pt idx="93">
                  <c:v>42102</c:v>
                </c:pt>
                <c:pt idx="94">
                  <c:v>42103</c:v>
                </c:pt>
                <c:pt idx="95">
                  <c:v>42104</c:v>
                </c:pt>
                <c:pt idx="96">
                  <c:v>42105</c:v>
                </c:pt>
                <c:pt idx="97">
                  <c:v>42106</c:v>
                </c:pt>
                <c:pt idx="98">
                  <c:v>42107</c:v>
                </c:pt>
                <c:pt idx="99">
                  <c:v>42108</c:v>
                </c:pt>
                <c:pt idx="100">
                  <c:v>42109</c:v>
                </c:pt>
                <c:pt idx="101">
                  <c:v>42110</c:v>
                </c:pt>
                <c:pt idx="102">
                  <c:v>42111</c:v>
                </c:pt>
                <c:pt idx="103">
                  <c:v>42112</c:v>
                </c:pt>
                <c:pt idx="104">
                  <c:v>42113</c:v>
                </c:pt>
                <c:pt idx="105">
                  <c:v>42114</c:v>
                </c:pt>
                <c:pt idx="106">
                  <c:v>42115</c:v>
                </c:pt>
                <c:pt idx="107">
                  <c:v>42116</c:v>
                </c:pt>
                <c:pt idx="108">
                  <c:v>42117</c:v>
                </c:pt>
                <c:pt idx="109">
                  <c:v>42118</c:v>
                </c:pt>
                <c:pt idx="110">
                  <c:v>42119</c:v>
                </c:pt>
                <c:pt idx="111">
                  <c:v>42120</c:v>
                </c:pt>
                <c:pt idx="112">
                  <c:v>42121</c:v>
                </c:pt>
                <c:pt idx="113">
                  <c:v>42122</c:v>
                </c:pt>
                <c:pt idx="114">
                  <c:v>42123</c:v>
                </c:pt>
                <c:pt idx="115">
                  <c:v>42124</c:v>
                </c:pt>
                <c:pt idx="116">
                  <c:v>42125</c:v>
                </c:pt>
                <c:pt idx="117">
                  <c:v>42126</c:v>
                </c:pt>
                <c:pt idx="118">
                  <c:v>42127</c:v>
                </c:pt>
                <c:pt idx="119">
                  <c:v>42128</c:v>
                </c:pt>
                <c:pt idx="120">
                  <c:v>42129</c:v>
                </c:pt>
                <c:pt idx="121">
                  <c:v>42130</c:v>
                </c:pt>
                <c:pt idx="122">
                  <c:v>42131</c:v>
                </c:pt>
                <c:pt idx="123">
                  <c:v>42132</c:v>
                </c:pt>
                <c:pt idx="124">
                  <c:v>42133</c:v>
                </c:pt>
                <c:pt idx="125">
                  <c:v>42134</c:v>
                </c:pt>
                <c:pt idx="126">
                  <c:v>42135</c:v>
                </c:pt>
                <c:pt idx="127">
                  <c:v>42136</c:v>
                </c:pt>
                <c:pt idx="128">
                  <c:v>42137</c:v>
                </c:pt>
                <c:pt idx="129">
                  <c:v>42138</c:v>
                </c:pt>
                <c:pt idx="130">
                  <c:v>42139</c:v>
                </c:pt>
                <c:pt idx="131">
                  <c:v>42140</c:v>
                </c:pt>
                <c:pt idx="132">
                  <c:v>42141</c:v>
                </c:pt>
                <c:pt idx="133">
                  <c:v>42142</c:v>
                </c:pt>
                <c:pt idx="134">
                  <c:v>42143</c:v>
                </c:pt>
                <c:pt idx="135">
                  <c:v>42144</c:v>
                </c:pt>
                <c:pt idx="136">
                  <c:v>42145</c:v>
                </c:pt>
                <c:pt idx="137">
                  <c:v>42146</c:v>
                </c:pt>
                <c:pt idx="138">
                  <c:v>42147</c:v>
                </c:pt>
                <c:pt idx="139">
                  <c:v>42148</c:v>
                </c:pt>
                <c:pt idx="140">
                  <c:v>42149</c:v>
                </c:pt>
                <c:pt idx="141">
                  <c:v>42150</c:v>
                </c:pt>
                <c:pt idx="142">
                  <c:v>42151</c:v>
                </c:pt>
                <c:pt idx="143">
                  <c:v>42152</c:v>
                </c:pt>
                <c:pt idx="144">
                  <c:v>42153</c:v>
                </c:pt>
                <c:pt idx="145">
                  <c:v>42154</c:v>
                </c:pt>
                <c:pt idx="146">
                  <c:v>42155</c:v>
                </c:pt>
                <c:pt idx="147">
                  <c:v>42156</c:v>
                </c:pt>
                <c:pt idx="148">
                  <c:v>42157</c:v>
                </c:pt>
                <c:pt idx="149">
                  <c:v>42158</c:v>
                </c:pt>
                <c:pt idx="150">
                  <c:v>42159</c:v>
                </c:pt>
                <c:pt idx="151">
                  <c:v>42160</c:v>
                </c:pt>
                <c:pt idx="152">
                  <c:v>42161</c:v>
                </c:pt>
                <c:pt idx="153">
                  <c:v>42162</c:v>
                </c:pt>
                <c:pt idx="154">
                  <c:v>42163</c:v>
                </c:pt>
                <c:pt idx="155">
                  <c:v>42164</c:v>
                </c:pt>
                <c:pt idx="156">
                  <c:v>42165</c:v>
                </c:pt>
                <c:pt idx="157">
                  <c:v>42166</c:v>
                </c:pt>
                <c:pt idx="158">
                  <c:v>42167</c:v>
                </c:pt>
                <c:pt idx="159">
                  <c:v>42168</c:v>
                </c:pt>
                <c:pt idx="160">
                  <c:v>42169</c:v>
                </c:pt>
                <c:pt idx="161">
                  <c:v>42170</c:v>
                </c:pt>
                <c:pt idx="162">
                  <c:v>42171</c:v>
                </c:pt>
                <c:pt idx="163">
                  <c:v>42172</c:v>
                </c:pt>
                <c:pt idx="164">
                  <c:v>42173</c:v>
                </c:pt>
                <c:pt idx="165">
                  <c:v>42174</c:v>
                </c:pt>
                <c:pt idx="166">
                  <c:v>42175</c:v>
                </c:pt>
                <c:pt idx="167">
                  <c:v>42176</c:v>
                </c:pt>
                <c:pt idx="168">
                  <c:v>42177</c:v>
                </c:pt>
                <c:pt idx="169">
                  <c:v>42178</c:v>
                </c:pt>
                <c:pt idx="170">
                  <c:v>42179</c:v>
                </c:pt>
                <c:pt idx="171">
                  <c:v>42180</c:v>
                </c:pt>
                <c:pt idx="172">
                  <c:v>42181</c:v>
                </c:pt>
                <c:pt idx="173">
                  <c:v>42182</c:v>
                </c:pt>
                <c:pt idx="174">
                  <c:v>42183</c:v>
                </c:pt>
                <c:pt idx="175">
                  <c:v>42184</c:v>
                </c:pt>
                <c:pt idx="176">
                  <c:v>42185</c:v>
                </c:pt>
                <c:pt idx="177">
                  <c:v>42186</c:v>
                </c:pt>
                <c:pt idx="178">
                  <c:v>42187</c:v>
                </c:pt>
                <c:pt idx="179">
                  <c:v>42188</c:v>
                </c:pt>
                <c:pt idx="180">
                  <c:v>42189</c:v>
                </c:pt>
                <c:pt idx="181">
                  <c:v>42190</c:v>
                </c:pt>
                <c:pt idx="182">
                  <c:v>42191</c:v>
                </c:pt>
                <c:pt idx="183">
                  <c:v>42192</c:v>
                </c:pt>
                <c:pt idx="184">
                  <c:v>42193</c:v>
                </c:pt>
                <c:pt idx="185">
                  <c:v>42194</c:v>
                </c:pt>
              </c:numCache>
            </c:numRef>
          </c:xVal>
          <c:yVal>
            <c:numRef>
              <c:f>'NDVI tipo'!$U$8:$U$193</c:f>
              <c:numCache>
                <c:formatCode>0.000</c:formatCode>
                <c:ptCount val="186"/>
                <c:pt idx="0">
                  <c:v>0.187247</c:v>
                </c:pt>
                <c:pt idx="1">
                  <c:v>0.19012611111111111</c:v>
                </c:pt>
                <c:pt idx="2">
                  <c:v>0.19300522222222222</c:v>
                </c:pt>
                <c:pt idx="3">
                  <c:v>0.19588433333333333</c:v>
                </c:pt>
                <c:pt idx="4">
                  <c:v>0.19876344444444444</c:v>
                </c:pt>
                <c:pt idx="5">
                  <c:v>0.20164255555555555</c:v>
                </c:pt>
                <c:pt idx="6">
                  <c:v>0.20452166666666666</c:v>
                </c:pt>
                <c:pt idx="7">
                  <c:v>0.20740077777777777</c:v>
                </c:pt>
                <c:pt idx="8">
                  <c:v>0.21027988888888888</c:v>
                </c:pt>
                <c:pt idx="9">
                  <c:v>0.21315899999999999</c:v>
                </c:pt>
                <c:pt idx="10">
                  <c:v>0.21467361818181818</c:v>
                </c:pt>
                <c:pt idx="11">
                  <c:v>0.21618823636363638</c:v>
                </c:pt>
                <c:pt idx="12">
                  <c:v>0.21770285454545457</c:v>
                </c:pt>
                <c:pt idx="13">
                  <c:v>0.21921747272727277</c:v>
                </c:pt>
                <c:pt idx="14">
                  <c:v>0.22073209090909096</c:v>
                </c:pt>
                <c:pt idx="15">
                  <c:v>0.22224670909090916</c:v>
                </c:pt>
                <c:pt idx="16">
                  <c:v>0.22376132727272735</c:v>
                </c:pt>
                <c:pt idx="17">
                  <c:v>0.22527594545454555</c:v>
                </c:pt>
                <c:pt idx="18">
                  <c:v>0.22679056363636374</c:v>
                </c:pt>
                <c:pt idx="19">
                  <c:v>0.22830518181818193</c:v>
                </c:pt>
                <c:pt idx="20">
                  <c:v>0.22981980000000013</c:v>
                </c:pt>
                <c:pt idx="21">
                  <c:v>0.23133441818181832</c:v>
                </c:pt>
                <c:pt idx="22">
                  <c:v>0.23284903636363652</c:v>
                </c:pt>
                <c:pt idx="23">
                  <c:v>0.23436365454545471</c:v>
                </c:pt>
                <c:pt idx="24">
                  <c:v>0.23587827272727291</c:v>
                </c:pt>
                <c:pt idx="25">
                  <c:v>0.2373928909090911</c:v>
                </c:pt>
                <c:pt idx="26">
                  <c:v>0.2389075090909093</c:v>
                </c:pt>
                <c:pt idx="27">
                  <c:v>0.24042212727272749</c:v>
                </c:pt>
                <c:pt idx="28">
                  <c:v>0.24193674545454569</c:v>
                </c:pt>
                <c:pt idx="29">
                  <c:v>0.24345136363636388</c:v>
                </c:pt>
                <c:pt idx="30">
                  <c:v>0.24496598181818208</c:v>
                </c:pt>
                <c:pt idx="31">
                  <c:v>0.24648060000000027</c:v>
                </c:pt>
                <c:pt idx="32">
                  <c:v>0.24799521818181847</c:v>
                </c:pt>
                <c:pt idx="33">
                  <c:v>0.24950983636363666</c:v>
                </c:pt>
                <c:pt idx="34">
                  <c:v>0.25102445454545486</c:v>
                </c:pt>
                <c:pt idx="35">
                  <c:v>0.25253907272727305</c:v>
                </c:pt>
                <c:pt idx="36">
                  <c:v>0.25405369090909125</c:v>
                </c:pt>
                <c:pt idx="37">
                  <c:v>0.25556830909090944</c:v>
                </c:pt>
                <c:pt idx="38">
                  <c:v>0.25708292727272763</c:v>
                </c:pt>
                <c:pt idx="39">
                  <c:v>0.25859754545454583</c:v>
                </c:pt>
                <c:pt idx="40">
                  <c:v>0.26011216363636402</c:v>
                </c:pt>
                <c:pt idx="41">
                  <c:v>0.26162678181818222</c:v>
                </c:pt>
                <c:pt idx="42">
                  <c:v>0.26314140000000041</c:v>
                </c:pt>
                <c:pt idx="43">
                  <c:v>0.26465601818181861</c:v>
                </c:pt>
                <c:pt idx="44">
                  <c:v>0.2661706363636368</c:v>
                </c:pt>
                <c:pt idx="45">
                  <c:v>0.267685254545455</c:v>
                </c:pt>
                <c:pt idx="46">
                  <c:v>0.26919987272727319</c:v>
                </c:pt>
                <c:pt idx="47">
                  <c:v>0.27071449090909139</c:v>
                </c:pt>
                <c:pt idx="48">
                  <c:v>0.27222910909090958</c:v>
                </c:pt>
                <c:pt idx="49">
                  <c:v>0.27374372727272778</c:v>
                </c:pt>
                <c:pt idx="50">
                  <c:v>0.27525834545454597</c:v>
                </c:pt>
                <c:pt idx="51">
                  <c:v>0.27677296363636417</c:v>
                </c:pt>
                <c:pt idx="52">
                  <c:v>0.27828758181818236</c:v>
                </c:pt>
                <c:pt idx="53">
                  <c:v>0.27980220000000056</c:v>
                </c:pt>
                <c:pt idx="54">
                  <c:v>0.28131681818181875</c:v>
                </c:pt>
                <c:pt idx="55">
                  <c:v>0.28283143636363695</c:v>
                </c:pt>
                <c:pt idx="56">
                  <c:v>0.28434605454545514</c:v>
                </c:pt>
                <c:pt idx="57">
                  <c:v>0.28586067272727333</c:v>
                </c:pt>
                <c:pt idx="58">
                  <c:v>0.28737529090909153</c:v>
                </c:pt>
                <c:pt idx="59">
                  <c:v>0.28888990909090972</c:v>
                </c:pt>
                <c:pt idx="60">
                  <c:v>0.29040452727272792</c:v>
                </c:pt>
                <c:pt idx="61">
                  <c:v>0.29191914545454611</c:v>
                </c:pt>
                <c:pt idx="62">
                  <c:v>0.29343376363636431</c:v>
                </c:pt>
                <c:pt idx="63">
                  <c:v>0.2949483818181825</c:v>
                </c:pt>
                <c:pt idx="64">
                  <c:v>0.29646299999999998</c:v>
                </c:pt>
                <c:pt idx="65">
                  <c:v>0.30479202439024389</c:v>
                </c:pt>
                <c:pt idx="66">
                  <c:v>0.3131210487804878</c:v>
                </c:pt>
                <c:pt idx="67">
                  <c:v>0.32145007317073171</c:v>
                </c:pt>
                <c:pt idx="68">
                  <c:v>0.32977909756097562</c:v>
                </c:pt>
                <c:pt idx="69">
                  <c:v>0.33810812195121953</c:v>
                </c:pt>
                <c:pt idx="70">
                  <c:v>0.34643714634146344</c:v>
                </c:pt>
                <c:pt idx="71">
                  <c:v>0.35476617073170735</c:v>
                </c:pt>
                <c:pt idx="72">
                  <c:v>0.36309519512195126</c:v>
                </c:pt>
                <c:pt idx="73">
                  <c:v>0.37142421951219518</c:v>
                </c:pt>
                <c:pt idx="74">
                  <c:v>0.37975324390243909</c:v>
                </c:pt>
                <c:pt idx="75">
                  <c:v>0.388082268292683</c:v>
                </c:pt>
                <c:pt idx="76">
                  <c:v>0.39641129268292691</c:v>
                </c:pt>
                <c:pt idx="77">
                  <c:v>0.40474031707317082</c:v>
                </c:pt>
                <c:pt idx="78">
                  <c:v>0.41306934146341473</c:v>
                </c:pt>
                <c:pt idx="79">
                  <c:v>0.42139836585365864</c:v>
                </c:pt>
                <c:pt idx="80">
                  <c:v>0.42972739024390255</c:v>
                </c:pt>
                <c:pt idx="81">
                  <c:v>0.43805641463414646</c:v>
                </c:pt>
                <c:pt idx="82">
                  <c:v>0.44638543902439037</c:v>
                </c:pt>
                <c:pt idx="83">
                  <c:v>0.45471446341463428</c:v>
                </c:pt>
                <c:pt idx="84">
                  <c:v>0.4630434878048782</c:v>
                </c:pt>
                <c:pt idx="85">
                  <c:v>0.47137251219512211</c:v>
                </c:pt>
                <c:pt idx="86">
                  <c:v>0.47970153658536602</c:v>
                </c:pt>
                <c:pt idx="87">
                  <c:v>0.48803056097560993</c:v>
                </c:pt>
                <c:pt idx="88">
                  <c:v>0.49635958536585384</c:v>
                </c:pt>
                <c:pt idx="89">
                  <c:v>0.50468860975609775</c:v>
                </c:pt>
                <c:pt idx="90">
                  <c:v>0.51301763414634161</c:v>
                </c:pt>
                <c:pt idx="91">
                  <c:v>0.52134665853658546</c:v>
                </c:pt>
                <c:pt idx="92">
                  <c:v>0.52967568292682932</c:v>
                </c:pt>
                <c:pt idx="93">
                  <c:v>0.53800470731707317</c:v>
                </c:pt>
                <c:pt idx="94">
                  <c:v>0.54633373170731703</c:v>
                </c:pt>
                <c:pt idx="95">
                  <c:v>0.55466275609756088</c:v>
                </c:pt>
                <c:pt idx="96">
                  <c:v>0.56299178048780474</c:v>
                </c:pt>
                <c:pt idx="97">
                  <c:v>0.57132080487804859</c:v>
                </c:pt>
                <c:pt idx="98">
                  <c:v>0.57964982926829245</c:v>
                </c:pt>
                <c:pt idx="99">
                  <c:v>0.5879788536585363</c:v>
                </c:pt>
                <c:pt idx="100">
                  <c:v>0.59630787804878016</c:v>
                </c:pt>
                <c:pt idx="101">
                  <c:v>0.60463690243902402</c:v>
                </c:pt>
                <c:pt idx="102">
                  <c:v>0.61296592682926787</c:v>
                </c:pt>
                <c:pt idx="103">
                  <c:v>0.62129495121951173</c:v>
                </c:pt>
                <c:pt idx="104">
                  <c:v>0.62962397560975558</c:v>
                </c:pt>
                <c:pt idx="105">
                  <c:v>0.63795299999999999</c:v>
                </c:pt>
                <c:pt idx="106">
                  <c:v>0.64827274999999995</c:v>
                </c:pt>
                <c:pt idx="107">
                  <c:v>0.65859249999999991</c:v>
                </c:pt>
                <c:pt idx="108">
                  <c:v>0.66891224999999987</c:v>
                </c:pt>
                <c:pt idx="109">
                  <c:v>0.67923199999999984</c:v>
                </c:pt>
                <c:pt idx="110">
                  <c:v>0.6895517499999998</c:v>
                </c:pt>
                <c:pt idx="111">
                  <c:v>0.69987149999999976</c:v>
                </c:pt>
                <c:pt idx="112">
                  <c:v>0.71019124999999972</c:v>
                </c:pt>
                <c:pt idx="113">
                  <c:v>0.72051099999999968</c:v>
                </c:pt>
                <c:pt idx="114">
                  <c:v>0.73083074999999964</c:v>
                </c:pt>
                <c:pt idx="115">
                  <c:v>0.7411504999999996</c:v>
                </c:pt>
                <c:pt idx="116">
                  <c:v>0.75147024999999956</c:v>
                </c:pt>
                <c:pt idx="117">
                  <c:v>0.76178999999999952</c:v>
                </c:pt>
                <c:pt idx="118">
                  <c:v>0.77210974999999948</c:v>
                </c:pt>
                <c:pt idx="119">
                  <c:v>0.78242949999999944</c:v>
                </c:pt>
                <c:pt idx="120">
                  <c:v>0.79274924999999941</c:v>
                </c:pt>
                <c:pt idx="121">
                  <c:v>0.80306900000000003</c:v>
                </c:pt>
                <c:pt idx="122">
                  <c:v>0.80484800000000001</c:v>
                </c:pt>
                <c:pt idx="123">
                  <c:v>0.80662699999999998</c:v>
                </c:pt>
                <c:pt idx="124">
                  <c:v>0.80840599999999996</c:v>
                </c:pt>
                <c:pt idx="125">
                  <c:v>0.81018499999999993</c:v>
                </c:pt>
                <c:pt idx="126">
                  <c:v>0.81196399999999991</c:v>
                </c:pt>
                <c:pt idx="127">
                  <c:v>0.81374299999999988</c:v>
                </c:pt>
                <c:pt idx="128">
                  <c:v>0.81552199999999986</c:v>
                </c:pt>
                <c:pt idx="129">
                  <c:v>0.81730099999999983</c:v>
                </c:pt>
                <c:pt idx="130">
                  <c:v>0.81907999999999981</c:v>
                </c:pt>
                <c:pt idx="131">
                  <c:v>0.82085899999999978</c:v>
                </c:pt>
                <c:pt idx="132">
                  <c:v>0.82263799999999976</c:v>
                </c:pt>
                <c:pt idx="133">
                  <c:v>0.82441699999999973</c:v>
                </c:pt>
                <c:pt idx="134">
                  <c:v>0.82619599999999971</c:v>
                </c:pt>
                <c:pt idx="135">
                  <c:v>0.82797499999999968</c:v>
                </c:pt>
                <c:pt idx="136">
                  <c:v>0.82975399999999966</c:v>
                </c:pt>
                <c:pt idx="137">
                  <c:v>0.83153299999999997</c:v>
                </c:pt>
                <c:pt idx="138">
                  <c:v>0.82379837499999997</c:v>
                </c:pt>
                <c:pt idx="139">
                  <c:v>0.81606374999999998</c:v>
                </c:pt>
                <c:pt idx="140">
                  <c:v>0.80832912499999998</c:v>
                </c:pt>
                <c:pt idx="141">
                  <c:v>0.80059449999999999</c:v>
                </c:pt>
                <c:pt idx="142">
                  <c:v>0.79285987499999999</c:v>
                </c:pt>
                <c:pt idx="143">
                  <c:v>0.78512525</c:v>
                </c:pt>
                <c:pt idx="144">
                  <c:v>0.777390625</c:v>
                </c:pt>
                <c:pt idx="145">
                  <c:v>0.76965600000000001</c:v>
                </c:pt>
                <c:pt idx="146">
                  <c:v>0.76192137500000001</c:v>
                </c:pt>
                <c:pt idx="147">
                  <c:v>0.75418675000000002</c:v>
                </c:pt>
                <c:pt idx="148">
                  <c:v>0.74645212500000002</c:v>
                </c:pt>
                <c:pt idx="149">
                  <c:v>0.73871750000000003</c:v>
                </c:pt>
                <c:pt idx="150">
                  <c:v>0.73098287500000003</c:v>
                </c:pt>
                <c:pt idx="151">
                  <c:v>0.72324825000000004</c:v>
                </c:pt>
                <c:pt idx="152">
                  <c:v>0.71551362500000004</c:v>
                </c:pt>
                <c:pt idx="153">
                  <c:v>0.70777900000000005</c:v>
                </c:pt>
                <c:pt idx="154">
                  <c:v>0.68194566666666667</c:v>
                </c:pt>
                <c:pt idx="155">
                  <c:v>0.6561123333333333</c:v>
                </c:pt>
                <c:pt idx="156">
                  <c:v>0.63027899999999992</c:v>
                </c:pt>
                <c:pt idx="157">
                  <c:v>0.60444566666666655</c:v>
                </c:pt>
                <c:pt idx="158">
                  <c:v>0.57861233333333317</c:v>
                </c:pt>
                <c:pt idx="159">
                  <c:v>0.5527789999999998</c:v>
                </c:pt>
                <c:pt idx="160">
                  <c:v>0.52694566666666642</c:v>
                </c:pt>
                <c:pt idx="161">
                  <c:v>0.50111233333333305</c:v>
                </c:pt>
                <c:pt idx="162">
                  <c:v>0.47527899999999973</c:v>
                </c:pt>
                <c:pt idx="163">
                  <c:v>0.44944566666666641</c:v>
                </c:pt>
                <c:pt idx="164">
                  <c:v>0.42361233333333309</c:v>
                </c:pt>
                <c:pt idx="165">
                  <c:v>0.39777899999999977</c:v>
                </c:pt>
                <c:pt idx="166">
                  <c:v>0.37194566666666645</c:v>
                </c:pt>
                <c:pt idx="167">
                  <c:v>0.34611233333333313</c:v>
                </c:pt>
                <c:pt idx="168">
                  <c:v>0.32027899999999998</c:v>
                </c:pt>
                <c:pt idx="169">
                  <c:v>0.32013199999999997</c:v>
                </c:pt>
                <c:pt idx="170">
                  <c:v>0.31998499999999996</c:v>
                </c:pt>
                <c:pt idx="171">
                  <c:v>0.31983799999999996</c:v>
                </c:pt>
                <c:pt idx="172">
                  <c:v>0.31969099999999995</c:v>
                </c:pt>
                <c:pt idx="173">
                  <c:v>0.31954399999999994</c:v>
                </c:pt>
                <c:pt idx="174">
                  <c:v>0.31939699999999993</c:v>
                </c:pt>
                <c:pt idx="175">
                  <c:v>0.31924999999999992</c:v>
                </c:pt>
                <c:pt idx="176">
                  <c:v>0.31910300000000003</c:v>
                </c:pt>
                <c:pt idx="177">
                  <c:v>0.31748211111111113</c:v>
                </c:pt>
                <c:pt idx="178">
                  <c:v>0.31586122222222224</c:v>
                </c:pt>
                <c:pt idx="179">
                  <c:v>0.31424033333333334</c:v>
                </c:pt>
                <c:pt idx="180">
                  <c:v>0.31261944444444445</c:v>
                </c:pt>
                <c:pt idx="181">
                  <c:v>0.31099855555555556</c:v>
                </c:pt>
                <c:pt idx="182">
                  <c:v>0.30937766666666666</c:v>
                </c:pt>
                <c:pt idx="183">
                  <c:v>0.30775677777777777</c:v>
                </c:pt>
                <c:pt idx="184">
                  <c:v>0.30613588888888887</c:v>
                </c:pt>
                <c:pt idx="185">
                  <c:v>0.30451499999999998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50-4EE8-93B3-61E0145988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304792"/>
        <c:axId val="486297344"/>
      </c:scatterChart>
      <c:scatterChart>
        <c:scatterStyle val="smoothMarker"/>
        <c:varyColors val="0"/>
        <c:ser>
          <c:idx val="1"/>
          <c:order val="1"/>
          <c:tx>
            <c:v>NDVIreal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'NDVI real'!$A$9:$A$31</c:f>
              <c:numCache>
                <c:formatCode>m/d/yyyy</c:formatCode>
                <c:ptCount val="23"/>
                <c:pt idx="0">
                  <c:v>42018</c:v>
                </c:pt>
                <c:pt idx="1">
                  <c:v>42066</c:v>
                </c:pt>
                <c:pt idx="2">
                  <c:v>42073</c:v>
                </c:pt>
                <c:pt idx="3">
                  <c:v>42114</c:v>
                </c:pt>
                <c:pt idx="4">
                  <c:v>42130</c:v>
                </c:pt>
                <c:pt idx="5">
                  <c:v>42146</c:v>
                </c:pt>
                <c:pt idx="6">
                  <c:v>42162</c:v>
                </c:pt>
                <c:pt idx="7">
                  <c:v>42178</c:v>
                </c:pt>
                <c:pt idx="8">
                  <c:v>42185</c:v>
                </c:pt>
                <c:pt idx="9">
                  <c:v>42194</c:v>
                </c:pt>
                <c:pt idx="10">
                  <c:v>42201</c:v>
                </c:pt>
                <c:pt idx="11">
                  <c:v>42210</c:v>
                </c:pt>
              </c:numCache>
            </c:numRef>
          </c:xVal>
          <c:yVal>
            <c:numRef>
              <c:f>'NDVI real'!$B$9:$B$30</c:f>
              <c:numCache>
                <c:formatCode>0.0000</c:formatCode>
                <c:ptCount val="22"/>
                <c:pt idx="0">
                  <c:v>0.26222222000000001</c:v>
                </c:pt>
                <c:pt idx="1">
                  <c:v>0.25444443999999999</c:v>
                </c:pt>
                <c:pt idx="2">
                  <c:v>0.28000000000000003</c:v>
                </c:pt>
                <c:pt idx="3">
                  <c:v>0.81333332999999997</c:v>
                </c:pt>
                <c:pt idx="4">
                  <c:v>0.88</c:v>
                </c:pt>
                <c:pt idx="5">
                  <c:v>0.88666666999999999</c:v>
                </c:pt>
                <c:pt idx="6">
                  <c:v>0.82111111000000003</c:v>
                </c:pt>
                <c:pt idx="7">
                  <c:v>0.36333333000000001</c:v>
                </c:pt>
                <c:pt idx="8">
                  <c:v>0.34222222000000002</c:v>
                </c:pt>
                <c:pt idx="9">
                  <c:v>0.30444443999999998</c:v>
                </c:pt>
                <c:pt idx="10">
                  <c:v>0.29888889000000002</c:v>
                </c:pt>
                <c:pt idx="11">
                  <c:v>0.28555555999999999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A5A-44E8-BAFC-1C2A41EB5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304792"/>
        <c:axId val="486297344"/>
      </c:scatterChart>
      <c:valAx>
        <c:axId val="486304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C0A]d\-mm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486297344"/>
        <c:crosses val="autoZero"/>
        <c:crossBetween val="midCat"/>
      </c:valAx>
      <c:valAx>
        <c:axId val="486297344"/>
        <c:scaling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486304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_tradn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ETo (mm)</a:t>
            </a:r>
          </a:p>
        </c:rich>
      </c:tx>
      <c:layout>
        <c:manualLayout>
          <c:xMode val="edge"/>
          <c:yMode val="edge"/>
          <c:x val="0.47056191031987837"/>
          <c:y val="4.16969912777758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SWB!$C$15:$C$229</c:f>
              <c:numCache>
                <c:formatCode>m/d/yyyy</c:formatCode>
                <c:ptCount val="215"/>
                <c:pt idx="0">
                  <c:v>42016</c:v>
                </c:pt>
                <c:pt idx="1">
                  <c:v>42017</c:v>
                </c:pt>
                <c:pt idx="2">
                  <c:v>42018</c:v>
                </c:pt>
                <c:pt idx="3">
                  <c:v>42019</c:v>
                </c:pt>
                <c:pt idx="4">
                  <c:v>42020</c:v>
                </c:pt>
                <c:pt idx="5">
                  <c:v>42021</c:v>
                </c:pt>
                <c:pt idx="6">
                  <c:v>42022</c:v>
                </c:pt>
                <c:pt idx="7">
                  <c:v>42023</c:v>
                </c:pt>
                <c:pt idx="8">
                  <c:v>42024</c:v>
                </c:pt>
                <c:pt idx="9">
                  <c:v>42025</c:v>
                </c:pt>
                <c:pt idx="10">
                  <c:v>42026</c:v>
                </c:pt>
                <c:pt idx="11">
                  <c:v>42027</c:v>
                </c:pt>
                <c:pt idx="12">
                  <c:v>42028</c:v>
                </c:pt>
                <c:pt idx="13">
                  <c:v>42029</c:v>
                </c:pt>
                <c:pt idx="14">
                  <c:v>42030</c:v>
                </c:pt>
                <c:pt idx="15">
                  <c:v>42031</c:v>
                </c:pt>
                <c:pt idx="16">
                  <c:v>42032</c:v>
                </c:pt>
                <c:pt idx="17">
                  <c:v>42033</c:v>
                </c:pt>
                <c:pt idx="18">
                  <c:v>42034</c:v>
                </c:pt>
                <c:pt idx="19">
                  <c:v>42035</c:v>
                </c:pt>
                <c:pt idx="20">
                  <c:v>42036</c:v>
                </c:pt>
                <c:pt idx="21">
                  <c:v>42037</c:v>
                </c:pt>
                <c:pt idx="22">
                  <c:v>42038</c:v>
                </c:pt>
                <c:pt idx="23">
                  <c:v>42039</c:v>
                </c:pt>
                <c:pt idx="24">
                  <c:v>42040</c:v>
                </c:pt>
                <c:pt idx="25">
                  <c:v>42041</c:v>
                </c:pt>
                <c:pt idx="26">
                  <c:v>42042</c:v>
                </c:pt>
                <c:pt idx="27">
                  <c:v>42043</c:v>
                </c:pt>
                <c:pt idx="28">
                  <c:v>42044</c:v>
                </c:pt>
                <c:pt idx="29">
                  <c:v>42045</c:v>
                </c:pt>
                <c:pt idx="30">
                  <c:v>42046</c:v>
                </c:pt>
                <c:pt idx="31">
                  <c:v>42047</c:v>
                </c:pt>
                <c:pt idx="32">
                  <c:v>42048</c:v>
                </c:pt>
                <c:pt idx="33">
                  <c:v>42049</c:v>
                </c:pt>
                <c:pt idx="34">
                  <c:v>42050</c:v>
                </c:pt>
                <c:pt idx="35">
                  <c:v>42051</c:v>
                </c:pt>
                <c:pt idx="36">
                  <c:v>42052</c:v>
                </c:pt>
                <c:pt idx="37">
                  <c:v>42053</c:v>
                </c:pt>
                <c:pt idx="38">
                  <c:v>42054</c:v>
                </c:pt>
                <c:pt idx="39">
                  <c:v>42055</c:v>
                </c:pt>
                <c:pt idx="40">
                  <c:v>42056</c:v>
                </c:pt>
                <c:pt idx="41">
                  <c:v>42057</c:v>
                </c:pt>
                <c:pt idx="42">
                  <c:v>42058</c:v>
                </c:pt>
                <c:pt idx="43">
                  <c:v>42059</c:v>
                </c:pt>
                <c:pt idx="44">
                  <c:v>42060</c:v>
                </c:pt>
                <c:pt idx="45">
                  <c:v>42061</c:v>
                </c:pt>
                <c:pt idx="46">
                  <c:v>42062</c:v>
                </c:pt>
                <c:pt idx="47">
                  <c:v>42063</c:v>
                </c:pt>
                <c:pt idx="48">
                  <c:v>42064</c:v>
                </c:pt>
                <c:pt idx="49">
                  <c:v>42065</c:v>
                </c:pt>
                <c:pt idx="50">
                  <c:v>42066</c:v>
                </c:pt>
                <c:pt idx="51">
                  <c:v>42067</c:v>
                </c:pt>
                <c:pt idx="52">
                  <c:v>42068</c:v>
                </c:pt>
                <c:pt idx="53">
                  <c:v>42069</c:v>
                </c:pt>
                <c:pt idx="54">
                  <c:v>42070</c:v>
                </c:pt>
                <c:pt idx="55">
                  <c:v>42071</c:v>
                </c:pt>
                <c:pt idx="56">
                  <c:v>42072</c:v>
                </c:pt>
                <c:pt idx="57">
                  <c:v>42073</c:v>
                </c:pt>
                <c:pt idx="58">
                  <c:v>42074</c:v>
                </c:pt>
                <c:pt idx="59">
                  <c:v>42075</c:v>
                </c:pt>
                <c:pt idx="60">
                  <c:v>42076</c:v>
                </c:pt>
                <c:pt idx="61">
                  <c:v>42077</c:v>
                </c:pt>
                <c:pt idx="62">
                  <c:v>42078</c:v>
                </c:pt>
                <c:pt idx="63">
                  <c:v>42079</c:v>
                </c:pt>
                <c:pt idx="64">
                  <c:v>42080</c:v>
                </c:pt>
                <c:pt idx="65">
                  <c:v>42081</c:v>
                </c:pt>
                <c:pt idx="66">
                  <c:v>42082</c:v>
                </c:pt>
                <c:pt idx="67">
                  <c:v>42083</c:v>
                </c:pt>
                <c:pt idx="68">
                  <c:v>42084</c:v>
                </c:pt>
                <c:pt idx="69">
                  <c:v>42085</c:v>
                </c:pt>
                <c:pt idx="70">
                  <c:v>42086</c:v>
                </c:pt>
                <c:pt idx="71">
                  <c:v>42087</c:v>
                </c:pt>
                <c:pt idx="72">
                  <c:v>42088</c:v>
                </c:pt>
                <c:pt idx="73">
                  <c:v>42089</c:v>
                </c:pt>
                <c:pt idx="74">
                  <c:v>42090</c:v>
                </c:pt>
                <c:pt idx="75">
                  <c:v>42091</c:v>
                </c:pt>
                <c:pt idx="76">
                  <c:v>42092</c:v>
                </c:pt>
                <c:pt idx="77">
                  <c:v>42093</c:v>
                </c:pt>
                <c:pt idx="78">
                  <c:v>42094</c:v>
                </c:pt>
                <c:pt idx="79">
                  <c:v>42095</c:v>
                </c:pt>
                <c:pt idx="80">
                  <c:v>42096</c:v>
                </c:pt>
                <c:pt idx="81">
                  <c:v>42097</c:v>
                </c:pt>
                <c:pt idx="82">
                  <c:v>42098</c:v>
                </c:pt>
                <c:pt idx="83">
                  <c:v>42099</c:v>
                </c:pt>
                <c:pt idx="84">
                  <c:v>42100</c:v>
                </c:pt>
                <c:pt idx="85">
                  <c:v>42101</c:v>
                </c:pt>
                <c:pt idx="86">
                  <c:v>42102</c:v>
                </c:pt>
                <c:pt idx="87">
                  <c:v>42103</c:v>
                </c:pt>
                <c:pt idx="88">
                  <c:v>42104</c:v>
                </c:pt>
                <c:pt idx="89">
                  <c:v>42105</c:v>
                </c:pt>
                <c:pt idx="90">
                  <c:v>42106</c:v>
                </c:pt>
                <c:pt idx="91">
                  <c:v>42107</c:v>
                </c:pt>
                <c:pt idx="92">
                  <c:v>42108</c:v>
                </c:pt>
                <c:pt idx="93">
                  <c:v>42109</c:v>
                </c:pt>
                <c:pt idx="94">
                  <c:v>42110</c:v>
                </c:pt>
                <c:pt idx="95">
                  <c:v>42111</c:v>
                </c:pt>
                <c:pt idx="96">
                  <c:v>42112</c:v>
                </c:pt>
                <c:pt idx="97">
                  <c:v>42113</c:v>
                </c:pt>
                <c:pt idx="98">
                  <c:v>42114</c:v>
                </c:pt>
                <c:pt idx="99">
                  <c:v>42115</c:v>
                </c:pt>
                <c:pt idx="100">
                  <c:v>42116</c:v>
                </c:pt>
                <c:pt idx="101">
                  <c:v>42117</c:v>
                </c:pt>
                <c:pt idx="102">
                  <c:v>42118</c:v>
                </c:pt>
                <c:pt idx="103">
                  <c:v>42119</c:v>
                </c:pt>
                <c:pt idx="104">
                  <c:v>42120</c:v>
                </c:pt>
                <c:pt idx="105">
                  <c:v>42121</c:v>
                </c:pt>
                <c:pt idx="106">
                  <c:v>42122</c:v>
                </c:pt>
                <c:pt idx="107">
                  <c:v>42123</c:v>
                </c:pt>
                <c:pt idx="108">
                  <c:v>42124</c:v>
                </c:pt>
                <c:pt idx="109">
                  <c:v>42125</c:v>
                </c:pt>
                <c:pt idx="110">
                  <c:v>42126</c:v>
                </c:pt>
                <c:pt idx="111">
                  <c:v>42127</c:v>
                </c:pt>
                <c:pt idx="112">
                  <c:v>42128</c:v>
                </c:pt>
                <c:pt idx="113">
                  <c:v>42129</c:v>
                </c:pt>
                <c:pt idx="114">
                  <c:v>42130</c:v>
                </c:pt>
                <c:pt idx="115">
                  <c:v>42131</c:v>
                </c:pt>
                <c:pt idx="116">
                  <c:v>42132</c:v>
                </c:pt>
                <c:pt idx="117">
                  <c:v>42133</c:v>
                </c:pt>
                <c:pt idx="118">
                  <c:v>42134</c:v>
                </c:pt>
                <c:pt idx="119">
                  <c:v>42135</c:v>
                </c:pt>
                <c:pt idx="120">
                  <c:v>42136</c:v>
                </c:pt>
                <c:pt idx="121">
                  <c:v>42137</c:v>
                </c:pt>
                <c:pt idx="122">
                  <c:v>42138</c:v>
                </c:pt>
                <c:pt idx="123">
                  <c:v>42139</c:v>
                </c:pt>
                <c:pt idx="124">
                  <c:v>42140</c:v>
                </c:pt>
                <c:pt idx="125">
                  <c:v>42141</c:v>
                </c:pt>
                <c:pt idx="126">
                  <c:v>42142</c:v>
                </c:pt>
                <c:pt idx="127">
                  <c:v>42143</c:v>
                </c:pt>
                <c:pt idx="128">
                  <c:v>42144</c:v>
                </c:pt>
                <c:pt idx="129">
                  <c:v>42145</c:v>
                </c:pt>
                <c:pt idx="130">
                  <c:v>42146</c:v>
                </c:pt>
                <c:pt idx="131">
                  <c:v>42147</c:v>
                </c:pt>
                <c:pt idx="132">
                  <c:v>42148</c:v>
                </c:pt>
                <c:pt idx="133">
                  <c:v>42149</c:v>
                </c:pt>
                <c:pt idx="134">
                  <c:v>42150</c:v>
                </c:pt>
                <c:pt idx="135">
                  <c:v>42151</c:v>
                </c:pt>
                <c:pt idx="136">
                  <c:v>42152</c:v>
                </c:pt>
                <c:pt idx="137">
                  <c:v>42153</c:v>
                </c:pt>
                <c:pt idx="138">
                  <c:v>42154</c:v>
                </c:pt>
                <c:pt idx="139">
                  <c:v>42155</c:v>
                </c:pt>
                <c:pt idx="140">
                  <c:v>42156</c:v>
                </c:pt>
                <c:pt idx="141">
                  <c:v>42157</c:v>
                </c:pt>
                <c:pt idx="142">
                  <c:v>42158</c:v>
                </c:pt>
                <c:pt idx="143">
                  <c:v>42159</c:v>
                </c:pt>
                <c:pt idx="144">
                  <c:v>42160</c:v>
                </c:pt>
                <c:pt idx="145">
                  <c:v>42161</c:v>
                </c:pt>
                <c:pt idx="146">
                  <c:v>42162</c:v>
                </c:pt>
                <c:pt idx="147">
                  <c:v>42163</c:v>
                </c:pt>
                <c:pt idx="148">
                  <c:v>42164</c:v>
                </c:pt>
                <c:pt idx="149">
                  <c:v>42165</c:v>
                </c:pt>
                <c:pt idx="150">
                  <c:v>42166</c:v>
                </c:pt>
                <c:pt idx="151">
                  <c:v>42167</c:v>
                </c:pt>
                <c:pt idx="152">
                  <c:v>42168</c:v>
                </c:pt>
                <c:pt idx="153">
                  <c:v>42169</c:v>
                </c:pt>
                <c:pt idx="154">
                  <c:v>42170</c:v>
                </c:pt>
                <c:pt idx="155">
                  <c:v>42171</c:v>
                </c:pt>
                <c:pt idx="156">
                  <c:v>42172</c:v>
                </c:pt>
                <c:pt idx="157">
                  <c:v>42173</c:v>
                </c:pt>
                <c:pt idx="158">
                  <c:v>42174</c:v>
                </c:pt>
                <c:pt idx="159">
                  <c:v>42175</c:v>
                </c:pt>
                <c:pt idx="160">
                  <c:v>42176</c:v>
                </c:pt>
                <c:pt idx="161">
                  <c:v>42177</c:v>
                </c:pt>
                <c:pt idx="162">
                  <c:v>42178</c:v>
                </c:pt>
                <c:pt idx="163">
                  <c:v>42179</c:v>
                </c:pt>
                <c:pt idx="164">
                  <c:v>42180</c:v>
                </c:pt>
                <c:pt idx="165">
                  <c:v>42181</c:v>
                </c:pt>
                <c:pt idx="166">
                  <c:v>42182</c:v>
                </c:pt>
                <c:pt idx="167">
                  <c:v>42183</c:v>
                </c:pt>
                <c:pt idx="168">
                  <c:v>42184</c:v>
                </c:pt>
                <c:pt idx="169">
                  <c:v>42185</c:v>
                </c:pt>
                <c:pt idx="170">
                  <c:v>42186</c:v>
                </c:pt>
                <c:pt idx="171">
                  <c:v>42187</c:v>
                </c:pt>
                <c:pt idx="172">
                  <c:v>42188</c:v>
                </c:pt>
                <c:pt idx="173">
                  <c:v>42189</c:v>
                </c:pt>
                <c:pt idx="174">
                  <c:v>42190</c:v>
                </c:pt>
                <c:pt idx="175">
                  <c:v>42191</c:v>
                </c:pt>
                <c:pt idx="176">
                  <c:v>42192</c:v>
                </c:pt>
                <c:pt idx="177">
                  <c:v>42193</c:v>
                </c:pt>
                <c:pt idx="178">
                  <c:v>42194</c:v>
                </c:pt>
                <c:pt idx="179">
                  <c:v>42195</c:v>
                </c:pt>
                <c:pt idx="180">
                  <c:v>42196</c:v>
                </c:pt>
                <c:pt idx="181">
                  <c:v>42197</c:v>
                </c:pt>
                <c:pt idx="182">
                  <c:v>42198</c:v>
                </c:pt>
                <c:pt idx="183">
                  <c:v>42199</c:v>
                </c:pt>
                <c:pt idx="184">
                  <c:v>42200</c:v>
                </c:pt>
                <c:pt idx="185">
                  <c:v>42201</c:v>
                </c:pt>
                <c:pt idx="186">
                  <c:v>42202</c:v>
                </c:pt>
                <c:pt idx="187">
                  <c:v>42203</c:v>
                </c:pt>
              </c:numCache>
            </c:numRef>
          </c:xVal>
          <c:yVal>
            <c:numRef>
              <c:f>SWB!$L$15:$L$229</c:f>
              <c:numCache>
                <c:formatCode>General</c:formatCode>
                <c:ptCount val="215"/>
                <c:pt idx="0">
                  <c:v>1</c:v>
                </c:pt>
                <c:pt idx="1">
                  <c:v>0.7</c:v>
                </c:pt>
                <c:pt idx="2">
                  <c:v>1.1000000000000001</c:v>
                </c:pt>
                <c:pt idx="3">
                  <c:v>1.2</c:v>
                </c:pt>
                <c:pt idx="4">
                  <c:v>1.4</c:v>
                </c:pt>
                <c:pt idx="5">
                  <c:v>1</c:v>
                </c:pt>
                <c:pt idx="6">
                  <c:v>1.6</c:v>
                </c:pt>
                <c:pt idx="7">
                  <c:v>0.8</c:v>
                </c:pt>
                <c:pt idx="8">
                  <c:v>0.8</c:v>
                </c:pt>
                <c:pt idx="9">
                  <c:v>0.9</c:v>
                </c:pt>
                <c:pt idx="10">
                  <c:v>0.8</c:v>
                </c:pt>
                <c:pt idx="11">
                  <c:v>1.2</c:v>
                </c:pt>
                <c:pt idx="12">
                  <c:v>1.7</c:v>
                </c:pt>
                <c:pt idx="13">
                  <c:v>1.1000000000000001</c:v>
                </c:pt>
                <c:pt idx="14">
                  <c:v>0.9</c:v>
                </c:pt>
                <c:pt idx="15">
                  <c:v>0.9</c:v>
                </c:pt>
                <c:pt idx="16">
                  <c:v>1</c:v>
                </c:pt>
                <c:pt idx="17">
                  <c:v>0.7</c:v>
                </c:pt>
                <c:pt idx="18">
                  <c:v>1</c:v>
                </c:pt>
                <c:pt idx="19">
                  <c:v>1.5</c:v>
                </c:pt>
                <c:pt idx="20">
                  <c:v>1.5</c:v>
                </c:pt>
                <c:pt idx="21">
                  <c:v>1.5</c:v>
                </c:pt>
                <c:pt idx="22">
                  <c:v>1.4</c:v>
                </c:pt>
                <c:pt idx="23">
                  <c:v>1.5</c:v>
                </c:pt>
                <c:pt idx="24">
                  <c:v>1.6</c:v>
                </c:pt>
                <c:pt idx="25">
                  <c:v>1.9</c:v>
                </c:pt>
                <c:pt idx="26">
                  <c:v>2</c:v>
                </c:pt>
                <c:pt idx="27">
                  <c:v>1.2</c:v>
                </c:pt>
                <c:pt idx="28">
                  <c:v>2.5</c:v>
                </c:pt>
                <c:pt idx="29">
                  <c:v>2.4</c:v>
                </c:pt>
                <c:pt idx="30">
                  <c:v>2.6</c:v>
                </c:pt>
                <c:pt idx="31">
                  <c:v>1.5</c:v>
                </c:pt>
                <c:pt idx="32">
                  <c:v>1.6</c:v>
                </c:pt>
                <c:pt idx="33">
                  <c:v>1.8</c:v>
                </c:pt>
                <c:pt idx="34">
                  <c:v>2.5</c:v>
                </c:pt>
                <c:pt idx="35">
                  <c:v>1.7</c:v>
                </c:pt>
                <c:pt idx="36">
                  <c:v>2.2000000000000002</c:v>
                </c:pt>
                <c:pt idx="37">
                  <c:v>1</c:v>
                </c:pt>
                <c:pt idx="38">
                  <c:v>1.4</c:v>
                </c:pt>
                <c:pt idx="39">
                  <c:v>2</c:v>
                </c:pt>
                <c:pt idx="40">
                  <c:v>1.8</c:v>
                </c:pt>
                <c:pt idx="41">
                  <c:v>2.6</c:v>
                </c:pt>
                <c:pt idx="42">
                  <c:v>2.4</c:v>
                </c:pt>
                <c:pt idx="43">
                  <c:v>2</c:v>
                </c:pt>
                <c:pt idx="44">
                  <c:v>2.4</c:v>
                </c:pt>
                <c:pt idx="45">
                  <c:v>1.7</c:v>
                </c:pt>
                <c:pt idx="46">
                  <c:v>1.8</c:v>
                </c:pt>
                <c:pt idx="47">
                  <c:v>1.4</c:v>
                </c:pt>
                <c:pt idx="48">
                  <c:v>2.4</c:v>
                </c:pt>
                <c:pt idx="49">
                  <c:v>3.4</c:v>
                </c:pt>
                <c:pt idx="50">
                  <c:v>3.5</c:v>
                </c:pt>
                <c:pt idx="51">
                  <c:v>2.8</c:v>
                </c:pt>
                <c:pt idx="52">
                  <c:v>3.7</c:v>
                </c:pt>
                <c:pt idx="53">
                  <c:v>2.5</c:v>
                </c:pt>
                <c:pt idx="54">
                  <c:v>2.5</c:v>
                </c:pt>
                <c:pt idx="55">
                  <c:v>0.9</c:v>
                </c:pt>
                <c:pt idx="56">
                  <c:v>2.4</c:v>
                </c:pt>
                <c:pt idx="57">
                  <c:v>2.2999999999999998</c:v>
                </c:pt>
                <c:pt idx="58">
                  <c:v>2.2000000000000002</c:v>
                </c:pt>
                <c:pt idx="59">
                  <c:v>2.6</c:v>
                </c:pt>
                <c:pt idx="60">
                  <c:v>2.2999999999999998</c:v>
                </c:pt>
                <c:pt idx="61">
                  <c:v>2.5</c:v>
                </c:pt>
                <c:pt idx="62">
                  <c:v>2.1</c:v>
                </c:pt>
                <c:pt idx="63">
                  <c:v>2.2999999999999998</c:v>
                </c:pt>
                <c:pt idx="64">
                  <c:v>3.5</c:v>
                </c:pt>
                <c:pt idx="65">
                  <c:v>2.5</c:v>
                </c:pt>
                <c:pt idx="66">
                  <c:v>2.1</c:v>
                </c:pt>
                <c:pt idx="67">
                  <c:v>1.7</c:v>
                </c:pt>
                <c:pt idx="68">
                  <c:v>2.2999999999999998</c:v>
                </c:pt>
                <c:pt idx="69">
                  <c:v>1</c:v>
                </c:pt>
                <c:pt idx="70">
                  <c:v>1.3</c:v>
                </c:pt>
                <c:pt idx="71">
                  <c:v>2.9</c:v>
                </c:pt>
                <c:pt idx="72">
                  <c:v>3.2</c:v>
                </c:pt>
                <c:pt idx="73">
                  <c:v>3.9</c:v>
                </c:pt>
                <c:pt idx="74">
                  <c:v>3.5</c:v>
                </c:pt>
                <c:pt idx="75">
                  <c:v>3.8</c:v>
                </c:pt>
                <c:pt idx="76">
                  <c:v>3.3</c:v>
                </c:pt>
                <c:pt idx="77">
                  <c:v>3.3</c:v>
                </c:pt>
                <c:pt idx="78">
                  <c:v>4.4000000000000004</c:v>
                </c:pt>
                <c:pt idx="79">
                  <c:v>2.8</c:v>
                </c:pt>
                <c:pt idx="80">
                  <c:v>3.1</c:v>
                </c:pt>
                <c:pt idx="81">
                  <c:v>3.3</c:v>
                </c:pt>
                <c:pt idx="82">
                  <c:v>4.0999999999999996</c:v>
                </c:pt>
                <c:pt idx="83">
                  <c:v>1.1000000000000001</c:v>
                </c:pt>
                <c:pt idx="84">
                  <c:v>1.4</c:v>
                </c:pt>
                <c:pt idx="85">
                  <c:v>3</c:v>
                </c:pt>
                <c:pt idx="86">
                  <c:v>3.8</c:v>
                </c:pt>
                <c:pt idx="87">
                  <c:v>3.6</c:v>
                </c:pt>
                <c:pt idx="88">
                  <c:v>3.7</c:v>
                </c:pt>
                <c:pt idx="89">
                  <c:v>3.6</c:v>
                </c:pt>
                <c:pt idx="90">
                  <c:v>3.1</c:v>
                </c:pt>
                <c:pt idx="91">
                  <c:v>3.2</c:v>
                </c:pt>
                <c:pt idx="92">
                  <c:v>2.8</c:v>
                </c:pt>
                <c:pt idx="93">
                  <c:v>4.0999999999999996</c:v>
                </c:pt>
                <c:pt idx="94">
                  <c:v>4.7</c:v>
                </c:pt>
                <c:pt idx="95">
                  <c:v>4.3</c:v>
                </c:pt>
                <c:pt idx="96">
                  <c:v>2.8</c:v>
                </c:pt>
                <c:pt idx="97">
                  <c:v>4.2</c:v>
                </c:pt>
                <c:pt idx="98">
                  <c:v>2.5</c:v>
                </c:pt>
                <c:pt idx="99">
                  <c:v>1.4</c:v>
                </c:pt>
                <c:pt idx="100">
                  <c:v>3.5</c:v>
                </c:pt>
                <c:pt idx="101">
                  <c:v>2.2999999999999998</c:v>
                </c:pt>
                <c:pt idx="102">
                  <c:v>3.6</c:v>
                </c:pt>
                <c:pt idx="103">
                  <c:v>4.3</c:v>
                </c:pt>
                <c:pt idx="104">
                  <c:v>4.0999999999999996</c:v>
                </c:pt>
                <c:pt idx="105">
                  <c:v>4.5</c:v>
                </c:pt>
                <c:pt idx="106">
                  <c:v>3.5</c:v>
                </c:pt>
                <c:pt idx="107">
                  <c:v>3.9</c:v>
                </c:pt>
                <c:pt idx="108">
                  <c:v>2.1</c:v>
                </c:pt>
                <c:pt idx="109">
                  <c:v>4.0999999999999996</c:v>
                </c:pt>
                <c:pt idx="110">
                  <c:v>4.2</c:v>
                </c:pt>
                <c:pt idx="111">
                  <c:v>4.2</c:v>
                </c:pt>
                <c:pt idx="112">
                  <c:v>5.2</c:v>
                </c:pt>
                <c:pt idx="113">
                  <c:v>5.3</c:v>
                </c:pt>
                <c:pt idx="114">
                  <c:v>2.5</c:v>
                </c:pt>
                <c:pt idx="115">
                  <c:v>2.5</c:v>
                </c:pt>
                <c:pt idx="116">
                  <c:v>1.8</c:v>
                </c:pt>
                <c:pt idx="117">
                  <c:v>2</c:v>
                </c:pt>
                <c:pt idx="118">
                  <c:v>2.2999999999999998</c:v>
                </c:pt>
                <c:pt idx="119">
                  <c:v>1.9</c:v>
                </c:pt>
                <c:pt idx="120">
                  <c:v>4</c:v>
                </c:pt>
                <c:pt idx="121">
                  <c:v>3</c:v>
                </c:pt>
                <c:pt idx="122">
                  <c:v>2.7</c:v>
                </c:pt>
                <c:pt idx="123">
                  <c:v>3.8</c:v>
                </c:pt>
                <c:pt idx="124">
                  <c:v>4</c:v>
                </c:pt>
                <c:pt idx="125">
                  <c:v>4.5</c:v>
                </c:pt>
                <c:pt idx="126">
                  <c:v>4.5</c:v>
                </c:pt>
                <c:pt idx="127">
                  <c:v>4.8</c:v>
                </c:pt>
                <c:pt idx="128">
                  <c:v>5.5</c:v>
                </c:pt>
                <c:pt idx="129">
                  <c:v>5.3</c:v>
                </c:pt>
                <c:pt idx="130">
                  <c:v>5.8</c:v>
                </c:pt>
                <c:pt idx="131">
                  <c:v>5.2</c:v>
                </c:pt>
                <c:pt idx="132">
                  <c:v>5</c:v>
                </c:pt>
                <c:pt idx="133">
                  <c:v>5.9</c:v>
                </c:pt>
                <c:pt idx="134">
                  <c:v>5.5</c:v>
                </c:pt>
                <c:pt idx="135">
                  <c:v>5.5</c:v>
                </c:pt>
                <c:pt idx="136">
                  <c:v>6.4</c:v>
                </c:pt>
                <c:pt idx="137">
                  <c:v>5.7</c:v>
                </c:pt>
                <c:pt idx="138">
                  <c:v>4.8</c:v>
                </c:pt>
                <c:pt idx="139">
                  <c:v>5.2</c:v>
                </c:pt>
                <c:pt idx="140">
                  <c:v>5.5</c:v>
                </c:pt>
                <c:pt idx="141">
                  <c:v>5.9</c:v>
                </c:pt>
                <c:pt idx="142">
                  <c:v>5.8</c:v>
                </c:pt>
                <c:pt idx="143">
                  <c:v>5.7</c:v>
                </c:pt>
                <c:pt idx="144">
                  <c:v>5.4</c:v>
                </c:pt>
                <c:pt idx="145">
                  <c:v>5.6</c:v>
                </c:pt>
                <c:pt idx="146">
                  <c:v>6</c:v>
                </c:pt>
                <c:pt idx="147">
                  <c:v>6.6</c:v>
                </c:pt>
                <c:pt idx="148">
                  <c:v>7.1</c:v>
                </c:pt>
                <c:pt idx="149">
                  <c:v>6.9</c:v>
                </c:pt>
                <c:pt idx="150">
                  <c:v>7.4</c:v>
                </c:pt>
                <c:pt idx="151">
                  <c:v>6.2</c:v>
                </c:pt>
                <c:pt idx="152">
                  <c:v>6.4</c:v>
                </c:pt>
                <c:pt idx="153">
                  <c:v>8.1999999999999993</c:v>
                </c:pt>
                <c:pt idx="154">
                  <c:v>8.3000000000000007</c:v>
                </c:pt>
                <c:pt idx="155">
                  <c:v>7.2</c:v>
                </c:pt>
                <c:pt idx="156">
                  <c:v>5.5</c:v>
                </c:pt>
                <c:pt idx="157">
                  <c:v>5.5</c:v>
                </c:pt>
                <c:pt idx="158">
                  <c:v>6</c:v>
                </c:pt>
                <c:pt idx="159">
                  <c:v>6.5</c:v>
                </c:pt>
                <c:pt idx="160">
                  <c:v>6.2</c:v>
                </c:pt>
                <c:pt idx="161">
                  <c:v>7.2</c:v>
                </c:pt>
                <c:pt idx="162">
                  <c:v>7.6</c:v>
                </c:pt>
                <c:pt idx="163">
                  <c:v>7.4</c:v>
                </c:pt>
                <c:pt idx="164">
                  <c:v>7.4</c:v>
                </c:pt>
                <c:pt idx="165">
                  <c:v>7</c:v>
                </c:pt>
                <c:pt idx="166">
                  <c:v>7.3</c:v>
                </c:pt>
                <c:pt idx="167">
                  <c:v>7</c:v>
                </c:pt>
                <c:pt idx="168">
                  <c:v>5.6</c:v>
                </c:pt>
                <c:pt idx="169">
                  <c:v>5.5</c:v>
                </c:pt>
                <c:pt idx="170">
                  <c:v>7.4</c:v>
                </c:pt>
                <c:pt idx="171">
                  <c:v>6</c:v>
                </c:pt>
                <c:pt idx="172">
                  <c:v>6.9</c:v>
                </c:pt>
                <c:pt idx="173">
                  <c:v>8.1</c:v>
                </c:pt>
                <c:pt idx="174">
                  <c:v>6.6</c:v>
                </c:pt>
                <c:pt idx="175">
                  <c:v>6.8</c:v>
                </c:pt>
                <c:pt idx="176">
                  <c:v>8.1</c:v>
                </c:pt>
                <c:pt idx="177">
                  <c:v>4.7</c:v>
                </c:pt>
                <c:pt idx="178">
                  <c:v>6.2</c:v>
                </c:pt>
                <c:pt idx="179">
                  <c:v>7</c:v>
                </c:pt>
                <c:pt idx="180">
                  <c:v>7.1</c:v>
                </c:pt>
                <c:pt idx="181">
                  <c:v>7.5</c:v>
                </c:pt>
                <c:pt idx="182">
                  <c:v>8.5</c:v>
                </c:pt>
                <c:pt idx="183">
                  <c:v>6.1</c:v>
                </c:pt>
                <c:pt idx="184">
                  <c:v>7.1</c:v>
                </c:pt>
                <c:pt idx="185">
                  <c:v>6.5</c:v>
                </c:pt>
                <c:pt idx="186">
                  <c:v>6.8</c:v>
                </c:pt>
                <c:pt idx="187">
                  <c:v>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5F-41E4-B9EF-FCAEB01B33B3}"/>
            </c:ext>
          </c:extLst>
        </c:ser>
        <c:ser>
          <c:idx val="1"/>
          <c:order val="1"/>
          <c:tx>
            <c:v>Eto real</c:v>
          </c:tx>
          <c:spPr>
            <a:ln w="63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Clima!$W$8:$W$370</c:f>
              <c:numCache>
                <c:formatCode>m/d/yyyy</c:formatCode>
                <c:ptCount val="363"/>
                <c:pt idx="0">
                  <c:v>42005</c:v>
                </c:pt>
                <c:pt idx="1">
                  <c:v>42006</c:v>
                </c:pt>
                <c:pt idx="2">
                  <c:v>42007</c:v>
                </c:pt>
                <c:pt idx="3">
                  <c:v>42008</c:v>
                </c:pt>
                <c:pt idx="4">
                  <c:v>42009</c:v>
                </c:pt>
                <c:pt idx="5">
                  <c:v>42010</c:v>
                </c:pt>
                <c:pt idx="6">
                  <c:v>42011</c:v>
                </c:pt>
                <c:pt idx="7">
                  <c:v>42012</c:v>
                </c:pt>
                <c:pt idx="8">
                  <c:v>42013</c:v>
                </c:pt>
                <c:pt idx="9">
                  <c:v>42014</c:v>
                </c:pt>
                <c:pt idx="10">
                  <c:v>42015</c:v>
                </c:pt>
                <c:pt idx="11">
                  <c:v>42016</c:v>
                </c:pt>
                <c:pt idx="12">
                  <c:v>42017</c:v>
                </c:pt>
                <c:pt idx="13">
                  <c:v>42018</c:v>
                </c:pt>
                <c:pt idx="14">
                  <c:v>42019</c:v>
                </c:pt>
                <c:pt idx="15">
                  <c:v>42020</c:v>
                </c:pt>
                <c:pt idx="16">
                  <c:v>42021</c:v>
                </c:pt>
                <c:pt idx="17">
                  <c:v>42022</c:v>
                </c:pt>
                <c:pt idx="18">
                  <c:v>42023</c:v>
                </c:pt>
                <c:pt idx="19">
                  <c:v>42024</c:v>
                </c:pt>
                <c:pt idx="20">
                  <c:v>42025</c:v>
                </c:pt>
                <c:pt idx="21">
                  <c:v>42026</c:v>
                </c:pt>
                <c:pt idx="22">
                  <c:v>42027</c:v>
                </c:pt>
                <c:pt idx="23">
                  <c:v>42028</c:v>
                </c:pt>
                <c:pt idx="24">
                  <c:v>42029</c:v>
                </c:pt>
                <c:pt idx="25">
                  <c:v>42030</c:v>
                </c:pt>
                <c:pt idx="26">
                  <c:v>42031</c:v>
                </c:pt>
                <c:pt idx="27">
                  <c:v>42032</c:v>
                </c:pt>
                <c:pt idx="28">
                  <c:v>42033</c:v>
                </c:pt>
                <c:pt idx="29">
                  <c:v>42034</c:v>
                </c:pt>
                <c:pt idx="30">
                  <c:v>42035</c:v>
                </c:pt>
                <c:pt idx="31">
                  <c:v>42036</c:v>
                </c:pt>
                <c:pt idx="32">
                  <c:v>42037</c:v>
                </c:pt>
                <c:pt idx="33">
                  <c:v>42038</c:v>
                </c:pt>
                <c:pt idx="34">
                  <c:v>42039</c:v>
                </c:pt>
                <c:pt idx="35">
                  <c:v>42040</c:v>
                </c:pt>
                <c:pt idx="36">
                  <c:v>42041</c:v>
                </c:pt>
                <c:pt idx="37">
                  <c:v>42042</c:v>
                </c:pt>
                <c:pt idx="38">
                  <c:v>42043</c:v>
                </c:pt>
                <c:pt idx="39">
                  <c:v>42044</c:v>
                </c:pt>
                <c:pt idx="40">
                  <c:v>42045</c:v>
                </c:pt>
                <c:pt idx="41">
                  <c:v>42046</c:v>
                </c:pt>
                <c:pt idx="42">
                  <c:v>42047</c:v>
                </c:pt>
                <c:pt idx="43">
                  <c:v>42048</c:v>
                </c:pt>
                <c:pt idx="44">
                  <c:v>42049</c:v>
                </c:pt>
                <c:pt idx="45">
                  <c:v>42050</c:v>
                </c:pt>
                <c:pt idx="46">
                  <c:v>42051</c:v>
                </c:pt>
                <c:pt idx="47">
                  <c:v>42052</c:v>
                </c:pt>
                <c:pt idx="48">
                  <c:v>42053</c:v>
                </c:pt>
                <c:pt idx="49">
                  <c:v>42054</c:v>
                </c:pt>
                <c:pt idx="50">
                  <c:v>42055</c:v>
                </c:pt>
                <c:pt idx="51">
                  <c:v>42056</c:v>
                </c:pt>
                <c:pt idx="52">
                  <c:v>42057</c:v>
                </c:pt>
                <c:pt idx="53">
                  <c:v>42058</c:v>
                </c:pt>
                <c:pt idx="54">
                  <c:v>42059</c:v>
                </c:pt>
                <c:pt idx="55">
                  <c:v>42060</c:v>
                </c:pt>
                <c:pt idx="56">
                  <c:v>42061</c:v>
                </c:pt>
                <c:pt idx="57">
                  <c:v>42062</c:v>
                </c:pt>
                <c:pt idx="58">
                  <c:v>42063</c:v>
                </c:pt>
                <c:pt idx="59">
                  <c:v>42064</c:v>
                </c:pt>
                <c:pt idx="60">
                  <c:v>42065</c:v>
                </c:pt>
                <c:pt idx="61">
                  <c:v>42066</c:v>
                </c:pt>
                <c:pt idx="62">
                  <c:v>42067</c:v>
                </c:pt>
                <c:pt idx="63">
                  <c:v>42068</c:v>
                </c:pt>
                <c:pt idx="64">
                  <c:v>42069</c:v>
                </c:pt>
                <c:pt idx="65">
                  <c:v>42070</c:v>
                </c:pt>
                <c:pt idx="66">
                  <c:v>42071</c:v>
                </c:pt>
                <c:pt idx="67">
                  <c:v>42072</c:v>
                </c:pt>
                <c:pt idx="68">
                  <c:v>42073</c:v>
                </c:pt>
                <c:pt idx="69">
                  <c:v>42074</c:v>
                </c:pt>
                <c:pt idx="70">
                  <c:v>42075</c:v>
                </c:pt>
                <c:pt idx="71">
                  <c:v>42076</c:v>
                </c:pt>
                <c:pt idx="72">
                  <c:v>42077</c:v>
                </c:pt>
                <c:pt idx="73">
                  <c:v>42078</c:v>
                </c:pt>
                <c:pt idx="74">
                  <c:v>42079</c:v>
                </c:pt>
                <c:pt idx="75">
                  <c:v>42080</c:v>
                </c:pt>
                <c:pt idx="76">
                  <c:v>42081</c:v>
                </c:pt>
                <c:pt idx="77">
                  <c:v>42082</c:v>
                </c:pt>
                <c:pt idx="78">
                  <c:v>42083</c:v>
                </c:pt>
                <c:pt idx="79">
                  <c:v>42084</c:v>
                </c:pt>
                <c:pt idx="80">
                  <c:v>42085</c:v>
                </c:pt>
                <c:pt idx="81">
                  <c:v>42086</c:v>
                </c:pt>
                <c:pt idx="82">
                  <c:v>42087</c:v>
                </c:pt>
                <c:pt idx="83">
                  <c:v>42088</c:v>
                </c:pt>
                <c:pt idx="84">
                  <c:v>42089</c:v>
                </c:pt>
                <c:pt idx="85">
                  <c:v>42090</c:v>
                </c:pt>
                <c:pt idx="86">
                  <c:v>42091</c:v>
                </c:pt>
                <c:pt idx="87">
                  <c:v>42092</c:v>
                </c:pt>
                <c:pt idx="88">
                  <c:v>42093</c:v>
                </c:pt>
                <c:pt idx="89">
                  <c:v>42094</c:v>
                </c:pt>
                <c:pt idx="90">
                  <c:v>42095</c:v>
                </c:pt>
                <c:pt idx="91">
                  <c:v>42096</c:v>
                </c:pt>
                <c:pt idx="92">
                  <c:v>42097</c:v>
                </c:pt>
                <c:pt idx="93">
                  <c:v>42098</c:v>
                </c:pt>
                <c:pt idx="94">
                  <c:v>42099</c:v>
                </c:pt>
                <c:pt idx="95">
                  <c:v>42100</c:v>
                </c:pt>
                <c:pt idx="96">
                  <c:v>42101</c:v>
                </c:pt>
                <c:pt idx="97">
                  <c:v>42102</c:v>
                </c:pt>
                <c:pt idx="98">
                  <c:v>42103</c:v>
                </c:pt>
                <c:pt idx="99">
                  <c:v>42104</c:v>
                </c:pt>
                <c:pt idx="100">
                  <c:v>42105</c:v>
                </c:pt>
                <c:pt idx="101">
                  <c:v>42106</c:v>
                </c:pt>
                <c:pt idx="102">
                  <c:v>42107</c:v>
                </c:pt>
                <c:pt idx="103">
                  <c:v>42108</c:v>
                </c:pt>
                <c:pt idx="104">
                  <c:v>42109</c:v>
                </c:pt>
                <c:pt idx="105">
                  <c:v>42110</c:v>
                </c:pt>
                <c:pt idx="106">
                  <c:v>42111</c:v>
                </c:pt>
                <c:pt idx="107">
                  <c:v>42112</c:v>
                </c:pt>
                <c:pt idx="108">
                  <c:v>42113</c:v>
                </c:pt>
                <c:pt idx="109">
                  <c:v>42114</c:v>
                </c:pt>
                <c:pt idx="110">
                  <c:v>42115</c:v>
                </c:pt>
                <c:pt idx="111">
                  <c:v>42116</c:v>
                </c:pt>
                <c:pt idx="112">
                  <c:v>42117</c:v>
                </c:pt>
                <c:pt idx="113">
                  <c:v>42118</c:v>
                </c:pt>
                <c:pt idx="114">
                  <c:v>42119</c:v>
                </c:pt>
                <c:pt idx="115">
                  <c:v>42120</c:v>
                </c:pt>
                <c:pt idx="116">
                  <c:v>42121</c:v>
                </c:pt>
                <c:pt idx="117">
                  <c:v>42122</c:v>
                </c:pt>
                <c:pt idx="118">
                  <c:v>42123</c:v>
                </c:pt>
                <c:pt idx="119">
                  <c:v>42124</c:v>
                </c:pt>
                <c:pt idx="120">
                  <c:v>42125</c:v>
                </c:pt>
                <c:pt idx="121">
                  <c:v>42126</c:v>
                </c:pt>
                <c:pt idx="122">
                  <c:v>42127</c:v>
                </c:pt>
                <c:pt idx="123">
                  <c:v>42128</c:v>
                </c:pt>
                <c:pt idx="124">
                  <c:v>42129</c:v>
                </c:pt>
                <c:pt idx="125">
                  <c:v>42130</c:v>
                </c:pt>
                <c:pt idx="126">
                  <c:v>42131</c:v>
                </c:pt>
                <c:pt idx="127">
                  <c:v>42132</c:v>
                </c:pt>
                <c:pt idx="128">
                  <c:v>42133</c:v>
                </c:pt>
                <c:pt idx="129">
                  <c:v>42134</c:v>
                </c:pt>
                <c:pt idx="130">
                  <c:v>42135</c:v>
                </c:pt>
                <c:pt idx="131">
                  <c:v>42136</c:v>
                </c:pt>
                <c:pt idx="132">
                  <c:v>42137</c:v>
                </c:pt>
                <c:pt idx="133">
                  <c:v>42138</c:v>
                </c:pt>
                <c:pt idx="134">
                  <c:v>42139</c:v>
                </c:pt>
                <c:pt idx="135">
                  <c:v>42140</c:v>
                </c:pt>
                <c:pt idx="136">
                  <c:v>42141</c:v>
                </c:pt>
                <c:pt idx="137">
                  <c:v>42142</c:v>
                </c:pt>
                <c:pt idx="138">
                  <c:v>42143</c:v>
                </c:pt>
                <c:pt idx="139">
                  <c:v>42144</c:v>
                </c:pt>
                <c:pt idx="140">
                  <c:v>42145</c:v>
                </c:pt>
                <c:pt idx="141">
                  <c:v>42146</c:v>
                </c:pt>
                <c:pt idx="142">
                  <c:v>42147</c:v>
                </c:pt>
                <c:pt idx="143">
                  <c:v>42148</c:v>
                </c:pt>
                <c:pt idx="144">
                  <c:v>42149</c:v>
                </c:pt>
                <c:pt idx="145">
                  <c:v>42150</c:v>
                </c:pt>
                <c:pt idx="146">
                  <c:v>42151</c:v>
                </c:pt>
                <c:pt idx="147">
                  <c:v>42152</c:v>
                </c:pt>
                <c:pt idx="148">
                  <c:v>42153</c:v>
                </c:pt>
                <c:pt idx="149">
                  <c:v>42154</c:v>
                </c:pt>
                <c:pt idx="150">
                  <c:v>42155</c:v>
                </c:pt>
                <c:pt idx="151">
                  <c:v>42156</c:v>
                </c:pt>
                <c:pt idx="152">
                  <c:v>42157</c:v>
                </c:pt>
                <c:pt idx="153">
                  <c:v>42158</c:v>
                </c:pt>
                <c:pt idx="154">
                  <c:v>42159</c:v>
                </c:pt>
                <c:pt idx="155">
                  <c:v>42160</c:v>
                </c:pt>
                <c:pt idx="156">
                  <c:v>42161</c:v>
                </c:pt>
                <c:pt idx="157">
                  <c:v>42162</c:v>
                </c:pt>
                <c:pt idx="158">
                  <c:v>42163</c:v>
                </c:pt>
                <c:pt idx="159">
                  <c:v>42164</c:v>
                </c:pt>
                <c:pt idx="160">
                  <c:v>42165</c:v>
                </c:pt>
                <c:pt idx="161">
                  <c:v>42166</c:v>
                </c:pt>
                <c:pt idx="162">
                  <c:v>42167</c:v>
                </c:pt>
                <c:pt idx="163">
                  <c:v>42168</c:v>
                </c:pt>
                <c:pt idx="164">
                  <c:v>42169</c:v>
                </c:pt>
                <c:pt idx="165">
                  <c:v>42170</c:v>
                </c:pt>
                <c:pt idx="166">
                  <c:v>42171</c:v>
                </c:pt>
                <c:pt idx="167">
                  <c:v>42172</c:v>
                </c:pt>
                <c:pt idx="168">
                  <c:v>42173</c:v>
                </c:pt>
                <c:pt idx="169">
                  <c:v>42174</c:v>
                </c:pt>
                <c:pt idx="170">
                  <c:v>42175</c:v>
                </c:pt>
                <c:pt idx="171">
                  <c:v>42176</c:v>
                </c:pt>
                <c:pt idx="172">
                  <c:v>42177</c:v>
                </c:pt>
                <c:pt idx="173">
                  <c:v>42178</c:v>
                </c:pt>
                <c:pt idx="174">
                  <c:v>42179</c:v>
                </c:pt>
                <c:pt idx="175">
                  <c:v>42180</c:v>
                </c:pt>
                <c:pt idx="176">
                  <c:v>42181</c:v>
                </c:pt>
                <c:pt idx="177">
                  <c:v>42182</c:v>
                </c:pt>
                <c:pt idx="178">
                  <c:v>42183</c:v>
                </c:pt>
                <c:pt idx="179">
                  <c:v>42184</c:v>
                </c:pt>
                <c:pt idx="180">
                  <c:v>42185</c:v>
                </c:pt>
                <c:pt idx="181">
                  <c:v>42186</c:v>
                </c:pt>
                <c:pt idx="182">
                  <c:v>42187</c:v>
                </c:pt>
                <c:pt idx="183">
                  <c:v>42188</c:v>
                </c:pt>
                <c:pt idx="184">
                  <c:v>42189</c:v>
                </c:pt>
                <c:pt idx="185">
                  <c:v>42190</c:v>
                </c:pt>
                <c:pt idx="186">
                  <c:v>42191</c:v>
                </c:pt>
                <c:pt idx="187">
                  <c:v>42192</c:v>
                </c:pt>
                <c:pt idx="188">
                  <c:v>42193</c:v>
                </c:pt>
                <c:pt idx="189">
                  <c:v>42194</c:v>
                </c:pt>
                <c:pt idx="190">
                  <c:v>42195</c:v>
                </c:pt>
                <c:pt idx="191">
                  <c:v>42196</c:v>
                </c:pt>
                <c:pt idx="192">
                  <c:v>42197</c:v>
                </c:pt>
                <c:pt idx="193">
                  <c:v>42198</c:v>
                </c:pt>
                <c:pt idx="194">
                  <c:v>42199</c:v>
                </c:pt>
                <c:pt idx="195">
                  <c:v>42200</c:v>
                </c:pt>
                <c:pt idx="196">
                  <c:v>42201</c:v>
                </c:pt>
                <c:pt idx="197">
                  <c:v>42202</c:v>
                </c:pt>
                <c:pt idx="198">
                  <c:v>42203</c:v>
                </c:pt>
                <c:pt idx="199">
                  <c:v>42204</c:v>
                </c:pt>
                <c:pt idx="200">
                  <c:v>42205</c:v>
                </c:pt>
                <c:pt idx="201">
                  <c:v>42206</c:v>
                </c:pt>
                <c:pt idx="202">
                  <c:v>42207</c:v>
                </c:pt>
                <c:pt idx="203">
                  <c:v>42208</c:v>
                </c:pt>
                <c:pt idx="204">
                  <c:v>42209</c:v>
                </c:pt>
                <c:pt idx="205">
                  <c:v>42210</c:v>
                </c:pt>
                <c:pt idx="206">
                  <c:v>42211</c:v>
                </c:pt>
                <c:pt idx="207">
                  <c:v>42212</c:v>
                </c:pt>
                <c:pt idx="208">
                  <c:v>42213</c:v>
                </c:pt>
                <c:pt idx="209">
                  <c:v>42214</c:v>
                </c:pt>
                <c:pt idx="210">
                  <c:v>42215</c:v>
                </c:pt>
                <c:pt idx="211">
                  <c:v>42216</c:v>
                </c:pt>
                <c:pt idx="212">
                  <c:v>42217</c:v>
                </c:pt>
                <c:pt idx="213">
                  <c:v>42218</c:v>
                </c:pt>
                <c:pt idx="214">
                  <c:v>42219</c:v>
                </c:pt>
                <c:pt idx="215">
                  <c:v>42220</c:v>
                </c:pt>
                <c:pt idx="216">
                  <c:v>42221</c:v>
                </c:pt>
                <c:pt idx="217">
                  <c:v>42222</c:v>
                </c:pt>
                <c:pt idx="218">
                  <c:v>42223</c:v>
                </c:pt>
                <c:pt idx="219">
                  <c:v>42224</c:v>
                </c:pt>
                <c:pt idx="220">
                  <c:v>42225</c:v>
                </c:pt>
                <c:pt idx="221">
                  <c:v>42226</c:v>
                </c:pt>
                <c:pt idx="222">
                  <c:v>42227</c:v>
                </c:pt>
                <c:pt idx="223">
                  <c:v>42228</c:v>
                </c:pt>
                <c:pt idx="224">
                  <c:v>42229</c:v>
                </c:pt>
                <c:pt idx="225">
                  <c:v>42230</c:v>
                </c:pt>
                <c:pt idx="226">
                  <c:v>42231</c:v>
                </c:pt>
                <c:pt idx="227">
                  <c:v>42232</c:v>
                </c:pt>
                <c:pt idx="228">
                  <c:v>42233</c:v>
                </c:pt>
                <c:pt idx="229">
                  <c:v>42234</c:v>
                </c:pt>
                <c:pt idx="230">
                  <c:v>42235</c:v>
                </c:pt>
                <c:pt idx="231">
                  <c:v>42236</c:v>
                </c:pt>
                <c:pt idx="232">
                  <c:v>42237</c:v>
                </c:pt>
                <c:pt idx="233">
                  <c:v>42238</c:v>
                </c:pt>
                <c:pt idx="234">
                  <c:v>42239</c:v>
                </c:pt>
                <c:pt idx="235">
                  <c:v>42240</c:v>
                </c:pt>
                <c:pt idx="236">
                  <c:v>42241</c:v>
                </c:pt>
                <c:pt idx="237">
                  <c:v>42242</c:v>
                </c:pt>
                <c:pt idx="238">
                  <c:v>42243</c:v>
                </c:pt>
                <c:pt idx="239">
                  <c:v>42244</c:v>
                </c:pt>
                <c:pt idx="240">
                  <c:v>42245</c:v>
                </c:pt>
                <c:pt idx="241">
                  <c:v>42246</c:v>
                </c:pt>
                <c:pt idx="242">
                  <c:v>42247</c:v>
                </c:pt>
                <c:pt idx="243">
                  <c:v>42248</c:v>
                </c:pt>
                <c:pt idx="244">
                  <c:v>42249</c:v>
                </c:pt>
                <c:pt idx="245">
                  <c:v>42250</c:v>
                </c:pt>
                <c:pt idx="246">
                  <c:v>42251</c:v>
                </c:pt>
                <c:pt idx="247">
                  <c:v>42252</c:v>
                </c:pt>
                <c:pt idx="248">
                  <c:v>42253</c:v>
                </c:pt>
                <c:pt idx="249">
                  <c:v>42254</c:v>
                </c:pt>
                <c:pt idx="250">
                  <c:v>42255</c:v>
                </c:pt>
                <c:pt idx="251">
                  <c:v>42256</c:v>
                </c:pt>
                <c:pt idx="252">
                  <c:v>42257</c:v>
                </c:pt>
                <c:pt idx="253">
                  <c:v>42258</c:v>
                </c:pt>
                <c:pt idx="254">
                  <c:v>42259</c:v>
                </c:pt>
                <c:pt idx="255">
                  <c:v>42260</c:v>
                </c:pt>
                <c:pt idx="256">
                  <c:v>42261</c:v>
                </c:pt>
                <c:pt idx="257">
                  <c:v>42262</c:v>
                </c:pt>
                <c:pt idx="258">
                  <c:v>42263</c:v>
                </c:pt>
                <c:pt idx="259">
                  <c:v>42264</c:v>
                </c:pt>
                <c:pt idx="260">
                  <c:v>42265</c:v>
                </c:pt>
                <c:pt idx="261">
                  <c:v>42266</c:v>
                </c:pt>
                <c:pt idx="262">
                  <c:v>42267</c:v>
                </c:pt>
                <c:pt idx="263">
                  <c:v>42268</c:v>
                </c:pt>
                <c:pt idx="264">
                  <c:v>42269</c:v>
                </c:pt>
                <c:pt idx="265">
                  <c:v>42270</c:v>
                </c:pt>
                <c:pt idx="266">
                  <c:v>42271</c:v>
                </c:pt>
                <c:pt idx="267">
                  <c:v>42272</c:v>
                </c:pt>
                <c:pt idx="268">
                  <c:v>42273</c:v>
                </c:pt>
                <c:pt idx="269">
                  <c:v>42274</c:v>
                </c:pt>
                <c:pt idx="270">
                  <c:v>42275</c:v>
                </c:pt>
                <c:pt idx="271">
                  <c:v>42276</c:v>
                </c:pt>
                <c:pt idx="272">
                  <c:v>42277</c:v>
                </c:pt>
                <c:pt idx="273">
                  <c:v>42278</c:v>
                </c:pt>
                <c:pt idx="274">
                  <c:v>42279</c:v>
                </c:pt>
                <c:pt idx="275">
                  <c:v>42280</c:v>
                </c:pt>
                <c:pt idx="276">
                  <c:v>42281</c:v>
                </c:pt>
                <c:pt idx="277">
                  <c:v>42282</c:v>
                </c:pt>
                <c:pt idx="278">
                  <c:v>42283</c:v>
                </c:pt>
                <c:pt idx="279">
                  <c:v>42284</c:v>
                </c:pt>
                <c:pt idx="280">
                  <c:v>42285</c:v>
                </c:pt>
                <c:pt idx="281">
                  <c:v>42286</c:v>
                </c:pt>
                <c:pt idx="282">
                  <c:v>42287</c:v>
                </c:pt>
                <c:pt idx="283">
                  <c:v>42288</c:v>
                </c:pt>
                <c:pt idx="284">
                  <c:v>42289</c:v>
                </c:pt>
                <c:pt idx="285">
                  <c:v>42290</c:v>
                </c:pt>
                <c:pt idx="286">
                  <c:v>42291</c:v>
                </c:pt>
                <c:pt idx="287">
                  <c:v>42292</c:v>
                </c:pt>
                <c:pt idx="288">
                  <c:v>42293</c:v>
                </c:pt>
                <c:pt idx="289">
                  <c:v>42294</c:v>
                </c:pt>
                <c:pt idx="290">
                  <c:v>42295</c:v>
                </c:pt>
                <c:pt idx="291">
                  <c:v>42296</c:v>
                </c:pt>
                <c:pt idx="292">
                  <c:v>42297</c:v>
                </c:pt>
                <c:pt idx="293">
                  <c:v>42298</c:v>
                </c:pt>
                <c:pt idx="294">
                  <c:v>42299</c:v>
                </c:pt>
                <c:pt idx="295">
                  <c:v>42300</c:v>
                </c:pt>
                <c:pt idx="296">
                  <c:v>42301</c:v>
                </c:pt>
                <c:pt idx="297">
                  <c:v>42302</c:v>
                </c:pt>
                <c:pt idx="298">
                  <c:v>42303</c:v>
                </c:pt>
                <c:pt idx="299">
                  <c:v>42304</c:v>
                </c:pt>
                <c:pt idx="300">
                  <c:v>42305</c:v>
                </c:pt>
                <c:pt idx="301">
                  <c:v>42306</c:v>
                </c:pt>
                <c:pt idx="302">
                  <c:v>42307</c:v>
                </c:pt>
                <c:pt idx="303">
                  <c:v>42308</c:v>
                </c:pt>
                <c:pt idx="304">
                  <c:v>42309</c:v>
                </c:pt>
                <c:pt idx="305">
                  <c:v>42310</c:v>
                </c:pt>
                <c:pt idx="306">
                  <c:v>42311</c:v>
                </c:pt>
                <c:pt idx="307">
                  <c:v>42312</c:v>
                </c:pt>
                <c:pt idx="308">
                  <c:v>42313</c:v>
                </c:pt>
                <c:pt idx="309">
                  <c:v>42314</c:v>
                </c:pt>
                <c:pt idx="310">
                  <c:v>42315</c:v>
                </c:pt>
                <c:pt idx="311">
                  <c:v>42316</c:v>
                </c:pt>
                <c:pt idx="312">
                  <c:v>42317</c:v>
                </c:pt>
                <c:pt idx="313">
                  <c:v>42318</c:v>
                </c:pt>
                <c:pt idx="314">
                  <c:v>42319</c:v>
                </c:pt>
                <c:pt idx="315">
                  <c:v>42320</c:v>
                </c:pt>
                <c:pt idx="316">
                  <c:v>42321</c:v>
                </c:pt>
                <c:pt idx="317">
                  <c:v>42322</c:v>
                </c:pt>
                <c:pt idx="318">
                  <c:v>42323</c:v>
                </c:pt>
                <c:pt idx="319">
                  <c:v>42324</c:v>
                </c:pt>
                <c:pt idx="320">
                  <c:v>42325</c:v>
                </c:pt>
                <c:pt idx="321">
                  <c:v>42326</c:v>
                </c:pt>
                <c:pt idx="322">
                  <c:v>42327</c:v>
                </c:pt>
                <c:pt idx="323">
                  <c:v>42328</c:v>
                </c:pt>
                <c:pt idx="324">
                  <c:v>42329</c:v>
                </c:pt>
                <c:pt idx="325">
                  <c:v>42330</c:v>
                </c:pt>
                <c:pt idx="326">
                  <c:v>42331</c:v>
                </c:pt>
                <c:pt idx="327">
                  <c:v>42332</c:v>
                </c:pt>
                <c:pt idx="328">
                  <c:v>42333</c:v>
                </c:pt>
                <c:pt idx="329">
                  <c:v>42334</c:v>
                </c:pt>
                <c:pt idx="330">
                  <c:v>42335</c:v>
                </c:pt>
                <c:pt idx="331">
                  <c:v>42336</c:v>
                </c:pt>
                <c:pt idx="332">
                  <c:v>42337</c:v>
                </c:pt>
                <c:pt idx="333">
                  <c:v>42338</c:v>
                </c:pt>
                <c:pt idx="334">
                  <c:v>42339</c:v>
                </c:pt>
                <c:pt idx="335">
                  <c:v>42340</c:v>
                </c:pt>
                <c:pt idx="336">
                  <c:v>42341</c:v>
                </c:pt>
                <c:pt idx="337">
                  <c:v>42342</c:v>
                </c:pt>
                <c:pt idx="338">
                  <c:v>42343</c:v>
                </c:pt>
                <c:pt idx="339">
                  <c:v>42344</c:v>
                </c:pt>
                <c:pt idx="340">
                  <c:v>42345</c:v>
                </c:pt>
                <c:pt idx="341">
                  <c:v>42346</c:v>
                </c:pt>
                <c:pt idx="342">
                  <c:v>42347</c:v>
                </c:pt>
                <c:pt idx="343">
                  <c:v>42348</c:v>
                </c:pt>
                <c:pt idx="344">
                  <c:v>42349</c:v>
                </c:pt>
                <c:pt idx="345">
                  <c:v>42350</c:v>
                </c:pt>
                <c:pt idx="346">
                  <c:v>42351</c:v>
                </c:pt>
                <c:pt idx="347">
                  <c:v>42352</c:v>
                </c:pt>
                <c:pt idx="348">
                  <c:v>42353</c:v>
                </c:pt>
                <c:pt idx="349">
                  <c:v>42354</c:v>
                </c:pt>
                <c:pt idx="350">
                  <c:v>42355</c:v>
                </c:pt>
                <c:pt idx="351">
                  <c:v>42356</c:v>
                </c:pt>
                <c:pt idx="352">
                  <c:v>42357</c:v>
                </c:pt>
                <c:pt idx="353">
                  <c:v>42358</c:v>
                </c:pt>
                <c:pt idx="354">
                  <c:v>42359</c:v>
                </c:pt>
                <c:pt idx="355">
                  <c:v>42360</c:v>
                </c:pt>
                <c:pt idx="356">
                  <c:v>42361</c:v>
                </c:pt>
                <c:pt idx="357">
                  <c:v>42362</c:v>
                </c:pt>
                <c:pt idx="358">
                  <c:v>42363</c:v>
                </c:pt>
                <c:pt idx="359">
                  <c:v>42364</c:v>
                </c:pt>
                <c:pt idx="360">
                  <c:v>42365</c:v>
                </c:pt>
                <c:pt idx="361">
                  <c:v>42366</c:v>
                </c:pt>
                <c:pt idx="362">
                  <c:v>42367</c:v>
                </c:pt>
              </c:numCache>
            </c:numRef>
          </c:xVal>
          <c:yVal>
            <c:numRef>
              <c:f>Clima!$AI$8:$AI$370</c:f>
              <c:numCache>
                <c:formatCode>General</c:formatCode>
                <c:ptCount val="363"/>
                <c:pt idx="0">
                  <c:v>0.8</c:v>
                </c:pt>
                <c:pt idx="1">
                  <c:v>1</c:v>
                </c:pt>
                <c:pt idx="2">
                  <c:v>1.6</c:v>
                </c:pt>
                <c:pt idx="3">
                  <c:v>1.7</c:v>
                </c:pt>
                <c:pt idx="4">
                  <c:v>0.9</c:v>
                </c:pt>
                <c:pt idx="5">
                  <c:v>1.3</c:v>
                </c:pt>
                <c:pt idx="6">
                  <c:v>0.7</c:v>
                </c:pt>
                <c:pt idx="7">
                  <c:v>0.8</c:v>
                </c:pt>
                <c:pt idx="8">
                  <c:v>1.1000000000000001</c:v>
                </c:pt>
                <c:pt idx="9">
                  <c:v>1.8</c:v>
                </c:pt>
                <c:pt idx="10">
                  <c:v>1.8</c:v>
                </c:pt>
                <c:pt idx="11">
                  <c:v>1.3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1.8</c:v>
                </c:pt>
                <c:pt idx="15">
                  <c:v>1.8</c:v>
                </c:pt>
                <c:pt idx="16">
                  <c:v>1.4</c:v>
                </c:pt>
                <c:pt idx="17">
                  <c:v>0.6</c:v>
                </c:pt>
                <c:pt idx="18">
                  <c:v>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</c:v>
                </c:pt>
                <c:pt idx="22">
                  <c:v>1.8</c:v>
                </c:pt>
                <c:pt idx="23">
                  <c:v>2.2000000000000002</c:v>
                </c:pt>
                <c:pt idx="24">
                  <c:v>3.2</c:v>
                </c:pt>
                <c:pt idx="25">
                  <c:v>1.8</c:v>
                </c:pt>
                <c:pt idx="26">
                  <c:v>2.1</c:v>
                </c:pt>
                <c:pt idx="27">
                  <c:v>2.2999999999999998</c:v>
                </c:pt>
                <c:pt idx="28">
                  <c:v>2.2999999999999998</c:v>
                </c:pt>
                <c:pt idx="29">
                  <c:v>2.5</c:v>
                </c:pt>
                <c:pt idx="30">
                  <c:v>2.2000000000000002</c:v>
                </c:pt>
                <c:pt idx="31">
                  <c:v>1.9</c:v>
                </c:pt>
                <c:pt idx="32">
                  <c:v>1</c:v>
                </c:pt>
                <c:pt idx="33">
                  <c:v>2</c:v>
                </c:pt>
                <c:pt idx="34">
                  <c:v>1.2</c:v>
                </c:pt>
                <c:pt idx="35">
                  <c:v>1.8</c:v>
                </c:pt>
                <c:pt idx="36">
                  <c:v>1.7</c:v>
                </c:pt>
                <c:pt idx="37">
                  <c:v>0.8</c:v>
                </c:pt>
                <c:pt idx="38">
                  <c:v>1.2</c:v>
                </c:pt>
                <c:pt idx="39">
                  <c:v>0.9</c:v>
                </c:pt>
                <c:pt idx="40">
                  <c:v>0.8</c:v>
                </c:pt>
                <c:pt idx="41">
                  <c:v>1.3</c:v>
                </c:pt>
                <c:pt idx="42">
                  <c:v>0.7</c:v>
                </c:pt>
                <c:pt idx="43">
                  <c:v>1.2</c:v>
                </c:pt>
                <c:pt idx="44">
                  <c:v>2.1</c:v>
                </c:pt>
                <c:pt idx="45">
                  <c:v>1.3</c:v>
                </c:pt>
                <c:pt idx="46">
                  <c:v>1.7</c:v>
                </c:pt>
                <c:pt idx="47">
                  <c:v>1.2</c:v>
                </c:pt>
                <c:pt idx="48">
                  <c:v>1.6</c:v>
                </c:pt>
                <c:pt idx="49">
                  <c:v>1.3</c:v>
                </c:pt>
                <c:pt idx="50">
                  <c:v>1.3</c:v>
                </c:pt>
                <c:pt idx="51">
                  <c:v>1.5</c:v>
                </c:pt>
                <c:pt idx="52">
                  <c:v>2.8</c:v>
                </c:pt>
                <c:pt idx="53">
                  <c:v>2.2000000000000002</c:v>
                </c:pt>
                <c:pt idx="54">
                  <c:v>2.6</c:v>
                </c:pt>
                <c:pt idx="55">
                  <c:v>2.2000000000000002</c:v>
                </c:pt>
                <c:pt idx="56">
                  <c:v>3</c:v>
                </c:pt>
                <c:pt idx="57">
                  <c:v>3.8</c:v>
                </c:pt>
                <c:pt idx="58">
                  <c:v>3.1</c:v>
                </c:pt>
                <c:pt idx="59">
                  <c:v>2.7</c:v>
                </c:pt>
                <c:pt idx="60">
                  <c:v>3.1</c:v>
                </c:pt>
                <c:pt idx="61">
                  <c:v>2.9</c:v>
                </c:pt>
                <c:pt idx="62">
                  <c:v>3.6</c:v>
                </c:pt>
                <c:pt idx="63">
                  <c:v>2.4</c:v>
                </c:pt>
                <c:pt idx="64">
                  <c:v>2.7</c:v>
                </c:pt>
                <c:pt idx="65">
                  <c:v>2.7</c:v>
                </c:pt>
                <c:pt idx="66">
                  <c:v>2.6</c:v>
                </c:pt>
                <c:pt idx="67">
                  <c:v>2.4</c:v>
                </c:pt>
                <c:pt idx="68">
                  <c:v>2.9</c:v>
                </c:pt>
                <c:pt idx="69">
                  <c:v>3.9</c:v>
                </c:pt>
                <c:pt idx="70">
                  <c:v>4</c:v>
                </c:pt>
                <c:pt idx="71">
                  <c:v>2.9</c:v>
                </c:pt>
                <c:pt idx="72">
                  <c:v>3</c:v>
                </c:pt>
                <c:pt idx="73">
                  <c:v>2.2999999999999998</c:v>
                </c:pt>
                <c:pt idx="74">
                  <c:v>2.6</c:v>
                </c:pt>
                <c:pt idx="75">
                  <c:v>2.5</c:v>
                </c:pt>
                <c:pt idx="76">
                  <c:v>0.8</c:v>
                </c:pt>
                <c:pt idx="77">
                  <c:v>1</c:v>
                </c:pt>
                <c:pt idx="78">
                  <c:v>1.3</c:v>
                </c:pt>
                <c:pt idx="79">
                  <c:v>1.3</c:v>
                </c:pt>
                <c:pt idx="80">
                  <c:v>1.7</c:v>
                </c:pt>
                <c:pt idx="81">
                  <c:v>1.9</c:v>
                </c:pt>
                <c:pt idx="82">
                  <c:v>1.3</c:v>
                </c:pt>
                <c:pt idx="83">
                  <c:v>2.5</c:v>
                </c:pt>
                <c:pt idx="84">
                  <c:v>2.7</c:v>
                </c:pt>
                <c:pt idx="85">
                  <c:v>3.9</c:v>
                </c:pt>
                <c:pt idx="86">
                  <c:v>4.9000000000000004</c:v>
                </c:pt>
                <c:pt idx="87">
                  <c:v>4.5</c:v>
                </c:pt>
                <c:pt idx="88">
                  <c:v>4.8</c:v>
                </c:pt>
                <c:pt idx="89">
                  <c:v>4.5999999999999996</c:v>
                </c:pt>
                <c:pt idx="90">
                  <c:v>4.2</c:v>
                </c:pt>
                <c:pt idx="91">
                  <c:v>3.8</c:v>
                </c:pt>
                <c:pt idx="92">
                  <c:v>3.7</c:v>
                </c:pt>
                <c:pt idx="93">
                  <c:v>3.5</c:v>
                </c:pt>
                <c:pt idx="94">
                  <c:v>4.4000000000000004</c:v>
                </c:pt>
                <c:pt idx="95">
                  <c:v>1.7</c:v>
                </c:pt>
                <c:pt idx="96">
                  <c:v>2.7</c:v>
                </c:pt>
                <c:pt idx="97">
                  <c:v>4</c:v>
                </c:pt>
                <c:pt idx="98">
                  <c:v>1.4</c:v>
                </c:pt>
                <c:pt idx="99">
                  <c:v>3.5</c:v>
                </c:pt>
                <c:pt idx="100">
                  <c:v>1.7</c:v>
                </c:pt>
                <c:pt idx="101">
                  <c:v>3</c:v>
                </c:pt>
                <c:pt idx="102">
                  <c:v>3.7</c:v>
                </c:pt>
                <c:pt idx="103">
                  <c:v>4.8</c:v>
                </c:pt>
                <c:pt idx="104">
                  <c:v>2.5</c:v>
                </c:pt>
                <c:pt idx="105">
                  <c:v>2.2999999999999998</c:v>
                </c:pt>
                <c:pt idx="106">
                  <c:v>3.2</c:v>
                </c:pt>
                <c:pt idx="107">
                  <c:v>4.2</c:v>
                </c:pt>
                <c:pt idx="108">
                  <c:v>3.8</c:v>
                </c:pt>
                <c:pt idx="109">
                  <c:v>4.3</c:v>
                </c:pt>
                <c:pt idx="110">
                  <c:v>4.0999999999999996</c:v>
                </c:pt>
                <c:pt idx="111">
                  <c:v>4.3</c:v>
                </c:pt>
                <c:pt idx="112">
                  <c:v>4.0999999999999996</c:v>
                </c:pt>
                <c:pt idx="113">
                  <c:v>4.2</c:v>
                </c:pt>
                <c:pt idx="114">
                  <c:v>3.2</c:v>
                </c:pt>
                <c:pt idx="115">
                  <c:v>2.7</c:v>
                </c:pt>
                <c:pt idx="116">
                  <c:v>3.1</c:v>
                </c:pt>
                <c:pt idx="117">
                  <c:v>4.0999999999999996</c:v>
                </c:pt>
                <c:pt idx="118">
                  <c:v>4.8</c:v>
                </c:pt>
                <c:pt idx="119">
                  <c:v>4.5999999999999996</c:v>
                </c:pt>
                <c:pt idx="120">
                  <c:v>5.4</c:v>
                </c:pt>
                <c:pt idx="121">
                  <c:v>5.2</c:v>
                </c:pt>
                <c:pt idx="122">
                  <c:v>4.4000000000000004</c:v>
                </c:pt>
                <c:pt idx="123">
                  <c:v>4.5999999999999996</c:v>
                </c:pt>
                <c:pt idx="124">
                  <c:v>4.2</c:v>
                </c:pt>
                <c:pt idx="125">
                  <c:v>5</c:v>
                </c:pt>
                <c:pt idx="126">
                  <c:v>6.2</c:v>
                </c:pt>
                <c:pt idx="127">
                  <c:v>5.6</c:v>
                </c:pt>
                <c:pt idx="128">
                  <c:v>5.4</c:v>
                </c:pt>
                <c:pt idx="129">
                  <c:v>6.1</c:v>
                </c:pt>
                <c:pt idx="130">
                  <c:v>6.8</c:v>
                </c:pt>
                <c:pt idx="131">
                  <c:v>6.2</c:v>
                </c:pt>
                <c:pt idx="132">
                  <c:v>6.2</c:v>
                </c:pt>
                <c:pt idx="133">
                  <c:v>8.5</c:v>
                </c:pt>
                <c:pt idx="134">
                  <c:v>6.3</c:v>
                </c:pt>
                <c:pt idx="135">
                  <c:v>5.8</c:v>
                </c:pt>
                <c:pt idx="136">
                  <c:v>6.3</c:v>
                </c:pt>
                <c:pt idx="137">
                  <c:v>6.7</c:v>
                </c:pt>
                <c:pt idx="138">
                  <c:v>4.3</c:v>
                </c:pt>
                <c:pt idx="139">
                  <c:v>5.2</c:v>
                </c:pt>
                <c:pt idx="140">
                  <c:v>4.9000000000000004</c:v>
                </c:pt>
                <c:pt idx="141">
                  <c:v>5</c:v>
                </c:pt>
                <c:pt idx="142">
                  <c:v>5.2</c:v>
                </c:pt>
                <c:pt idx="143">
                  <c:v>4.9000000000000004</c:v>
                </c:pt>
                <c:pt idx="144">
                  <c:v>4.4000000000000004</c:v>
                </c:pt>
                <c:pt idx="145">
                  <c:v>5.9</c:v>
                </c:pt>
                <c:pt idx="146">
                  <c:v>5.9</c:v>
                </c:pt>
                <c:pt idx="147">
                  <c:v>6.3</c:v>
                </c:pt>
                <c:pt idx="148">
                  <c:v>5.7</c:v>
                </c:pt>
                <c:pt idx="149">
                  <c:v>4.4000000000000004</c:v>
                </c:pt>
                <c:pt idx="150">
                  <c:v>4.8</c:v>
                </c:pt>
                <c:pt idx="151">
                  <c:v>5.5</c:v>
                </c:pt>
                <c:pt idx="152">
                  <c:v>6.1</c:v>
                </c:pt>
                <c:pt idx="153">
                  <c:v>6.6</c:v>
                </c:pt>
                <c:pt idx="154">
                  <c:v>6.8</c:v>
                </c:pt>
                <c:pt idx="155">
                  <c:v>6.5</c:v>
                </c:pt>
                <c:pt idx="156">
                  <c:v>6.7</c:v>
                </c:pt>
                <c:pt idx="157">
                  <c:v>6.7</c:v>
                </c:pt>
                <c:pt idx="158">
                  <c:v>6.3</c:v>
                </c:pt>
                <c:pt idx="159">
                  <c:v>6.1</c:v>
                </c:pt>
                <c:pt idx="160">
                  <c:v>4.7</c:v>
                </c:pt>
                <c:pt idx="161">
                  <c:v>3.9</c:v>
                </c:pt>
                <c:pt idx="162">
                  <c:v>4.4000000000000004</c:v>
                </c:pt>
                <c:pt idx="163">
                  <c:v>5.3</c:v>
                </c:pt>
                <c:pt idx="164">
                  <c:v>5.0999999999999996</c:v>
                </c:pt>
                <c:pt idx="165">
                  <c:v>2.7</c:v>
                </c:pt>
                <c:pt idx="166">
                  <c:v>4.5999999999999996</c:v>
                </c:pt>
                <c:pt idx="167">
                  <c:v>5.7</c:v>
                </c:pt>
                <c:pt idx="168">
                  <c:v>5.8</c:v>
                </c:pt>
                <c:pt idx="169">
                  <c:v>6.3</c:v>
                </c:pt>
                <c:pt idx="170">
                  <c:v>6.9</c:v>
                </c:pt>
                <c:pt idx="171">
                  <c:v>7.1</c:v>
                </c:pt>
                <c:pt idx="172">
                  <c:v>6.2</c:v>
                </c:pt>
                <c:pt idx="173">
                  <c:v>7.1</c:v>
                </c:pt>
                <c:pt idx="174">
                  <c:v>5.9</c:v>
                </c:pt>
                <c:pt idx="175">
                  <c:v>6.5</c:v>
                </c:pt>
                <c:pt idx="176">
                  <c:v>6.6</c:v>
                </c:pt>
                <c:pt idx="177">
                  <c:v>6.8</c:v>
                </c:pt>
                <c:pt idx="178">
                  <c:v>7</c:v>
                </c:pt>
                <c:pt idx="179">
                  <c:v>8</c:v>
                </c:pt>
                <c:pt idx="180">
                  <c:v>9</c:v>
                </c:pt>
                <c:pt idx="181">
                  <c:v>8</c:v>
                </c:pt>
                <c:pt idx="182">
                  <c:v>6.9</c:v>
                </c:pt>
                <c:pt idx="183">
                  <c:v>7.6</c:v>
                </c:pt>
                <c:pt idx="184">
                  <c:v>8.3000000000000007</c:v>
                </c:pt>
                <c:pt idx="185">
                  <c:v>8.4</c:v>
                </c:pt>
                <c:pt idx="186">
                  <c:v>8.1999999999999993</c:v>
                </c:pt>
                <c:pt idx="187">
                  <c:v>7.3</c:v>
                </c:pt>
                <c:pt idx="188">
                  <c:v>8.6</c:v>
                </c:pt>
                <c:pt idx="189">
                  <c:v>8.1</c:v>
                </c:pt>
                <c:pt idx="190">
                  <c:v>7.8</c:v>
                </c:pt>
                <c:pt idx="191">
                  <c:v>7</c:v>
                </c:pt>
                <c:pt idx="192">
                  <c:v>7.3</c:v>
                </c:pt>
                <c:pt idx="193">
                  <c:v>6.9</c:v>
                </c:pt>
                <c:pt idx="194">
                  <c:v>7.6</c:v>
                </c:pt>
                <c:pt idx="195">
                  <c:v>7.7</c:v>
                </c:pt>
                <c:pt idx="196">
                  <c:v>6.9</c:v>
                </c:pt>
                <c:pt idx="197">
                  <c:v>7.3</c:v>
                </c:pt>
                <c:pt idx="198">
                  <c:v>6.5</c:v>
                </c:pt>
                <c:pt idx="199">
                  <c:v>5.7</c:v>
                </c:pt>
                <c:pt idx="200">
                  <c:v>6.6</c:v>
                </c:pt>
                <c:pt idx="201">
                  <c:v>7</c:v>
                </c:pt>
                <c:pt idx="202">
                  <c:v>7.3</c:v>
                </c:pt>
                <c:pt idx="203">
                  <c:v>6.2</c:v>
                </c:pt>
                <c:pt idx="204">
                  <c:v>8.8000000000000007</c:v>
                </c:pt>
                <c:pt idx="205">
                  <c:v>6.5</c:v>
                </c:pt>
                <c:pt idx="206">
                  <c:v>7.7</c:v>
                </c:pt>
                <c:pt idx="207">
                  <c:v>7.9</c:v>
                </c:pt>
                <c:pt idx="208">
                  <c:v>6.9</c:v>
                </c:pt>
                <c:pt idx="209">
                  <c:v>7.6</c:v>
                </c:pt>
                <c:pt idx="210">
                  <c:v>6.3</c:v>
                </c:pt>
                <c:pt idx="211">
                  <c:v>6.3</c:v>
                </c:pt>
                <c:pt idx="212">
                  <c:v>6.3</c:v>
                </c:pt>
                <c:pt idx="213">
                  <c:v>6.5</c:v>
                </c:pt>
                <c:pt idx="214">
                  <c:v>5.9</c:v>
                </c:pt>
                <c:pt idx="215">
                  <c:v>6.5</c:v>
                </c:pt>
                <c:pt idx="216">
                  <c:v>7.6</c:v>
                </c:pt>
                <c:pt idx="217">
                  <c:v>6.7</c:v>
                </c:pt>
                <c:pt idx="218">
                  <c:v>5.6</c:v>
                </c:pt>
                <c:pt idx="219">
                  <c:v>2.9</c:v>
                </c:pt>
                <c:pt idx="220">
                  <c:v>6.3</c:v>
                </c:pt>
                <c:pt idx="221">
                  <c:v>6.8</c:v>
                </c:pt>
                <c:pt idx="222">
                  <c:v>5.9</c:v>
                </c:pt>
                <c:pt idx="223">
                  <c:v>6.7</c:v>
                </c:pt>
                <c:pt idx="224">
                  <c:v>8.3000000000000007</c:v>
                </c:pt>
                <c:pt idx="225">
                  <c:v>6.2</c:v>
                </c:pt>
                <c:pt idx="226">
                  <c:v>5.6</c:v>
                </c:pt>
                <c:pt idx="227">
                  <c:v>5</c:v>
                </c:pt>
                <c:pt idx="228">
                  <c:v>5.9</c:v>
                </c:pt>
                <c:pt idx="229">
                  <c:v>6.3</c:v>
                </c:pt>
                <c:pt idx="230">
                  <c:v>5.5</c:v>
                </c:pt>
                <c:pt idx="231">
                  <c:v>6.3</c:v>
                </c:pt>
                <c:pt idx="232">
                  <c:v>5.9</c:v>
                </c:pt>
                <c:pt idx="233">
                  <c:v>4.9000000000000004</c:v>
                </c:pt>
                <c:pt idx="234">
                  <c:v>6</c:v>
                </c:pt>
                <c:pt idx="235">
                  <c:v>5.4</c:v>
                </c:pt>
                <c:pt idx="236">
                  <c:v>5.0999999999999996</c:v>
                </c:pt>
                <c:pt idx="237">
                  <c:v>6</c:v>
                </c:pt>
                <c:pt idx="238">
                  <c:v>5.7</c:v>
                </c:pt>
                <c:pt idx="239">
                  <c:v>5.9</c:v>
                </c:pt>
                <c:pt idx="240">
                  <c:v>6.2</c:v>
                </c:pt>
                <c:pt idx="241">
                  <c:v>5.7</c:v>
                </c:pt>
                <c:pt idx="242">
                  <c:v>4.0999999999999996</c:v>
                </c:pt>
                <c:pt idx="243">
                  <c:v>4</c:v>
                </c:pt>
                <c:pt idx="244">
                  <c:v>5.3</c:v>
                </c:pt>
                <c:pt idx="245">
                  <c:v>4.7</c:v>
                </c:pt>
                <c:pt idx="246">
                  <c:v>4.2</c:v>
                </c:pt>
                <c:pt idx="247">
                  <c:v>2.9</c:v>
                </c:pt>
                <c:pt idx="248">
                  <c:v>2.1</c:v>
                </c:pt>
                <c:pt idx="249">
                  <c:v>2.4</c:v>
                </c:pt>
                <c:pt idx="250">
                  <c:v>3.7</c:v>
                </c:pt>
                <c:pt idx="251">
                  <c:v>4.0999999999999996</c:v>
                </c:pt>
                <c:pt idx="252">
                  <c:v>4.2</c:v>
                </c:pt>
                <c:pt idx="253">
                  <c:v>4.5</c:v>
                </c:pt>
                <c:pt idx="254">
                  <c:v>2.9</c:v>
                </c:pt>
                <c:pt idx="255">
                  <c:v>5.7</c:v>
                </c:pt>
                <c:pt idx="256">
                  <c:v>5</c:v>
                </c:pt>
                <c:pt idx="257">
                  <c:v>4.2</c:v>
                </c:pt>
                <c:pt idx="258">
                  <c:v>4.5</c:v>
                </c:pt>
                <c:pt idx="259">
                  <c:v>4.3</c:v>
                </c:pt>
                <c:pt idx="260">
                  <c:v>3.8</c:v>
                </c:pt>
                <c:pt idx="261">
                  <c:v>3.6</c:v>
                </c:pt>
                <c:pt idx="262">
                  <c:v>4.2</c:v>
                </c:pt>
                <c:pt idx="263">
                  <c:v>4.5999999999999996</c:v>
                </c:pt>
                <c:pt idx="264">
                  <c:v>6.4</c:v>
                </c:pt>
                <c:pt idx="265">
                  <c:v>5.5</c:v>
                </c:pt>
                <c:pt idx="266">
                  <c:v>3.2</c:v>
                </c:pt>
                <c:pt idx="267">
                  <c:v>3.6</c:v>
                </c:pt>
                <c:pt idx="268">
                  <c:v>3.8</c:v>
                </c:pt>
                <c:pt idx="269">
                  <c:v>4.4000000000000004</c:v>
                </c:pt>
                <c:pt idx="270">
                  <c:v>3.2</c:v>
                </c:pt>
                <c:pt idx="271">
                  <c:v>2.4</c:v>
                </c:pt>
                <c:pt idx="272">
                  <c:v>2.8</c:v>
                </c:pt>
                <c:pt idx="273">
                  <c:v>3.6</c:v>
                </c:pt>
                <c:pt idx="274">
                  <c:v>4</c:v>
                </c:pt>
                <c:pt idx="275">
                  <c:v>2.5</c:v>
                </c:pt>
                <c:pt idx="276">
                  <c:v>3.5</c:v>
                </c:pt>
                <c:pt idx="277">
                  <c:v>2.8</c:v>
                </c:pt>
                <c:pt idx="278">
                  <c:v>4.5</c:v>
                </c:pt>
                <c:pt idx="279">
                  <c:v>2.5</c:v>
                </c:pt>
                <c:pt idx="280">
                  <c:v>2</c:v>
                </c:pt>
                <c:pt idx="281">
                  <c:v>2.2999999999999998</c:v>
                </c:pt>
                <c:pt idx="282">
                  <c:v>2.4</c:v>
                </c:pt>
                <c:pt idx="283">
                  <c:v>2.4</c:v>
                </c:pt>
                <c:pt idx="284">
                  <c:v>2.6</c:v>
                </c:pt>
                <c:pt idx="285">
                  <c:v>2.7</c:v>
                </c:pt>
                <c:pt idx="286">
                  <c:v>3.1</c:v>
                </c:pt>
                <c:pt idx="287">
                  <c:v>2.8</c:v>
                </c:pt>
                <c:pt idx="288">
                  <c:v>2.4</c:v>
                </c:pt>
                <c:pt idx="289">
                  <c:v>2.6</c:v>
                </c:pt>
                <c:pt idx="290">
                  <c:v>2.5</c:v>
                </c:pt>
                <c:pt idx="291">
                  <c:v>2.2000000000000002</c:v>
                </c:pt>
                <c:pt idx="292">
                  <c:v>1.5</c:v>
                </c:pt>
                <c:pt idx="293">
                  <c:v>2.1</c:v>
                </c:pt>
                <c:pt idx="294">
                  <c:v>2.8</c:v>
                </c:pt>
                <c:pt idx="295">
                  <c:v>1.9</c:v>
                </c:pt>
                <c:pt idx="296">
                  <c:v>2</c:v>
                </c:pt>
                <c:pt idx="297">
                  <c:v>1.3</c:v>
                </c:pt>
                <c:pt idx="298">
                  <c:v>1.3</c:v>
                </c:pt>
                <c:pt idx="299">
                  <c:v>1.6</c:v>
                </c:pt>
                <c:pt idx="300">
                  <c:v>2.1</c:v>
                </c:pt>
                <c:pt idx="301">
                  <c:v>1.8</c:v>
                </c:pt>
                <c:pt idx="302">
                  <c:v>2.2000000000000002</c:v>
                </c:pt>
                <c:pt idx="303">
                  <c:v>2.2000000000000002</c:v>
                </c:pt>
                <c:pt idx="304">
                  <c:v>2.1</c:v>
                </c:pt>
                <c:pt idx="305">
                  <c:v>1.6</c:v>
                </c:pt>
                <c:pt idx="306">
                  <c:v>1.1000000000000001</c:v>
                </c:pt>
                <c:pt idx="307">
                  <c:v>1.1000000000000001</c:v>
                </c:pt>
                <c:pt idx="308">
                  <c:v>1.3</c:v>
                </c:pt>
                <c:pt idx="309">
                  <c:v>1.5</c:v>
                </c:pt>
                <c:pt idx="310">
                  <c:v>1.6</c:v>
                </c:pt>
                <c:pt idx="311">
                  <c:v>1.7</c:v>
                </c:pt>
                <c:pt idx="312">
                  <c:v>1.4</c:v>
                </c:pt>
                <c:pt idx="313">
                  <c:v>1.3</c:v>
                </c:pt>
                <c:pt idx="314">
                  <c:v>1.4</c:v>
                </c:pt>
                <c:pt idx="315">
                  <c:v>1.6</c:v>
                </c:pt>
                <c:pt idx="316">
                  <c:v>1.1000000000000001</c:v>
                </c:pt>
                <c:pt idx="317">
                  <c:v>1.2</c:v>
                </c:pt>
                <c:pt idx="318">
                  <c:v>0.9</c:v>
                </c:pt>
                <c:pt idx="319">
                  <c:v>1.8</c:v>
                </c:pt>
                <c:pt idx="320">
                  <c:v>1.7</c:v>
                </c:pt>
                <c:pt idx="321">
                  <c:v>1.3</c:v>
                </c:pt>
                <c:pt idx="322">
                  <c:v>1.7</c:v>
                </c:pt>
                <c:pt idx="323">
                  <c:v>2.2999999999999998</c:v>
                </c:pt>
                <c:pt idx="324">
                  <c:v>3.1</c:v>
                </c:pt>
                <c:pt idx="325">
                  <c:v>1.7</c:v>
                </c:pt>
                <c:pt idx="326">
                  <c:v>1.2</c:v>
                </c:pt>
                <c:pt idx="327">
                  <c:v>1.8</c:v>
                </c:pt>
                <c:pt idx="328">
                  <c:v>2.2999999999999998</c:v>
                </c:pt>
                <c:pt idx="329">
                  <c:v>3.3</c:v>
                </c:pt>
                <c:pt idx="330">
                  <c:v>1.9</c:v>
                </c:pt>
                <c:pt idx="331">
                  <c:v>1.6</c:v>
                </c:pt>
                <c:pt idx="332">
                  <c:v>0.9</c:v>
                </c:pt>
                <c:pt idx="333">
                  <c:v>1.5</c:v>
                </c:pt>
                <c:pt idx="334">
                  <c:v>1</c:v>
                </c:pt>
                <c:pt idx="335">
                  <c:v>1.6</c:v>
                </c:pt>
                <c:pt idx="336">
                  <c:v>1</c:v>
                </c:pt>
                <c:pt idx="337">
                  <c:v>1</c:v>
                </c:pt>
                <c:pt idx="338">
                  <c:v>1.1000000000000001</c:v>
                </c:pt>
                <c:pt idx="339">
                  <c:v>1.2</c:v>
                </c:pt>
                <c:pt idx="340">
                  <c:v>1.1000000000000001</c:v>
                </c:pt>
                <c:pt idx="341">
                  <c:v>1</c:v>
                </c:pt>
                <c:pt idx="342">
                  <c:v>0.9</c:v>
                </c:pt>
                <c:pt idx="343">
                  <c:v>0.9</c:v>
                </c:pt>
                <c:pt idx="344">
                  <c:v>0.9</c:v>
                </c:pt>
                <c:pt idx="345">
                  <c:v>0.9</c:v>
                </c:pt>
                <c:pt idx="346">
                  <c:v>0.7</c:v>
                </c:pt>
                <c:pt idx="347">
                  <c:v>1</c:v>
                </c:pt>
                <c:pt idx="348">
                  <c:v>1.4</c:v>
                </c:pt>
                <c:pt idx="349">
                  <c:v>1.2</c:v>
                </c:pt>
                <c:pt idx="350">
                  <c:v>1.1000000000000001</c:v>
                </c:pt>
                <c:pt idx="351">
                  <c:v>1.3</c:v>
                </c:pt>
                <c:pt idx="352">
                  <c:v>0.8</c:v>
                </c:pt>
                <c:pt idx="353">
                  <c:v>1.2</c:v>
                </c:pt>
                <c:pt idx="354">
                  <c:v>0.8</c:v>
                </c:pt>
                <c:pt idx="355">
                  <c:v>1.3</c:v>
                </c:pt>
                <c:pt idx="356">
                  <c:v>1.1000000000000001</c:v>
                </c:pt>
                <c:pt idx="357">
                  <c:v>0.8</c:v>
                </c:pt>
                <c:pt idx="358">
                  <c:v>0.6</c:v>
                </c:pt>
                <c:pt idx="359">
                  <c:v>1.2</c:v>
                </c:pt>
                <c:pt idx="360">
                  <c:v>1.1000000000000001</c:v>
                </c:pt>
                <c:pt idx="361">
                  <c:v>1.2</c:v>
                </c:pt>
                <c:pt idx="362">
                  <c:v>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85F-41E4-B9EF-FCAEB01B33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294992"/>
        <c:axId val="486300480"/>
      </c:scatterChart>
      <c:valAx>
        <c:axId val="486294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486300480"/>
        <c:crosses val="autoZero"/>
        <c:crossBetween val="midCat"/>
      </c:valAx>
      <c:valAx>
        <c:axId val="48630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486294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_tradn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Tm (ºC)</a:t>
            </a:r>
          </a:p>
        </c:rich>
      </c:tx>
      <c:layout>
        <c:manualLayout>
          <c:xMode val="edge"/>
          <c:yMode val="edge"/>
          <c:x val="0.48021551870757179"/>
          <c:y val="5.09259646396651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SWB!$C$15:$C$229</c:f>
              <c:numCache>
                <c:formatCode>m/d/yyyy</c:formatCode>
                <c:ptCount val="215"/>
                <c:pt idx="0">
                  <c:v>42016</c:v>
                </c:pt>
                <c:pt idx="1">
                  <c:v>42017</c:v>
                </c:pt>
                <c:pt idx="2">
                  <c:v>42018</c:v>
                </c:pt>
                <c:pt idx="3">
                  <c:v>42019</c:v>
                </c:pt>
                <c:pt idx="4">
                  <c:v>42020</c:v>
                </c:pt>
                <c:pt idx="5">
                  <c:v>42021</c:v>
                </c:pt>
                <c:pt idx="6">
                  <c:v>42022</c:v>
                </c:pt>
                <c:pt idx="7">
                  <c:v>42023</c:v>
                </c:pt>
                <c:pt idx="8">
                  <c:v>42024</c:v>
                </c:pt>
                <c:pt idx="9">
                  <c:v>42025</c:v>
                </c:pt>
                <c:pt idx="10">
                  <c:v>42026</c:v>
                </c:pt>
                <c:pt idx="11">
                  <c:v>42027</c:v>
                </c:pt>
                <c:pt idx="12">
                  <c:v>42028</c:v>
                </c:pt>
                <c:pt idx="13">
                  <c:v>42029</c:v>
                </c:pt>
                <c:pt idx="14">
                  <c:v>42030</c:v>
                </c:pt>
                <c:pt idx="15">
                  <c:v>42031</c:v>
                </c:pt>
                <c:pt idx="16">
                  <c:v>42032</c:v>
                </c:pt>
                <c:pt idx="17">
                  <c:v>42033</c:v>
                </c:pt>
                <c:pt idx="18">
                  <c:v>42034</c:v>
                </c:pt>
                <c:pt idx="19">
                  <c:v>42035</c:v>
                </c:pt>
                <c:pt idx="20">
                  <c:v>42036</c:v>
                </c:pt>
                <c:pt idx="21">
                  <c:v>42037</c:v>
                </c:pt>
                <c:pt idx="22">
                  <c:v>42038</c:v>
                </c:pt>
                <c:pt idx="23">
                  <c:v>42039</c:v>
                </c:pt>
                <c:pt idx="24">
                  <c:v>42040</c:v>
                </c:pt>
                <c:pt idx="25">
                  <c:v>42041</c:v>
                </c:pt>
                <c:pt idx="26">
                  <c:v>42042</c:v>
                </c:pt>
                <c:pt idx="27">
                  <c:v>42043</c:v>
                </c:pt>
                <c:pt idx="28">
                  <c:v>42044</c:v>
                </c:pt>
                <c:pt idx="29">
                  <c:v>42045</c:v>
                </c:pt>
                <c:pt idx="30">
                  <c:v>42046</c:v>
                </c:pt>
                <c:pt idx="31">
                  <c:v>42047</c:v>
                </c:pt>
                <c:pt idx="32">
                  <c:v>42048</c:v>
                </c:pt>
                <c:pt idx="33">
                  <c:v>42049</c:v>
                </c:pt>
                <c:pt idx="34">
                  <c:v>42050</c:v>
                </c:pt>
                <c:pt idx="35">
                  <c:v>42051</c:v>
                </c:pt>
                <c:pt idx="36">
                  <c:v>42052</c:v>
                </c:pt>
                <c:pt idx="37">
                  <c:v>42053</c:v>
                </c:pt>
                <c:pt idx="38">
                  <c:v>42054</c:v>
                </c:pt>
                <c:pt idx="39">
                  <c:v>42055</c:v>
                </c:pt>
                <c:pt idx="40">
                  <c:v>42056</c:v>
                </c:pt>
                <c:pt idx="41">
                  <c:v>42057</c:v>
                </c:pt>
                <c:pt idx="42">
                  <c:v>42058</c:v>
                </c:pt>
                <c:pt idx="43">
                  <c:v>42059</c:v>
                </c:pt>
                <c:pt idx="44">
                  <c:v>42060</c:v>
                </c:pt>
                <c:pt idx="45">
                  <c:v>42061</c:v>
                </c:pt>
                <c:pt idx="46">
                  <c:v>42062</c:v>
                </c:pt>
                <c:pt idx="47">
                  <c:v>42063</c:v>
                </c:pt>
                <c:pt idx="48">
                  <c:v>42064</c:v>
                </c:pt>
                <c:pt idx="49">
                  <c:v>42065</c:v>
                </c:pt>
                <c:pt idx="50">
                  <c:v>42066</c:v>
                </c:pt>
                <c:pt idx="51">
                  <c:v>42067</c:v>
                </c:pt>
                <c:pt idx="52">
                  <c:v>42068</c:v>
                </c:pt>
                <c:pt idx="53">
                  <c:v>42069</c:v>
                </c:pt>
                <c:pt idx="54">
                  <c:v>42070</c:v>
                </c:pt>
                <c:pt idx="55">
                  <c:v>42071</c:v>
                </c:pt>
                <c:pt idx="56">
                  <c:v>42072</c:v>
                </c:pt>
                <c:pt idx="57">
                  <c:v>42073</c:v>
                </c:pt>
                <c:pt idx="58">
                  <c:v>42074</c:v>
                </c:pt>
                <c:pt idx="59">
                  <c:v>42075</c:v>
                </c:pt>
                <c:pt idx="60">
                  <c:v>42076</c:v>
                </c:pt>
                <c:pt idx="61">
                  <c:v>42077</c:v>
                </c:pt>
                <c:pt idx="62">
                  <c:v>42078</c:v>
                </c:pt>
                <c:pt idx="63">
                  <c:v>42079</c:v>
                </c:pt>
                <c:pt idx="64">
                  <c:v>42080</c:v>
                </c:pt>
                <c:pt idx="65">
                  <c:v>42081</c:v>
                </c:pt>
                <c:pt idx="66">
                  <c:v>42082</c:v>
                </c:pt>
                <c:pt idx="67">
                  <c:v>42083</c:v>
                </c:pt>
                <c:pt idx="68">
                  <c:v>42084</c:v>
                </c:pt>
                <c:pt idx="69">
                  <c:v>42085</c:v>
                </c:pt>
                <c:pt idx="70">
                  <c:v>42086</c:v>
                </c:pt>
                <c:pt idx="71">
                  <c:v>42087</c:v>
                </c:pt>
                <c:pt idx="72">
                  <c:v>42088</c:v>
                </c:pt>
                <c:pt idx="73">
                  <c:v>42089</c:v>
                </c:pt>
                <c:pt idx="74">
                  <c:v>42090</c:v>
                </c:pt>
                <c:pt idx="75">
                  <c:v>42091</c:v>
                </c:pt>
                <c:pt idx="76">
                  <c:v>42092</c:v>
                </c:pt>
                <c:pt idx="77">
                  <c:v>42093</c:v>
                </c:pt>
                <c:pt idx="78">
                  <c:v>42094</c:v>
                </c:pt>
                <c:pt idx="79">
                  <c:v>42095</c:v>
                </c:pt>
                <c:pt idx="80">
                  <c:v>42096</c:v>
                </c:pt>
                <c:pt idx="81">
                  <c:v>42097</c:v>
                </c:pt>
                <c:pt idx="82">
                  <c:v>42098</c:v>
                </c:pt>
                <c:pt idx="83">
                  <c:v>42099</c:v>
                </c:pt>
                <c:pt idx="84">
                  <c:v>42100</c:v>
                </c:pt>
                <c:pt idx="85">
                  <c:v>42101</c:v>
                </c:pt>
                <c:pt idx="86">
                  <c:v>42102</c:v>
                </c:pt>
                <c:pt idx="87">
                  <c:v>42103</c:v>
                </c:pt>
                <c:pt idx="88">
                  <c:v>42104</c:v>
                </c:pt>
                <c:pt idx="89">
                  <c:v>42105</c:v>
                </c:pt>
                <c:pt idx="90">
                  <c:v>42106</c:v>
                </c:pt>
                <c:pt idx="91">
                  <c:v>42107</c:v>
                </c:pt>
                <c:pt idx="92">
                  <c:v>42108</c:v>
                </c:pt>
                <c:pt idx="93">
                  <c:v>42109</c:v>
                </c:pt>
                <c:pt idx="94">
                  <c:v>42110</c:v>
                </c:pt>
                <c:pt idx="95">
                  <c:v>42111</c:v>
                </c:pt>
                <c:pt idx="96">
                  <c:v>42112</c:v>
                </c:pt>
                <c:pt idx="97">
                  <c:v>42113</c:v>
                </c:pt>
                <c:pt idx="98">
                  <c:v>42114</c:v>
                </c:pt>
                <c:pt idx="99">
                  <c:v>42115</c:v>
                </c:pt>
                <c:pt idx="100">
                  <c:v>42116</c:v>
                </c:pt>
                <c:pt idx="101">
                  <c:v>42117</c:v>
                </c:pt>
                <c:pt idx="102">
                  <c:v>42118</c:v>
                </c:pt>
                <c:pt idx="103">
                  <c:v>42119</c:v>
                </c:pt>
                <c:pt idx="104">
                  <c:v>42120</c:v>
                </c:pt>
                <c:pt idx="105">
                  <c:v>42121</c:v>
                </c:pt>
                <c:pt idx="106">
                  <c:v>42122</c:v>
                </c:pt>
                <c:pt idx="107">
                  <c:v>42123</c:v>
                </c:pt>
                <c:pt idx="108">
                  <c:v>42124</c:v>
                </c:pt>
                <c:pt idx="109">
                  <c:v>42125</c:v>
                </c:pt>
                <c:pt idx="110">
                  <c:v>42126</c:v>
                </c:pt>
                <c:pt idx="111">
                  <c:v>42127</c:v>
                </c:pt>
                <c:pt idx="112">
                  <c:v>42128</c:v>
                </c:pt>
                <c:pt idx="113">
                  <c:v>42129</c:v>
                </c:pt>
                <c:pt idx="114">
                  <c:v>42130</c:v>
                </c:pt>
                <c:pt idx="115">
                  <c:v>42131</c:v>
                </c:pt>
                <c:pt idx="116">
                  <c:v>42132</c:v>
                </c:pt>
                <c:pt idx="117">
                  <c:v>42133</c:v>
                </c:pt>
                <c:pt idx="118">
                  <c:v>42134</c:v>
                </c:pt>
                <c:pt idx="119">
                  <c:v>42135</c:v>
                </c:pt>
                <c:pt idx="120">
                  <c:v>42136</c:v>
                </c:pt>
                <c:pt idx="121">
                  <c:v>42137</c:v>
                </c:pt>
                <c:pt idx="122">
                  <c:v>42138</c:v>
                </c:pt>
                <c:pt idx="123">
                  <c:v>42139</c:v>
                </c:pt>
                <c:pt idx="124">
                  <c:v>42140</c:v>
                </c:pt>
                <c:pt idx="125">
                  <c:v>42141</c:v>
                </c:pt>
                <c:pt idx="126">
                  <c:v>42142</c:v>
                </c:pt>
                <c:pt idx="127">
                  <c:v>42143</c:v>
                </c:pt>
                <c:pt idx="128">
                  <c:v>42144</c:v>
                </c:pt>
                <c:pt idx="129">
                  <c:v>42145</c:v>
                </c:pt>
                <c:pt idx="130">
                  <c:v>42146</c:v>
                </c:pt>
                <c:pt idx="131">
                  <c:v>42147</c:v>
                </c:pt>
                <c:pt idx="132">
                  <c:v>42148</c:v>
                </c:pt>
                <c:pt idx="133">
                  <c:v>42149</c:v>
                </c:pt>
                <c:pt idx="134">
                  <c:v>42150</c:v>
                </c:pt>
                <c:pt idx="135">
                  <c:v>42151</c:v>
                </c:pt>
                <c:pt idx="136">
                  <c:v>42152</c:v>
                </c:pt>
                <c:pt idx="137">
                  <c:v>42153</c:v>
                </c:pt>
                <c:pt idx="138">
                  <c:v>42154</c:v>
                </c:pt>
                <c:pt idx="139">
                  <c:v>42155</c:v>
                </c:pt>
                <c:pt idx="140">
                  <c:v>42156</c:v>
                </c:pt>
                <c:pt idx="141">
                  <c:v>42157</c:v>
                </c:pt>
                <c:pt idx="142">
                  <c:v>42158</c:v>
                </c:pt>
                <c:pt idx="143">
                  <c:v>42159</c:v>
                </c:pt>
                <c:pt idx="144">
                  <c:v>42160</c:v>
                </c:pt>
                <c:pt idx="145">
                  <c:v>42161</c:v>
                </c:pt>
                <c:pt idx="146">
                  <c:v>42162</c:v>
                </c:pt>
                <c:pt idx="147">
                  <c:v>42163</c:v>
                </c:pt>
                <c:pt idx="148">
                  <c:v>42164</c:v>
                </c:pt>
                <c:pt idx="149">
                  <c:v>42165</c:v>
                </c:pt>
                <c:pt idx="150">
                  <c:v>42166</c:v>
                </c:pt>
                <c:pt idx="151">
                  <c:v>42167</c:v>
                </c:pt>
                <c:pt idx="152">
                  <c:v>42168</c:v>
                </c:pt>
                <c:pt idx="153">
                  <c:v>42169</c:v>
                </c:pt>
                <c:pt idx="154">
                  <c:v>42170</c:v>
                </c:pt>
                <c:pt idx="155">
                  <c:v>42171</c:v>
                </c:pt>
                <c:pt idx="156">
                  <c:v>42172</c:v>
                </c:pt>
                <c:pt idx="157">
                  <c:v>42173</c:v>
                </c:pt>
                <c:pt idx="158">
                  <c:v>42174</c:v>
                </c:pt>
                <c:pt idx="159">
                  <c:v>42175</c:v>
                </c:pt>
                <c:pt idx="160">
                  <c:v>42176</c:v>
                </c:pt>
                <c:pt idx="161">
                  <c:v>42177</c:v>
                </c:pt>
                <c:pt idx="162">
                  <c:v>42178</c:v>
                </c:pt>
                <c:pt idx="163">
                  <c:v>42179</c:v>
                </c:pt>
                <c:pt idx="164">
                  <c:v>42180</c:v>
                </c:pt>
                <c:pt idx="165">
                  <c:v>42181</c:v>
                </c:pt>
                <c:pt idx="166">
                  <c:v>42182</c:v>
                </c:pt>
                <c:pt idx="167">
                  <c:v>42183</c:v>
                </c:pt>
                <c:pt idx="168">
                  <c:v>42184</c:v>
                </c:pt>
                <c:pt idx="169">
                  <c:v>42185</c:v>
                </c:pt>
                <c:pt idx="170">
                  <c:v>42186</c:v>
                </c:pt>
                <c:pt idx="171">
                  <c:v>42187</c:v>
                </c:pt>
                <c:pt idx="172">
                  <c:v>42188</c:v>
                </c:pt>
                <c:pt idx="173">
                  <c:v>42189</c:v>
                </c:pt>
                <c:pt idx="174">
                  <c:v>42190</c:v>
                </c:pt>
                <c:pt idx="175">
                  <c:v>42191</c:v>
                </c:pt>
                <c:pt idx="176">
                  <c:v>42192</c:v>
                </c:pt>
                <c:pt idx="177">
                  <c:v>42193</c:v>
                </c:pt>
                <c:pt idx="178">
                  <c:v>42194</c:v>
                </c:pt>
                <c:pt idx="179">
                  <c:v>42195</c:v>
                </c:pt>
                <c:pt idx="180">
                  <c:v>42196</c:v>
                </c:pt>
                <c:pt idx="181">
                  <c:v>42197</c:v>
                </c:pt>
                <c:pt idx="182">
                  <c:v>42198</c:v>
                </c:pt>
                <c:pt idx="183">
                  <c:v>42199</c:v>
                </c:pt>
                <c:pt idx="184">
                  <c:v>42200</c:v>
                </c:pt>
                <c:pt idx="185">
                  <c:v>42201</c:v>
                </c:pt>
                <c:pt idx="186">
                  <c:v>42202</c:v>
                </c:pt>
                <c:pt idx="187">
                  <c:v>42203</c:v>
                </c:pt>
              </c:numCache>
            </c:numRef>
          </c:xVal>
          <c:yVal>
            <c:numRef>
              <c:f>SWB!$I$15:$I$229</c:f>
              <c:numCache>
                <c:formatCode>General</c:formatCode>
                <c:ptCount val="215"/>
                <c:pt idx="0">
                  <c:v>4.2</c:v>
                </c:pt>
                <c:pt idx="1">
                  <c:v>2.8</c:v>
                </c:pt>
                <c:pt idx="2">
                  <c:v>5.3</c:v>
                </c:pt>
                <c:pt idx="3">
                  <c:v>6.1</c:v>
                </c:pt>
                <c:pt idx="4">
                  <c:v>1.6</c:v>
                </c:pt>
                <c:pt idx="5">
                  <c:v>1</c:v>
                </c:pt>
                <c:pt idx="6">
                  <c:v>5.8</c:v>
                </c:pt>
                <c:pt idx="7">
                  <c:v>3.9</c:v>
                </c:pt>
                <c:pt idx="8">
                  <c:v>4.3</c:v>
                </c:pt>
                <c:pt idx="9">
                  <c:v>6.9</c:v>
                </c:pt>
                <c:pt idx="10">
                  <c:v>9</c:v>
                </c:pt>
                <c:pt idx="11">
                  <c:v>8.1999999999999993</c:v>
                </c:pt>
                <c:pt idx="12">
                  <c:v>9.3000000000000007</c:v>
                </c:pt>
                <c:pt idx="13">
                  <c:v>8.6</c:v>
                </c:pt>
                <c:pt idx="14">
                  <c:v>7.3</c:v>
                </c:pt>
                <c:pt idx="15">
                  <c:v>6.4</c:v>
                </c:pt>
                <c:pt idx="16">
                  <c:v>6.4</c:v>
                </c:pt>
                <c:pt idx="17">
                  <c:v>7.4</c:v>
                </c:pt>
                <c:pt idx="18">
                  <c:v>6.1</c:v>
                </c:pt>
                <c:pt idx="19">
                  <c:v>7.4</c:v>
                </c:pt>
                <c:pt idx="20">
                  <c:v>7.4</c:v>
                </c:pt>
                <c:pt idx="21">
                  <c:v>6.7</c:v>
                </c:pt>
                <c:pt idx="22">
                  <c:v>6.6</c:v>
                </c:pt>
                <c:pt idx="23">
                  <c:v>4.4000000000000004</c:v>
                </c:pt>
                <c:pt idx="24">
                  <c:v>7.8</c:v>
                </c:pt>
                <c:pt idx="25">
                  <c:v>8</c:v>
                </c:pt>
                <c:pt idx="26">
                  <c:v>7.2</c:v>
                </c:pt>
                <c:pt idx="27">
                  <c:v>7.7</c:v>
                </c:pt>
                <c:pt idx="28">
                  <c:v>10.4</c:v>
                </c:pt>
                <c:pt idx="29">
                  <c:v>12.1</c:v>
                </c:pt>
                <c:pt idx="30">
                  <c:v>12.5</c:v>
                </c:pt>
                <c:pt idx="31">
                  <c:v>11.5</c:v>
                </c:pt>
                <c:pt idx="32">
                  <c:v>13</c:v>
                </c:pt>
                <c:pt idx="33">
                  <c:v>7.3</c:v>
                </c:pt>
                <c:pt idx="34">
                  <c:v>4.2</c:v>
                </c:pt>
                <c:pt idx="35">
                  <c:v>0.7</c:v>
                </c:pt>
                <c:pt idx="36">
                  <c:v>2</c:v>
                </c:pt>
                <c:pt idx="37">
                  <c:v>4.2</c:v>
                </c:pt>
                <c:pt idx="38">
                  <c:v>4.7</c:v>
                </c:pt>
                <c:pt idx="39">
                  <c:v>4.8</c:v>
                </c:pt>
                <c:pt idx="40">
                  <c:v>6.1</c:v>
                </c:pt>
                <c:pt idx="41">
                  <c:v>8.6</c:v>
                </c:pt>
                <c:pt idx="42">
                  <c:v>7.4</c:v>
                </c:pt>
                <c:pt idx="43">
                  <c:v>6.5</c:v>
                </c:pt>
                <c:pt idx="44">
                  <c:v>8.5</c:v>
                </c:pt>
                <c:pt idx="45">
                  <c:v>7.5</c:v>
                </c:pt>
                <c:pt idx="46">
                  <c:v>3.4</c:v>
                </c:pt>
                <c:pt idx="47">
                  <c:v>4.5</c:v>
                </c:pt>
                <c:pt idx="48">
                  <c:v>5.5</c:v>
                </c:pt>
                <c:pt idx="49">
                  <c:v>5.8</c:v>
                </c:pt>
                <c:pt idx="50">
                  <c:v>8.5</c:v>
                </c:pt>
                <c:pt idx="51">
                  <c:v>8</c:v>
                </c:pt>
                <c:pt idx="52">
                  <c:v>8.3000000000000007</c:v>
                </c:pt>
                <c:pt idx="53">
                  <c:v>5.4</c:v>
                </c:pt>
                <c:pt idx="54">
                  <c:v>4</c:v>
                </c:pt>
                <c:pt idx="55">
                  <c:v>3.2</c:v>
                </c:pt>
                <c:pt idx="56">
                  <c:v>3.8</c:v>
                </c:pt>
                <c:pt idx="57">
                  <c:v>4.9000000000000004</c:v>
                </c:pt>
                <c:pt idx="58">
                  <c:v>4.0999999999999996</c:v>
                </c:pt>
                <c:pt idx="59">
                  <c:v>5.2</c:v>
                </c:pt>
                <c:pt idx="60">
                  <c:v>4.2</c:v>
                </c:pt>
                <c:pt idx="61">
                  <c:v>5.2</c:v>
                </c:pt>
                <c:pt idx="62">
                  <c:v>7.8</c:v>
                </c:pt>
                <c:pt idx="63">
                  <c:v>7.9</c:v>
                </c:pt>
                <c:pt idx="64">
                  <c:v>7.7</c:v>
                </c:pt>
                <c:pt idx="65">
                  <c:v>8</c:v>
                </c:pt>
                <c:pt idx="66">
                  <c:v>8.9</c:v>
                </c:pt>
                <c:pt idx="67">
                  <c:v>8.9</c:v>
                </c:pt>
                <c:pt idx="68">
                  <c:v>8.9</c:v>
                </c:pt>
                <c:pt idx="69">
                  <c:v>7.7</c:v>
                </c:pt>
                <c:pt idx="70">
                  <c:v>7.8</c:v>
                </c:pt>
                <c:pt idx="71">
                  <c:v>7.7</c:v>
                </c:pt>
                <c:pt idx="72">
                  <c:v>6.9</c:v>
                </c:pt>
                <c:pt idx="73">
                  <c:v>10.3</c:v>
                </c:pt>
                <c:pt idx="74">
                  <c:v>10.8</c:v>
                </c:pt>
                <c:pt idx="75">
                  <c:v>11.1</c:v>
                </c:pt>
                <c:pt idx="76">
                  <c:v>9.3000000000000007</c:v>
                </c:pt>
                <c:pt idx="77">
                  <c:v>11.4</c:v>
                </c:pt>
                <c:pt idx="78">
                  <c:v>13.9</c:v>
                </c:pt>
                <c:pt idx="79">
                  <c:v>9.1</c:v>
                </c:pt>
                <c:pt idx="80">
                  <c:v>6.4</c:v>
                </c:pt>
                <c:pt idx="81">
                  <c:v>8</c:v>
                </c:pt>
                <c:pt idx="82">
                  <c:v>11.9</c:v>
                </c:pt>
                <c:pt idx="83">
                  <c:v>9.6999999999999993</c:v>
                </c:pt>
                <c:pt idx="84">
                  <c:v>8.6999999999999993</c:v>
                </c:pt>
                <c:pt idx="85">
                  <c:v>11.2</c:v>
                </c:pt>
                <c:pt idx="86">
                  <c:v>10.8</c:v>
                </c:pt>
                <c:pt idx="87">
                  <c:v>8.4</c:v>
                </c:pt>
                <c:pt idx="88">
                  <c:v>8.6999999999999993</c:v>
                </c:pt>
                <c:pt idx="89">
                  <c:v>10.8</c:v>
                </c:pt>
                <c:pt idx="90">
                  <c:v>10.5</c:v>
                </c:pt>
                <c:pt idx="91">
                  <c:v>11.3</c:v>
                </c:pt>
                <c:pt idx="92">
                  <c:v>10.5</c:v>
                </c:pt>
                <c:pt idx="93">
                  <c:v>12.3</c:v>
                </c:pt>
                <c:pt idx="94">
                  <c:v>13.9</c:v>
                </c:pt>
                <c:pt idx="95">
                  <c:v>14.4</c:v>
                </c:pt>
                <c:pt idx="96">
                  <c:v>12.4</c:v>
                </c:pt>
                <c:pt idx="97">
                  <c:v>13.2</c:v>
                </c:pt>
                <c:pt idx="98">
                  <c:v>11.2</c:v>
                </c:pt>
                <c:pt idx="99">
                  <c:v>9.1999999999999993</c:v>
                </c:pt>
                <c:pt idx="100">
                  <c:v>11</c:v>
                </c:pt>
                <c:pt idx="101">
                  <c:v>11.3</c:v>
                </c:pt>
                <c:pt idx="102">
                  <c:v>11.4</c:v>
                </c:pt>
                <c:pt idx="103">
                  <c:v>11</c:v>
                </c:pt>
                <c:pt idx="104">
                  <c:v>11</c:v>
                </c:pt>
                <c:pt idx="105">
                  <c:v>12.8</c:v>
                </c:pt>
                <c:pt idx="106">
                  <c:v>14.7</c:v>
                </c:pt>
                <c:pt idx="107">
                  <c:v>13.1</c:v>
                </c:pt>
                <c:pt idx="108">
                  <c:v>11.9</c:v>
                </c:pt>
                <c:pt idx="109">
                  <c:v>13.4</c:v>
                </c:pt>
                <c:pt idx="110">
                  <c:v>9.1999999999999993</c:v>
                </c:pt>
                <c:pt idx="111">
                  <c:v>10.199999999999999</c:v>
                </c:pt>
                <c:pt idx="112">
                  <c:v>14.5</c:v>
                </c:pt>
                <c:pt idx="113">
                  <c:v>14.5</c:v>
                </c:pt>
                <c:pt idx="114">
                  <c:v>11.9</c:v>
                </c:pt>
                <c:pt idx="115">
                  <c:v>11.9</c:v>
                </c:pt>
                <c:pt idx="116">
                  <c:v>12.6</c:v>
                </c:pt>
                <c:pt idx="117">
                  <c:v>12.7</c:v>
                </c:pt>
                <c:pt idx="118">
                  <c:v>11.6</c:v>
                </c:pt>
                <c:pt idx="119">
                  <c:v>10.1</c:v>
                </c:pt>
                <c:pt idx="120">
                  <c:v>11.9</c:v>
                </c:pt>
                <c:pt idx="121">
                  <c:v>10.5</c:v>
                </c:pt>
                <c:pt idx="122">
                  <c:v>10</c:v>
                </c:pt>
                <c:pt idx="123">
                  <c:v>12.4</c:v>
                </c:pt>
                <c:pt idx="124">
                  <c:v>14.4</c:v>
                </c:pt>
                <c:pt idx="125">
                  <c:v>14.9</c:v>
                </c:pt>
                <c:pt idx="126">
                  <c:v>15.8</c:v>
                </c:pt>
                <c:pt idx="127">
                  <c:v>16.399999999999999</c:v>
                </c:pt>
                <c:pt idx="128">
                  <c:v>17.100000000000001</c:v>
                </c:pt>
                <c:pt idx="129">
                  <c:v>17.8</c:v>
                </c:pt>
                <c:pt idx="130">
                  <c:v>18.8</c:v>
                </c:pt>
                <c:pt idx="131">
                  <c:v>16.899999999999999</c:v>
                </c:pt>
                <c:pt idx="132">
                  <c:v>15.3</c:v>
                </c:pt>
                <c:pt idx="133">
                  <c:v>18.100000000000001</c:v>
                </c:pt>
                <c:pt idx="134">
                  <c:v>17.600000000000001</c:v>
                </c:pt>
                <c:pt idx="135">
                  <c:v>18.5</c:v>
                </c:pt>
                <c:pt idx="136">
                  <c:v>19.3</c:v>
                </c:pt>
                <c:pt idx="137">
                  <c:v>15.8</c:v>
                </c:pt>
                <c:pt idx="138">
                  <c:v>14.6</c:v>
                </c:pt>
                <c:pt idx="139">
                  <c:v>14.8</c:v>
                </c:pt>
                <c:pt idx="140">
                  <c:v>16</c:v>
                </c:pt>
                <c:pt idx="141">
                  <c:v>17</c:v>
                </c:pt>
                <c:pt idx="142">
                  <c:v>18.899999999999999</c:v>
                </c:pt>
                <c:pt idx="143">
                  <c:v>20.399999999999999</c:v>
                </c:pt>
                <c:pt idx="144">
                  <c:v>19.399999999999999</c:v>
                </c:pt>
                <c:pt idx="145">
                  <c:v>20.2</c:v>
                </c:pt>
                <c:pt idx="146">
                  <c:v>22.5</c:v>
                </c:pt>
                <c:pt idx="147">
                  <c:v>22.4</c:v>
                </c:pt>
                <c:pt idx="148">
                  <c:v>23.6</c:v>
                </c:pt>
                <c:pt idx="149">
                  <c:v>24.5</c:v>
                </c:pt>
                <c:pt idx="150">
                  <c:v>23.8</c:v>
                </c:pt>
                <c:pt idx="151">
                  <c:v>22.1</c:v>
                </c:pt>
                <c:pt idx="152">
                  <c:v>21.9</c:v>
                </c:pt>
                <c:pt idx="153">
                  <c:v>24.2</c:v>
                </c:pt>
                <c:pt idx="154">
                  <c:v>23.2</c:v>
                </c:pt>
                <c:pt idx="155">
                  <c:v>19.600000000000001</c:v>
                </c:pt>
                <c:pt idx="156">
                  <c:v>15.1</c:v>
                </c:pt>
                <c:pt idx="157">
                  <c:v>16.600000000000001</c:v>
                </c:pt>
                <c:pt idx="158">
                  <c:v>17.399999999999999</c:v>
                </c:pt>
                <c:pt idx="159">
                  <c:v>18.3</c:v>
                </c:pt>
                <c:pt idx="160">
                  <c:v>20</c:v>
                </c:pt>
                <c:pt idx="161">
                  <c:v>21.9</c:v>
                </c:pt>
                <c:pt idx="162">
                  <c:v>21.6</c:v>
                </c:pt>
                <c:pt idx="163">
                  <c:v>23.3</c:v>
                </c:pt>
                <c:pt idx="164">
                  <c:v>25.3</c:v>
                </c:pt>
                <c:pt idx="165">
                  <c:v>24.3</c:v>
                </c:pt>
                <c:pt idx="166">
                  <c:v>21.7</c:v>
                </c:pt>
                <c:pt idx="167">
                  <c:v>23.3</c:v>
                </c:pt>
                <c:pt idx="168">
                  <c:v>23.1</c:v>
                </c:pt>
                <c:pt idx="169">
                  <c:v>23.2</c:v>
                </c:pt>
                <c:pt idx="170">
                  <c:v>25.1</c:v>
                </c:pt>
                <c:pt idx="171">
                  <c:v>25.1</c:v>
                </c:pt>
                <c:pt idx="172">
                  <c:v>25.6</c:v>
                </c:pt>
                <c:pt idx="173">
                  <c:v>24.5</c:v>
                </c:pt>
                <c:pt idx="174">
                  <c:v>22.9</c:v>
                </c:pt>
                <c:pt idx="175">
                  <c:v>25</c:v>
                </c:pt>
                <c:pt idx="176">
                  <c:v>25.8</c:v>
                </c:pt>
                <c:pt idx="177">
                  <c:v>22.8</c:v>
                </c:pt>
                <c:pt idx="178">
                  <c:v>24.6</c:v>
                </c:pt>
                <c:pt idx="179">
                  <c:v>25.8</c:v>
                </c:pt>
                <c:pt idx="180">
                  <c:v>27.4</c:v>
                </c:pt>
                <c:pt idx="181">
                  <c:v>28.8</c:v>
                </c:pt>
                <c:pt idx="182">
                  <c:v>26.6</c:v>
                </c:pt>
                <c:pt idx="183">
                  <c:v>23.4</c:v>
                </c:pt>
                <c:pt idx="184">
                  <c:v>23.3</c:v>
                </c:pt>
                <c:pt idx="185">
                  <c:v>22.2</c:v>
                </c:pt>
                <c:pt idx="186">
                  <c:v>22</c:v>
                </c:pt>
                <c:pt idx="187">
                  <c:v>23.3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39-4B2E-955B-39349FF1C019}"/>
            </c:ext>
          </c:extLst>
        </c:ser>
        <c:ser>
          <c:idx val="1"/>
          <c:order val="1"/>
          <c:tx>
            <c:v>Tm real</c:v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Clima!$W$8:$W$350</c:f>
              <c:numCache>
                <c:formatCode>m/d/yyyy</c:formatCode>
                <c:ptCount val="343"/>
                <c:pt idx="0">
                  <c:v>42005</c:v>
                </c:pt>
                <c:pt idx="1">
                  <c:v>42006</c:v>
                </c:pt>
                <c:pt idx="2">
                  <c:v>42007</c:v>
                </c:pt>
                <c:pt idx="3">
                  <c:v>42008</c:v>
                </c:pt>
                <c:pt idx="4">
                  <c:v>42009</c:v>
                </c:pt>
                <c:pt idx="5">
                  <c:v>42010</c:v>
                </c:pt>
                <c:pt idx="6">
                  <c:v>42011</c:v>
                </c:pt>
                <c:pt idx="7">
                  <c:v>42012</c:v>
                </c:pt>
                <c:pt idx="8">
                  <c:v>42013</c:v>
                </c:pt>
                <c:pt idx="9">
                  <c:v>42014</c:v>
                </c:pt>
                <c:pt idx="10">
                  <c:v>42015</c:v>
                </c:pt>
                <c:pt idx="11">
                  <c:v>42016</c:v>
                </c:pt>
                <c:pt idx="12">
                  <c:v>42017</c:v>
                </c:pt>
                <c:pt idx="13">
                  <c:v>42018</c:v>
                </c:pt>
                <c:pt idx="14">
                  <c:v>42019</c:v>
                </c:pt>
                <c:pt idx="15">
                  <c:v>42020</c:v>
                </c:pt>
                <c:pt idx="16">
                  <c:v>42021</c:v>
                </c:pt>
                <c:pt idx="17">
                  <c:v>42022</c:v>
                </c:pt>
                <c:pt idx="18">
                  <c:v>42023</c:v>
                </c:pt>
                <c:pt idx="19">
                  <c:v>42024</c:v>
                </c:pt>
                <c:pt idx="20">
                  <c:v>42025</c:v>
                </c:pt>
                <c:pt idx="21">
                  <c:v>42026</c:v>
                </c:pt>
                <c:pt idx="22">
                  <c:v>42027</c:v>
                </c:pt>
                <c:pt idx="23">
                  <c:v>42028</c:v>
                </c:pt>
                <c:pt idx="24">
                  <c:v>42029</c:v>
                </c:pt>
                <c:pt idx="25">
                  <c:v>42030</c:v>
                </c:pt>
                <c:pt idx="26">
                  <c:v>42031</c:v>
                </c:pt>
                <c:pt idx="27">
                  <c:v>42032</c:v>
                </c:pt>
                <c:pt idx="28">
                  <c:v>42033</c:v>
                </c:pt>
                <c:pt idx="29">
                  <c:v>42034</c:v>
                </c:pt>
                <c:pt idx="30">
                  <c:v>42035</c:v>
                </c:pt>
                <c:pt idx="31">
                  <c:v>42036</c:v>
                </c:pt>
                <c:pt idx="32">
                  <c:v>42037</c:v>
                </c:pt>
                <c:pt idx="33">
                  <c:v>42038</c:v>
                </c:pt>
                <c:pt idx="34">
                  <c:v>42039</c:v>
                </c:pt>
                <c:pt idx="35">
                  <c:v>42040</c:v>
                </c:pt>
                <c:pt idx="36">
                  <c:v>42041</c:v>
                </c:pt>
                <c:pt idx="37">
                  <c:v>42042</c:v>
                </c:pt>
                <c:pt idx="38">
                  <c:v>42043</c:v>
                </c:pt>
                <c:pt idx="39">
                  <c:v>42044</c:v>
                </c:pt>
                <c:pt idx="40">
                  <c:v>42045</c:v>
                </c:pt>
                <c:pt idx="41">
                  <c:v>42046</c:v>
                </c:pt>
                <c:pt idx="42">
                  <c:v>42047</c:v>
                </c:pt>
                <c:pt idx="43">
                  <c:v>42048</c:v>
                </c:pt>
                <c:pt idx="44">
                  <c:v>42049</c:v>
                </c:pt>
                <c:pt idx="45">
                  <c:v>42050</c:v>
                </c:pt>
                <c:pt idx="46">
                  <c:v>42051</c:v>
                </c:pt>
                <c:pt idx="47">
                  <c:v>42052</c:v>
                </c:pt>
                <c:pt idx="48">
                  <c:v>42053</c:v>
                </c:pt>
                <c:pt idx="49">
                  <c:v>42054</c:v>
                </c:pt>
                <c:pt idx="50">
                  <c:v>42055</c:v>
                </c:pt>
                <c:pt idx="51">
                  <c:v>42056</c:v>
                </c:pt>
                <c:pt idx="52">
                  <c:v>42057</c:v>
                </c:pt>
                <c:pt idx="53">
                  <c:v>42058</c:v>
                </c:pt>
                <c:pt idx="54">
                  <c:v>42059</c:v>
                </c:pt>
                <c:pt idx="55">
                  <c:v>42060</c:v>
                </c:pt>
                <c:pt idx="56">
                  <c:v>42061</c:v>
                </c:pt>
                <c:pt idx="57">
                  <c:v>42062</c:v>
                </c:pt>
                <c:pt idx="58">
                  <c:v>42063</c:v>
                </c:pt>
                <c:pt idx="59">
                  <c:v>42064</c:v>
                </c:pt>
                <c:pt idx="60">
                  <c:v>42065</c:v>
                </c:pt>
                <c:pt idx="61">
                  <c:v>42066</c:v>
                </c:pt>
                <c:pt idx="62">
                  <c:v>42067</c:v>
                </c:pt>
                <c:pt idx="63">
                  <c:v>42068</c:v>
                </c:pt>
                <c:pt idx="64">
                  <c:v>42069</c:v>
                </c:pt>
                <c:pt idx="65">
                  <c:v>42070</c:v>
                </c:pt>
                <c:pt idx="66">
                  <c:v>42071</c:v>
                </c:pt>
                <c:pt idx="67">
                  <c:v>42072</c:v>
                </c:pt>
                <c:pt idx="68">
                  <c:v>42073</c:v>
                </c:pt>
                <c:pt idx="69">
                  <c:v>42074</c:v>
                </c:pt>
                <c:pt idx="70">
                  <c:v>42075</c:v>
                </c:pt>
                <c:pt idx="71">
                  <c:v>42076</c:v>
                </c:pt>
                <c:pt idx="72">
                  <c:v>42077</c:v>
                </c:pt>
                <c:pt idx="73">
                  <c:v>42078</c:v>
                </c:pt>
                <c:pt idx="74">
                  <c:v>42079</c:v>
                </c:pt>
                <c:pt idx="75">
                  <c:v>42080</c:v>
                </c:pt>
                <c:pt idx="76">
                  <c:v>42081</c:v>
                </c:pt>
                <c:pt idx="77">
                  <c:v>42082</c:v>
                </c:pt>
                <c:pt idx="78">
                  <c:v>42083</c:v>
                </c:pt>
                <c:pt idx="79">
                  <c:v>42084</c:v>
                </c:pt>
                <c:pt idx="80">
                  <c:v>42085</c:v>
                </c:pt>
                <c:pt idx="81">
                  <c:v>42086</c:v>
                </c:pt>
                <c:pt idx="82">
                  <c:v>42087</c:v>
                </c:pt>
                <c:pt idx="83">
                  <c:v>42088</c:v>
                </c:pt>
                <c:pt idx="84">
                  <c:v>42089</c:v>
                </c:pt>
                <c:pt idx="85">
                  <c:v>42090</c:v>
                </c:pt>
                <c:pt idx="86">
                  <c:v>42091</c:v>
                </c:pt>
                <c:pt idx="87">
                  <c:v>42092</c:v>
                </c:pt>
                <c:pt idx="88">
                  <c:v>42093</c:v>
                </c:pt>
                <c:pt idx="89">
                  <c:v>42094</c:v>
                </c:pt>
                <c:pt idx="90">
                  <c:v>42095</c:v>
                </c:pt>
                <c:pt idx="91">
                  <c:v>42096</c:v>
                </c:pt>
                <c:pt idx="92">
                  <c:v>42097</c:v>
                </c:pt>
                <c:pt idx="93">
                  <c:v>42098</c:v>
                </c:pt>
                <c:pt idx="94">
                  <c:v>42099</c:v>
                </c:pt>
                <c:pt idx="95">
                  <c:v>42100</c:v>
                </c:pt>
                <c:pt idx="96">
                  <c:v>42101</c:v>
                </c:pt>
                <c:pt idx="97">
                  <c:v>42102</c:v>
                </c:pt>
                <c:pt idx="98">
                  <c:v>42103</c:v>
                </c:pt>
                <c:pt idx="99">
                  <c:v>42104</c:v>
                </c:pt>
                <c:pt idx="100">
                  <c:v>42105</c:v>
                </c:pt>
                <c:pt idx="101">
                  <c:v>42106</c:v>
                </c:pt>
                <c:pt idx="102">
                  <c:v>42107</c:v>
                </c:pt>
                <c:pt idx="103">
                  <c:v>42108</c:v>
                </c:pt>
                <c:pt idx="104">
                  <c:v>42109</c:v>
                </c:pt>
                <c:pt idx="105">
                  <c:v>42110</c:v>
                </c:pt>
                <c:pt idx="106">
                  <c:v>42111</c:v>
                </c:pt>
                <c:pt idx="107">
                  <c:v>42112</c:v>
                </c:pt>
                <c:pt idx="108">
                  <c:v>42113</c:v>
                </c:pt>
                <c:pt idx="109">
                  <c:v>42114</c:v>
                </c:pt>
                <c:pt idx="110">
                  <c:v>42115</c:v>
                </c:pt>
                <c:pt idx="111">
                  <c:v>42116</c:v>
                </c:pt>
                <c:pt idx="112">
                  <c:v>42117</c:v>
                </c:pt>
                <c:pt idx="113">
                  <c:v>42118</c:v>
                </c:pt>
                <c:pt idx="114">
                  <c:v>42119</c:v>
                </c:pt>
                <c:pt idx="115">
                  <c:v>42120</c:v>
                </c:pt>
                <c:pt idx="116">
                  <c:v>42121</c:v>
                </c:pt>
                <c:pt idx="117">
                  <c:v>42122</c:v>
                </c:pt>
                <c:pt idx="118">
                  <c:v>42123</c:v>
                </c:pt>
                <c:pt idx="119">
                  <c:v>42124</c:v>
                </c:pt>
                <c:pt idx="120">
                  <c:v>42125</c:v>
                </c:pt>
                <c:pt idx="121">
                  <c:v>42126</c:v>
                </c:pt>
                <c:pt idx="122">
                  <c:v>42127</c:v>
                </c:pt>
                <c:pt idx="123">
                  <c:v>42128</c:v>
                </c:pt>
                <c:pt idx="124">
                  <c:v>42129</c:v>
                </c:pt>
                <c:pt idx="125">
                  <c:v>42130</c:v>
                </c:pt>
                <c:pt idx="126">
                  <c:v>42131</c:v>
                </c:pt>
                <c:pt idx="127">
                  <c:v>42132</c:v>
                </c:pt>
                <c:pt idx="128">
                  <c:v>42133</c:v>
                </c:pt>
                <c:pt idx="129">
                  <c:v>42134</c:v>
                </c:pt>
                <c:pt idx="130">
                  <c:v>42135</c:v>
                </c:pt>
                <c:pt idx="131">
                  <c:v>42136</c:v>
                </c:pt>
                <c:pt idx="132">
                  <c:v>42137</c:v>
                </c:pt>
                <c:pt idx="133">
                  <c:v>42138</c:v>
                </c:pt>
                <c:pt idx="134">
                  <c:v>42139</c:v>
                </c:pt>
                <c:pt idx="135">
                  <c:v>42140</c:v>
                </c:pt>
                <c:pt idx="136">
                  <c:v>42141</c:v>
                </c:pt>
                <c:pt idx="137">
                  <c:v>42142</c:v>
                </c:pt>
                <c:pt idx="138">
                  <c:v>42143</c:v>
                </c:pt>
                <c:pt idx="139">
                  <c:v>42144</c:v>
                </c:pt>
                <c:pt idx="140">
                  <c:v>42145</c:v>
                </c:pt>
                <c:pt idx="141">
                  <c:v>42146</c:v>
                </c:pt>
                <c:pt idx="142">
                  <c:v>42147</c:v>
                </c:pt>
                <c:pt idx="143">
                  <c:v>42148</c:v>
                </c:pt>
                <c:pt idx="144">
                  <c:v>42149</c:v>
                </c:pt>
                <c:pt idx="145">
                  <c:v>42150</c:v>
                </c:pt>
                <c:pt idx="146">
                  <c:v>42151</c:v>
                </c:pt>
                <c:pt idx="147">
                  <c:v>42152</c:v>
                </c:pt>
                <c:pt idx="148">
                  <c:v>42153</c:v>
                </c:pt>
                <c:pt idx="149">
                  <c:v>42154</c:v>
                </c:pt>
                <c:pt idx="150">
                  <c:v>42155</c:v>
                </c:pt>
                <c:pt idx="151">
                  <c:v>42156</c:v>
                </c:pt>
                <c:pt idx="152">
                  <c:v>42157</c:v>
                </c:pt>
                <c:pt idx="153">
                  <c:v>42158</c:v>
                </c:pt>
                <c:pt idx="154">
                  <c:v>42159</c:v>
                </c:pt>
                <c:pt idx="155">
                  <c:v>42160</c:v>
                </c:pt>
                <c:pt idx="156">
                  <c:v>42161</c:v>
                </c:pt>
                <c:pt idx="157">
                  <c:v>42162</c:v>
                </c:pt>
                <c:pt idx="158">
                  <c:v>42163</c:v>
                </c:pt>
                <c:pt idx="159">
                  <c:v>42164</c:v>
                </c:pt>
                <c:pt idx="160">
                  <c:v>42165</c:v>
                </c:pt>
                <c:pt idx="161">
                  <c:v>42166</c:v>
                </c:pt>
                <c:pt idx="162">
                  <c:v>42167</c:v>
                </c:pt>
                <c:pt idx="163">
                  <c:v>42168</c:v>
                </c:pt>
                <c:pt idx="164">
                  <c:v>42169</c:v>
                </c:pt>
                <c:pt idx="165">
                  <c:v>42170</c:v>
                </c:pt>
                <c:pt idx="166">
                  <c:v>42171</c:v>
                </c:pt>
                <c:pt idx="167">
                  <c:v>42172</c:v>
                </c:pt>
                <c:pt idx="168">
                  <c:v>42173</c:v>
                </c:pt>
                <c:pt idx="169">
                  <c:v>42174</c:v>
                </c:pt>
                <c:pt idx="170">
                  <c:v>42175</c:v>
                </c:pt>
                <c:pt idx="171">
                  <c:v>42176</c:v>
                </c:pt>
                <c:pt idx="172">
                  <c:v>42177</c:v>
                </c:pt>
                <c:pt idx="173">
                  <c:v>42178</c:v>
                </c:pt>
                <c:pt idx="174">
                  <c:v>42179</c:v>
                </c:pt>
                <c:pt idx="175">
                  <c:v>42180</c:v>
                </c:pt>
                <c:pt idx="176">
                  <c:v>42181</c:v>
                </c:pt>
                <c:pt idx="177">
                  <c:v>42182</c:v>
                </c:pt>
                <c:pt idx="178">
                  <c:v>42183</c:v>
                </c:pt>
                <c:pt idx="179">
                  <c:v>42184</c:v>
                </c:pt>
                <c:pt idx="180">
                  <c:v>42185</c:v>
                </c:pt>
                <c:pt idx="181">
                  <c:v>42186</c:v>
                </c:pt>
                <c:pt idx="182">
                  <c:v>42187</c:v>
                </c:pt>
                <c:pt idx="183">
                  <c:v>42188</c:v>
                </c:pt>
                <c:pt idx="184">
                  <c:v>42189</c:v>
                </c:pt>
                <c:pt idx="185">
                  <c:v>42190</c:v>
                </c:pt>
                <c:pt idx="186">
                  <c:v>42191</c:v>
                </c:pt>
                <c:pt idx="187">
                  <c:v>42192</c:v>
                </c:pt>
                <c:pt idx="188">
                  <c:v>42193</c:v>
                </c:pt>
                <c:pt idx="189">
                  <c:v>42194</c:v>
                </c:pt>
                <c:pt idx="190">
                  <c:v>42195</c:v>
                </c:pt>
                <c:pt idx="191">
                  <c:v>42196</c:v>
                </c:pt>
                <c:pt idx="192">
                  <c:v>42197</c:v>
                </c:pt>
                <c:pt idx="193">
                  <c:v>42198</c:v>
                </c:pt>
                <c:pt idx="194">
                  <c:v>42199</c:v>
                </c:pt>
                <c:pt idx="195">
                  <c:v>42200</c:v>
                </c:pt>
                <c:pt idx="196">
                  <c:v>42201</c:v>
                </c:pt>
                <c:pt idx="197">
                  <c:v>42202</c:v>
                </c:pt>
                <c:pt idx="198">
                  <c:v>42203</c:v>
                </c:pt>
                <c:pt idx="199">
                  <c:v>42204</c:v>
                </c:pt>
                <c:pt idx="200">
                  <c:v>42205</c:v>
                </c:pt>
                <c:pt idx="201">
                  <c:v>42206</c:v>
                </c:pt>
                <c:pt idx="202">
                  <c:v>42207</c:v>
                </c:pt>
                <c:pt idx="203">
                  <c:v>42208</c:v>
                </c:pt>
                <c:pt idx="204">
                  <c:v>42209</c:v>
                </c:pt>
                <c:pt idx="205">
                  <c:v>42210</c:v>
                </c:pt>
                <c:pt idx="206">
                  <c:v>42211</c:v>
                </c:pt>
                <c:pt idx="207">
                  <c:v>42212</c:v>
                </c:pt>
                <c:pt idx="208">
                  <c:v>42213</c:v>
                </c:pt>
                <c:pt idx="209">
                  <c:v>42214</c:v>
                </c:pt>
                <c:pt idx="210">
                  <c:v>42215</c:v>
                </c:pt>
                <c:pt idx="211">
                  <c:v>42216</c:v>
                </c:pt>
                <c:pt idx="212">
                  <c:v>42217</c:v>
                </c:pt>
                <c:pt idx="213">
                  <c:v>42218</c:v>
                </c:pt>
                <c:pt idx="214">
                  <c:v>42219</c:v>
                </c:pt>
                <c:pt idx="215">
                  <c:v>42220</c:v>
                </c:pt>
                <c:pt idx="216">
                  <c:v>42221</c:v>
                </c:pt>
                <c:pt idx="217">
                  <c:v>42222</c:v>
                </c:pt>
                <c:pt idx="218">
                  <c:v>42223</c:v>
                </c:pt>
                <c:pt idx="219">
                  <c:v>42224</c:v>
                </c:pt>
                <c:pt idx="220">
                  <c:v>42225</c:v>
                </c:pt>
                <c:pt idx="221">
                  <c:v>42226</c:v>
                </c:pt>
                <c:pt idx="222">
                  <c:v>42227</c:v>
                </c:pt>
                <c:pt idx="223">
                  <c:v>42228</c:v>
                </c:pt>
                <c:pt idx="224">
                  <c:v>42229</c:v>
                </c:pt>
                <c:pt idx="225">
                  <c:v>42230</c:v>
                </c:pt>
                <c:pt idx="226">
                  <c:v>42231</c:v>
                </c:pt>
                <c:pt idx="227">
                  <c:v>42232</c:v>
                </c:pt>
                <c:pt idx="228">
                  <c:v>42233</c:v>
                </c:pt>
                <c:pt idx="229">
                  <c:v>42234</c:v>
                </c:pt>
                <c:pt idx="230">
                  <c:v>42235</c:v>
                </c:pt>
                <c:pt idx="231">
                  <c:v>42236</c:v>
                </c:pt>
                <c:pt idx="232">
                  <c:v>42237</c:v>
                </c:pt>
                <c:pt idx="233">
                  <c:v>42238</c:v>
                </c:pt>
                <c:pt idx="234">
                  <c:v>42239</c:v>
                </c:pt>
                <c:pt idx="235">
                  <c:v>42240</c:v>
                </c:pt>
                <c:pt idx="236">
                  <c:v>42241</c:v>
                </c:pt>
                <c:pt idx="237">
                  <c:v>42242</c:v>
                </c:pt>
                <c:pt idx="238">
                  <c:v>42243</c:v>
                </c:pt>
                <c:pt idx="239">
                  <c:v>42244</c:v>
                </c:pt>
                <c:pt idx="240">
                  <c:v>42245</c:v>
                </c:pt>
                <c:pt idx="241">
                  <c:v>42246</c:v>
                </c:pt>
                <c:pt idx="242">
                  <c:v>42247</c:v>
                </c:pt>
                <c:pt idx="243">
                  <c:v>42248</c:v>
                </c:pt>
                <c:pt idx="244">
                  <c:v>42249</c:v>
                </c:pt>
                <c:pt idx="245">
                  <c:v>42250</c:v>
                </c:pt>
                <c:pt idx="246">
                  <c:v>42251</c:v>
                </c:pt>
                <c:pt idx="247">
                  <c:v>42252</c:v>
                </c:pt>
                <c:pt idx="248">
                  <c:v>42253</c:v>
                </c:pt>
                <c:pt idx="249">
                  <c:v>42254</c:v>
                </c:pt>
                <c:pt idx="250">
                  <c:v>42255</c:v>
                </c:pt>
                <c:pt idx="251">
                  <c:v>42256</c:v>
                </c:pt>
                <c:pt idx="252">
                  <c:v>42257</c:v>
                </c:pt>
                <c:pt idx="253">
                  <c:v>42258</c:v>
                </c:pt>
                <c:pt idx="254">
                  <c:v>42259</c:v>
                </c:pt>
                <c:pt idx="255">
                  <c:v>42260</c:v>
                </c:pt>
                <c:pt idx="256">
                  <c:v>42261</c:v>
                </c:pt>
                <c:pt idx="257">
                  <c:v>42262</c:v>
                </c:pt>
                <c:pt idx="258">
                  <c:v>42263</c:v>
                </c:pt>
                <c:pt idx="259">
                  <c:v>42264</c:v>
                </c:pt>
                <c:pt idx="260">
                  <c:v>42265</c:v>
                </c:pt>
                <c:pt idx="261">
                  <c:v>42266</c:v>
                </c:pt>
                <c:pt idx="262">
                  <c:v>42267</c:v>
                </c:pt>
                <c:pt idx="263">
                  <c:v>42268</c:v>
                </c:pt>
                <c:pt idx="264">
                  <c:v>42269</c:v>
                </c:pt>
                <c:pt idx="265">
                  <c:v>42270</c:v>
                </c:pt>
                <c:pt idx="266">
                  <c:v>42271</c:v>
                </c:pt>
                <c:pt idx="267">
                  <c:v>42272</c:v>
                </c:pt>
                <c:pt idx="268">
                  <c:v>42273</c:v>
                </c:pt>
                <c:pt idx="269">
                  <c:v>42274</c:v>
                </c:pt>
                <c:pt idx="270">
                  <c:v>42275</c:v>
                </c:pt>
                <c:pt idx="271">
                  <c:v>42276</c:v>
                </c:pt>
                <c:pt idx="272">
                  <c:v>42277</c:v>
                </c:pt>
                <c:pt idx="273">
                  <c:v>42278</c:v>
                </c:pt>
                <c:pt idx="274">
                  <c:v>42279</c:v>
                </c:pt>
                <c:pt idx="275">
                  <c:v>42280</c:v>
                </c:pt>
                <c:pt idx="276">
                  <c:v>42281</c:v>
                </c:pt>
                <c:pt idx="277">
                  <c:v>42282</c:v>
                </c:pt>
                <c:pt idx="278">
                  <c:v>42283</c:v>
                </c:pt>
                <c:pt idx="279">
                  <c:v>42284</c:v>
                </c:pt>
                <c:pt idx="280">
                  <c:v>42285</c:v>
                </c:pt>
                <c:pt idx="281">
                  <c:v>42286</c:v>
                </c:pt>
                <c:pt idx="282">
                  <c:v>42287</c:v>
                </c:pt>
                <c:pt idx="283">
                  <c:v>42288</c:v>
                </c:pt>
                <c:pt idx="284">
                  <c:v>42289</c:v>
                </c:pt>
                <c:pt idx="285">
                  <c:v>42290</c:v>
                </c:pt>
                <c:pt idx="286">
                  <c:v>42291</c:v>
                </c:pt>
                <c:pt idx="287">
                  <c:v>42292</c:v>
                </c:pt>
                <c:pt idx="288">
                  <c:v>42293</c:v>
                </c:pt>
                <c:pt idx="289">
                  <c:v>42294</c:v>
                </c:pt>
                <c:pt idx="290">
                  <c:v>42295</c:v>
                </c:pt>
                <c:pt idx="291">
                  <c:v>42296</c:v>
                </c:pt>
                <c:pt idx="292">
                  <c:v>42297</c:v>
                </c:pt>
                <c:pt idx="293">
                  <c:v>42298</c:v>
                </c:pt>
                <c:pt idx="294">
                  <c:v>42299</c:v>
                </c:pt>
                <c:pt idx="295">
                  <c:v>42300</c:v>
                </c:pt>
                <c:pt idx="296">
                  <c:v>42301</c:v>
                </c:pt>
                <c:pt idx="297">
                  <c:v>42302</c:v>
                </c:pt>
                <c:pt idx="298">
                  <c:v>42303</c:v>
                </c:pt>
                <c:pt idx="299">
                  <c:v>42304</c:v>
                </c:pt>
                <c:pt idx="300">
                  <c:v>42305</c:v>
                </c:pt>
                <c:pt idx="301">
                  <c:v>42306</c:v>
                </c:pt>
                <c:pt idx="302">
                  <c:v>42307</c:v>
                </c:pt>
                <c:pt idx="303">
                  <c:v>42308</c:v>
                </c:pt>
                <c:pt idx="304">
                  <c:v>42309</c:v>
                </c:pt>
                <c:pt idx="305">
                  <c:v>42310</c:v>
                </c:pt>
                <c:pt idx="306">
                  <c:v>42311</c:v>
                </c:pt>
                <c:pt idx="307">
                  <c:v>42312</c:v>
                </c:pt>
                <c:pt idx="308">
                  <c:v>42313</c:v>
                </c:pt>
                <c:pt idx="309">
                  <c:v>42314</c:v>
                </c:pt>
                <c:pt idx="310">
                  <c:v>42315</c:v>
                </c:pt>
                <c:pt idx="311">
                  <c:v>42316</c:v>
                </c:pt>
                <c:pt idx="312">
                  <c:v>42317</c:v>
                </c:pt>
                <c:pt idx="313">
                  <c:v>42318</c:v>
                </c:pt>
                <c:pt idx="314">
                  <c:v>42319</c:v>
                </c:pt>
                <c:pt idx="315">
                  <c:v>42320</c:v>
                </c:pt>
                <c:pt idx="316">
                  <c:v>42321</c:v>
                </c:pt>
                <c:pt idx="317">
                  <c:v>42322</c:v>
                </c:pt>
                <c:pt idx="318">
                  <c:v>42323</c:v>
                </c:pt>
                <c:pt idx="319">
                  <c:v>42324</c:v>
                </c:pt>
                <c:pt idx="320">
                  <c:v>42325</c:v>
                </c:pt>
                <c:pt idx="321">
                  <c:v>42326</c:v>
                </c:pt>
                <c:pt idx="322">
                  <c:v>42327</c:v>
                </c:pt>
                <c:pt idx="323">
                  <c:v>42328</c:v>
                </c:pt>
                <c:pt idx="324">
                  <c:v>42329</c:v>
                </c:pt>
                <c:pt idx="325">
                  <c:v>42330</c:v>
                </c:pt>
                <c:pt idx="326">
                  <c:v>42331</c:v>
                </c:pt>
                <c:pt idx="327">
                  <c:v>42332</c:v>
                </c:pt>
                <c:pt idx="328">
                  <c:v>42333</c:v>
                </c:pt>
                <c:pt idx="329">
                  <c:v>42334</c:v>
                </c:pt>
                <c:pt idx="330">
                  <c:v>42335</c:v>
                </c:pt>
                <c:pt idx="331">
                  <c:v>42336</c:v>
                </c:pt>
                <c:pt idx="332">
                  <c:v>42337</c:v>
                </c:pt>
                <c:pt idx="333">
                  <c:v>42338</c:v>
                </c:pt>
                <c:pt idx="334">
                  <c:v>42339</c:v>
                </c:pt>
                <c:pt idx="335">
                  <c:v>42340</c:v>
                </c:pt>
                <c:pt idx="336">
                  <c:v>42341</c:v>
                </c:pt>
                <c:pt idx="337">
                  <c:v>42342</c:v>
                </c:pt>
                <c:pt idx="338">
                  <c:v>42343</c:v>
                </c:pt>
                <c:pt idx="339">
                  <c:v>42344</c:v>
                </c:pt>
                <c:pt idx="340">
                  <c:v>42345</c:v>
                </c:pt>
                <c:pt idx="341">
                  <c:v>42346</c:v>
                </c:pt>
                <c:pt idx="342">
                  <c:v>42347</c:v>
                </c:pt>
              </c:numCache>
            </c:numRef>
          </c:xVal>
          <c:yVal>
            <c:numRef>
              <c:f>Clima!$X$8:$X$350</c:f>
              <c:numCache>
                <c:formatCode>General</c:formatCode>
                <c:ptCount val="343"/>
                <c:pt idx="0">
                  <c:v>1</c:v>
                </c:pt>
                <c:pt idx="1">
                  <c:v>1.6</c:v>
                </c:pt>
                <c:pt idx="2">
                  <c:v>2.6</c:v>
                </c:pt>
                <c:pt idx="3">
                  <c:v>4.5999999999999996</c:v>
                </c:pt>
                <c:pt idx="4">
                  <c:v>3.7</c:v>
                </c:pt>
                <c:pt idx="5">
                  <c:v>2.7</c:v>
                </c:pt>
                <c:pt idx="6">
                  <c:v>1.3</c:v>
                </c:pt>
                <c:pt idx="7">
                  <c:v>1.2</c:v>
                </c:pt>
                <c:pt idx="8">
                  <c:v>2.7</c:v>
                </c:pt>
                <c:pt idx="9">
                  <c:v>3.4</c:v>
                </c:pt>
                <c:pt idx="10">
                  <c:v>5</c:v>
                </c:pt>
                <c:pt idx="11">
                  <c:v>5.5</c:v>
                </c:pt>
                <c:pt idx="12">
                  <c:v>6.8</c:v>
                </c:pt>
                <c:pt idx="13">
                  <c:v>4.5</c:v>
                </c:pt>
                <c:pt idx="14">
                  <c:v>6.6</c:v>
                </c:pt>
                <c:pt idx="15">
                  <c:v>6.3</c:v>
                </c:pt>
                <c:pt idx="16">
                  <c:v>1.3</c:v>
                </c:pt>
                <c:pt idx="17">
                  <c:v>-0.4</c:v>
                </c:pt>
                <c:pt idx="18">
                  <c:v>3.2</c:v>
                </c:pt>
                <c:pt idx="19">
                  <c:v>1.1000000000000001</c:v>
                </c:pt>
                <c:pt idx="20">
                  <c:v>1.5</c:v>
                </c:pt>
                <c:pt idx="21">
                  <c:v>2.2000000000000002</c:v>
                </c:pt>
                <c:pt idx="22">
                  <c:v>2.2000000000000002</c:v>
                </c:pt>
                <c:pt idx="23">
                  <c:v>1.9</c:v>
                </c:pt>
                <c:pt idx="24">
                  <c:v>5.7</c:v>
                </c:pt>
                <c:pt idx="25">
                  <c:v>3.3</c:v>
                </c:pt>
                <c:pt idx="26">
                  <c:v>5.0999999999999996</c:v>
                </c:pt>
                <c:pt idx="27">
                  <c:v>5</c:v>
                </c:pt>
                <c:pt idx="28">
                  <c:v>6.3</c:v>
                </c:pt>
                <c:pt idx="29">
                  <c:v>11.9</c:v>
                </c:pt>
                <c:pt idx="30">
                  <c:v>7.3</c:v>
                </c:pt>
                <c:pt idx="31">
                  <c:v>2.2999999999999998</c:v>
                </c:pt>
                <c:pt idx="32">
                  <c:v>2.5</c:v>
                </c:pt>
                <c:pt idx="33">
                  <c:v>6.2</c:v>
                </c:pt>
                <c:pt idx="34">
                  <c:v>0.6</c:v>
                </c:pt>
                <c:pt idx="35">
                  <c:v>0.2</c:v>
                </c:pt>
                <c:pt idx="36">
                  <c:v>-0.1</c:v>
                </c:pt>
                <c:pt idx="37">
                  <c:v>-1.4</c:v>
                </c:pt>
                <c:pt idx="38">
                  <c:v>-0.8</c:v>
                </c:pt>
                <c:pt idx="39">
                  <c:v>0.6</c:v>
                </c:pt>
                <c:pt idx="40">
                  <c:v>3.6</c:v>
                </c:pt>
                <c:pt idx="41">
                  <c:v>5.9</c:v>
                </c:pt>
                <c:pt idx="42">
                  <c:v>5.4</c:v>
                </c:pt>
                <c:pt idx="43">
                  <c:v>4.0999999999999996</c:v>
                </c:pt>
                <c:pt idx="44">
                  <c:v>8.1999999999999993</c:v>
                </c:pt>
                <c:pt idx="45">
                  <c:v>8.8000000000000007</c:v>
                </c:pt>
                <c:pt idx="46">
                  <c:v>8.1999999999999993</c:v>
                </c:pt>
                <c:pt idx="47">
                  <c:v>6.2</c:v>
                </c:pt>
                <c:pt idx="48">
                  <c:v>5.6</c:v>
                </c:pt>
                <c:pt idx="49">
                  <c:v>4.4000000000000004</c:v>
                </c:pt>
                <c:pt idx="50">
                  <c:v>3.7</c:v>
                </c:pt>
                <c:pt idx="51">
                  <c:v>4.5</c:v>
                </c:pt>
                <c:pt idx="52">
                  <c:v>6.4</c:v>
                </c:pt>
                <c:pt idx="53">
                  <c:v>8.6999999999999993</c:v>
                </c:pt>
                <c:pt idx="54">
                  <c:v>5.7</c:v>
                </c:pt>
                <c:pt idx="55">
                  <c:v>6.5</c:v>
                </c:pt>
                <c:pt idx="56">
                  <c:v>10</c:v>
                </c:pt>
                <c:pt idx="57">
                  <c:v>9.1</c:v>
                </c:pt>
                <c:pt idx="58">
                  <c:v>8.5</c:v>
                </c:pt>
                <c:pt idx="59">
                  <c:v>9.8000000000000007</c:v>
                </c:pt>
                <c:pt idx="60">
                  <c:v>12.1</c:v>
                </c:pt>
                <c:pt idx="61">
                  <c:v>14</c:v>
                </c:pt>
                <c:pt idx="62">
                  <c:v>10.7</c:v>
                </c:pt>
                <c:pt idx="63">
                  <c:v>4.3</c:v>
                </c:pt>
                <c:pt idx="64">
                  <c:v>5.9</c:v>
                </c:pt>
                <c:pt idx="65">
                  <c:v>8.6999999999999993</c:v>
                </c:pt>
                <c:pt idx="66">
                  <c:v>8.4</c:v>
                </c:pt>
                <c:pt idx="67">
                  <c:v>10.6</c:v>
                </c:pt>
                <c:pt idx="68">
                  <c:v>9.9</c:v>
                </c:pt>
                <c:pt idx="69">
                  <c:v>11</c:v>
                </c:pt>
                <c:pt idx="70">
                  <c:v>11.1</c:v>
                </c:pt>
                <c:pt idx="71">
                  <c:v>9.1999999999999993</c:v>
                </c:pt>
                <c:pt idx="72">
                  <c:v>7.1</c:v>
                </c:pt>
                <c:pt idx="73">
                  <c:v>5.2</c:v>
                </c:pt>
                <c:pt idx="74">
                  <c:v>6.6</c:v>
                </c:pt>
                <c:pt idx="75">
                  <c:v>7.8</c:v>
                </c:pt>
                <c:pt idx="76">
                  <c:v>6.2</c:v>
                </c:pt>
                <c:pt idx="77">
                  <c:v>8.1999999999999993</c:v>
                </c:pt>
                <c:pt idx="78">
                  <c:v>8.6</c:v>
                </c:pt>
                <c:pt idx="79">
                  <c:v>8.6</c:v>
                </c:pt>
                <c:pt idx="80">
                  <c:v>8.6</c:v>
                </c:pt>
                <c:pt idx="81">
                  <c:v>9.3000000000000007</c:v>
                </c:pt>
                <c:pt idx="82">
                  <c:v>8.1999999999999993</c:v>
                </c:pt>
                <c:pt idx="83">
                  <c:v>5.3</c:v>
                </c:pt>
                <c:pt idx="84">
                  <c:v>6.5</c:v>
                </c:pt>
                <c:pt idx="85">
                  <c:v>12.7</c:v>
                </c:pt>
                <c:pt idx="86">
                  <c:v>13.6</c:v>
                </c:pt>
                <c:pt idx="87">
                  <c:v>13</c:v>
                </c:pt>
                <c:pt idx="88">
                  <c:v>14.3</c:v>
                </c:pt>
                <c:pt idx="89">
                  <c:v>15.4</c:v>
                </c:pt>
                <c:pt idx="90">
                  <c:v>13.4</c:v>
                </c:pt>
                <c:pt idx="91">
                  <c:v>12.5</c:v>
                </c:pt>
                <c:pt idx="92">
                  <c:v>13.8</c:v>
                </c:pt>
                <c:pt idx="93">
                  <c:v>13.6</c:v>
                </c:pt>
                <c:pt idx="94">
                  <c:v>12.5</c:v>
                </c:pt>
                <c:pt idx="95">
                  <c:v>10.199999999999999</c:v>
                </c:pt>
                <c:pt idx="96">
                  <c:v>8.6</c:v>
                </c:pt>
                <c:pt idx="97">
                  <c:v>9</c:v>
                </c:pt>
                <c:pt idx="98">
                  <c:v>7.7</c:v>
                </c:pt>
                <c:pt idx="99">
                  <c:v>10.5</c:v>
                </c:pt>
                <c:pt idx="100">
                  <c:v>9.6</c:v>
                </c:pt>
                <c:pt idx="101">
                  <c:v>10.3</c:v>
                </c:pt>
                <c:pt idx="102">
                  <c:v>10.9</c:v>
                </c:pt>
                <c:pt idx="103">
                  <c:v>11.6</c:v>
                </c:pt>
                <c:pt idx="104">
                  <c:v>11.7</c:v>
                </c:pt>
                <c:pt idx="105">
                  <c:v>11.3</c:v>
                </c:pt>
                <c:pt idx="106">
                  <c:v>12.7</c:v>
                </c:pt>
                <c:pt idx="107">
                  <c:v>14.4</c:v>
                </c:pt>
                <c:pt idx="108">
                  <c:v>10.1</c:v>
                </c:pt>
                <c:pt idx="109">
                  <c:v>12.1</c:v>
                </c:pt>
                <c:pt idx="110">
                  <c:v>12.5</c:v>
                </c:pt>
                <c:pt idx="111">
                  <c:v>14</c:v>
                </c:pt>
                <c:pt idx="112">
                  <c:v>14.3</c:v>
                </c:pt>
                <c:pt idx="113">
                  <c:v>15.8</c:v>
                </c:pt>
                <c:pt idx="114">
                  <c:v>14.2</c:v>
                </c:pt>
                <c:pt idx="115">
                  <c:v>11.9</c:v>
                </c:pt>
                <c:pt idx="116">
                  <c:v>10.9</c:v>
                </c:pt>
                <c:pt idx="117">
                  <c:v>12.5</c:v>
                </c:pt>
                <c:pt idx="118">
                  <c:v>14</c:v>
                </c:pt>
                <c:pt idx="119">
                  <c:v>14.4</c:v>
                </c:pt>
                <c:pt idx="120">
                  <c:v>16.899999999999999</c:v>
                </c:pt>
                <c:pt idx="121">
                  <c:v>19.7</c:v>
                </c:pt>
                <c:pt idx="122">
                  <c:v>19.8</c:v>
                </c:pt>
                <c:pt idx="123">
                  <c:v>20.7</c:v>
                </c:pt>
                <c:pt idx="124">
                  <c:v>16.100000000000001</c:v>
                </c:pt>
                <c:pt idx="125">
                  <c:v>14.7</c:v>
                </c:pt>
                <c:pt idx="126">
                  <c:v>18.100000000000001</c:v>
                </c:pt>
                <c:pt idx="127">
                  <c:v>16.8</c:v>
                </c:pt>
                <c:pt idx="128">
                  <c:v>18.600000000000001</c:v>
                </c:pt>
                <c:pt idx="129">
                  <c:v>19.5</c:v>
                </c:pt>
                <c:pt idx="130">
                  <c:v>19.3</c:v>
                </c:pt>
                <c:pt idx="131">
                  <c:v>22.2</c:v>
                </c:pt>
                <c:pt idx="132">
                  <c:v>24</c:v>
                </c:pt>
                <c:pt idx="133">
                  <c:v>25.3</c:v>
                </c:pt>
                <c:pt idx="134">
                  <c:v>16.899999999999999</c:v>
                </c:pt>
                <c:pt idx="135">
                  <c:v>16.399999999999999</c:v>
                </c:pt>
                <c:pt idx="136">
                  <c:v>18.600000000000001</c:v>
                </c:pt>
                <c:pt idx="137">
                  <c:v>19.5</c:v>
                </c:pt>
                <c:pt idx="138">
                  <c:v>16.899999999999999</c:v>
                </c:pt>
                <c:pt idx="139">
                  <c:v>13.9</c:v>
                </c:pt>
                <c:pt idx="140">
                  <c:v>13.8</c:v>
                </c:pt>
                <c:pt idx="141">
                  <c:v>14.9</c:v>
                </c:pt>
                <c:pt idx="142">
                  <c:v>15.4</c:v>
                </c:pt>
                <c:pt idx="143">
                  <c:v>15.4</c:v>
                </c:pt>
                <c:pt idx="144">
                  <c:v>16.399999999999999</c:v>
                </c:pt>
                <c:pt idx="145">
                  <c:v>17.899999999999999</c:v>
                </c:pt>
                <c:pt idx="146">
                  <c:v>18.399999999999999</c:v>
                </c:pt>
                <c:pt idx="147">
                  <c:v>18.8</c:v>
                </c:pt>
                <c:pt idx="148">
                  <c:v>19.5</c:v>
                </c:pt>
                <c:pt idx="149">
                  <c:v>18.600000000000001</c:v>
                </c:pt>
                <c:pt idx="150">
                  <c:v>17.5</c:v>
                </c:pt>
                <c:pt idx="151">
                  <c:v>19.5</c:v>
                </c:pt>
                <c:pt idx="152">
                  <c:v>20.7</c:v>
                </c:pt>
                <c:pt idx="153">
                  <c:v>21.3</c:v>
                </c:pt>
                <c:pt idx="154">
                  <c:v>19.600000000000001</c:v>
                </c:pt>
                <c:pt idx="155">
                  <c:v>19.7</c:v>
                </c:pt>
                <c:pt idx="156">
                  <c:v>20.7</c:v>
                </c:pt>
                <c:pt idx="157">
                  <c:v>20.100000000000001</c:v>
                </c:pt>
                <c:pt idx="158">
                  <c:v>20.5</c:v>
                </c:pt>
                <c:pt idx="159">
                  <c:v>21.4</c:v>
                </c:pt>
                <c:pt idx="160">
                  <c:v>19.7</c:v>
                </c:pt>
                <c:pt idx="161">
                  <c:v>17.3</c:v>
                </c:pt>
                <c:pt idx="162">
                  <c:v>17.600000000000001</c:v>
                </c:pt>
                <c:pt idx="163">
                  <c:v>17.5</c:v>
                </c:pt>
                <c:pt idx="164">
                  <c:v>16</c:v>
                </c:pt>
                <c:pt idx="165">
                  <c:v>14</c:v>
                </c:pt>
                <c:pt idx="166">
                  <c:v>16.399999999999999</c:v>
                </c:pt>
                <c:pt idx="167">
                  <c:v>19.399999999999999</c:v>
                </c:pt>
                <c:pt idx="168">
                  <c:v>20.5</c:v>
                </c:pt>
                <c:pt idx="169">
                  <c:v>22.4</c:v>
                </c:pt>
                <c:pt idx="170">
                  <c:v>23.1</c:v>
                </c:pt>
                <c:pt idx="171">
                  <c:v>23.7</c:v>
                </c:pt>
                <c:pt idx="172">
                  <c:v>23.6</c:v>
                </c:pt>
                <c:pt idx="173">
                  <c:v>22.3</c:v>
                </c:pt>
                <c:pt idx="174">
                  <c:v>20.2</c:v>
                </c:pt>
                <c:pt idx="175">
                  <c:v>22.4</c:v>
                </c:pt>
                <c:pt idx="176">
                  <c:v>24.7</c:v>
                </c:pt>
                <c:pt idx="177">
                  <c:v>26.3</c:v>
                </c:pt>
                <c:pt idx="178">
                  <c:v>27.9</c:v>
                </c:pt>
                <c:pt idx="179">
                  <c:v>27.1</c:v>
                </c:pt>
                <c:pt idx="180">
                  <c:v>26.9</c:v>
                </c:pt>
                <c:pt idx="181">
                  <c:v>25.7</c:v>
                </c:pt>
                <c:pt idx="182">
                  <c:v>24.3</c:v>
                </c:pt>
                <c:pt idx="183">
                  <c:v>25</c:v>
                </c:pt>
                <c:pt idx="184">
                  <c:v>26</c:v>
                </c:pt>
                <c:pt idx="185">
                  <c:v>27.8</c:v>
                </c:pt>
                <c:pt idx="186">
                  <c:v>28.7</c:v>
                </c:pt>
                <c:pt idx="187">
                  <c:v>29.5</c:v>
                </c:pt>
                <c:pt idx="188">
                  <c:v>29.6</c:v>
                </c:pt>
                <c:pt idx="189">
                  <c:v>27</c:v>
                </c:pt>
                <c:pt idx="190">
                  <c:v>27.5</c:v>
                </c:pt>
                <c:pt idx="191">
                  <c:v>26.2</c:v>
                </c:pt>
                <c:pt idx="192">
                  <c:v>26.8</c:v>
                </c:pt>
                <c:pt idx="193">
                  <c:v>27.5</c:v>
                </c:pt>
                <c:pt idx="194">
                  <c:v>27.8</c:v>
                </c:pt>
                <c:pt idx="195">
                  <c:v>27.2</c:v>
                </c:pt>
                <c:pt idx="196">
                  <c:v>27.7</c:v>
                </c:pt>
                <c:pt idx="197">
                  <c:v>28.1</c:v>
                </c:pt>
                <c:pt idx="198">
                  <c:v>26.2</c:v>
                </c:pt>
                <c:pt idx="199">
                  <c:v>25.5</c:v>
                </c:pt>
                <c:pt idx="200">
                  <c:v>27.3</c:v>
                </c:pt>
                <c:pt idx="201">
                  <c:v>28.3</c:v>
                </c:pt>
                <c:pt idx="202">
                  <c:v>25.6</c:v>
                </c:pt>
                <c:pt idx="203">
                  <c:v>25.7</c:v>
                </c:pt>
                <c:pt idx="204">
                  <c:v>28.1</c:v>
                </c:pt>
                <c:pt idx="205">
                  <c:v>26</c:v>
                </c:pt>
                <c:pt idx="206">
                  <c:v>27.6</c:v>
                </c:pt>
                <c:pt idx="207">
                  <c:v>28.3</c:v>
                </c:pt>
                <c:pt idx="208">
                  <c:v>27.7</c:v>
                </c:pt>
                <c:pt idx="209">
                  <c:v>27.8</c:v>
                </c:pt>
                <c:pt idx="210">
                  <c:v>25.8</c:v>
                </c:pt>
                <c:pt idx="211">
                  <c:v>25.1</c:v>
                </c:pt>
                <c:pt idx="212">
                  <c:v>24</c:v>
                </c:pt>
                <c:pt idx="213">
                  <c:v>24.5</c:v>
                </c:pt>
                <c:pt idx="214">
                  <c:v>26</c:v>
                </c:pt>
                <c:pt idx="215">
                  <c:v>27.9</c:v>
                </c:pt>
                <c:pt idx="216">
                  <c:v>28.2</c:v>
                </c:pt>
                <c:pt idx="217">
                  <c:v>27</c:v>
                </c:pt>
                <c:pt idx="218">
                  <c:v>26.4</c:v>
                </c:pt>
                <c:pt idx="219">
                  <c:v>22.3</c:v>
                </c:pt>
                <c:pt idx="220">
                  <c:v>25.2</c:v>
                </c:pt>
                <c:pt idx="221">
                  <c:v>26.1</c:v>
                </c:pt>
                <c:pt idx="222">
                  <c:v>26.5</c:v>
                </c:pt>
                <c:pt idx="223">
                  <c:v>27.1</c:v>
                </c:pt>
                <c:pt idx="224">
                  <c:v>22.9</c:v>
                </c:pt>
                <c:pt idx="225">
                  <c:v>21.3</c:v>
                </c:pt>
                <c:pt idx="226">
                  <c:v>21.6</c:v>
                </c:pt>
                <c:pt idx="227">
                  <c:v>21.8</c:v>
                </c:pt>
                <c:pt idx="228">
                  <c:v>25.3</c:v>
                </c:pt>
                <c:pt idx="229">
                  <c:v>24</c:v>
                </c:pt>
                <c:pt idx="230">
                  <c:v>24.2</c:v>
                </c:pt>
                <c:pt idx="231">
                  <c:v>25.4</c:v>
                </c:pt>
                <c:pt idx="232">
                  <c:v>24.7</c:v>
                </c:pt>
                <c:pt idx="233">
                  <c:v>22.9</c:v>
                </c:pt>
                <c:pt idx="234">
                  <c:v>21.3</c:v>
                </c:pt>
                <c:pt idx="235">
                  <c:v>19.600000000000001</c:v>
                </c:pt>
                <c:pt idx="236">
                  <c:v>20.5</c:v>
                </c:pt>
                <c:pt idx="237">
                  <c:v>23.5</c:v>
                </c:pt>
                <c:pt idx="238">
                  <c:v>24.7</c:v>
                </c:pt>
                <c:pt idx="239">
                  <c:v>24.9</c:v>
                </c:pt>
                <c:pt idx="240">
                  <c:v>23.8</c:v>
                </c:pt>
                <c:pt idx="241">
                  <c:v>23</c:v>
                </c:pt>
                <c:pt idx="242">
                  <c:v>22.6</c:v>
                </c:pt>
                <c:pt idx="243">
                  <c:v>22.2</c:v>
                </c:pt>
                <c:pt idx="244">
                  <c:v>23.4</c:v>
                </c:pt>
                <c:pt idx="245">
                  <c:v>21.6</c:v>
                </c:pt>
                <c:pt idx="246">
                  <c:v>20.5</c:v>
                </c:pt>
                <c:pt idx="247">
                  <c:v>17.2</c:v>
                </c:pt>
                <c:pt idx="248">
                  <c:v>17.2</c:v>
                </c:pt>
                <c:pt idx="249">
                  <c:v>16.7</c:v>
                </c:pt>
                <c:pt idx="250">
                  <c:v>17.399999999999999</c:v>
                </c:pt>
                <c:pt idx="251">
                  <c:v>18.899999999999999</c:v>
                </c:pt>
                <c:pt idx="252">
                  <c:v>21.4</c:v>
                </c:pt>
                <c:pt idx="253">
                  <c:v>20.8</c:v>
                </c:pt>
                <c:pt idx="254">
                  <c:v>19.3</c:v>
                </c:pt>
                <c:pt idx="255">
                  <c:v>20.2</c:v>
                </c:pt>
                <c:pt idx="256">
                  <c:v>18.399999999999999</c:v>
                </c:pt>
                <c:pt idx="257">
                  <c:v>18.100000000000001</c:v>
                </c:pt>
                <c:pt idx="258">
                  <c:v>19.100000000000001</c:v>
                </c:pt>
                <c:pt idx="259">
                  <c:v>15.3</c:v>
                </c:pt>
                <c:pt idx="260">
                  <c:v>15.5</c:v>
                </c:pt>
                <c:pt idx="261">
                  <c:v>17.3</c:v>
                </c:pt>
                <c:pt idx="262">
                  <c:v>18.2</c:v>
                </c:pt>
                <c:pt idx="263">
                  <c:v>19.600000000000001</c:v>
                </c:pt>
                <c:pt idx="264">
                  <c:v>20.7</c:v>
                </c:pt>
                <c:pt idx="265">
                  <c:v>18.899999999999999</c:v>
                </c:pt>
                <c:pt idx="266">
                  <c:v>16.399999999999999</c:v>
                </c:pt>
                <c:pt idx="267">
                  <c:v>17.399999999999999</c:v>
                </c:pt>
                <c:pt idx="268">
                  <c:v>18</c:v>
                </c:pt>
                <c:pt idx="269">
                  <c:v>17.2</c:v>
                </c:pt>
                <c:pt idx="270">
                  <c:v>15.2</c:v>
                </c:pt>
                <c:pt idx="271">
                  <c:v>14</c:v>
                </c:pt>
                <c:pt idx="272">
                  <c:v>16</c:v>
                </c:pt>
                <c:pt idx="273">
                  <c:v>15.8</c:v>
                </c:pt>
                <c:pt idx="274">
                  <c:v>16.899999999999999</c:v>
                </c:pt>
                <c:pt idx="275">
                  <c:v>17.399999999999999</c:v>
                </c:pt>
                <c:pt idx="276">
                  <c:v>20.100000000000001</c:v>
                </c:pt>
                <c:pt idx="277">
                  <c:v>19.600000000000001</c:v>
                </c:pt>
                <c:pt idx="278">
                  <c:v>18.5</c:v>
                </c:pt>
                <c:pt idx="279">
                  <c:v>14.5</c:v>
                </c:pt>
                <c:pt idx="280">
                  <c:v>14.1</c:v>
                </c:pt>
                <c:pt idx="281">
                  <c:v>13.5</c:v>
                </c:pt>
                <c:pt idx="282">
                  <c:v>14.9</c:v>
                </c:pt>
                <c:pt idx="283">
                  <c:v>16.899999999999999</c:v>
                </c:pt>
                <c:pt idx="284">
                  <c:v>17.399999999999999</c:v>
                </c:pt>
                <c:pt idx="285">
                  <c:v>16.2</c:v>
                </c:pt>
                <c:pt idx="286">
                  <c:v>11.5</c:v>
                </c:pt>
                <c:pt idx="287">
                  <c:v>11.5</c:v>
                </c:pt>
                <c:pt idx="288">
                  <c:v>14</c:v>
                </c:pt>
                <c:pt idx="289">
                  <c:v>16.100000000000001</c:v>
                </c:pt>
                <c:pt idx="290">
                  <c:v>16.7</c:v>
                </c:pt>
                <c:pt idx="291">
                  <c:v>16</c:v>
                </c:pt>
                <c:pt idx="292">
                  <c:v>14.2</c:v>
                </c:pt>
                <c:pt idx="293">
                  <c:v>11.2</c:v>
                </c:pt>
                <c:pt idx="294">
                  <c:v>10.5</c:v>
                </c:pt>
                <c:pt idx="295">
                  <c:v>12.3</c:v>
                </c:pt>
                <c:pt idx="296">
                  <c:v>14.2</c:v>
                </c:pt>
                <c:pt idx="297">
                  <c:v>13.8</c:v>
                </c:pt>
                <c:pt idx="298">
                  <c:v>13.6</c:v>
                </c:pt>
                <c:pt idx="299">
                  <c:v>13</c:v>
                </c:pt>
                <c:pt idx="300">
                  <c:v>10.8</c:v>
                </c:pt>
                <c:pt idx="301">
                  <c:v>10.9</c:v>
                </c:pt>
                <c:pt idx="302">
                  <c:v>13.4</c:v>
                </c:pt>
                <c:pt idx="303">
                  <c:v>15</c:v>
                </c:pt>
                <c:pt idx="304">
                  <c:v>13.3</c:v>
                </c:pt>
                <c:pt idx="305">
                  <c:v>11.7</c:v>
                </c:pt>
                <c:pt idx="306">
                  <c:v>11.3</c:v>
                </c:pt>
                <c:pt idx="307">
                  <c:v>11.6</c:v>
                </c:pt>
                <c:pt idx="308">
                  <c:v>12.9</c:v>
                </c:pt>
                <c:pt idx="309">
                  <c:v>13.6</c:v>
                </c:pt>
                <c:pt idx="310">
                  <c:v>13.2</c:v>
                </c:pt>
                <c:pt idx="311">
                  <c:v>12</c:v>
                </c:pt>
                <c:pt idx="312">
                  <c:v>10.5</c:v>
                </c:pt>
                <c:pt idx="313">
                  <c:v>10</c:v>
                </c:pt>
                <c:pt idx="314">
                  <c:v>9.8000000000000007</c:v>
                </c:pt>
                <c:pt idx="315">
                  <c:v>9.4</c:v>
                </c:pt>
                <c:pt idx="316">
                  <c:v>8.5</c:v>
                </c:pt>
                <c:pt idx="317">
                  <c:v>8.9</c:v>
                </c:pt>
                <c:pt idx="318">
                  <c:v>8.4</c:v>
                </c:pt>
                <c:pt idx="319">
                  <c:v>7.9</c:v>
                </c:pt>
                <c:pt idx="320">
                  <c:v>8</c:v>
                </c:pt>
                <c:pt idx="321">
                  <c:v>7.5</c:v>
                </c:pt>
                <c:pt idx="322">
                  <c:v>10.4</c:v>
                </c:pt>
                <c:pt idx="323">
                  <c:v>11.6</c:v>
                </c:pt>
                <c:pt idx="324">
                  <c:v>10.3</c:v>
                </c:pt>
                <c:pt idx="325">
                  <c:v>4.0999999999999996</c:v>
                </c:pt>
                <c:pt idx="326">
                  <c:v>2.2999999999999998</c:v>
                </c:pt>
                <c:pt idx="327">
                  <c:v>4.0999999999999996</c:v>
                </c:pt>
                <c:pt idx="328">
                  <c:v>8.6999999999999993</c:v>
                </c:pt>
                <c:pt idx="329">
                  <c:v>9.6999999999999993</c:v>
                </c:pt>
                <c:pt idx="330">
                  <c:v>8.6</c:v>
                </c:pt>
                <c:pt idx="331">
                  <c:v>6.9</c:v>
                </c:pt>
                <c:pt idx="332">
                  <c:v>3.7</c:v>
                </c:pt>
                <c:pt idx="333">
                  <c:v>4.5999999999999996</c:v>
                </c:pt>
                <c:pt idx="334">
                  <c:v>4.3</c:v>
                </c:pt>
                <c:pt idx="335">
                  <c:v>5.5</c:v>
                </c:pt>
                <c:pt idx="336">
                  <c:v>6.2</c:v>
                </c:pt>
                <c:pt idx="337">
                  <c:v>6.8</c:v>
                </c:pt>
                <c:pt idx="338">
                  <c:v>7</c:v>
                </c:pt>
                <c:pt idx="339">
                  <c:v>7.4</c:v>
                </c:pt>
                <c:pt idx="340">
                  <c:v>10</c:v>
                </c:pt>
                <c:pt idx="341">
                  <c:v>7.6</c:v>
                </c:pt>
                <c:pt idx="342">
                  <c:v>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39-4B2E-955B-39349FF1C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301264"/>
        <c:axId val="486296168"/>
      </c:scatterChart>
      <c:valAx>
        <c:axId val="486301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486296168"/>
        <c:crosses val="autoZero"/>
        <c:crossBetween val="midCat"/>
      </c:valAx>
      <c:valAx>
        <c:axId val="486296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486301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_tradn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Precip (mm)</a:t>
            </a:r>
          </a:p>
        </c:rich>
      </c:tx>
      <c:layout>
        <c:manualLayout>
          <c:xMode val="edge"/>
          <c:yMode val="edge"/>
          <c:x val="0.45849489983526148"/>
          <c:y val="5.09259259259259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precip tipo</c:v>
          </c:tx>
          <c:spPr>
            <a:ln w="1270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Clima!$E$8:$E$372</c:f>
              <c:numCache>
                <c:formatCode>m/d/yyyy</c:formatCode>
                <c:ptCount val="365"/>
                <c:pt idx="0">
                  <c:v>42005</c:v>
                </c:pt>
                <c:pt idx="1">
                  <c:v>42006</c:v>
                </c:pt>
                <c:pt idx="2">
                  <c:v>42007</c:v>
                </c:pt>
                <c:pt idx="3">
                  <c:v>42008</c:v>
                </c:pt>
                <c:pt idx="4">
                  <c:v>42009</c:v>
                </c:pt>
                <c:pt idx="5">
                  <c:v>42010</c:v>
                </c:pt>
                <c:pt idx="6">
                  <c:v>42011</c:v>
                </c:pt>
                <c:pt idx="7">
                  <c:v>42012</c:v>
                </c:pt>
                <c:pt idx="8">
                  <c:v>42013</c:v>
                </c:pt>
                <c:pt idx="9">
                  <c:v>42014</c:v>
                </c:pt>
                <c:pt idx="10">
                  <c:v>42015</c:v>
                </c:pt>
                <c:pt idx="11">
                  <c:v>42016</c:v>
                </c:pt>
                <c:pt idx="12">
                  <c:v>42017</c:v>
                </c:pt>
                <c:pt idx="13">
                  <c:v>42018</c:v>
                </c:pt>
                <c:pt idx="14">
                  <c:v>42019</c:v>
                </c:pt>
                <c:pt idx="15">
                  <c:v>42020</c:v>
                </c:pt>
                <c:pt idx="16">
                  <c:v>42021</c:v>
                </c:pt>
                <c:pt idx="17">
                  <c:v>42022</c:v>
                </c:pt>
                <c:pt idx="18">
                  <c:v>42023</c:v>
                </c:pt>
                <c:pt idx="19">
                  <c:v>42024</c:v>
                </c:pt>
                <c:pt idx="20">
                  <c:v>42025</c:v>
                </c:pt>
                <c:pt idx="21">
                  <c:v>42026</c:v>
                </c:pt>
                <c:pt idx="22">
                  <c:v>42027</c:v>
                </c:pt>
                <c:pt idx="23">
                  <c:v>42028</c:v>
                </c:pt>
                <c:pt idx="24">
                  <c:v>42029</c:v>
                </c:pt>
                <c:pt idx="25">
                  <c:v>42030</c:v>
                </c:pt>
                <c:pt idx="26">
                  <c:v>42031</c:v>
                </c:pt>
                <c:pt idx="27">
                  <c:v>42032</c:v>
                </c:pt>
                <c:pt idx="28">
                  <c:v>42033</c:v>
                </c:pt>
                <c:pt idx="29">
                  <c:v>42034</c:v>
                </c:pt>
                <c:pt idx="30">
                  <c:v>42035</c:v>
                </c:pt>
                <c:pt idx="31">
                  <c:v>42036</c:v>
                </c:pt>
                <c:pt idx="32">
                  <c:v>42037</c:v>
                </c:pt>
                <c:pt idx="33">
                  <c:v>42038</c:v>
                </c:pt>
                <c:pt idx="34">
                  <c:v>42039</c:v>
                </c:pt>
                <c:pt idx="35">
                  <c:v>42040</c:v>
                </c:pt>
                <c:pt idx="36">
                  <c:v>42041</c:v>
                </c:pt>
                <c:pt idx="37">
                  <c:v>42042</c:v>
                </c:pt>
                <c:pt idx="38">
                  <c:v>42043</c:v>
                </c:pt>
                <c:pt idx="39">
                  <c:v>42044</c:v>
                </c:pt>
                <c:pt idx="40">
                  <c:v>42045</c:v>
                </c:pt>
                <c:pt idx="41">
                  <c:v>42046</c:v>
                </c:pt>
                <c:pt idx="42">
                  <c:v>42047</c:v>
                </c:pt>
                <c:pt idx="43">
                  <c:v>42048</c:v>
                </c:pt>
                <c:pt idx="44">
                  <c:v>42049</c:v>
                </c:pt>
                <c:pt idx="45">
                  <c:v>42050</c:v>
                </c:pt>
                <c:pt idx="46">
                  <c:v>42051</c:v>
                </c:pt>
                <c:pt idx="47">
                  <c:v>42052</c:v>
                </c:pt>
                <c:pt idx="48">
                  <c:v>42053</c:v>
                </c:pt>
                <c:pt idx="49">
                  <c:v>42054</c:v>
                </c:pt>
                <c:pt idx="50">
                  <c:v>42055</c:v>
                </c:pt>
                <c:pt idx="51">
                  <c:v>42056</c:v>
                </c:pt>
                <c:pt idx="52">
                  <c:v>42057</c:v>
                </c:pt>
                <c:pt idx="53">
                  <c:v>42058</c:v>
                </c:pt>
                <c:pt idx="54">
                  <c:v>42059</c:v>
                </c:pt>
                <c:pt idx="55">
                  <c:v>42060</c:v>
                </c:pt>
                <c:pt idx="56">
                  <c:v>42061</c:v>
                </c:pt>
                <c:pt idx="57">
                  <c:v>42062</c:v>
                </c:pt>
                <c:pt idx="58">
                  <c:v>42063</c:v>
                </c:pt>
                <c:pt idx="59">
                  <c:v>42064</c:v>
                </c:pt>
                <c:pt idx="60">
                  <c:v>42065</c:v>
                </c:pt>
                <c:pt idx="61">
                  <c:v>42066</c:v>
                </c:pt>
                <c:pt idx="62">
                  <c:v>42067</c:v>
                </c:pt>
                <c:pt idx="63">
                  <c:v>42068</c:v>
                </c:pt>
                <c:pt idx="64">
                  <c:v>42069</c:v>
                </c:pt>
                <c:pt idx="65">
                  <c:v>42070</c:v>
                </c:pt>
                <c:pt idx="66">
                  <c:v>42071</c:v>
                </c:pt>
                <c:pt idx="67">
                  <c:v>42072</c:v>
                </c:pt>
                <c:pt idx="68">
                  <c:v>42073</c:v>
                </c:pt>
                <c:pt idx="69">
                  <c:v>42074</c:v>
                </c:pt>
                <c:pt idx="70">
                  <c:v>42075</c:v>
                </c:pt>
                <c:pt idx="71">
                  <c:v>42076</c:v>
                </c:pt>
                <c:pt idx="72">
                  <c:v>42077</c:v>
                </c:pt>
                <c:pt idx="73">
                  <c:v>42078</c:v>
                </c:pt>
                <c:pt idx="74">
                  <c:v>42079</c:v>
                </c:pt>
                <c:pt idx="75">
                  <c:v>42080</c:v>
                </c:pt>
                <c:pt idx="76">
                  <c:v>42081</c:v>
                </c:pt>
                <c:pt idx="77">
                  <c:v>42082</c:v>
                </c:pt>
                <c:pt idx="78">
                  <c:v>42083</c:v>
                </c:pt>
                <c:pt idx="79">
                  <c:v>42084</c:v>
                </c:pt>
                <c:pt idx="80">
                  <c:v>42085</c:v>
                </c:pt>
                <c:pt idx="81">
                  <c:v>42086</c:v>
                </c:pt>
                <c:pt idx="82">
                  <c:v>42087</c:v>
                </c:pt>
                <c:pt idx="83">
                  <c:v>42088</c:v>
                </c:pt>
                <c:pt idx="84">
                  <c:v>42089</c:v>
                </c:pt>
                <c:pt idx="85">
                  <c:v>42090</c:v>
                </c:pt>
                <c:pt idx="86">
                  <c:v>42091</c:v>
                </c:pt>
                <c:pt idx="87">
                  <c:v>42092</c:v>
                </c:pt>
                <c:pt idx="88">
                  <c:v>42093</c:v>
                </c:pt>
                <c:pt idx="89">
                  <c:v>42094</c:v>
                </c:pt>
                <c:pt idx="90">
                  <c:v>42095</c:v>
                </c:pt>
                <c:pt idx="91">
                  <c:v>42096</c:v>
                </c:pt>
                <c:pt idx="92">
                  <c:v>42097</c:v>
                </c:pt>
                <c:pt idx="93">
                  <c:v>42098</c:v>
                </c:pt>
                <c:pt idx="94">
                  <c:v>42099</c:v>
                </c:pt>
                <c:pt idx="95">
                  <c:v>42100</c:v>
                </c:pt>
                <c:pt idx="96">
                  <c:v>42101</c:v>
                </c:pt>
                <c:pt idx="97">
                  <c:v>42102</c:v>
                </c:pt>
                <c:pt idx="98">
                  <c:v>42103</c:v>
                </c:pt>
                <c:pt idx="99">
                  <c:v>42104</c:v>
                </c:pt>
                <c:pt idx="100">
                  <c:v>42105</c:v>
                </c:pt>
                <c:pt idx="101">
                  <c:v>42106</c:v>
                </c:pt>
                <c:pt idx="102">
                  <c:v>42107</c:v>
                </c:pt>
                <c:pt idx="103">
                  <c:v>42108</c:v>
                </c:pt>
                <c:pt idx="104">
                  <c:v>42109</c:v>
                </c:pt>
                <c:pt idx="105">
                  <c:v>42110</c:v>
                </c:pt>
                <c:pt idx="106">
                  <c:v>42111</c:v>
                </c:pt>
                <c:pt idx="107">
                  <c:v>42112</c:v>
                </c:pt>
                <c:pt idx="108">
                  <c:v>42113</c:v>
                </c:pt>
                <c:pt idx="109">
                  <c:v>42114</c:v>
                </c:pt>
                <c:pt idx="110">
                  <c:v>42115</c:v>
                </c:pt>
                <c:pt idx="111">
                  <c:v>42116</c:v>
                </c:pt>
                <c:pt idx="112">
                  <c:v>42117</c:v>
                </c:pt>
                <c:pt idx="113">
                  <c:v>42118</c:v>
                </c:pt>
                <c:pt idx="114">
                  <c:v>42119</c:v>
                </c:pt>
                <c:pt idx="115">
                  <c:v>42120</c:v>
                </c:pt>
                <c:pt idx="116">
                  <c:v>42121</c:v>
                </c:pt>
                <c:pt idx="117">
                  <c:v>42122</c:v>
                </c:pt>
                <c:pt idx="118">
                  <c:v>42123</c:v>
                </c:pt>
                <c:pt idx="119">
                  <c:v>42124</c:v>
                </c:pt>
                <c:pt idx="120">
                  <c:v>42125</c:v>
                </c:pt>
                <c:pt idx="121">
                  <c:v>42126</c:v>
                </c:pt>
                <c:pt idx="122">
                  <c:v>42127</c:v>
                </c:pt>
                <c:pt idx="123">
                  <c:v>42128</c:v>
                </c:pt>
                <c:pt idx="124">
                  <c:v>42129</c:v>
                </c:pt>
                <c:pt idx="125">
                  <c:v>42130</c:v>
                </c:pt>
                <c:pt idx="126">
                  <c:v>42131</c:v>
                </c:pt>
                <c:pt idx="127">
                  <c:v>42132</c:v>
                </c:pt>
                <c:pt idx="128">
                  <c:v>42133</c:v>
                </c:pt>
                <c:pt idx="129">
                  <c:v>42134</c:v>
                </c:pt>
                <c:pt idx="130">
                  <c:v>42135</c:v>
                </c:pt>
                <c:pt idx="131">
                  <c:v>42136</c:v>
                </c:pt>
                <c:pt idx="132">
                  <c:v>42137</c:v>
                </c:pt>
                <c:pt idx="133">
                  <c:v>42138</c:v>
                </c:pt>
                <c:pt idx="134">
                  <c:v>42139</c:v>
                </c:pt>
                <c:pt idx="135">
                  <c:v>42140</c:v>
                </c:pt>
                <c:pt idx="136">
                  <c:v>42141</c:v>
                </c:pt>
                <c:pt idx="137">
                  <c:v>42142</c:v>
                </c:pt>
                <c:pt idx="138">
                  <c:v>42143</c:v>
                </c:pt>
                <c:pt idx="139">
                  <c:v>42144</c:v>
                </c:pt>
                <c:pt idx="140">
                  <c:v>42145</c:v>
                </c:pt>
                <c:pt idx="141">
                  <c:v>42146</c:v>
                </c:pt>
                <c:pt idx="142">
                  <c:v>42147</c:v>
                </c:pt>
                <c:pt idx="143">
                  <c:v>42148</c:v>
                </c:pt>
                <c:pt idx="144">
                  <c:v>42149</c:v>
                </c:pt>
                <c:pt idx="145">
                  <c:v>42150</c:v>
                </c:pt>
                <c:pt idx="146">
                  <c:v>42151</c:v>
                </c:pt>
                <c:pt idx="147">
                  <c:v>42152</c:v>
                </c:pt>
                <c:pt idx="148">
                  <c:v>42153</c:v>
                </c:pt>
                <c:pt idx="149">
                  <c:v>42154</c:v>
                </c:pt>
                <c:pt idx="150">
                  <c:v>42155</c:v>
                </c:pt>
                <c:pt idx="151">
                  <c:v>42156</c:v>
                </c:pt>
                <c:pt idx="152">
                  <c:v>42157</c:v>
                </c:pt>
                <c:pt idx="153">
                  <c:v>42158</c:v>
                </c:pt>
                <c:pt idx="154">
                  <c:v>42159</c:v>
                </c:pt>
                <c:pt idx="155">
                  <c:v>42160</c:v>
                </c:pt>
                <c:pt idx="156">
                  <c:v>42161</c:v>
                </c:pt>
                <c:pt idx="157">
                  <c:v>42162</c:v>
                </c:pt>
                <c:pt idx="158">
                  <c:v>42163</c:v>
                </c:pt>
                <c:pt idx="159">
                  <c:v>42164</c:v>
                </c:pt>
                <c:pt idx="160">
                  <c:v>42165</c:v>
                </c:pt>
                <c:pt idx="161">
                  <c:v>42166</c:v>
                </c:pt>
                <c:pt idx="162">
                  <c:v>42167</c:v>
                </c:pt>
                <c:pt idx="163">
                  <c:v>42168</c:v>
                </c:pt>
                <c:pt idx="164">
                  <c:v>42169</c:v>
                </c:pt>
                <c:pt idx="165">
                  <c:v>42170</c:v>
                </c:pt>
                <c:pt idx="166">
                  <c:v>42171</c:v>
                </c:pt>
                <c:pt idx="167">
                  <c:v>42172</c:v>
                </c:pt>
                <c:pt idx="168">
                  <c:v>42173</c:v>
                </c:pt>
                <c:pt idx="169">
                  <c:v>42174</c:v>
                </c:pt>
                <c:pt idx="170">
                  <c:v>42175</c:v>
                </c:pt>
                <c:pt idx="171">
                  <c:v>42176</c:v>
                </c:pt>
                <c:pt idx="172">
                  <c:v>42177</c:v>
                </c:pt>
                <c:pt idx="173">
                  <c:v>42178</c:v>
                </c:pt>
                <c:pt idx="174">
                  <c:v>42179</c:v>
                </c:pt>
                <c:pt idx="175">
                  <c:v>42180</c:v>
                </c:pt>
                <c:pt idx="176">
                  <c:v>42181</c:v>
                </c:pt>
                <c:pt idx="177">
                  <c:v>42182</c:v>
                </c:pt>
                <c:pt idx="178">
                  <c:v>42183</c:v>
                </c:pt>
                <c:pt idx="179">
                  <c:v>42184</c:v>
                </c:pt>
                <c:pt idx="180">
                  <c:v>42185</c:v>
                </c:pt>
                <c:pt idx="181">
                  <c:v>42186</c:v>
                </c:pt>
                <c:pt idx="182">
                  <c:v>42187</c:v>
                </c:pt>
                <c:pt idx="183">
                  <c:v>42188</c:v>
                </c:pt>
                <c:pt idx="184">
                  <c:v>42189</c:v>
                </c:pt>
                <c:pt idx="185">
                  <c:v>42190</c:v>
                </c:pt>
                <c:pt idx="186">
                  <c:v>42191</c:v>
                </c:pt>
                <c:pt idx="187">
                  <c:v>42192</c:v>
                </c:pt>
                <c:pt idx="188">
                  <c:v>42193</c:v>
                </c:pt>
                <c:pt idx="189">
                  <c:v>42194</c:v>
                </c:pt>
                <c:pt idx="190">
                  <c:v>42195</c:v>
                </c:pt>
                <c:pt idx="191">
                  <c:v>42196</c:v>
                </c:pt>
                <c:pt idx="192">
                  <c:v>42197</c:v>
                </c:pt>
                <c:pt idx="193">
                  <c:v>42198</c:v>
                </c:pt>
                <c:pt idx="194">
                  <c:v>42199</c:v>
                </c:pt>
                <c:pt idx="195">
                  <c:v>42200</c:v>
                </c:pt>
                <c:pt idx="196">
                  <c:v>42201</c:v>
                </c:pt>
                <c:pt idx="197">
                  <c:v>42202</c:v>
                </c:pt>
                <c:pt idx="198">
                  <c:v>42203</c:v>
                </c:pt>
                <c:pt idx="199">
                  <c:v>42204</c:v>
                </c:pt>
                <c:pt idx="200">
                  <c:v>42205</c:v>
                </c:pt>
                <c:pt idx="201">
                  <c:v>42206</c:v>
                </c:pt>
                <c:pt idx="202">
                  <c:v>42207</c:v>
                </c:pt>
                <c:pt idx="203">
                  <c:v>42208</c:v>
                </c:pt>
                <c:pt idx="204">
                  <c:v>42209</c:v>
                </c:pt>
                <c:pt idx="205">
                  <c:v>42210</c:v>
                </c:pt>
                <c:pt idx="206">
                  <c:v>42211</c:v>
                </c:pt>
                <c:pt idx="207">
                  <c:v>42212</c:v>
                </c:pt>
                <c:pt idx="208">
                  <c:v>42213</c:v>
                </c:pt>
                <c:pt idx="209">
                  <c:v>42214</c:v>
                </c:pt>
                <c:pt idx="210">
                  <c:v>42215</c:v>
                </c:pt>
                <c:pt idx="211">
                  <c:v>42216</c:v>
                </c:pt>
                <c:pt idx="212">
                  <c:v>42217</c:v>
                </c:pt>
                <c:pt idx="213">
                  <c:v>42218</c:v>
                </c:pt>
                <c:pt idx="214">
                  <c:v>42219</c:v>
                </c:pt>
                <c:pt idx="215">
                  <c:v>42220</c:v>
                </c:pt>
                <c:pt idx="216">
                  <c:v>42221</c:v>
                </c:pt>
                <c:pt idx="217">
                  <c:v>42222</c:v>
                </c:pt>
                <c:pt idx="218">
                  <c:v>42223</c:v>
                </c:pt>
                <c:pt idx="219">
                  <c:v>42224</c:v>
                </c:pt>
                <c:pt idx="220">
                  <c:v>42225</c:v>
                </c:pt>
                <c:pt idx="221">
                  <c:v>42226</c:v>
                </c:pt>
                <c:pt idx="222">
                  <c:v>42227</c:v>
                </c:pt>
                <c:pt idx="223">
                  <c:v>42228</c:v>
                </c:pt>
                <c:pt idx="224">
                  <c:v>42229</c:v>
                </c:pt>
                <c:pt idx="225">
                  <c:v>42230</c:v>
                </c:pt>
                <c:pt idx="226">
                  <c:v>42231</c:v>
                </c:pt>
                <c:pt idx="227">
                  <c:v>42232</c:v>
                </c:pt>
                <c:pt idx="228">
                  <c:v>42233</c:v>
                </c:pt>
                <c:pt idx="229">
                  <c:v>42234</c:v>
                </c:pt>
                <c:pt idx="230">
                  <c:v>42235</c:v>
                </c:pt>
                <c:pt idx="231">
                  <c:v>42236</c:v>
                </c:pt>
                <c:pt idx="232">
                  <c:v>42237</c:v>
                </c:pt>
                <c:pt idx="233">
                  <c:v>42238</c:v>
                </c:pt>
                <c:pt idx="234">
                  <c:v>42239</c:v>
                </c:pt>
                <c:pt idx="235">
                  <c:v>42240</c:v>
                </c:pt>
                <c:pt idx="236">
                  <c:v>42241</c:v>
                </c:pt>
                <c:pt idx="237">
                  <c:v>42242</c:v>
                </c:pt>
                <c:pt idx="238">
                  <c:v>42243</c:v>
                </c:pt>
                <c:pt idx="239">
                  <c:v>42244</c:v>
                </c:pt>
                <c:pt idx="240">
                  <c:v>42245</c:v>
                </c:pt>
                <c:pt idx="241">
                  <c:v>42246</c:v>
                </c:pt>
                <c:pt idx="242">
                  <c:v>42247</c:v>
                </c:pt>
                <c:pt idx="243">
                  <c:v>42248</c:v>
                </c:pt>
                <c:pt idx="244">
                  <c:v>42249</c:v>
                </c:pt>
                <c:pt idx="245">
                  <c:v>42250</c:v>
                </c:pt>
                <c:pt idx="246">
                  <c:v>42251</c:v>
                </c:pt>
                <c:pt idx="247">
                  <c:v>42252</c:v>
                </c:pt>
                <c:pt idx="248">
                  <c:v>42253</c:v>
                </c:pt>
                <c:pt idx="249">
                  <c:v>42254</c:v>
                </c:pt>
                <c:pt idx="250">
                  <c:v>42255</c:v>
                </c:pt>
                <c:pt idx="251">
                  <c:v>42256</c:v>
                </c:pt>
                <c:pt idx="252">
                  <c:v>42257</c:v>
                </c:pt>
                <c:pt idx="253">
                  <c:v>42258</c:v>
                </c:pt>
                <c:pt idx="254">
                  <c:v>42259</c:v>
                </c:pt>
                <c:pt idx="255">
                  <c:v>42260</c:v>
                </c:pt>
                <c:pt idx="256">
                  <c:v>42261</c:v>
                </c:pt>
                <c:pt idx="257">
                  <c:v>42262</c:v>
                </c:pt>
                <c:pt idx="258">
                  <c:v>42263</c:v>
                </c:pt>
                <c:pt idx="259">
                  <c:v>42264</c:v>
                </c:pt>
                <c:pt idx="260">
                  <c:v>42265</c:v>
                </c:pt>
                <c:pt idx="261">
                  <c:v>42266</c:v>
                </c:pt>
                <c:pt idx="262">
                  <c:v>42267</c:v>
                </c:pt>
                <c:pt idx="263">
                  <c:v>42268</c:v>
                </c:pt>
                <c:pt idx="264">
                  <c:v>42269</c:v>
                </c:pt>
                <c:pt idx="265">
                  <c:v>42270</c:v>
                </c:pt>
                <c:pt idx="266">
                  <c:v>42271</c:v>
                </c:pt>
                <c:pt idx="267">
                  <c:v>42272</c:v>
                </c:pt>
                <c:pt idx="268">
                  <c:v>42273</c:v>
                </c:pt>
                <c:pt idx="269">
                  <c:v>42274</c:v>
                </c:pt>
                <c:pt idx="270">
                  <c:v>42275</c:v>
                </c:pt>
                <c:pt idx="271">
                  <c:v>42276</c:v>
                </c:pt>
                <c:pt idx="272">
                  <c:v>42277</c:v>
                </c:pt>
                <c:pt idx="273">
                  <c:v>42278</c:v>
                </c:pt>
                <c:pt idx="274">
                  <c:v>42279</c:v>
                </c:pt>
                <c:pt idx="275">
                  <c:v>42280</c:v>
                </c:pt>
                <c:pt idx="276">
                  <c:v>42281</c:v>
                </c:pt>
                <c:pt idx="277">
                  <c:v>42282</c:v>
                </c:pt>
                <c:pt idx="278">
                  <c:v>42283</c:v>
                </c:pt>
                <c:pt idx="279">
                  <c:v>42284</c:v>
                </c:pt>
                <c:pt idx="280">
                  <c:v>42285</c:v>
                </c:pt>
                <c:pt idx="281">
                  <c:v>42286</c:v>
                </c:pt>
                <c:pt idx="282">
                  <c:v>42287</c:v>
                </c:pt>
                <c:pt idx="283">
                  <c:v>42288</c:v>
                </c:pt>
                <c:pt idx="284">
                  <c:v>42289</c:v>
                </c:pt>
                <c:pt idx="285">
                  <c:v>42290</c:v>
                </c:pt>
                <c:pt idx="286">
                  <c:v>42291</c:v>
                </c:pt>
                <c:pt idx="287">
                  <c:v>42292</c:v>
                </c:pt>
                <c:pt idx="288">
                  <c:v>42293</c:v>
                </c:pt>
                <c:pt idx="289">
                  <c:v>42294</c:v>
                </c:pt>
                <c:pt idx="290">
                  <c:v>42295</c:v>
                </c:pt>
                <c:pt idx="291">
                  <c:v>42296</c:v>
                </c:pt>
                <c:pt idx="292">
                  <c:v>42297</c:v>
                </c:pt>
                <c:pt idx="293">
                  <c:v>42298</c:v>
                </c:pt>
                <c:pt idx="294">
                  <c:v>42299</c:v>
                </c:pt>
                <c:pt idx="295">
                  <c:v>42300</c:v>
                </c:pt>
                <c:pt idx="296">
                  <c:v>42301</c:v>
                </c:pt>
                <c:pt idx="297">
                  <c:v>42302</c:v>
                </c:pt>
                <c:pt idx="298">
                  <c:v>42303</c:v>
                </c:pt>
                <c:pt idx="299">
                  <c:v>42304</c:v>
                </c:pt>
                <c:pt idx="300">
                  <c:v>42305</c:v>
                </c:pt>
                <c:pt idx="301">
                  <c:v>42306</c:v>
                </c:pt>
                <c:pt idx="302">
                  <c:v>42307</c:v>
                </c:pt>
                <c:pt idx="303">
                  <c:v>42308</c:v>
                </c:pt>
                <c:pt idx="304">
                  <c:v>42309</c:v>
                </c:pt>
                <c:pt idx="305">
                  <c:v>42310</c:v>
                </c:pt>
                <c:pt idx="306">
                  <c:v>42311</c:v>
                </c:pt>
                <c:pt idx="307">
                  <c:v>42312</c:v>
                </c:pt>
                <c:pt idx="308">
                  <c:v>42313</c:v>
                </c:pt>
                <c:pt idx="309">
                  <c:v>42314</c:v>
                </c:pt>
                <c:pt idx="310">
                  <c:v>42315</c:v>
                </c:pt>
                <c:pt idx="311">
                  <c:v>42316</c:v>
                </c:pt>
                <c:pt idx="312">
                  <c:v>42317</c:v>
                </c:pt>
                <c:pt idx="313">
                  <c:v>42318</c:v>
                </c:pt>
                <c:pt idx="314">
                  <c:v>42319</c:v>
                </c:pt>
                <c:pt idx="315">
                  <c:v>42320</c:v>
                </c:pt>
                <c:pt idx="316">
                  <c:v>42321</c:v>
                </c:pt>
                <c:pt idx="317">
                  <c:v>42322</c:v>
                </c:pt>
                <c:pt idx="318">
                  <c:v>42323</c:v>
                </c:pt>
                <c:pt idx="319">
                  <c:v>42324</c:v>
                </c:pt>
                <c:pt idx="320">
                  <c:v>42325</c:v>
                </c:pt>
                <c:pt idx="321">
                  <c:v>42326</c:v>
                </c:pt>
                <c:pt idx="322">
                  <c:v>42327</c:v>
                </c:pt>
                <c:pt idx="323">
                  <c:v>42328</c:v>
                </c:pt>
                <c:pt idx="324">
                  <c:v>42329</c:v>
                </c:pt>
                <c:pt idx="325">
                  <c:v>42330</c:v>
                </c:pt>
                <c:pt idx="326">
                  <c:v>42331</c:v>
                </c:pt>
                <c:pt idx="327">
                  <c:v>42332</c:v>
                </c:pt>
                <c:pt idx="328">
                  <c:v>42333</c:v>
                </c:pt>
                <c:pt idx="329">
                  <c:v>42334</c:v>
                </c:pt>
                <c:pt idx="330">
                  <c:v>42335</c:v>
                </c:pt>
                <c:pt idx="331">
                  <c:v>42336</c:v>
                </c:pt>
                <c:pt idx="332">
                  <c:v>42337</c:v>
                </c:pt>
                <c:pt idx="333">
                  <c:v>42338</c:v>
                </c:pt>
                <c:pt idx="334">
                  <c:v>42339</c:v>
                </c:pt>
                <c:pt idx="335">
                  <c:v>42340</c:v>
                </c:pt>
                <c:pt idx="336">
                  <c:v>42341</c:v>
                </c:pt>
                <c:pt idx="337">
                  <c:v>42342</c:v>
                </c:pt>
                <c:pt idx="338">
                  <c:v>42343</c:v>
                </c:pt>
                <c:pt idx="339">
                  <c:v>42344</c:v>
                </c:pt>
                <c:pt idx="340">
                  <c:v>42345</c:v>
                </c:pt>
                <c:pt idx="341">
                  <c:v>42346</c:v>
                </c:pt>
                <c:pt idx="342">
                  <c:v>42347</c:v>
                </c:pt>
                <c:pt idx="343">
                  <c:v>42348</c:v>
                </c:pt>
                <c:pt idx="344">
                  <c:v>42349</c:v>
                </c:pt>
                <c:pt idx="345">
                  <c:v>42350</c:v>
                </c:pt>
                <c:pt idx="346">
                  <c:v>42351</c:v>
                </c:pt>
                <c:pt idx="347">
                  <c:v>42352</c:v>
                </c:pt>
                <c:pt idx="348">
                  <c:v>42353</c:v>
                </c:pt>
                <c:pt idx="349">
                  <c:v>42354</c:v>
                </c:pt>
                <c:pt idx="350">
                  <c:v>42355</c:v>
                </c:pt>
                <c:pt idx="351">
                  <c:v>42356</c:v>
                </c:pt>
                <c:pt idx="352">
                  <c:v>42357</c:v>
                </c:pt>
                <c:pt idx="353">
                  <c:v>42358</c:v>
                </c:pt>
                <c:pt idx="354">
                  <c:v>42359</c:v>
                </c:pt>
                <c:pt idx="355">
                  <c:v>42360</c:v>
                </c:pt>
                <c:pt idx="356">
                  <c:v>42361</c:v>
                </c:pt>
                <c:pt idx="357">
                  <c:v>42362</c:v>
                </c:pt>
                <c:pt idx="358">
                  <c:v>42363</c:v>
                </c:pt>
                <c:pt idx="359">
                  <c:v>42364</c:v>
                </c:pt>
                <c:pt idx="360">
                  <c:v>42365</c:v>
                </c:pt>
                <c:pt idx="361">
                  <c:v>42366</c:v>
                </c:pt>
                <c:pt idx="362">
                  <c:v>42367</c:v>
                </c:pt>
                <c:pt idx="363">
                  <c:v>42368</c:v>
                </c:pt>
                <c:pt idx="364">
                  <c:v>42369</c:v>
                </c:pt>
              </c:numCache>
            </c:numRef>
          </c:xVal>
          <c:yVal>
            <c:numRef>
              <c:f>Clima!$P$8:$P$372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0.8</c:v>
                </c:pt>
                <c:pt idx="4">
                  <c:v>3.9</c:v>
                </c:pt>
                <c:pt idx="5">
                  <c:v>0.2</c:v>
                </c:pt>
                <c:pt idx="6">
                  <c:v>0</c:v>
                </c:pt>
                <c:pt idx="7">
                  <c:v>0</c:v>
                </c:pt>
                <c:pt idx="8">
                  <c:v>1.4</c:v>
                </c:pt>
                <c:pt idx="9">
                  <c:v>0</c:v>
                </c:pt>
                <c:pt idx="10">
                  <c:v>2.5</c:v>
                </c:pt>
                <c:pt idx="11">
                  <c:v>0</c:v>
                </c:pt>
                <c:pt idx="12">
                  <c:v>0.2</c:v>
                </c:pt>
                <c:pt idx="13">
                  <c:v>1.4</c:v>
                </c:pt>
                <c:pt idx="14">
                  <c:v>2.2000000000000002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0.2</c:v>
                </c:pt>
                <c:pt idx="19">
                  <c:v>0.2</c:v>
                </c:pt>
                <c:pt idx="20">
                  <c:v>0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</c:v>
                </c:pt>
                <c:pt idx="26">
                  <c:v>0.4</c:v>
                </c:pt>
                <c:pt idx="27">
                  <c:v>0</c:v>
                </c:pt>
                <c:pt idx="28">
                  <c:v>1.4</c:v>
                </c:pt>
                <c:pt idx="29">
                  <c:v>0</c:v>
                </c:pt>
                <c:pt idx="30">
                  <c:v>0.2</c:v>
                </c:pt>
                <c:pt idx="31">
                  <c:v>0</c:v>
                </c:pt>
                <c:pt idx="32">
                  <c:v>0.2</c:v>
                </c:pt>
                <c:pt idx="33">
                  <c:v>0.2</c:v>
                </c:pt>
                <c:pt idx="34">
                  <c:v>0</c:v>
                </c:pt>
                <c:pt idx="35">
                  <c:v>0</c:v>
                </c:pt>
                <c:pt idx="36">
                  <c:v>0.2</c:v>
                </c:pt>
                <c:pt idx="37">
                  <c:v>5.5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1.2</c:v>
                </c:pt>
                <c:pt idx="42">
                  <c:v>0.8</c:v>
                </c:pt>
                <c:pt idx="43">
                  <c:v>0.8</c:v>
                </c:pt>
                <c:pt idx="44">
                  <c:v>2.7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0.2</c:v>
                </c:pt>
                <c:pt idx="49">
                  <c:v>0.4</c:v>
                </c:pt>
                <c:pt idx="50">
                  <c:v>0</c:v>
                </c:pt>
                <c:pt idx="51">
                  <c:v>0.2</c:v>
                </c:pt>
                <c:pt idx="52">
                  <c:v>0</c:v>
                </c:pt>
                <c:pt idx="53">
                  <c:v>0</c:v>
                </c:pt>
                <c:pt idx="54">
                  <c:v>0.2</c:v>
                </c:pt>
                <c:pt idx="55">
                  <c:v>0</c:v>
                </c:pt>
                <c:pt idx="56">
                  <c:v>3.3</c:v>
                </c:pt>
                <c:pt idx="57">
                  <c:v>2.4</c:v>
                </c:pt>
                <c:pt idx="58">
                  <c:v>0.6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2.2000000000000002</c:v>
                </c:pt>
                <c:pt idx="65">
                  <c:v>0</c:v>
                </c:pt>
                <c:pt idx="66">
                  <c:v>4.9000000000000004</c:v>
                </c:pt>
                <c:pt idx="67">
                  <c:v>0</c:v>
                </c:pt>
                <c:pt idx="68">
                  <c:v>6.5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0.2</c:v>
                </c:pt>
                <c:pt idx="76">
                  <c:v>0</c:v>
                </c:pt>
                <c:pt idx="77">
                  <c:v>0</c:v>
                </c:pt>
                <c:pt idx="78">
                  <c:v>7.6</c:v>
                </c:pt>
                <c:pt idx="79">
                  <c:v>5.3</c:v>
                </c:pt>
                <c:pt idx="80">
                  <c:v>9</c:v>
                </c:pt>
                <c:pt idx="81">
                  <c:v>2.9</c:v>
                </c:pt>
                <c:pt idx="82">
                  <c:v>0.2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0.2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14.9</c:v>
                </c:pt>
                <c:pt idx="95">
                  <c:v>5.3</c:v>
                </c:pt>
                <c:pt idx="96">
                  <c:v>0.2</c:v>
                </c:pt>
                <c:pt idx="97">
                  <c:v>0</c:v>
                </c:pt>
                <c:pt idx="98">
                  <c:v>0.2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0.2</c:v>
                </c:pt>
                <c:pt idx="105">
                  <c:v>0</c:v>
                </c:pt>
                <c:pt idx="106">
                  <c:v>0.2</c:v>
                </c:pt>
                <c:pt idx="107">
                  <c:v>1.2</c:v>
                </c:pt>
                <c:pt idx="108">
                  <c:v>0</c:v>
                </c:pt>
                <c:pt idx="109">
                  <c:v>0</c:v>
                </c:pt>
                <c:pt idx="110">
                  <c:v>5.9</c:v>
                </c:pt>
                <c:pt idx="111">
                  <c:v>0</c:v>
                </c:pt>
                <c:pt idx="112">
                  <c:v>0.4</c:v>
                </c:pt>
                <c:pt idx="113">
                  <c:v>2.7</c:v>
                </c:pt>
                <c:pt idx="114">
                  <c:v>0.2</c:v>
                </c:pt>
                <c:pt idx="115">
                  <c:v>0</c:v>
                </c:pt>
                <c:pt idx="116">
                  <c:v>0.2</c:v>
                </c:pt>
                <c:pt idx="117">
                  <c:v>0</c:v>
                </c:pt>
                <c:pt idx="118">
                  <c:v>0.8</c:v>
                </c:pt>
                <c:pt idx="119">
                  <c:v>7.6</c:v>
                </c:pt>
                <c:pt idx="120">
                  <c:v>0.6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0.2</c:v>
                </c:pt>
                <c:pt idx="126">
                  <c:v>5.9</c:v>
                </c:pt>
                <c:pt idx="127">
                  <c:v>12.5</c:v>
                </c:pt>
                <c:pt idx="128">
                  <c:v>13.3</c:v>
                </c:pt>
                <c:pt idx="129">
                  <c:v>7.6</c:v>
                </c:pt>
                <c:pt idx="130">
                  <c:v>14.9</c:v>
                </c:pt>
                <c:pt idx="131">
                  <c:v>5.5</c:v>
                </c:pt>
                <c:pt idx="132">
                  <c:v>1.4</c:v>
                </c:pt>
                <c:pt idx="133">
                  <c:v>0</c:v>
                </c:pt>
                <c:pt idx="134">
                  <c:v>0.2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0.2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0.2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0.6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0.2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0.4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4.7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1.2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0.2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0.2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0.2</c:v>
                </c:pt>
                <c:pt idx="279">
                  <c:v>0</c:v>
                </c:pt>
                <c:pt idx="280">
                  <c:v>0.2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6.7</c:v>
                </c:pt>
                <c:pt idx="286">
                  <c:v>6.9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0.2</c:v>
                </c:pt>
                <c:pt idx="291">
                  <c:v>5.5</c:v>
                </c:pt>
                <c:pt idx="292">
                  <c:v>8.1</c:v>
                </c:pt>
                <c:pt idx="293">
                  <c:v>7.5</c:v>
                </c:pt>
                <c:pt idx="294">
                  <c:v>4</c:v>
                </c:pt>
                <c:pt idx="295">
                  <c:v>0</c:v>
                </c:pt>
                <c:pt idx="296">
                  <c:v>1.4</c:v>
                </c:pt>
                <c:pt idx="297">
                  <c:v>2.6</c:v>
                </c:pt>
                <c:pt idx="298">
                  <c:v>0.2</c:v>
                </c:pt>
                <c:pt idx="299">
                  <c:v>0.2</c:v>
                </c:pt>
                <c:pt idx="300">
                  <c:v>0</c:v>
                </c:pt>
                <c:pt idx="301">
                  <c:v>0</c:v>
                </c:pt>
                <c:pt idx="302">
                  <c:v>0.2</c:v>
                </c:pt>
                <c:pt idx="303">
                  <c:v>0.2</c:v>
                </c:pt>
                <c:pt idx="304">
                  <c:v>0.2</c:v>
                </c:pt>
                <c:pt idx="305">
                  <c:v>0</c:v>
                </c:pt>
                <c:pt idx="306">
                  <c:v>0</c:v>
                </c:pt>
                <c:pt idx="307">
                  <c:v>0.2</c:v>
                </c:pt>
                <c:pt idx="308">
                  <c:v>0.2</c:v>
                </c:pt>
                <c:pt idx="309">
                  <c:v>9.9</c:v>
                </c:pt>
                <c:pt idx="310">
                  <c:v>0.4</c:v>
                </c:pt>
                <c:pt idx="311">
                  <c:v>0</c:v>
                </c:pt>
                <c:pt idx="312">
                  <c:v>0.2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0.2</c:v>
                </c:pt>
                <c:pt idx="319">
                  <c:v>0</c:v>
                </c:pt>
                <c:pt idx="320">
                  <c:v>0.2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0.2</c:v>
                </c:pt>
                <c:pt idx="325">
                  <c:v>3.8</c:v>
                </c:pt>
                <c:pt idx="326">
                  <c:v>12.1</c:v>
                </c:pt>
                <c:pt idx="327">
                  <c:v>0.6</c:v>
                </c:pt>
                <c:pt idx="328">
                  <c:v>1.6</c:v>
                </c:pt>
                <c:pt idx="329">
                  <c:v>0.2</c:v>
                </c:pt>
                <c:pt idx="330">
                  <c:v>12.5</c:v>
                </c:pt>
                <c:pt idx="331">
                  <c:v>10.1</c:v>
                </c:pt>
                <c:pt idx="332">
                  <c:v>0.6</c:v>
                </c:pt>
                <c:pt idx="333">
                  <c:v>2</c:v>
                </c:pt>
                <c:pt idx="334">
                  <c:v>2.4</c:v>
                </c:pt>
                <c:pt idx="335">
                  <c:v>0</c:v>
                </c:pt>
                <c:pt idx="336">
                  <c:v>0.2</c:v>
                </c:pt>
                <c:pt idx="337">
                  <c:v>0.6</c:v>
                </c:pt>
                <c:pt idx="338">
                  <c:v>17</c:v>
                </c:pt>
                <c:pt idx="339">
                  <c:v>2</c:v>
                </c:pt>
                <c:pt idx="340">
                  <c:v>0</c:v>
                </c:pt>
                <c:pt idx="341">
                  <c:v>0.4</c:v>
                </c:pt>
                <c:pt idx="342">
                  <c:v>0.4</c:v>
                </c:pt>
                <c:pt idx="343">
                  <c:v>0</c:v>
                </c:pt>
                <c:pt idx="344">
                  <c:v>0.2</c:v>
                </c:pt>
                <c:pt idx="345">
                  <c:v>0.4</c:v>
                </c:pt>
                <c:pt idx="346">
                  <c:v>0.2</c:v>
                </c:pt>
                <c:pt idx="347">
                  <c:v>0.4</c:v>
                </c:pt>
                <c:pt idx="348">
                  <c:v>0.2</c:v>
                </c:pt>
                <c:pt idx="349">
                  <c:v>0</c:v>
                </c:pt>
                <c:pt idx="350">
                  <c:v>0.4</c:v>
                </c:pt>
                <c:pt idx="351">
                  <c:v>26.5</c:v>
                </c:pt>
                <c:pt idx="352">
                  <c:v>1</c:v>
                </c:pt>
                <c:pt idx="353">
                  <c:v>6.3</c:v>
                </c:pt>
                <c:pt idx="354">
                  <c:v>0.2</c:v>
                </c:pt>
                <c:pt idx="355">
                  <c:v>0</c:v>
                </c:pt>
                <c:pt idx="356">
                  <c:v>0.2</c:v>
                </c:pt>
                <c:pt idx="357">
                  <c:v>0.2</c:v>
                </c:pt>
                <c:pt idx="358">
                  <c:v>0.2</c:v>
                </c:pt>
                <c:pt idx="359">
                  <c:v>0.2</c:v>
                </c:pt>
                <c:pt idx="360">
                  <c:v>0.2</c:v>
                </c:pt>
                <c:pt idx="361">
                  <c:v>0.2</c:v>
                </c:pt>
                <c:pt idx="362">
                  <c:v>0</c:v>
                </c:pt>
                <c:pt idx="363">
                  <c:v>0.2</c:v>
                </c:pt>
                <c:pt idx="364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70-48DF-86FF-99855D2804D0}"/>
            </c:ext>
          </c:extLst>
        </c:ser>
        <c:ser>
          <c:idx val="1"/>
          <c:order val="1"/>
          <c:tx>
            <c:v>Precp real</c:v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Clima!$W$8:$W$350</c:f>
              <c:numCache>
                <c:formatCode>m/d/yyyy</c:formatCode>
                <c:ptCount val="343"/>
                <c:pt idx="0">
                  <c:v>42005</c:v>
                </c:pt>
                <c:pt idx="1">
                  <c:v>42006</c:v>
                </c:pt>
                <c:pt idx="2">
                  <c:v>42007</c:v>
                </c:pt>
                <c:pt idx="3">
                  <c:v>42008</c:v>
                </c:pt>
                <c:pt idx="4">
                  <c:v>42009</c:v>
                </c:pt>
                <c:pt idx="5">
                  <c:v>42010</c:v>
                </c:pt>
                <c:pt idx="6">
                  <c:v>42011</c:v>
                </c:pt>
                <c:pt idx="7">
                  <c:v>42012</c:v>
                </c:pt>
                <c:pt idx="8">
                  <c:v>42013</c:v>
                </c:pt>
                <c:pt idx="9">
                  <c:v>42014</c:v>
                </c:pt>
                <c:pt idx="10">
                  <c:v>42015</c:v>
                </c:pt>
                <c:pt idx="11">
                  <c:v>42016</c:v>
                </c:pt>
                <c:pt idx="12">
                  <c:v>42017</c:v>
                </c:pt>
                <c:pt idx="13">
                  <c:v>42018</c:v>
                </c:pt>
                <c:pt idx="14">
                  <c:v>42019</c:v>
                </c:pt>
                <c:pt idx="15">
                  <c:v>42020</c:v>
                </c:pt>
                <c:pt idx="16">
                  <c:v>42021</c:v>
                </c:pt>
                <c:pt idx="17">
                  <c:v>42022</c:v>
                </c:pt>
                <c:pt idx="18">
                  <c:v>42023</c:v>
                </c:pt>
                <c:pt idx="19">
                  <c:v>42024</c:v>
                </c:pt>
                <c:pt idx="20">
                  <c:v>42025</c:v>
                </c:pt>
                <c:pt idx="21">
                  <c:v>42026</c:v>
                </c:pt>
                <c:pt idx="22">
                  <c:v>42027</c:v>
                </c:pt>
                <c:pt idx="23">
                  <c:v>42028</c:v>
                </c:pt>
                <c:pt idx="24">
                  <c:v>42029</c:v>
                </c:pt>
                <c:pt idx="25">
                  <c:v>42030</c:v>
                </c:pt>
                <c:pt idx="26">
                  <c:v>42031</c:v>
                </c:pt>
                <c:pt idx="27">
                  <c:v>42032</c:v>
                </c:pt>
                <c:pt idx="28">
                  <c:v>42033</c:v>
                </c:pt>
                <c:pt idx="29">
                  <c:v>42034</c:v>
                </c:pt>
                <c:pt idx="30">
                  <c:v>42035</c:v>
                </c:pt>
                <c:pt idx="31">
                  <c:v>42036</c:v>
                </c:pt>
                <c:pt idx="32">
                  <c:v>42037</c:v>
                </c:pt>
                <c:pt idx="33">
                  <c:v>42038</c:v>
                </c:pt>
                <c:pt idx="34">
                  <c:v>42039</c:v>
                </c:pt>
                <c:pt idx="35">
                  <c:v>42040</c:v>
                </c:pt>
                <c:pt idx="36">
                  <c:v>42041</c:v>
                </c:pt>
                <c:pt idx="37">
                  <c:v>42042</c:v>
                </c:pt>
                <c:pt idx="38">
                  <c:v>42043</c:v>
                </c:pt>
                <c:pt idx="39">
                  <c:v>42044</c:v>
                </c:pt>
                <c:pt idx="40">
                  <c:v>42045</c:v>
                </c:pt>
                <c:pt idx="41">
                  <c:v>42046</c:v>
                </c:pt>
                <c:pt idx="42">
                  <c:v>42047</c:v>
                </c:pt>
                <c:pt idx="43">
                  <c:v>42048</c:v>
                </c:pt>
                <c:pt idx="44">
                  <c:v>42049</c:v>
                </c:pt>
                <c:pt idx="45">
                  <c:v>42050</c:v>
                </c:pt>
                <c:pt idx="46">
                  <c:v>42051</c:v>
                </c:pt>
                <c:pt idx="47">
                  <c:v>42052</c:v>
                </c:pt>
                <c:pt idx="48">
                  <c:v>42053</c:v>
                </c:pt>
                <c:pt idx="49">
                  <c:v>42054</c:v>
                </c:pt>
                <c:pt idx="50">
                  <c:v>42055</c:v>
                </c:pt>
                <c:pt idx="51">
                  <c:v>42056</c:v>
                </c:pt>
                <c:pt idx="52">
                  <c:v>42057</c:v>
                </c:pt>
                <c:pt idx="53">
                  <c:v>42058</c:v>
                </c:pt>
                <c:pt idx="54">
                  <c:v>42059</c:v>
                </c:pt>
                <c:pt idx="55">
                  <c:v>42060</c:v>
                </c:pt>
                <c:pt idx="56">
                  <c:v>42061</c:v>
                </c:pt>
                <c:pt idx="57">
                  <c:v>42062</c:v>
                </c:pt>
                <c:pt idx="58">
                  <c:v>42063</c:v>
                </c:pt>
                <c:pt idx="59">
                  <c:v>42064</c:v>
                </c:pt>
                <c:pt idx="60">
                  <c:v>42065</c:v>
                </c:pt>
                <c:pt idx="61">
                  <c:v>42066</c:v>
                </c:pt>
                <c:pt idx="62">
                  <c:v>42067</c:v>
                </c:pt>
                <c:pt idx="63">
                  <c:v>42068</c:v>
                </c:pt>
                <c:pt idx="64">
                  <c:v>42069</c:v>
                </c:pt>
                <c:pt idx="65">
                  <c:v>42070</c:v>
                </c:pt>
                <c:pt idx="66">
                  <c:v>42071</c:v>
                </c:pt>
                <c:pt idx="67">
                  <c:v>42072</c:v>
                </c:pt>
                <c:pt idx="68">
                  <c:v>42073</c:v>
                </c:pt>
                <c:pt idx="69">
                  <c:v>42074</c:v>
                </c:pt>
                <c:pt idx="70">
                  <c:v>42075</c:v>
                </c:pt>
                <c:pt idx="71">
                  <c:v>42076</c:v>
                </c:pt>
                <c:pt idx="72">
                  <c:v>42077</c:v>
                </c:pt>
                <c:pt idx="73">
                  <c:v>42078</c:v>
                </c:pt>
                <c:pt idx="74">
                  <c:v>42079</c:v>
                </c:pt>
                <c:pt idx="75">
                  <c:v>42080</c:v>
                </c:pt>
                <c:pt idx="76">
                  <c:v>42081</c:v>
                </c:pt>
                <c:pt idx="77">
                  <c:v>42082</c:v>
                </c:pt>
                <c:pt idx="78">
                  <c:v>42083</c:v>
                </c:pt>
                <c:pt idx="79">
                  <c:v>42084</c:v>
                </c:pt>
                <c:pt idx="80">
                  <c:v>42085</c:v>
                </c:pt>
                <c:pt idx="81">
                  <c:v>42086</c:v>
                </c:pt>
                <c:pt idx="82">
                  <c:v>42087</c:v>
                </c:pt>
                <c:pt idx="83">
                  <c:v>42088</c:v>
                </c:pt>
                <c:pt idx="84">
                  <c:v>42089</c:v>
                </c:pt>
                <c:pt idx="85">
                  <c:v>42090</c:v>
                </c:pt>
                <c:pt idx="86">
                  <c:v>42091</c:v>
                </c:pt>
                <c:pt idx="87">
                  <c:v>42092</c:v>
                </c:pt>
                <c:pt idx="88">
                  <c:v>42093</c:v>
                </c:pt>
                <c:pt idx="89">
                  <c:v>42094</c:v>
                </c:pt>
                <c:pt idx="90">
                  <c:v>42095</c:v>
                </c:pt>
                <c:pt idx="91">
                  <c:v>42096</c:v>
                </c:pt>
                <c:pt idx="92">
                  <c:v>42097</c:v>
                </c:pt>
                <c:pt idx="93">
                  <c:v>42098</c:v>
                </c:pt>
                <c:pt idx="94">
                  <c:v>42099</c:v>
                </c:pt>
                <c:pt idx="95">
                  <c:v>42100</c:v>
                </c:pt>
                <c:pt idx="96">
                  <c:v>42101</c:v>
                </c:pt>
                <c:pt idx="97">
                  <c:v>42102</c:v>
                </c:pt>
                <c:pt idx="98">
                  <c:v>42103</c:v>
                </c:pt>
                <c:pt idx="99">
                  <c:v>42104</c:v>
                </c:pt>
                <c:pt idx="100">
                  <c:v>42105</c:v>
                </c:pt>
                <c:pt idx="101">
                  <c:v>42106</c:v>
                </c:pt>
                <c:pt idx="102">
                  <c:v>42107</c:v>
                </c:pt>
                <c:pt idx="103">
                  <c:v>42108</c:v>
                </c:pt>
                <c:pt idx="104">
                  <c:v>42109</c:v>
                </c:pt>
                <c:pt idx="105">
                  <c:v>42110</c:v>
                </c:pt>
                <c:pt idx="106">
                  <c:v>42111</c:v>
                </c:pt>
                <c:pt idx="107">
                  <c:v>42112</c:v>
                </c:pt>
                <c:pt idx="108">
                  <c:v>42113</c:v>
                </c:pt>
                <c:pt idx="109">
                  <c:v>42114</c:v>
                </c:pt>
                <c:pt idx="110">
                  <c:v>42115</c:v>
                </c:pt>
                <c:pt idx="111">
                  <c:v>42116</c:v>
                </c:pt>
                <c:pt idx="112">
                  <c:v>42117</c:v>
                </c:pt>
                <c:pt idx="113">
                  <c:v>42118</c:v>
                </c:pt>
                <c:pt idx="114">
                  <c:v>42119</c:v>
                </c:pt>
                <c:pt idx="115">
                  <c:v>42120</c:v>
                </c:pt>
                <c:pt idx="116">
                  <c:v>42121</c:v>
                </c:pt>
                <c:pt idx="117">
                  <c:v>42122</c:v>
                </c:pt>
                <c:pt idx="118">
                  <c:v>42123</c:v>
                </c:pt>
                <c:pt idx="119">
                  <c:v>42124</c:v>
                </c:pt>
                <c:pt idx="120">
                  <c:v>42125</c:v>
                </c:pt>
                <c:pt idx="121">
                  <c:v>42126</c:v>
                </c:pt>
                <c:pt idx="122">
                  <c:v>42127</c:v>
                </c:pt>
                <c:pt idx="123">
                  <c:v>42128</c:v>
                </c:pt>
                <c:pt idx="124">
                  <c:v>42129</c:v>
                </c:pt>
                <c:pt idx="125">
                  <c:v>42130</c:v>
                </c:pt>
                <c:pt idx="126">
                  <c:v>42131</c:v>
                </c:pt>
                <c:pt idx="127">
                  <c:v>42132</c:v>
                </c:pt>
                <c:pt idx="128">
                  <c:v>42133</c:v>
                </c:pt>
                <c:pt idx="129">
                  <c:v>42134</c:v>
                </c:pt>
                <c:pt idx="130">
                  <c:v>42135</c:v>
                </c:pt>
                <c:pt idx="131">
                  <c:v>42136</c:v>
                </c:pt>
                <c:pt idx="132">
                  <c:v>42137</c:v>
                </c:pt>
                <c:pt idx="133">
                  <c:v>42138</c:v>
                </c:pt>
                <c:pt idx="134">
                  <c:v>42139</c:v>
                </c:pt>
                <c:pt idx="135">
                  <c:v>42140</c:v>
                </c:pt>
                <c:pt idx="136">
                  <c:v>42141</c:v>
                </c:pt>
                <c:pt idx="137">
                  <c:v>42142</c:v>
                </c:pt>
                <c:pt idx="138">
                  <c:v>42143</c:v>
                </c:pt>
                <c:pt idx="139">
                  <c:v>42144</c:v>
                </c:pt>
                <c:pt idx="140">
                  <c:v>42145</c:v>
                </c:pt>
                <c:pt idx="141">
                  <c:v>42146</c:v>
                </c:pt>
                <c:pt idx="142">
                  <c:v>42147</c:v>
                </c:pt>
                <c:pt idx="143">
                  <c:v>42148</c:v>
                </c:pt>
                <c:pt idx="144">
                  <c:v>42149</c:v>
                </c:pt>
                <c:pt idx="145">
                  <c:v>42150</c:v>
                </c:pt>
                <c:pt idx="146">
                  <c:v>42151</c:v>
                </c:pt>
                <c:pt idx="147">
                  <c:v>42152</c:v>
                </c:pt>
                <c:pt idx="148">
                  <c:v>42153</c:v>
                </c:pt>
                <c:pt idx="149">
                  <c:v>42154</c:v>
                </c:pt>
                <c:pt idx="150">
                  <c:v>42155</c:v>
                </c:pt>
                <c:pt idx="151">
                  <c:v>42156</c:v>
                </c:pt>
                <c:pt idx="152">
                  <c:v>42157</c:v>
                </c:pt>
                <c:pt idx="153">
                  <c:v>42158</c:v>
                </c:pt>
                <c:pt idx="154">
                  <c:v>42159</c:v>
                </c:pt>
                <c:pt idx="155">
                  <c:v>42160</c:v>
                </c:pt>
                <c:pt idx="156">
                  <c:v>42161</c:v>
                </c:pt>
                <c:pt idx="157">
                  <c:v>42162</c:v>
                </c:pt>
                <c:pt idx="158">
                  <c:v>42163</c:v>
                </c:pt>
                <c:pt idx="159">
                  <c:v>42164</c:v>
                </c:pt>
                <c:pt idx="160">
                  <c:v>42165</c:v>
                </c:pt>
                <c:pt idx="161">
                  <c:v>42166</c:v>
                </c:pt>
                <c:pt idx="162">
                  <c:v>42167</c:v>
                </c:pt>
                <c:pt idx="163">
                  <c:v>42168</c:v>
                </c:pt>
                <c:pt idx="164">
                  <c:v>42169</c:v>
                </c:pt>
                <c:pt idx="165">
                  <c:v>42170</c:v>
                </c:pt>
                <c:pt idx="166">
                  <c:v>42171</c:v>
                </c:pt>
                <c:pt idx="167">
                  <c:v>42172</c:v>
                </c:pt>
                <c:pt idx="168">
                  <c:v>42173</c:v>
                </c:pt>
                <c:pt idx="169">
                  <c:v>42174</c:v>
                </c:pt>
                <c:pt idx="170">
                  <c:v>42175</c:v>
                </c:pt>
                <c:pt idx="171">
                  <c:v>42176</c:v>
                </c:pt>
                <c:pt idx="172">
                  <c:v>42177</c:v>
                </c:pt>
                <c:pt idx="173">
                  <c:v>42178</c:v>
                </c:pt>
                <c:pt idx="174">
                  <c:v>42179</c:v>
                </c:pt>
                <c:pt idx="175">
                  <c:v>42180</c:v>
                </c:pt>
                <c:pt idx="176">
                  <c:v>42181</c:v>
                </c:pt>
                <c:pt idx="177">
                  <c:v>42182</c:v>
                </c:pt>
                <c:pt idx="178">
                  <c:v>42183</c:v>
                </c:pt>
                <c:pt idx="179">
                  <c:v>42184</c:v>
                </c:pt>
                <c:pt idx="180">
                  <c:v>42185</c:v>
                </c:pt>
                <c:pt idx="181">
                  <c:v>42186</c:v>
                </c:pt>
                <c:pt idx="182">
                  <c:v>42187</c:v>
                </c:pt>
                <c:pt idx="183">
                  <c:v>42188</c:v>
                </c:pt>
                <c:pt idx="184">
                  <c:v>42189</c:v>
                </c:pt>
                <c:pt idx="185">
                  <c:v>42190</c:v>
                </c:pt>
                <c:pt idx="186">
                  <c:v>42191</c:v>
                </c:pt>
                <c:pt idx="187">
                  <c:v>42192</c:v>
                </c:pt>
                <c:pt idx="188">
                  <c:v>42193</c:v>
                </c:pt>
                <c:pt idx="189">
                  <c:v>42194</c:v>
                </c:pt>
                <c:pt idx="190">
                  <c:v>42195</c:v>
                </c:pt>
                <c:pt idx="191">
                  <c:v>42196</c:v>
                </c:pt>
                <c:pt idx="192">
                  <c:v>42197</c:v>
                </c:pt>
                <c:pt idx="193">
                  <c:v>42198</c:v>
                </c:pt>
                <c:pt idx="194">
                  <c:v>42199</c:v>
                </c:pt>
                <c:pt idx="195">
                  <c:v>42200</c:v>
                </c:pt>
                <c:pt idx="196">
                  <c:v>42201</c:v>
                </c:pt>
                <c:pt idx="197">
                  <c:v>42202</c:v>
                </c:pt>
                <c:pt idx="198">
                  <c:v>42203</c:v>
                </c:pt>
                <c:pt idx="199">
                  <c:v>42204</c:v>
                </c:pt>
                <c:pt idx="200">
                  <c:v>42205</c:v>
                </c:pt>
                <c:pt idx="201">
                  <c:v>42206</c:v>
                </c:pt>
                <c:pt idx="202">
                  <c:v>42207</c:v>
                </c:pt>
                <c:pt idx="203">
                  <c:v>42208</c:v>
                </c:pt>
                <c:pt idx="204">
                  <c:v>42209</c:v>
                </c:pt>
                <c:pt idx="205">
                  <c:v>42210</c:v>
                </c:pt>
                <c:pt idx="206">
                  <c:v>42211</c:v>
                </c:pt>
                <c:pt idx="207">
                  <c:v>42212</c:v>
                </c:pt>
                <c:pt idx="208">
                  <c:v>42213</c:v>
                </c:pt>
                <c:pt idx="209">
                  <c:v>42214</c:v>
                </c:pt>
                <c:pt idx="210">
                  <c:v>42215</c:v>
                </c:pt>
                <c:pt idx="211">
                  <c:v>42216</c:v>
                </c:pt>
                <c:pt idx="212">
                  <c:v>42217</c:v>
                </c:pt>
                <c:pt idx="213">
                  <c:v>42218</c:v>
                </c:pt>
                <c:pt idx="214">
                  <c:v>42219</c:v>
                </c:pt>
                <c:pt idx="215">
                  <c:v>42220</c:v>
                </c:pt>
                <c:pt idx="216">
                  <c:v>42221</c:v>
                </c:pt>
                <c:pt idx="217">
                  <c:v>42222</c:v>
                </c:pt>
                <c:pt idx="218">
                  <c:v>42223</c:v>
                </c:pt>
                <c:pt idx="219">
                  <c:v>42224</c:v>
                </c:pt>
                <c:pt idx="220">
                  <c:v>42225</c:v>
                </c:pt>
                <c:pt idx="221">
                  <c:v>42226</c:v>
                </c:pt>
                <c:pt idx="222">
                  <c:v>42227</c:v>
                </c:pt>
                <c:pt idx="223">
                  <c:v>42228</c:v>
                </c:pt>
                <c:pt idx="224">
                  <c:v>42229</c:v>
                </c:pt>
                <c:pt idx="225">
                  <c:v>42230</c:v>
                </c:pt>
                <c:pt idx="226">
                  <c:v>42231</c:v>
                </c:pt>
                <c:pt idx="227">
                  <c:v>42232</c:v>
                </c:pt>
                <c:pt idx="228">
                  <c:v>42233</c:v>
                </c:pt>
                <c:pt idx="229">
                  <c:v>42234</c:v>
                </c:pt>
                <c:pt idx="230">
                  <c:v>42235</c:v>
                </c:pt>
                <c:pt idx="231">
                  <c:v>42236</c:v>
                </c:pt>
                <c:pt idx="232">
                  <c:v>42237</c:v>
                </c:pt>
                <c:pt idx="233">
                  <c:v>42238</c:v>
                </c:pt>
                <c:pt idx="234">
                  <c:v>42239</c:v>
                </c:pt>
                <c:pt idx="235">
                  <c:v>42240</c:v>
                </c:pt>
                <c:pt idx="236">
                  <c:v>42241</c:v>
                </c:pt>
                <c:pt idx="237">
                  <c:v>42242</c:v>
                </c:pt>
                <c:pt idx="238">
                  <c:v>42243</c:v>
                </c:pt>
                <c:pt idx="239">
                  <c:v>42244</c:v>
                </c:pt>
                <c:pt idx="240">
                  <c:v>42245</c:v>
                </c:pt>
                <c:pt idx="241">
                  <c:v>42246</c:v>
                </c:pt>
                <c:pt idx="242">
                  <c:v>42247</c:v>
                </c:pt>
                <c:pt idx="243">
                  <c:v>42248</c:v>
                </c:pt>
                <c:pt idx="244">
                  <c:v>42249</c:v>
                </c:pt>
                <c:pt idx="245">
                  <c:v>42250</c:v>
                </c:pt>
                <c:pt idx="246">
                  <c:v>42251</c:v>
                </c:pt>
                <c:pt idx="247">
                  <c:v>42252</c:v>
                </c:pt>
                <c:pt idx="248">
                  <c:v>42253</c:v>
                </c:pt>
                <c:pt idx="249">
                  <c:v>42254</c:v>
                </c:pt>
                <c:pt idx="250">
                  <c:v>42255</c:v>
                </c:pt>
                <c:pt idx="251">
                  <c:v>42256</c:v>
                </c:pt>
                <c:pt idx="252">
                  <c:v>42257</c:v>
                </c:pt>
                <c:pt idx="253">
                  <c:v>42258</c:v>
                </c:pt>
                <c:pt idx="254">
                  <c:v>42259</c:v>
                </c:pt>
                <c:pt idx="255">
                  <c:v>42260</c:v>
                </c:pt>
                <c:pt idx="256">
                  <c:v>42261</c:v>
                </c:pt>
                <c:pt idx="257">
                  <c:v>42262</c:v>
                </c:pt>
                <c:pt idx="258">
                  <c:v>42263</c:v>
                </c:pt>
                <c:pt idx="259">
                  <c:v>42264</c:v>
                </c:pt>
                <c:pt idx="260">
                  <c:v>42265</c:v>
                </c:pt>
                <c:pt idx="261">
                  <c:v>42266</c:v>
                </c:pt>
                <c:pt idx="262">
                  <c:v>42267</c:v>
                </c:pt>
                <c:pt idx="263">
                  <c:v>42268</c:v>
                </c:pt>
                <c:pt idx="264">
                  <c:v>42269</c:v>
                </c:pt>
                <c:pt idx="265">
                  <c:v>42270</c:v>
                </c:pt>
                <c:pt idx="266">
                  <c:v>42271</c:v>
                </c:pt>
                <c:pt idx="267">
                  <c:v>42272</c:v>
                </c:pt>
                <c:pt idx="268">
                  <c:v>42273</c:v>
                </c:pt>
                <c:pt idx="269">
                  <c:v>42274</c:v>
                </c:pt>
                <c:pt idx="270">
                  <c:v>42275</c:v>
                </c:pt>
                <c:pt idx="271">
                  <c:v>42276</c:v>
                </c:pt>
                <c:pt idx="272">
                  <c:v>42277</c:v>
                </c:pt>
                <c:pt idx="273">
                  <c:v>42278</c:v>
                </c:pt>
                <c:pt idx="274">
                  <c:v>42279</c:v>
                </c:pt>
                <c:pt idx="275">
                  <c:v>42280</c:v>
                </c:pt>
                <c:pt idx="276">
                  <c:v>42281</c:v>
                </c:pt>
                <c:pt idx="277">
                  <c:v>42282</c:v>
                </c:pt>
                <c:pt idx="278">
                  <c:v>42283</c:v>
                </c:pt>
                <c:pt idx="279">
                  <c:v>42284</c:v>
                </c:pt>
                <c:pt idx="280">
                  <c:v>42285</c:v>
                </c:pt>
                <c:pt idx="281">
                  <c:v>42286</c:v>
                </c:pt>
                <c:pt idx="282">
                  <c:v>42287</c:v>
                </c:pt>
                <c:pt idx="283">
                  <c:v>42288</c:v>
                </c:pt>
                <c:pt idx="284">
                  <c:v>42289</c:v>
                </c:pt>
                <c:pt idx="285">
                  <c:v>42290</c:v>
                </c:pt>
                <c:pt idx="286">
                  <c:v>42291</c:v>
                </c:pt>
                <c:pt idx="287">
                  <c:v>42292</c:v>
                </c:pt>
                <c:pt idx="288">
                  <c:v>42293</c:v>
                </c:pt>
                <c:pt idx="289">
                  <c:v>42294</c:v>
                </c:pt>
                <c:pt idx="290">
                  <c:v>42295</c:v>
                </c:pt>
                <c:pt idx="291">
                  <c:v>42296</c:v>
                </c:pt>
                <c:pt idx="292">
                  <c:v>42297</c:v>
                </c:pt>
                <c:pt idx="293">
                  <c:v>42298</c:v>
                </c:pt>
                <c:pt idx="294">
                  <c:v>42299</c:v>
                </c:pt>
                <c:pt idx="295">
                  <c:v>42300</c:v>
                </c:pt>
                <c:pt idx="296">
                  <c:v>42301</c:v>
                </c:pt>
                <c:pt idx="297">
                  <c:v>42302</c:v>
                </c:pt>
                <c:pt idx="298">
                  <c:v>42303</c:v>
                </c:pt>
                <c:pt idx="299">
                  <c:v>42304</c:v>
                </c:pt>
                <c:pt idx="300">
                  <c:v>42305</c:v>
                </c:pt>
                <c:pt idx="301">
                  <c:v>42306</c:v>
                </c:pt>
                <c:pt idx="302">
                  <c:v>42307</c:v>
                </c:pt>
                <c:pt idx="303">
                  <c:v>42308</c:v>
                </c:pt>
                <c:pt idx="304">
                  <c:v>42309</c:v>
                </c:pt>
                <c:pt idx="305">
                  <c:v>42310</c:v>
                </c:pt>
                <c:pt idx="306">
                  <c:v>42311</c:v>
                </c:pt>
                <c:pt idx="307">
                  <c:v>42312</c:v>
                </c:pt>
                <c:pt idx="308">
                  <c:v>42313</c:v>
                </c:pt>
                <c:pt idx="309">
                  <c:v>42314</c:v>
                </c:pt>
                <c:pt idx="310">
                  <c:v>42315</c:v>
                </c:pt>
                <c:pt idx="311">
                  <c:v>42316</c:v>
                </c:pt>
                <c:pt idx="312">
                  <c:v>42317</c:v>
                </c:pt>
                <c:pt idx="313">
                  <c:v>42318</c:v>
                </c:pt>
                <c:pt idx="314">
                  <c:v>42319</c:v>
                </c:pt>
                <c:pt idx="315">
                  <c:v>42320</c:v>
                </c:pt>
                <c:pt idx="316">
                  <c:v>42321</c:v>
                </c:pt>
                <c:pt idx="317">
                  <c:v>42322</c:v>
                </c:pt>
                <c:pt idx="318">
                  <c:v>42323</c:v>
                </c:pt>
                <c:pt idx="319">
                  <c:v>42324</c:v>
                </c:pt>
                <c:pt idx="320">
                  <c:v>42325</c:v>
                </c:pt>
                <c:pt idx="321">
                  <c:v>42326</c:v>
                </c:pt>
                <c:pt idx="322">
                  <c:v>42327</c:v>
                </c:pt>
                <c:pt idx="323">
                  <c:v>42328</c:v>
                </c:pt>
                <c:pt idx="324">
                  <c:v>42329</c:v>
                </c:pt>
                <c:pt idx="325">
                  <c:v>42330</c:v>
                </c:pt>
                <c:pt idx="326">
                  <c:v>42331</c:v>
                </c:pt>
                <c:pt idx="327">
                  <c:v>42332</c:v>
                </c:pt>
                <c:pt idx="328">
                  <c:v>42333</c:v>
                </c:pt>
                <c:pt idx="329">
                  <c:v>42334</c:v>
                </c:pt>
                <c:pt idx="330">
                  <c:v>42335</c:v>
                </c:pt>
                <c:pt idx="331">
                  <c:v>42336</c:v>
                </c:pt>
                <c:pt idx="332">
                  <c:v>42337</c:v>
                </c:pt>
                <c:pt idx="333">
                  <c:v>42338</c:v>
                </c:pt>
                <c:pt idx="334">
                  <c:v>42339</c:v>
                </c:pt>
                <c:pt idx="335">
                  <c:v>42340</c:v>
                </c:pt>
                <c:pt idx="336">
                  <c:v>42341</c:v>
                </c:pt>
                <c:pt idx="337">
                  <c:v>42342</c:v>
                </c:pt>
                <c:pt idx="338">
                  <c:v>42343</c:v>
                </c:pt>
                <c:pt idx="339">
                  <c:v>42344</c:v>
                </c:pt>
                <c:pt idx="340">
                  <c:v>42345</c:v>
                </c:pt>
                <c:pt idx="341">
                  <c:v>42346</c:v>
                </c:pt>
                <c:pt idx="342">
                  <c:v>42347</c:v>
                </c:pt>
              </c:numCache>
            </c:numRef>
          </c:xVal>
          <c:yVal>
            <c:numRef>
              <c:f>Clima!$AH$8:$AH$350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</c:v>
                </c:pt>
                <c:pt idx="16">
                  <c:v>0</c:v>
                </c:pt>
                <c:pt idx="17">
                  <c:v>4.0999999999999996</c:v>
                </c:pt>
                <c:pt idx="18">
                  <c:v>2.4</c:v>
                </c:pt>
                <c:pt idx="19">
                  <c:v>0</c:v>
                </c:pt>
                <c:pt idx="20">
                  <c:v>0.2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0.2</c:v>
                </c:pt>
                <c:pt idx="30">
                  <c:v>11.2</c:v>
                </c:pt>
                <c:pt idx="31">
                  <c:v>0</c:v>
                </c:pt>
                <c:pt idx="32">
                  <c:v>0.6</c:v>
                </c:pt>
                <c:pt idx="33">
                  <c:v>1.2</c:v>
                </c:pt>
                <c:pt idx="34">
                  <c:v>3.7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0.2</c:v>
                </c:pt>
                <c:pt idx="41">
                  <c:v>0.2</c:v>
                </c:pt>
                <c:pt idx="42">
                  <c:v>1.8</c:v>
                </c:pt>
                <c:pt idx="43">
                  <c:v>0</c:v>
                </c:pt>
                <c:pt idx="44">
                  <c:v>0.2</c:v>
                </c:pt>
                <c:pt idx="45">
                  <c:v>1.8</c:v>
                </c:pt>
                <c:pt idx="46">
                  <c:v>0.2</c:v>
                </c:pt>
                <c:pt idx="47">
                  <c:v>6.3</c:v>
                </c:pt>
                <c:pt idx="48">
                  <c:v>0</c:v>
                </c:pt>
                <c:pt idx="49">
                  <c:v>0</c:v>
                </c:pt>
                <c:pt idx="50">
                  <c:v>0.2</c:v>
                </c:pt>
                <c:pt idx="51">
                  <c:v>1.4</c:v>
                </c:pt>
                <c:pt idx="52">
                  <c:v>0</c:v>
                </c:pt>
                <c:pt idx="53">
                  <c:v>3.3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11.2</c:v>
                </c:pt>
                <c:pt idx="77">
                  <c:v>0.4</c:v>
                </c:pt>
                <c:pt idx="78">
                  <c:v>3.1</c:v>
                </c:pt>
                <c:pt idx="79">
                  <c:v>14.1</c:v>
                </c:pt>
                <c:pt idx="80">
                  <c:v>2.7</c:v>
                </c:pt>
                <c:pt idx="81">
                  <c:v>6.9</c:v>
                </c:pt>
                <c:pt idx="82">
                  <c:v>8</c:v>
                </c:pt>
                <c:pt idx="83">
                  <c:v>2.4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0.6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6.5</c:v>
                </c:pt>
                <c:pt idx="105">
                  <c:v>4.7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0.2</c:v>
                </c:pt>
                <c:pt idx="111">
                  <c:v>2.2000000000000002</c:v>
                </c:pt>
                <c:pt idx="112">
                  <c:v>0</c:v>
                </c:pt>
                <c:pt idx="113">
                  <c:v>0</c:v>
                </c:pt>
                <c:pt idx="114">
                  <c:v>0.2</c:v>
                </c:pt>
                <c:pt idx="115">
                  <c:v>2.5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17.399999999999999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3.9</c:v>
                </c:pt>
                <c:pt idx="149">
                  <c:v>7.3</c:v>
                </c:pt>
                <c:pt idx="150">
                  <c:v>1.8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5.7</c:v>
                </c:pt>
                <c:pt idx="160">
                  <c:v>1</c:v>
                </c:pt>
                <c:pt idx="161">
                  <c:v>23.3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3.3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2.9</c:v>
                </c:pt>
                <c:pt idx="173">
                  <c:v>0</c:v>
                </c:pt>
                <c:pt idx="174">
                  <c:v>1.4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4.9000000000000004</c:v>
                </c:pt>
                <c:pt idx="218">
                  <c:v>0</c:v>
                </c:pt>
                <c:pt idx="219">
                  <c:v>0.4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2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0.6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0.8</c:v>
                </c:pt>
                <c:pt idx="247">
                  <c:v>38.6</c:v>
                </c:pt>
                <c:pt idx="248">
                  <c:v>1</c:v>
                </c:pt>
                <c:pt idx="249">
                  <c:v>29.6</c:v>
                </c:pt>
                <c:pt idx="250">
                  <c:v>0</c:v>
                </c:pt>
                <c:pt idx="251">
                  <c:v>0.2</c:v>
                </c:pt>
                <c:pt idx="252">
                  <c:v>0</c:v>
                </c:pt>
                <c:pt idx="253">
                  <c:v>0.2</c:v>
                </c:pt>
                <c:pt idx="254">
                  <c:v>2</c:v>
                </c:pt>
                <c:pt idx="255">
                  <c:v>0.2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0.2</c:v>
                </c:pt>
                <c:pt idx="260">
                  <c:v>0</c:v>
                </c:pt>
                <c:pt idx="261">
                  <c:v>0</c:v>
                </c:pt>
                <c:pt idx="262">
                  <c:v>0.2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0.2</c:v>
                </c:pt>
                <c:pt idx="271">
                  <c:v>0</c:v>
                </c:pt>
                <c:pt idx="272">
                  <c:v>0</c:v>
                </c:pt>
                <c:pt idx="273">
                  <c:v>0.2</c:v>
                </c:pt>
                <c:pt idx="274">
                  <c:v>0</c:v>
                </c:pt>
                <c:pt idx="275">
                  <c:v>0.8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0.8</c:v>
                </c:pt>
                <c:pt idx="281">
                  <c:v>0.2</c:v>
                </c:pt>
                <c:pt idx="282">
                  <c:v>0.2</c:v>
                </c:pt>
                <c:pt idx="283">
                  <c:v>0.6</c:v>
                </c:pt>
                <c:pt idx="284">
                  <c:v>0</c:v>
                </c:pt>
                <c:pt idx="285">
                  <c:v>0.2</c:v>
                </c:pt>
                <c:pt idx="286">
                  <c:v>0.2</c:v>
                </c:pt>
                <c:pt idx="287">
                  <c:v>0</c:v>
                </c:pt>
                <c:pt idx="288">
                  <c:v>0</c:v>
                </c:pt>
                <c:pt idx="289">
                  <c:v>0.4</c:v>
                </c:pt>
                <c:pt idx="290">
                  <c:v>0.8</c:v>
                </c:pt>
                <c:pt idx="291">
                  <c:v>2.4</c:v>
                </c:pt>
                <c:pt idx="292">
                  <c:v>1.6</c:v>
                </c:pt>
                <c:pt idx="293">
                  <c:v>0</c:v>
                </c:pt>
                <c:pt idx="294">
                  <c:v>0.2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3.9</c:v>
                </c:pt>
                <c:pt idx="300">
                  <c:v>0.2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1</c:v>
                </c:pt>
                <c:pt idx="305">
                  <c:v>27.8</c:v>
                </c:pt>
                <c:pt idx="306">
                  <c:v>5.3</c:v>
                </c:pt>
                <c:pt idx="307">
                  <c:v>0.2</c:v>
                </c:pt>
                <c:pt idx="308">
                  <c:v>0.2</c:v>
                </c:pt>
                <c:pt idx="309">
                  <c:v>0</c:v>
                </c:pt>
                <c:pt idx="310">
                  <c:v>0.4</c:v>
                </c:pt>
                <c:pt idx="311">
                  <c:v>0.2</c:v>
                </c:pt>
                <c:pt idx="312">
                  <c:v>0.2</c:v>
                </c:pt>
                <c:pt idx="313">
                  <c:v>0.2</c:v>
                </c:pt>
                <c:pt idx="314">
                  <c:v>0.2</c:v>
                </c:pt>
                <c:pt idx="315">
                  <c:v>0.2</c:v>
                </c:pt>
                <c:pt idx="316">
                  <c:v>0.2</c:v>
                </c:pt>
                <c:pt idx="317">
                  <c:v>0.2</c:v>
                </c:pt>
                <c:pt idx="318">
                  <c:v>0.2</c:v>
                </c:pt>
                <c:pt idx="319">
                  <c:v>0.2</c:v>
                </c:pt>
                <c:pt idx="320">
                  <c:v>0</c:v>
                </c:pt>
                <c:pt idx="321">
                  <c:v>0.2</c:v>
                </c:pt>
                <c:pt idx="322">
                  <c:v>0</c:v>
                </c:pt>
                <c:pt idx="323">
                  <c:v>0</c:v>
                </c:pt>
                <c:pt idx="324">
                  <c:v>0.4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0.2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70-48DF-86FF-99855D2804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301656"/>
        <c:axId val="486298128"/>
      </c:scatterChart>
      <c:valAx>
        <c:axId val="486301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C0A]d\-mmm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486298128"/>
        <c:crosses val="autoZero"/>
        <c:crossBetween val="midCat"/>
        <c:majorUnit val="30"/>
        <c:minorUnit val="15"/>
      </c:valAx>
      <c:valAx>
        <c:axId val="486298128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486301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_tradn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70C0"/>
                </a:solidFill>
              </a:rPr>
              <a:t>NDVI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70C0"/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>
        <c:manualLayout>
          <c:layoutTarget val="inner"/>
          <c:xMode val="edge"/>
          <c:yMode val="edge"/>
          <c:x val="5.7228237979058183E-2"/>
          <c:y val="0.12804370262615303"/>
          <c:w val="0.90263377260543021"/>
          <c:h val="0.62155409978560228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'NDVI real'!$A$8:$A$29</c:f>
              <c:numCache>
                <c:formatCode>m/d/yyyy</c:formatCode>
                <c:ptCount val="22"/>
                <c:pt idx="0">
                  <c:v>42009</c:v>
                </c:pt>
                <c:pt idx="1">
                  <c:v>42018</c:v>
                </c:pt>
                <c:pt idx="2">
                  <c:v>42066</c:v>
                </c:pt>
                <c:pt idx="3">
                  <c:v>42073</c:v>
                </c:pt>
                <c:pt idx="4">
                  <c:v>42114</c:v>
                </c:pt>
                <c:pt idx="5">
                  <c:v>42130</c:v>
                </c:pt>
                <c:pt idx="6">
                  <c:v>42146</c:v>
                </c:pt>
                <c:pt idx="7">
                  <c:v>42162</c:v>
                </c:pt>
                <c:pt idx="8">
                  <c:v>42178</c:v>
                </c:pt>
                <c:pt idx="9">
                  <c:v>42185</c:v>
                </c:pt>
                <c:pt idx="10">
                  <c:v>42194</c:v>
                </c:pt>
                <c:pt idx="11">
                  <c:v>42201</c:v>
                </c:pt>
                <c:pt idx="12">
                  <c:v>42210</c:v>
                </c:pt>
              </c:numCache>
            </c:numRef>
          </c:xVal>
          <c:yVal>
            <c:numRef>
              <c:f>'NDVI real'!$B$8:$B$29</c:f>
              <c:numCache>
                <c:formatCode>0.0000</c:formatCode>
                <c:ptCount val="22"/>
                <c:pt idx="0">
                  <c:v>0.24</c:v>
                </c:pt>
                <c:pt idx="1">
                  <c:v>0.26222222000000001</c:v>
                </c:pt>
                <c:pt idx="2">
                  <c:v>0.25444443999999999</c:v>
                </c:pt>
                <c:pt idx="3">
                  <c:v>0.28000000000000003</c:v>
                </c:pt>
                <c:pt idx="4">
                  <c:v>0.81333332999999997</c:v>
                </c:pt>
                <c:pt idx="5">
                  <c:v>0.88</c:v>
                </c:pt>
                <c:pt idx="6">
                  <c:v>0.88666666999999999</c:v>
                </c:pt>
                <c:pt idx="7">
                  <c:v>0.82111111000000003</c:v>
                </c:pt>
                <c:pt idx="8">
                  <c:v>0.36333333000000001</c:v>
                </c:pt>
                <c:pt idx="9">
                  <c:v>0.34222222000000002</c:v>
                </c:pt>
                <c:pt idx="10">
                  <c:v>0.30444443999999998</c:v>
                </c:pt>
                <c:pt idx="11">
                  <c:v>0.29888889000000002</c:v>
                </c:pt>
                <c:pt idx="12">
                  <c:v>0.28555555999999999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5-4AF8-83EA-38A7ECCB2C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298520"/>
        <c:axId val="486305184"/>
      </c:scatterChart>
      <c:valAx>
        <c:axId val="486298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486305184"/>
        <c:crosses val="autoZero"/>
        <c:crossBetween val="midCat"/>
      </c:valAx>
      <c:valAx>
        <c:axId val="48630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b="1">
                    <a:solidFill>
                      <a:srgbClr val="0070C0"/>
                    </a:solidFill>
                  </a:rPr>
                  <a:t>NDVI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_tradnl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486298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_tradnl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70C0"/>
                </a:solidFill>
              </a:rPr>
              <a:t>NDVI tipo vs NDVI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70C0"/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>
        <c:manualLayout>
          <c:layoutTarget val="inner"/>
          <c:xMode val="edge"/>
          <c:yMode val="edge"/>
          <c:x val="5.7228237979058183E-2"/>
          <c:y val="0.12804370262615303"/>
          <c:w val="0.90263377260543021"/>
          <c:h val="0.56029831059582691"/>
        </c:manualLayout>
      </c:layout>
      <c:scatterChart>
        <c:scatterStyle val="lineMarker"/>
        <c:varyColors val="0"/>
        <c:ser>
          <c:idx val="0"/>
          <c:order val="0"/>
          <c:tx>
            <c:v>NDVI tipo</c:v>
          </c:tx>
          <c:spPr>
            <a:ln w="1270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'NDVI tipo'!$Q$8:$Q$38</c:f>
              <c:numCache>
                <c:formatCode>m/d/yyyy</c:formatCode>
                <c:ptCount val="31"/>
                <c:pt idx="0">
                  <c:v>42009</c:v>
                </c:pt>
                <c:pt idx="1">
                  <c:v>42018</c:v>
                </c:pt>
                <c:pt idx="2">
                  <c:v>42073</c:v>
                </c:pt>
                <c:pt idx="3">
                  <c:v>42114</c:v>
                </c:pt>
                <c:pt idx="4">
                  <c:v>42130</c:v>
                </c:pt>
                <c:pt idx="5">
                  <c:v>42146</c:v>
                </c:pt>
                <c:pt idx="6">
                  <c:v>42162</c:v>
                </c:pt>
                <c:pt idx="7">
                  <c:v>42177</c:v>
                </c:pt>
                <c:pt idx="8">
                  <c:v>42185</c:v>
                </c:pt>
                <c:pt idx="9">
                  <c:v>42194</c:v>
                </c:pt>
              </c:numCache>
            </c:numRef>
          </c:xVal>
          <c:yVal>
            <c:numRef>
              <c:f>'NDVI tipo'!$R$8:$R$38</c:f>
              <c:numCache>
                <c:formatCode>0.000</c:formatCode>
                <c:ptCount val="31"/>
                <c:pt idx="0">
                  <c:v>0.187247</c:v>
                </c:pt>
                <c:pt idx="1">
                  <c:v>0.21315899999999999</c:v>
                </c:pt>
                <c:pt idx="2">
                  <c:v>0.29646299999999998</c:v>
                </c:pt>
                <c:pt idx="3">
                  <c:v>0.63795299999999999</c:v>
                </c:pt>
                <c:pt idx="4">
                  <c:v>0.80306900000000003</c:v>
                </c:pt>
                <c:pt idx="5">
                  <c:v>0.83153299999999997</c:v>
                </c:pt>
                <c:pt idx="6">
                  <c:v>0.70777900000000005</c:v>
                </c:pt>
                <c:pt idx="7">
                  <c:v>0.32027899999999998</c:v>
                </c:pt>
                <c:pt idx="8">
                  <c:v>0.31910300000000003</c:v>
                </c:pt>
                <c:pt idx="9">
                  <c:v>0.30451499999999998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80-4922-9F99-C3354CB2D9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300088"/>
        <c:axId val="486304008"/>
      </c:scatterChart>
      <c:scatterChart>
        <c:scatterStyle val="smoothMarker"/>
        <c:varyColors val="0"/>
        <c:ser>
          <c:idx val="1"/>
          <c:order val="1"/>
          <c:tx>
            <c:v>NDVI real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'NDVI real'!$Q$8:$Q$38</c:f>
              <c:numCache>
                <c:formatCode>m/d/yyyy</c:formatCode>
                <c:ptCount val="31"/>
                <c:pt idx="0">
                  <c:v>42009</c:v>
                </c:pt>
                <c:pt idx="1">
                  <c:v>42018</c:v>
                </c:pt>
                <c:pt idx="2">
                  <c:v>42066</c:v>
                </c:pt>
                <c:pt idx="3">
                  <c:v>42073</c:v>
                </c:pt>
                <c:pt idx="4">
                  <c:v>42114</c:v>
                </c:pt>
                <c:pt idx="5">
                  <c:v>42130</c:v>
                </c:pt>
                <c:pt idx="6">
                  <c:v>42146</c:v>
                </c:pt>
                <c:pt idx="7">
                  <c:v>42162</c:v>
                </c:pt>
                <c:pt idx="8">
                  <c:v>42178</c:v>
                </c:pt>
                <c:pt idx="9">
                  <c:v>42185</c:v>
                </c:pt>
                <c:pt idx="10">
                  <c:v>42194</c:v>
                </c:pt>
                <c:pt idx="11">
                  <c:v>42201</c:v>
                </c:pt>
                <c:pt idx="12">
                  <c:v>42210</c:v>
                </c:pt>
              </c:numCache>
            </c:numRef>
          </c:xVal>
          <c:yVal>
            <c:numRef>
              <c:f>'NDVI real'!$R$8:$R$38</c:f>
              <c:numCache>
                <c:formatCode>0.000</c:formatCode>
                <c:ptCount val="31"/>
                <c:pt idx="0">
                  <c:v>0.23740740666666665</c:v>
                </c:pt>
                <c:pt idx="1">
                  <c:v>0.26209876444444441</c:v>
                </c:pt>
                <c:pt idx="2">
                  <c:v>0.25691358000000003</c:v>
                </c:pt>
                <c:pt idx="3">
                  <c:v>0.28148148111111104</c:v>
                </c:pt>
                <c:pt idx="4">
                  <c:v>0.81728395111111107</c:v>
                </c:pt>
                <c:pt idx="5">
                  <c:v>0.87728395000000015</c:v>
                </c:pt>
                <c:pt idx="6">
                  <c:v>0.88444444333333339</c:v>
                </c:pt>
                <c:pt idx="7">
                  <c:v>0.82432098777777774</c:v>
                </c:pt>
                <c:pt idx="8">
                  <c:v>0.36888888777777779</c:v>
                </c:pt>
                <c:pt idx="9">
                  <c:v>0.34086419777777777</c:v>
                </c:pt>
                <c:pt idx="10">
                  <c:v>0.30271604888888887</c:v>
                </c:pt>
                <c:pt idx="11">
                  <c:v>0.30395061777777777</c:v>
                </c:pt>
                <c:pt idx="12">
                  <c:v>0.29543209888888888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C9-4F09-8113-172415F35F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300088"/>
        <c:axId val="486304008"/>
      </c:scatterChart>
      <c:valAx>
        <c:axId val="486300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336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486304008"/>
        <c:crosses val="autoZero"/>
        <c:crossBetween val="midCat"/>
      </c:valAx>
      <c:valAx>
        <c:axId val="486304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b="1">
                    <a:solidFill>
                      <a:srgbClr val="0070C0"/>
                    </a:solidFill>
                  </a:rPr>
                  <a:t>NDVI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_tradnl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486300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_tradnl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_tradnl"/>
              <a:t>NDVI-</a:t>
            </a:r>
            <a:r>
              <a:rPr lang="es-ES_tradnl" baseline="0"/>
              <a:t> Kc</a:t>
            </a:r>
            <a:endParaRPr lang="es-ES_tradn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>
        <c:manualLayout>
          <c:layoutTarget val="inner"/>
          <c:xMode val="edge"/>
          <c:yMode val="edge"/>
          <c:x val="8.4340173376793365E-2"/>
          <c:y val="8.7545234544983822E-2"/>
          <c:w val="0.86579578618374353"/>
          <c:h val="0.61651998404459196"/>
        </c:manualLayout>
      </c:layout>
      <c:scatterChart>
        <c:scatterStyle val="lineMarker"/>
        <c:varyColors val="0"/>
        <c:ser>
          <c:idx val="0"/>
          <c:order val="0"/>
          <c:tx>
            <c:v>NDVI estandar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'NDVI tipo'!$T$8:$T$363</c:f>
              <c:numCache>
                <c:formatCode>m/d/yyyy</c:formatCode>
                <c:ptCount val="197"/>
                <c:pt idx="0">
                  <c:v>42009</c:v>
                </c:pt>
                <c:pt idx="1">
                  <c:v>42010</c:v>
                </c:pt>
                <c:pt idx="2">
                  <c:v>42011</c:v>
                </c:pt>
                <c:pt idx="3">
                  <c:v>42012</c:v>
                </c:pt>
                <c:pt idx="4">
                  <c:v>42013</c:v>
                </c:pt>
                <c:pt idx="5">
                  <c:v>42014</c:v>
                </c:pt>
                <c:pt idx="6">
                  <c:v>42015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42021</c:v>
                </c:pt>
                <c:pt idx="13">
                  <c:v>42022</c:v>
                </c:pt>
                <c:pt idx="14">
                  <c:v>42023</c:v>
                </c:pt>
                <c:pt idx="15">
                  <c:v>42024</c:v>
                </c:pt>
                <c:pt idx="16">
                  <c:v>42025</c:v>
                </c:pt>
                <c:pt idx="17">
                  <c:v>42026</c:v>
                </c:pt>
                <c:pt idx="18">
                  <c:v>42027</c:v>
                </c:pt>
                <c:pt idx="19">
                  <c:v>42028</c:v>
                </c:pt>
                <c:pt idx="20">
                  <c:v>42029</c:v>
                </c:pt>
                <c:pt idx="21">
                  <c:v>42030</c:v>
                </c:pt>
                <c:pt idx="22">
                  <c:v>42031</c:v>
                </c:pt>
                <c:pt idx="23">
                  <c:v>42032</c:v>
                </c:pt>
                <c:pt idx="24">
                  <c:v>42033</c:v>
                </c:pt>
                <c:pt idx="25">
                  <c:v>42034</c:v>
                </c:pt>
                <c:pt idx="26">
                  <c:v>42035</c:v>
                </c:pt>
                <c:pt idx="27">
                  <c:v>42036</c:v>
                </c:pt>
                <c:pt idx="28">
                  <c:v>42037</c:v>
                </c:pt>
                <c:pt idx="29">
                  <c:v>42038</c:v>
                </c:pt>
                <c:pt idx="30">
                  <c:v>42039</c:v>
                </c:pt>
                <c:pt idx="31">
                  <c:v>42040</c:v>
                </c:pt>
                <c:pt idx="32">
                  <c:v>42041</c:v>
                </c:pt>
                <c:pt idx="33">
                  <c:v>42042</c:v>
                </c:pt>
                <c:pt idx="34">
                  <c:v>42043</c:v>
                </c:pt>
                <c:pt idx="35">
                  <c:v>42044</c:v>
                </c:pt>
                <c:pt idx="36">
                  <c:v>42045</c:v>
                </c:pt>
                <c:pt idx="37">
                  <c:v>42046</c:v>
                </c:pt>
                <c:pt idx="38">
                  <c:v>42047</c:v>
                </c:pt>
                <c:pt idx="39">
                  <c:v>42048</c:v>
                </c:pt>
                <c:pt idx="40">
                  <c:v>42049</c:v>
                </c:pt>
                <c:pt idx="41">
                  <c:v>42050</c:v>
                </c:pt>
                <c:pt idx="42">
                  <c:v>42051</c:v>
                </c:pt>
                <c:pt idx="43">
                  <c:v>42052</c:v>
                </c:pt>
                <c:pt idx="44">
                  <c:v>42053</c:v>
                </c:pt>
                <c:pt idx="45">
                  <c:v>42054</c:v>
                </c:pt>
                <c:pt idx="46">
                  <c:v>42055</c:v>
                </c:pt>
                <c:pt idx="47">
                  <c:v>42056</c:v>
                </c:pt>
                <c:pt idx="48">
                  <c:v>42057</c:v>
                </c:pt>
                <c:pt idx="49">
                  <c:v>42058</c:v>
                </c:pt>
                <c:pt idx="50">
                  <c:v>42059</c:v>
                </c:pt>
                <c:pt idx="51">
                  <c:v>42060</c:v>
                </c:pt>
                <c:pt idx="52">
                  <c:v>42061</c:v>
                </c:pt>
                <c:pt idx="53">
                  <c:v>42062</c:v>
                </c:pt>
                <c:pt idx="54">
                  <c:v>42063</c:v>
                </c:pt>
                <c:pt idx="55">
                  <c:v>42064</c:v>
                </c:pt>
                <c:pt idx="56">
                  <c:v>42065</c:v>
                </c:pt>
                <c:pt idx="57">
                  <c:v>42066</c:v>
                </c:pt>
                <c:pt idx="58">
                  <c:v>42067</c:v>
                </c:pt>
                <c:pt idx="59">
                  <c:v>42068</c:v>
                </c:pt>
                <c:pt idx="60">
                  <c:v>42069</c:v>
                </c:pt>
                <c:pt idx="61">
                  <c:v>42070</c:v>
                </c:pt>
                <c:pt idx="62">
                  <c:v>42071</c:v>
                </c:pt>
                <c:pt idx="63">
                  <c:v>42072</c:v>
                </c:pt>
                <c:pt idx="64">
                  <c:v>42073</c:v>
                </c:pt>
                <c:pt idx="65">
                  <c:v>42074</c:v>
                </c:pt>
                <c:pt idx="66">
                  <c:v>42075</c:v>
                </c:pt>
                <c:pt idx="67">
                  <c:v>42076</c:v>
                </c:pt>
                <c:pt idx="68">
                  <c:v>42077</c:v>
                </c:pt>
                <c:pt idx="69">
                  <c:v>42078</c:v>
                </c:pt>
                <c:pt idx="70">
                  <c:v>42079</c:v>
                </c:pt>
                <c:pt idx="71">
                  <c:v>42080</c:v>
                </c:pt>
                <c:pt idx="72">
                  <c:v>42081</c:v>
                </c:pt>
                <c:pt idx="73">
                  <c:v>42082</c:v>
                </c:pt>
                <c:pt idx="74">
                  <c:v>42083</c:v>
                </c:pt>
                <c:pt idx="75">
                  <c:v>42084</c:v>
                </c:pt>
                <c:pt idx="76">
                  <c:v>42085</c:v>
                </c:pt>
                <c:pt idx="77">
                  <c:v>42086</c:v>
                </c:pt>
                <c:pt idx="78">
                  <c:v>42087</c:v>
                </c:pt>
                <c:pt idx="79">
                  <c:v>42088</c:v>
                </c:pt>
                <c:pt idx="80">
                  <c:v>42089</c:v>
                </c:pt>
                <c:pt idx="81">
                  <c:v>42090</c:v>
                </c:pt>
                <c:pt idx="82">
                  <c:v>42091</c:v>
                </c:pt>
                <c:pt idx="83">
                  <c:v>42092</c:v>
                </c:pt>
                <c:pt idx="84">
                  <c:v>42093</c:v>
                </c:pt>
                <c:pt idx="85">
                  <c:v>42094</c:v>
                </c:pt>
                <c:pt idx="86">
                  <c:v>42095</c:v>
                </c:pt>
                <c:pt idx="87">
                  <c:v>42096</c:v>
                </c:pt>
                <c:pt idx="88">
                  <c:v>42097</c:v>
                </c:pt>
                <c:pt idx="89">
                  <c:v>42098</c:v>
                </c:pt>
                <c:pt idx="90">
                  <c:v>42099</c:v>
                </c:pt>
                <c:pt idx="91">
                  <c:v>42100</c:v>
                </c:pt>
                <c:pt idx="92">
                  <c:v>42101</c:v>
                </c:pt>
                <c:pt idx="93">
                  <c:v>42102</c:v>
                </c:pt>
                <c:pt idx="94">
                  <c:v>42103</c:v>
                </c:pt>
                <c:pt idx="95">
                  <c:v>42104</c:v>
                </c:pt>
                <c:pt idx="96">
                  <c:v>42105</c:v>
                </c:pt>
                <c:pt idx="97">
                  <c:v>42106</c:v>
                </c:pt>
                <c:pt idx="98">
                  <c:v>42107</c:v>
                </c:pt>
                <c:pt idx="99">
                  <c:v>42108</c:v>
                </c:pt>
                <c:pt idx="100">
                  <c:v>42109</c:v>
                </c:pt>
                <c:pt idx="101">
                  <c:v>42110</c:v>
                </c:pt>
                <c:pt idx="102">
                  <c:v>42111</c:v>
                </c:pt>
                <c:pt idx="103">
                  <c:v>42112</c:v>
                </c:pt>
                <c:pt idx="104">
                  <c:v>42113</c:v>
                </c:pt>
                <c:pt idx="105">
                  <c:v>42114</c:v>
                </c:pt>
                <c:pt idx="106">
                  <c:v>42115</c:v>
                </c:pt>
                <c:pt idx="107">
                  <c:v>42116</c:v>
                </c:pt>
                <c:pt idx="108">
                  <c:v>42117</c:v>
                </c:pt>
                <c:pt idx="109">
                  <c:v>42118</c:v>
                </c:pt>
                <c:pt idx="110">
                  <c:v>42119</c:v>
                </c:pt>
                <c:pt idx="111">
                  <c:v>42120</c:v>
                </c:pt>
                <c:pt idx="112">
                  <c:v>42121</c:v>
                </c:pt>
                <c:pt idx="113">
                  <c:v>42122</c:v>
                </c:pt>
                <c:pt idx="114">
                  <c:v>42123</c:v>
                </c:pt>
                <c:pt idx="115">
                  <c:v>42124</c:v>
                </c:pt>
                <c:pt idx="116">
                  <c:v>42125</c:v>
                </c:pt>
                <c:pt idx="117">
                  <c:v>42126</c:v>
                </c:pt>
                <c:pt idx="118">
                  <c:v>42127</c:v>
                </c:pt>
                <c:pt idx="119">
                  <c:v>42128</c:v>
                </c:pt>
                <c:pt idx="120">
                  <c:v>42129</c:v>
                </c:pt>
                <c:pt idx="121">
                  <c:v>42130</c:v>
                </c:pt>
                <c:pt idx="122">
                  <c:v>42131</c:v>
                </c:pt>
                <c:pt idx="123">
                  <c:v>42132</c:v>
                </c:pt>
                <c:pt idx="124">
                  <c:v>42133</c:v>
                </c:pt>
                <c:pt idx="125">
                  <c:v>42134</c:v>
                </c:pt>
                <c:pt idx="126">
                  <c:v>42135</c:v>
                </c:pt>
                <c:pt idx="127">
                  <c:v>42136</c:v>
                </c:pt>
                <c:pt idx="128">
                  <c:v>42137</c:v>
                </c:pt>
                <c:pt idx="129">
                  <c:v>42138</c:v>
                </c:pt>
                <c:pt idx="130">
                  <c:v>42139</c:v>
                </c:pt>
                <c:pt idx="131">
                  <c:v>42140</c:v>
                </c:pt>
                <c:pt idx="132">
                  <c:v>42141</c:v>
                </c:pt>
                <c:pt idx="133">
                  <c:v>42142</c:v>
                </c:pt>
                <c:pt idx="134">
                  <c:v>42143</c:v>
                </c:pt>
                <c:pt idx="135">
                  <c:v>42144</c:v>
                </c:pt>
                <c:pt idx="136">
                  <c:v>42145</c:v>
                </c:pt>
                <c:pt idx="137">
                  <c:v>42146</c:v>
                </c:pt>
                <c:pt idx="138">
                  <c:v>42147</c:v>
                </c:pt>
                <c:pt idx="139">
                  <c:v>42148</c:v>
                </c:pt>
                <c:pt idx="140">
                  <c:v>42149</c:v>
                </c:pt>
                <c:pt idx="141">
                  <c:v>42150</c:v>
                </c:pt>
                <c:pt idx="142">
                  <c:v>42151</c:v>
                </c:pt>
                <c:pt idx="143">
                  <c:v>42152</c:v>
                </c:pt>
                <c:pt idx="144">
                  <c:v>42153</c:v>
                </c:pt>
                <c:pt idx="145">
                  <c:v>42154</c:v>
                </c:pt>
                <c:pt idx="146">
                  <c:v>42155</c:v>
                </c:pt>
                <c:pt idx="147">
                  <c:v>42156</c:v>
                </c:pt>
                <c:pt idx="148">
                  <c:v>42157</c:v>
                </c:pt>
                <c:pt idx="149">
                  <c:v>42158</c:v>
                </c:pt>
                <c:pt idx="150">
                  <c:v>42159</c:v>
                </c:pt>
                <c:pt idx="151">
                  <c:v>42160</c:v>
                </c:pt>
                <c:pt idx="152">
                  <c:v>42161</c:v>
                </c:pt>
                <c:pt idx="153">
                  <c:v>42162</c:v>
                </c:pt>
                <c:pt idx="154">
                  <c:v>42163</c:v>
                </c:pt>
                <c:pt idx="155">
                  <c:v>42164</c:v>
                </c:pt>
                <c:pt idx="156">
                  <c:v>42165</c:v>
                </c:pt>
                <c:pt idx="157">
                  <c:v>42166</c:v>
                </c:pt>
                <c:pt idx="158">
                  <c:v>42167</c:v>
                </c:pt>
                <c:pt idx="159">
                  <c:v>42168</c:v>
                </c:pt>
                <c:pt idx="160">
                  <c:v>42169</c:v>
                </c:pt>
                <c:pt idx="161">
                  <c:v>42170</c:v>
                </c:pt>
                <c:pt idx="162">
                  <c:v>42171</c:v>
                </c:pt>
                <c:pt idx="163">
                  <c:v>42172</c:v>
                </c:pt>
                <c:pt idx="164">
                  <c:v>42173</c:v>
                </c:pt>
                <c:pt idx="165">
                  <c:v>42174</c:v>
                </c:pt>
                <c:pt idx="166">
                  <c:v>42175</c:v>
                </c:pt>
                <c:pt idx="167">
                  <c:v>42176</c:v>
                </c:pt>
                <c:pt idx="168">
                  <c:v>42177</c:v>
                </c:pt>
                <c:pt idx="169">
                  <c:v>42178</c:v>
                </c:pt>
                <c:pt idx="170">
                  <c:v>42179</c:v>
                </c:pt>
                <c:pt idx="171">
                  <c:v>42180</c:v>
                </c:pt>
                <c:pt idx="172">
                  <c:v>42181</c:v>
                </c:pt>
                <c:pt idx="173">
                  <c:v>42182</c:v>
                </c:pt>
                <c:pt idx="174">
                  <c:v>42183</c:v>
                </c:pt>
                <c:pt idx="175">
                  <c:v>42184</c:v>
                </c:pt>
                <c:pt idx="176">
                  <c:v>42185</c:v>
                </c:pt>
                <c:pt idx="177">
                  <c:v>42186</c:v>
                </c:pt>
                <c:pt idx="178">
                  <c:v>42187</c:v>
                </c:pt>
                <c:pt idx="179">
                  <c:v>42188</c:v>
                </c:pt>
                <c:pt idx="180">
                  <c:v>42189</c:v>
                </c:pt>
                <c:pt idx="181">
                  <c:v>42190</c:v>
                </c:pt>
                <c:pt idx="182">
                  <c:v>42191</c:v>
                </c:pt>
                <c:pt idx="183">
                  <c:v>42192</c:v>
                </c:pt>
                <c:pt idx="184">
                  <c:v>42193</c:v>
                </c:pt>
                <c:pt idx="185">
                  <c:v>42194</c:v>
                </c:pt>
              </c:numCache>
            </c:numRef>
          </c:xVal>
          <c:yVal>
            <c:numRef>
              <c:f>'NDVI tipo'!$U$8:$U$203</c:f>
              <c:numCache>
                <c:formatCode>0.000</c:formatCode>
                <c:ptCount val="196"/>
                <c:pt idx="0">
                  <c:v>0.187247</c:v>
                </c:pt>
                <c:pt idx="1">
                  <c:v>0.19012611111111111</c:v>
                </c:pt>
                <c:pt idx="2">
                  <c:v>0.19300522222222222</c:v>
                </c:pt>
                <c:pt idx="3">
                  <c:v>0.19588433333333333</c:v>
                </c:pt>
                <c:pt idx="4">
                  <c:v>0.19876344444444444</c:v>
                </c:pt>
                <c:pt idx="5">
                  <c:v>0.20164255555555555</c:v>
                </c:pt>
                <c:pt idx="6">
                  <c:v>0.20452166666666666</c:v>
                </c:pt>
                <c:pt idx="7">
                  <c:v>0.20740077777777777</c:v>
                </c:pt>
                <c:pt idx="8">
                  <c:v>0.21027988888888888</c:v>
                </c:pt>
                <c:pt idx="9">
                  <c:v>0.21315899999999999</c:v>
                </c:pt>
                <c:pt idx="10">
                  <c:v>0.21467361818181818</c:v>
                </c:pt>
                <c:pt idx="11">
                  <c:v>0.21618823636363638</c:v>
                </c:pt>
                <c:pt idx="12">
                  <c:v>0.21770285454545457</c:v>
                </c:pt>
                <c:pt idx="13">
                  <c:v>0.21921747272727277</c:v>
                </c:pt>
                <c:pt idx="14">
                  <c:v>0.22073209090909096</c:v>
                </c:pt>
                <c:pt idx="15">
                  <c:v>0.22224670909090916</c:v>
                </c:pt>
                <c:pt idx="16">
                  <c:v>0.22376132727272735</c:v>
                </c:pt>
                <c:pt idx="17">
                  <c:v>0.22527594545454555</c:v>
                </c:pt>
                <c:pt idx="18">
                  <c:v>0.22679056363636374</c:v>
                </c:pt>
                <c:pt idx="19">
                  <c:v>0.22830518181818193</c:v>
                </c:pt>
                <c:pt idx="20">
                  <c:v>0.22981980000000013</c:v>
                </c:pt>
                <c:pt idx="21">
                  <c:v>0.23133441818181832</c:v>
                </c:pt>
                <c:pt idx="22">
                  <c:v>0.23284903636363652</c:v>
                </c:pt>
                <c:pt idx="23">
                  <c:v>0.23436365454545471</c:v>
                </c:pt>
                <c:pt idx="24">
                  <c:v>0.23587827272727291</c:v>
                </c:pt>
                <c:pt idx="25">
                  <c:v>0.2373928909090911</c:v>
                </c:pt>
                <c:pt idx="26">
                  <c:v>0.2389075090909093</c:v>
                </c:pt>
                <c:pt idx="27">
                  <c:v>0.24042212727272749</c:v>
                </c:pt>
                <c:pt idx="28">
                  <c:v>0.24193674545454569</c:v>
                </c:pt>
                <c:pt idx="29">
                  <c:v>0.24345136363636388</c:v>
                </c:pt>
                <c:pt idx="30">
                  <c:v>0.24496598181818208</c:v>
                </c:pt>
                <c:pt idx="31">
                  <c:v>0.24648060000000027</c:v>
                </c:pt>
                <c:pt idx="32">
                  <c:v>0.24799521818181847</c:v>
                </c:pt>
                <c:pt idx="33">
                  <c:v>0.24950983636363666</c:v>
                </c:pt>
                <c:pt idx="34">
                  <c:v>0.25102445454545486</c:v>
                </c:pt>
                <c:pt idx="35">
                  <c:v>0.25253907272727305</c:v>
                </c:pt>
                <c:pt idx="36">
                  <c:v>0.25405369090909125</c:v>
                </c:pt>
                <c:pt idx="37">
                  <c:v>0.25556830909090944</c:v>
                </c:pt>
                <c:pt idx="38">
                  <c:v>0.25708292727272763</c:v>
                </c:pt>
                <c:pt idx="39">
                  <c:v>0.25859754545454583</c:v>
                </c:pt>
                <c:pt idx="40">
                  <c:v>0.26011216363636402</c:v>
                </c:pt>
                <c:pt idx="41">
                  <c:v>0.26162678181818222</c:v>
                </c:pt>
                <c:pt idx="42">
                  <c:v>0.26314140000000041</c:v>
                </c:pt>
                <c:pt idx="43">
                  <c:v>0.26465601818181861</c:v>
                </c:pt>
                <c:pt idx="44">
                  <c:v>0.2661706363636368</c:v>
                </c:pt>
                <c:pt idx="45">
                  <c:v>0.267685254545455</c:v>
                </c:pt>
                <c:pt idx="46">
                  <c:v>0.26919987272727319</c:v>
                </c:pt>
                <c:pt idx="47">
                  <c:v>0.27071449090909139</c:v>
                </c:pt>
                <c:pt idx="48">
                  <c:v>0.27222910909090958</c:v>
                </c:pt>
                <c:pt idx="49">
                  <c:v>0.27374372727272778</c:v>
                </c:pt>
                <c:pt idx="50">
                  <c:v>0.27525834545454597</c:v>
                </c:pt>
                <c:pt idx="51">
                  <c:v>0.27677296363636417</c:v>
                </c:pt>
                <c:pt idx="52">
                  <c:v>0.27828758181818236</c:v>
                </c:pt>
                <c:pt idx="53">
                  <c:v>0.27980220000000056</c:v>
                </c:pt>
                <c:pt idx="54">
                  <c:v>0.28131681818181875</c:v>
                </c:pt>
                <c:pt idx="55">
                  <c:v>0.28283143636363695</c:v>
                </c:pt>
                <c:pt idx="56">
                  <c:v>0.28434605454545514</c:v>
                </c:pt>
                <c:pt idx="57">
                  <c:v>0.28586067272727333</c:v>
                </c:pt>
                <c:pt idx="58">
                  <c:v>0.28737529090909153</c:v>
                </c:pt>
                <c:pt idx="59">
                  <c:v>0.28888990909090972</c:v>
                </c:pt>
                <c:pt idx="60">
                  <c:v>0.29040452727272792</c:v>
                </c:pt>
                <c:pt idx="61">
                  <c:v>0.29191914545454611</c:v>
                </c:pt>
                <c:pt idx="62">
                  <c:v>0.29343376363636431</c:v>
                </c:pt>
                <c:pt idx="63">
                  <c:v>0.2949483818181825</c:v>
                </c:pt>
                <c:pt idx="64">
                  <c:v>0.29646299999999998</c:v>
                </c:pt>
                <c:pt idx="65">
                  <c:v>0.30479202439024389</c:v>
                </c:pt>
                <c:pt idx="66">
                  <c:v>0.3131210487804878</c:v>
                </c:pt>
                <c:pt idx="67">
                  <c:v>0.32145007317073171</c:v>
                </c:pt>
                <c:pt idx="68">
                  <c:v>0.32977909756097562</c:v>
                </c:pt>
                <c:pt idx="69">
                  <c:v>0.33810812195121953</c:v>
                </c:pt>
                <c:pt idx="70">
                  <c:v>0.34643714634146344</c:v>
                </c:pt>
                <c:pt idx="71">
                  <c:v>0.35476617073170735</c:v>
                </c:pt>
                <c:pt idx="72">
                  <c:v>0.36309519512195126</c:v>
                </c:pt>
                <c:pt idx="73">
                  <c:v>0.37142421951219518</c:v>
                </c:pt>
                <c:pt idx="74">
                  <c:v>0.37975324390243909</c:v>
                </c:pt>
                <c:pt idx="75">
                  <c:v>0.388082268292683</c:v>
                </c:pt>
                <c:pt idx="76">
                  <c:v>0.39641129268292691</c:v>
                </c:pt>
                <c:pt idx="77">
                  <c:v>0.40474031707317082</c:v>
                </c:pt>
                <c:pt idx="78">
                  <c:v>0.41306934146341473</c:v>
                </c:pt>
                <c:pt idx="79">
                  <c:v>0.42139836585365864</c:v>
                </c:pt>
                <c:pt idx="80">
                  <c:v>0.42972739024390255</c:v>
                </c:pt>
                <c:pt idx="81">
                  <c:v>0.43805641463414646</c:v>
                </c:pt>
                <c:pt idx="82">
                  <c:v>0.44638543902439037</c:v>
                </c:pt>
                <c:pt idx="83">
                  <c:v>0.45471446341463428</c:v>
                </c:pt>
                <c:pt idx="84">
                  <c:v>0.4630434878048782</c:v>
                </c:pt>
                <c:pt idx="85">
                  <c:v>0.47137251219512211</c:v>
                </c:pt>
                <c:pt idx="86">
                  <c:v>0.47970153658536602</c:v>
                </c:pt>
                <c:pt idx="87">
                  <c:v>0.48803056097560993</c:v>
                </c:pt>
                <c:pt idx="88">
                  <c:v>0.49635958536585384</c:v>
                </c:pt>
                <c:pt idx="89">
                  <c:v>0.50468860975609775</c:v>
                </c:pt>
                <c:pt idx="90">
                  <c:v>0.51301763414634161</c:v>
                </c:pt>
                <c:pt idx="91">
                  <c:v>0.52134665853658546</c:v>
                </c:pt>
                <c:pt idx="92">
                  <c:v>0.52967568292682932</c:v>
                </c:pt>
                <c:pt idx="93">
                  <c:v>0.53800470731707317</c:v>
                </c:pt>
                <c:pt idx="94">
                  <c:v>0.54633373170731703</c:v>
                </c:pt>
                <c:pt idx="95">
                  <c:v>0.55466275609756088</c:v>
                </c:pt>
                <c:pt idx="96">
                  <c:v>0.56299178048780474</c:v>
                </c:pt>
                <c:pt idx="97">
                  <c:v>0.57132080487804859</c:v>
                </c:pt>
                <c:pt idx="98">
                  <c:v>0.57964982926829245</c:v>
                </c:pt>
                <c:pt idx="99">
                  <c:v>0.5879788536585363</c:v>
                </c:pt>
                <c:pt idx="100">
                  <c:v>0.59630787804878016</c:v>
                </c:pt>
                <c:pt idx="101">
                  <c:v>0.60463690243902402</c:v>
                </c:pt>
                <c:pt idx="102">
                  <c:v>0.61296592682926787</c:v>
                </c:pt>
                <c:pt idx="103">
                  <c:v>0.62129495121951173</c:v>
                </c:pt>
                <c:pt idx="104">
                  <c:v>0.62962397560975558</c:v>
                </c:pt>
                <c:pt idx="105">
                  <c:v>0.63795299999999999</c:v>
                </c:pt>
                <c:pt idx="106">
                  <c:v>0.64827274999999995</c:v>
                </c:pt>
                <c:pt idx="107">
                  <c:v>0.65859249999999991</c:v>
                </c:pt>
                <c:pt idx="108">
                  <c:v>0.66891224999999987</c:v>
                </c:pt>
                <c:pt idx="109">
                  <c:v>0.67923199999999984</c:v>
                </c:pt>
                <c:pt idx="110">
                  <c:v>0.6895517499999998</c:v>
                </c:pt>
                <c:pt idx="111">
                  <c:v>0.69987149999999976</c:v>
                </c:pt>
                <c:pt idx="112">
                  <c:v>0.71019124999999972</c:v>
                </c:pt>
                <c:pt idx="113">
                  <c:v>0.72051099999999968</c:v>
                </c:pt>
                <c:pt idx="114">
                  <c:v>0.73083074999999964</c:v>
                </c:pt>
                <c:pt idx="115">
                  <c:v>0.7411504999999996</c:v>
                </c:pt>
                <c:pt idx="116">
                  <c:v>0.75147024999999956</c:v>
                </c:pt>
                <c:pt idx="117">
                  <c:v>0.76178999999999952</c:v>
                </c:pt>
                <c:pt idx="118">
                  <c:v>0.77210974999999948</c:v>
                </c:pt>
                <c:pt idx="119">
                  <c:v>0.78242949999999944</c:v>
                </c:pt>
                <c:pt idx="120">
                  <c:v>0.79274924999999941</c:v>
                </c:pt>
                <c:pt idx="121">
                  <c:v>0.80306900000000003</c:v>
                </c:pt>
                <c:pt idx="122">
                  <c:v>0.80484800000000001</c:v>
                </c:pt>
                <c:pt idx="123">
                  <c:v>0.80662699999999998</c:v>
                </c:pt>
                <c:pt idx="124">
                  <c:v>0.80840599999999996</c:v>
                </c:pt>
                <c:pt idx="125">
                  <c:v>0.81018499999999993</c:v>
                </c:pt>
                <c:pt idx="126">
                  <c:v>0.81196399999999991</c:v>
                </c:pt>
                <c:pt idx="127">
                  <c:v>0.81374299999999988</c:v>
                </c:pt>
                <c:pt idx="128">
                  <c:v>0.81552199999999986</c:v>
                </c:pt>
                <c:pt idx="129">
                  <c:v>0.81730099999999983</c:v>
                </c:pt>
                <c:pt idx="130">
                  <c:v>0.81907999999999981</c:v>
                </c:pt>
                <c:pt idx="131">
                  <c:v>0.82085899999999978</c:v>
                </c:pt>
                <c:pt idx="132">
                  <c:v>0.82263799999999976</c:v>
                </c:pt>
                <c:pt idx="133">
                  <c:v>0.82441699999999973</c:v>
                </c:pt>
                <c:pt idx="134">
                  <c:v>0.82619599999999971</c:v>
                </c:pt>
                <c:pt idx="135">
                  <c:v>0.82797499999999968</c:v>
                </c:pt>
                <c:pt idx="136">
                  <c:v>0.82975399999999966</c:v>
                </c:pt>
                <c:pt idx="137">
                  <c:v>0.83153299999999997</c:v>
                </c:pt>
                <c:pt idx="138">
                  <c:v>0.82379837499999997</c:v>
                </c:pt>
                <c:pt idx="139">
                  <c:v>0.81606374999999998</c:v>
                </c:pt>
                <c:pt idx="140">
                  <c:v>0.80832912499999998</c:v>
                </c:pt>
                <c:pt idx="141">
                  <c:v>0.80059449999999999</c:v>
                </c:pt>
                <c:pt idx="142">
                  <c:v>0.79285987499999999</c:v>
                </c:pt>
                <c:pt idx="143">
                  <c:v>0.78512525</c:v>
                </c:pt>
                <c:pt idx="144">
                  <c:v>0.777390625</c:v>
                </c:pt>
                <c:pt idx="145">
                  <c:v>0.76965600000000001</c:v>
                </c:pt>
                <c:pt idx="146">
                  <c:v>0.76192137500000001</c:v>
                </c:pt>
                <c:pt idx="147">
                  <c:v>0.75418675000000002</c:v>
                </c:pt>
                <c:pt idx="148">
                  <c:v>0.74645212500000002</c:v>
                </c:pt>
                <c:pt idx="149">
                  <c:v>0.73871750000000003</c:v>
                </c:pt>
                <c:pt idx="150">
                  <c:v>0.73098287500000003</c:v>
                </c:pt>
                <c:pt idx="151">
                  <c:v>0.72324825000000004</c:v>
                </c:pt>
                <c:pt idx="152">
                  <c:v>0.71551362500000004</c:v>
                </c:pt>
                <c:pt idx="153">
                  <c:v>0.70777900000000005</c:v>
                </c:pt>
                <c:pt idx="154">
                  <c:v>0.68194566666666667</c:v>
                </c:pt>
                <c:pt idx="155">
                  <c:v>0.6561123333333333</c:v>
                </c:pt>
                <c:pt idx="156">
                  <c:v>0.63027899999999992</c:v>
                </c:pt>
                <c:pt idx="157">
                  <c:v>0.60444566666666655</c:v>
                </c:pt>
                <c:pt idx="158">
                  <c:v>0.57861233333333317</c:v>
                </c:pt>
                <c:pt idx="159">
                  <c:v>0.5527789999999998</c:v>
                </c:pt>
                <c:pt idx="160">
                  <c:v>0.52694566666666642</c:v>
                </c:pt>
                <c:pt idx="161">
                  <c:v>0.50111233333333305</c:v>
                </c:pt>
                <c:pt idx="162">
                  <c:v>0.47527899999999973</c:v>
                </c:pt>
                <c:pt idx="163">
                  <c:v>0.44944566666666641</c:v>
                </c:pt>
                <c:pt idx="164">
                  <c:v>0.42361233333333309</c:v>
                </c:pt>
                <c:pt idx="165">
                  <c:v>0.39777899999999977</c:v>
                </c:pt>
                <c:pt idx="166">
                  <c:v>0.37194566666666645</c:v>
                </c:pt>
                <c:pt idx="167">
                  <c:v>0.34611233333333313</c:v>
                </c:pt>
                <c:pt idx="168">
                  <c:v>0.32027899999999998</c:v>
                </c:pt>
                <c:pt idx="169">
                  <c:v>0.32013199999999997</c:v>
                </c:pt>
                <c:pt idx="170">
                  <c:v>0.31998499999999996</c:v>
                </c:pt>
                <c:pt idx="171">
                  <c:v>0.31983799999999996</c:v>
                </c:pt>
                <c:pt idx="172">
                  <c:v>0.31969099999999995</c:v>
                </c:pt>
                <c:pt idx="173">
                  <c:v>0.31954399999999994</c:v>
                </c:pt>
                <c:pt idx="174">
                  <c:v>0.31939699999999993</c:v>
                </c:pt>
                <c:pt idx="175">
                  <c:v>0.31924999999999992</c:v>
                </c:pt>
                <c:pt idx="176">
                  <c:v>0.31910300000000003</c:v>
                </c:pt>
                <c:pt idx="177">
                  <c:v>0.31748211111111113</c:v>
                </c:pt>
                <c:pt idx="178">
                  <c:v>0.31586122222222224</c:v>
                </c:pt>
                <c:pt idx="179">
                  <c:v>0.31424033333333334</c:v>
                </c:pt>
                <c:pt idx="180">
                  <c:v>0.31261944444444445</c:v>
                </c:pt>
                <c:pt idx="181">
                  <c:v>0.31099855555555556</c:v>
                </c:pt>
                <c:pt idx="182">
                  <c:v>0.30937766666666666</c:v>
                </c:pt>
                <c:pt idx="183">
                  <c:v>0.30775677777777777</c:v>
                </c:pt>
                <c:pt idx="184">
                  <c:v>0.30613588888888887</c:v>
                </c:pt>
                <c:pt idx="185">
                  <c:v>0.30451499999999998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4F-4328-83C3-9085E457B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305576"/>
        <c:axId val="486293424"/>
      </c:scatterChart>
      <c:scatterChart>
        <c:scatterStyle val="lineMarker"/>
        <c:varyColors val="0"/>
        <c:ser>
          <c:idx val="1"/>
          <c:order val="1"/>
          <c:tx>
            <c:strRef>
              <c:f>'NDVI tipo'!$W$7</c:f>
              <c:strCache>
                <c:ptCount val="1"/>
                <c:pt idx="0">
                  <c:v>Kc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'NDVI tipo'!$T$8:$T$363</c:f>
              <c:numCache>
                <c:formatCode>m/d/yyyy</c:formatCode>
                <c:ptCount val="197"/>
                <c:pt idx="0">
                  <c:v>42009</c:v>
                </c:pt>
                <c:pt idx="1">
                  <c:v>42010</c:v>
                </c:pt>
                <c:pt idx="2">
                  <c:v>42011</c:v>
                </c:pt>
                <c:pt idx="3">
                  <c:v>42012</c:v>
                </c:pt>
                <c:pt idx="4">
                  <c:v>42013</c:v>
                </c:pt>
                <c:pt idx="5">
                  <c:v>42014</c:v>
                </c:pt>
                <c:pt idx="6">
                  <c:v>42015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42021</c:v>
                </c:pt>
                <c:pt idx="13">
                  <c:v>42022</c:v>
                </c:pt>
                <c:pt idx="14">
                  <c:v>42023</c:v>
                </c:pt>
                <c:pt idx="15">
                  <c:v>42024</c:v>
                </c:pt>
                <c:pt idx="16">
                  <c:v>42025</c:v>
                </c:pt>
                <c:pt idx="17">
                  <c:v>42026</c:v>
                </c:pt>
                <c:pt idx="18">
                  <c:v>42027</c:v>
                </c:pt>
                <c:pt idx="19">
                  <c:v>42028</c:v>
                </c:pt>
                <c:pt idx="20">
                  <c:v>42029</c:v>
                </c:pt>
                <c:pt idx="21">
                  <c:v>42030</c:v>
                </c:pt>
                <c:pt idx="22">
                  <c:v>42031</c:v>
                </c:pt>
                <c:pt idx="23">
                  <c:v>42032</c:v>
                </c:pt>
                <c:pt idx="24">
                  <c:v>42033</c:v>
                </c:pt>
                <c:pt idx="25">
                  <c:v>42034</c:v>
                </c:pt>
                <c:pt idx="26">
                  <c:v>42035</c:v>
                </c:pt>
                <c:pt idx="27">
                  <c:v>42036</c:v>
                </c:pt>
                <c:pt idx="28">
                  <c:v>42037</c:v>
                </c:pt>
                <c:pt idx="29">
                  <c:v>42038</c:v>
                </c:pt>
                <c:pt idx="30">
                  <c:v>42039</c:v>
                </c:pt>
                <c:pt idx="31">
                  <c:v>42040</c:v>
                </c:pt>
                <c:pt idx="32">
                  <c:v>42041</c:v>
                </c:pt>
                <c:pt idx="33">
                  <c:v>42042</c:v>
                </c:pt>
                <c:pt idx="34">
                  <c:v>42043</c:v>
                </c:pt>
                <c:pt idx="35">
                  <c:v>42044</c:v>
                </c:pt>
                <c:pt idx="36">
                  <c:v>42045</c:v>
                </c:pt>
                <c:pt idx="37">
                  <c:v>42046</c:v>
                </c:pt>
                <c:pt idx="38">
                  <c:v>42047</c:v>
                </c:pt>
                <c:pt idx="39">
                  <c:v>42048</c:v>
                </c:pt>
                <c:pt idx="40">
                  <c:v>42049</c:v>
                </c:pt>
                <c:pt idx="41">
                  <c:v>42050</c:v>
                </c:pt>
                <c:pt idx="42">
                  <c:v>42051</c:v>
                </c:pt>
                <c:pt idx="43">
                  <c:v>42052</c:v>
                </c:pt>
                <c:pt idx="44">
                  <c:v>42053</c:v>
                </c:pt>
                <c:pt idx="45">
                  <c:v>42054</c:v>
                </c:pt>
                <c:pt idx="46">
                  <c:v>42055</c:v>
                </c:pt>
                <c:pt idx="47">
                  <c:v>42056</c:v>
                </c:pt>
                <c:pt idx="48">
                  <c:v>42057</c:v>
                </c:pt>
                <c:pt idx="49">
                  <c:v>42058</c:v>
                </c:pt>
                <c:pt idx="50">
                  <c:v>42059</c:v>
                </c:pt>
                <c:pt idx="51">
                  <c:v>42060</c:v>
                </c:pt>
                <c:pt idx="52">
                  <c:v>42061</c:v>
                </c:pt>
                <c:pt idx="53">
                  <c:v>42062</c:v>
                </c:pt>
                <c:pt idx="54">
                  <c:v>42063</c:v>
                </c:pt>
                <c:pt idx="55">
                  <c:v>42064</c:v>
                </c:pt>
                <c:pt idx="56">
                  <c:v>42065</c:v>
                </c:pt>
                <c:pt idx="57">
                  <c:v>42066</c:v>
                </c:pt>
                <c:pt idx="58">
                  <c:v>42067</c:v>
                </c:pt>
                <c:pt idx="59">
                  <c:v>42068</c:v>
                </c:pt>
                <c:pt idx="60">
                  <c:v>42069</c:v>
                </c:pt>
                <c:pt idx="61">
                  <c:v>42070</c:v>
                </c:pt>
                <c:pt idx="62">
                  <c:v>42071</c:v>
                </c:pt>
                <c:pt idx="63">
                  <c:v>42072</c:v>
                </c:pt>
                <c:pt idx="64">
                  <c:v>42073</c:v>
                </c:pt>
                <c:pt idx="65">
                  <c:v>42074</c:v>
                </c:pt>
                <c:pt idx="66">
                  <c:v>42075</c:v>
                </c:pt>
                <c:pt idx="67">
                  <c:v>42076</c:v>
                </c:pt>
                <c:pt idx="68">
                  <c:v>42077</c:v>
                </c:pt>
                <c:pt idx="69">
                  <c:v>42078</c:v>
                </c:pt>
                <c:pt idx="70">
                  <c:v>42079</c:v>
                </c:pt>
                <c:pt idx="71">
                  <c:v>42080</c:v>
                </c:pt>
                <c:pt idx="72">
                  <c:v>42081</c:v>
                </c:pt>
                <c:pt idx="73">
                  <c:v>42082</c:v>
                </c:pt>
                <c:pt idx="74">
                  <c:v>42083</c:v>
                </c:pt>
                <c:pt idx="75">
                  <c:v>42084</c:v>
                </c:pt>
                <c:pt idx="76">
                  <c:v>42085</c:v>
                </c:pt>
                <c:pt idx="77">
                  <c:v>42086</c:v>
                </c:pt>
                <c:pt idx="78">
                  <c:v>42087</c:v>
                </c:pt>
                <c:pt idx="79">
                  <c:v>42088</c:v>
                </c:pt>
                <c:pt idx="80">
                  <c:v>42089</c:v>
                </c:pt>
                <c:pt idx="81">
                  <c:v>42090</c:v>
                </c:pt>
                <c:pt idx="82">
                  <c:v>42091</c:v>
                </c:pt>
                <c:pt idx="83">
                  <c:v>42092</c:v>
                </c:pt>
                <c:pt idx="84">
                  <c:v>42093</c:v>
                </c:pt>
                <c:pt idx="85">
                  <c:v>42094</c:v>
                </c:pt>
                <c:pt idx="86">
                  <c:v>42095</c:v>
                </c:pt>
                <c:pt idx="87">
                  <c:v>42096</c:v>
                </c:pt>
                <c:pt idx="88">
                  <c:v>42097</c:v>
                </c:pt>
                <c:pt idx="89">
                  <c:v>42098</c:v>
                </c:pt>
                <c:pt idx="90">
                  <c:v>42099</c:v>
                </c:pt>
                <c:pt idx="91">
                  <c:v>42100</c:v>
                </c:pt>
                <c:pt idx="92">
                  <c:v>42101</c:v>
                </c:pt>
                <c:pt idx="93">
                  <c:v>42102</c:v>
                </c:pt>
                <c:pt idx="94">
                  <c:v>42103</c:v>
                </c:pt>
                <c:pt idx="95">
                  <c:v>42104</c:v>
                </c:pt>
                <c:pt idx="96">
                  <c:v>42105</c:v>
                </c:pt>
                <c:pt idx="97">
                  <c:v>42106</c:v>
                </c:pt>
                <c:pt idx="98">
                  <c:v>42107</c:v>
                </c:pt>
                <c:pt idx="99">
                  <c:v>42108</c:v>
                </c:pt>
                <c:pt idx="100">
                  <c:v>42109</c:v>
                </c:pt>
                <c:pt idx="101">
                  <c:v>42110</c:v>
                </c:pt>
                <c:pt idx="102">
                  <c:v>42111</c:v>
                </c:pt>
                <c:pt idx="103">
                  <c:v>42112</c:v>
                </c:pt>
                <c:pt idx="104">
                  <c:v>42113</c:v>
                </c:pt>
                <c:pt idx="105">
                  <c:v>42114</c:v>
                </c:pt>
                <c:pt idx="106">
                  <c:v>42115</c:v>
                </c:pt>
                <c:pt idx="107">
                  <c:v>42116</c:v>
                </c:pt>
                <c:pt idx="108">
                  <c:v>42117</c:v>
                </c:pt>
                <c:pt idx="109">
                  <c:v>42118</c:v>
                </c:pt>
                <c:pt idx="110">
                  <c:v>42119</c:v>
                </c:pt>
                <c:pt idx="111">
                  <c:v>42120</c:v>
                </c:pt>
                <c:pt idx="112">
                  <c:v>42121</c:v>
                </c:pt>
                <c:pt idx="113">
                  <c:v>42122</c:v>
                </c:pt>
                <c:pt idx="114">
                  <c:v>42123</c:v>
                </c:pt>
                <c:pt idx="115">
                  <c:v>42124</c:v>
                </c:pt>
                <c:pt idx="116">
                  <c:v>42125</c:v>
                </c:pt>
                <c:pt idx="117">
                  <c:v>42126</c:v>
                </c:pt>
                <c:pt idx="118">
                  <c:v>42127</c:v>
                </c:pt>
                <c:pt idx="119">
                  <c:v>42128</c:v>
                </c:pt>
                <c:pt idx="120">
                  <c:v>42129</c:v>
                </c:pt>
                <c:pt idx="121">
                  <c:v>42130</c:v>
                </c:pt>
                <c:pt idx="122">
                  <c:v>42131</c:v>
                </c:pt>
                <c:pt idx="123">
                  <c:v>42132</c:v>
                </c:pt>
                <c:pt idx="124">
                  <c:v>42133</c:v>
                </c:pt>
                <c:pt idx="125">
                  <c:v>42134</c:v>
                </c:pt>
                <c:pt idx="126">
                  <c:v>42135</c:v>
                </c:pt>
                <c:pt idx="127">
                  <c:v>42136</c:v>
                </c:pt>
                <c:pt idx="128">
                  <c:v>42137</c:v>
                </c:pt>
                <c:pt idx="129">
                  <c:v>42138</c:v>
                </c:pt>
                <c:pt idx="130">
                  <c:v>42139</c:v>
                </c:pt>
                <c:pt idx="131">
                  <c:v>42140</c:v>
                </c:pt>
                <c:pt idx="132">
                  <c:v>42141</c:v>
                </c:pt>
                <c:pt idx="133">
                  <c:v>42142</c:v>
                </c:pt>
                <c:pt idx="134">
                  <c:v>42143</c:v>
                </c:pt>
                <c:pt idx="135">
                  <c:v>42144</c:v>
                </c:pt>
                <c:pt idx="136">
                  <c:v>42145</c:v>
                </c:pt>
                <c:pt idx="137">
                  <c:v>42146</c:v>
                </c:pt>
                <c:pt idx="138">
                  <c:v>42147</c:v>
                </c:pt>
                <c:pt idx="139">
                  <c:v>42148</c:v>
                </c:pt>
                <c:pt idx="140">
                  <c:v>42149</c:v>
                </c:pt>
                <c:pt idx="141">
                  <c:v>42150</c:v>
                </c:pt>
                <c:pt idx="142">
                  <c:v>42151</c:v>
                </c:pt>
                <c:pt idx="143">
                  <c:v>42152</c:v>
                </c:pt>
                <c:pt idx="144">
                  <c:v>42153</c:v>
                </c:pt>
                <c:pt idx="145">
                  <c:v>42154</c:v>
                </c:pt>
                <c:pt idx="146">
                  <c:v>42155</c:v>
                </c:pt>
                <c:pt idx="147">
                  <c:v>42156</c:v>
                </c:pt>
                <c:pt idx="148">
                  <c:v>42157</c:v>
                </c:pt>
                <c:pt idx="149">
                  <c:v>42158</c:v>
                </c:pt>
                <c:pt idx="150">
                  <c:v>42159</c:v>
                </c:pt>
                <c:pt idx="151">
                  <c:v>42160</c:v>
                </c:pt>
                <c:pt idx="152">
                  <c:v>42161</c:v>
                </c:pt>
                <c:pt idx="153">
                  <c:v>42162</c:v>
                </c:pt>
                <c:pt idx="154">
                  <c:v>42163</c:v>
                </c:pt>
                <c:pt idx="155">
                  <c:v>42164</c:v>
                </c:pt>
                <c:pt idx="156">
                  <c:v>42165</c:v>
                </c:pt>
                <c:pt idx="157">
                  <c:v>42166</c:v>
                </c:pt>
                <c:pt idx="158">
                  <c:v>42167</c:v>
                </c:pt>
                <c:pt idx="159">
                  <c:v>42168</c:v>
                </c:pt>
                <c:pt idx="160">
                  <c:v>42169</c:v>
                </c:pt>
                <c:pt idx="161">
                  <c:v>42170</c:v>
                </c:pt>
                <c:pt idx="162">
                  <c:v>42171</c:v>
                </c:pt>
                <c:pt idx="163">
                  <c:v>42172</c:v>
                </c:pt>
                <c:pt idx="164">
                  <c:v>42173</c:v>
                </c:pt>
                <c:pt idx="165">
                  <c:v>42174</c:v>
                </c:pt>
                <c:pt idx="166">
                  <c:v>42175</c:v>
                </c:pt>
                <c:pt idx="167">
                  <c:v>42176</c:v>
                </c:pt>
                <c:pt idx="168">
                  <c:v>42177</c:v>
                </c:pt>
                <c:pt idx="169">
                  <c:v>42178</c:v>
                </c:pt>
                <c:pt idx="170">
                  <c:v>42179</c:v>
                </c:pt>
                <c:pt idx="171">
                  <c:v>42180</c:v>
                </c:pt>
                <c:pt idx="172">
                  <c:v>42181</c:v>
                </c:pt>
                <c:pt idx="173">
                  <c:v>42182</c:v>
                </c:pt>
                <c:pt idx="174">
                  <c:v>42183</c:v>
                </c:pt>
                <c:pt idx="175">
                  <c:v>42184</c:v>
                </c:pt>
                <c:pt idx="176">
                  <c:v>42185</c:v>
                </c:pt>
                <c:pt idx="177">
                  <c:v>42186</c:v>
                </c:pt>
                <c:pt idx="178">
                  <c:v>42187</c:v>
                </c:pt>
                <c:pt idx="179">
                  <c:v>42188</c:v>
                </c:pt>
                <c:pt idx="180">
                  <c:v>42189</c:v>
                </c:pt>
                <c:pt idx="181">
                  <c:v>42190</c:v>
                </c:pt>
                <c:pt idx="182">
                  <c:v>42191</c:v>
                </c:pt>
                <c:pt idx="183">
                  <c:v>42192</c:v>
                </c:pt>
                <c:pt idx="184">
                  <c:v>42193</c:v>
                </c:pt>
                <c:pt idx="185">
                  <c:v>42194</c:v>
                </c:pt>
              </c:numCache>
            </c:numRef>
          </c:xVal>
          <c:yVal>
            <c:numRef>
              <c:f>'NDVI tipo'!$W$8:$W$203</c:f>
              <c:numCache>
                <c:formatCode>_-* #,##0.000\ _€_-;\-* #,##0.000\ _€_-;_-* "-"??\ _€_-;_-@_-</c:formatCode>
                <c:ptCount val="196"/>
                <c:pt idx="0">
                  <c:v>8.0870500000000012E-2</c:v>
                </c:pt>
                <c:pt idx="1">
                  <c:v>8.5189166666666649E-2</c:v>
                </c:pt>
                <c:pt idx="2">
                  <c:v>8.9507833333333287E-2</c:v>
                </c:pt>
                <c:pt idx="3">
                  <c:v>9.3826499999999979E-2</c:v>
                </c:pt>
                <c:pt idx="4">
                  <c:v>9.8145166666666672E-2</c:v>
                </c:pt>
                <c:pt idx="5">
                  <c:v>0.10246383333333331</c:v>
                </c:pt>
                <c:pt idx="6">
                  <c:v>0.10678249999999995</c:v>
                </c:pt>
                <c:pt idx="7">
                  <c:v>0.11110116666666664</c:v>
                </c:pt>
                <c:pt idx="8">
                  <c:v>0.11541983333333333</c:v>
                </c:pt>
                <c:pt idx="9">
                  <c:v>0.11973849999999997</c:v>
                </c:pt>
                <c:pt idx="10">
                  <c:v>0.12201042727272726</c:v>
                </c:pt>
                <c:pt idx="11">
                  <c:v>0.12428235454545455</c:v>
                </c:pt>
                <c:pt idx="12">
                  <c:v>0.12655428181818185</c:v>
                </c:pt>
                <c:pt idx="13">
                  <c:v>0.12882620909090914</c:v>
                </c:pt>
                <c:pt idx="14">
                  <c:v>0.13109813636363643</c:v>
                </c:pt>
                <c:pt idx="15">
                  <c:v>0.13337006363636372</c:v>
                </c:pt>
                <c:pt idx="16">
                  <c:v>0.13564199090909101</c:v>
                </c:pt>
                <c:pt idx="17">
                  <c:v>0.13791391818181831</c:v>
                </c:pt>
                <c:pt idx="18">
                  <c:v>0.1401858454545456</c:v>
                </c:pt>
                <c:pt idx="19">
                  <c:v>0.14245777272727289</c:v>
                </c:pt>
                <c:pt idx="20">
                  <c:v>0.14472970000000018</c:v>
                </c:pt>
                <c:pt idx="21">
                  <c:v>0.14700162727272748</c:v>
                </c:pt>
                <c:pt idx="22">
                  <c:v>0.14927355454545477</c:v>
                </c:pt>
                <c:pt idx="23">
                  <c:v>0.15154548181818206</c:v>
                </c:pt>
                <c:pt idx="24">
                  <c:v>0.15381740909090935</c:v>
                </c:pt>
                <c:pt idx="25">
                  <c:v>0.15608933636363664</c:v>
                </c:pt>
                <c:pt idx="26">
                  <c:v>0.15836126363636394</c:v>
                </c:pt>
                <c:pt idx="27">
                  <c:v>0.16063319090909123</c:v>
                </c:pt>
                <c:pt idx="28">
                  <c:v>0.16290511818181852</c:v>
                </c:pt>
                <c:pt idx="29">
                  <c:v>0.16517704545454581</c:v>
                </c:pt>
                <c:pt idx="30">
                  <c:v>0.1674489727272731</c:v>
                </c:pt>
                <c:pt idx="31">
                  <c:v>0.1697209000000004</c:v>
                </c:pt>
                <c:pt idx="32">
                  <c:v>0.17199282727272769</c:v>
                </c:pt>
                <c:pt idx="33">
                  <c:v>0.17426475454545498</c:v>
                </c:pt>
                <c:pt idx="34">
                  <c:v>0.17653668181818227</c:v>
                </c:pt>
                <c:pt idx="35">
                  <c:v>0.17880860909090956</c:v>
                </c:pt>
                <c:pt idx="36">
                  <c:v>0.18108053636363686</c:v>
                </c:pt>
                <c:pt idx="37">
                  <c:v>0.18335246363636415</c:v>
                </c:pt>
                <c:pt idx="38">
                  <c:v>0.18562439090909144</c:v>
                </c:pt>
                <c:pt idx="39">
                  <c:v>0.18789631818181873</c:v>
                </c:pt>
                <c:pt idx="40">
                  <c:v>0.19016824545454603</c:v>
                </c:pt>
                <c:pt idx="41">
                  <c:v>0.19244017272727332</c:v>
                </c:pt>
                <c:pt idx="42">
                  <c:v>0.19471210000000061</c:v>
                </c:pt>
                <c:pt idx="43">
                  <c:v>0.1969840272727279</c:v>
                </c:pt>
                <c:pt idx="44">
                  <c:v>0.19925595454545519</c:v>
                </c:pt>
                <c:pt idx="45">
                  <c:v>0.20152788181818249</c:v>
                </c:pt>
                <c:pt idx="46">
                  <c:v>0.20379980909090978</c:v>
                </c:pt>
                <c:pt idx="47">
                  <c:v>0.20607173636363707</c:v>
                </c:pt>
                <c:pt idx="48">
                  <c:v>0.20834366363636436</c:v>
                </c:pt>
                <c:pt idx="49">
                  <c:v>0.21061559090909165</c:v>
                </c:pt>
                <c:pt idx="50">
                  <c:v>0.21288751818181895</c:v>
                </c:pt>
                <c:pt idx="51">
                  <c:v>0.21515944545454624</c:v>
                </c:pt>
                <c:pt idx="52">
                  <c:v>0.21743137272727353</c:v>
                </c:pt>
                <c:pt idx="53">
                  <c:v>0.21970330000000082</c:v>
                </c:pt>
                <c:pt idx="54">
                  <c:v>0.22197522727272812</c:v>
                </c:pt>
                <c:pt idx="55">
                  <c:v>0.22424715454545541</c:v>
                </c:pt>
                <c:pt idx="56">
                  <c:v>0.2265190818181827</c:v>
                </c:pt>
                <c:pt idx="57">
                  <c:v>0.22879100909090999</c:v>
                </c:pt>
                <c:pt idx="58">
                  <c:v>0.23106293636363728</c:v>
                </c:pt>
                <c:pt idx="59">
                  <c:v>0.23333486363636458</c:v>
                </c:pt>
                <c:pt idx="60">
                  <c:v>0.23560679090909187</c:v>
                </c:pt>
                <c:pt idx="61">
                  <c:v>0.23787871818181916</c:v>
                </c:pt>
                <c:pt idx="62">
                  <c:v>0.24015064545454645</c:v>
                </c:pt>
                <c:pt idx="63">
                  <c:v>0.24242257272727374</c:v>
                </c:pt>
                <c:pt idx="64">
                  <c:v>0.24469449999999998</c:v>
                </c:pt>
                <c:pt idx="65">
                  <c:v>0.25718803658536582</c:v>
                </c:pt>
                <c:pt idx="66">
                  <c:v>0.26968157317073166</c:v>
                </c:pt>
                <c:pt idx="67">
                  <c:v>0.28217510975609755</c:v>
                </c:pt>
                <c:pt idx="68">
                  <c:v>0.29466864634146345</c:v>
                </c:pt>
                <c:pt idx="69">
                  <c:v>0.30716218292682934</c:v>
                </c:pt>
                <c:pt idx="70">
                  <c:v>0.31965571951219512</c:v>
                </c:pt>
                <c:pt idx="71">
                  <c:v>0.33214925609756102</c:v>
                </c:pt>
                <c:pt idx="72">
                  <c:v>0.34464279268292691</c:v>
                </c:pt>
                <c:pt idx="73">
                  <c:v>0.3571363292682927</c:v>
                </c:pt>
                <c:pt idx="74">
                  <c:v>0.36962986585365859</c:v>
                </c:pt>
                <c:pt idx="75">
                  <c:v>0.38212340243902448</c:v>
                </c:pt>
                <c:pt idx="76">
                  <c:v>0.39461693902439038</c:v>
                </c:pt>
                <c:pt idx="77">
                  <c:v>0.40711047560975627</c:v>
                </c:pt>
                <c:pt idx="78">
                  <c:v>0.41960401219512206</c:v>
                </c:pt>
                <c:pt idx="79">
                  <c:v>0.43209754878048795</c:v>
                </c:pt>
                <c:pt idx="80">
                  <c:v>0.44459108536585384</c:v>
                </c:pt>
                <c:pt idx="81">
                  <c:v>0.45708462195121963</c:v>
                </c:pt>
                <c:pt idx="82">
                  <c:v>0.46957815853658552</c:v>
                </c:pt>
                <c:pt idx="83">
                  <c:v>0.48207169512195142</c:v>
                </c:pt>
                <c:pt idx="84">
                  <c:v>0.49456523170731731</c:v>
                </c:pt>
                <c:pt idx="85">
                  <c:v>0.50705876829268326</c:v>
                </c:pt>
                <c:pt idx="86">
                  <c:v>0.51955230487804904</c:v>
                </c:pt>
                <c:pt idx="87">
                  <c:v>0.53204584146341483</c:v>
                </c:pt>
                <c:pt idx="88">
                  <c:v>0.54453937804878083</c:v>
                </c:pt>
                <c:pt idx="89">
                  <c:v>0.55703291463414661</c:v>
                </c:pt>
                <c:pt idx="90">
                  <c:v>0.5695264512195124</c:v>
                </c:pt>
                <c:pt idx="91">
                  <c:v>0.58201998780487818</c:v>
                </c:pt>
                <c:pt idx="92">
                  <c:v>0.59451352439024396</c:v>
                </c:pt>
                <c:pt idx="93">
                  <c:v>0.60700706097560975</c:v>
                </c:pt>
                <c:pt idx="94">
                  <c:v>0.61950059756097553</c:v>
                </c:pt>
                <c:pt idx="95">
                  <c:v>0.63199413414634131</c:v>
                </c:pt>
                <c:pt idx="96">
                  <c:v>0.6444876707317071</c:v>
                </c:pt>
                <c:pt idx="97">
                  <c:v>0.65698120731707288</c:v>
                </c:pt>
                <c:pt idx="98">
                  <c:v>0.66947474390243866</c:v>
                </c:pt>
                <c:pt idx="99">
                  <c:v>0.68196828048780445</c:v>
                </c:pt>
                <c:pt idx="100">
                  <c:v>0.69446181707317023</c:v>
                </c:pt>
                <c:pt idx="101">
                  <c:v>0.70695535365853601</c:v>
                </c:pt>
                <c:pt idx="102">
                  <c:v>0.7194488902439018</c:v>
                </c:pt>
                <c:pt idx="103">
                  <c:v>0.73194242682926758</c:v>
                </c:pt>
                <c:pt idx="104">
                  <c:v>0.74443596341463336</c:v>
                </c:pt>
                <c:pt idx="105">
                  <c:v>0.75692950000000003</c:v>
                </c:pt>
                <c:pt idx="106">
                  <c:v>0.77240912500000003</c:v>
                </c:pt>
                <c:pt idx="107">
                  <c:v>0.7878887499999998</c:v>
                </c:pt>
                <c:pt idx="108">
                  <c:v>0.8033683749999998</c:v>
                </c:pt>
                <c:pt idx="109">
                  <c:v>0.8188479999999998</c:v>
                </c:pt>
                <c:pt idx="110">
                  <c:v>0.8343276249999998</c:v>
                </c:pt>
                <c:pt idx="111">
                  <c:v>0.84980724999999979</c:v>
                </c:pt>
                <c:pt idx="112">
                  <c:v>0.86528687499999957</c:v>
                </c:pt>
                <c:pt idx="113">
                  <c:v>0.88076649999999956</c:v>
                </c:pt>
                <c:pt idx="114">
                  <c:v>0.89624612499999956</c:v>
                </c:pt>
                <c:pt idx="115">
                  <c:v>0.91172574999999934</c:v>
                </c:pt>
                <c:pt idx="116">
                  <c:v>0.92720537499999933</c:v>
                </c:pt>
                <c:pt idx="117">
                  <c:v>0.94268499999999933</c:v>
                </c:pt>
                <c:pt idx="118">
                  <c:v>0.95816462499999933</c:v>
                </c:pt>
                <c:pt idx="119">
                  <c:v>0.97364424999999932</c:v>
                </c:pt>
                <c:pt idx="120">
                  <c:v>0.9891238749999991</c:v>
                </c:pt>
                <c:pt idx="121">
                  <c:v>1.0046035000000002</c:v>
                </c:pt>
                <c:pt idx="122">
                  <c:v>1.0072720000000002</c:v>
                </c:pt>
                <c:pt idx="123">
                  <c:v>1.0099405000000001</c:v>
                </c:pt>
                <c:pt idx="124">
                  <c:v>1.0126090000000001</c:v>
                </c:pt>
                <c:pt idx="125">
                  <c:v>1.0152775000000001</c:v>
                </c:pt>
                <c:pt idx="126">
                  <c:v>1.017946</c:v>
                </c:pt>
                <c:pt idx="127">
                  <c:v>1.0206145</c:v>
                </c:pt>
                <c:pt idx="128">
                  <c:v>1.0232829999999999</c:v>
                </c:pt>
                <c:pt idx="129">
                  <c:v>1.0259514999999999</c:v>
                </c:pt>
                <c:pt idx="130">
                  <c:v>1.0286199999999999</c:v>
                </c:pt>
                <c:pt idx="131">
                  <c:v>1.0312884999999998</c:v>
                </c:pt>
                <c:pt idx="132">
                  <c:v>1.0339569999999998</c:v>
                </c:pt>
                <c:pt idx="133">
                  <c:v>1.0366254999999998</c:v>
                </c:pt>
                <c:pt idx="134">
                  <c:v>1.0392939999999997</c:v>
                </c:pt>
                <c:pt idx="135">
                  <c:v>1.0419624999999997</c:v>
                </c:pt>
                <c:pt idx="136">
                  <c:v>1.0446309999999996</c:v>
                </c:pt>
                <c:pt idx="137">
                  <c:v>1.0472995</c:v>
                </c:pt>
                <c:pt idx="138">
                  <c:v>1.0356975625</c:v>
                </c:pt>
                <c:pt idx="139">
                  <c:v>1.024095625</c:v>
                </c:pt>
                <c:pt idx="140">
                  <c:v>1.0124936874999999</c:v>
                </c:pt>
                <c:pt idx="141">
                  <c:v>1.0008917500000001</c:v>
                </c:pt>
                <c:pt idx="142">
                  <c:v>0.98928981250000003</c:v>
                </c:pt>
                <c:pt idx="143">
                  <c:v>0.97768787499999998</c:v>
                </c:pt>
                <c:pt idx="144">
                  <c:v>0.96608593750000016</c:v>
                </c:pt>
                <c:pt idx="145">
                  <c:v>0.95448400000000011</c:v>
                </c:pt>
                <c:pt idx="146">
                  <c:v>0.94288206250000006</c:v>
                </c:pt>
                <c:pt idx="147">
                  <c:v>0.93128012500000001</c:v>
                </c:pt>
                <c:pt idx="148">
                  <c:v>0.91967818749999997</c:v>
                </c:pt>
                <c:pt idx="149">
                  <c:v>0.90807625000000014</c:v>
                </c:pt>
                <c:pt idx="150">
                  <c:v>0.89647431250000009</c:v>
                </c:pt>
                <c:pt idx="151">
                  <c:v>0.88487237500000004</c:v>
                </c:pt>
                <c:pt idx="152">
                  <c:v>0.87327043750000022</c:v>
                </c:pt>
                <c:pt idx="153">
                  <c:v>0.86166850000000017</c:v>
                </c:pt>
                <c:pt idx="154">
                  <c:v>0.82291850000000011</c:v>
                </c:pt>
                <c:pt idx="155">
                  <c:v>0.78416850000000005</c:v>
                </c:pt>
                <c:pt idx="156">
                  <c:v>0.74541849999999998</c:v>
                </c:pt>
                <c:pt idx="157">
                  <c:v>0.70666849999999992</c:v>
                </c:pt>
                <c:pt idx="158">
                  <c:v>0.66791849999999986</c:v>
                </c:pt>
                <c:pt idx="159">
                  <c:v>0.6291684999999998</c:v>
                </c:pt>
                <c:pt idx="160">
                  <c:v>0.59041849999999974</c:v>
                </c:pt>
                <c:pt idx="161">
                  <c:v>0.55166849999999967</c:v>
                </c:pt>
                <c:pt idx="162">
                  <c:v>0.51291849999999961</c:v>
                </c:pt>
                <c:pt idx="163">
                  <c:v>0.4741684999999996</c:v>
                </c:pt>
                <c:pt idx="164">
                  <c:v>0.43541849999999965</c:v>
                </c:pt>
                <c:pt idx="165">
                  <c:v>0.39666849999999959</c:v>
                </c:pt>
                <c:pt idx="166">
                  <c:v>0.35791849999999964</c:v>
                </c:pt>
                <c:pt idx="167">
                  <c:v>0.31916849999999969</c:v>
                </c:pt>
                <c:pt idx="168">
                  <c:v>0.28041849999999996</c:v>
                </c:pt>
                <c:pt idx="169">
                  <c:v>0.28019799999999995</c:v>
                </c:pt>
                <c:pt idx="170">
                  <c:v>0.27997749999999993</c:v>
                </c:pt>
                <c:pt idx="171">
                  <c:v>0.27975699999999992</c:v>
                </c:pt>
                <c:pt idx="172">
                  <c:v>0.27953649999999991</c:v>
                </c:pt>
                <c:pt idx="173">
                  <c:v>0.2793159999999999</c:v>
                </c:pt>
                <c:pt idx="174">
                  <c:v>0.27909549999999989</c:v>
                </c:pt>
                <c:pt idx="175">
                  <c:v>0.27887499999999987</c:v>
                </c:pt>
                <c:pt idx="176">
                  <c:v>0.27865450000000003</c:v>
                </c:pt>
                <c:pt idx="177">
                  <c:v>0.27622316666666669</c:v>
                </c:pt>
                <c:pt idx="178">
                  <c:v>0.27379183333333335</c:v>
                </c:pt>
                <c:pt idx="179">
                  <c:v>0.2713605</c:v>
                </c:pt>
                <c:pt idx="180">
                  <c:v>0.26892916666666666</c:v>
                </c:pt>
                <c:pt idx="181">
                  <c:v>0.26649783333333332</c:v>
                </c:pt>
                <c:pt idx="182">
                  <c:v>0.26406649999999998</c:v>
                </c:pt>
                <c:pt idx="183">
                  <c:v>0.26163516666666664</c:v>
                </c:pt>
                <c:pt idx="184">
                  <c:v>0.2592038333333333</c:v>
                </c:pt>
                <c:pt idx="185">
                  <c:v>0.25677249999999996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4F-4328-83C3-9085E457B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306752"/>
        <c:axId val="486294208"/>
      </c:scatterChart>
      <c:valAx>
        <c:axId val="486305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486293424"/>
        <c:crosses val="autoZero"/>
        <c:crossBetween val="midCat"/>
      </c:valAx>
      <c:valAx>
        <c:axId val="486293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NDVI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_tradnl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486305576"/>
        <c:crosses val="autoZero"/>
        <c:crossBetween val="midCat"/>
      </c:valAx>
      <c:valAx>
        <c:axId val="486294208"/>
        <c:scaling>
          <c:orientation val="minMax"/>
        </c:scaling>
        <c:delete val="0"/>
        <c:axPos val="r"/>
        <c:numFmt formatCode="_-* #,##0.000\ _€_-;\-* #,##0.000\ _€_-;_-* &quot;-&quot;??\ _€_-;_-@_-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_tradnl"/>
          </a:p>
        </c:txPr>
        <c:crossAx val="486306752"/>
        <c:crosses val="max"/>
        <c:crossBetween val="midCat"/>
      </c:valAx>
      <c:valAx>
        <c:axId val="4863067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862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_trad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Gráfico2">
    <tabColor rgb="FF92D050"/>
  </sheetPr>
  <sheetViews>
    <sheetView zoomScale="140" workbookViewId="0"/>
  </sheetViews>
  <pageMargins left="0.7" right="0.7" top="0.75" bottom="0.75" header="0.3" footer="0.3"/>
  <pageSetup paperSize="9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0482" cy="6075589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0.1926</cdr:x>
      <cdr:y>0.21606</cdr:y>
    </cdr:from>
    <cdr:to>
      <cdr:x>0.33649</cdr:x>
      <cdr:y>0.25798</cdr:y>
    </cdr:to>
    <cdr:sp macro="" textlink="">
      <cdr:nvSpPr>
        <cdr:cNvPr id="3" name="CuadroTexto 1">
          <a:extLst xmlns:a="http://schemas.openxmlformats.org/drawingml/2006/main">
            <a:ext uri="{FF2B5EF4-FFF2-40B4-BE49-F238E27FC236}">
              <a16:creationId xmlns:a16="http://schemas.microsoft.com/office/drawing/2014/main" id="{1907E9B1-517E-4418-9162-226647BC9797}"/>
            </a:ext>
          </a:extLst>
        </cdr:cNvPr>
        <cdr:cNvSpPr txBox="1"/>
      </cdr:nvSpPr>
      <cdr:spPr>
        <a:xfrm xmlns:a="http://schemas.openxmlformats.org/drawingml/2006/main">
          <a:off x="1789769" y="1308072"/>
          <a:ext cx="1337145" cy="25379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s-ES" sz="1000" b="1">
              <a:solidFill>
                <a:schemeClr val="accent1">
                  <a:lumMod val="60000"/>
                  <a:lumOff val="40000"/>
                </a:schemeClr>
              </a:solidFill>
            </a:rPr>
            <a:t>Fenología </a:t>
          </a:r>
          <a:r>
            <a:rPr lang="es-ES" sz="1000" b="1" baseline="0">
              <a:solidFill>
                <a:schemeClr val="accent1">
                  <a:lumMod val="60000"/>
                  <a:lumOff val="40000"/>
                </a:schemeClr>
              </a:solidFill>
            </a:rPr>
            <a:t>BBCH</a:t>
          </a:r>
          <a:r>
            <a:rPr lang="es-ES" sz="1000" b="1">
              <a:solidFill>
                <a:schemeClr val="accent1">
                  <a:lumMod val="60000"/>
                  <a:lumOff val="40000"/>
                </a:schemeClr>
              </a:solidFill>
            </a:rPr>
            <a:t> 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499532</xdr:colOff>
      <xdr:row>22</xdr:row>
      <xdr:rowOff>36513</xdr:rowOff>
    </xdr:from>
    <xdr:to>
      <xdr:col>12</xdr:col>
      <xdr:colOff>282574</xdr:colOff>
      <xdr:row>36</xdr:row>
      <xdr:rowOff>112713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60</xdr:col>
      <xdr:colOff>181909</xdr:colOff>
      <xdr:row>0</xdr:row>
      <xdr:rowOff>122238</xdr:rowOff>
    </xdr:from>
    <xdr:to>
      <xdr:col>68</xdr:col>
      <xdr:colOff>219075</xdr:colOff>
      <xdr:row>13</xdr:row>
      <xdr:rowOff>228601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3220A83-2969-4966-A2EA-FBEEE1E52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60</xdr:col>
      <xdr:colOff>301092</xdr:colOff>
      <xdr:row>24</xdr:row>
      <xdr:rowOff>151812</xdr:rowOff>
    </xdr:from>
    <xdr:to>
      <xdr:col>67</xdr:col>
      <xdr:colOff>342820</xdr:colOff>
      <xdr:row>40</xdr:row>
      <xdr:rowOff>182656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6ED8C54-57EF-4A25-A63D-E0FA40FB1F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19050</xdr:colOff>
      <xdr:row>18</xdr:row>
      <xdr:rowOff>38101</xdr:rowOff>
    </xdr:from>
    <xdr:to>
      <xdr:col>12</xdr:col>
      <xdr:colOff>196103</xdr:colOff>
      <xdr:row>32</xdr:row>
      <xdr:rowOff>31377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26E4711-D907-40C3-9B89-1AF8B8883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216274</xdr:colOff>
      <xdr:row>18</xdr:row>
      <xdr:rowOff>41460</xdr:rowOff>
    </xdr:from>
    <xdr:to>
      <xdr:col>22</xdr:col>
      <xdr:colOff>230280</xdr:colOff>
      <xdr:row>32</xdr:row>
      <xdr:rowOff>40900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1837E43-F043-43FE-A6D5-1E058AC994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217955</xdr:colOff>
      <xdr:row>32</xdr:row>
      <xdr:rowOff>56032</xdr:rowOff>
    </xdr:from>
    <xdr:to>
      <xdr:col>22</xdr:col>
      <xdr:colOff>231961</xdr:colOff>
      <xdr:row>46</xdr:row>
      <xdr:rowOff>120465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48BE9003-B206-4206-B78F-082FA09881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214594</xdr:colOff>
      <xdr:row>46</xdr:row>
      <xdr:rowOff>148478</xdr:rowOff>
    </xdr:from>
    <xdr:to>
      <xdr:col>22</xdr:col>
      <xdr:colOff>228600</xdr:colOff>
      <xdr:row>61</xdr:row>
      <xdr:rowOff>34178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4DA34052-A410-430E-A153-C7712D5336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30</xdr:row>
      <xdr:rowOff>188118</xdr:rowOff>
    </xdr:from>
    <xdr:to>
      <xdr:col>11</xdr:col>
      <xdr:colOff>23812</xdr:colOff>
      <xdr:row>47</xdr:row>
      <xdr:rowOff>59531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461DF64-85F0-4A06-B09A-D1D8803B2A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30</xdr:row>
      <xdr:rowOff>188118</xdr:rowOff>
    </xdr:from>
    <xdr:to>
      <xdr:col>11</xdr:col>
      <xdr:colOff>23812</xdr:colOff>
      <xdr:row>47</xdr:row>
      <xdr:rowOff>59531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4D56D11-9645-4530-A4F3-658C795B81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47</xdr:row>
      <xdr:rowOff>107157</xdr:rowOff>
    </xdr:from>
    <xdr:to>
      <xdr:col>11</xdr:col>
      <xdr:colOff>11906</xdr:colOff>
      <xdr:row>67</xdr:row>
      <xdr:rowOff>142875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D8C37E5-00B7-45FD-95DB-CA9AB0A085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 Jara" refreshedDate="44256.460298958336" createdVersion="6" refreshedVersion="6" minRefreshableVersion="3" recordCount="227" xr:uid="{F67F39F5-06BC-4A83-8B8E-958181948E62}">
  <cacheSource type="worksheet">
    <worksheetSource ref="A5:BD232" sheet="Nitro"/>
  </cacheSource>
  <cacheFields count="56">
    <cacheField name="Fecha" numFmtId="165">
      <sharedItems containsSemiMixedTypes="0" containsNonDate="0" containsDate="1" containsString="0" minDate="2014-12-04T00:00:00" maxDate="2015-07-19T00:00:00"/>
    </cacheField>
    <cacheField name="Jp" numFmtId="0">
      <sharedItems containsString="0" containsBlank="1" containsNumber="1" containsInteger="1" minValue="12" maxValue="199"/>
    </cacheField>
    <cacheField name="Etapa" numFmtId="167">
      <sharedItems containsDate="1" containsBlank="1" containsMixedTypes="1" minDate="1899-12-30T00:00:00" maxDate="1899-12-31T00:00:00"/>
    </cacheField>
    <cacheField name="ET0" numFmtId="2">
      <sharedItems containsString="0" containsBlank="1" containsNumber="1" minValue="0" maxValue="9"/>
    </cacheField>
    <cacheField name="Kcb" numFmtId="2">
      <sharedItems containsString="0" containsBlank="1" containsNumber="1" minValue="0.26952098631111099" maxValue="1.1499999999999999"/>
    </cacheField>
    <cacheField name="h" numFmtId="2">
      <sharedItems containsNonDate="0" containsString="0" containsBlank="1"/>
    </cacheField>
    <cacheField name="Ke" numFmtId="2">
      <sharedItems containsString="0" containsBlank="1" containsNumber="1" minValue="0" maxValue="1.1361079999999999"/>
    </cacheField>
    <cacheField name="Kc" numFmtId="2">
      <sharedItems containsString="0" containsBlank="1" containsNumber="1" minValue="0" maxValue="1.286108"/>
    </cacheField>
    <cacheField name="ETc" numFmtId="2">
      <sharedItems containsString="0" containsBlank="1" containsNumber="1" minValue="0" maxValue="10.290187"/>
    </cacheField>
    <cacheField name="Prec_efec" numFmtId="2">
      <sharedItems containsBlank="1" containsMixedTypes="1" containsNumber="1" minValue="0" maxValue="23.3"/>
    </cacheField>
    <cacheField name="Riego_neces" numFmtId="2">
      <sharedItems containsString="0" containsBlank="1" containsNumber="1" containsInteger="1" minValue="0" maxValue="0"/>
    </cacheField>
    <cacheField name="DP" numFmtId="2">
      <sharedItems containsString="0" containsBlank="1" containsNumber="1" minValue="0" maxValue="3.7849166997979271"/>
    </cacheField>
    <cacheField name="Riego_x000a_Efec." numFmtId="2">
      <sharedItems containsString="0" containsBlank="1" containsNumber="1" containsInteger="1" minValue="0" maxValue="0"/>
    </cacheField>
    <cacheField name="t" numFmtId="2">
      <sharedItems containsString="0" containsBlank="1" containsNumber="1" minValue="-1.4" maxValue="29.6"/>
    </cacheField>
    <cacheField name="Etc_Acc" numFmtId="2">
      <sharedItems containsString="0" containsBlank="1" containsNumber="1" minValue="0" maxValue="219.93699731384274"/>
    </cacheField>
    <cacheField name="Prec_efec_Acc." numFmtId="2">
      <sharedItems containsString="0" containsBlank="1" containsNumber="1" minValue="0" maxValue="174.50000000000006"/>
    </cacheField>
    <cacheField name="Riego_Acc" numFmtId="2">
      <sharedItems containsString="0" containsBlank="1" containsNumber="1" containsInteger="1" minValue="0" maxValue="0"/>
    </cacheField>
    <cacheField name="Tm" numFmtId="166">
      <sharedItems containsString="0" containsBlank="1" containsNumber="1" minValue="-1.4" maxValue="29.6"/>
    </cacheField>
    <cacheField name="IT" numFmtId="166">
      <sharedItems containsString="0" containsBlank="1" containsNumber="1" minValue="-1.4" maxValue="29.6"/>
    </cacheField>
    <cacheField name="J" numFmtId="1">
      <sharedItems containsString="0" containsBlank="1" containsNumber="1" containsInteger="1" minValue="11" maxValue="199"/>
    </cacheField>
    <cacheField name="Sem" numFmtId="1">
      <sharedItems containsSemiMixedTypes="0" containsString="0" containsNumber="1" containsInteger="1" minValue="-4" maxValue="29" count="33">
        <n v="-4"/>
        <n v="-3"/>
        <n v="-2"/>
        <n v="-1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</sharedItems>
    </cacheField>
    <cacheField name="N extr" numFmtId="0">
      <sharedItems containsString="0" containsBlank="1" containsNumber="1" containsInteger="1" minValue="0" maxValue="0"/>
    </cacheField>
    <cacheField name="N extrA" numFmtId="0">
      <sharedItems containsString="0" containsBlank="1" containsNumber="1" containsInteger="1" minValue="0" maxValue="0"/>
    </cacheField>
    <cacheField name="N mineralizado" numFmtId="166">
      <sharedItems containsSemiMixedTypes="0" containsString="0" containsNumber="1" minValue="0" maxValue="2.5300000000000002"/>
    </cacheField>
    <cacheField name="N agua" numFmtId="166">
      <sharedItems containsString="0" containsBlank="1" containsNumber="1" containsInteger="1" minValue="0" maxValue="0"/>
    </cacheField>
    <cacheField name="N fert neto" numFmtId="166">
      <sharedItems containsMixedTypes="1" containsNumber="1" minValue="0" maxValue="88.32"/>
    </cacheField>
    <cacheField name="N fert bruto" numFmtId="166">
      <sharedItems containsSemiMixedTypes="0" containsString="0" containsNumber="1" minValue="0" maxValue="110.39999999999999"/>
    </cacheField>
    <cacheField name="BBCH" numFmtId="1">
      <sharedItems containsString="0" containsBlank="1" containsNumber="1" containsInteger="1" minValue="0" maxValue="0"/>
    </cacheField>
    <cacheField name="Nl" numFmtId="166">
      <sharedItems containsString="0" containsBlank="1" containsNumber="1" minValue="-0.68065017706052788" maxValue="0"/>
    </cacheField>
    <cacheField name="N extr 1" numFmtId="1">
      <sharedItems containsString="0" containsBlank="1" containsNumber="1" minValue="-5.94" maxValue="0"/>
    </cacheField>
    <cacheField name="N extrA 1" numFmtId="0">
      <sharedItems containsString="0" containsBlank="1" containsNumber="1" minValue="-325.66049999999956" maxValue="0"/>
    </cacheField>
    <cacheField name="Nh" numFmtId="0">
      <sharedItems containsSemiMixedTypes="0" containsString="0" containsNumber="1" minValue="29.688849822939826" maxValue="125.27327027027025"/>
    </cacheField>
    <cacheField name="N recom (kg ha-1)" numFmtId="1">
      <sharedItems containsString="0" containsBlank="1" containsNumber="1" containsInteger="1" minValue="0" maxValue="40"/>
    </cacheField>
    <cacheField name="N NO3 (ppm)" numFmtId="1">
      <sharedItems containsString="0" containsBlank="1" containsNumber="1" minValue="5.9401460229971637" maxValue="25.064679926024457"/>
    </cacheField>
    <cacheField name="Nmin medido" numFmtId="1">
      <sharedItems containsSemiMixedTypes="0" containsString="0" containsNumber="1" minValue="-100" maxValue="66.64"/>
    </cacheField>
    <cacheField name="T Nf recomendado" numFmtId="0">
      <sharedItems containsString="0" containsBlank="1" containsNumber="1" containsInteger="1" minValue="0" maxValue="1"/>
    </cacheField>
    <cacheField name="N mineralizado A" numFmtId="0">
      <sharedItems containsSemiMixedTypes="0" containsString="0" containsNumber="1" minValue="0" maxValue="103.71100000000008"/>
    </cacheField>
    <cacheField name="N agua A" numFmtId="0">
      <sharedItems containsSemiMixedTypes="0" containsString="0" containsNumber="1" containsInteger="1" minValue="0" maxValue="0"/>
    </cacheField>
    <cacheField name="Nl A" numFmtId="0">
      <sharedItems containsSemiMixedTypes="0" containsString="0" containsNumber="1" minValue="-0.68065017706052788" maxValue="0"/>
    </cacheField>
    <cacheField name="Eto tipo" numFmtId="0">
      <sharedItems containsString="0" containsBlank="1" containsNumber="1" minValue="0.7" maxValue="8.5"/>
    </cacheField>
    <cacheField name="Eto acumulada" numFmtId="0">
      <sharedItems containsString="0" containsBlank="1" containsNumber="1" minValue="1" maxValue="708.90000000000009"/>
    </cacheField>
    <cacheField name="BBCH tipo" numFmtId="0">
      <sharedItems containsBlank="1" containsMixedTypes="1" containsNumber="1" containsInteger="1" minValue="-9999" maxValue="87"/>
    </cacheField>
    <cacheField name="BBCH t.graf" numFmtId="0">
      <sharedItems containsString="0" containsBlank="1" containsNumber="1" minValue="-999" maxValue="1.4"/>
    </cacheField>
    <cacheField name="BBCH real et" numFmtId="0">
      <sharedItems containsString="0" containsBlank="1" containsNumber="1" containsInteger="1" minValue="-99999" maxValue="89"/>
    </cacheField>
    <cacheField name="BBCH real" numFmtId="0">
      <sharedItems containsString="0" containsBlank="1" containsNumber="1" minValue="-99999" maxValue="1.4"/>
    </cacheField>
    <cacheField name="NDVI tipo" numFmtId="0">
      <sharedItems containsBlank="1" containsMixedTypes="1" containsNumber="1" minValue="0.21315899999999999" maxValue="0.83153299999999997"/>
    </cacheField>
    <cacheField name="NDVI tipo i" numFmtId="0">
      <sharedItems containsString="0" containsBlank="1" containsNumber="1" minValue="2.8791111111111101E-3" maxValue="0.83153299999999997"/>
    </cacheField>
    <cacheField name="NDVI real" numFmtId="0">
      <sharedItems containsString="0" containsBlank="1" containsNumber="1" minValue="-999" maxValue="0.88444444333333339"/>
    </cacheField>
    <cacheField name="NDVI r.int" numFmtId="0">
      <sharedItems containsString="0" containsBlank="1" containsNumber="1" minValue="0.25661179604938267" maxValue="0.88444444333333339"/>
    </cacheField>
    <cacheField name="Biomasa" numFmtId="0">
      <sharedItems containsMixedTypes="1" containsNumber="1" minValue="0" maxValue="14.842234297001852"/>
    </cacheField>
    <cacheField name="Nuptake" numFmtId="0">
      <sharedItems containsString="0" containsBlank="1" containsNumber="1" minValue="-0.33200991928640633" maxValue="5.9842646275356088"/>
    </cacheField>
    <cacheField name="Eto  real" numFmtId="0">
      <sharedItems containsString="0" containsBlank="1" containsNumber="1" minValue="0.6" maxValue="9"/>
    </cacheField>
    <cacheField name="Eto acumulada real" numFmtId="0">
      <sharedItems containsString="0" containsBlank="1" containsNumber="1" minValue="1.3" maxValue="764.99999999999989"/>
    </cacheField>
    <cacheField name="Eto elegida" numFmtId="0">
      <sharedItems containsString="0" containsBlank="1" containsNumber="1" minValue="0.6" maxValue="9"/>
    </cacheField>
    <cacheField name="Eto acumulada elegida" numFmtId="0">
      <sharedItems containsString="0" containsBlank="1" containsNumber="1" minValue="1.3" maxValue="764.99999999999989"/>
    </cacheField>
    <cacheField name="Fecha2" numFmtId="0">
      <sharedItems containsNonDate="0" containsDate="1" containsString="0" containsBlank="1" minDate="2015-01-12T00:00:00" maxDate="2015-07-19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7">
  <r>
    <d v="2014-12-04T00:00:00"/>
    <m/>
    <m/>
    <m/>
    <m/>
    <m/>
    <m/>
    <m/>
    <m/>
    <m/>
    <m/>
    <m/>
    <m/>
    <m/>
    <m/>
    <m/>
    <m/>
    <m/>
    <m/>
    <m/>
    <x v="0"/>
    <m/>
    <m/>
    <n v="0"/>
    <m/>
    <n v="0"/>
    <n v="0"/>
    <m/>
    <m/>
    <m/>
    <m/>
    <n v="66.64"/>
    <m/>
    <m/>
    <n v="-100"/>
    <m/>
    <n v="0"/>
    <n v="0"/>
    <n v="0"/>
    <m/>
    <m/>
    <m/>
    <m/>
    <m/>
    <m/>
    <m/>
    <m/>
    <m/>
    <m/>
    <s v=""/>
    <m/>
    <m/>
    <m/>
    <m/>
    <m/>
    <m/>
  </r>
  <r>
    <d v="2014-12-05T00:00:00"/>
    <m/>
    <m/>
    <m/>
    <m/>
    <m/>
    <m/>
    <m/>
    <m/>
    <m/>
    <m/>
    <m/>
    <m/>
    <m/>
    <m/>
    <m/>
    <m/>
    <m/>
    <m/>
    <m/>
    <x v="0"/>
    <m/>
    <m/>
    <n v="0"/>
    <m/>
    <n v="0"/>
    <n v="0"/>
    <m/>
    <n v="0"/>
    <m/>
    <m/>
    <n v="66.64"/>
    <m/>
    <m/>
    <n v="-100"/>
    <m/>
    <n v="0"/>
    <n v="0"/>
    <n v="0"/>
    <m/>
    <m/>
    <m/>
    <m/>
    <m/>
    <m/>
    <m/>
    <m/>
    <m/>
    <m/>
    <s v=""/>
    <m/>
    <m/>
    <m/>
    <m/>
    <m/>
    <m/>
  </r>
  <r>
    <d v="2014-12-06T00:00:00"/>
    <m/>
    <m/>
    <m/>
    <m/>
    <m/>
    <m/>
    <m/>
    <m/>
    <m/>
    <m/>
    <m/>
    <m/>
    <m/>
    <m/>
    <m/>
    <m/>
    <m/>
    <m/>
    <m/>
    <x v="0"/>
    <m/>
    <m/>
    <n v="0"/>
    <m/>
    <n v="0"/>
    <n v="0"/>
    <m/>
    <n v="0"/>
    <m/>
    <m/>
    <n v="66.64"/>
    <m/>
    <m/>
    <n v="-100"/>
    <m/>
    <n v="0"/>
    <n v="0"/>
    <n v="0"/>
    <m/>
    <m/>
    <m/>
    <m/>
    <m/>
    <m/>
    <m/>
    <m/>
    <m/>
    <m/>
    <s v=""/>
    <m/>
    <m/>
    <m/>
    <m/>
    <m/>
    <m/>
  </r>
  <r>
    <d v="2014-12-07T00:00:00"/>
    <m/>
    <m/>
    <m/>
    <m/>
    <m/>
    <m/>
    <m/>
    <m/>
    <m/>
    <m/>
    <m/>
    <m/>
    <m/>
    <m/>
    <m/>
    <m/>
    <m/>
    <m/>
    <m/>
    <x v="0"/>
    <m/>
    <m/>
    <n v="0"/>
    <m/>
    <n v="0"/>
    <n v="0"/>
    <m/>
    <n v="0"/>
    <m/>
    <m/>
    <n v="66.64"/>
    <m/>
    <m/>
    <n v="-100"/>
    <m/>
    <n v="0"/>
    <n v="0"/>
    <n v="0"/>
    <m/>
    <m/>
    <m/>
    <m/>
    <m/>
    <m/>
    <m/>
    <m/>
    <m/>
    <m/>
    <s v=""/>
    <m/>
    <m/>
    <m/>
    <m/>
    <m/>
    <m/>
  </r>
  <r>
    <d v="2014-12-08T00:00:00"/>
    <m/>
    <m/>
    <m/>
    <m/>
    <m/>
    <m/>
    <m/>
    <m/>
    <m/>
    <m/>
    <m/>
    <m/>
    <m/>
    <m/>
    <m/>
    <m/>
    <m/>
    <m/>
    <m/>
    <x v="1"/>
    <m/>
    <m/>
    <n v="0"/>
    <m/>
    <n v="0"/>
    <n v="0"/>
    <m/>
    <n v="0"/>
    <m/>
    <m/>
    <n v="66.64"/>
    <m/>
    <m/>
    <n v="-100"/>
    <m/>
    <n v="0"/>
    <n v="0"/>
    <n v="0"/>
    <m/>
    <m/>
    <m/>
    <m/>
    <m/>
    <m/>
    <m/>
    <m/>
    <m/>
    <m/>
    <s v=""/>
    <m/>
    <m/>
    <m/>
    <m/>
    <m/>
    <m/>
  </r>
  <r>
    <d v="2014-12-09T00:00:00"/>
    <m/>
    <m/>
    <m/>
    <m/>
    <m/>
    <m/>
    <m/>
    <m/>
    <m/>
    <m/>
    <m/>
    <m/>
    <m/>
    <m/>
    <m/>
    <m/>
    <m/>
    <m/>
    <m/>
    <x v="1"/>
    <m/>
    <m/>
    <n v="0"/>
    <m/>
    <n v="0"/>
    <n v="0"/>
    <m/>
    <n v="0"/>
    <m/>
    <m/>
    <n v="66.64"/>
    <m/>
    <m/>
    <n v="-100"/>
    <m/>
    <n v="0"/>
    <n v="0"/>
    <n v="0"/>
    <m/>
    <m/>
    <m/>
    <m/>
    <m/>
    <m/>
    <m/>
    <m/>
    <m/>
    <m/>
    <s v=""/>
    <m/>
    <m/>
    <m/>
    <m/>
    <m/>
    <m/>
  </r>
  <r>
    <d v="2014-12-10T00:00:00"/>
    <m/>
    <m/>
    <m/>
    <m/>
    <m/>
    <m/>
    <m/>
    <m/>
    <m/>
    <m/>
    <m/>
    <m/>
    <m/>
    <m/>
    <m/>
    <m/>
    <m/>
    <m/>
    <m/>
    <x v="1"/>
    <m/>
    <m/>
    <n v="0"/>
    <m/>
    <n v="0"/>
    <n v="0"/>
    <m/>
    <n v="0"/>
    <m/>
    <m/>
    <n v="66.64"/>
    <m/>
    <m/>
    <n v="-100"/>
    <m/>
    <n v="0"/>
    <n v="0"/>
    <n v="0"/>
    <m/>
    <m/>
    <m/>
    <m/>
    <m/>
    <m/>
    <m/>
    <m/>
    <m/>
    <m/>
    <s v=""/>
    <m/>
    <m/>
    <m/>
    <m/>
    <m/>
    <m/>
  </r>
  <r>
    <d v="2014-12-11T00:00:00"/>
    <m/>
    <m/>
    <m/>
    <m/>
    <m/>
    <m/>
    <m/>
    <m/>
    <m/>
    <m/>
    <m/>
    <m/>
    <m/>
    <m/>
    <m/>
    <m/>
    <m/>
    <m/>
    <m/>
    <x v="1"/>
    <m/>
    <m/>
    <n v="0"/>
    <m/>
    <n v="0"/>
    <n v="0"/>
    <m/>
    <n v="0"/>
    <m/>
    <m/>
    <n v="66.64"/>
    <m/>
    <m/>
    <n v="-100"/>
    <m/>
    <n v="0"/>
    <n v="0"/>
    <n v="0"/>
    <m/>
    <m/>
    <m/>
    <m/>
    <m/>
    <m/>
    <m/>
    <m/>
    <m/>
    <m/>
    <s v=""/>
    <m/>
    <m/>
    <m/>
    <m/>
    <m/>
    <m/>
  </r>
  <r>
    <d v="2014-12-12T00:00:00"/>
    <m/>
    <m/>
    <m/>
    <m/>
    <m/>
    <m/>
    <m/>
    <m/>
    <m/>
    <m/>
    <m/>
    <m/>
    <m/>
    <m/>
    <m/>
    <m/>
    <m/>
    <m/>
    <m/>
    <x v="1"/>
    <m/>
    <m/>
    <n v="0"/>
    <m/>
    <n v="0"/>
    <n v="0"/>
    <m/>
    <n v="0"/>
    <m/>
    <m/>
    <n v="66.64"/>
    <m/>
    <m/>
    <n v="-100"/>
    <m/>
    <n v="0"/>
    <n v="0"/>
    <n v="0"/>
    <m/>
    <m/>
    <m/>
    <m/>
    <m/>
    <m/>
    <m/>
    <m/>
    <m/>
    <m/>
    <s v=""/>
    <m/>
    <m/>
    <m/>
    <m/>
    <m/>
    <m/>
  </r>
  <r>
    <d v="2014-12-13T00:00:00"/>
    <m/>
    <m/>
    <m/>
    <m/>
    <m/>
    <m/>
    <m/>
    <m/>
    <m/>
    <m/>
    <m/>
    <m/>
    <m/>
    <m/>
    <m/>
    <m/>
    <m/>
    <m/>
    <m/>
    <x v="1"/>
    <m/>
    <m/>
    <n v="0"/>
    <m/>
    <n v="0"/>
    <n v="0"/>
    <m/>
    <n v="0"/>
    <m/>
    <m/>
    <n v="66.64"/>
    <m/>
    <m/>
    <n v="-100"/>
    <m/>
    <n v="0"/>
    <n v="0"/>
    <n v="0"/>
    <m/>
    <m/>
    <m/>
    <m/>
    <m/>
    <m/>
    <m/>
    <m/>
    <m/>
    <m/>
    <s v=""/>
    <m/>
    <m/>
    <m/>
    <m/>
    <m/>
    <m/>
  </r>
  <r>
    <d v="2014-12-14T00:00:00"/>
    <m/>
    <m/>
    <m/>
    <m/>
    <m/>
    <m/>
    <m/>
    <m/>
    <s v="."/>
    <m/>
    <m/>
    <m/>
    <m/>
    <m/>
    <m/>
    <m/>
    <m/>
    <m/>
    <m/>
    <x v="1"/>
    <m/>
    <m/>
    <n v="0"/>
    <m/>
    <n v="0"/>
    <n v="0"/>
    <m/>
    <n v="0"/>
    <m/>
    <m/>
    <n v="66.64"/>
    <m/>
    <m/>
    <n v="-100"/>
    <m/>
    <n v="0"/>
    <n v="0"/>
    <n v="0"/>
    <m/>
    <m/>
    <m/>
    <m/>
    <m/>
    <m/>
    <m/>
    <m/>
    <m/>
    <m/>
    <s v=""/>
    <m/>
    <m/>
    <m/>
    <m/>
    <m/>
    <m/>
  </r>
  <r>
    <d v="2014-12-15T00:00:00"/>
    <m/>
    <m/>
    <m/>
    <m/>
    <m/>
    <m/>
    <m/>
    <m/>
    <m/>
    <m/>
    <m/>
    <m/>
    <m/>
    <m/>
    <m/>
    <m/>
    <m/>
    <m/>
    <m/>
    <x v="2"/>
    <m/>
    <m/>
    <n v="0"/>
    <m/>
    <n v="0"/>
    <n v="0"/>
    <m/>
    <n v="0"/>
    <m/>
    <m/>
    <n v="66.64"/>
    <m/>
    <m/>
    <n v="-100"/>
    <m/>
    <n v="0"/>
    <n v="0"/>
    <n v="0"/>
    <m/>
    <m/>
    <m/>
    <m/>
    <m/>
    <m/>
    <m/>
    <m/>
    <m/>
    <m/>
    <s v=""/>
    <m/>
    <m/>
    <m/>
    <m/>
    <m/>
    <m/>
  </r>
  <r>
    <d v="2014-12-16T00:00:00"/>
    <m/>
    <m/>
    <m/>
    <m/>
    <m/>
    <m/>
    <m/>
    <m/>
    <m/>
    <m/>
    <m/>
    <m/>
    <m/>
    <m/>
    <m/>
    <m/>
    <m/>
    <m/>
    <m/>
    <x v="2"/>
    <m/>
    <m/>
    <n v="0"/>
    <m/>
    <n v="0"/>
    <n v="0"/>
    <m/>
    <n v="0"/>
    <m/>
    <m/>
    <n v="66.64"/>
    <m/>
    <m/>
    <n v="-100"/>
    <m/>
    <n v="0"/>
    <n v="0"/>
    <n v="0"/>
    <m/>
    <m/>
    <m/>
    <m/>
    <m/>
    <m/>
    <m/>
    <m/>
    <m/>
    <m/>
    <s v=""/>
    <m/>
    <m/>
    <m/>
    <m/>
    <m/>
    <m/>
  </r>
  <r>
    <d v="2014-12-17T00:00:00"/>
    <m/>
    <m/>
    <m/>
    <m/>
    <m/>
    <m/>
    <m/>
    <m/>
    <m/>
    <m/>
    <m/>
    <m/>
    <m/>
    <m/>
    <m/>
    <m/>
    <m/>
    <m/>
    <m/>
    <x v="2"/>
    <m/>
    <m/>
    <n v="0"/>
    <m/>
    <n v="0"/>
    <n v="0"/>
    <m/>
    <n v="0"/>
    <m/>
    <m/>
    <n v="66.64"/>
    <m/>
    <m/>
    <n v="-100"/>
    <m/>
    <n v="0"/>
    <n v="0"/>
    <n v="0"/>
    <m/>
    <m/>
    <m/>
    <m/>
    <m/>
    <m/>
    <m/>
    <m/>
    <m/>
    <m/>
    <s v=""/>
    <m/>
    <m/>
    <m/>
    <m/>
    <m/>
    <m/>
  </r>
  <r>
    <d v="2014-12-18T00:00:00"/>
    <m/>
    <m/>
    <m/>
    <m/>
    <m/>
    <m/>
    <m/>
    <m/>
    <m/>
    <m/>
    <m/>
    <m/>
    <m/>
    <m/>
    <m/>
    <m/>
    <m/>
    <m/>
    <m/>
    <x v="2"/>
    <m/>
    <m/>
    <n v="0"/>
    <m/>
    <n v="0"/>
    <n v="0"/>
    <m/>
    <n v="0"/>
    <m/>
    <m/>
    <n v="66.64"/>
    <m/>
    <m/>
    <n v="-100"/>
    <m/>
    <n v="0"/>
    <n v="0"/>
    <n v="0"/>
    <m/>
    <m/>
    <m/>
    <m/>
    <m/>
    <m/>
    <m/>
    <m/>
    <m/>
    <m/>
    <s v=""/>
    <m/>
    <m/>
    <m/>
    <m/>
    <m/>
    <m/>
  </r>
  <r>
    <d v="2014-12-19T00:00:00"/>
    <m/>
    <m/>
    <m/>
    <m/>
    <m/>
    <m/>
    <m/>
    <m/>
    <m/>
    <m/>
    <m/>
    <m/>
    <m/>
    <m/>
    <m/>
    <m/>
    <m/>
    <m/>
    <m/>
    <x v="2"/>
    <m/>
    <m/>
    <n v="0"/>
    <m/>
    <n v="0"/>
    <n v="0"/>
    <m/>
    <n v="0"/>
    <m/>
    <m/>
    <n v="66.64"/>
    <m/>
    <m/>
    <n v="-100"/>
    <m/>
    <n v="0"/>
    <n v="0"/>
    <n v="0"/>
    <m/>
    <m/>
    <m/>
    <m/>
    <m/>
    <m/>
    <m/>
    <m/>
    <m/>
    <m/>
    <s v=""/>
    <m/>
    <m/>
    <m/>
    <m/>
    <m/>
    <m/>
  </r>
  <r>
    <d v="2014-12-20T00:00:00"/>
    <m/>
    <m/>
    <m/>
    <m/>
    <m/>
    <m/>
    <m/>
    <m/>
    <m/>
    <m/>
    <m/>
    <m/>
    <m/>
    <m/>
    <m/>
    <m/>
    <m/>
    <m/>
    <m/>
    <x v="2"/>
    <m/>
    <m/>
    <n v="0"/>
    <m/>
    <n v="0"/>
    <n v="0"/>
    <m/>
    <n v="0"/>
    <m/>
    <m/>
    <n v="66.64"/>
    <m/>
    <m/>
    <n v="-100"/>
    <m/>
    <n v="0"/>
    <n v="0"/>
    <n v="0"/>
    <m/>
    <m/>
    <m/>
    <m/>
    <m/>
    <m/>
    <m/>
    <m/>
    <m/>
    <m/>
    <s v=""/>
    <m/>
    <m/>
    <m/>
    <m/>
    <m/>
    <m/>
  </r>
  <r>
    <d v="2014-12-21T00:00:00"/>
    <m/>
    <m/>
    <m/>
    <m/>
    <m/>
    <m/>
    <m/>
    <m/>
    <m/>
    <m/>
    <m/>
    <m/>
    <m/>
    <m/>
    <m/>
    <m/>
    <m/>
    <m/>
    <m/>
    <x v="2"/>
    <m/>
    <m/>
    <n v="0"/>
    <m/>
    <n v="0"/>
    <n v="0"/>
    <m/>
    <n v="0"/>
    <m/>
    <m/>
    <n v="66.64"/>
    <m/>
    <m/>
    <n v="-100"/>
    <m/>
    <n v="0"/>
    <n v="0"/>
    <n v="0"/>
    <m/>
    <m/>
    <m/>
    <m/>
    <m/>
    <m/>
    <m/>
    <m/>
    <m/>
    <m/>
    <s v=""/>
    <m/>
    <m/>
    <m/>
    <m/>
    <m/>
    <m/>
  </r>
  <r>
    <d v="2014-12-22T00:00:00"/>
    <m/>
    <m/>
    <m/>
    <m/>
    <m/>
    <m/>
    <m/>
    <m/>
    <m/>
    <m/>
    <m/>
    <m/>
    <m/>
    <m/>
    <m/>
    <m/>
    <m/>
    <m/>
    <m/>
    <x v="3"/>
    <m/>
    <m/>
    <n v="0"/>
    <m/>
    <n v="0"/>
    <n v="0"/>
    <m/>
    <n v="0"/>
    <m/>
    <m/>
    <n v="66.64"/>
    <m/>
    <m/>
    <n v="-100"/>
    <m/>
    <n v="0"/>
    <n v="0"/>
    <n v="0"/>
    <m/>
    <m/>
    <m/>
    <m/>
    <m/>
    <m/>
    <m/>
    <m/>
    <m/>
    <m/>
    <s v=""/>
    <m/>
    <m/>
    <m/>
    <m/>
    <m/>
    <m/>
  </r>
  <r>
    <d v="2014-12-23T00:00:00"/>
    <m/>
    <m/>
    <m/>
    <m/>
    <m/>
    <m/>
    <m/>
    <m/>
    <m/>
    <m/>
    <m/>
    <m/>
    <m/>
    <m/>
    <m/>
    <m/>
    <m/>
    <m/>
    <m/>
    <x v="3"/>
    <m/>
    <m/>
    <n v="0"/>
    <m/>
    <n v="0"/>
    <n v="0"/>
    <m/>
    <n v="0"/>
    <m/>
    <m/>
    <n v="66.64"/>
    <m/>
    <m/>
    <n v="-100"/>
    <m/>
    <n v="0"/>
    <n v="0"/>
    <n v="0"/>
    <m/>
    <m/>
    <m/>
    <m/>
    <m/>
    <m/>
    <m/>
    <m/>
    <m/>
    <m/>
    <s v=""/>
    <m/>
    <m/>
    <m/>
    <m/>
    <m/>
    <m/>
  </r>
  <r>
    <d v="2014-12-24T00:00:00"/>
    <m/>
    <m/>
    <m/>
    <m/>
    <m/>
    <m/>
    <m/>
    <m/>
    <m/>
    <m/>
    <m/>
    <m/>
    <m/>
    <m/>
    <m/>
    <m/>
    <m/>
    <m/>
    <m/>
    <x v="3"/>
    <m/>
    <m/>
    <n v="0"/>
    <m/>
    <n v="0"/>
    <n v="0"/>
    <m/>
    <n v="0"/>
    <m/>
    <m/>
    <n v="66.64"/>
    <n v="25"/>
    <m/>
    <n v="-100"/>
    <m/>
    <n v="0"/>
    <n v="0"/>
    <n v="0"/>
    <m/>
    <m/>
    <m/>
    <m/>
    <m/>
    <m/>
    <m/>
    <m/>
    <m/>
    <m/>
    <s v=""/>
    <m/>
    <m/>
    <m/>
    <m/>
    <m/>
    <m/>
  </r>
  <r>
    <d v="2014-12-25T00:00:00"/>
    <m/>
    <m/>
    <m/>
    <m/>
    <m/>
    <m/>
    <m/>
    <m/>
    <m/>
    <m/>
    <m/>
    <m/>
    <m/>
    <m/>
    <m/>
    <m/>
    <m/>
    <m/>
    <m/>
    <x v="3"/>
    <m/>
    <m/>
    <n v="0"/>
    <m/>
    <n v="0"/>
    <n v="0"/>
    <m/>
    <n v="0"/>
    <m/>
    <m/>
    <n v="66.64"/>
    <n v="25"/>
    <m/>
    <n v="-100"/>
    <m/>
    <n v="0"/>
    <n v="0"/>
    <n v="0"/>
    <m/>
    <m/>
    <m/>
    <m/>
    <m/>
    <m/>
    <m/>
    <m/>
    <m/>
    <m/>
    <s v=""/>
    <m/>
    <m/>
    <m/>
    <m/>
    <m/>
    <m/>
  </r>
  <r>
    <d v="2014-12-26T00:00:00"/>
    <m/>
    <m/>
    <m/>
    <m/>
    <m/>
    <m/>
    <m/>
    <m/>
    <m/>
    <m/>
    <m/>
    <m/>
    <m/>
    <m/>
    <m/>
    <m/>
    <m/>
    <m/>
    <m/>
    <x v="3"/>
    <m/>
    <m/>
    <n v="0"/>
    <m/>
    <n v="0"/>
    <n v="0"/>
    <m/>
    <n v="0"/>
    <m/>
    <m/>
    <n v="66.64"/>
    <n v="25"/>
    <m/>
    <n v="-100"/>
    <m/>
    <n v="0"/>
    <n v="0"/>
    <n v="0"/>
    <m/>
    <m/>
    <m/>
    <m/>
    <m/>
    <m/>
    <m/>
    <m/>
    <m/>
    <m/>
    <s v=""/>
    <m/>
    <m/>
    <m/>
    <m/>
    <m/>
    <m/>
  </r>
  <r>
    <d v="2014-12-27T00:00:00"/>
    <m/>
    <m/>
    <m/>
    <m/>
    <m/>
    <m/>
    <m/>
    <m/>
    <m/>
    <m/>
    <m/>
    <m/>
    <m/>
    <m/>
    <m/>
    <m/>
    <m/>
    <m/>
    <m/>
    <x v="3"/>
    <m/>
    <m/>
    <n v="0"/>
    <m/>
    <n v="0"/>
    <n v="0"/>
    <m/>
    <n v="0"/>
    <m/>
    <m/>
    <n v="66.64"/>
    <n v="25"/>
    <m/>
    <n v="-100"/>
    <m/>
    <n v="0"/>
    <n v="0"/>
    <n v="0"/>
    <m/>
    <m/>
    <m/>
    <m/>
    <m/>
    <m/>
    <m/>
    <m/>
    <m/>
    <m/>
    <s v=""/>
    <m/>
    <m/>
    <m/>
    <m/>
    <m/>
    <m/>
  </r>
  <r>
    <d v="2014-12-28T00:00:00"/>
    <m/>
    <m/>
    <m/>
    <m/>
    <m/>
    <m/>
    <m/>
    <m/>
    <m/>
    <m/>
    <m/>
    <m/>
    <m/>
    <m/>
    <m/>
    <m/>
    <m/>
    <m/>
    <m/>
    <x v="3"/>
    <m/>
    <m/>
    <n v="0"/>
    <m/>
    <n v="0"/>
    <n v="0"/>
    <m/>
    <n v="0"/>
    <m/>
    <m/>
    <n v="66.64"/>
    <n v="25"/>
    <m/>
    <n v="-100"/>
    <m/>
    <n v="0"/>
    <n v="0"/>
    <n v="0"/>
    <m/>
    <m/>
    <m/>
    <m/>
    <m/>
    <m/>
    <m/>
    <m/>
    <m/>
    <m/>
    <s v=""/>
    <m/>
    <m/>
    <m/>
    <m/>
    <m/>
    <m/>
  </r>
  <r>
    <d v="2014-12-29T00:00:00"/>
    <m/>
    <m/>
    <m/>
    <m/>
    <m/>
    <m/>
    <m/>
    <m/>
    <m/>
    <m/>
    <m/>
    <m/>
    <m/>
    <m/>
    <m/>
    <m/>
    <m/>
    <m/>
    <m/>
    <x v="4"/>
    <m/>
    <m/>
    <n v="0"/>
    <m/>
    <n v="0"/>
    <n v="0"/>
    <m/>
    <n v="0"/>
    <m/>
    <m/>
    <n v="66.64"/>
    <n v="25"/>
    <m/>
    <n v="-100"/>
    <m/>
    <n v="0"/>
    <n v="0"/>
    <n v="0"/>
    <m/>
    <m/>
    <m/>
    <m/>
    <m/>
    <m/>
    <m/>
    <m/>
    <m/>
    <m/>
    <s v=""/>
    <m/>
    <m/>
    <m/>
    <m/>
    <m/>
    <m/>
  </r>
  <r>
    <d v="2014-12-30T00:00:00"/>
    <m/>
    <m/>
    <m/>
    <m/>
    <m/>
    <m/>
    <m/>
    <m/>
    <m/>
    <m/>
    <m/>
    <m/>
    <m/>
    <m/>
    <m/>
    <m/>
    <m/>
    <m/>
    <m/>
    <x v="4"/>
    <m/>
    <m/>
    <n v="0"/>
    <m/>
    <n v="14.52"/>
    <n v="24.2"/>
    <m/>
    <n v="0"/>
    <m/>
    <m/>
    <n v="81.16"/>
    <n v="25"/>
    <m/>
    <n v="66.64"/>
    <m/>
    <n v="0"/>
    <n v="0"/>
    <n v="0"/>
    <m/>
    <m/>
    <m/>
    <m/>
    <m/>
    <m/>
    <m/>
    <m/>
    <m/>
    <m/>
    <s v=""/>
    <m/>
    <m/>
    <m/>
    <m/>
    <m/>
    <m/>
  </r>
  <r>
    <d v="2014-12-31T00:00:00"/>
    <m/>
    <m/>
    <m/>
    <m/>
    <m/>
    <m/>
    <m/>
    <m/>
    <m/>
    <m/>
    <m/>
    <m/>
    <m/>
    <m/>
    <m/>
    <m/>
    <m/>
    <m/>
    <m/>
    <x v="4"/>
    <m/>
    <m/>
    <n v="0"/>
    <m/>
    <n v="0"/>
    <n v="0"/>
    <m/>
    <n v="0"/>
    <m/>
    <m/>
    <n v="81.16"/>
    <n v="25"/>
    <m/>
    <n v="-100"/>
    <m/>
    <n v="0"/>
    <n v="0"/>
    <n v="0"/>
    <m/>
    <m/>
    <m/>
    <m/>
    <m/>
    <m/>
    <m/>
    <m/>
    <m/>
    <m/>
    <s v=""/>
    <m/>
    <m/>
    <m/>
    <m/>
    <m/>
    <m/>
  </r>
  <r>
    <d v="2015-01-01T00:00:00"/>
    <m/>
    <m/>
    <m/>
    <m/>
    <m/>
    <m/>
    <m/>
    <m/>
    <m/>
    <m/>
    <m/>
    <m/>
    <m/>
    <m/>
    <m/>
    <m/>
    <m/>
    <m/>
    <m/>
    <x v="4"/>
    <m/>
    <m/>
    <n v="0"/>
    <m/>
    <n v="0"/>
    <n v="0"/>
    <m/>
    <n v="0"/>
    <m/>
    <m/>
    <n v="81.16"/>
    <n v="25"/>
    <m/>
    <n v="-100"/>
    <m/>
    <n v="0"/>
    <n v="0"/>
    <n v="0"/>
    <m/>
    <m/>
    <m/>
    <m/>
    <m/>
    <m/>
    <m/>
    <m/>
    <m/>
    <m/>
    <s v=""/>
    <m/>
    <m/>
    <m/>
    <m/>
    <m/>
    <m/>
  </r>
  <r>
    <d v="2015-01-02T00:00:00"/>
    <m/>
    <m/>
    <m/>
    <m/>
    <m/>
    <m/>
    <m/>
    <m/>
    <m/>
    <m/>
    <m/>
    <m/>
    <m/>
    <m/>
    <m/>
    <m/>
    <m/>
    <m/>
    <m/>
    <x v="4"/>
    <m/>
    <m/>
    <n v="0"/>
    <m/>
    <n v="0"/>
    <n v="0"/>
    <m/>
    <n v="0"/>
    <m/>
    <m/>
    <n v="81.16"/>
    <n v="25"/>
    <m/>
    <n v="-100"/>
    <m/>
    <n v="0"/>
    <n v="0"/>
    <n v="0"/>
    <m/>
    <m/>
    <m/>
    <m/>
    <m/>
    <m/>
    <m/>
    <m/>
    <m/>
    <m/>
    <s v=""/>
    <m/>
    <m/>
    <m/>
    <m/>
    <m/>
    <m/>
  </r>
  <r>
    <d v="2015-01-03T00:00:00"/>
    <m/>
    <m/>
    <m/>
    <m/>
    <m/>
    <m/>
    <m/>
    <m/>
    <m/>
    <m/>
    <m/>
    <m/>
    <m/>
    <m/>
    <m/>
    <m/>
    <m/>
    <m/>
    <m/>
    <x v="4"/>
    <m/>
    <m/>
    <n v="0"/>
    <m/>
    <n v="0"/>
    <n v="0"/>
    <m/>
    <n v="0"/>
    <m/>
    <m/>
    <n v="81.16"/>
    <n v="25"/>
    <m/>
    <n v="-100"/>
    <m/>
    <n v="0"/>
    <n v="0"/>
    <n v="0"/>
    <m/>
    <m/>
    <m/>
    <m/>
    <m/>
    <m/>
    <m/>
    <m/>
    <m/>
    <m/>
    <s v=""/>
    <m/>
    <m/>
    <m/>
    <m/>
    <m/>
    <m/>
  </r>
  <r>
    <d v="2015-01-04T00:00:00"/>
    <m/>
    <m/>
    <m/>
    <m/>
    <m/>
    <m/>
    <m/>
    <m/>
    <m/>
    <m/>
    <m/>
    <m/>
    <m/>
    <m/>
    <m/>
    <m/>
    <m/>
    <m/>
    <m/>
    <x v="4"/>
    <m/>
    <m/>
    <n v="0"/>
    <m/>
    <n v="0"/>
    <n v="0"/>
    <m/>
    <n v="0"/>
    <m/>
    <m/>
    <n v="81.16"/>
    <n v="25"/>
    <m/>
    <n v="-100"/>
    <m/>
    <n v="0"/>
    <n v="0"/>
    <n v="0"/>
    <m/>
    <m/>
    <m/>
    <m/>
    <m/>
    <m/>
    <m/>
    <m/>
    <m/>
    <m/>
    <s v=""/>
    <m/>
    <m/>
    <m/>
    <m/>
    <m/>
    <m/>
  </r>
  <r>
    <d v="2015-01-05T00:00:00"/>
    <m/>
    <m/>
    <m/>
    <m/>
    <m/>
    <m/>
    <m/>
    <m/>
    <m/>
    <m/>
    <m/>
    <m/>
    <m/>
    <m/>
    <m/>
    <m/>
    <m/>
    <m/>
    <m/>
    <x v="5"/>
    <m/>
    <m/>
    <n v="0"/>
    <m/>
    <n v="0"/>
    <n v="0"/>
    <m/>
    <n v="0"/>
    <m/>
    <m/>
    <n v="81.16"/>
    <n v="25"/>
    <m/>
    <n v="-100"/>
    <m/>
    <n v="0"/>
    <n v="0"/>
    <n v="0"/>
    <m/>
    <m/>
    <m/>
    <m/>
    <m/>
    <m/>
    <m/>
    <m/>
    <m/>
    <m/>
    <s v=""/>
    <m/>
    <m/>
    <m/>
    <m/>
    <m/>
    <m/>
  </r>
  <r>
    <d v="2015-01-06T00:00:00"/>
    <m/>
    <m/>
    <m/>
    <m/>
    <m/>
    <m/>
    <m/>
    <m/>
    <m/>
    <m/>
    <m/>
    <m/>
    <m/>
    <m/>
    <m/>
    <m/>
    <m/>
    <m/>
    <m/>
    <x v="5"/>
    <m/>
    <m/>
    <n v="0"/>
    <m/>
    <n v="0"/>
    <n v="0"/>
    <m/>
    <n v="0"/>
    <m/>
    <m/>
    <n v="81.16"/>
    <n v="25"/>
    <m/>
    <n v="-100"/>
    <m/>
    <n v="0"/>
    <n v="0"/>
    <n v="0"/>
    <m/>
    <m/>
    <m/>
    <m/>
    <m/>
    <m/>
    <m/>
    <m/>
    <m/>
    <m/>
    <s v=""/>
    <m/>
    <m/>
    <m/>
    <m/>
    <m/>
    <m/>
  </r>
  <r>
    <d v="2015-01-07T00:00:00"/>
    <m/>
    <m/>
    <m/>
    <m/>
    <m/>
    <m/>
    <m/>
    <m/>
    <m/>
    <m/>
    <m/>
    <m/>
    <m/>
    <m/>
    <m/>
    <m/>
    <m/>
    <m/>
    <m/>
    <x v="5"/>
    <m/>
    <m/>
    <n v="0"/>
    <m/>
    <n v="0"/>
    <n v="0"/>
    <m/>
    <n v="0"/>
    <m/>
    <m/>
    <n v="81.16"/>
    <n v="25"/>
    <m/>
    <n v="-100"/>
    <m/>
    <n v="0"/>
    <n v="0"/>
    <n v="0"/>
    <m/>
    <m/>
    <m/>
    <m/>
    <m/>
    <m/>
    <m/>
    <m/>
    <m/>
    <m/>
    <s v=""/>
    <m/>
    <m/>
    <m/>
    <m/>
    <m/>
    <m/>
  </r>
  <r>
    <d v="2015-01-08T00:00:00"/>
    <m/>
    <m/>
    <m/>
    <m/>
    <m/>
    <m/>
    <m/>
    <m/>
    <m/>
    <m/>
    <m/>
    <m/>
    <m/>
    <m/>
    <m/>
    <m/>
    <m/>
    <m/>
    <m/>
    <x v="5"/>
    <m/>
    <m/>
    <n v="0"/>
    <m/>
    <n v="0"/>
    <n v="0"/>
    <m/>
    <n v="0"/>
    <m/>
    <m/>
    <n v="81.16"/>
    <n v="25"/>
    <m/>
    <n v="-100"/>
    <m/>
    <n v="0"/>
    <n v="0"/>
    <n v="0"/>
    <m/>
    <m/>
    <m/>
    <m/>
    <m/>
    <m/>
    <m/>
    <m/>
    <m/>
    <m/>
    <s v=""/>
    <m/>
    <m/>
    <m/>
    <m/>
    <m/>
    <m/>
  </r>
  <r>
    <d v="2015-01-09T00:00:00"/>
    <m/>
    <m/>
    <m/>
    <m/>
    <m/>
    <m/>
    <m/>
    <m/>
    <m/>
    <m/>
    <m/>
    <m/>
    <m/>
    <m/>
    <m/>
    <m/>
    <m/>
    <m/>
    <m/>
    <x v="5"/>
    <m/>
    <m/>
    <n v="0"/>
    <m/>
    <n v="0"/>
    <n v="0"/>
    <m/>
    <n v="0"/>
    <m/>
    <m/>
    <n v="81.16"/>
    <n v="25"/>
    <m/>
    <n v="-100"/>
    <m/>
    <n v="0"/>
    <n v="0"/>
    <n v="0"/>
    <m/>
    <m/>
    <m/>
    <m/>
    <m/>
    <m/>
    <m/>
    <m/>
    <m/>
    <m/>
    <s v=""/>
    <m/>
    <m/>
    <m/>
    <m/>
    <m/>
    <m/>
  </r>
  <r>
    <d v="2015-01-10T00:00:00"/>
    <m/>
    <m/>
    <m/>
    <m/>
    <m/>
    <m/>
    <m/>
    <m/>
    <m/>
    <m/>
    <m/>
    <m/>
    <m/>
    <m/>
    <m/>
    <m/>
    <m/>
    <m/>
    <m/>
    <x v="5"/>
    <m/>
    <m/>
    <n v="0"/>
    <m/>
    <n v="0"/>
    <n v="0"/>
    <m/>
    <n v="0"/>
    <m/>
    <m/>
    <n v="81.16"/>
    <n v="25"/>
    <m/>
    <n v="-100"/>
    <m/>
    <n v="0"/>
    <n v="0"/>
    <n v="0"/>
    <m/>
    <m/>
    <m/>
    <m/>
    <m/>
    <m/>
    <m/>
    <m/>
    <m/>
    <m/>
    <s v=""/>
    <m/>
    <m/>
    <m/>
    <m/>
    <m/>
    <m/>
  </r>
  <r>
    <d v="2015-01-11T00:00:00"/>
    <m/>
    <m/>
    <m/>
    <m/>
    <m/>
    <m/>
    <m/>
    <m/>
    <m/>
    <m/>
    <m/>
    <m/>
    <m/>
    <m/>
    <m/>
    <m/>
    <m/>
    <m/>
    <n v="11"/>
    <x v="5"/>
    <m/>
    <m/>
    <n v="0"/>
    <m/>
    <n v="0"/>
    <n v="0"/>
    <m/>
    <n v="0"/>
    <m/>
    <m/>
    <n v="81.16"/>
    <n v="25"/>
    <m/>
    <n v="-100"/>
    <m/>
    <n v="0"/>
    <n v="0"/>
    <n v="0"/>
    <m/>
    <m/>
    <m/>
    <m/>
    <m/>
    <m/>
    <m/>
    <m/>
    <m/>
    <m/>
    <s v=""/>
    <m/>
    <m/>
    <m/>
    <m/>
    <m/>
    <m/>
  </r>
  <r>
    <d v="2015-01-12T00:00:00"/>
    <n v="12"/>
    <s v="Inicial"/>
    <n v="1.3"/>
    <n v="0.26952098631111099"/>
    <m/>
    <n v="1.0582039999999999"/>
    <n v="1.2082040000000001"/>
    <n v="1.3290249999999999"/>
    <n v="0"/>
    <n v="0"/>
    <n v="0"/>
    <n v="0"/>
    <n v="5.5"/>
    <n v="0.26952098631111099"/>
    <n v="0"/>
    <n v="0"/>
    <n v="5.5"/>
    <n v="5.5"/>
    <n v="12"/>
    <x v="6"/>
    <m/>
    <n v="0"/>
    <n v="0"/>
    <n v="0"/>
    <n v="0"/>
    <n v="0"/>
    <n v="0"/>
    <n v="0"/>
    <n v="0"/>
    <n v="0"/>
    <n v="81.16"/>
    <n v="25"/>
    <n v="16.238495398159262"/>
    <n v="-100"/>
    <n v="0"/>
    <n v="0"/>
    <n v="0"/>
    <n v="0"/>
    <n v="1"/>
    <n v="1"/>
    <n v="0"/>
    <n v="-999"/>
    <n v="-99999"/>
    <n v="-99999"/>
    <s v=""/>
    <n v="2.8791111111111101E-3"/>
    <n v="-999"/>
    <n v="0.25661179604938267"/>
    <n v="0"/>
    <n v="0"/>
    <n v="1.3"/>
    <n v="1.3"/>
    <n v="1.3"/>
    <n v="1.3"/>
    <d v="2015-01-12T00:00:00"/>
  </r>
  <r>
    <d v="2015-01-13T00:00:00"/>
    <n v="13"/>
    <s v="Inicial"/>
    <n v="1.1000000000000001"/>
    <n v="0.27347160355555544"/>
    <m/>
    <n v="1.0749439999999999"/>
    <n v="1.224944"/>
    <n v="2.2416480000000001"/>
    <n v="0"/>
    <n v="0"/>
    <n v="0"/>
    <n v="0"/>
    <n v="6.8"/>
    <n v="0.46095110879999979"/>
    <n v="0"/>
    <n v="0"/>
    <n v="6.8"/>
    <n v="6.8"/>
    <n v="13"/>
    <x v="6"/>
    <n v="0"/>
    <n v="0"/>
    <n v="0"/>
    <n v="0"/>
    <n v="0"/>
    <n v="0"/>
    <n v="0"/>
    <n v="0"/>
    <n v="0"/>
    <n v="0"/>
    <n v="81.16"/>
    <n v="25"/>
    <n v="16.238495398159262"/>
    <n v="-100"/>
    <n v="0"/>
    <n v="0"/>
    <n v="0"/>
    <n v="0"/>
    <n v="0.7"/>
    <n v="1.7"/>
    <n v="-9999"/>
    <n v="-999"/>
    <n v="-99999"/>
    <n v="-99999"/>
    <s v=""/>
    <n v="5.7582222222222201E-3"/>
    <n v="-999"/>
    <n v="0.25935528024691351"/>
    <n v="0"/>
    <n v="0"/>
    <n v="1.1000000000000001"/>
    <n v="2.4000000000000004"/>
    <n v="1.1000000000000001"/>
    <n v="2.4000000000000004"/>
    <d v="2015-01-13T00:00:00"/>
  </r>
  <r>
    <d v="2015-01-14T00:00:00"/>
    <n v="14"/>
    <s v="Inicial"/>
    <n v="1.1000000000000001"/>
    <n v="0.2774222207999999"/>
    <m/>
    <n v="1.063741"/>
    <n v="1.213741"/>
    <n v="2.1483210000000001"/>
    <n v="0"/>
    <n v="0"/>
    <n v="0"/>
    <n v="0"/>
    <n v="4.5"/>
    <n v="0.76611555167999967"/>
    <n v="0"/>
    <n v="0"/>
    <n v="4.5"/>
    <n v="4.5"/>
    <n v="14"/>
    <x v="6"/>
    <n v="0"/>
    <n v="0"/>
    <n v="0"/>
    <n v="0"/>
    <n v="0"/>
    <n v="0"/>
    <n v="0"/>
    <n v="0"/>
    <n v="0"/>
    <n v="0"/>
    <n v="81.16"/>
    <n v="25"/>
    <n v="16.238495398159262"/>
    <n v="-100"/>
    <n v="0"/>
    <n v="0"/>
    <n v="0"/>
    <n v="0"/>
    <n v="1.1000000000000001"/>
    <n v="2.8"/>
    <n v="-9999"/>
    <n v="-999"/>
    <n v="-99999"/>
    <n v="-99999"/>
    <n v="0.21315899999999999"/>
    <n v="0.21315899999999999"/>
    <n v="0.26209876444444441"/>
    <n v="0.26209876444444441"/>
    <n v="0"/>
    <n v="0"/>
    <n v="1.1000000000000001"/>
    <n v="3.5000000000000004"/>
    <n v="1.1000000000000001"/>
    <n v="3.5000000000000004"/>
    <d v="2015-01-14T00:00:00"/>
  </r>
  <r>
    <d v="2015-01-15T00:00:00"/>
    <n v="15"/>
    <s v="Inicial"/>
    <n v="1.8"/>
    <n v="0.27726666526666666"/>
    <m/>
    <n v="1.0406709999999999"/>
    <n v="1.190671"/>
    <n v="1.4883390000000001"/>
    <n v="0"/>
    <n v="0"/>
    <n v="0"/>
    <n v="0"/>
    <n v="6.6"/>
    <n v="1.0988355499999996"/>
    <n v="0"/>
    <n v="0"/>
    <n v="6.6"/>
    <n v="6.6"/>
    <n v="15"/>
    <x v="6"/>
    <n v="0"/>
    <n v="0"/>
    <n v="0"/>
    <n v="0"/>
    <n v="0"/>
    <n v="0"/>
    <n v="0"/>
    <n v="0"/>
    <n v="0"/>
    <n v="0"/>
    <n v="81.16"/>
    <n v="25"/>
    <n v="16.238495398159262"/>
    <n v="-100"/>
    <n v="0"/>
    <n v="0"/>
    <n v="0"/>
    <n v="0"/>
    <n v="1.2"/>
    <n v="4"/>
    <n v="-9999"/>
    <n v="-999"/>
    <n v="-99999"/>
    <n v="-99999"/>
    <s v=""/>
    <n v="0.21467361818181818"/>
    <n v="-999"/>
    <n v="0.2619907397685185"/>
    <n v="0"/>
    <n v="0"/>
    <n v="1.8"/>
    <n v="5.3000000000000007"/>
    <n v="1.8"/>
    <n v="5.3000000000000007"/>
    <d v="2015-01-15T00:00:00"/>
  </r>
  <r>
    <d v="2015-01-16T00:00:00"/>
    <n v="16"/>
    <s v="Inicial"/>
    <n v="1.8"/>
    <n v="0.27711110973333331"/>
    <m/>
    <n v="1.042762"/>
    <n v="1.1927620000000001"/>
    <n v="1.3716759999999999"/>
    <n v="0.6"/>
    <n v="0"/>
    <n v="0"/>
    <n v="0"/>
    <n v="6.3"/>
    <n v="1.5102798194978462"/>
    <n v="0.6"/>
    <n v="0"/>
    <n v="6.3"/>
    <n v="6.3"/>
    <n v="16"/>
    <x v="6"/>
    <n v="0"/>
    <n v="0"/>
    <n v="0"/>
    <n v="0"/>
    <n v="0"/>
    <n v="0"/>
    <n v="0"/>
    <n v="0"/>
    <n v="0"/>
    <n v="0"/>
    <n v="81.16"/>
    <n v="25"/>
    <n v="16.238495398159262"/>
    <n v="-100"/>
    <n v="0"/>
    <n v="0"/>
    <n v="0"/>
    <n v="0"/>
    <n v="1.4"/>
    <n v="5.4"/>
    <n v="-9999"/>
    <n v="-999"/>
    <n v="-99999"/>
    <n v="-99999"/>
    <s v=""/>
    <n v="0.21618823636363638"/>
    <n v="-999"/>
    <n v="0.26188271509259259"/>
    <n v="0"/>
    <n v="0"/>
    <n v="1.8"/>
    <n v="7.1000000000000005"/>
    <n v="1.8"/>
    <n v="7.1000000000000005"/>
    <d v="2015-01-16T00:00:00"/>
  </r>
  <r>
    <d v="2015-01-17T00:00:00"/>
    <n v="17"/>
    <s v="Inicial"/>
    <n v="1.4"/>
    <n v="0.27695555419999995"/>
    <m/>
    <n v="1.0367200000000001"/>
    <n v="1.18672"/>
    <n v="1.3053920000000001"/>
    <n v="0"/>
    <n v="0"/>
    <n v="0"/>
    <n v="0"/>
    <n v="1.3"/>
    <n v="1.8032419207010095"/>
    <n v="0.6"/>
    <n v="0"/>
    <n v="1.3"/>
    <n v="1.3"/>
    <n v="17"/>
    <x v="6"/>
    <n v="0"/>
    <n v="0"/>
    <n v="0"/>
    <n v="0"/>
    <n v="0"/>
    <n v="0"/>
    <n v="0"/>
    <n v="0"/>
    <n v="0"/>
    <n v="0"/>
    <n v="81.16"/>
    <n v="25"/>
    <n v="16.238495398159262"/>
    <n v="-100"/>
    <n v="0"/>
    <n v="0"/>
    <n v="0"/>
    <n v="0"/>
    <n v="1"/>
    <n v="6.4"/>
    <n v="-9999"/>
    <n v="-999"/>
    <n v="-99999"/>
    <n v="-99999"/>
    <s v=""/>
    <n v="0.21770285454545457"/>
    <n v="-999"/>
    <n v="0.26177469041666668"/>
    <n v="0"/>
    <n v="0"/>
    <n v="1.4"/>
    <n v="8.5"/>
    <n v="1.4"/>
    <n v="8.5"/>
    <d v="2015-01-17T00:00:00"/>
  </r>
  <r>
    <d v="2015-01-18T00:00:00"/>
    <n v="18"/>
    <s v="Inicial"/>
    <n v="0.6"/>
    <n v="0.27679999866666671"/>
    <m/>
    <n v="1.0669420000000001"/>
    <n v="1.216942"/>
    <n v="2.227004"/>
    <n v="4.0999999999999996"/>
    <n v="0"/>
    <n v="0"/>
    <n v="0"/>
    <n v="-0.4"/>
    <n v="3.4396973278263427"/>
    <n v="4.6999999999999993"/>
    <n v="0"/>
    <n v="-0.4"/>
    <n v="-0.4"/>
    <n v="18"/>
    <x v="6"/>
    <n v="0"/>
    <n v="0"/>
    <n v="0"/>
    <n v="0"/>
    <n v="0"/>
    <n v="0"/>
    <n v="0"/>
    <n v="0"/>
    <n v="0"/>
    <n v="0"/>
    <n v="81.16"/>
    <n v="25"/>
    <n v="16.238495398159262"/>
    <n v="-100"/>
    <n v="0"/>
    <n v="0"/>
    <n v="0"/>
    <n v="0"/>
    <n v="1.6"/>
    <n v="8"/>
    <n v="-9999"/>
    <n v="-999"/>
    <n v="-99999"/>
    <n v="-99999"/>
    <s v=""/>
    <n v="0.21921747272727277"/>
    <n v="-999"/>
    <n v="0.26166666574074077"/>
    <n v="0"/>
    <n v="0"/>
    <n v="0.6"/>
    <n v="9.1"/>
    <n v="0.6"/>
    <n v="9.1"/>
    <d v="2015-01-18T00:00:00"/>
  </r>
  <r>
    <d v="2015-01-19T00:00:00"/>
    <n v="19"/>
    <s v="Inicial"/>
    <n v="1"/>
    <n v="0.27664444313333336"/>
    <m/>
    <n v="0.95551600000000003"/>
    <n v="1.1055159999999999"/>
    <n v="1.934653"/>
    <n v="2.4"/>
    <n v="0"/>
    <n v="0"/>
    <n v="0"/>
    <n v="3.2"/>
    <n v="4.2579250313890098"/>
    <n v="7.1"/>
    <n v="0"/>
    <n v="3.2"/>
    <n v="3.2"/>
    <n v="19"/>
    <x v="7"/>
    <n v="0"/>
    <n v="0"/>
    <n v="0"/>
    <n v="0"/>
    <n v="0"/>
    <n v="0"/>
    <n v="0"/>
    <n v="0"/>
    <n v="0"/>
    <n v="0"/>
    <n v="81.16"/>
    <n v="25"/>
    <n v="16.238495398159262"/>
    <n v="-100"/>
    <n v="0"/>
    <n v="0"/>
    <n v="0"/>
    <n v="0"/>
    <n v="0.8"/>
    <n v="8.8000000000000007"/>
    <n v="-9999"/>
    <n v="-999"/>
    <n v="-99999"/>
    <n v="-99999"/>
    <s v=""/>
    <n v="0.22073209090909096"/>
    <n v="-999"/>
    <n v="0.26155864106481486"/>
    <n v="0"/>
    <n v="0"/>
    <n v="1"/>
    <n v="10.1"/>
    <n v="1"/>
    <n v="10.1"/>
    <d v="2015-01-19T00:00:00"/>
  </r>
  <r>
    <d v="2015-01-20T00:00:00"/>
    <n v="20"/>
    <s v="Inicial"/>
    <n v="1.1000000000000001"/>
    <n v="0.27648888760000001"/>
    <m/>
    <n v="0.82065399999999999"/>
    <n v="0.97065400000000002"/>
    <n v="1.3395030000000001"/>
    <n v="0"/>
    <n v="0"/>
    <n v="0"/>
    <n v="0"/>
    <n v="1.1000000000000001"/>
    <n v="5.0761527349516768"/>
    <n v="7.1"/>
    <n v="0"/>
    <n v="1.1000000000000001"/>
    <n v="1.1000000000000001"/>
    <n v="20"/>
    <x v="7"/>
    <n v="0"/>
    <n v="0"/>
    <n v="0"/>
    <n v="0"/>
    <n v="0"/>
    <n v="0"/>
    <n v="0"/>
    <n v="0"/>
    <n v="0"/>
    <n v="0"/>
    <n v="81.16"/>
    <n v="25"/>
    <n v="16.238495398159262"/>
    <n v="-100"/>
    <n v="0"/>
    <n v="0"/>
    <n v="0"/>
    <n v="0"/>
    <n v="0.8"/>
    <n v="9.6000000000000014"/>
    <n v="-9999"/>
    <n v="-999"/>
    <n v="-99999"/>
    <n v="-99999"/>
    <s v=""/>
    <n v="0.22224670909090916"/>
    <n v="-999"/>
    <n v="0.26145061638888895"/>
    <n v="0"/>
    <n v="0"/>
    <n v="1.1000000000000001"/>
    <n v="11.2"/>
    <n v="1.1000000000000001"/>
    <n v="11.2"/>
    <d v="2015-01-20T00:00:00"/>
  </r>
  <r>
    <d v="2015-01-21T00:00:00"/>
    <n v="21"/>
    <s v="Inicial"/>
    <n v="1.1000000000000001"/>
    <n v="0.27633333206666677"/>
    <m/>
    <n v="0.91297300000000003"/>
    <n v="1.0629729999999999"/>
    <n v="0.64841400000000005"/>
    <n v="0.2"/>
    <n v="0"/>
    <n v="0"/>
    <n v="0"/>
    <n v="1.5"/>
    <n v="5.9966589014596767"/>
    <n v="7.3"/>
    <n v="0"/>
    <n v="1.5"/>
    <n v="1.5"/>
    <n v="21"/>
    <x v="7"/>
    <n v="0"/>
    <n v="0"/>
    <n v="0"/>
    <n v="0"/>
    <n v="0"/>
    <n v="0"/>
    <n v="0"/>
    <n v="0"/>
    <n v="0"/>
    <n v="0"/>
    <n v="81.16"/>
    <n v="25"/>
    <n v="16.238495398159262"/>
    <n v="-100"/>
    <n v="0"/>
    <n v="0"/>
    <n v="0"/>
    <n v="0"/>
    <n v="0.9"/>
    <n v="10.500000000000002"/>
    <n v="-9999"/>
    <n v="-999"/>
    <n v="-99999"/>
    <n v="-99999"/>
    <s v=""/>
    <n v="0.22376132727272735"/>
    <n v="-999"/>
    <n v="0.26134259171296303"/>
    <n v="0"/>
    <n v="0"/>
    <n v="1.1000000000000001"/>
    <n v="12.299999999999999"/>
    <n v="1.1000000000000001"/>
    <n v="12.299999999999999"/>
    <d v="2015-01-21T00:00:00"/>
  </r>
  <r>
    <d v="2015-01-22T00:00:00"/>
    <n v="22"/>
    <s v="Inicial"/>
    <n v="1"/>
    <n v="0.27617777653333342"/>
    <m/>
    <n v="0.94294900000000004"/>
    <n v="1.0929489999999999"/>
    <n v="1.0601609999999999"/>
    <n v="0"/>
    <n v="0"/>
    <n v="0"/>
    <n v="0"/>
    <n v="2.2000000000000002"/>
    <n v="6.299268699923978"/>
    <n v="7.3"/>
    <n v="0"/>
    <n v="2.2000000000000002"/>
    <n v="2.2000000000000002"/>
    <n v="22"/>
    <x v="7"/>
    <n v="0"/>
    <n v="0"/>
    <n v="0"/>
    <n v="0"/>
    <n v="0"/>
    <n v="0"/>
    <n v="0"/>
    <n v="0"/>
    <n v="0"/>
    <n v="0"/>
    <n v="81.16"/>
    <n v="25"/>
    <n v="16.238495398159262"/>
    <n v="-100"/>
    <n v="0"/>
    <n v="0"/>
    <n v="0"/>
    <n v="0"/>
    <n v="0.8"/>
    <n v="11.300000000000002"/>
    <n v="-9999"/>
    <n v="-999"/>
    <n v="-99999"/>
    <n v="-99999"/>
    <s v=""/>
    <n v="0.22527594545454555"/>
    <n v="-999"/>
    <n v="0.26123456703703712"/>
    <n v="0"/>
    <n v="0"/>
    <n v="1"/>
    <n v="13.299999999999999"/>
    <n v="1"/>
    <n v="13.299999999999999"/>
    <d v="2015-01-22T00:00:00"/>
  </r>
  <r>
    <d v="2015-01-23T00:00:00"/>
    <n v="23"/>
    <s v="Inicial"/>
    <n v="1.8"/>
    <n v="0.27602222100000018"/>
    <m/>
    <n v="0.95284000000000002"/>
    <n v="1.10284"/>
    <n v="1.2351810000000001"/>
    <n v="0"/>
    <n v="0"/>
    <n v="0"/>
    <n v="0"/>
    <n v="2.2000000000000002"/>
    <n v="6.7497863450996878"/>
    <n v="7.3"/>
    <n v="0"/>
    <n v="2.2000000000000002"/>
    <n v="2.2000000000000002"/>
    <n v="23"/>
    <x v="7"/>
    <n v="0"/>
    <n v="0"/>
    <n v="0"/>
    <n v="0"/>
    <n v="0"/>
    <n v="0"/>
    <n v="0"/>
    <n v="0"/>
    <n v="0"/>
    <n v="0"/>
    <n v="81.16"/>
    <n v="25"/>
    <n v="16.238495398159262"/>
    <n v="-100"/>
    <n v="0"/>
    <n v="0"/>
    <n v="0"/>
    <n v="0"/>
    <n v="1.2"/>
    <n v="12.500000000000002"/>
    <n v="-9999"/>
    <n v="-999"/>
    <n v="-99999"/>
    <n v="-99999"/>
    <s v=""/>
    <n v="0.22679056363636374"/>
    <n v="-999"/>
    <n v="0.26112654236111121"/>
    <n v="0"/>
    <n v="0"/>
    <n v="1.8"/>
    <n v="15.1"/>
    <n v="1.8"/>
    <n v="15.1"/>
    <d v="2015-01-23T00:00:00"/>
  </r>
  <r>
    <d v="2015-01-24T00:00:00"/>
    <n v="24"/>
    <s v="Inicial"/>
    <n v="2.2000000000000002"/>
    <n v="0.27586666546666683"/>
    <m/>
    <n v="1.0147360000000001"/>
    <n v="1.164736"/>
    <n v="1.327799"/>
    <n v="0"/>
    <n v="0"/>
    <n v="0"/>
    <n v="0"/>
    <n v="1.9"/>
    <n v="7.3810929396498528"/>
    <n v="7.3"/>
    <n v="0"/>
    <n v="1.9"/>
    <n v="1.9"/>
    <n v="24"/>
    <x v="7"/>
    <n v="0"/>
    <n v="0"/>
    <n v="0"/>
    <n v="0"/>
    <n v="0"/>
    <n v="0"/>
    <n v="0"/>
    <n v="0"/>
    <n v="0"/>
    <n v="0"/>
    <n v="81.16"/>
    <n v="25"/>
    <n v="16.238495398159262"/>
    <n v="-100"/>
    <n v="0"/>
    <n v="0"/>
    <n v="0"/>
    <n v="0"/>
    <n v="1.7"/>
    <n v="14.200000000000001"/>
    <n v="9"/>
    <n v="1.4"/>
    <n v="-99999"/>
    <n v="-99999"/>
    <s v=""/>
    <n v="0.22830518181818193"/>
    <n v="-999"/>
    <n v="0.2610185176851853"/>
    <n v="0"/>
    <n v="0"/>
    <n v="2.2000000000000002"/>
    <n v="17.3"/>
    <n v="2.2000000000000002"/>
    <n v="17.3"/>
    <d v="2015-01-24T00:00:00"/>
  </r>
  <r>
    <d v="2015-01-25T00:00:00"/>
    <n v="25"/>
    <s v="Inicial"/>
    <n v="3.2"/>
    <n v="0.27571110993333348"/>
    <m/>
    <n v="1.0132650000000001"/>
    <n v="1.163265"/>
    <n v="1.1865300000000001"/>
    <n v="0"/>
    <n v="0"/>
    <n v="0"/>
    <n v="0"/>
    <n v="5.7"/>
    <n v="7.7835376401248926"/>
    <n v="7.3"/>
    <n v="0"/>
    <n v="5.7"/>
    <n v="5.7"/>
    <n v="25"/>
    <x v="7"/>
    <n v="0"/>
    <n v="0"/>
    <n v="0"/>
    <n v="0"/>
    <n v="0"/>
    <n v="0"/>
    <n v="0"/>
    <n v="0"/>
    <n v="-0.92967567567567544"/>
    <n v="-0.92967567567567544"/>
    <n v="80.230324324324314"/>
    <n v="25"/>
    <n v="16.052485859208545"/>
    <n v="-100"/>
    <n v="0"/>
    <n v="0"/>
    <n v="0"/>
    <n v="0"/>
    <n v="1.1000000000000001"/>
    <n v="15.3"/>
    <n v="-9999"/>
    <n v="-999"/>
    <n v="-99999"/>
    <n v="-99999"/>
    <s v=""/>
    <n v="0.22981980000000013"/>
    <n v="-999"/>
    <n v="0.26091049300925939"/>
    <n v="0"/>
    <n v="0"/>
    <n v="3.2"/>
    <n v="20.5"/>
    <n v="3.2"/>
    <n v="20.5"/>
    <d v="2015-01-25T00:00:00"/>
  </r>
  <r>
    <d v="2015-01-26T00:00:00"/>
    <n v="26"/>
    <s v="Inicial"/>
    <n v="1.8"/>
    <n v="0.27555555440000024"/>
    <m/>
    <n v="1.0964419999999999"/>
    <n v="1.246442"/>
    <n v="2.1937389999999999"/>
    <n v="0"/>
    <n v="0"/>
    <n v="0"/>
    <n v="0"/>
    <n v="3.3"/>
    <n v="8.1097387975497846"/>
    <n v="7.3"/>
    <n v="0"/>
    <n v="3.3"/>
    <n v="3.3"/>
    <n v="26"/>
    <x v="8"/>
    <n v="0"/>
    <n v="0"/>
    <n v="0"/>
    <n v="0"/>
    <n v="0"/>
    <n v="0"/>
    <n v="0"/>
    <n v="0"/>
    <n v="-0.92967567567567544"/>
    <n v="-1.8593513513513509"/>
    <n v="79.300648648648632"/>
    <n v="25"/>
    <n v="15.86647632025783"/>
    <n v="-100"/>
    <n v="0"/>
    <n v="0"/>
    <n v="0"/>
    <n v="0"/>
    <n v="0.9"/>
    <n v="16.2"/>
    <n v="-9999"/>
    <n v="-999"/>
    <n v="-99999"/>
    <n v="-99999"/>
    <s v=""/>
    <n v="0.23133441818181832"/>
    <n v="-999"/>
    <n v="0.26080246833333348"/>
    <n v="0"/>
    <n v="0"/>
    <n v="1.8"/>
    <n v="22.3"/>
    <n v="1.8"/>
    <n v="22.3"/>
    <d v="2015-01-26T00:00:00"/>
  </r>
  <r>
    <d v="2015-01-27T00:00:00"/>
    <n v="27"/>
    <s v="Inicial"/>
    <n v="2.1"/>
    <n v="0.27539999886666688"/>
    <m/>
    <n v="1.1029880000000001"/>
    <n v="1.252988"/>
    <n v="2.7816339999999999"/>
    <n v="0"/>
    <n v="0"/>
    <n v="0"/>
    <n v="0"/>
    <n v="5.0999999999999996"/>
    <n v="8.4334903787696209"/>
    <n v="7.3"/>
    <n v="0"/>
    <n v="5.0999999999999996"/>
    <n v="5.0999999999999996"/>
    <n v="27"/>
    <x v="8"/>
    <n v="0"/>
    <n v="0"/>
    <n v="0"/>
    <n v="0"/>
    <n v="0"/>
    <n v="0"/>
    <n v="0"/>
    <n v="0"/>
    <n v="-0.92967567567567544"/>
    <n v="-2.7890270270270263"/>
    <n v="78.37097297297295"/>
    <n v="25"/>
    <n v="15.680466781307112"/>
    <n v="-100"/>
    <n v="0"/>
    <n v="0"/>
    <n v="0"/>
    <n v="0"/>
    <n v="0.9"/>
    <n v="17.099999999999998"/>
    <n v="-9999"/>
    <n v="-999"/>
    <n v="-99999"/>
    <n v="-99999"/>
    <s v=""/>
    <n v="0.23284903636363652"/>
    <n v="-999"/>
    <n v="0.26069444365740757"/>
    <n v="0"/>
    <n v="0"/>
    <n v="2.1"/>
    <n v="24.400000000000002"/>
    <n v="2.1"/>
    <n v="24.400000000000002"/>
    <d v="2015-01-27T00:00:00"/>
  </r>
  <r>
    <d v="2015-01-28T00:00:00"/>
    <n v="28"/>
    <s v="Inicial"/>
    <n v="2.2999999999999998"/>
    <n v="0.27524444333333353"/>
    <m/>
    <n v="1.1361079999999999"/>
    <n v="1.286108"/>
    <n v="4.064101"/>
    <n v="0"/>
    <n v="0"/>
    <n v="0"/>
    <n v="0"/>
    <n v="5"/>
    <n v="8.7905678703963854"/>
    <n v="7.3"/>
    <n v="0"/>
    <n v="5"/>
    <n v="5"/>
    <n v="28"/>
    <x v="8"/>
    <n v="0"/>
    <n v="0"/>
    <n v="0"/>
    <n v="0"/>
    <n v="0"/>
    <n v="0"/>
    <n v="0"/>
    <n v="0"/>
    <n v="-0.92967567567567544"/>
    <n v="-3.7187027027027018"/>
    <n v="77.441297297297268"/>
    <n v="25"/>
    <n v="15.494457242356397"/>
    <n v="-100"/>
    <n v="0"/>
    <n v="0"/>
    <n v="0"/>
    <n v="0"/>
    <n v="1"/>
    <n v="18.099999999999998"/>
    <n v="-9999"/>
    <n v="-999"/>
    <n v="-99999"/>
    <n v="-99999"/>
    <s v=""/>
    <n v="0.23436365454545471"/>
    <n v="-999"/>
    <n v="0.26058641898148166"/>
    <n v="0"/>
    <n v="0"/>
    <n v="2.2999999999999998"/>
    <n v="26.700000000000003"/>
    <n v="2.2999999999999998"/>
    <n v="26.700000000000003"/>
    <d v="2015-01-28T00:00:00"/>
  </r>
  <r>
    <d v="2015-01-29T00:00:00"/>
    <n v="29"/>
    <s v="Inicial"/>
    <n v="2.2999999999999998"/>
    <n v="0.27508888780000029"/>
    <m/>
    <n v="0.86833000000000005"/>
    <n v="1.01833"/>
    <n v="1.8024450000000001"/>
    <n v="0"/>
    <n v="0"/>
    <n v="0"/>
    <n v="0"/>
    <n v="6.3"/>
    <n v="9.0385313435053103"/>
    <n v="7.3"/>
    <n v="0"/>
    <n v="6.3"/>
    <n v="6.3"/>
    <n v="29"/>
    <x v="8"/>
    <n v="0"/>
    <n v="0"/>
    <n v="0"/>
    <n v="0"/>
    <n v="0"/>
    <n v="0"/>
    <n v="0"/>
    <n v="0"/>
    <n v="-0.92967567567567544"/>
    <n v="-4.6483783783783768"/>
    <n v="76.511621621621586"/>
    <n v="25"/>
    <n v="15.308447703405678"/>
    <n v="-100"/>
    <n v="0"/>
    <n v="0"/>
    <n v="0"/>
    <n v="0"/>
    <n v="0.7"/>
    <n v="18.799999999999997"/>
    <n v="-9999"/>
    <n v="-999"/>
    <n v="-99999"/>
    <n v="-99999"/>
    <s v=""/>
    <n v="0.23587827272727291"/>
    <n v="-999"/>
    <n v="0.26047839430555575"/>
    <n v="0"/>
    <n v="0"/>
    <n v="2.2999999999999998"/>
    <n v="29.000000000000004"/>
    <n v="2.2999999999999998"/>
    <n v="29.000000000000004"/>
    <d v="2015-01-29T00:00:00"/>
  </r>
  <r>
    <d v="2015-01-30T00:00:00"/>
    <n v="30"/>
    <s v="Inicial"/>
    <n v="2.5"/>
    <n v="0.27493333226666694"/>
    <m/>
    <n v="0.75979200000000002"/>
    <n v="0.90979200000000005"/>
    <n v="1.8741730000000001"/>
    <n v="0.2"/>
    <n v="0"/>
    <n v="0"/>
    <n v="0"/>
    <n v="11.9"/>
    <n v="9.3964027039743971"/>
    <n v="7.5"/>
    <n v="0"/>
    <n v="11.9"/>
    <n v="11.9"/>
    <n v="30"/>
    <x v="8"/>
    <n v="0"/>
    <n v="0"/>
    <n v="0"/>
    <n v="0"/>
    <n v="0"/>
    <n v="0"/>
    <n v="0"/>
    <n v="0"/>
    <n v="-0.92967567567567544"/>
    <n v="-5.5780540540540517"/>
    <n v="75.581945945945904"/>
    <n v="25"/>
    <n v="15.122438164454962"/>
    <n v="-100"/>
    <n v="0"/>
    <n v="0"/>
    <n v="0"/>
    <n v="0"/>
    <n v="1"/>
    <n v="19.799999999999997"/>
    <n v="-9999"/>
    <n v="-999"/>
    <n v="-99999"/>
    <n v="-99999"/>
    <s v=""/>
    <n v="0.2373928909090911"/>
    <n v="-999"/>
    <n v="0.26037036962962984"/>
    <n v="0"/>
    <n v="0"/>
    <n v="2.5"/>
    <n v="31.500000000000004"/>
    <n v="2.5"/>
    <n v="31.500000000000004"/>
    <d v="2015-01-30T00:00:00"/>
  </r>
  <r>
    <d v="2015-01-31T00:00:00"/>
    <n v="31"/>
    <s v="Inicial"/>
    <n v="2.2000000000000002"/>
    <n v="0.27477777673333359"/>
    <m/>
    <n v="0.644007"/>
    <n v="0.79400700000000002"/>
    <n v="1.8262149999999999"/>
    <n v="11.2"/>
    <n v="0"/>
    <n v="0"/>
    <n v="0"/>
    <n v="7.3"/>
    <n v="10.930579648154398"/>
    <n v="18.7"/>
    <n v="0"/>
    <n v="7.3"/>
    <n v="7.3"/>
    <n v="31"/>
    <x v="8"/>
    <n v="0"/>
    <n v="0"/>
    <n v="0"/>
    <n v="0"/>
    <n v="0"/>
    <n v="0"/>
    <n v="0"/>
    <n v="0"/>
    <n v="-0.92967567567567544"/>
    <n v="-6.5077297297297267"/>
    <n v="74.652270270270222"/>
    <n v="25"/>
    <n v="14.936428625504247"/>
    <n v="-100"/>
    <n v="0"/>
    <n v="0"/>
    <n v="0"/>
    <n v="0"/>
    <n v="1.5"/>
    <n v="21.299999999999997"/>
    <n v="-9999"/>
    <n v="-999"/>
    <n v="-99999"/>
    <n v="-99999"/>
    <s v=""/>
    <n v="0.2389075090909093"/>
    <n v="-999"/>
    <n v="0.26026234495370393"/>
    <n v="0"/>
    <n v="0"/>
    <n v="2.2000000000000002"/>
    <n v="33.700000000000003"/>
    <n v="2.2000000000000002"/>
    <n v="33.700000000000003"/>
    <d v="2015-01-31T00:00:00"/>
  </r>
  <r>
    <d v="2015-02-01T00:00:00"/>
    <n v="32"/>
    <s v="Inicial"/>
    <n v="1.9"/>
    <n v="0.27462222120000035"/>
    <m/>
    <n v="0.53226700000000005"/>
    <n v="0.68226699999999996"/>
    <n v="1.555569"/>
    <n v="0"/>
    <n v="0"/>
    <n v="0"/>
    <n v="0"/>
    <n v="2.2999999999999998"/>
    <n v="12.464756592334398"/>
    <n v="18.7"/>
    <n v="0"/>
    <n v="2.2999999999999998"/>
    <n v="2.2999999999999998"/>
    <n v="32"/>
    <x v="8"/>
    <n v="0"/>
    <n v="0"/>
    <n v="0"/>
    <n v="0"/>
    <n v="0"/>
    <n v="0"/>
    <n v="0"/>
    <n v="0"/>
    <n v="-0.92967567567567544"/>
    <n v="-7.4374054054054017"/>
    <n v="73.72259459459454"/>
    <n v="25"/>
    <n v="14.75041908655353"/>
    <n v="-100"/>
    <n v="0"/>
    <n v="0"/>
    <n v="0"/>
    <n v="0"/>
    <n v="1.5"/>
    <n v="22.799999999999997"/>
    <n v="-9999"/>
    <n v="-999"/>
    <n v="-99999"/>
    <n v="-99999"/>
    <s v=""/>
    <n v="0.24042212727272749"/>
    <n v="-999"/>
    <n v="0.26015432027777802"/>
    <n v="0"/>
    <n v="0"/>
    <n v="1.9"/>
    <n v="35.6"/>
    <n v="1.9"/>
    <n v="35.6"/>
    <d v="2015-02-01T00:00:00"/>
  </r>
  <r>
    <d v="2015-02-02T00:00:00"/>
    <n v="33"/>
    <s v="Inicial"/>
    <n v="1"/>
    <n v="0.274466665666667"/>
    <m/>
    <n v="0.45882800000000001"/>
    <n v="0.60882800000000004"/>
    <n v="1.515981"/>
    <n v="0.6"/>
    <n v="0"/>
    <n v="0"/>
    <n v="0"/>
    <n v="2.5"/>
    <n v="13.998933536514398"/>
    <n v="19.3"/>
    <n v="0"/>
    <n v="2.5"/>
    <n v="2.5"/>
    <n v="33"/>
    <x v="9"/>
    <n v="0"/>
    <n v="0"/>
    <n v="0"/>
    <n v="0"/>
    <n v="0"/>
    <n v="0"/>
    <n v="0"/>
    <n v="0"/>
    <n v="-0.92967567567567544"/>
    <n v="-8.3670810810810767"/>
    <n v="72.792918918918858"/>
    <n v="25"/>
    <n v="14.564409547602814"/>
    <n v="-100"/>
    <n v="0"/>
    <n v="0"/>
    <n v="0"/>
    <n v="0"/>
    <n v="1.5"/>
    <n v="24.299999999999997"/>
    <n v="-9999"/>
    <n v="-999"/>
    <n v="-99999"/>
    <n v="-99999"/>
    <s v=""/>
    <n v="0.24193674545454569"/>
    <n v="-999"/>
    <n v="0.26004629560185211"/>
    <n v="0"/>
    <n v="0"/>
    <n v="1"/>
    <n v="36.6"/>
    <n v="1"/>
    <n v="36.6"/>
    <d v="2015-02-02T00:00:00"/>
  </r>
  <r>
    <d v="2015-02-03T00:00:00"/>
    <n v="34"/>
    <s v="Inicial"/>
    <n v="2"/>
    <n v="0.27431111013333376"/>
    <m/>
    <n v="1.045812"/>
    <n v="1.1958120000000001"/>
    <n v="2.5949110000000002"/>
    <n v="1.2"/>
    <n v="0"/>
    <n v="0"/>
    <n v="0"/>
    <n v="6.2"/>
    <n v="15.430832017749065"/>
    <n v="20.5"/>
    <n v="0"/>
    <n v="6.2"/>
    <n v="6.2"/>
    <n v="34"/>
    <x v="9"/>
    <n v="0"/>
    <n v="0"/>
    <n v="0"/>
    <n v="0"/>
    <n v="0"/>
    <n v="0"/>
    <n v="0"/>
    <n v="0"/>
    <n v="-0.92967567567567544"/>
    <n v="-9.2967567567567517"/>
    <n v="71.863243243243176"/>
    <n v="25"/>
    <n v="14.378400008652095"/>
    <n v="-100"/>
    <n v="0"/>
    <n v="0"/>
    <n v="0"/>
    <n v="0"/>
    <n v="1.4"/>
    <n v="25.699999999999996"/>
    <n v="-9999"/>
    <n v="-999"/>
    <n v="-99999"/>
    <n v="-99999"/>
    <s v=""/>
    <n v="0.24345136363636388"/>
    <n v="-999"/>
    <n v="0.2599382709259262"/>
    <n v="0"/>
    <n v="0"/>
    <n v="2"/>
    <n v="38.6"/>
    <n v="2"/>
    <n v="38.6"/>
    <d v="2015-02-03T00:00:00"/>
  </r>
  <r>
    <d v="2015-02-04T00:00:00"/>
    <n v="35"/>
    <s v="Inicial"/>
    <n v="1.2"/>
    <n v="0.27415555460000041"/>
    <m/>
    <n v="0.95535700000000001"/>
    <n v="1.1053569999999999"/>
    <n v="2.1112310000000001"/>
    <n v="3.7"/>
    <n v="0"/>
    <n v="0"/>
    <n v="0"/>
    <n v="0.6"/>
    <n v="16.965008961929065"/>
    <n v="24.2"/>
    <n v="0"/>
    <n v="0.6"/>
    <n v="0.6"/>
    <n v="35"/>
    <x v="9"/>
    <n v="0"/>
    <n v="0"/>
    <n v="0"/>
    <n v="0"/>
    <n v="0"/>
    <n v="0"/>
    <n v="0"/>
    <n v="0"/>
    <n v="-0.92967567567567544"/>
    <n v="-10.226432432432427"/>
    <n v="70.933567567567493"/>
    <n v="25"/>
    <n v="14.19239046970138"/>
    <n v="-100"/>
    <n v="0"/>
    <n v="0"/>
    <n v="0"/>
    <n v="0"/>
    <n v="1.5"/>
    <n v="27.199999999999996"/>
    <n v="11"/>
    <n v="1.4"/>
    <n v="-99999"/>
    <n v="-99999"/>
    <s v=""/>
    <n v="0.24496598181818208"/>
    <n v="-999"/>
    <n v="0.25983024625000029"/>
    <n v="0"/>
    <n v="0"/>
    <n v="1.2"/>
    <n v="39.800000000000004"/>
    <n v="1.2"/>
    <n v="39.800000000000004"/>
    <d v="2015-02-04T00:00:00"/>
  </r>
  <r>
    <d v="2015-02-05T00:00:00"/>
    <n v="36"/>
    <s v="Inicial"/>
    <n v="1.8"/>
    <n v="0.27399999906666705"/>
    <m/>
    <n v="0.80350299999999997"/>
    <n v="0.95350299999999999"/>
    <n v="0.93443299999999996"/>
    <n v="0"/>
    <n v="0"/>
    <n v="0"/>
    <n v="0"/>
    <n v="0.2"/>
    <n v="18.601464369054398"/>
    <n v="24.2"/>
    <n v="0"/>
    <n v="0.2"/>
    <n v="0.2"/>
    <n v="36"/>
    <x v="9"/>
    <n v="0"/>
    <n v="0"/>
    <n v="0"/>
    <n v="0"/>
    <n v="0"/>
    <n v="0"/>
    <n v="0"/>
    <n v="0"/>
    <n v="-0.63306486486486502"/>
    <n v="-10.859497297297292"/>
    <n v="70.30050270270263"/>
    <n v="25"/>
    <n v="14.065726831273034"/>
    <n v="-100"/>
    <n v="0"/>
    <n v="0"/>
    <n v="0"/>
    <n v="0"/>
    <n v="1.6"/>
    <n v="28.799999999999997"/>
    <n v="-9999"/>
    <n v="-999"/>
    <n v="-99999"/>
    <n v="-99999"/>
    <s v=""/>
    <n v="0.24648060000000027"/>
    <n v="-999"/>
    <n v="0.25972222157407437"/>
    <n v="0"/>
    <n v="0"/>
    <n v="1.8"/>
    <n v="41.6"/>
    <n v="1.8"/>
    <n v="41.6"/>
    <d v="2015-02-05T00:00:00"/>
  </r>
  <r>
    <d v="2015-02-06T00:00:00"/>
    <n v="37"/>
    <s v="Inicial"/>
    <n v="1.7"/>
    <n v="0.27384444353333381"/>
    <m/>
    <n v="1.00952"/>
    <n v="1.1595200000000001"/>
    <n v="2.2610640000000002"/>
    <n v="0"/>
    <n v="0"/>
    <n v="0"/>
    <n v="0"/>
    <n v="-0.1"/>
    <n v="20.544755165015729"/>
    <n v="24.2"/>
    <n v="0"/>
    <n v="-0.1"/>
    <n v="-0.1"/>
    <n v="37"/>
    <x v="9"/>
    <n v="0"/>
    <n v="0"/>
    <n v="0"/>
    <n v="0"/>
    <n v="0"/>
    <n v="0"/>
    <n v="0"/>
    <n v="0"/>
    <n v="-0.63306486486486502"/>
    <n v="-11.492562162162157"/>
    <n v="69.667437837837767"/>
    <n v="25"/>
    <n v="13.939063192844692"/>
    <n v="-100"/>
    <n v="0"/>
    <n v="0"/>
    <n v="0"/>
    <n v="0"/>
    <n v="1.9"/>
    <n v="30.699999999999996"/>
    <n v="-9999"/>
    <n v="-999"/>
    <n v="-99999"/>
    <n v="-99999"/>
    <s v=""/>
    <n v="0.24799521818181847"/>
    <n v="-999"/>
    <n v="0.25961419689814846"/>
    <n v="0"/>
    <n v="0"/>
    <n v="1.7"/>
    <n v="43.300000000000004"/>
    <n v="1.7"/>
    <n v="43.300000000000004"/>
    <d v="2015-02-06T00:00:00"/>
  </r>
  <r>
    <d v="2015-02-07T00:00:00"/>
    <n v="38"/>
    <s v="Inicial"/>
    <n v="0.8"/>
    <n v="0.27368888800000046"/>
    <m/>
    <n v="1.0032620000000001"/>
    <n v="1.153262"/>
    <n v="1.3954470000000001"/>
    <n v="0"/>
    <n v="0"/>
    <n v="0"/>
    <n v="0"/>
    <n v="-1.4"/>
    <n v="21.293571697284452"/>
    <n v="24.2"/>
    <n v="0"/>
    <n v="-1.4"/>
    <n v="-1.4"/>
    <n v="38"/>
    <x v="9"/>
    <n v="0"/>
    <n v="0"/>
    <n v="0"/>
    <n v="0"/>
    <n v="0"/>
    <n v="0"/>
    <n v="0"/>
    <n v="0"/>
    <n v="-0.63306486486486502"/>
    <n v="-12.125627027027022"/>
    <n v="69.034372972972903"/>
    <n v="25"/>
    <n v="13.812399554416347"/>
    <n v="-100"/>
    <n v="0"/>
    <n v="0"/>
    <n v="0"/>
    <n v="0"/>
    <n v="2"/>
    <n v="32.699999999999996"/>
    <n v="-9999"/>
    <n v="-999"/>
    <n v="-99999"/>
    <n v="-99999"/>
    <s v=""/>
    <n v="0.24950983636363666"/>
    <n v="-999"/>
    <n v="0.25950617222222255"/>
    <n v="0"/>
    <n v="0"/>
    <n v="0.8"/>
    <n v="44.1"/>
    <n v="0.8"/>
    <n v="44.1"/>
    <d v="2015-02-07T00:00:00"/>
  </r>
  <r>
    <d v="2015-02-08T00:00:00"/>
    <n v="39"/>
    <s v="Inicial"/>
    <n v="1.2"/>
    <n v="0.27353333246666711"/>
    <m/>
    <n v="1.0351129999999999"/>
    <n v="1.1851130000000001"/>
    <n v="2.1450550000000002"/>
    <n v="0"/>
    <n v="0"/>
    <n v="0"/>
    <n v="0"/>
    <n v="-0.8"/>
    <n v="21.734691851710103"/>
    <n v="24.2"/>
    <n v="0"/>
    <n v="-0.8"/>
    <n v="-0.8"/>
    <n v="39"/>
    <x v="9"/>
    <n v="0"/>
    <n v="0"/>
    <n v="0"/>
    <n v="0"/>
    <n v="0"/>
    <n v="0"/>
    <n v="0"/>
    <n v="0"/>
    <n v="-0.63306486486486502"/>
    <n v="-12.758691891891887"/>
    <n v="68.40130810810804"/>
    <n v="25"/>
    <n v="13.685735915988005"/>
    <n v="-100"/>
    <n v="0"/>
    <n v="0"/>
    <n v="0"/>
    <n v="0"/>
    <n v="1.2"/>
    <n v="33.9"/>
    <n v="-9999"/>
    <n v="-999"/>
    <n v="-99999"/>
    <n v="-99999"/>
    <s v=""/>
    <n v="0.25102445454545486"/>
    <n v="-999"/>
    <n v="0.25939814754629664"/>
    <n v="0"/>
    <n v="0"/>
    <n v="1.2"/>
    <n v="45.300000000000004"/>
    <n v="1.2"/>
    <n v="45.300000000000004"/>
    <d v="2015-02-08T00:00:00"/>
  </r>
  <r>
    <d v="2015-02-09T00:00:00"/>
    <n v="40"/>
    <s v="Inicial"/>
    <n v="0.9"/>
    <n v="0.27337777693333387"/>
    <m/>
    <n v="1.044943"/>
    <n v="1.1949430000000001"/>
    <n v="1.9716560000000001"/>
    <n v="0"/>
    <n v="0"/>
    <n v="0"/>
    <n v="0"/>
    <n v="0.6"/>
    <n v="22.644001105475315"/>
    <n v="24.2"/>
    <n v="0"/>
    <n v="0.6"/>
    <n v="0.6"/>
    <n v="40"/>
    <x v="10"/>
    <n v="0"/>
    <n v="0"/>
    <n v="0"/>
    <n v="0"/>
    <n v="0"/>
    <n v="0"/>
    <n v="0"/>
    <n v="0"/>
    <n v="-0.63306486486486502"/>
    <n v="-13.391756756756752"/>
    <n v="67.768243243243177"/>
    <n v="25"/>
    <n v="13.559072277559659"/>
    <n v="-100"/>
    <n v="0"/>
    <n v="0"/>
    <n v="0"/>
    <n v="0"/>
    <n v="2.5"/>
    <n v="36.4"/>
    <n v="-9999"/>
    <n v="-999"/>
    <n v="-99999"/>
    <n v="-99999"/>
    <s v=""/>
    <n v="0.25253907272727305"/>
    <n v="-999"/>
    <n v="0.25929012287037073"/>
    <n v="0"/>
    <n v="0"/>
    <n v="0.9"/>
    <n v="46.2"/>
    <n v="0.9"/>
    <n v="46.2"/>
    <d v="2015-02-09T00:00:00"/>
  </r>
  <r>
    <d v="2015-02-10T00:00:00"/>
    <n v="41"/>
    <s v="Inicial"/>
    <n v="0.8"/>
    <n v="0.27322222140000052"/>
    <m/>
    <n v="0.97456600000000004"/>
    <n v="1.124566"/>
    <n v="0.93338900000000002"/>
    <n v="0.2"/>
    <n v="0"/>
    <n v="0"/>
    <n v="0"/>
    <n v="3.6"/>
    <n v="23.512135821727611"/>
    <n v="24.4"/>
    <n v="0"/>
    <n v="3.6"/>
    <n v="3.6"/>
    <n v="41"/>
    <x v="10"/>
    <n v="0"/>
    <n v="0"/>
    <n v="0"/>
    <n v="0"/>
    <n v="0"/>
    <n v="0"/>
    <n v="0"/>
    <n v="0"/>
    <n v="-0.63306486486486502"/>
    <n v="-14.024821621621617"/>
    <n v="67.135178378378313"/>
    <n v="25"/>
    <n v="13.432408639131316"/>
    <n v="-100"/>
    <n v="0"/>
    <n v="0"/>
    <n v="0"/>
    <n v="0"/>
    <n v="2.4"/>
    <n v="38.799999999999997"/>
    <n v="-9999"/>
    <n v="-999"/>
    <n v="-99999"/>
    <n v="-99999"/>
    <s v=""/>
    <n v="0.25405369090909125"/>
    <n v="-999"/>
    <n v="0.25918209819444482"/>
    <n v="0"/>
    <n v="0"/>
    <n v="0.8"/>
    <n v="47"/>
    <n v="0.8"/>
    <n v="47"/>
    <d v="2015-02-10T00:00:00"/>
  </r>
  <r>
    <d v="2015-02-11T00:00:00"/>
    <n v="42"/>
    <s v="Inicial"/>
    <n v="1.3"/>
    <n v="0.27306666586666717"/>
    <m/>
    <n v="1.0477650000000001"/>
    <n v="1.197765"/>
    <n v="1.4492959999999999"/>
    <n v="0.2"/>
    <n v="0"/>
    <n v="0"/>
    <n v="0"/>
    <n v="5.9"/>
    <n v="24.44857114363354"/>
    <n v="24.599999999999998"/>
    <n v="0"/>
    <n v="5.9"/>
    <n v="5.9"/>
    <n v="42"/>
    <x v="10"/>
    <n v="0"/>
    <n v="0"/>
    <n v="0"/>
    <n v="0"/>
    <n v="0"/>
    <n v="0"/>
    <n v="0"/>
    <n v="0"/>
    <n v="-0.63306486486486502"/>
    <n v="-14.657886486486483"/>
    <n v="66.50211351351345"/>
    <n v="25"/>
    <n v="13.305745000702972"/>
    <n v="-100"/>
    <n v="0"/>
    <n v="0"/>
    <n v="0"/>
    <n v="0"/>
    <n v="2.6"/>
    <n v="41.4"/>
    <n v="-9999"/>
    <n v="-999"/>
    <n v="-99999"/>
    <n v="-99999"/>
    <s v=""/>
    <n v="0.25556830909090944"/>
    <n v="-999"/>
    <n v="0.25907407351851891"/>
    <n v="0"/>
    <n v="0"/>
    <n v="1.3"/>
    <n v="48.3"/>
    <n v="1.3"/>
    <n v="48.3"/>
    <d v="2015-02-11T00:00:00"/>
  </r>
  <r>
    <d v="2015-02-12T00:00:00"/>
    <n v="43"/>
    <s v="Inicial"/>
    <n v="0.7"/>
    <n v="0.27291111033333393"/>
    <m/>
    <n v="1.022605"/>
    <n v="1.1726049999999999"/>
    <n v="1.00844"/>
    <n v="1.8"/>
    <n v="0"/>
    <n v="0"/>
    <n v="0"/>
    <n v="5.4"/>
    <n v="25.98274808781354"/>
    <n v="26.4"/>
    <n v="0"/>
    <n v="5.4"/>
    <n v="5.4"/>
    <n v="43"/>
    <x v="10"/>
    <n v="0"/>
    <n v="0"/>
    <n v="0"/>
    <n v="0"/>
    <n v="0"/>
    <n v="0"/>
    <n v="0"/>
    <n v="0"/>
    <n v="-0.63306486486486502"/>
    <n v="-15.290951351351348"/>
    <n v="65.869048648648587"/>
    <n v="25"/>
    <n v="13.179081362274628"/>
    <n v="-100"/>
    <n v="0"/>
    <n v="0"/>
    <n v="0"/>
    <n v="0"/>
    <n v="1.5"/>
    <n v="42.9"/>
    <n v="-9999"/>
    <n v="-999"/>
    <n v="-99999"/>
    <n v="-99999"/>
    <s v=""/>
    <n v="0.25708292727272763"/>
    <n v="-999"/>
    <n v="0.258966048842593"/>
    <n v="0"/>
    <n v="0"/>
    <n v="0.7"/>
    <n v="49"/>
    <n v="0.7"/>
    <n v="49"/>
    <d v="2015-02-12T00:00:00"/>
  </r>
  <r>
    <d v="2015-02-13T00:00:00"/>
    <n v="44"/>
    <s v="Inicial"/>
    <n v="1.2"/>
    <n v="0.27275555480000058"/>
    <m/>
    <n v="0.91366499999999995"/>
    <n v="1.0636650000000001"/>
    <n v="0.88284200000000002"/>
    <n v="0"/>
    <n v="0"/>
    <n v="0"/>
    <n v="0"/>
    <n v="4.0999999999999996"/>
    <n v="26.567878390534226"/>
    <n v="26.4"/>
    <n v="0"/>
    <n v="4.0999999999999996"/>
    <n v="4.0999999999999996"/>
    <n v="44"/>
    <x v="10"/>
    <n v="0"/>
    <n v="0"/>
    <n v="0"/>
    <n v="0"/>
    <n v="0"/>
    <n v="0"/>
    <n v="0"/>
    <n v="0"/>
    <n v="-0.63306486486486502"/>
    <n v="-15.924016216216213"/>
    <n v="65.235983783783723"/>
    <n v="25"/>
    <n v="13.052417723846284"/>
    <n v="-100"/>
    <n v="0"/>
    <n v="0"/>
    <n v="0"/>
    <n v="0"/>
    <n v="1.6"/>
    <n v="44.5"/>
    <n v="-9999"/>
    <n v="-999"/>
    <n v="-99999"/>
    <n v="-99999"/>
    <s v=""/>
    <n v="0.25859754545454583"/>
    <n v="-999"/>
    <n v="0.25885802416666709"/>
    <n v="0"/>
    <n v="0"/>
    <n v="1.2"/>
    <n v="50.2"/>
    <n v="1.2"/>
    <n v="50.2"/>
    <d v="2015-02-13T00:00:00"/>
  </r>
  <r>
    <d v="2015-02-14T00:00:00"/>
    <n v="45"/>
    <s v="Inicial"/>
    <n v="2.1"/>
    <n v="0.27259999926666723"/>
    <m/>
    <n v="0.93933"/>
    <n v="1.0893299999999999"/>
    <n v="1.4270229999999999"/>
    <n v="0.2"/>
    <n v="0"/>
    <n v="0"/>
    <n v="0"/>
    <n v="8.1999999999999993"/>
    <n v="27.227152498036638"/>
    <n v="26.599999999999998"/>
    <n v="0"/>
    <n v="8.1999999999999993"/>
    <n v="8.1999999999999993"/>
    <n v="45"/>
    <x v="10"/>
    <n v="0"/>
    <n v="0"/>
    <n v="0"/>
    <n v="0"/>
    <n v="0"/>
    <n v="0"/>
    <n v="0"/>
    <n v="0"/>
    <n v="-0.63306486486486502"/>
    <n v="-16.557081081081076"/>
    <n v="64.60291891891886"/>
    <n v="25"/>
    <n v="12.925754085417939"/>
    <n v="-100"/>
    <n v="0"/>
    <n v="0"/>
    <n v="0"/>
    <n v="0"/>
    <n v="1.8"/>
    <n v="46.3"/>
    <n v="-9999"/>
    <n v="-999"/>
    <n v="-99999"/>
    <n v="-99999"/>
    <s v=""/>
    <n v="0.26011216363636402"/>
    <n v="-999"/>
    <n v="0.25874999949074118"/>
    <n v="0"/>
    <n v="0"/>
    <n v="2.1"/>
    <n v="52.300000000000004"/>
    <n v="2.1"/>
    <n v="52.300000000000004"/>
    <d v="2015-02-14T00:00:00"/>
  </r>
  <r>
    <d v="2015-02-15T00:00:00"/>
    <n v="46"/>
    <s v="Inicial"/>
    <n v="1.3"/>
    <n v="0.27244444373333399"/>
    <m/>
    <n v="0.89463300000000001"/>
    <n v="1.0446329999999999"/>
    <n v="0.73124299999999998"/>
    <n v="1.8"/>
    <n v="0"/>
    <n v="0"/>
    <n v="0"/>
    <n v="8.8000000000000007"/>
    <n v="29.784114071669972"/>
    <n v="28.4"/>
    <n v="0"/>
    <n v="8.8000000000000007"/>
    <n v="8.8000000000000007"/>
    <n v="46"/>
    <x v="10"/>
    <n v="0"/>
    <n v="0"/>
    <n v="0"/>
    <n v="0"/>
    <n v="0"/>
    <n v="0"/>
    <n v="0"/>
    <n v="0"/>
    <n v="-0.63306486486486502"/>
    <n v="-17.19014594594594"/>
    <n v="63.969854054053997"/>
    <n v="25"/>
    <n v="12.799090446989595"/>
    <n v="-100"/>
    <n v="0"/>
    <n v="0"/>
    <n v="0"/>
    <n v="0"/>
    <n v="2.5"/>
    <n v="48.8"/>
    <n v="-9999"/>
    <n v="-999"/>
    <n v="-99999"/>
    <n v="-99999"/>
    <s v=""/>
    <n v="0.26162678181818222"/>
    <n v="-999"/>
    <n v="0.25864197481481527"/>
    <n v="0"/>
    <n v="0"/>
    <n v="1.3"/>
    <n v="53.6"/>
    <n v="1.3"/>
    <n v="53.6"/>
    <d v="2015-02-15T00:00:00"/>
  </r>
  <r>
    <d v="2015-02-16T00:00:00"/>
    <n v="47"/>
    <s v="Inicial"/>
    <n v="1.7"/>
    <n v="0.27228888820000063"/>
    <m/>
    <n v="0.92514200000000002"/>
    <n v="1.075142"/>
    <n v="1.3009219999999999"/>
    <n v="0.2"/>
    <n v="0"/>
    <n v="0"/>
    <n v="0"/>
    <n v="8.1999999999999993"/>
    <n v="30.386653701849919"/>
    <n v="28.599999999999998"/>
    <n v="0"/>
    <n v="8.1999999999999993"/>
    <n v="8.1999999999999993"/>
    <n v="47"/>
    <x v="11"/>
    <n v="0"/>
    <n v="0"/>
    <n v="0"/>
    <n v="0"/>
    <n v="0"/>
    <n v="0"/>
    <n v="0"/>
    <n v="0"/>
    <n v="-0.63306486486486502"/>
    <n v="-17.823210810810803"/>
    <n v="63.336789189189133"/>
    <n v="25"/>
    <n v="12.672426808561251"/>
    <n v="-100"/>
    <n v="0"/>
    <n v="0"/>
    <n v="0"/>
    <n v="0"/>
    <n v="1.7"/>
    <n v="50.5"/>
    <n v="-9999"/>
    <n v="-999"/>
    <n v="-99999"/>
    <n v="-99999"/>
    <s v=""/>
    <n v="0.26314140000000041"/>
    <n v="-999"/>
    <n v="0.25853395013888936"/>
    <n v="0"/>
    <n v="0"/>
    <n v="1.7"/>
    <n v="55.300000000000004"/>
    <n v="1.7"/>
    <n v="55.300000000000004"/>
    <d v="2015-02-16T00:00:00"/>
  </r>
  <r>
    <d v="2015-02-17T00:00:00"/>
    <n v="48"/>
    <s v="Inicial"/>
    <n v="1.2"/>
    <n v="0.27213333266666739"/>
    <m/>
    <n v="1.0381370000000001"/>
    <n v="1.188137"/>
    <n v="2.4832070000000002"/>
    <n v="6.3"/>
    <n v="0"/>
    <n v="0"/>
    <n v="0"/>
    <n v="6.2"/>
    <n v="32.636779886647254"/>
    <n v="34.9"/>
    <n v="0"/>
    <n v="6.2"/>
    <n v="6.2"/>
    <n v="48"/>
    <x v="11"/>
    <n v="0"/>
    <n v="0"/>
    <n v="0"/>
    <n v="0"/>
    <n v="0"/>
    <n v="0"/>
    <n v="0"/>
    <n v="0"/>
    <n v="-0.63306486486486502"/>
    <n v="-18.456275675675666"/>
    <n v="62.70372432432427"/>
    <n v="25"/>
    <n v="12.545763170132908"/>
    <n v="-100"/>
    <n v="0"/>
    <n v="0"/>
    <n v="0"/>
    <n v="0"/>
    <n v="2.2000000000000002"/>
    <n v="52.7"/>
    <n v="-9999"/>
    <n v="-999"/>
    <n v="-99999"/>
    <n v="-99999"/>
    <s v=""/>
    <n v="0.26465601818181861"/>
    <n v="-999"/>
    <n v="0.25842592546296345"/>
    <n v="0"/>
    <n v="0"/>
    <n v="1.2"/>
    <n v="56.500000000000007"/>
    <n v="1.2"/>
    <n v="56.500000000000007"/>
    <d v="2015-02-17T00:00:00"/>
  </r>
  <r>
    <d v="2015-02-18T00:00:00"/>
    <n v="49"/>
    <s v="Inicial"/>
    <n v="1.6"/>
    <n v="0.27197777713333404"/>
    <m/>
    <n v="0.95605600000000002"/>
    <n v="1.1060559999999999"/>
    <n v="1.437873"/>
    <n v="0"/>
    <n v="0"/>
    <n v="0"/>
    <n v="0"/>
    <n v="5.6"/>
    <n v="33.659564516100588"/>
    <n v="34.9"/>
    <n v="0"/>
    <n v="5.6"/>
    <n v="5.6"/>
    <n v="49"/>
    <x v="11"/>
    <n v="0"/>
    <n v="0"/>
    <n v="0"/>
    <n v="0"/>
    <n v="0"/>
    <n v="0"/>
    <n v="0"/>
    <n v="0"/>
    <n v="-0.63306486486486502"/>
    <n v="-19.08934054054053"/>
    <n v="62.070659459459407"/>
    <n v="25"/>
    <n v="12.419099531704564"/>
    <n v="-100"/>
    <n v="0"/>
    <n v="0"/>
    <n v="0"/>
    <n v="0"/>
    <n v="1"/>
    <n v="53.7"/>
    <n v="-9999"/>
    <n v="-999"/>
    <n v="-99999"/>
    <n v="-99999"/>
    <s v=""/>
    <n v="0.2661706363636368"/>
    <n v="-999"/>
    <n v="0.25831790078703754"/>
    <n v="0"/>
    <n v="0"/>
    <n v="1.6"/>
    <n v="58.100000000000009"/>
    <n v="1.6"/>
    <n v="58.100000000000009"/>
    <d v="2015-02-18T00:00:00"/>
  </r>
  <r>
    <d v="2015-02-19T00:00:00"/>
    <n v="50"/>
    <s v="Inicial"/>
    <n v="1.3"/>
    <n v="0.27182222160000069"/>
    <m/>
    <n v="0.95086499999999996"/>
    <n v="1.100865"/>
    <n v="1.882479"/>
    <n v="0"/>
    <n v="0"/>
    <n v="0"/>
    <n v="0"/>
    <n v="4.4000000000000004"/>
    <n v="35.091462997335256"/>
    <n v="34.9"/>
    <n v="0"/>
    <n v="4.4000000000000004"/>
    <n v="4.4000000000000004"/>
    <n v="50"/>
    <x v="11"/>
    <n v="0"/>
    <n v="0"/>
    <n v="0"/>
    <n v="0"/>
    <n v="0"/>
    <n v="0"/>
    <n v="0"/>
    <n v="0"/>
    <n v="-0.63306486486486502"/>
    <n v="-19.722405405405393"/>
    <n v="61.437594594594543"/>
    <n v="25"/>
    <n v="12.29243589327622"/>
    <n v="-100"/>
    <n v="0"/>
    <n v="0"/>
    <n v="0"/>
    <n v="0"/>
    <n v="1.4"/>
    <n v="55.1"/>
    <n v="12"/>
    <n v="1.4"/>
    <n v="-99999"/>
    <n v="-99999"/>
    <s v=""/>
    <n v="0.267685254545455"/>
    <n v="-999"/>
    <n v="0.25820987611111162"/>
    <n v="0"/>
    <n v="0"/>
    <n v="1.3"/>
    <n v="59.400000000000006"/>
    <n v="1.3"/>
    <n v="59.400000000000006"/>
    <d v="2015-02-19T00:00:00"/>
  </r>
  <r>
    <d v="2015-02-20T00:00:00"/>
    <n v="51"/>
    <s v="Inicial"/>
    <n v="1.3"/>
    <n v="0.27166666606666745"/>
    <m/>
    <n v="0.94306500000000004"/>
    <n v="1.093065"/>
    <n v="1.3444700000000001"/>
    <n v="0.2"/>
    <n v="0"/>
    <n v="0"/>
    <n v="0"/>
    <n v="3.7"/>
    <n v="37.137032256241923"/>
    <n v="35.1"/>
    <n v="0"/>
    <n v="3.7"/>
    <n v="3.7"/>
    <n v="51"/>
    <x v="11"/>
    <n v="0"/>
    <n v="0"/>
    <n v="0"/>
    <n v="0"/>
    <n v="0"/>
    <n v="0"/>
    <n v="0"/>
    <n v="0"/>
    <n v="-1.0956891891891893"/>
    <n v="-20.818094594594584"/>
    <n v="60.341905405405356"/>
    <n v="25"/>
    <n v="12.073210365227162"/>
    <n v="-100"/>
    <n v="0"/>
    <n v="0"/>
    <n v="0"/>
    <n v="0"/>
    <n v="2"/>
    <n v="57.1"/>
    <n v="-9999"/>
    <n v="-999"/>
    <n v="-99999"/>
    <n v="-99999"/>
    <s v=""/>
    <n v="0.26919987272727319"/>
    <n v="-999"/>
    <n v="0.25810185143518571"/>
    <n v="0"/>
    <n v="0"/>
    <n v="1.3"/>
    <n v="60.7"/>
    <n v="1.3"/>
    <n v="60.7"/>
    <d v="2015-02-20T00:00:00"/>
  </r>
  <r>
    <d v="2015-02-21T00:00:00"/>
    <n v="52"/>
    <s v="Inicial"/>
    <n v="1.5"/>
    <n v="0.2715111105333341"/>
    <m/>
    <n v="0.95090799999999998"/>
    <n v="1.100908"/>
    <n v="1.7064079999999999"/>
    <n v="1.4"/>
    <n v="0"/>
    <n v="0"/>
    <n v="0"/>
    <n v="4.5"/>
    <n v="37.816251799694648"/>
    <n v="36.5"/>
    <n v="0"/>
    <n v="4.5"/>
    <n v="4.5"/>
    <n v="52"/>
    <x v="11"/>
    <n v="0"/>
    <n v="0"/>
    <n v="0"/>
    <n v="0"/>
    <n v="0"/>
    <n v="0"/>
    <n v="0"/>
    <n v="0"/>
    <n v="-1.0956891891891893"/>
    <n v="-21.913783783783774"/>
    <n v="59.246216216216169"/>
    <n v="25"/>
    <n v="11.853984837178105"/>
    <n v="-100"/>
    <n v="0"/>
    <n v="0"/>
    <n v="0"/>
    <n v="0"/>
    <n v="1.8"/>
    <n v="58.9"/>
    <n v="-9999"/>
    <n v="-999"/>
    <n v="-99999"/>
    <n v="-99999"/>
    <s v=""/>
    <n v="0.27071449090909139"/>
    <n v="-999"/>
    <n v="0.2579938267592598"/>
    <n v="0"/>
    <n v="0"/>
    <n v="1.5"/>
    <n v="62.2"/>
    <n v="1.5"/>
    <n v="62.2"/>
    <d v="2015-02-21T00:00:00"/>
  </r>
  <r>
    <d v="2015-02-22T00:00:00"/>
    <n v="53"/>
    <s v="Inicial"/>
    <n v="2.8"/>
    <n v="0.27135555500000075"/>
    <m/>
    <n v="0.93392299999999995"/>
    <n v="1.083923"/>
    <n v="1.3765829999999999"/>
    <n v="0"/>
    <n v="0"/>
    <n v="0"/>
    <n v="0"/>
    <n v="6.4"/>
    <n v="38.780542697709912"/>
    <n v="36.5"/>
    <n v="0"/>
    <n v="6.4"/>
    <n v="6.4"/>
    <n v="53"/>
    <x v="11"/>
    <n v="0"/>
    <n v="0"/>
    <n v="0"/>
    <n v="0"/>
    <s v=""/>
    <n v="0"/>
    <n v="0"/>
    <n v="0"/>
    <n v="-1.0956891891891893"/>
    <n v="-23.009472972972965"/>
    <n v="58.150527027026982"/>
    <n v="25"/>
    <n v="11.634759309129048"/>
    <n v="-100"/>
    <n v="0"/>
    <n v="0"/>
    <n v="0"/>
    <n v="0"/>
    <n v="2.6"/>
    <n v="61.5"/>
    <n v="-9999"/>
    <n v="-999"/>
    <n v="-99999"/>
    <n v="-99999"/>
    <s v=""/>
    <n v="0.27222910909090958"/>
    <n v="-999"/>
    <n v="0.25788580208333389"/>
    <n v="0"/>
    <n v="0"/>
    <n v="2.8"/>
    <n v="65"/>
    <n v="2.8"/>
    <n v="65"/>
    <d v="2015-02-22T00:00:00"/>
  </r>
  <r>
    <d v="2015-02-23T00:00:00"/>
    <n v="54"/>
    <s v="Inicial"/>
    <n v="2.2000000000000002"/>
    <n v="0.27119999946666751"/>
    <m/>
    <n v="0.91640500000000003"/>
    <n v="1.066405"/>
    <n v="1.3436699999999999"/>
    <n v="3.3"/>
    <n v="0"/>
    <n v="0"/>
    <n v="0"/>
    <n v="8.6999999999999993"/>
    <n v="41.235225808397914"/>
    <n v="39.799999999999997"/>
    <n v="0"/>
    <n v="8.6999999999999993"/>
    <n v="8.6999999999999993"/>
    <n v="54"/>
    <x v="12"/>
    <n v="0"/>
    <n v="0"/>
    <n v="0"/>
    <n v="0"/>
    <n v="0"/>
    <n v="0"/>
    <n v="0"/>
    <n v="0"/>
    <n v="-1.0956891891891893"/>
    <n v="-24.105162162162156"/>
    <n v="57.054837837837795"/>
    <n v="25"/>
    <n v="11.41553378107999"/>
    <n v="-100"/>
    <n v="0"/>
    <n v="0"/>
    <n v="0"/>
    <n v="0"/>
    <n v="2.4"/>
    <n v="63.9"/>
    <n v="-9999"/>
    <n v="-999"/>
    <n v="-99999"/>
    <n v="-99999"/>
    <s v=""/>
    <n v="0.27374372727272778"/>
    <n v="-999"/>
    <n v="0.25777777740740798"/>
    <n v="0"/>
    <n v="0"/>
    <n v="2.2000000000000002"/>
    <n v="67.2"/>
    <n v="2.2000000000000002"/>
    <n v="67.2"/>
    <d v="2015-02-23T00:00:00"/>
  </r>
  <r>
    <d v="2015-02-24T00:00:00"/>
    <n v="55"/>
    <s v="Inicial"/>
    <n v="2.6"/>
    <n v="0.27104444393333416"/>
    <m/>
    <n v="0.95064899999999997"/>
    <n v="1.100649"/>
    <n v="1.6179539999999999"/>
    <n v="0"/>
    <n v="0"/>
    <n v="0"/>
    <n v="0"/>
    <n v="5.7"/>
    <n v="43.280795067304581"/>
    <n v="39.799999999999997"/>
    <n v="0"/>
    <n v="5.7"/>
    <n v="5.7"/>
    <n v="55"/>
    <x v="12"/>
    <n v="0"/>
    <n v="0"/>
    <n v="0"/>
    <n v="0"/>
    <n v="0"/>
    <n v="0"/>
    <n v="0"/>
    <n v="0"/>
    <n v="-1.0956891891891893"/>
    <n v="-25.200851351351346"/>
    <n v="55.959148648648608"/>
    <n v="25"/>
    <n v="11.196308253030933"/>
    <n v="-100"/>
    <n v="0"/>
    <n v="0"/>
    <n v="0"/>
    <n v="0"/>
    <n v="2"/>
    <n v="65.900000000000006"/>
    <n v="-9999"/>
    <n v="-999"/>
    <n v="-99999"/>
    <n v="-99999"/>
    <s v=""/>
    <n v="0.27525834545454597"/>
    <n v="-999"/>
    <n v="0.25766975273148207"/>
    <n v="0"/>
    <n v="0"/>
    <n v="2.6"/>
    <n v="69.8"/>
    <n v="2.6"/>
    <n v="69.8"/>
    <d v="2015-02-24T00:00:00"/>
  </r>
  <r>
    <d v="2015-02-25T00:00:00"/>
    <n v="56"/>
    <s v="Inicial"/>
    <n v="2.2000000000000002"/>
    <n v="0.2708888884000008"/>
    <m/>
    <n v="1.008424"/>
    <n v="1.1584239999999999"/>
    <n v="3.2320039999999999"/>
    <n v="0"/>
    <n v="0"/>
    <n v="0"/>
    <n v="0"/>
    <n v="6.5"/>
    <n v="44.108713806312281"/>
    <n v="39.799999999999997"/>
    <n v="0"/>
    <n v="6.5"/>
    <n v="6.5"/>
    <n v="56"/>
    <x v="12"/>
    <n v="0"/>
    <n v="0"/>
    <n v="0"/>
    <n v="0"/>
    <n v="0"/>
    <n v="0"/>
    <n v="0"/>
    <n v="0"/>
    <n v="-1.0956891891891893"/>
    <n v="-26.296540540540537"/>
    <n v="54.86345945945942"/>
    <n v="25"/>
    <n v="10.977082724981878"/>
    <n v="-100"/>
    <n v="0"/>
    <n v="0"/>
    <n v="0"/>
    <n v="0"/>
    <n v="2.4"/>
    <n v="68.300000000000011"/>
    <n v="-9999"/>
    <n v="-999"/>
    <n v="-99999"/>
    <n v="-99999"/>
    <s v=""/>
    <n v="0.27677296363636417"/>
    <n v="-999"/>
    <n v="0.25756172805555616"/>
    <n v="0"/>
    <n v="0"/>
    <n v="2.2000000000000002"/>
    <n v="72"/>
    <n v="2.2000000000000002"/>
    <n v="72"/>
    <d v="2015-02-25T00:00:00"/>
  </r>
  <r>
    <d v="2015-02-26T00:00:00"/>
    <n v="57"/>
    <s v="Inicial"/>
    <n v="3"/>
    <n v="0.27073333286666756"/>
    <m/>
    <n v="0.98982400000000004"/>
    <n v="1.1398239999999999"/>
    <n v="2.5532059999999999"/>
    <n v="0"/>
    <n v="0"/>
    <n v="0"/>
    <n v="0"/>
    <n v="10"/>
    <n v="44.684867638357026"/>
    <n v="39.799999999999997"/>
    <n v="0"/>
    <n v="10"/>
    <n v="10"/>
    <n v="57"/>
    <x v="12"/>
    <n v="0"/>
    <n v="0"/>
    <n v="0"/>
    <n v="0"/>
    <n v="0"/>
    <n v="0"/>
    <n v="0"/>
    <n v="0"/>
    <n v="-1.0956891891891893"/>
    <n v="-27.392229729729728"/>
    <n v="53.767770270270233"/>
    <n v="25"/>
    <n v="10.75785719693282"/>
    <n v="-100"/>
    <n v="0"/>
    <n v="0"/>
    <n v="0"/>
    <n v="0"/>
    <n v="1.7"/>
    <n v="70.000000000000014"/>
    <n v="-9999"/>
    <n v="-999"/>
    <n v="-99999"/>
    <n v="-99999"/>
    <s v=""/>
    <n v="0.27828758181818236"/>
    <n v="-999"/>
    <n v="0.25745370337963025"/>
    <n v="0"/>
    <n v="0"/>
    <n v="3"/>
    <n v="75"/>
    <n v="3"/>
    <n v="75"/>
    <d v="2015-02-26T00:00:00"/>
  </r>
  <r>
    <d v="2015-02-27T00:00:00"/>
    <n v="58"/>
    <s v="Inicial"/>
    <n v="3.8"/>
    <n v="0.27057777733333421"/>
    <m/>
    <n v="1.016931"/>
    <n v="1.1669309999999999"/>
    <n v="3.0573600000000001"/>
    <n v="0"/>
    <n v="0"/>
    <n v="0"/>
    <n v="0"/>
    <n v="9.1"/>
    <n v="45.287719159069965"/>
    <n v="39.799999999999997"/>
    <n v="0"/>
    <n v="9.1"/>
    <n v="9.1"/>
    <n v="58"/>
    <x v="12"/>
    <n v="0"/>
    <n v="0"/>
    <n v="0"/>
    <n v="0"/>
    <n v="0"/>
    <n v="0"/>
    <n v="0"/>
    <n v="0"/>
    <n v="-1.0956891891891893"/>
    <n v="-28.487918918918918"/>
    <n v="52.672081081081046"/>
    <n v="25"/>
    <n v="10.538631668883763"/>
    <n v="-100"/>
    <n v="0"/>
    <n v="0"/>
    <n v="0"/>
    <n v="0"/>
    <n v="1.8"/>
    <n v="71.800000000000011"/>
    <n v="13"/>
    <n v="1.4"/>
    <n v="-99999"/>
    <n v="-99999"/>
    <s v=""/>
    <n v="0.27980220000000056"/>
    <n v="-999"/>
    <n v="0.25734567870370434"/>
    <n v="0"/>
    <n v="0"/>
    <n v="3.8"/>
    <n v="78.8"/>
    <n v="3.8"/>
    <n v="78.8"/>
    <d v="2015-02-27T00:00:00"/>
  </r>
  <r>
    <d v="2015-02-28T00:00:00"/>
    <n v="59"/>
    <s v="Inicial"/>
    <n v="3.1"/>
    <n v="0.27042222180000097"/>
    <m/>
    <n v="1.049283"/>
    <n v="1.1992830000000001"/>
    <n v="2.6264289999999999"/>
    <n v="0"/>
    <n v="0"/>
    <n v="0"/>
    <n v="0"/>
    <n v="8.5"/>
    <n v="45.751010787179858"/>
    <n v="39.799999999999997"/>
    <n v="0"/>
    <n v="8.5"/>
    <n v="8.5"/>
    <n v="59"/>
    <x v="12"/>
    <n v="0"/>
    <n v="0"/>
    <n v="0"/>
    <n v="0"/>
    <n v="0"/>
    <n v="0"/>
    <n v="0"/>
    <n v="0"/>
    <n v="-4.0697027027027026"/>
    <n v="-32.557621621621621"/>
    <n v="48.602378378378347"/>
    <n v="40"/>
    <n v="9.7243654218444071"/>
    <n v="-100"/>
    <n v="0"/>
    <n v="0"/>
    <n v="0"/>
    <n v="0"/>
    <n v="1.4"/>
    <n v="73.200000000000017"/>
    <n v="-9999"/>
    <n v="-999"/>
    <n v="-99999"/>
    <n v="-99999"/>
    <s v=""/>
    <n v="0.28131681818181875"/>
    <n v="-999"/>
    <n v="0.25723765402777843"/>
    <n v="0"/>
    <n v="0"/>
    <n v="3.1"/>
    <n v="81.899999999999991"/>
    <n v="3.1"/>
    <n v="81.899999999999991"/>
    <d v="2015-02-28T00:00:00"/>
  </r>
  <r>
    <d v="2015-03-01T00:00:00"/>
    <n v="60"/>
    <s v="Inicial"/>
    <n v="2.7"/>
    <n v="0.27026666626666762"/>
    <m/>
    <n v="1.0537380000000001"/>
    <n v="1.203738"/>
    <n v="3.6473270000000002"/>
    <n v="0"/>
    <n v="0"/>
    <n v="0"/>
    <n v="0"/>
    <n v="9.8000000000000007"/>
    <n v="46.538117795645299"/>
    <n v="39.799999999999997"/>
    <n v="0"/>
    <n v="9.8000000000000007"/>
    <n v="9.8000000000000007"/>
    <n v="60"/>
    <x v="12"/>
    <n v="0"/>
    <n v="0"/>
    <n v="0"/>
    <n v="0"/>
    <n v="0"/>
    <n v="0"/>
    <n v="0"/>
    <n v="0"/>
    <n v="-4.0697027027027026"/>
    <n v="-36.62732432432432"/>
    <n v="44.532675675675648"/>
    <n v="40"/>
    <n v="8.9100991748050511"/>
    <n v="-100"/>
    <n v="0"/>
    <n v="0"/>
    <n v="0"/>
    <n v="0"/>
    <n v="2.4"/>
    <n v="75.600000000000023"/>
    <n v="-9999"/>
    <n v="-999"/>
    <n v="-99999"/>
    <n v="-99999"/>
    <s v=""/>
    <n v="0.28283143636363695"/>
    <n v="-999"/>
    <n v="0.25712962935185252"/>
    <n v="0"/>
    <n v="0"/>
    <n v="2.7"/>
    <n v="84.6"/>
    <n v="2.7"/>
    <n v="84.6"/>
    <d v="2015-03-01T00:00:00"/>
  </r>
  <r>
    <d v="2015-03-02T00:00:00"/>
    <n v="61"/>
    <s v="Inicial"/>
    <n v="3.1"/>
    <n v="0.27011111073333427"/>
    <m/>
    <n v="0.96840300000000001"/>
    <n v="1.118403"/>
    <n v="4.2499320000000003"/>
    <n v="0"/>
    <n v="0"/>
    <n v="0"/>
    <n v="0"/>
    <n v="12.1"/>
    <n v="47.637029673216922"/>
    <n v="39.799999999999997"/>
    <n v="0"/>
    <n v="12.1"/>
    <n v="12.1"/>
    <n v="61"/>
    <x v="13"/>
    <n v="0"/>
    <n v="0"/>
    <n v="0"/>
    <n v="0"/>
    <n v="0"/>
    <n v="0"/>
    <n v="0"/>
    <n v="0"/>
    <n v="-4.0697027027027026"/>
    <n v="-40.697027027027019"/>
    <n v="40.462972972972949"/>
    <n v="40"/>
    <n v="8.0958329277656969"/>
    <n v="-100"/>
    <n v="0"/>
    <n v="0"/>
    <n v="0"/>
    <n v="0"/>
    <n v="3.4"/>
    <n v="79.000000000000028"/>
    <n v="-9999"/>
    <n v="-999"/>
    <n v="-99999"/>
    <n v="-99999"/>
    <s v=""/>
    <n v="0.28434605454545514"/>
    <n v="-999"/>
    <n v="0.25702160467592661"/>
    <n v="0"/>
    <n v="0"/>
    <n v="3.1"/>
    <n v="87.699999999999989"/>
    <n v="3.1"/>
    <n v="87.699999999999989"/>
    <d v="2015-03-02T00:00:00"/>
  </r>
  <r>
    <d v="2015-03-03T00:00:00"/>
    <n v="62"/>
    <s v="Inicial"/>
    <n v="2.9"/>
    <n v="0.26995555520000003"/>
    <m/>
    <n v="0.63897400000000004"/>
    <n v="0.78897399999999995"/>
    <n v="2.437929"/>
    <n v="0"/>
    <n v="0"/>
    <n v="0"/>
    <n v="0"/>
    <n v="14"/>
    <n v="48.746723191294251"/>
    <n v="39.799999999999997"/>
    <n v="0"/>
    <n v="14"/>
    <n v="14"/>
    <n v="62"/>
    <x v="13"/>
    <n v="0"/>
    <n v="0"/>
    <n v="0.56000000000000005"/>
    <n v="0"/>
    <n v="88.32"/>
    <n v="110.39999999999999"/>
    <n v="0"/>
    <n v="0"/>
    <n v="-4.0697027027027026"/>
    <n v="-44.766729729729718"/>
    <n v="125.27327027027025"/>
    <n v="40"/>
    <n v="25.064679926024457"/>
    <n v="-100"/>
    <n v="0"/>
    <n v="0.56000000000000005"/>
    <n v="0"/>
    <n v="0"/>
    <n v="3.5"/>
    <n v="82.500000000000028"/>
    <n v="-9999"/>
    <n v="-999"/>
    <n v="-99999"/>
    <n v="-99999"/>
    <s v=""/>
    <n v="0.28586067272727333"/>
    <n v="0.25691358000000003"/>
    <n v="0.25691358000000003"/>
    <n v="0"/>
    <n v="0"/>
    <n v="2.9"/>
    <n v="90.6"/>
    <n v="2.9"/>
    <n v="90.6"/>
    <d v="2015-03-03T00:00:00"/>
  </r>
  <r>
    <d v="2015-03-04T00:00:00"/>
    <n v="63"/>
    <s v="Inicial"/>
    <n v="3.6"/>
    <n v="0.27500952342857143"/>
    <m/>
    <n v="0.47482799999999997"/>
    <n v="0.62482800000000005"/>
    <n v="1.6870339999999999"/>
    <n v="0"/>
    <n v="0"/>
    <n v="0"/>
    <n v="0"/>
    <n v="10.7"/>
    <n v="49.632482227089682"/>
    <n v="39.799999999999997"/>
    <n v="0"/>
    <n v="10.7"/>
    <n v="10.7"/>
    <n v="63"/>
    <x v="13"/>
    <n v="0"/>
    <n v="0"/>
    <n v="0"/>
    <n v="0"/>
    <n v="0"/>
    <n v="0"/>
    <n v="0"/>
    <n v="0"/>
    <n v="-4.0697027027027026"/>
    <n v="-48.836432432432417"/>
    <n v="121.20356756756755"/>
    <n v="40"/>
    <n v="24.250413678985101"/>
    <n v="-100"/>
    <n v="0"/>
    <n v="0.56000000000000005"/>
    <n v="0"/>
    <n v="0"/>
    <n v="2.8"/>
    <n v="85.300000000000026"/>
    <n v="-9999"/>
    <n v="-999"/>
    <n v="-99999"/>
    <n v="-99999"/>
    <s v=""/>
    <n v="0.28737529090909153"/>
    <n v="-999"/>
    <n v="0.26042328015873017"/>
    <n v="0"/>
    <n v="0"/>
    <n v="3.6"/>
    <n v="94.199999999999989"/>
    <n v="3.6"/>
    <n v="94.199999999999989"/>
    <d v="2015-03-04T00:00:00"/>
  </r>
  <r>
    <d v="2015-03-05T00:00:00"/>
    <n v="64"/>
    <s v="Inicial"/>
    <n v="2.4"/>
    <n v="0.28006349165714284"/>
    <m/>
    <n v="0.37945800000000002"/>
    <n v="0.52945799999999998"/>
    <n v="1.636026"/>
    <n v="0"/>
    <n v="0"/>
    <n v="0"/>
    <n v="0"/>
    <n v="4.3"/>
    <n v="50.783478619888768"/>
    <n v="39.799999999999997"/>
    <n v="0"/>
    <n v="4.3"/>
    <n v="4.3"/>
    <n v="64"/>
    <x v="13"/>
    <n v="0"/>
    <n v="0"/>
    <n v="0"/>
    <n v="0"/>
    <n v="0"/>
    <n v="0"/>
    <n v="0"/>
    <n v="0"/>
    <n v="-4.0697027027027026"/>
    <n v="-52.906135135135116"/>
    <n v="117.13386486486485"/>
    <n v="40"/>
    <n v="23.436147431945745"/>
    <n v="-100"/>
    <n v="0"/>
    <n v="0.56000000000000005"/>
    <n v="0"/>
    <n v="0"/>
    <n v="3.7"/>
    <n v="89.000000000000028"/>
    <n v="-9999"/>
    <n v="-999"/>
    <n v="-99999"/>
    <n v="-99999"/>
    <s v=""/>
    <n v="0.28888990909090972"/>
    <n v="-999"/>
    <n v="0.26393298031746032"/>
    <n v="0"/>
    <n v="0"/>
    <n v="2.4"/>
    <n v="96.6"/>
    <n v="2.4"/>
    <n v="96.6"/>
    <d v="2015-03-05T00:00:00"/>
  </r>
  <r>
    <d v="2015-03-06T00:00:00"/>
    <n v="65"/>
    <s v="Inicial"/>
    <n v="2.7"/>
    <n v="0.28511745988571424"/>
    <m/>
    <n v="0.28951300000000002"/>
    <n v="0.43951299999999999"/>
    <n v="1.29217"/>
    <n v="0"/>
    <n v="0"/>
    <n v="0"/>
    <n v="0"/>
    <n v="5.9"/>
    <n v="51.525176634847313"/>
    <n v="39.799999999999997"/>
    <n v="0"/>
    <n v="5.9"/>
    <n v="5.9"/>
    <n v="65"/>
    <x v="13"/>
    <n v="0"/>
    <n v="0"/>
    <n v="0"/>
    <n v="0"/>
    <n v="0"/>
    <n v="0"/>
    <n v="0"/>
    <n v="0"/>
    <n v="-4.0697027027027026"/>
    <n v="-56.975837837837815"/>
    <n v="113.06416216216215"/>
    <n v="40"/>
    <n v="22.621881184906393"/>
    <n v="-100"/>
    <n v="0"/>
    <n v="0.56000000000000005"/>
    <n v="0"/>
    <n v="0"/>
    <n v="2.5"/>
    <n v="91.500000000000028"/>
    <n v="21"/>
    <n v="1.4"/>
    <n v="-99999"/>
    <n v="-99999"/>
    <s v=""/>
    <n v="0.29040452727272792"/>
    <n v="-999"/>
    <n v="0.26744268047619046"/>
    <n v="0"/>
    <n v="0"/>
    <n v="2.7"/>
    <n v="99.3"/>
    <n v="2.7"/>
    <n v="99.3"/>
    <d v="2015-03-06T00:00:00"/>
  </r>
  <r>
    <d v="2015-03-07T00:00:00"/>
    <n v="66"/>
    <s v="Inicial"/>
    <n v="2.7"/>
    <n v="0.29017142811428565"/>
    <m/>
    <n v="0.23274800000000001"/>
    <n v="0.38274799999999998"/>
    <n v="1.362582"/>
    <n v="0"/>
    <n v="0"/>
    <n v="0"/>
    <n v="0"/>
    <n v="8.6999999999999993"/>
    <n v="52.236885475952121"/>
    <n v="39.799999999999997"/>
    <n v="0"/>
    <n v="8.6999999999999993"/>
    <n v="8.6999999999999993"/>
    <n v="66"/>
    <x v="13"/>
    <n v="0"/>
    <n v="0"/>
    <n v="0"/>
    <n v="0"/>
    <n v="0"/>
    <n v="0"/>
    <n v="0"/>
    <n v="0"/>
    <n v="-1.3637642124883504"/>
    <n v="-58.339602050326164"/>
    <n v="111.7003979496738"/>
    <n v="40"/>
    <n v="22.349019197613806"/>
    <n v="-100"/>
    <n v="0"/>
    <n v="0.56000000000000005"/>
    <n v="0"/>
    <n v="0"/>
    <n v="2.5"/>
    <n v="94.000000000000028"/>
    <n v="-9999"/>
    <n v="-999"/>
    <n v="-99999"/>
    <n v="-99999"/>
    <s v=""/>
    <n v="0.29191914545454611"/>
    <n v="-999"/>
    <n v="0.27095238063492061"/>
    <n v="0"/>
    <n v="0"/>
    <n v="2.7"/>
    <n v="102"/>
    <n v="2.7"/>
    <n v="102"/>
    <d v="2015-03-07T00:00:00"/>
  </r>
  <r>
    <d v="2015-03-08T00:00:00"/>
    <n v="67"/>
    <s v="Inicial"/>
    <n v="2.6"/>
    <n v="0.29522539634285705"/>
    <m/>
    <n v="0.16399"/>
    <n v="0.31398999999999999"/>
    <n v="0.75671600000000006"/>
    <n v="0"/>
    <n v="0"/>
    <n v="0"/>
    <n v="0"/>
    <n v="8.4"/>
    <n v="52.496198353499011"/>
    <n v="39.799999999999997"/>
    <n v="0"/>
    <n v="8.4"/>
    <n v="8.4"/>
    <n v="67"/>
    <x v="13"/>
    <n v="0"/>
    <n v="0"/>
    <n v="0"/>
    <n v="0"/>
    <n v="0"/>
    <n v="0"/>
    <n v="0"/>
    <n v="0"/>
    <n v="-1.3637642124883504"/>
    <n v="-59.703366262814512"/>
    <n v="110.33663373718545"/>
    <n v="40"/>
    <n v="22.076157210321217"/>
    <n v="-100"/>
    <n v="0"/>
    <n v="0.56000000000000005"/>
    <n v="0"/>
    <n v="0"/>
    <n v="0.9"/>
    <n v="94.900000000000034"/>
    <n v="-9999"/>
    <n v="-999"/>
    <n v="-99999"/>
    <n v="-99999"/>
    <s v=""/>
    <n v="0.29343376363636431"/>
    <n v="-999"/>
    <n v="0.27446208079365075"/>
    <n v="0"/>
    <n v="0"/>
    <n v="2.6"/>
    <n v="104.6"/>
    <n v="2.6"/>
    <n v="104.6"/>
    <d v="2015-03-08T00:00:00"/>
  </r>
  <r>
    <d v="2015-03-09T00:00:00"/>
    <n v="68"/>
    <s v="Inicial"/>
    <n v="2.4"/>
    <n v="0.30027936457142845"/>
    <m/>
    <n v="0.13369500000000001"/>
    <n v="0.28369499999999997"/>
    <n v="0.77448700000000004"/>
    <n v="0"/>
    <n v="0"/>
    <n v="0"/>
    <n v="0"/>
    <n v="10.6"/>
    <n v="53.162646878844974"/>
    <n v="39.799999999999997"/>
    <n v="0"/>
    <n v="10.6"/>
    <n v="10.6"/>
    <n v="68"/>
    <x v="14"/>
    <n v="0"/>
    <n v="0"/>
    <n v="0"/>
    <n v="0"/>
    <n v="0"/>
    <n v="0"/>
    <n v="0"/>
    <n v="0"/>
    <n v="-1.3637642124883504"/>
    <n v="-61.067130475302861"/>
    <n v="108.9728695246971"/>
    <n v="40"/>
    <n v="21.803295223028634"/>
    <n v="-100"/>
    <n v="0"/>
    <n v="0.56000000000000005"/>
    <n v="0"/>
    <n v="0"/>
    <n v="2.4"/>
    <n v="97.30000000000004"/>
    <n v="-9999"/>
    <n v="-999"/>
    <n v="-99999"/>
    <n v="-99999"/>
    <s v=""/>
    <n v="0.2949483818181825"/>
    <n v="-999"/>
    <n v="0.2779717809523809"/>
    <n v="0"/>
    <n v="0"/>
    <n v="2.4"/>
    <n v="107"/>
    <n v="2.4"/>
    <n v="107"/>
    <d v="2015-03-09T00:00:00"/>
  </r>
  <r>
    <d v="2015-03-10T00:00:00"/>
    <n v="69"/>
    <s v="Inicial"/>
    <n v="2.9"/>
    <n v="0.30533333279999986"/>
    <m/>
    <n v="0.105818"/>
    <n v="0.25581799999999999"/>
    <n v="0.70094199999999995"/>
    <n v="0"/>
    <n v="0"/>
    <n v="0"/>
    <n v="0"/>
    <n v="9.9"/>
    <n v="53.781491652193921"/>
    <n v="39.799999999999997"/>
    <n v="0"/>
    <n v="9.9"/>
    <n v="9.9"/>
    <n v="69"/>
    <x v="14"/>
    <n v="0"/>
    <n v="0"/>
    <n v="0"/>
    <n v="0"/>
    <n v="0"/>
    <n v="0"/>
    <n v="0"/>
    <n v="0"/>
    <n v="-1.3637642124883504"/>
    <n v="-62.430894687791209"/>
    <n v="107.60910531220875"/>
    <n v="40"/>
    <n v="21.530433235736044"/>
    <n v="-100"/>
    <n v="0"/>
    <n v="0.56000000000000005"/>
    <n v="0"/>
    <n v="0"/>
    <n v="2.2999999999999998"/>
    <n v="99.600000000000037"/>
    <n v="-9999"/>
    <n v="-999"/>
    <n v="-99999"/>
    <n v="-99999"/>
    <n v="0.29646299999999998"/>
    <n v="0.29646299999999998"/>
    <n v="0.28148148111111104"/>
    <n v="0.28148148111111104"/>
    <n v="0"/>
    <n v="0"/>
    <n v="2.9"/>
    <n v="109.9"/>
    <n v="2.9"/>
    <n v="109.9"/>
    <d v="2015-03-10T00:00:00"/>
  </r>
  <r>
    <d v="2015-03-11T00:00:00"/>
    <n v="70"/>
    <s v="Inicial"/>
    <n v="3.9"/>
    <n v="0.32415176101463405"/>
    <m/>
    <n v="8.2381999999999997E-2"/>
    <n v="0.23238200000000001"/>
    <n v="0.606518"/>
    <n v="0"/>
    <n v="0"/>
    <n v="0"/>
    <n v="0"/>
    <n v="11"/>
    <n v="54.425668807926847"/>
    <n v="39.799999999999997"/>
    <n v="0"/>
    <n v="11"/>
    <n v="11"/>
    <n v="70"/>
    <x v="14"/>
    <n v="0"/>
    <n v="0"/>
    <n v="0"/>
    <n v="0"/>
    <n v="0"/>
    <n v="0"/>
    <n v="0"/>
    <n v="0"/>
    <n v="-1.3637642124883504"/>
    <n v="-63.794658900279558"/>
    <n v="106.24534109972041"/>
    <n v="40"/>
    <n v="21.257571248443458"/>
    <n v="-100"/>
    <n v="0"/>
    <n v="0.56000000000000005"/>
    <n v="0"/>
    <n v="0"/>
    <n v="2.2000000000000002"/>
    <n v="101.80000000000004"/>
    <n v="-9999"/>
    <n v="-999"/>
    <n v="-99999"/>
    <n v="-99999"/>
    <s v=""/>
    <n v="0.30479202439024389"/>
    <n v="-999"/>
    <n v="0.29454983403794033"/>
    <n v="0"/>
    <n v="0"/>
    <n v="3.9"/>
    <n v="113.80000000000001"/>
    <n v="3.9"/>
    <n v="113.80000000000001"/>
    <d v="2015-03-11T00:00:00"/>
  </r>
  <r>
    <d v="2015-03-12T00:00:00"/>
    <n v="71"/>
    <s v="Inicial"/>
    <n v="4"/>
    <n v="0.34297018922926825"/>
    <m/>
    <n v="6.5518999999999994E-2"/>
    <n v="0.21551899999999999"/>
    <n v="0.52371199999999996"/>
    <n v="0"/>
    <n v="0"/>
    <n v="0"/>
    <n v="0"/>
    <n v="11.1"/>
    <n v="55.234771771024448"/>
    <n v="39.799999999999997"/>
    <n v="0"/>
    <n v="11.1"/>
    <n v="11.1"/>
    <n v="71"/>
    <x v="14"/>
    <n v="0"/>
    <n v="0"/>
    <n v="0"/>
    <n v="0"/>
    <n v="0"/>
    <n v="0"/>
    <n v="0"/>
    <n v="0"/>
    <n v="-1.3637642124883504"/>
    <n v="-65.158423112767906"/>
    <n v="104.88157688723206"/>
    <n v="40"/>
    <n v="20.984709261150872"/>
    <n v="-100"/>
    <n v="0"/>
    <n v="0.56000000000000005"/>
    <n v="0"/>
    <n v="0"/>
    <n v="2.6"/>
    <n v="104.40000000000003"/>
    <n v="-9999"/>
    <n v="-999"/>
    <n v="-99999"/>
    <n v="-99999"/>
    <s v=""/>
    <n v="0.3131210487804878"/>
    <n v="-999"/>
    <n v="0.30761818696476961"/>
    <n v="2.7188437166504056E-2"/>
    <n v="1.440987169824715"/>
    <n v="4"/>
    <n v="117.80000000000001"/>
    <n v="4"/>
    <n v="117.80000000000001"/>
    <d v="2015-03-12T00:00:00"/>
  </r>
  <r>
    <d v="2015-03-13T00:00:00"/>
    <n v="72"/>
    <s v="Inicial"/>
    <n v="2.9"/>
    <n v="0.36178861744390234"/>
    <m/>
    <n v="5.4311999999999999E-2"/>
    <n v="0.20431199999999999"/>
    <n v="0.59454899999999999"/>
    <n v="0"/>
    <n v="0"/>
    <n v="0"/>
    <n v="0"/>
    <n v="9.1999999999999993"/>
    <n v="55.998872168009711"/>
    <n v="39.799999999999997"/>
    <n v="0"/>
    <n v="9.1999999999999993"/>
    <n v="9.1999999999999993"/>
    <n v="72"/>
    <x v="14"/>
    <n v="0"/>
    <n v="0"/>
    <n v="0"/>
    <n v="0"/>
    <n v="0"/>
    <n v="0"/>
    <n v="0"/>
    <n v="0"/>
    <n v="-1.3637642124883504"/>
    <n v="-66.522187325256255"/>
    <n v="103.51781267474371"/>
    <n v="40"/>
    <n v="20.711847273858286"/>
    <n v="-100"/>
    <n v="0"/>
    <n v="0.56000000000000005"/>
    <n v="0"/>
    <n v="0"/>
    <n v="2.2999999999999998"/>
    <n v="106.70000000000003"/>
    <n v="-9999"/>
    <n v="-999"/>
    <n v="-99999"/>
    <n v="-99999"/>
    <s v=""/>
    <n v="0.32145007317073171"/>
    <n v="-999"/>
    <n v="0.3206865398915989"/>
    <n v="5.3043179671544705E-2"/>
    <n v="1.3703013527671546"/>
    <n v="2.9"/>
    <n v="120.70000000000002"/>
    <n v="2.9"/>
    <n v="120.70000000000002"/>
    <d v="2015-03-13T00:00:00"/>
  </r>
  <r>
    <d v="2015-03-14T00:00:00"/>
    <n v="73"/>
    <s v="Inicial"/>
    <n v="3"/>
    <n v="0.38060704565853654"/>
    <m/>
    <n v="4.2409000000000002E-2"/>
    <n v="0.192409"/>
    <n v="0.74847200000000003"/>
    <n v="0"/>
    <n v="0"/>
    <n v="0"/>
    <n v="0"/>
    <n v="7.1"/>
    <n v="56.87258493262879"/>
    <n v="39.799999999999997"/>
    <n v="0"/>
    <n v="7.1"/>
    <n v="7.1"/>
    <n v="73"/>
    <x v="14"/>
    <n v="0"/>
    <n v="0"/>
    <n v="0"/>
    <n v="0"/>
    <n v="0"/>
    <n v="0"/>
    <n v="0"/>
    <n v="0"/>
    <n v="-1.3637642124883504"/>
    <n v="-67.885951537744603"/>
    <n v="102.15404846225536"/>
    <n v="40"/>
    <n v="20.438985286565696"/>
    <n v="-100"/>
    <n v="0"/>
    <n v="0.56000000000000005"/>
    <n v="0"/>
    <n v="0"/>
    <n v="2.5"/>
    <n v="109.20000000000003"/>
    <n v="-9999"/>
    <n v="-999"/>
    <n v="22"/>
    <n v="1.4"/>
    <s v=""/>
    <n v="0.32977909756097562"/>
    <n v="-999"/>
    <n v="0.33375489281842818"/>
    <n v="8.3106413594308925E-2"/>
    <n v="1.5933513979065035"/>
    <n v="3"/>
    <n v="123.70000000000002"/>
    <n v="3"/>
    <n v="123.70000000000002"/>
    <d v="2015-03-14T00:00:00"/>
  </r>
  <r>
    <d v="2015-03-15T00:00:00"/>
    <n v="74"/>
    <s v="Inicial"/>
    <n v="2.2999999999999998"/>
    <n v="0.39942547387317073"/>
    <m/>
    <n v="2.9752000000000001E-2"/>
    <n v="0.179752"/>
    <n v="0.71900900000000001"/>
    <n v="0"/>
    <n v="0"/>
    <n v="0"/>
    <n v="0"/>
    <n v="5.2"/>
    <n v="57.65136569858894"/>
    <n v="39.799999999999997"/>
    <n v="0"/>
    <n v="5.2"/>
    <n v="5.2"/>
    <n v="74"/>
    <x v="14"/>
    <n v="0"/>
    <n v="0"/>
    <n v="0"/>
    <n v="0"/>
    <n v="0"/>
    <n v="0"/>
    <n v="0"/>
    <n v="0"/>
    <n v="-1.3637642124883504"/>
    <n v="-69.249715750232951"/>
    <n v="100.79028424976701"/>
    <n v="40"/>
    <n v="20.16612329927311"/>
    <n v="-100"/>
    <n v="0"/>
    <n v="0.56000000000000005"/>
    <n v="0"/>
    <n v="0"/>
    <n v="2.1"/>
    <n v="111.30000000000003"/>
    <n v="-9999"/>
    <n v="-999"/>
    <n v="-99999"/>
    <n v="-99999"/>
    <s v=""/>
    <n v="0.33810812195121953"/>
    <n v="-999"/>
    <n v="0.34682324574525747"/>
    <n v="0.11000614255821137"/>
    <n v="1.425685635086829"/>
    <n v="2.2999999999999998"/>
    <n v="126.00000000000001"/>
    <n v="2.2999999999999998"/>
    <n v="126.00000000000001"/>
    <d v="2015-03-15T00:00:00"/>
  </r>
  <r>
    <d v="2015-03-16T00:00:00"/>
    <n v="75"/>
    <s v="Inicial"/>
    <n v="2.6"/>
    <n v="0.41824390208780493"/>
    <m/>
    <n v="1.9890999999999999E-2"/>
    <n v="0.16989099999999999"/>
    <n v="0.48758699999999999"/>
    <n v="0"/>
    <n v="0"/>
    <n v="0"/>
    <n v="0"/>
    <n v="6.6"/>
    <n v="58.543957664493135"/>
    <n v="39.799999999999997"/>
    <n v="0"/>
    <n v="6.6"/>
    <n v="6.6"/>
    <n v="75"/>
    <x v="15"/>
    <n v="0"/>
    <n v="0"/>
    <n v="0"/>
    <n v="0"/>
    <n v="0"/>
    <n v="0"/>
    <n v="0"/>
    <n v="0"/>
    <n v="-1.3637642124883504"/>
    <n v="-70.6134799627213"/>
    <n v="99.426520037278664"/>
    <n v="40"/>
    <n v="19.893261311980524"/>
    <n v="-100"/>
    <n v="0"/>
    <n v="0.56000000000000005"/>
    <n v="0"/>
    <n v="0"/>
    <n v="2.2999999999999998"/>
    <n v="113.60000000000002"/>
    <n v="-9999"/>
    <n v="-999"/>
    <n v="-99999"/>
    <n v="-99999"/>
    <s v=""/>
    <n v="0.34643714634146344"/>
    <n v="-999"/>
    <n v="0.35989159867208675"/>
    <n v="0.14127118317495935"/>
    <n v="1.6570471526876425"/>
    <n v="2.6"/>
    <n v="128.60000000000002"/>
    <n v="2.6"/>
    <n v="128.60000000000002"/>
    <d v="2015-03-16T00:00:00"/>
  </r>
  <r>
    <d v="2015-03-17T00:00:00"/>
    <n v="76"/>
    <s v="Inicial"/>
    <n v="2.5"/>
    <n v="0.43706233030243913"/>
    <m/>
    <n v="1.6001000000000001E-2"/>
    <n v="0.16600100000000001"/>
    <n v="0.499664"/>
    <n v="0"/>
    <n v="0"/>
    <n v="0"/>
    <n v="0"/>
    <n v="7.8"/>
    <n v="59.901371927467011"/>
    <n v="39.799999999999997"/>
    <n v="0"/>
    <n v="7.8"/>
    <n v="7.8"/>
    <n v="76"/>
    <x v="15"/>
    <n v="0"/>
    <n v="0"/>
    <n v="0"/>
    <n v="0"/>
    <n v="0"/>
    <n v="0"/>
    <n v="0"/>
    <n v="0"/>
    <n v="-1.3637642124883504"/>
    <n v="-71.977244175209648"/>
    <n v="98.062755824790315"/>
    <n v="40"/>
    <n v="19.620399324687938"/>
    <n v="-100"/>
    <n v="0"/>
    <n v="0.56000000000000005"/>
    <n v="0"/>
    <n v="0"/>
    <n v="3.5"/>
    <n v="117.10000000000002"/>
    <n v="-9999"/>
    <n v="-999"/>
    <n v="-99999"/>
    <n v="-99999"/>
    <s v=""/>
    <n v="0.35476617073170735"/>
    <n v="-999"/>
    <n v="0.37295995159891604"/>
    <n v="0.19159277301073172"/>
    <n v="2.6670442612959357"/>
    <n v="2.5"/>
    <n v="131.10000000000002"/>
    <n v="2.5"/>
    <n v="131.10000000000002"/>
    <d v="2015-03-17T00:00:00"/>
  </r>
  <r>
    <d v="2015-03-18T00:00:00"/>
    <n v="77"/>
    <s v="Inicial"/>
    <n v="0.8"/>
    <n v="0.45588075851707321"/>
    <m/>
    <n v="1.1915E-2"/>
    <n v="0.161915"/>
    <n v="0.375643"/>
    <n v="11.2"/>
    <n v="0"/>
    <n v="0"/>
    <n v="0"/>
    <n v="6.2"/>
    <n v="62.513637058361624"/>
    <n v="51"/>
    <n v="0"/>
    <n v="6.2"/>
    <n v="6.2"/>
    <n v="77"/>
    <x v="15"/>
    <n v="0"/>
    <n v="0"/>
    <n v="0"/>
    <n v="0"/>
    <n v="0"/>
    <n v="0"/>
    <n v="0"/>
    <n v="0"/>
    <n v="-1.3637642124883504"/>
    <n v="-73.341008387697997"/>
    <n v="96.698991612301967"/>
    <n v="40"/>
    <n v="19.347537337395352"/>
    <n v="-100"/>
    <n v="0"/>
    <n v="0.56000000000000005"/>
    <n v="0"/>
    <n v="0"/>
    <n v="2.5"/>
    <n v="119.60000000000002"/>
    <n v="-9999"/>
    <n v="-999"/>
    <n v="-99999"/>
    <n v="-99999"/>
    <s v=""/>
    <n v="0.36309519512195126"/>
    <n v="-999"/>
    <n v="0.38602830452574532"/>
    <n v="0.22949701868959352"/>
    <n v="2.0089250209796763"/>
    <n v="0.8"/>
    <n v="131.90000000000003"/>
    <n v="0.8"/>
    <n v="131.90000000000003"/>
    <d v="2015-03-18T00:00:00"/>
  </r>
  <r>
    <d v="2015-03-19T00:00:00"/>
    <n v="78"/>
    <s v="Inicial"/>
    <n v="1"/>
    <n v="0.47469918673170741"/>
    <m/>
    <n v="9.7909999999999994E-3"/>
    <n v="0.15979099999999999"/>
    <n v="0.40906500000000001"/>
    <n v="0.4"/>
    <n v="0"/>
    <n v="0"/>
    <n v="0"/>
    <n v="8.1999999999999993"/>
    <n v="64.712838440407722"/>
    <n v="51.4"/>
    <n v="0"/>
    <n v="8.1999999999999993"/>
    <n v="8.1999999999999993"/>
    <n v="78"/>
    <x v="15"/>
    <n v="0"/>
    <n v="0"/>
    <n v="0"/>
    <n v="0"/>
    <n v="0"/>
    <n v="0"/>
    <n v="0"/>
    <n v="0"/>
    <n v="-1.3637642124883504"/>
    <n v="-74.704772600186345"/>
    <n v="95.335227399813618"/>
    <n v="40"/>
    <n v="19.074675350102765"/>
    <n v="-100"/>
    <n v="0"/>
    <n v="0.56000000000000005"/>
    <n v="0"/>
    <n v="0"/>
    <n v="2.1"/>
    <n v="121.70000000000002"/>
    <n v="-9999"/>
    <n v="-999"/>
    <n v="-99999"/>
    <n v="-99999"/>
    <s v=""/>
    <n v="0.37142421951219518"/>
    <n v="-999"/>
    <n v="0.39909665745257461"/>
    <n v="0.26298319752861793"/>
    <n v="1.7747674784682932"/>
    <n v="1"/>
    <n v="132.90000000000003"/>
    <n v="1"/>
    <n v="132.90000000000003"/>
    <d v="2015-03-19T00:00:00"/>
  </r>
  <r>
    <d v="2015-03-20T00:00:00"/>
    <n v="79"/>
    <s v="Inicial"/>
    <n v="1.3"/>
    <n v="0.49351761494634161"/>
    <m/>
    <n v="7.9880000000000003E-3"/>
    <n v="0.15798799999999999"/>
    <n v="0.40128900000000001"/>
    <n v="3.1"/>
    <n v="0"/>
    <n v="0"/>
    <n v="0"/>
    <n v="8.6"/>
    <n v="66.497109912807346"/>
    <n v="54.5"/>
    <n v="0"/>
    <n v="8.6"/>
    <n v="8.6"/>
    <n v="79"/>
    <x v="15"/>
    <n v="0"/>
    <n v="0"/>
    <n v="0"/>
    <n v="0"/>
    <n v="0"/>
    <n v="0"/>
    <n v="0"/>
    <n v="0"/>
    <n v="-1.3637642124883504"/>
    <n v="-76.068536812674694"/>
    <n v="93.97146318732527"/>
    <n v="40"/>
    <n v="18.801813362810179"/>
    <n v="-100"/>
    <n v="0"/>
    <n v="0.56000000000000005"/>
    <n v="0"/>
    <n v="0"/>
    <n v="1.7"/>
    <n v="123.40000000000002"/>
    <n v="-9999"/>
    <n v="-999"/>
    <n v="-99999"/>
    <n v="-99999"/>
    <s v=""/>
    <n v="0.37975324390243909"/>
    <n v="-999"/>
    <n v="0.4121650103794039"/>
    <n v="0.29142402858731714"/>
    <n v="1.5073640461110589"/>
    <n v="1.3"/>
    <n v="134.20000000000005"/>
    <n v="1.3"/>
    <n v="134.20000000000005"/>
    <d v="2015-03-20T00:00:00"/>
  </r>
  <r>
    <d v="2015-03-21T00:00:00"/>
    <n v="80"/>
    <s v="Inicial"/>
    <n v="1.3"/>
    <n v="0.51233604316097581"/>
    <m/>
    <n v="0.59163100000000002"/>
    <n v="0.74163100000000004"/>
    <n v="0.58588799999999996"/>
    <n v="14.1"/>
    <n v="0"/>
    <n v="0"/>
    <n v="0"/>
    <n v="8.6"/>
    <n v="68.916489470112722"/>
    <n v="68.599999999999994"/>
    <n v="0"/>
    <n v="8.6"/>
    <n v="8.6"/>
    <n v="80"/>
    <x v="15"/>
    <n v="0"/>
    <n v="0"/>
    <n v="0"/>
    <n v="0"/>
    <n v="0"/>
    <n v="0"/>
    <n v="0"/>
    <n v="0"/>
    <n v="-1.3637642124883504"/>
    <n v="-77.432301025163042"/>
    <n v="92.607698974836921"/>
    <n v="40"/>
    <n v="18.52895137551759"/>
    <n v="-100"/>
    <n v="0"/>
    <n v="0.56000000000000005"/>
    <n v="0"/>
    <n v="0"/>
    <n v="2.2999999999999998"/>
    <n v="125.70000000000002"/>
    <n v="-9999"/>
    <n v="-999"/>
    <n v="-99999"/>
    <n v="-99999"/>
    <s v=""/>
    <n v="0.388082268292683"/>
    <n v="-999"/>
    <n v="0.42523336330623318"/>
    <n v="0.3317062327235773"/>
    <n v="2.134956819221788"/>
    <n v="1.3"/>
    <n v="135.50000000000006"/>
    <n v="1.3"/>
    <n v="135.50000000000006"/>
    <d v="2015-03-21T00:00:00"/>
  </r>
  <r>
    <d v="2015-03-22T00:00:00"/>
    <n v="81"/>
    <s v="Inicial"/>
    <n v="1.7"/>
    <n v="0.53115447137561"/>
    <m/>
    <n v="0.62603900000000001"/>
    <n v="0.77603900000000003"/>
    <n v="0.74499700000000002"/>
    <n v="2.7"/>
    <n v="0"/>
    <n v="0"/>
    <n v="0"/>
    <n v="8.6"/>
    <n v="69.970726326460323"/>
    <n v="71.3"/>
    <n v="0"/>
    <n v="8.6"/>
    <n v="8.6"/>
    <n v="81"/>
    <x v="15"/>
    <n v="0"/>
    <n v="0"/>
    <n v="0"/>
    <n v="0"/>
    <n v="0"/>
    <n v="0"/>
    <n v="0"/>
    <n v="0"/>
    <n v="-1.3637642124883504"/>
    <n v="-78.796065237651391"/>
    <n v="91.243934762348573"/>
    <n v="40"/>
    <n v="18.256089388225007"/>
    <n v="-100"/>
    <n v="0"/>
    <n v="0.56000000000000005"/>
    <n v="0"/>
    <n v="0"/>
    <n v="1"/>
    <n v="126.70000000000002"/>
    <n v="-9999"/>
    <n v="-999"/>
    <n v="-99999"/>
    <n v="-99999"/>
    <s v=""/>
    <n v="0.39641129268292691"/>
    <n v="-999"/>
    <n v="0.43830171623306247"/>
    <n v="0.35000433569756106"/>
    <n v="0.96979945762113928"/>
    <n v="1.7"/>
    <n v="137.20000000000005"/>
    <n v="1.7"/>
    <n v="137.20000000000005"/>
    <d v="2015-03-22T00:00:00"/>
  </r>
  <r>
    <d v="2015-03-23T00:00:00"/>
    <n v="82"/>
    <s v="Inicial"/>
    <n v="1.9"/>
    <n v="0.54997289959024409"/>
    <m/>
    <n v="0.80158099999999999"/>
    <n v="0.95158100000000001"/>
    <n v="1.2560880000000001"/>
    <n v="6.9"/>
    <n v="0"/>
    <n v="0"/>
    <n v="0"/>
    <n v="9.3000000000000007"/>
    <n v="71.344266751008874"/>
    <n v="78.2"/>
    <n v="0"/>
    <n v="9.3000000000000007"/>
    <n v="9.3000000000000007"/>
    <n v="82"/>
    <x v="16"/>
    <n v="0"/>
    <n v="0"/>
    <n v="0"/>
    <n v="0"/>
    <n v="0"/>
    <n v="0"/>
    <n v="0"/>
    <n v="0"/>
    <n v="-1.3637642124883504"/>
    <n v="-80.159829450139739"/>
    <n v="89.880170549860225"/>
    <n v="40"/>
    <n v="17.983227400932417"/>
    <n v="-100"/>
    <n v="0"/>
    <n v="0.56000000000000005"/>
    <n v="0"/>
    <n v="0"/>
    <n v="1.3"/>
    <n v="128.00000000000003"/>
    <n v="-9999"/>
    <n v="-999"/>
    <n v="-99999"/>
    <n v="-99999"/>
    <s v=""/>
    <n v="0.40474031707317082"/>
    <n v="-999"/>
    <n v="0.45137006915989175"/>
    <n v="0.37481120109203264"/>
    <n v="1.3147638659069933"/>
    <n v="1.9"/>
    <n v="139.10000000000005"/>
    <n v="1.9"/>
    <n v="139.10000000000005"/>
    <d v="2015-03-23T00:00:00"/>
  </r>
  <r>
    <d v="2015-03-24T00:00:00"/>
    <n v="83"/>
    <s v="Inicial"/>
    <n v="1.3"/>
    <n v="0.56879132780487829"/>
    <m/>
    <n v="0.90717700000000001"/>
    <n v="1.057177"/>
    <n v="1.3320430000000001"/>
    <n v="8"/>
    <n v="0"/>
    <n v="3.7849166997979271"/>
    <n v="0"/>
    <n v="8.1999999999999993"/>
    <n v="74.41508330020207"/>
    <n v="86.2"/>
    <n v="0"/>
    <n v="8.1999999999999993"/>
    <n v="8.1999999999999993"/>
    <n v="83"/>
    <x v="16"/>
    <n v="0"/>
    <n v="0"/>
    <n v="0"/>
    <n v="0"/>
    <n v="0"/>
    <n v="0"/>
    <n v="0"/>
    <n v="-0.68065017706052788"/>
    <n v="-1.3637642124883504"/>
    <n v="-81.523593662628087"/>
    <n v="87.835756160311348"/>
    <n v="40"/>
    <n v="17.574180904424036"/>
    <n v="-100"/>
    <n v="0"/>
    <n v="0.56000000000000005"/>
    <n v="0"/>
    <n v="-0.68065017706052788"/>
    <n v="2.9"/>
    <n v="130.90000000000003"/>
    <n v="-9999"/>
    <n v="-999"/>
    <n v="-99999"/>
    <n v="-99999"/>
    <s v=""/>
    <n v="0.41306934146341473"/>
    <n v="-999"/>
    <n v="0.46443842208672104"/>
    <n v="0.43242348653512208"/>
    <n v="3.05345112848374"/>
    <n v="1.3"/>
    <n v="140.40000000000006"/>
    <n v="1.3"/>
    <n v="140.40000000000006"/>
    <d v="2015-03-24T00:00:00"/>
  </r>
  <r>
    <d v="2015-03-25T00:00:00"/>
    <n v="84"/>
    <s v="Inicial"/>
    <n v="2.5"/>
    <n v="0.58760975601951249"/>
    <m/>
    <n v="0.91780300000000004"/>
    <n v="1.0678030000000001"/>
    <n v="1.8045869999999999"/>
    <n v="2.4"/>
    <n v="0"/>
    <n v="0"/>
    <n v="0"/>
    <n v="5.3"/>
    <n v="77.811035170089809"/>
    <n v="88.600000000000009"/>
    <n v="0"/>
    <n v="5.3"/>
    <n v="5.3"/>
    <n v="84"/>
    <x v="16"/>
    <n v="0"/>
    <n v="0"/>
    <n v="0"/>
    <n v="0"/>
    <n v="0"/>
    <n v="0"/>
    <n v="0"/>
    <n v="0"/>
    <n v="-1.3637642124883504"/>
    <n v="-82.887357875116436"/>
    <n v="86.471991947823"/>
    <n v="40"/>
    <n v="17.301318917131454"/>
    <n v="-100"/>
    <n v="0"/>
    <n v="0.56000000000000005"/>
    <n v="0"/>
    <n v="-0.68065017706052788"/>
    <n v="3.2"/>
    <n v="134.10000000000002"/>
    <n v="-9999"/>
    <n v="-999"/>
    <n v="-99999"/>
    <n v="-99999"/>
    <s v=""/>
    <n v="0.42139836585365864"/>
    <n v="-999"/>
    <n v="0.47750677501355032"/>
    <n v="0.49850478733772374"/>
    <n v="3.5023089425378906"/>
    <n v="2.5"/>
    <n v="142.90000000000006"/>
    <n v="2.5"/>
    <n v="142.90000000000006"/>
    <d v="2015-03-25T00:00:00"/>
  </r>
  <r>
    <d v="2015-03-26T00:00:00"/>
    <n v="85"/>
    <s v="Desarrollo"/>
    <n v="2.7"/>
    <n v="0.60642818423414668"/>
    <m/>
    <n v="0.90193299999999998"/>
    <n v="1.074552"/>
    <n v="1.987922"/>
    <n v="0"/>
    <n v="0"/>
    <n v="0"/>
    <n v="0"/>
    <n v="6.5"/>
    <n v="81.958949045405504"/>
    <n v="88.600000000000009"/>
    <n v="0"/>
    <n v="6.5"/>
    <n v="6.5"/>
    <n v="85"/>
    <x v="16"/>
    <n v="0"/>
    <n v="0"/>
    <n v="0"/>
    <n v="0"/>
    <n v="0"/>
    <n v="0"/>
    <n v="0"/>
    <n v="0"/>
    <n v="-1.3637642124883504"/>
    <n v="-84.251122087604784"/>
    <n v="85.108227735334651"/>
    <n v="40"/>
    <n v="17.028456929838864"/>
    <n v="-100"/>
    <n v="0"/>
    <n v="0.56000000000000005"/>
    <n v="0"/>
    <n v="-0.68065017706052788"/>
    <n v="3.9"/>
    <n v="138.00000000000003"/>
    <n v="-9999"/>
    <n v="-999"/>
    <n v="-99999"/>
    <n v="-99999"/>
    <s v=""/>
    <n v="0.42972739024390255"/>
    <n v="-999"/>
    <n v="0.49057512794037961"/>
    <n v="0.58209936727577261"/>
    <n v="4.4305127367165866"/>
    <n v="2.7"/>
    <n v="145.60000000000005"/>
    <n v="2.7"/>
    <n v="145.60000000000005"/>
    <d v="2015-03-26T00:00:00"/>
  </r>
  <r>
    <d v="2015-03-27T00:00:00"/>
    <n v="86"/>
    <s v="Desarrollo"/>
    <n v="3.9"/>
    <n v="0.62524661244878077"/>
    <m/>
    <n v="0.86276900000000001"/>
    <n v="1.0580069999999999"/>
    <n v="1.333089"/>
    <n v="0"/>
    <n v="0"/>
    <n v="0"/>
    <n v="0"/>
    <n v="12.7"/>
    <n v="84.282925490136307"/>
    <n v="88.600000000000009"/>
    <n v="0"/>
    <n v="12.7"/>
    <n v="12.7"/>
    <n v="86"/>
    <x v="16"/>
    <n v="0"/>
    <n v="0"/>
    <n v="0"/>
    <n v="0"/>
    <n v="0"/>
    <n v="0"/>
    <n v="0"/>
    <n v="0"/>
    <n v="-1.3637642124883504"/>
    <n v="-85.614886300093133"/>
    <n v="83.744463522846303"/>
    <n v="40"/>
    <n v="16.755594942546278"/>
    <n v="-100"/>
    <n v="0"/>
    <n v="0.56000000000000005"/>
    <n v="0"/>
    <n v="-0.68065017706052788"/>
    <n v="3.5"/>
    <n v="141.50000000000003"/>
    <n v="-9999"/>
    <n v="-999"/>
    <n v="-99999"/>
    <n v="-99999"/>
    <s v=""/>
    <n v="0.43805641463414646"/>
    <n v="-999"/>
    <n v="0.50364348086720889"/>
    <n v="0.65986449825788651"/>
    <n v="4.1215519420520401"/>
    <n v="3.9"/>
    <n v="149.50000000000006"/>
    <n v="3.9"/>
    <n v="149.50000000000006"/>
    <d v="2015-03-27T00:00:00"/>
  </r>
  <r>
    <d v="2015-03-28T00:00:00"/>
    <n v="87"/>
    <s v="Desarrollo"/>
    <n v="4.9000000000000004"/>
    <n v="0.64406504066341497"/>
    <m/>
    <n v="0.95596599999999998"/>
    <n v="1.1738230000000001"/>
    <n v="2.899343"/>
    <n v="0"/>
    <n v="0"/>
    <n v="0"/>
    <n v="0"/>
    <n v="13.6"/>
    <n v="86.857481342192813"/>
    <n v="88.600000000000009"/>
    <n v="0"/>
    <n v="13.6"/>
    <n v="13.6"/>
    <n v="87"/>
    <x v="16"/>
    <n v="0"/>
    <n v="0"/>
    <n v="0.40800000000000003"/>
    <n v="0"/>
    <n v="0"/>
    <n v="0"/>
    <n v="0"/>
    <n v="0"/>
    <n v="-1.3637642124883504"/>
    <n v="-86.978650512581481"/>
    <n v="82.788699310357956"/>
    <n v="40"/>
    <n v="16.564365608314919"/>
    <n v="-100"/>
    <n v="0"/>
    <n v="0.96800000000000008"/>
    <n v="0"/>
    <n v="-0.68065017706052788"/>
    <n v="3.8"/>
    <n v="145.30000000000004"/>
    <n v="-9999"/>
    <n v="-999"/>
    <n v="-99999"/>
    <n v="-99999"/>
    <s v=""/>
    <n v="0.44638543902439037"/>
    <n v="-999"/>
    <n v="0.51671183379403818"/>
    <n v="0.74727479636292715"/>
    <n v="4.6327457995671466"/>
    <n v="4.9000000000000004"/>
    <n v="154.40000000000006"/>
    <n v="4.9000000000000004"/>
    <n v="154.40000000000006"/>
    <d v="2015-03-28T00:00:00"/>
  </r>
  <r>
    <d v="2015-03-29T00:00:00"/>
    <n v="88"/>
    <s v="Desarrollo"/>
    <n v="4.5"/>
    <n v="0.66288346887804916"/>
    <m/>
    <n v="0.91923699999999997"/>
    <n v="1.1597139999999999"/>
    <n v="3.096435"/>
    <n v="0"/>
    <n v="0"/>
    <n v="0"/>
    <n v="0"/>
    <n v="13"/>
    <n v="89.139326452925133"/>
    <n v="88.600000000000009"/>
    <n v="0"/>
    <n v="13"/>
    <n v="13"/>
    <n v="88"/>
    <x v="16"/>
    <n v="0"/>
    <n v="0"/>
    <n v="0.39"/>
    <n v="0"/>
    <n v="0"/>
    <n v="0"/>
    <n v="0"/>
    <n v="0"/>
    <n v="-1.3637642124883504"/>
    <n v="-88.34241472506983"/>
    <n v="81.814935097869608"/>
    <n v="40"/>
    <n v="16.369534833507323"/>
    <n v="-100"/>
    <n v="0"/>
    <n v="1.3580000000000001"/>
    <n v="0"/>
    <n v="-0.68065017706052788"/>
    <n v="3.3"/>
    <n v="148.60000000000005"/>
    <n v="-9999"/>
    <n v="-999"/>
    <n v="-99999"/>
    <n v="-99999"/>
    <s v=""/>
    <n v="0.45471446341463428"/>
    <n v="-999"/>
    <n v="0.52978018672086746"/>
    <n v="0.82577127333365896"/>
    <n v="4.1603132794487934"/>
    <n v="4.5"/>
    <n v="158.90000000000006"/>
    <n v="4.5"/>
    <n v="158.90000000000006"/>
    <d v="2015-03-29T00:00:00"/>
  </r>
  <r>
    <d v="2015-03-30T00:00:00"/>
    <n v="89"/>
    <s v="Desarrollo"/>
    <n v="4.8"/>
    <n v="0.68170189709268336"/>
    <m/>
    <n v="0.94000499999999998"/>
    <n v="1.2031000000000001"/>
    <n v="4.6920890000000002"/>
    <n v="0"/>
    <n v="0"/>
    <n v="0"/>
    <n v="0"/>
    <n v="14.3"/>
    <n v="91.470834632271135"/>
    <n v="88.600000000000009"/>
    <n v="0"/>
    <n v="14.3"/>
    <n v="14.3"/>
    <n v="89"/>
    <x v="17"/>
    <n v="0"/>
    <n v="0"/>
    <n v="0.57200000000000006"/>
    <n v="0"/>
    <n v="0"/>
    <n v="0"/>
    <n v="0"/>
    <n v="0"/>
    <n v="-1.3637642124883504"/>
    <n v="-89.706178937558178"/>
    <n v="81.023170885381262"/>
    <n v="40"/>
    <n v="16.211118624526065"/>
    <n v="-100"/>
    <n v="0"/>
    <n v="1.9300000000000002"/>
    <n v="0"/>
    <n v="-0.68065017706052788"/>
    <n v="3.3"/>
    <n v="151.90000000000006"/>
    <n v="-9999"/>
    <n v="-999"/>
    <n v="-99999"/>
    <n v="-99999"/>
    <s v=""/>
    <n v="0.4630434878048782"/>
    <n v="-999"/>
    <n v="0.54284853964769675"/>
    <n v="0.90685528418390293"/>
    <n v="4.2974525750629269"/>
    <n v="4.8"/>
    <n v="163.70000000000007"/>
    <n v="4.8"/>
    <n v="163.70000000000007"/>
    <d v="2015-03-30T00:00:00"/>
  </r>
  <r>
    <d v="2015-03-31T00:00:00"/>
    <n v="90"/>
    <s v="Desarrollo"/>
    <n v="4.5999999999999996"/>
    <n v="0.70052032530731745"/>
    <m/>
    <n v="0.93405700000000003"/>
    <n v="1.2197709999999999"/>
    <n v="5.9280869999999997"/>
    <n v="0"/>
    <n v="0"/>
    <n v="0"/>
    <n v="0"/>
    <n v="15.4"/>
    <n v="94.647861557954485"/>
    <n v="88.600000000000009"/>
    <n v="0"/>
    <n v="15.4"/>
    <n v="15.4"/>
    <n v="90"/>
    <x v="17"/>
    <n v="0"/>
    <n v="0"/>
    <n v="0.92400000000000004"/>
    <n v="0"/>
    <n v="0"/>
    <n v="0"/>
    <n v="0"/>
    <n v="0"/>
    <n v="-1.3637642124883504"/>
    <n v="-91.069943150046527"/>
    <n v="80.58340667289292"/>
    <n v="40"/>
    <n v="16.123130586813307"/>
    <n v="-100"/>
    <n v="0"/>
    <n v="2.8540000000000001"/>
    <n v="0"/>
    <n v="-0.68065017706052788"/>
    <n v="4.4000000000000004"/>
    <n v="156.30000000000007"/>
    <n v="-9999"/>
    <n v="-999"/>
    <n v="-99999"/>
    <n v="-99999"/>
    <s v=""/>
    <n v="0.47137251219512211"/>
    <n v="-999"/>
    <n v="0.55591689257452603"/>
    <n v="1.0184173438235777"/>
    <n v="5.9842646275356088"/>
    <n v="4.5999999999999996"/>
    <n v="168.30000000000007"/>
    <n v="4.5999999999999996"/>
    <n v="168.30000000000007"/>
    <d v="2015-03-31T00:00:00"/>
  </r>
  <r>
    <d v="2015-04-01T00:00:00"/>
    <n v="91"/>
    <s v="Desarrollo"/>
    <n v="4.2"/>
    <n v="0.71933875352195165"/>
    <m/>
    <n v="0.64961999999999998"/>
    <n v="0.95795399999999997"/>
    <n v="4.3012129999999997"/>
    <n v="0"/>
    <n v="0"/>
    <n v="0"/>
    <n v="0"/>
    <n v="13.4"/>
    <n v="96.712496285990184"/>
    <n v="88.600000000000009"/>
    <n v="0"/>
    <n v="13.4"/>
    <n v="13.4"/>
    <n v="91"/>
    <x v="17"/>
    <n v="0"/>
    <n v="0"/>
    <n v="0.40199999999999997"/>
    <n v="0"/>
    <n v="0"/>
    <n v="0"/>
    <n v="0"/>
    <n v="0"/>
    <n v="-1.3637642124883504"/>
    <n v="-92.433707362534875"/>
    <n v="79.621642460404573"/>
    <n v="40"/>
    <n v="15.930700772389871"/>
    <n v="-100"/>
    <n v="0"/>
    <n v="3.2560000000000002"/>
    <n v="0"/>
    <n v="-0.68065017706052788"/>
    <n v="2.8"/>
    <n v="159.10000000000008"/>
    <n v="-9999"/>
    <n v="-999"/>
    <n v="-99999"/>
    <n v="-99999"/>
    <s v=""/>
    <n v="0.47970153658536602"/>
    <n v="-999"/>
    <n v="0.56898524550135532"/>
    <n v="1.0916068650678055"/>
    <n v="2.1340894984242311"/>
    <n v="4.2"/>
    <n v="172.50000000000006"/>
    <n v="4.2"/>
    <n v="172.50000000000006"/>
    <d v="2015-04-01T00:00:00"/>
  </r>
  <r>
    <d v="2015-04-02T00:00:00"/>
    <n v="92"/>
    <s v="Desarrollo"/>
    <n v="3.8"/>
    <n v="0.73815718173658584"/>
    <m/>
    <n v="0.416466"/>
    <n v="0.74741800000000003"/>
    <n v="3.5651860000000002"/>
    <n v="0"/>
    <n v="0"/>
    <n v="0"/>
    <n v="0"/>
    <n v="12.5"/>
    <n v="99.049953330182092"/>
    <n v="88.600000000000009"/>
    <n v="0"/>
    <n v="12.5"/>
    <n v="12.5"/>
    <n v="92"/>
    <x v="17"/>
    <n v="0"/>
    <n v="0"/>
    <n v="0"/>
    <n v="0"/>
    <n v="0"/>
    <n v="0"/>
    <n v="0"/>
    <n v="0"/>
    <n v="-1.3637642124883504"/>
    <n v="-93.797471575023224"/>
    <n v="78.257878247916224"/>
    <n v="40"/>
    <n v="15.657838785097283"/>
    <n v="-100"/>
    <n v="0"/>
    <n v="3.2560000000000002"/>
    <n v="0"/>
    <n v="-0.68065017706052788"/>
    <n v="3.1"/>
    <n v="162.20000000000007"/>
    <n v="-9999"/>
    <n v="-999"/>
    <n v="-99999"/>
    <n v="-99999"/>
    <s v=""/>
    <n v="0.48803056097560993"/>
    <n v="-999"/>
    <n v="0.5820535984281846"/>
    <n v="1.1750688343754478"/>
    <n v="2.3578291739259498"/>
    <n v="3.8"/>
    <n v="176.30000000000007"/>
    <n v="3.8"/>
    <n v="176.30000000000007"/>
    <d v="2015-04-02T00:00:00"/>
  </r>
  <r>
    <d v="2015-04-03T00:00:00"/>
    <n v="93"/>
    <s v="Desarrollo"/>
    <n v="3.7"/>
    <n v="0.75697560995122004"/>
    <m/>
    <n v="0.25150800000000001"/>
    <n v="0.60507999999999995"/>
    <n v="2.7712659999999998"/>
    <n v="0"/>
    <n v="0"/>
    <n v="0"/>
    <n v="0"/>
    <n v="13.8"/>
    <n v="101.5935552036902"/>
    <n v="88.600000000000009"/>
    <n v="0"/>
    <n v="13.8"/>
    <n v="13.8"/>
    <n v="93"/>
    <x v="17"/>
    <n v="0"/>
    <n v="0"/>
    <n v="0.41399999999999998"/>
    <n v="0"/>
    <n v="0"/>
    <n v="0"/>
    <n v="0"/>
    <n v="0"/>
    <n v="-1.3637642124883504"/>
    <n v="-95.161235787511572"/>
    <n v="77.308114035427877"/>
    <n v="40"/>
    <n v="15.467809931058"/>
    <n v="-100"/>
    <n v="0"/>
    <n v="3.6700000000000004"/>
    <n v="0"/>
    <n v="-0.68065017706052788"/>
    <n v="3.3"/>
    <n v="165.50000000000009"/>
    <n v="-9999"/>
    <n v="-999"/>
    <n v="-99999"/>
    <n v="-99999"/>
    <s v=""/>
    <n v="0.49635958536585384"/>
    <n v="-999"/>
    <n v="0.59512195135501389"/>
    <n v="1.2665029807437407"/>
    <n v="2.4995766894896363"/>
    <n v="3.7"/>
    <n v="180.00000000000006"/>
    <n v="3.7"/>
    <n v="180.00000000000006"/>
    <d v="2015-04-03T00:00:00"/>
  </r>
  <r>
    <d v="2015-04-04T00:00:00"/>
    <n v="94"/>
    <s v="Desarrollo"/>
    <n v="3.5"/>
    <n v="0.77579403816585413"/>
    <m/>
    <n v="0.162969"/>
    <n v="0.53915999999999997"/>
    <n v="2.2536879999999999"/>
    <n v="0"/>
    <n v="0"/>
    <n v="0"/>
    <n v="0"/>
    <n v="13.6"/>
    <n v="104.82328338904883"/>
    <n v="88.600000000000009"/>
    <n v="0"/>
    <n v="13.6"/>
    <n v="13.6"/>
    <n v="94"/>
    <x v="17"/>
    <n v="0"/>
    <n v="0"/>
    <n v="0.40800000000000003"/>
    <n v="0"/>
    <n v="0"/>
    <n v="0"/>
    <n v="0"/>
    <n v="0"/>
    <n v="-1.3637642124883504"/>
    <n v="-96.52499999999992"/>
    <n v="76.35234982293953"/>
    <n v="40"/>
    <n v="15.276580596826637"/>
    <n v="-100"/>
    <n v="0"/>
    <n v="4.0780000000000003"/>
    <n v="0"/>
    <n v="-0.68065017706052788"/>
    <n v="4.0999999999999996"/>
    <n v="169.60000000000008"/>
    <n v="31"/>
    <n v="1.4"/>
    <n v="30"/>
    <n v="1.4"/>
    <s v=""/>
    <n v="0.50468860975609775"/>
    <n v="-999"/>
    <n v="0.60819030428184317"/>
    <n v="1.3833177955970741"/>
    <n v="3.0801310267352946"/>
    <n v="3.5"/>
    <n v="183.50000000000006"/>
    <n v="3.5"/>
    <n v="183.50000000000006"/>
    <d v="2015-04-04T00:00:00"/>
  </r>
  <r>
    <d v="2015-04-05T00:00:00"/>
    <n v="95"/>
    <s v="Desarrollo"/>
    <n v="4.4000000000000004"/>
    <n v="0.79461246638048832"/>
    <m/>
    <n v="0.10806300000000001"/>
    <n v="0.50687300000000002"/>
    <n v="1.910911"/>
    <n v="0"/>
    <n v="0"/>
    <n v="0"/>
    <n v="0"/>
    <n v="12.5"/>
    <n v="105.70844113758065"/>
    <n v="88.600000000000009"/>
    <n v="0"/>
    <n v="12.5"/>
    <n v="12.5"/>
    <n v="95"/>
    <x v="17"/>
    <n v="0"/>
    <n v="0"/>
    <n v="0"/>
    <n v="0"/>
    <n v="0"/>
    <n v="0"/>
    <n v="0"/>
    <n v="0"/>
    <n v="-3.1263157894736842"/>
    <n v="-99.6513157894736"/>
    <n v="73.226034033465851"/>
    <n v="40"/>
    <n v="14.651067233586604"/>
    <n v="-100"/>
    <n v="0"/>
    <n v="4.0780000000000003"/>
    <n v="0"/>
    <n v="-0.68065017706052788"/>
    <n v="1.1000000000000001"/>
    <n v="170.70000000000007"/>
    <n v="-9999"/>
    <n v="-999"/>
    <n v="-99999"/>
    <n v="-99999"/>
    <s v=""/>
    <n v="0.51301763414634161"/>
    <n v="-999"/>
    <n v="0.62125865720867246"/>
    <n v="1.4155208669728465"/>
    <n v="0.82867154312206992"/>
    <n v="4.4000000000000004"/>
    <n v="187.90000000000006"/>
    <n v="4.4000000000000004"/>
    <n v="187.90000000000006"/>
    <d v="2015-04-05T00:00:00"/>
  </r>
  <r>
    <d v="2015-04-06T00:00:00"/>
    <n v="96"/>
    <s v="Desarrollo"/>
    <n v="1.7"/>
    <n v="0.81343089459512252"/>
    <m/>
    <n v="7.7950000000000005E-2"/>
    <n v="0.49937900000000002"/>
    <n v="1.847701"/>
    <n v="0"/>
    <n v="0"/>
    <n v="0"/>
    <n v="0"/>
    <n v="10.199999999999999"/>
    <n v="106.86017418384247"/>
    <n v="88.600000000000009"/>
    <n v="0"/>
    <n v="10.199999999999999"/>
    <n v="10.199999999999999"/>
    <n v="96"/>
    <x v="18"/>
    <n v="0"/>
    <n v="0"/>
    <n v="0"/>
    <n v="0"/>
    <n v="0"/>
    <n v="0"/>
    <n v="0"/>
    <n v="0"/>
    <n v="-3.1263157894736842"/>
    <n v="-102.77763157894728"/>
    <n v="70.099718243992172"/>
    <n v="40"/>
    <n v="14.025553870346572"/>
    <n v="-100"/>
    <n v="0"/>
    <n v="4.0780000000000003"/>
    <n v="0"/>
    <n v="-0.68065017706052788"/>
    <n v="1.4"/>
    <n v="172.10000000000008"/>
    <n v="-9999"/>
    <n v="-999"/>
    <n v="-99999"/>
    <n v="-99999"/>
    <s v=""/>
    <n v="0.52134665853658546"/>
    <n v="-999"/>
    <n v="0.63432701013550175"/>
    <n v="1.4576043358242288"/>
    <n v="1.0704637284238459"/>
    <n v="1.7"/>
    <n v="189.60000000000005"/>
    <n v="1.7"/>
    <n v="189.60000000000005"/>
    <d v="2015-04-06T00:00:00"/>
  </r>
  <r>
    <d v="2015-04-07T00:00:00"/>
    <n v="97"/>
    <s v="Desarrollo"/>
    <n v="2.7"/>
    <n v="0.83224932280975672"/>
    <m/>
    <n v="5.5294000000000003E-2"/>
    <n v="0.49934200000000001"/>
    <n v="1.7277229999999999"/>
    <n v="0"/>
    <n v="0"/>
    <n v="0"/>
    <n v="0"/>
    <n v="8.6"/>
    <n v="109.38204168985934"/>
    <n v="88.600000000000009"/>
    <n v="0"/>
    <n v="8.6"/>
    <n v="8.6"/>
    <n v="97"/>
    <x v="18"/>
    <n v="0"/>
    <n v="0"/>
    <n v="0"/>
    <n v="0"/>
    <n v="0"/>
    <n v="0"/>
    <n v="0"/>
    <n v="0"/>
    <n v="-3.1263157894736842"/>
    <n v="-105.90394736842096"/>
    <n v="66.973402454518492"/>
    <n v="40"/>
    <n v="13.40004050710654"/>
    <n v="-100"/>
    <n v="0"/>
    <n v="4.0780000000000003"/>
    <n v="0"/>
    <n v="-0.68065017706052788"/>
    <n v="3"/>
    <n v="175.10000000000008"/>
    <n v="-9999"/>
    <n v="-999"/>
    <n v="-99999"/>
    <n v="-99999"/>
    <s v=""/>
    <n v="0.52967568292682932"/>
    <n v="-999"/>
    <n v="0.64739536306233103"/>
    <n v="1.5501355011754483"/>
    <n v="2.3067086849932537"/>
    <n v="2.7"/>
    <n v="192.30000000000004"/>
    <n v="2.7"/>
    <n v="192.30000000000004"/>
    <d v="2015-04-07T00:00:00"/>
  </r>
  <r>
    <d v="2015-04-08T00:00:00"/>
    <n v="98"/>
    <s v="Desarrollo"/>
    <n v="4"/>
    <n v="0.85106775102439081"/>
    <m/>
    <n v="4.2050999999999998E-2"/>
    <n v="0.50871699999999997"/>
    <n v="2.2332689999999999"/>
    <n v="0"/>
    <n v="0"/>
    <n v="0"/>
    <n v="0"/>
    <n v="9"/>
    <n v="112.64366337444368"/>
    <n v="88.600000000000009"/>
    <n v="0"/>
    <n v="9"/>
    <n v="9"/>
    <n v="98"/>
    <x v="18"/>
    <n v="0"/>
    <n v="0"/>
    <n v="0"/>
    <n v="0"/>
    <n v="0"/>
    <n v="0"/>
    <n v="0"/>
    <n v="0"/>
    <n v="-3.1263157894736842"/>
    <n v="-109.03026315789464"/>
    <n v="63.847086665044806"/>
    <n v="40"/>
    <n v="12.774527143866507"/>
    <n v="-100"/>
    <n v="0"/>
    <n v="4.0780000000000003"/>
    <n v="0"/>
    <n v="-0.68065017706052788"/>
    <n v="3.8"/>
    <n v="178.90000000000009"/>
    <n v="-9999"/>
    <n v="-999"/>
    <n v="-99999"/>
    <n v="-99999"/>
    <s v=""/>
    <n v="0.53800470731707317"/>
    <n v="-999"/>
    <n v="0.66046371598916032"/>
    <n v="1.6703212284209767"/>
    <n v="2.907106213569179"/>
    <n v="4"/>
    <n v="196.30000000000004"/>
    <n v="4"/>
    <n v="196.30000000000004"/>
    <d v="2015-04-08T00:00:00"/>
  </r>
  <r>
    <d v="2015-04-09T00:00:00"/>
    <n v="99"/>
    <s v="Desarrollo"/>
    <n v="1.4"/>
    <n v="0.869886179239025"/>
    <m/>
    <n v="2.5298000000000001E-2"/>
    <n v="0.51458300000000001"/>
    <n v="0.85935399999999995"/>
    <n v="1"/>
    <n v="0"/>
    <n v="0"/>
    <n v="0"/>
    <n v="7.7"/>
    <n v="115.82789831784692"/>
    <n v="89.600000000000009"/>
    <n v="0"/>
    <n v="7.7"/>
    <n v="7.7"/>
    <n v="99"/>
    <x v="18"/>
    <n v="0"/>
    <n v="0"/>
    <n v="0"/>
    <n v="0"/>
    <n v="0"/>
    <n v="0"/>
    <n v="0"/>
    <n v="0"/>
    <n v="-3.1263157894736842"/>
    <n v="-112.15657894736832"/>
    <n v="60.72077087557112"/>
    <n v="40"/>
    <n v="12.149013780626474"/>
    <n v="-100"/>
    <n v="0"/>
    <n v="4.0780000000000003"/>
    <n v="0"/>
    <n v="-0.68065017706052788"/>
    <n v="3.6"/>
    <n v="182.50000000000009"/>
    <n v="-9999"/>
    <n v="-999"/>
    <n v="-99999"/>
    <n v="-99999"/>
    <s v=""/>
    <n v="0.54633373170731703"/>
    <n v="-999"/>
    <n v="0.6735320689159896"/>
    <n v="1.7870041553068305"/>
    <n v="2.73514232904121"/>
    <n v="1.4"/>
    <n v="197.70000000000005"/>
    <n v="1.4"/>
    <n v="197.70000000000005"/>
    <d v="2015-04-09T00:00:00"/>
  </r>
  <r>
    <d v="2015-04-10T00:00:00"/>
    <n v="100"/>
    <s v="Desarrollo"/>
    <n v="3.5"/>
    <n v="0.8887046074536592"/>
    <m/>
    <n v="2.3687E-2"/>
    <n v="0.53559199999999996"/>
    <n v="1.419319"/>
    <n v="0"/>
    <n v="0"/>
    <n v="0"/>
    <n v="0"/>
    <n v="10.5"/>
    <n v="118.7945130863023"/>
    <n v="89.600000000000009"/>
    <n v="0"/>
    <n v="10.5"/>
    <n v="10.5"/>
    <n v="100"/>
    <x v="18"/>
    <n v="0"/>
    <n v="0"/>
    <n v="0"/>
    <n v="0"/>
    <n v="0"/>
    <n v="0"/>
    <n v="0"/>
    <n v="0"/>
    <n v="-3.1263157894736842"/>
    <n v="-115.282894736842"/>
    <n v="57.594455086097433"/>
    <n v="40"/>
    <n v="11.523500417386442"/>
    <n v="-100"/>
    <n v="0"/>
    <n v="4.0780000000000003"/>
    <n v="0"/>
    <n v="-0.68065017706052788"/>
    <n v="3.7"/>
    <n v="186.20000000000007"/>
    <n v="-9999"/>
    <n v="-999"/>
    <n v="-99999"/>
    <n v="-99999"/>
    <s v=""/>
    <n v="0.55466275609756088"/>
    <n v="-999"/>
    <n v="0.68660042184281889"/>
    <n v="1.9098294489559364"/>
    <n v="2.7951246432750594"/>
    <n v="3.5"/>
    <n v="201.20000000000005"/>
    <n v="3.5"/>
    <n v="201.20000000000005"/>
    <d v="2015-04-10T00:00:00"/>
  </r>
  <r>
    <d v="2015-04-11T00:00:00"/>
    <n v="101"/>
    <s v="Desarrollo"/>
    <n v="1.7"/>
    <n v="0.9075230356682934"/>
    <m/>
    <n v="1.9838000000000001E-2"/>
    <n v="0.55436200000000002"/>
    <n v="2.2229899999999998"/>
    <n v="0.6"/>
    <n v="0"/>
    <n v="0"/>
    <n v="0"/>
    <n v="9.6"/>
    <n v="121.3837310520875"/>
    <n v="90.2"/>
    <n v="0"/>
    <n v="9.6"/>
    <n v="9.6"/>
    <n v="101"/>
    <x v="18"/>
    <n v="0"/>
    <n v="0"/>
    <n v="0"/>
    <n v="0"/>
    <n v="0"/>
    <n v="0"/>
    <n v="0"/>
    <n v="0"/>
    <n v="-3.1263157894736842"/>
    <n v="-118.40921052631568"/>
    <n v="54.468139296623747"/>
    <n v="40"/>
    <n v="10.897987054146407"/>
    <n v="-100"/>
    <n v="0"/>
    <n v="4.0780000000000003"/>
    <n v="0"/>
    <n v="-0.68065017706052788"/>
    <n v="3.6"/>
    <n v="189.80000000000007"/>
    <n v="-9999"/>
    <n v="-999"/>
    <n v="-99999"/>
    <n v="-99999"/>
    <s v=""/>
    <n v="0.56299178048780474"/>
    <n v="-999"/>
    <n v="0.69966877476964817"/>
    <n v="2.0321579043061804"/>
    <n v="2.7058831815618447"/>
    <n v="1.7"/>
    <n v="202.90000000000003"/>
    <n v="1.7"/>
    <n v="202.90000000000003"/>
    <d v="2015-04-11T00:00:00"/>
  </r>
  <r>
    <d v="2015-04-12T00:00:00"/>
    <n v="102"/>
    <s v="Desarrollo"/>
    <n v="3"/>
    <n v="0.9263414638829276"/>
    <m/>
    <n v="0.39718900000000001"/>
    <n v="0.95433100000000004"/>
    <n v="1.3646940000000001"/>
    <n v="0"/>
    <n v="0"/>
    <n v="0"/>
    <n v="0"/>
    <n v="10.3"/>
    <n v="123.35336826867432"/>
    <n v="90.2"/>
    <n v="0"/>
    <n v="10.3"/>
    <n v="10.3"/>
    <n v="102"/>
    <x v="18"/>
    <n v="0"/>
    <n v="0"/>
    <n v="0"/>
    <n v="0"/>
    <n v="0"/>
    <n v="0"/>
    <n v="0"/>
    <n v="0"/>
    <n v="-3.1263157894736842"/>
    <n v="-121.53552631578935"/>
    <n v="51.34182350715006"/>
    <n v="40"/>
    <n v="10.272473690906375"/>
    <n v="-100"/>
    <n v="0"/>
    <n v="4.0780000000000003"/>
    <n v="0"/>
    <n v="-0.68065017706052788"/>
    <n v="3.1"/>
    <n v="192.90000000000006"/>
    <n v="-9999"/>
    <n v="-999"/>
    <n v="-99999"/>
    <n v="-99999"/>
    <s v=""/>
    <n v="0.57132080487804859"/>
    <n v="-999"/>
    <n v="0.71273712769647746"/>
    <n v="2.139927010057725"/>
    <n v="2.3247283975490802"/>
    <n v="3"/>
    <n v="205.90000000000003"/>
    <n v="3"/>
    <n v="205.90000000000003"/>
    <d v="2015-04-12T00:00:00"/>
  </r>
  <r>
    <d v="2015-04-13T00:00:00"/>
    <n v="103"/>
    <s v="Desarrollo"/>
    <n v="3.7"/>
    <n v="0.94515989209756179"/>
    <m/>
    <n v="0.39149099999999998"/>
    <n v="0.97125300000000003"/>
    <n v="3.4382359999999998"/>
    <n v="0"/>
    <n v="0"/>
    <n v="0"/>
    <n v="0"/>
    <n v="10.9"/>
    <n v="125.1159411461374"/>
    <n v="90.2"/>
    <n v="0"/>
    <n v="10.9"/>
    <n v="10.9"/>
    <n v="103"/>
    <x v="19"/>
    <n v="0"/>
    <n v="0"/>
    <n v="0"/>
    <n v="0"/>
    <n v="0"/>
    <n v="0"/>
    <n v="0"/>
    <n v="0"/>
    <n v="-3.1263157894736842"/>
    <n v="-124.66184210526303"/>
    <n v="48.215507717676374"/>
    <n v="40"/>
    <n v="9.6469603276663403"/>
    <n v="-100"/>
    <n v="0"/>
    <n v="4.0780000000000003"/>
    <n v="0"/>
    <n v="-0.68065017706052788"/>
    <n v="3.2"/>
    <n v="196.10000000000005"/>
    <n v="-9999"/>
    <n v="-999"/>
    <n v="-99999"/>
    <n v="-99999"/>
    <s v=""/>
    <n v="0.57964982926829245"/>
    <n v="-999"/>
    <n v="0.72580548062330674"/>
    <n v="2.2536816623373999"/>
    <n v="2.3983706042650965"/>
    <n v="3.7"/>
    <n v="209.60000000000002"/>
    <n v="3.7"/>
    <n v="209.60000000000002"/>
    <d v="2015-04-13T00:00:00"/>
  </r>
  <r>
    <d v="2015-04-14T00:00:00"/>
    <n v="104"/>
    <s v="Desarrollo"/>
    <n v="4.8"/>
    <n v="0.96397832031219577"/>
    <m/>
    <n v="0.28057300000000002"/>
    <n v="0.88295400000000002"/>
    <n v="1.53634"/>
    <n v="0"/>
    <n v="0"/>
    <n v="0"/>
    <n v="0"/>
    <n v="11.6"/>
    <n v="126.49997942755236"/>
    <n v="90.2"/>
    <n v="0"/>
    <n v="11.6"/>
    <n v="11.6"/>
    <n v="104"/>
    <x v="19"/>
    <n v="0"/>
    <n v="0"/>
    <n v="0"/>
    <n v="0"/>
    <n v="0"/>
    <n v="0"/>
    <n v="0"/>
    <n v="0"/>
    <n v="-3.1263157894736842"/>
    <n v="-127.78815789473671"/>
    <n v="45.089191928202688"/>
    <n v="40"/>
    <n v="9.0214469644263087"/>
    <n v="-100"/>
    <n v="0"/>
    <n v="4.0780000000000003"/>
    <n v="0"/>
    <n v="-0.68065017706052788"/>
    <n v="2.8"/>
    <n v="198.90000000000006"/>
    <n v="-9999"/>
    <n v="-999"/>
    <n v="-99999"/>
    <n v="-99999"/>
    <s v=""/>
    <n v="0.5879788536585363"/>
    <n v="-999"/>
    <n v="0.73887383355013603"/>
    <n v="2.3554124663738225"/>
    <n v="2.0999072332227655"/>
    <n v="4.8"/>
    <n v="214.40000000000003"/>
    <n v="4.8"/>
    <n v="214.40000000000003"/>
    <d v="2015-04-14T00:00:00"/>
  </r>
  <r>
    <d v="2015-04-15T00:00:00"/>
    <n v="105"/>
    <s v="Desarrollo"/>
    <n v="2.5"/>
    <n v="0.98279674852682997"/>
    <m/>
    <n v="0.27090199999999998"/>
    <n v="0.89590199999999998"/>
    <n v="2.6877059999999999"/>
    <n v="6.5"/>
    <n v="0"/>
    <n v="0"/>
    <n v="0"/>
    <n v="11.7"/>
    <n v="129.67218522900598"/>
    <n v="96.7"/>
    <n v="0"/>
    <n v="11.7"/>
    <n v="11.7"/>
    <n v="105"/>
    <x v="19"/>
    <n v="0"/>
    <n v="0"/>
    <n v="0"/>
    <n v="0"/>
    <n v="0"/>
    <n v="0"/>
    <n v="0"/>
    <n v="0"/>
    <n v="-3.1263157894736842"/>
    <n v="-130.91447368421041"/>
    <n v="41.962876138729001"/>
    <n v="40"/>
    <n v="8.3959336011862735"/>
    <n v="-100"/>
    <n v="0"/>
    <n v="4.0780000000000003"/>
    <n v="0"/>
    <n v="-0.68065017706052788"/>
    <n v="4.0999999999999996"/>
    <n v="203.00000000000006"/>
    <n v="-9999"/>
    <n v="-999"/>
    <n v="-99999"/>
    <n v="-99999"/>
    <s v=""/>
    <n v="0.59630787804878016"/>
    <n v="-999"/>
    <n v="0.75194218647696531"/>
    <n v="2.5075902442471558"/>
    <n v="3.0678058831929036"/>
    <n v="2.5"/>
    <n v="216.90000000000003"/>
    <n v="2.5"/>
    <n v="216.90000000000003"/>
    <d v="2015-04-15T00:00:00"/>
  </r>
  <r>
    <d v="2015-04-16T00:00:00"/>
    <n v="106"/>
    <s v="Desarrollo"/>
    <n v="2.2999999999999998"/>
    <n v="1.0016151767414641"/>
    <m/>
    <n v="0.494668"/>
    <n v="1.1422870000000001"/>
    <n v="4.2036150000000001"/>
    <n v="4.7"/>
    <n v="0"/>
    <n v="0"/>
    <n v="0"/>
    <n v="11.3"/>
    <n v="133.43177881773696"/>
    <n v="101.4"/>
    <n v="0"/>
    <n v="11.3"/>
    <n v="11.3"/>
    <n v="106"/>
    <x v="19"/>
    <n v="0"/>
    <n v="0"/>
    <n v="0"/>
    <n v="0"/>
    <n v="0"/>
    <n v="0"/>
    <n v="0"/>
    <n v="0"/>
    <n v="-3.1263157894736842"/>
    <n v="-134.0407894736841"/>
    <n v="38.836560349255315"/>
    <n v="40"/>
    <n v="7.7704202379462419"/>
    <n v="-100"/>
    <n v="1"/>
    <n v="4.0780000000000003"/>
    <n v="0"/>
    <n v="-0.68065017706052788"/>
    <n v="4.7"/>
    <n v="207.70000000000005"/>
    <n v="-9999"/>
    <n v="-999"/>
    <n v="-99999"/>
    <n v="-99999"/>
    <s v=""/>
    <n v="0.60463690243902402"/>
    <n v="-999"/>
    <n v="0.7650105394037946"/>
    <n v="2.6857232163590261"/>
    <n v="3.4883123767994988"/>
    <n v="2.2999999999999998"/>
    <n v="219.20000000000005"/>
    <n v="2.2999999999999998"/>
    <n v="219.20000000000005"/>
    <d v="2015-04-16T00:00:00"/>
  </r>
  <r>
    <d v="2015-04-17T00:00:00"/>
    <n v="107"/>
    <s v="Desarrollo"/>
    <n v="3.2"/>
    <n v="1.0204336049560983"/>
    <m/>
    <n v="0.46196300000000001"/>
    <n v="1.132201"/>
    <n v="5.4119210000000004"/>
    <n v="0"/>
    <n v="0"/>
    <n v="0"/>
    <n v="0"/>
    <n v="12.7"/>
    <n v="136.19525920941444"/>
    <n v="101.4"/>
    <n v="0"/>
    <n v="12.7"/>
    <n v="12.7"/>
    <n v="107"/>
    <x v="19"/>
    <n v="0"/>
    <n v="0"/>
    <n v="0"/>
    <n v="0"/>
    <n v="0"/>
    <n v="0"/>
    <n v="0"/>
    <n v="0"/>
    <n v="-3.1263157894736842"/>
    <n v="-137.16710526315779"/>
    <n v="35.710244559781628"/>
    <n v="40"/>
    <n v="7.1449068747062077"/>
    <n v="-100"/>
    <n v="1"/>
    <n v="4.0780000000000003"/>
    <n v="0"/>
    <n v="-0.68065017706052788"/>
    <n v="4.3"/>
    <n v="212.00000000000006"/>
    <n v="-9999"/>
    <n v="-999"/>
    <n v="-99999"/>
    <n v="-99999"/>
    <s v=""/>
    <n v="0.61296592682926787"/>
    <n v="-999"/>
    <n v="0.77807889233062388"/>
    <n v="2.8520675705803269"/>
    <n v="3.1661988838418722"/>
    <n v="3.2"/>
    <n v="222.40000000000003"/>
    <n v="3.2"/>
    <n v="222.40000000000003"/>
    <d v="2015-04-17T00:00:00"/>
  </r>
  <r>
    <d v="2015-04-18T00:00:00"/>
    <n v="108"/>
    <s v="Desarrollo"/>
    <n v="4.2"/>
    <n v="1.0392520331707324"/>
    <m/>
    <n v="0.40649200000000002"/>
    <n v="1.0993489999999999"/>
    <n v="2.748373"/>
    <n v="0"/>
    <n v="0"/>
    <n v="0"/>
    <n v="0"/>
    <n v="14.4"/>
    <n v="137.83964561152763"/>
    <n v="101.4"/>
    <n v="0"/>
    <n v="14.4"/>
    <n v="14.4"/>
    <n v="108"/>
    <x v="19"/>
    <n v="0"/>
    <n v="0"/>
    <n v="0.57600000000000007"/>
    <n v="0"/>
    <n v="0"/>
    <n v="0"/>
    <n v="0"/>
    <n v="0"/>
    <n v="-3.1263157894736842"/>
    <n v="-140.29342105263149"/>
    <n v="33.159928770307943"/>
    <n v="40"/>
    <n v="6.6346396099055509"/>
    <n v="-100"/>
    <n v="1"/>
    <n v="4.6539999999999999"/>
    <n v="0"/>
    <n v="-0.68065017706052788"/>
    <n v="2.8"/>
    <n v="214.80000000000007"/>
    <n v="-9999"/>
    <n v="-999"/>
    <n v="-99999"/>
    <n v="-99999"/>
    <s v=""/>
    <n v="0.62129495121951173"/>
    <n v="-999"/>
    <n v="0.79114724525745317"/>
    <n v="2.9625803077835791"/>
    <n v="2.0585095686951718"/>
    <n v="4.2"/>
    <n v="226.60000000000002"/>
    <n v="4.2"/>
    <n v="226.60000000000002"/>
    <d v="2015-04-18T00:00:00"/>
  </r>
  <r>
    <d v="2015-04-19T00:00:00"/>
    <n v="109"/>
    <s v="Desarrollo"/>
    <n v="3.8"/>
    <n v="1.0580704613853666"/>
    <m/>
    <n v="0.339592"/>
    <n v="1.0550679999999999"/>
    <n v="2.4266559999999999"/>
    <n v="0"/>
    <n v="0"/>
    <n v="0"/>
    <n v="0"/>
    <n v="10.1"/>
    <n v="139.41865852608535"/>
    <n v="101.4"/>
    <n v="0"/>
    <n v="10.1"/>
    <n v="10.1"/>
    <n v="109"/>
    <x v="19"/>
    <n v="0"/>
    <n v="0"/>
    <n v="0"/>
    <n v="0"/>
    <n v="70.38"/>
    <n v="82.8"/>
    <n v="0"/>
    <n v="0"/>
    <n v="-3.1263157894736842"/>
    <n v="-143.41973684210518"/>
    <n v="100.41361298083426"/>
    <n v="40"/>
    <n v="20.090758899726744"/>
    <n v="-100"/>
    <n v="0"/>
    <n v="4.6539999999999999"/>
    <n v="0"/>
    <n v="-0.68065017706052788"/>
    <n v="4.2"/>
    <n v="219.00000000000006"/>
    <n v="-9999"/>
    <n v="-999"/>
    <n v="33"/>
    <n v="1.4"/>
    <s v=""/>
    <n v="0.62962397560975558"/>
    <n v="-999"/>
    <n v="0.80421559818428245"/>
    <n v="3.1316426385260181"/>
    <n v="3.0845491846248905"/>
    <n v="3.8"/>
    <n v="230.40000000000003"/>
    <n v="3.8"/>
    <n v="230.40000000000003"/>
    <d v="2015-04-19T00:00:00"/>
  </r>
  <r>
    <d v="2015-04-20T00:00:00"/>
    <n v="110"/>
    <s v="Desarrollo"/>
    <n v="4.3"/>
    <n v="1.0768888895999997"/>
    <m/>
    <n v="0.341391"/>
    <n v="1.0794870000000001"/>
    <n v="3.4975360000000002"/>
    <n v="0"/>
    <n v="0"/>
    <n v="0"/>
    <n v="0"/>
    <n v="12.1"/>
    <n v="140.39334602500486"/>
    <n v="101.4"/>
    <n v="0"/>
    <n v="12.1"/>
    <n v="12.1"/>
    <n v="110"/>
    <x v="20"/>
    <n v="0"/>
    <n v="0"/>
    <n v="0"/>
    <n v="0"/>
    <n v="0"/>
    <n v="0"/>
    <n v="0"/>
    <n v="0"/>
    <n v="-3.1263157894736842"/>
    <n v="-146.54605263157887"/>
    <n v="97.28729719136058"/>
    <n v="40"/>
    <n v="19.465245536486709"/>
    <n v="-100"/>
    <n v="0"/>
    <n v="4.6539999999999999"/>
    <n v="0"/>
    <n v="-0.68065017706052788"/>
    <n v="2.5"/>
    <n v="221.50000000000006"/>
    <n v="-9999"/>
    <n v="-999"/>
    <n v="-99999"/>
    <n v="-99999"/>
    <n v="0.63795299999999999"/>
    <n v="0.63795299999999999"/>
    <n v="0.81728395111111107"/>
    <n v="0.81728395111111107"/>
    <n v="3.234235231192685"/>
    <n v="1.8359711729217025"/>
    <n v="4.3"/>
    <n v="234.70000000000005"/>
    <n v="4.3"/>
    <n v="234.70000000000005"/>
    <d v="2015-04-20T00:00:00"/>
  </r>
  <r>
    <d v="2015-04-21T00:00:00"/>
    <n v="111"/>
    <s v="Desarrollo"/>
    <n v="4.0999999999999996"/>
    <n v="1.0822888894999998"/>
    <m/>
    <n v="0.41076499999999999"/>
    <n v="1.1714789999999999"/>
    <n v="4.873354"/>
    <n v="0.2"/>
    <n v="0"/>
    <n v="0"/>
    <n v="0"/>
    <n v="12.5"/>
    <n v="140.97080529132603"/>
    <n v="101.60000000000001"/>
    <n v="0"/>
    <n v="12.5"/>
    <n v="12.5"/>
    <n v="111"/>
    <x v="20"/>
    <n v="0"/>
    <n v="0"/>
    <n v="0"/>
    <n v="0"/>
    <n v="0"/>
    <n v="0"/>
    <n v="0"/>
    <n v="0"/>
    <n v="-3.1263157894736842"/>
    <n v="-149.67236842105257"/>
    <n v="94.1609814018869"/>
    <n v="40"/>
    <n v="18.839732173246677"/>
    <n v="-100"/>
    <n v="0"/>
    <n v="4.6539999999999999"/>
    <n v="0"/>
    <n v="-0.68065017706052788"/>
    <n v="1.4"/>
    <n v="222.90000000000006"/>
    <n v="-9999"/>
    <n v="-999"/>
    <n v="-99999"/>
    <n v="-99999"/>
    <s v=""/>
    <n v="0.64827274999999995"/>
    <n v="-999"/>
    <n v="0.82103395104166665"/>
    <n v="3.292002083080185"/>
    <n v="1.0224558619127322"/>
    <n v="4.0999999999999996"/>
    <n v="238.80000000000004"/>
    <n v="4.0999999999999996"/>
    <n v="238.80000000000004"/>
    <d v="2015-04-21T00:00:00"/>
  </r>
  <r>
    <d v="2015-04-22T00:00:00"/>
    <n v="112"/>
    <s v="Desarrollo"/>
    <n v="4.3"/>
    <n v="1.0876888893999999"/>
    <m/>
    <n v="0.34629300000000002"/>
    <n v="1.129626"/>
    <n v="4.3264670000000001"/>
    <n v="2.2000000000000002"/>
    <n v="0"/>
    <n v="0"/>
    <n v="0"/>
    <n v="14"/>
    <n v="142.38463208518363"/>
    <n v="103.80000000000001"/>
    <n v="0"/>
    <n v="14"/>
    <n v="14"/>
    <n v="112"/>
    <x v="20"/>
    <n v="0"/>
    <n v="0"/>
    <n v="0.56000000000000005"/>
    <n v="0"/>
    <n v="0"/>
    <n v="0"/>
    <n v="0"/>
    <n v="0"/>
    <n v="-3.1263157894736842"/>
    <n v="-152.79868421052626"/>
    <n v="91.594665612413223"/>
    <n v="40"/>
    <n v="18.32626362793382"/>
    <n v="-100"/>
    <n v="0"/>
    <n v="5.2140000000000004"/>
    <n v="0"/>
    <n v="-0.68065017706052788"/>
    <n v="3.5"/>
    <n v="226.40000000000006"/>
    <n v="-9999"/>
    <n v="-999"/>
    <n v="-99999"/>
    <n v="-99999"/>
    <s v=""/>
    <n v="0.65859249999999991"/>
    <n v="-999"/>
    <n v="0.82478395097222224"/>
    <n v="3.4372067127843517"/>
    <n v="2.5356254233574731"/>
    <n v="4.3"/>
    <n v="243.10000000000005"/>
    <n v="4.3"/>
    <n v="243.10000000000005"/>
    <d v="2015-04-22T00:00:00"/>
  </r>
  <r>
    <d v="2015-04-23T00:00:00"/>
    <n v="113"/>
    <s v="Desarrollo"/>
    <n v="4.0999999999999996"/>
    <n v="1.0930888892999999"/>
    <m/>
    <n v="0.31869700000000001"/>
    <n v="1.1246499999999999"/>
    <n v="4.7910079999999997"/>
    <n v="0"/>
    <n v="0"/>
    <n v="0"/>
    <n v="0"/>
    <n v="14.3"/>
    <n v="143.29896388789624"/>
    <n v="103.80000000000001"/>
    <n v="0"/>
    <n v="14.3"/>
    <n v="14.3"/>
    <n v="113"/>
    <x v="20"/>
    <n v="0"/>
    <n v="0"/>
    <n v="0.57200000000000006"/>
    <n v="0"/>
    <n v="0"/>
    <n v="0"/>
    <n v="0"/>
    <n v="0"/>
    <n v="-3.1263157894736842"/>
    <n v="-155.92499999999995"/>
    <n v="89.040349822939547"/>
    <n v="40"/>
    <n v="17.815196043005113"/>
    <n v="-100"/>
    <n v="0"/>
    <n v="5.7860000000000005"/>
    <n v="0"/>
    <n v="-0.68065017706052788"/>
    <n v="2.2999999999999998"/>
    <n v="228.70000000000007"/>
    <n v="39"/>
    <n v="1.4"/>
    <n v="-99999"/>
    <n v="-99999"/>
    <s v=""/>
    <n v="0.66891224999999987"/>
    <n v="-999"/>
    <n v="0.82853395090277782"/>
    <n v="3.5331443980089352"/>
    <n v="1.6493873422338083"/>
    <n v="4.0999999999999996"/>
    <n v="247.20000000000005"/>
    <n v="4.0999999999999996"/>
    <n v="247.20000000000005"/>
    <d v="2015-04-23T00:00:00"/>
  </r>
  <r>
    <d v="2015-04-24T00:00:00"/>
    <n v="114"/>
    <s v="Desarrollo"/>
    <n v="4.2"/>
    <n v="1.0984888892"/>
    <m/>
    <n v="0.32486399999999999"/>
    <n v="1.1534359999999999"/>
    <n v="4.740621"/>
    <n v="0"/>
    <n v="0"/>
    <n v="0"/>
    <n v="0"/>
    <n v="15.8"/>
    <n v="144.27181407660237"/>
    <n v="103.80000000000001"/>
    <n v="0"/>
    <n v="15.8"/>
    <n v="15.8"/>
    <n v="114"/>
    <x v="20"/>
    <n v="0"/>
    <n v="0"/>
    <n v="0.94800000000000006"/>
    <n v="0"/>
    <n v="0"/>
    <n v="0"/>
    <n v="0"/>
    <n v="0"/>
    <n v="-1.2295799999999899"/>
    <n v="-157.15457999999995"/>
    <n v="88.758769822939556"/>
    <n v="40"/>
    <n v="17.75885750759095"/>
    <n v="-100"/>
    <n v="0"/>
    <n v="6.7340000000000009"/>
    <n v="0"/>
    <n v="-0.68065017706052788"/>
    <n v="3.6"/>
    <n v="232.30000000000007"/>
    <n v="-9999"/>
    <n v="-999"/>
    <n v="-99999"/>
    <n v="-99999"/>
    <s v=""/>
    <n v="0.67923199999999984"/>
    <n v="-999"/>
    <n v="0.8322839508333334"/>
    <n v="3.6841177313889353"/>
    <n v="2.5560128791376115"/>
    <n v="4.2"/>
    <n v="251.40000000000003"/>
    <n v="4.2"/>
    <n v="251.40000000000003"/>
    <d v="2015-04-24T00:00:00"/>
  </r>
  <r>
    <d v="2015-04-25T00:00:00"/>
    <n v="115"/>
    <s v="Desarrollo"/>
    <n v="3.2"/>
    <n v="1.1038888891"/>
    <m/>
    <n v="0.25758599999999998"/>
    <n v="1.108776"/>
    <n v="4.7788269999999997"/>
    <n v="0.2"/>
    <n v="0"/>
    <n v="0"/>
    <n v="0"/>
    <n v="14.2"/>
    <n v="145.06041915466224"/>
    <n v="104.00000000000001"/>
    <n v="0"/>
    <n v="14.2"/>
    <n v="14.2"/>
    <n v="115"/>
    <x v="20"/>
    <n v="0"/>
    <n v="0"/>
    <n v="0.56799999999999995"/>
    <n v="0"/>
    <n v="0"/>
    <n v="0"/>
    <n v="0"/>
    <n v="0"/>
    <n v="-1.2295799999999899"/>
    <n v="-158.38415999999995"/>
    <n v="88.097189822939569"/>
    <n v="40"/>
    <n v="17.626488560011921"/>
    <n v="-100"/>
    <n v="0"/>
    <n v="7.3020000000000005"/>
    <n v="0"/>
    <n v="-0.68065017706052788"/>
    <n v="4.3"/>
    <n v="236.60000000000008"/>
    <n v="-9999"/>
    <n v="-999"/>
    <n v="-99999"/>
    <n v="-99999"/>
    <s v=""/>
    <n v="0.6895517499999998"/>
    <n v="-999"/>
    <n v="0.83603395076388898"/>
    <n v="3.8654144906860184"/>
    <n v="3.0089795183359769"/>
    <n v="3.2"/>
    <n v="254.60000000000002"/>
    <n v="3.2"/>
    <n v="254.60000000000002"/>
    <d v="2015-04-25T00:00:00"/>
  </r>
  <r>
    <d v="2015-04-26T00:00:00"/>
    <n v="116"/>
    <s v="Desarrollo"/>
    <n v="2.7"/>
    <n v="1.1092888890000001"/>
    <m/>
    <n v="0.24080399999999999"/>
    <n v="1.1146130000000001"/>
    <n v="4.5476229999999997"/>
    <n v="2.5"/>
    <n v="0"/>
    <n v="0"/>
    <n v="0"/>
    <n v="11.9"/>
    <n v="146.21843765618624"/>
    <n v="106.50000000000001"/>
    <n v="0"/>
    <n v="11.9"/>
    <n v="11.9"/>
    <n v="116"/>
    <x v="20"/>
    <n v="0"/>
    <n v="0"/>
    <n v="0"/>
    <n v="0"/>
    <n v="0"/>
    <n v="0"/>
    <n v="0"/>
    <n v="0"/>
    <n v="-1.2295799999999899"/>
    <n v="-159.61373999999995"/>
    <n v="86.867609822939585"/>
    <n v="40"/>
    <n v="17.380474154249619"/>
    <n v="-100"/>
    <n v="0"/>
    <n v="7.3020000000000005"/>
    <n v="0"/>
    <n v="-0.68065017706052788"/>
    <n v="4.0999999999999996"/>
    <n v="240.70000000000007"/>
    <n v="-9999"/>
    <n v="-999"/>
    <n v="-99999"/>
    <n v="-99999"/>
    <s v=""/>
    <n v="0.69987149999999976"/>
    <n v="-999"/>
    <n v="0.83978395069444456"/>
    <n v="4.0392013425568516"/>
    <n v="2.8263058605298994"/>
    <n v="2.7"/>
    <n v="257.3"/>
    <n v="2.7"/>
    <n v="257.3"/>
    <d v="2015-04-26T00:00:00"/>
  </r>
  <r>
    <d v="2015-04-27T00:00:00"/>
    <n v="117"/>
    <s v="Desarrollo"/>
    <n v="3.1"/>
    <n v="1.1146888889000002"/>
    <m/>
    <n v="0.23019500000000001"/>
    <n v="1.1266229999999999"/>
    <n v="4.7205519999999996"/>
    <n v="0"/>
    <n v="0"/>
    <n v="0"/>
    <n v="0"/>
    <n v="10.9"/>
    <n v="147.08598255006612"/>
    <n v="106.50000000000001"/>
    <n v="0"/>
    <n v="10.9"/>
    <n v="10.9"/>
    <n v="117"/>
    <x v="21"/>
    <n v="0"/>
    <n v="0"/>
    <n v="0"/>
    <n v="0"/>
    <n v="0"/>
    <n v="0"/>
    <n v="0"/>
    <n v="0"/>
    <n v="-1.2295799999999899"/>
    <n v="-160.84331999999995"/>
    <n v="85.6380298229396"/>
    <n v="40"/>
    <n v="17.134459748487316"/>
    <n v="-100"/>
    <n v="0"/>
    <n v="7.3020000000000005"/>
    <n v="0"/>
    <n v="-0.68065017706052788"/>
    <n v="4.5"/>
    <n v="245.20000000000007"/>
    <n v="-9999"/>
    <n v="-999"/>
    <n v="-99999"/>
    <n v="-99999"/>
    <s v=""/>
    <n v="0.71019124999999972"/>
    <n v="-999"/>
    <n v="0.84353395062500014"/>
    <n v="4.2309555092256019"/>
    <n v="3.05683346634477"/>
    <n v="3.1"/>
    <n v="260.40000000000003"/>
    <n v="3.1"/>
    <n v="260.40000000000003"/>
    <d v="2015-04-27T00:00:00"/>
  </r>
  <r>
    <d v="2015-04-28T00:00:00"/>
    <n v="118"/>
    <s v="Desarrollo"/>
    <n v="4.0999999999999996"/>
    <n v="1.1200888888"/>
    <m/>
    <n v="0.22717300000000001"/>
    <n v="1.1462209999999999"/>
    <n v="3.6220569999999999"/>
    <n v="0"/>
    <n v="0"/>
    <n v="0"/>
    <n v="0"/>
    <n v="12.5"/>
    <n v="147.79870188058979"/>
    <n v="106.50000000000001"/>
    <n v="0"/>
    <n v="12.5"/>
    <n v="12.5"/>
    <n v="118"/>
    <x v="21"/>
    <n v="0"/>
    <n v="0"/>
    <n v="0"/>
    <n v="0"/>
    <n v="0"/>
    <n v="0"/>
    <n v="0"/>
    <n v="0"/>
    <n v="-1.2295799999999899"/>
    <n v="-162.07289999999995"/>
    <n v="84.408449822939616"/>
    <n v="40"/>
    <n v="16.888445342725014"/>
    <n v="-100"/>
    <n v="0"/>
    <n v="7.3020000000000005"/>
    <n v="0"/>
    <n v="-0.68065017706052788"/>
    <n v="3.5"/>
    <n v="248.70000000000007"/>
    <n v="49"/>
    <n v="1.4"/>
    <n v="-99999"/>
    <n v="-99999"/>
    <s v=""/>
    <n v="0.72051099999999968"/>
    <n v="-999"/>
    <n v="0.84728395055555572"/>
    <n v="4.3808851388422685"/>
    <n v="2.3476441397395433"/>
    <n v="4.0999999999999996"/>
    <n v="264.50000000000006"/>
    <n v="4.0999999999999996"/>
    <n v="264.50000000000006"/>
    <d v="2015-04-28T00:00:00"/>
  </r>
  <r>
    <d v="2015-04-29T00:00:00"/>
    <n v="119"/>
    <s v="Desarrollo"/>
    <n v="4.8"/>
    <n v="1.1254888887000001"/>
    <m/>
    <n v="0.15346199999999999"/>
    <n v="1.095129"/>
    <n v="3.0006529999999998"/>
    <n v="0"/>
    <n v="0"/>
    <n v="0"/>
    <n v="0"/>
    <n v="14"/>
    <n v="148.33435588566181"/>
    <n v="106.50000000000001"/>
    <n v="0"/>
    <n v="14"/>
    <n v="14"/>
    <n v="119"/>
    <x v="21"/>
    <n v="0"/>
    <n v="0"/>
    <n v="0.56000000000000005"/>
    <n v="0"/>
    <n v="0"/>
    <n v="0"/>
    <n v="0"/>
    <n v="0"/>
    <n v="-3.2076000000000011"/>
    <n v="-165.28049999999996"/>
    <n v="81.760849822939619"/>
    <n v="40"/>
    <n v="16.358713449967912"/>
    <n v="-100"/>
    <n v="0"/>
    <n v="7.8620000000000001"/>
    <n v="0"/>
    <n v="-0.68065017706052788"/>
    <n v="3.9"/>
    <n v="252.60000000000008"/>
    <n v="-9999"/>
    <n v="-999"/>
    <n v="-99999"/>
    <n v="-99999"/>
    <s v=""/>
    <n v="0.73083074999999964"/>
    <n v="-999"/>
    <n v="0.8510339504861113"/>
    <n v="4.5488270832560183"/>
    <n v="2.5879064764989579"/>
    <n v="4.8"/>
    <n v="269.30000000000007"/>
    <n v="4.8"/>
    <n v="269.30000000000007"/>
    <d v="2015-04-29T00:00:00"/>
  </r>
  <r>
    <d v="2015-04-30T00:00:00"/>
    <n v="120"/>
    <s v="Desarrollo"/>
    <n v="4.5999999999999996"/>
    <n v="1.1308888886000001"/>
    <m/>
    <n v="0.174537"/>
    <n v="1.138822"/>
    <n v="3.5303490000000002"/>
    <n v="0"/>
    <n v="0"/>
    <n v="0"/>
    <n v="0"/>
    <n v="14.4"/>
    <n v="148.78307190753401"/>
    <n v="106.50000000000001"/>
    <n v="0"/>
    <n v="14.4"/>
    <n v="14.4"/>
    <n v="120"/>
    <x v="21"/>
    <n v="0"/>
    <n v="0"/>
    <n v="0.57600000000000007"/>
    <n v="0"/>
    <n v="0"/>
    <n v="0"/>
    <n v="0"/>
    <n v="0"/>
    <n v="-3.2076000000000011"/>
    <n v="-168.48809999999997"/>
    <n v="79.129249822939613"/>
    <n v="40"/>
    <n v="15.832182837723012"/>
    <n v="-100"/>
    <n v="0"/>
    <n v="8.4380000000000006"/>
    <n v="0"/>
    <n v="-0.68065017706052788"/>
    <n v="2.1"/>
    <n v="254.70000000000007"/>
    <n v="-9999"/>
    <n v="-999"/>
    <n v="-99999"/>
    <n v="-99999"/>
    <s v=""/>
    <n v="0.7411504999999996"/>
    <n v="-999"/>
    <n v="0.85478395041666688"/>
    <n v="4.6397298610085187"/>
    <n v="1.3831510069638"/>
    <n v="4.5999999999999996"/>
    <n v="273.90000000000009"/>
    <n v="4.5999999999999996"/>
    <n v="273.90000000000009"/>
    <d v="2015-04-30T00:00:00"/>
  </r>
  <r>
    <d v="2015-05-01T00:00:00"/>
    <n v="121"/>
    <s v="Desarrollo"/>
    <n v="5.4"/>
    <n v="1.1362888885000002"/>
    <m/>
    <n v="0.123404"/>
    <n v="1.110309"/>
    <n v="4.5078550000000002"/>
    <n v="0"/>
    <n v="0"/>
    <n v="0"/>
    <n v="0"/>
    <n v="16.899999999999999"/>
    <n v="149.04361873950168"/>
    <n v="106.50000000000001"/>
    <n v="0"/>
    <n v="16.899999999999999"/>
    <n v="16.899999999999999"/>
    <n v="121"/>
    <x v="21"/>
    <n v="0"/>
    <n v="0"/>
    <n v="1.1829999999999998"/>
    <n v="0"/>
    <n v="0"/>
    <n v="0"/>
    <n v="0"/>
    <n v="0"/>
    <n v="-3.2076000000000011"/>
    <n v="-171.69569999999999"/>
    <n v="77.104649822939606"/>
    <n v="40"/>
    <n v="15.427100804909886"/>
    <n v="-100"/>
    <n v="0"/>
    <n v="9.6210000000000004"/>
    <n v="0"/>
    <n v="-0.68065017706052788"/>
    <n v="4.0999999999999996"/>
    <n v="258.80000000000007"/>
    <n v="-9999"/>
    <n v="-999"/>
    <n v="-99999"/>
    <n v="-99999"/>
    <s v=""/>
    <n v="0.75147024999999956"/>
    <n v="-999"/>
    <n v="0.85853395034722246"/>
    <n v="4.8181292127939352"/>
    <n v="2.6801092203493226"/>
    <n v="5.4"/>
    <n v="279.30000000000007"/>
    <n v="5.4"/>
    <n v="279.30000000000007"/>
    <d v="2015-05-01T00:00:00"/>
  </r>
  <r>
    <d v="2015-05-02T00:00:00"/>
    <n v="122"/>
    <s v="Desarrollo"/>
    <n v="5.2"/>
    <n v="1.1416888884000003"/>
    <m/>
    <n v="0.140595"/>
    <n v="1.150118"/>
    <n v="5.566573"/>
    <n v="0"/>
    <n v="0"/>
    <n v="0"/>
    <n v="0"/>
    <n v="19.7"/>
    <n v="149.20739382693466"/>
    <n v="106.50000000000001"/>
    <n v="0"/>
    <n v="19.7"/>
    <n v="19.7"/>
    <n v="122"/>
    <x v="21"/>
    <n v="0"/>
    <n v="0"/>
    <n v="1.97"/>
    <n v="0"/>
    <n v="0"/>
    <n v="0"/>
    <n v="0"/>
    <n v="0"/>
    <n v="-3.2076000000000011"/>
    <n v="-174.9033"/>
    <n v="75.867049822939606"/>
    <n v="40"/>
    <n v="15.179481757290837"/>
    <n v="-100"/>
    <n v="0"/>
    <n v="11.591000000000001"/>
    <n v="0"/>
    <n v="-0.68065017706052788"/>
    <n v="4.2"/>
    <n v="263.00000000000006"/>
    <n v="51"/>
    <n v="1.4"/>
    <n v="41"/>
    <n v="1.4"/>
    <s v=""/>
    <n v="0.76178999999999952"/>
    <n v="-999"/>
    <n v="0.86228395027777804"/>
    <n v="5.0018247682639352"/>
    <n v="2.7142238058011969"/>
    <n v="5.2"/>
    <n v="284.50000000000006"/>
    <n v="5.2"/>
    <n v="284.50000000000006"/>
    <d v="2015-05-02T00:00:00"/>
  </r>
  <r>
    <d v="2015-05-03T00:00:00"/>
    <n v="123"/>
    <s v="Desarrollo"/>
    <n v="4.4000000000000004"/>
    <n v="1.1470888883000003"/>
    <m/>
    <n v="9.0323000000000001E-2"/>
    <n v="1.122466"/>
    <n v="5.1633440000000004"/>
    <n v="0"/>
    <n v="0"/>
    <n v="0"/>
    <n v="0"/>
    <n v="19.8"/>
    <n v="149.31480879334697"/>
    <n v="106.50000000000001"/>
    <n v="0"/>
    <n v="19.8"/>
    <n v="19.8"/>
    <n v="123"/>
    <x v="21"/>
    <n v="0"/>
    <n v="0"/>
    <n v="1.9800000000000002"/>
    <n v="0"/>
    <n v="0"/>
    <n v="0"/>
    <n v="0"/>
    <n v="0"/>
    <n v="-3.4214400000000058"/>
    <n v="-178.32474000000002"/>
    <n v="74.425609822939606"/>
    <n v="40"/>
    <n v="14.8910783959463"/>
    <n v="-100"/>
    <n v="0"/>
    <n v="13.571000000000002"/>
    <n v="0"/>
    <n v="-0.68065017706052788"/>
    <n v="4.2"/>
    <n v="267.20000000000005"/>
    <n v="-9999"/>
    <n v="-999"/>
    <n v="-99999"/>
    <n v="-99999"/>
    <s v=""/>
    <n v="0.77210974999999948"/>
    <n v="-999"/>
    <n v="0.86603395020833362"/>
    <n v="5.1864653237164351"/>
    <n v="2.6841372263959045"/>
    <n v="4.4000000000000004"/>
    <n v="288.90000000000003"/>
    <n v="4.4000000000000004"/>
    <n v="288.90000000000003"/>
    <d v="2015-05-03T00:00:00"/>
  </r>
  <r>
    <d v="2015-05-04T00:00:00"/>
    <n v="124"/>
    <s v="Desarrollo"/>
    <n v="4.5999999999999996"/>
    <n v="1.1499999999999999"/>
    <m/>
    <n v="0.10234799999999999"/>
    <n v="1.1571100000000001"/>
    <n v="6.2483950000000004"/>
    <n v="0"/>
    <n v="0"/>
    <n v="0"/>
    <n v="0"/>
    <n v="20.7"/>
    <n v="149.23983453374615"/>
    <n v="106.50000000000001"/>
    <n v="0"/>
    <n v="20.7"/>
    <n v="20.7"/>
    <n v="124"/>
    <x v="22"/>
    <n v="0"/>
    <n v="0"/>
    <n v="2.0699999999999998"/>
    <n v="0"/>
    <n v="0"/>
    <n v="0"/>
    <n v="0"/>
    <n v="0"/>
    <n v="-3.4214400000000058"/>
    <n v="-181.74618000000004"/>
    <n v="73.074169822939595"/>
    <n v="40"/>
    <n v="14.620682237482912"/>
    <n v="-100"/>
    <n v="0"/>
    <n v="15.641000000000002"/>
    <n v="0"/>
    <n v="-0.68065017706052788"/>
    <n v="5.2"/>
    <n v="272.40000000000003"/>
    <n v="-9999"/>
    <n v="-999"/>
    <n v="-99999"/>
    <n v="-99999"/>
    <s v=""/>
    <n v="0.78242949999999944"/>
    <n v="-999"/>
    <n v="0.86978395013888921"/>
    <n v="5.4162379161597682"/>
    <n v="3.2819275789783831"/>
    <n v="4.5999999999999996"/>
    <n v="293.50000000000006"/>
    <n v="4.5999999999999996"/>
    <n v="293.50000000000006"/>
    <d v="2015-05-04T00:00:00"/>
  </r>
  <r>
    <d v="2015-05-05T00:00:00"/>
    <n v="125"/>
    <s v="Desarrollo"/>
    <n v="4.2"/>
    <n v="1.1499999999999999"/>
    <m/>
    <n v="0.05"/>
    <n v="1.127381"/>
    <n v="5.8623810000000001"/>
    <n v="0"/>
    <n v="0"/>
    <n v="0"/>
    <n v="0"/>
    <n v="16.100000000000001"/>
    <n v="149.16753777409573"/>
    <n v="106.50000000000001"/>
    <n v="0"/>
    <n v="16.100000000000001"/>
    <n v="16.100000000000001"/>
    <n v="125"/>
    <x v="22"/>
    <n v="0"/>
    <n v="0"/>
    <n v="1.127"/>
    <n v="0"/>
    <n v="0"/>
    <n v="0"/>
    <n v="0"/>
    <n v="0"/>
    <n v="-3.4214400000000058"/>
    <n v="-185.16762000000006"/>
    <n v="70.779729822939586"/>
    <n v="40"/>
    <n v="14.161610608831451"/>
    <n v="-100"/>
    <n v="0"/>
    <n v="16.768000000000001"/>
    <n v="0"/>
    <n v="-0.68065017706052788"/>
    <n v="5.3"/>
    <n v="277.70000000000005"/>
    <n v="-9999"/>
    <n v="-999"/>
    <n v="-99999"/>
    <n v="-99999"/>
    <s v=""/>
    <n v="0.79274924999999941"/>
    <n v="-999"/>
    <n v="0.87353395006944479"/>
    <n v="5.6516217122818517"/>
    <n v="3.2988649870588063"/>
    <n v="4.2"/>
    <n v="297.70000000000005"/>
    <n v="4.2"/>
    <n v="297.70000000000005"/>
    <d v="2015-05-05T00:00:00"/>
  </r>
  <r>
    <d v="2015-05-06T00:00:00"/>
    <n v="126"/>
    <s v="Mediados"/>
    <n v="5"/>
    <n v="1.1499999999999999"/>
    <m/>
    <n v="0.05"/>
    <n v="1.1499999999999999"/>
    <n v="5.0599999999999996"/>
    <n v="0"/>
    <n v="0"/>
    <n v="0"/>
    <n v="0"/>
    <n v="14.7"/>
    <n v="149.49586695082272"/>
    <n v="106.50000000000001"/>
    <n v="0"/>
    <n v="14.7"/>
    <n v="14.7"/>
    <n v="126"/>
    <x v="22"/>
    <n v="0"/>
    <n v="0"/>
    <n v="0.58799999999999997"/>
    <n v="0"/>
    <n v="0"/>
    <n v="0"/>
    <n v="0"/>
    <n v="0"/>
    <n v="-3.4214400000000058"/>
    <n v="-188.58906000000007"/>
    <n v="67.946289822939576"/>
    <n v="40"/>
    <n v="13.594695842925084"/>
    <n v="-100"/>
    <n v="0"/>
    <n v="17.356000000000002"/>
    <n v="0"/>
    <n v="-0.68065017706052788"/>
    <n v="2.5"/>
    <n v="280.20000000000005"/>
    <n v="-9999"/>
    <n v="-999"/>
    <n v="-99999"/>
    <n v="-99999"/>
    <n v="0.80306900000000003"/>
    <n v="0.80306900000000003"/>
    <n v="0.87728395000000015"/>
    <n v="0.87728395000000015"/>
    <n v="5.7632143047818518"/>
    <n v="1.5426997824674231"/>
    <n v="5"/>
    <n v="302.70000000000005"/>
    <n v="5"/>
    <n v="302.70000000000005"/>
    <d v="2015-05-06T00:00:00"/>
  </r>
  <r>
    <d v="2015-05-07T00:00:00"/>
    <n v="127"/>
    <s v="Mediados"/>
    <n v="6.2"/>
    <n v="1.1499999999999999"/>
    <m/>
    <n v="0.05"/>
    <n v="1.1499999999999999"/>
    <n v="5.29"/>
    <n v="0"/>
    <n v="0"/>
    <n v="0"/>
    <n v="0"/>
    <n v="18.100000000000001"/>
    <n v="149.77941866908102"/>
    <n v="106.50000000000001"/>
    <n v="0"/>
    <n v="18.100000000000001"/>
    <n v="18.100000000000001"/>
    <n v="127"/>
    <x v="22"/>
    <n v="0"/>
    <n v="0"/>
    <n v="1.6290000000000004"/>
    <n v="0"/>
    <n v="0"/>
    <n v="0"/>
    <n v="0"/>
    <n v="0"/>
    <n v="-3.4214400000000058"/>
    <n v="-192.01050000000009"/>
    <n v="66.153849822939577"/>
    <n v="40"/>
    <n v="13.236064390344053"/>
    <n v="-100"/>
    <n v="0"/>
    <n v="18.985000000000003"/>
    <n v="0"/>
    <n v="-0.68065017706052788"/>
    <n v="2.5"/>
    <n v="282.70000000000005"/>
    <n v="55"/>
    <n v="1.4"/>
    <n v="-99999"/>
    <n v="-99999"/>
    <s v=""/>
    <n v="0.80484800000000001"/>
    <n v="-999"/>
    <n v="0.87773148083333352"/>
    <n v="5.874874026906852"/>
    <n v="1.5304683036995925"/>
    <n v="6.2"/>
    <n v="308.90000000000003"/>
    <n v="6.2"/>
    <n v="308.90000000000003"/>
    <d v="2015-05-07T00:00:00"/>
  </r>
  <r>
    <d v="2015-05-08T00:00:00"/>
    <n v="128"/>
    <s v="Mediados"/>
    <n v="5.6"/>
    <n v="1.1499999999999999"/>
    <m/>
    <n v="0.05"/>
    <n v="1.1499999999999999"/>
    <n v="4.83"/>
    <n v="0"/>
    <n v="0"/>
    <n v="0"/>
    <n v="0"/>
    <n v="16.8"/>
    <n v="150.03391000597583"/>
    <n v="106.50000000000001"/>
    <n v="0"/>
    <n v="16.8"/>
    <n v="16.8"/>
    <n v="128"/>
    <x v="22"/>
    <n v="0"/>
    <n v="0"/>
    <n v="1.1759999999999999"/>
    <n v="0"/>
    <n v="0"/>
    <n v="0"/>
    <n v="0"/>
    <n v="0"/>
    <n v="-4.2768000000000015"/>
    <n v="-196.2873000000001"/>
    <n v="63.053049822939577"/>
    <n v="40"/>
    <n v="12.615656227078746"/>
    <n v="-100"/>
    <n v="0"/>
    <n v="20.161000000000001"/>
    <n v="0"/>
    <n v="-0.68065017706052788"/>
    <n v="1.8"/>
    <n v="284.50000000000006"/>
    <n v="-9999"/>
    <n v="-999"/>
    <n v="-99999"/>
    <n v="-99999"/>
    <s v=""/>
    <n v="0.80662699999999998"/>
    <n v="-999"/>
    <n v="0.8781790116666669"/>
    <n v="5.9553173601668519"/>
    <n v="1.0946444194866842"/>
    <n v="5.6"/>
    <n v="314.50000000000006"/>
    <n v="5.6"/>
    <n v="314.50000000000006"/>
    <d v="2015-05-08T00:00:00"/>
  </r>
  <r>
    <d v="2015-05-09T00:00:00"/>
    <n v="129"/>
    <s v="Mediados"/>
    <n v="5.4"/>
    <n v="1.1499999999999999"/>
    <m/>
    <n v="0.05"/>
    <n v="1.1499999999999999"/>
    <n v="5.8650000000000002"/>
    <n v="0"/>
    <n v="0"/>
    <n v="0"/>
    <n v="0"/>
    <n v="18.600000000000001"/>
    <n v="150.26413483987088"/>
    <n v="106.50000000000001"/>
    <n v="0"/>
    <n v="18.600000000000001"/>
    <n v="18.600000000000001"/>
    <n v="129"/>
    <x v="22"/>
    <n v="0"/>
    <n v="0"/>
    <n v="1.6740000000000004"/>
    <n v="0"/>
    <n v="0"/>
    <n v="0"/>
    <n v="0"/>
    <n v="0"/>
    <n v="-4.2768000000000015"/>
    <n v="-200.56410000000011"/>
    <n v="60.450249822939575"/>
    <n v="40"/>
    <n v="12.094887919755818"/>
    <n v="-100"/>
    <n v="0"/>
    <n v="21.835000000000001"/>
    <n v="0"/>
    <n v="-0.68065017706052788"/>
    <n v="2"/>
    <n v="286.50000000000006"/>
    <n v="-9999"/>
    <n v="-999"/>
    <n v="-99999"/>
    <n v="-99999"/>
    <s v=""/>
    <n v="0.80840599999999996"/>
    <n v="-999"/>
    <n v="0.87862654250000027"/>
    <n v="6.044752545266852"/>
    <n v="1.2093582811352235"/>
    <n v="5.4"/>
    <n v="319.90000000000003"/>
    <n v="5.4"/>
    <n v="319.90000000000003"/>
    <d v="2015-05-09T00:00:00"/>
  </r>
  <r>
    <d v="2015-05-10T00:00:00"/>
    <n v="130"/>
    <s v="Mediados"/>
    <n v="6.1"/>
    <n v="1.1499999999999999"/>
    <m/>
    <n v="7.2120000000000004E-2"/>
    <n v="1.1721200000000001"/>
    <n v="7.2671460000000003"/>
    <n v="0"/>
    <n v="0"/>
    <n v="0"/>
    <n v="0"/>
    <n v="19.5"/>
    <n v="150.45725165142747"/>
    <n v="106.50000000000001"/>
    <n v="0"/>
    <n v="19.5"/>
    <n v="19.5"/>
    <n v="130"/>
    <x v="22"/>
    <n v="0"/>
    <n v="0"/>
    <n v="1.9500000000000002"/>
    <n v="0"/>
    <n v="0"/>
    <n v="0"/>
    <n v="0"/>
    <n v="0"/>
    <n v="-4.2768000000000015"/>
    <n v="-204.84090000000012"/>
    <n v="58.123449822939577"/>
    <n v="40"/>
    <n v="11.629341701268423"/>
    <n v="-100"/>
    <n v="0"/>
    <n v="23.785"/>
    <n v="0"/>
    <n v="-0.68065017706052788"/>
    <n v="2.2999999999999998"/>
    <n v="288.80000000000007"/>
    <n v="59"/>
    <n v="1.4"/>
    <n v="-99999"/>
    <n v="-99999"/>
    <s v=""/>
    <n v="0.81018499999999993"/>
    <n v="-999"/>
    <n v="0.87907407333333365"/>
    <n v="6.1476647673868516"/>
    <n v="1.3818527963420024"/>
    <n v="6.1"/>
    <n v="326.00000000000006"/>
    <n v="6.1"/>
    <n v="326.00000000000006"/>
    <d v="2015-05-10T00:00:00"/>
  </r>
  <r>
    <d v="2015-05-11T00:00:00"/>
    <n v="131"/>
    <s v="Mediados"/>
    <n v="6.8"/>
    <n v="1.1499999999999999"/>
    <m/>
    <n v="0.05"/>
    <n v="1.1499999999999999"/>
    <n v="6.44"/>
    <n v="0"/>
    <n v="0"/>
    <n v="0"/>
    <n v="0"/>
    <n v="19.3"/>
    <n v="150.64397640559184"/>
    <n v="106.50000000000001"/>
    <n v="0"/>
    <n v="19.3"/>
    <n v="19.3"/>
    <n v="131"/>
    <x v="23"/>
    <n v="0"/>
    <n v="0"/>
    <n v="1.9300000000000002"/>
    <n v="0"/>
    <n v="0"/>
    <n v="0"/>
    <n v="0"/>
    <n v="0"/>
    <n v="-4.8312000000000008"/>
    <n v="-209.67210000000011"/>
    <n v="55.222249822939574"/>
    <n v="40"/>
    <n v="11.048869512392873"/>
    <n v="-100"/>
    <n v="0"/>
    <n v="25.715"/>
    <n v="0"/>
    <n v="-0.68065017706052788"/>
    <n v="1.9"/>
    <n v="290.70000000000005"/>
    <n v="-9999"/>
    <n v="-999"/>
    <n v="-99999"/>
    <n v="-99999"/>
    <s v=""/>
    <n v="0.81196399999999991"/>
    <n v="-999"/>
    <n v="0.87952160416666703"/>
    <n v="6.2327302302618515"/>
    <n v="1.1345144640052638"/>
    <n v="6.8"/>
    <n v="332.80000000000007"/>
    <n v="6.8"/>
    <n v="332.80000000000007"/>
    <d v="2015-05-11T00:00:00"/>
  </r>
  <r>
    <d v="2015-05-12T00:00:00"/>
    <n v="132"/>
    <s v="Mediados"/>
    <n v="6.2"/>
    <n v="1.1499999999999999"/>
    <m/>
    <n v="5.0665000000000002E-2"/>
    <n v="1.150665"/>
    <n v="6.3286579999999999"/>
    <n v="0"/>
    <n v="0"/>
    <n v="0"/>
    <n v="0"/>
    <n v="22.2"/>
    <n v="150.57627436798185"/>
    <n v="106.50000000000001"/>
    <n v="0"/>
    <n v="22.2"/>
    <n v="22.2"/>
    <n v="132"/>
    <x v="23"/>
    <n v="0"/>
    <n v="0"/>
    <n v="2.2200000000000002"/>
    <n v="0"/>
    <n v="0"/>
    <n v="0"/>
    <n v="0"/>
    <n v="0"/>
    <n v="-4.8312000000000008"/>
    <n v="-214.50330000000011"/>
    <n v="52.61104982293957"/>
    <n v="40"/>
    <n v="10.526420532801033"/>
    <n v="-100"/>
    <n v="0"/>
    <n v="27.934999999999999"/>
    <n v="0"/>
    <n v="-0.68065017706052788"/>
    <n v="4"/>
    <n v="294.70000000000005"/>
    <n v="-9999"/>
    <n v="-999"/>
    <n v="-99999"/>
    <n v="-99999"/>
    <s v=""/>
    <n v="0.81374299999999988"/>
    <n v="-999"/>
    <n v="0.8799691350000004"/>
    <n v="6.4119228226618512"/>
    <n v="2.367716494807155"/>
    <n v="6.2"/>
    <n v="339.00000000000006"/>
    <n v="6.2"/>
    <n v="339.00000000000006"/>
    <d v="2015-05-12T00:00:00"/>
  </r>
  <r>
    <d v="2015-05-13T00:00:00"/>
    <n v="133"/>
    <s v="Mediados"/>
    <n v="6.2"/>
    <n v="1.1499999999999999"/>
    <m/>
    <n v="7.0310999999999998E-2"/>
    <n v="1.1703110000000001"/>
    <n v="7.1388959999999999"/>
    <n v="0"/>
    <n v="0"/>
    <n v="0"/>
    <n v="0"/>
    <n v="24"/>
    <n v="150.64720144665225"/>
    <n v="106.50000000000001"/>
    <n v="0"/>
    <n v="24"/>
    <n v="24"/>
    <n v="133"/>
    <x v="23"/>
    <n v="0"/>
    <n v="0"/>
    <n v="2.4000000000000004"/>
    <n v="0"/>
    <n v="0"/>
    <n v="0"/>
    <n v="0"/>
    <n v="0"/>
    <n v="-4.8312000000000008"/>
    <n v="-219.33450000000011"/>
    <n v="50.179849822939566"/>
    <n v="40"/>
    <n v="10.039985958971503"/>
    <n v="-100"/>
    <n v="0"/>
    <n v="30.335000000000001"/>
    <n v="0"/>
    <n v="-0.68065017706052788"/>
    <n v="3"/>
    <n v="297.70000000000005"/>
    <n v="65"/>
    <n v="1.4"/>
    <n v="-99999"/>
    <n v="-99999"/>
    <s v=""/>
    <n v="0.81552199999999986"/>
    <n v="-999"/>
    <n v="0.88041666583333378"/>
    <n v="6.5463978225118513"/>
    <n v="1.7576938162355304"/>
    <n v="6.2"/>
    <n v="345.20000000000005"/>
    <n v="6.2"/>
    <n v="345.20000000000005"/>
    <d v="2015-05-13T00:00:00"/>
  </r>
  <r>
    <d v="2015-05-14T00:00:00"/>
    <n v="134"/>
    <s v="Mediados"/>
    <n v="8.5"/>
    <n v="1.1499999999999999"/>
    <m/>
    <n v="9.2204999999999995E-2"/>
    <n v="1.192205"/>
    <n v="8.1069960000000005"/>
    <n v="0"/>
    <n v="0"/>
    <n v="0"/>
    <n v="0"/>
    <n v="25.3"/>
    <n v="150.75099602928648"/>
    <n v="106.50000000000001"/>
    <n v="0"/>
    <n v="25.3"/>
    <n v="25.3"/>
    <n v="134"/>
    <x v="23"/>
    <n v="0"/>
    <n v="0"/>
    <n v="2.5300000000000002"/>
    <n v="0"/>
    <n v="21.76"/>
    <n v="25.6"/>
    <n v="0"/>
    <n v="0"/>
    <n v="-3.3659999999999508"/>
    <n v="-222.70050000000006"/>
    <n v="71.103849822939608"/>
    <n v="25"/>
    <n v="14.226460548807443"/>
    <n v="-100"/>
    <n v="0"/>
    <n v="32.865000000000002"/>
    <n v="0"/>
    <n v="-0.68065017706052788"/>
    <n v="2.7"/>
    <n v="300.40000000000003"/>
    <n v="-9999"/>
    <n v="-999"/>
    <n v="-99999"/>
    <n v="-99999"/>
    <s v=""/>
    <n v="0.81730099999999983"/>
    <n v="-999"/>
    <n v="0.88086419666666715"/>
    <n v="6.6674978223718515"/>
    <n v="1.5692625510587561"/>
    <n v="8.5"/>
    <n v="353.70000000000005"/>
    <n v="8.5"/>
    <n v="353.70000000000005"/>
    <d v="2015-05-14T00:00:00"/>
  </r>
  <r>
    <d v="2015-05-15T00:00:00"/>
    <n v="135"/>
    <s v="Mediados"/>
    <n v="6.3"/>
    <n v="1.1499999999999999"/>
    <m/>
    <n v="5.9635000000000001E-2"/>
    <n v="1.159635"/>
    <n v="7.1317550000000001"/>
    <n v="0"/>
    <n v="0"/>
    <n v="0"/>
    <n v="0"/>
    <n v="16.899999999999999"/>
    <n v="150.68758977404974"/>
    <n v="106.50000000000001"/>
    <n v="0"/>
    <n v="16.899999999999999"/>
    <n v="16.899999999999999"/>
    <n v="135"/>
    <x v="23"/>
    <n v="0"/>
    <n v="0"/>
    <n v="1.1829999999999998"/>
    <n v="0"/>
    <n v="0"/>
    <n v="0"/>
    <n v="0"/>
    <n v="0"/>
    <n v="-3.3659999999999508"/>
    <n v="-226.06650000000002"/>
    <n v="68.920849822939658"/>
    <n v="25"/>
    <n v="13.789685838923502"/>
    <n v="-100"/>
    <n v="0"/>
    <n v="34.048000000000002"/>
    <n v="0"/>
    <n v="-0.68065017706052788"/>
    <n v="3.8"/>
    <n v="304.20000000000005"/>
    <n v="-9999"/>
    <n v="-999"/>
    <n v="-99999"/>
    <n v="-99999"/>
    <s v=""/>
    <n v="0.81907999999999981"/>
    <n v="-999"/>
    <n v="0.88131172750000053"/>
    <n v="6.8380368962418521"/>
    <n v="2.1887103282708722"/>
    <n v="6.3"/>
    <n v="360.00000000000006"/>
    <n v="6.3"/>
    <n v="360.00000000000006"/>
    <d v="2015-05-15T00:00:00"/>
  </r>
  <r>
    <d v="2015-05-16T00:00:00"/>
    <n v="136"/>
    <s v="Mediados"/>
    <n v="5.8"/>
    <n v="1.1499999999999999"/>
    <m/>
    <n v="6.5631999999999996E-2"/>
    <n v="1.165632"/>
    <n v="7.1919500000000003"/>
    <n v="0"/>
    <n v="0"/>
    <n v="0"/>
    <n v="0"/>
    <n v="16.399999999999999"/>
    <n v="150.62116588449973"/>
    <n v="106.50000000000001"/>
    <n v="0"/>
    <n v="16.399999999999999"/>
    <n v="16.399999999999999"/>
    <n v="136"/>
    <x v="23"/>
    <n v="0"/>
    <n v="0"/>
    <n v="1.1479999999999999"/>
    <n v="0"/>
    <n v="0"/>
    <n v="0"/>
    <n v="0"/>
    <n v="0"/>
    <n v="-3.3659999999999508"/>
    <n v="-229.43249999999998"/>
    <n v="66.702849822939697"/>
    <n v="25"/>
    <n v="13.345908327919107"/>
    <n v="-100"/>
    <n v="0"/>
    <n v="35.196000000000005"/>
    <n v="0"/>
    <n v="-0.68065017706052788"/>
    <n v="4"/>
    <n v="308.20000000000005"/>
    <n v="-9999"/>
    <n v="-999"/>
    <n v="59"/>
    <n v="1.4"/>
    <s v=""/>
    <n v="0.82085899999999978"/>
    <n v="-999"/>
    <n v="0.88175925833333391"/>
    <n v="7.017659118241852"/>
    <n v="2.2793516308295523"/>
    <n v="5.8"/>
    <n v="365.80000000000007"/>
    <n v="5.8"/>
    <n v="365.80000000000007"/>
    <d v="2015-05-16T00:00:00"/>
  </r>
  <r>
    <d v="2015-05-17T00:00:00"/>
    <n v="137"/>
    <s v="Mediados"/>
    <n v="6.3"/>
    <n v="1.1499999999999999"/>
    <m/>
    <n v="0.11061"/>
    <n v="1.21061"/>
    <n v="10.290187"/>
    <n v="0"/>
    <n v="0"/>
    <n v="0"/>
    <n v="0"/>
    <n v="18.600000000000001"/>
    <n v="150.55506153196472"/>
    <n v="106.50000000000001"/>
    <n v="0"/>
    <n v="18.600000000000001"/>
    <n v="18.600000000000001"/>
    <n v="137"/>
    <x v="23"/>
    <n v="0"/>
    <n v="0"/>
    <n v="1.6740000000000004"/>
    <n v="0"/>
    <n v="0"/>
    <n v="0"/>
    <n v="0"/>
    <n v="0"/>
    <n v="-3.3659999999999508"/>
    <n v="-232.79849999999993"/>
    <n v="65.010849822939747"/>
    <n v="25"/>
    <n v="13.00737291375345"/>
    <n v="-100"/>
    <n v="0"/>
    <n v="36.870000000000005"/>
    <n v="0"/>
    <n v="-0.68065017706052788"/>
    <n v="4.5"/>
    <n v="312.70000000000005"/>
    <n v="-9999"/>
    <n v="-999"/>
    <n v="-99999"/>
    <n v="-99999"/>
    <s v=""/>
    <n v="0.82263799999999976"/>
    <n v="-999"/>
    <n v="0.88220678916666728"/>
    <n v="7.2198549513168517"/>
    <n v="2.5351685820508862"/>
    <n v="6.3"/>
    <n v="372.10000000000008"/>
    <n v="6.3"/>
    <n v="372.10000000000008"/>
    <d v="2015-05-17T00:00:00"/>
  </r>
  <r>
    <d v="2015-05-18T00:00:00"/>
    <n v="138"/>
    <s v="Mediados"/>
    <n v="6.7"/>
    <n v="1.1499999999999999"/>
    <m/>
    <n v="9.3678999999999998E-2"/>
    <n v="1.1936789999999999"/>
    <n v="7.57986"/>
    <n v="0"/>
    <n v="0"/>
    <n v="0"/>
    <n v="0"/>
    <n v="19.5"/>
    <n v="150.48927671644472"/>
    <n v="106.50000000000001"/>
    <n v="0"/>
    <n v="19.5"/>
    <n v="19.5"/>
    <n v="138"/>
    <x v="24"/>
    <n v="0"/>
    <n v="0"/>
    <n v="1.9500000000000002"/>
    <n v="0"/>
    <n v="0"/>
    <n v="0"/>
    <n v="0"/>
    <n v="0"/>
    <n v="-3.3659999999999508"/>
    <n v="-236.16449999999989"/>
    <n v="63.5948498229398"/>
    <n v="25"/>
    <n v="12.724059588423328"/>
    <n v="-100"/>
    <n v="0"/>
    <n v="38.820000000000007"/>
    <n v="0"/>
    <n v="-0.68065017706052788"/>
    <n v="4.5"/>
    <n v="317.20000000000005"/>
    <n v="-9999"/>
    <n v="-999"/>
    <n v="-99999"/>
    <n v="-99999"/>
    <s v=""/>
    <n v="0.82441699999999973"/>
    <n v="-999"/>
    <n v="0.88265432000000066"/>
    <n v="7.4221716177168515"/>
    <n v="2.5054629330344653"/>
    <n v="6.7"/>
    <n v="378.80000000000007"/>
    <n v="6.7"/>
    <n v="378.80000000000007"/>
    <d v="2015-05-18T00:00:00"/>
  </r>
  <r>
    <d v="2015-05-19T00:00:00"/>
    <n v="139"/>
    <s v="Mediados"/>
    <n v="4.3"/>
    <n v="1.1499999999999999"/>
    <m/>
    <n v="6.1573999999999997E-2"/>
    <n v="1.1615740000000001"/>
    <n v="6.7371270000000001"/>
    <n v="17.399999999999999"/>
    <n v="0"/>
    <n v="0"/>
    <n v="0"/>
    <n v="16.899999999999999"/>
    <n v="154.67454575602011"/>
    <n v="123.9"/>
    <n v="0"/>
    <n v="16.899999999999999"/>
    <n v="16.899999999999999"/>
    <n v="139"/>
    <x v="24"/>
    <n v="0"/>
    <n v="0"/>
    <n v="1.1829999999999998"/>
    <n v="0"/>
    <n v="0"/>
    <n v="0"/>
    <n v="0"/>
    <n v="0"/>
    <n v="-3.3659999999999508"/>
    <n v="-239.53049999999985"/>
    <n v="61.41184982293985"/>
    <n v="25"/>
    <n v="12.287284878539387"/>
    <n v="-100"/>
    <n v="0"/>
    <n v="40.003000000000007"/>
    <n v="0"/>
    <n v="-0.68065017706052788"/>
    <n v="4.8"/>
    <n v="322.00000000000006"/>
    <n v="71"/>
    <n v="1.4"/>
    <n v="-99999"/>
    <n v="-99999"/>
    <s v=""/>
    <n v="0.82619599999999971"/>
    <n v="-999"/>
    <n v="0.88310185083333403"/>
    <n v="7.6381049507568521"/>
    <n v="2.6410112393758993"/>
    <n v="4.3"/>
    <n v="383.10000000000008"/>
    <n v="4.3"/>
    <n v="383.10000000000008"/>
    <d v="2015-05-19T00:00:00"/>
  </r>
  <r>
    <d v="2015-05-20T00:00:00"/>
    <n v="140"/>
    <s v="Mediados"/>
    <n v="5.2"/>
    <n v="1.1499999999999999"/>
    <m/>
    <n v="7.8867000000000007E-2"/>
    <n v="1.1788670000000001"/>
    <n v="7.4622279999999996"/>
    <n v="0"/>
    <n v="0"/>
    <n v="0"/>
    <n v="0"/>
    <n v="13.9"/>
    <n v="157.97691533747656"/>
    <n v="123.9"/>
    <n v="0"/>
    <n v="13.9"/>
    <n v="13.9"/>
    <n v="140"/>
    <x v="24"/>
    <n v="0"/>
    <n v="0"/>
    <n v="0.41700000000000004"/>
    <n v="0"/>
    <n v="0"/>
    <n v="0"/>
    <n v="0"/>
    <n v="0"/>
    <n v="-3.4650000000000003"/>
    <n v="-242.99549999999985"/>
    <n v="58.363849822939848"/>
    <n v="25"/>
    <n v="11.677440940964356"/>
    <n v="-100"/>
    <n v="0"/>
    <n v="40.420000000000009"/>
    <n v="0"/>
    <n v="-0.68065017706052788"/>
    <n v="5.5"/>
    <n v="327.50000000000006"/>
    <n v="-9999"/>
    <n v="-999"/>
    <n v="-99999"/>
    <n v="-99999"/>
    <s v=""/>
    <n v="0.82797499999999968"/>
    <n v="-999"/>
    <n v="0.88354938166666741"/>
    <n v="7.8856762467068524"/>
    <n v="2.9876819475317689"/>
    <n v="5.2"/>
    <n v="388.30000000000007"/>
    <n v="5.2"/>
    <n v="388.30000000000007"/>
    <d v="2015-05-20T00:00:00"/>
  </r>
  <r>
    <d v="2015-05-21T00:00:00"/>
    <n v="141"/>
    <s v="Mediados"/>
    <n v="4.9000000000000004"/>
    <n v="1.1499999999999999"/>
    <m/>
    <n v="8.1917000000000004E-2"/>
    <n v="1.1819170000000001"/>
    <n v="7.8952070000000001"/>
    <n v="0"/>
    <n v="0"/>
    <n v="0"/>
    <n v="0"/>
    <n v="13.8"/>
    <n v="160.26533791629143"/>
    <n v="123.9"/>
    <n v="0"/>
    <n v="13.8"/>
    <n v="13.8"/>
    <n v="141"/>
    <x v="24"/>
    <n v="0"/>
    <n v="0"/>
    <n v="0.41399999999999998"/>
    <n v="0"/>
    <n v="0"/>
    <n v="0"/>
    <n v="0"/>
    <n v="0"/>
    <n v="-3.4650000000000003"/>
    <n v="-246.46049999999985"/>
    <n v="55.312849822939846"/>
    <n v="25"/>
    <n v="11.066996763293286"/>
    <n v="-100"/>
    <n v="0"/>
    <n v="40.83400000000001"/>
    <n v="0"/>
    <n v="-0.68065017706052788"/>
    <n v="5.3"/>
    <n v="332.80000000000007"/>
    <n v="-9999"/>
    <n v="-999"/>
    <n v="-99999"/>
    <n v="-99999"/>
    <s v=""/>
    <n v="0.82975399999999966"/>
    <n v="-999"/>
    <n v="0.88399691250000079"/>
    <n v="8.124387264881852"/>
    <n v="2.8417392834475663"/>
    <n v="4.9000000000000004"/>
    <n v="393.20000000000005"/>
    <n v="4.9000000000000004"/>
    <n v="393.20000000000005"/>
    <d v="2015-05-21T00:00:00"/>
  </r>
  <r>
    <d v="2015-05-22T00:00:00"/>
    <n v="142"/>
    <s v="Mediados"/>
    <n v="5"/>
    <n v="1.1499999999999999"/>
    <m/>
    <n v="0.05"/>
    <n v="1.1499999999999999"/>
    <n v="4.9909999999999997"/>
    <n v="0"/>
    <n v="0"/>
    <n v="0"/>
    <n v="0"/>
    <n v="14.9"/>
    <n v="161.866505590862"/>
    <n v="123.9"/>
    <n v="0"/>
    <n v="14.9"/>
    <n v="14.9"/>
    <n v="142"/>
    <x v="24"/>
    <n v="0"/>
    <n v="0"/>
    <n v="0.59600000000000009"/>
    <n v="0"/>
    <n v="0"/>
    <n v="0"/>
    <n v="0"/>
    <n v="0"/>
    <n v="-3.4650000000000003"/>
    <n v="-249.92549999999986"/>
    <n v="52.443849822939839"/>
    <n v="25"/>
    <n v="10.492967151448546"/>
    <n v="-100"/>
    <n v="0"/>
    <n v="41.430000000000007"/>
    <n v="0"/>
    <n v="-0.68065017706052788"/>
    <n v="5.8"/>
    <n v="338.60000000000008"/>
    <n v="-9999"/>
    <n v="-999"/>
    <n v="-99999"/>
    <n v="-99999"/>
    <n v="0.83153299999999997"/>
    <n v="0.83153299999999997"/>
    <n v="0.88444444333333339"/>
    <n v="0.88444444333333339"/>
    <n v="8.385773931161852"/>
    <n v="3.0696732717316024"/>
    <n v="5"/>
    <n v="398.20000000000005"/>
    <n v="5"/>
    <n v="398.20000000000005"/>
    <d v="2015-05-22T00:00:00"/>
  </r>
  <r>
    <d v="2015-05-23T00:00:00"/>
    <n v="143"/>
    <s v="Mediados"/>
    <n v="5.2"/>
    <n v="1.1499999999999999"/>
    <m/>
    <n v="5.6869000000000003E-2"/>
    <n v="1.1568689999999999"/>
    <n v="6.0504249999999997"/>
    <n v="0"/>
    <n v="0"/>
    <n v="0"/>
    <n v="0"/>
    <n v="15.4"/>
    <n v="163.03589628403364"/>
    <n v="123.9"/>
    <n v="0"/>
    <n v="15.4"/>
    <n v="15.4"/>
    <n v="143"/>
    <x v="24"/>
    <n v="0"/>
    <n v="0"/>
    <n v="0.92400000000000004"/>
    <n v="0"/>
    <s v=""/>
    <n v="0"/>
    <n v="0"/>
    <n v="0"/>
    <n v="-3.4650000000000003"/>
    <n v="-253.39049999999986"/>
    <n v="49.902849822939835"/>
    <n v="25"/>
    <n v="9.9845637901040085"/>
    <n v="-100"/>
    <n v="0"/>
    <n v="42.354000000000006"/>
    <n v="0"/>
    <n v="-0.68065017706052788"/>
    <n v="5.2"/>
    <n v="343.80000000000007"/>
    <n v="-9999"/>
    <n v="-999"/>
    <n v="65"/>
    <n v="1.4"/>
    <s v=""/>
    <n v="0.82379837499999997"/>
    <n v="-999"/>
    <n v="0.8806867273611112"/>
    <n v="8.6189481900985179"/>
    <n v="2.7028427715890189"/>
    <n v="5.2"/>
    <n v="403.40000000000003"/>
    <n v="5.2"/>
    <n v="403.40000000000003"/>
    <d v="2015-05-23T00:00:00"/>
  </r>
  <r>
    <d v="2015-05-24T00:00:00"/>
    <n v="144"/>
    <s v="Mediados"/>
    <n v="4.9000000000000004"/>
    <n v="1.1499999999999999"/>
    <m/>
    <n v="0.05"/>
    <n v="1.1499999999999999"/>
    <n v="5.6695000000000002"/>
    <n v="0"/>
    <n v="0"/>
    <n v="0"/>
    <n v="0"/>
    <n v="15.4"/>
    <n v="163.90061526804334"/>
    <n v="123.9"/>
    <n v="0"/>
    <n v="15.4"/>
    <n v="15.4"/>
    <n v="144"/>
    <x v="24"/>
    <n v="0"/>
    <n v="0"/>
    <n v="0.92400000000000004"/>
    <n v="0"/>
    <n v="0"/>
    <n v="0"/>
    <n v="0"/>
    <n v="0"/>
    <n v="-3.4650000000000003"/>
    <n v="-256.85549999999984"/>
    <n v="47.361849822939831"/>
    <n v="25"/>
    <n v="9.476160428759469"/>
    <n v="-100"/>
    <n v="0"/>
    <n v="43.278000000000006"/>
    <n v="0"/>
    <n v="-0.68065017706052788"/>
    <n v="5"/>
    <n v="348.80000000000007"/>
    <n v="-9999"/>
    <n v="-999"/>
    <n v="-99999"/>
    <n v="-99999"/>
    <s v=""/>
    <n v="0.81606374999999998"/>
    <n v="-999"/>
    <n v="0.87692901138888901"/>
    <n v="8.8420268935151842"/>
    <n v="2.5557278612815253"/>
    <n v="4.9000000000000004"/>
    <n v="408.3"/>
    <n v="4.9000000000000004"/>
    <n v="408.3"/>
    <d v="2015-05-24T00:00:00"/>
  </r>
  <r>
    <d v="2015-05-25T00:00:00"/>
    <n v="145"/>
    <s v="Mediados"/>
    <n v="4.4000000000000004"/>
    <n v="1.1499999999999999"/>
    <m/>
    <n v="9.2574000000000004E-2"/>
    <n v="1.192574"/>
    <n v="5.9986480000000002"/>
    <n v="0"/>
    <n v="0"/>
    <n v="0"/>
    <n v="0"/>
    <n v="16.399999999999999"/>
    <n v="164.31880471186491"/>
    <n v="123.9"/>
    <n v="0"/>
    <n v="16.399999999999999"/>
    <n v="16.399999999999999"/>
    <n v="145"/>
    <x v="25"/>
    <n v="0"/>
    <n v="0"/>
    <n v="1.1479999999999999"/>
    <n v="0"/>
    <n v="0"/>
    <n v="0"/>
    <n v="0"/>
    <n v="0"/>
    <n v="-3.4650000000000003"/>
    <n v="-260.32049999999981"/>
    <n v="45.044849822939831"/>
    <n v="25"/>
    <n v="9.0125749945857994"/>
    <n v="-100"/>
    <n v="0"/>
    <n v="44.426000000000009"/>
    <n v="0"/>
    <n v="-0.68065017706052788"/>
    <n v="5.9"/>
    <n v="354.70000000000005"/>
    <n v="75"/>
    <n v="1.4"/>
    <n v="-99999"/>
    <n v="-99999"/>
    <s v=""/>
    <n v="0.80832912499999998"/>
    <n v="-999"/>
    <n v="0.87317129541666683"/>
    <n v="9.1039295320926836"/>
    <n v="2.9644197516428505"/>
    <n v="4.4000000000000004"/>
    <n v="412.7"/>
    <n v="4.4000000000000004"/>
    <n v="412.7"/>
    <d v="2015-05-25T00:00:00"/>
  </r>
  <r>
    <d v="2015-05-26T00:00:00"/>
    <n v="146"/>
    <s v="Mediados"/>
    <n v="5.9"/>
    <n v="1.1499999999999999"/>
    <m/>
    <n v="0.05"/>
    <n v="1.1499999999999999"/>
    <n v="5.9225000000000003"/>
    <n v="0"/>
    <n v="0"/>
    <n v="0"/>
    <n v="0"/>
    <n v="17.899999999999999"/>
    <n v="164.71686193692477"/>
    <n v="123.9"/>
    <n v="0"/>
    <n v="17.899999999999999"/>
    <n v="17.899999999999999"/>
    <n v="146"/>
    <x v="25"/>
    <n v="0"/>
    <n v="0"/>
    <n v="1.4320000000000002"/>
    <n v="0"/>
    <n v="0"/>
    <n v="0"/>
    <n v="0"/>
    <n v="0"/>
    <n v="-4.7519999999999998"/>
    <n v="-265.07249999999982"/>
    <n v="41.724849822939831"/>
    <n v="25"/>
    <n v="8.3483092883032874"/>
    <n v="-100"/>
    <n v="0"/>
    <n v="45.858000000000011"/>
    <n v="0"/>
    <n v="-0.68065017706052788"/>
    <n v="5.5"/>
    <n v="360.20000000000005"/>
    <n v="-9999"/>
    <n v="-999"/>
    <n v="-99999"/>
    <n v="-99999"/>
    <s v=""/>
    <n v="0.80059449999999999"/>
    <n v="-999"/>
    <n v="0.86941357944444464"/>
    <n v="9.3468360133093498"/>
    <n v="2.7158887603259529"/>
    <n v="5.9"/>
    <n v="418.59999999999997"/>
    <n v="5.9"/>
    <n v="418.59999999999997"/>
    <d v="2015-05-26T00:00:00"/>
  </r>
  <r>
    <d v="2015-05-27T00:00:00"/>
    <n v="147"/>
    <s v="Mediados"/>
    <n v="5.9"/>
    <n v="1.1465444434000003"/>
    <m/>
    <n v="5.0872000000000001E-2"/>
    <n v="1.1508719999999999"/>
    <n v="5.627764"/>
    <n v="0"/>
    <n v="0"/>
    <n v="0"/>
    <n v="0"/>
    <n v="18.399999999999999"/>
    <n v="165.0093771489903"/>
    <n v="123.9"/>
    <n v="0"/>
    <n v="18.399999999999999"/>
    <n v="18.399999999999999"/>
    <n v="147"/>
    <x v="25"/>
    <n v="0"/>
    <n v="0"/>
    <n v="1.6559999999999999"/>
    <n v="0"/>
    <n v="0"/>
    <n v="0"/>
    <n v="0"/>
    <n v="0"/>
    <n v="-4.7519999999999998"/>
    <n v="-269.82449999999983"/>
    <n v="38.628849822939827"/>
    <n v="25"/>
    <n v="7.7288615091916419"/>
    <n v="-100"/>
    <n v="0"/>
    <n v="47.51400000000001"/>
    <n v="0"/>
    <n v="-0.68065017706052788"/>
    <n v="5.5"/>
    <n v="365.70000000000005"/>
    <n v="-9999"/>
    <n v="-999"/>
    <n v="-99999"/>
    <n v="-99999"/>
    <s v=""/>
    <n v="0.79285987499999999"/>
    <n v="-999"/>
    <n v="0.86565586347222245"/>
    <n v="9.5885024482551824"/>
    <n v="2.6712368151319765"/>
    <n v="5.9"/>
    <n v="424.49999999999994"/>
    <n v="5.9"/>
    <n v="424.49999999999994"/>
    <d v="2015-05-27T00:00:00"/>
  </r>
  <r>
    <d v="2015-05-28T00:00:00"/>
    <n v="148"/>
    <s v="Mediados"/>
    <n v="6.3"/>
    <n v="1.1411333324000001"/>
    <m/>
    <n v="0.05"/>
    <n v="1.1499999999999999"/>
    <n v="5.0140000000000002"/>
    <n v="0"/>
    <n v="0"/>
    <n v="0"/>
    <n v="0"/>
    <n v="18.8"/>
    <n v="164.98033715193029"/>
    <n v="123.9"/>
    <n v="0"/>
    <n v="18.8"/>
    <n v="18.8"/>
    <n v="148"/>
    <x v="25"/>
    <n v="0"/>
    <n v="0"/>
    <n v="1.6920000000000002"/>
    <n v="0"/>
    <n v="0"/>
    <n v="0"/>
    <n v="0"/>
    <n v="0"/>
    <n v="-4.7519999999999998"/>
    <n v="-274.57649999999984"/>
    <n v="35.568849822939825"/>
    <n v="25"/>
    <n v="7.1166166112324589"/>
    <n v="-100"/>
    <n v="0"/>
    <n v="49.20600000000001"/>
    <n v="0"/>
    <n v="-0.68065017706052788"/>
    <n v="6.4"/>
    <n v="372.1"/>
    <n v="-9999"/>
    <n v="-999"/>
    <n v="-99999"/>
    <n v="-99999"/>
    <s v=""/>
    <n v="0.78512525"/>
    <n v="-999"/>
    <n v="0.86189814750000027"/>
    <n v="9.868271336895182"/>
    <n v="3.0555042292934615"/>
    <n v="6.3"/>
    <n v="430.79999999999995"/>
    <n v="6.3"/>
    <n v="430.79999999999995"/>
    <d v="2015-05-28T00:00:00"/>
  </r>
  <r>
    <d v="2015-05-29T00:00:00"/>
    <n v="149"/>
    <s v="Mediados"/>
    <n v="5.7"/>
    <n v="1.1357222214000002"/>
    <m/>
    <n v="6.5503000000000006E-2"/>
    <n v="1.165503"/>
    <n v="6.8881209999999999"/>
    <n v="3.9"/>
    <n v="0"/>
    <n v="0"/>
    <n v="0"/>
    <n v="19.5"/>
    <n v="166.38126920912842"/>
    <n v="127.80000000000001"/>
    <n v="0"/>
    <n v="19.5"/>
    <n v="19.5"/>
    <n v="149"/>
    <x v="25"/>
    <n v="0"/>
    <n v="0"/>
    <n v="1.9500000000000002"/>
    <n v="0"/>
    <n v="0"/>
    <n v="0"/>
    <n v="0"/>
    <n v="0"/>
    <n v="-4.7519999999999998"/>
    <n v="-279.32849999999985"/>
    <n v="32.766849822939825"/>
    <n v="25"/>
    <n v="6.5559923615325779"/>
    <n v="-100"/>
    <n v="0"/>
    <n v="51.156000000000013"/>
    <n v="0"/>
    <n v="-0.68065017706052788"/>
    <n v="5.7"/>
    <n v="377.8"/>
    <n v="-9999"/>
    <n v="-999"/>
    <n v="-99999"/>
    <n v="-99999"/>
    <s v=""/>
    <n v="0.777390625"/>
    <n v="-999"/>
    <n v="0.85814043152777808"/>
    <n v="10.116155364477683"/>
    <n v="2.6754272891820392"/>
    <n v="5.7"/>
    <n v="436.49999999999994"/>
    <n v="5.7"/>
    <n v="436.49999999999994"/>
    <d v="2015-05-29T00:00:00"/>
  </r>
  <r>
    <d v="2015-05-30T00:00:00"/>
    <n v="150"/>
    <s v="Mediados"/>
    <n v="4.4000000000000004"/>
    <n v="1.1303111104000003"/>
    <m/>
    <n v="0.05"/>
    <n v="1.1499999999999999"/>
    <n v="6.7850000000000001"/>
    <n v="7.3"/>
    <n v="0"/>
    <n v="0"/>
    <n v="0"/>
    <n v="18.600000000000001"/>
    <n v="169.36509001747152"/>
    <n v="135.10000000000002"/>
    <n v="0"/>
    <n v="18.600000000000001"/>
    <n v="18.600000000000001"/>
    <n v="150"/>
    <x v="25"/>
    <n v="0"/>
    <n v="0"/>
    <n v="1.6740000000000004"/>
    <n v="0"/>
    <n v="0"/>
    <n v="0"/>
    <n v="0"/>
    <n v="0"/>
    <n v="-4.7519999999999998"/>
    <n v="-284.08049999999986"/>
    <n v="29.688849822939826"/>
    <n v="25"/>
    <n v="5.9401460229971637"/>
    <n v="-100"/>
    <n v="0"/>
    <n v="52.830000000000013"/>
    <n v="0"/>
    <n v="-0.68065017706052788"/>
    <n v="4.8"/>
    <n v="382.6"/>
    <n v="83"/>
    <n v="1.4"/>
    <n v="-99999"/>
    <n v="-99999"/>
    <s v=""/>
    <n v="0.76965600000000001"/>
    <n v="-999"/>
    <n v="0.85438271555555589"/>
    <n v="10.323817586557682"/>
    <n v="2.2190812194595253"/>
    <n v="4.4000000000000004"/>
    <n v="440.89999999999992"/>
    <n v="4.4000000000000004"/>
    <n v="440.89999999999992"/>
    <d v="2015-05-30T00:00:00"/>
  </r>
  <r>
    <d v="2015-05-31T00:00:00"/>
    <n v="151"/>
    <s v="Mediados"/>
    <n v="4.8"/>
    <n v="1.1248999994000004"/>
    <m/>
    <n v="6.2556E-2"/>
    <n v="1.1625559999999999"/>
    <n v="7.2659739999999999"/>
    <n v="1.8"/>
    <n v="0"/>
    <n v="0"/>
    <n v="0"/>
    <n v="17.5"/>
    <n v="172.14874035620554"/>
    <n v="136.90000000000003"/>
    <n v="0"/>
    <n v="17.5"/>
    <n v="17.5"/>
    <n v="151"/>
    <x v="25"/>
    <n v="0"/>
    <n v="0"/>
    <n v="1.4000000000000001"/>
    <n v="0"/>
    <n v="0"/>
    <n v="0"/>
    <n v="0"/>
    <n v="0"/>
    <n v="-1.1314285714285715"/>
    <n v="-285.21192857142842"/>
    <n v="29.957421251511253"/>
    <n v="25"/>
    <n v="5.9938818030234602"/>
    <n v="-100"/>
    <n v="0"/>
    <n v="54.230000000000011"/>
    <n v="0"/>
    <n v="-0.68065017706052788"/>
    <n v="5.2"/>
    <n v="387.8"/>
    <n v="-9999"/>
    <n v="-999"/>
    <n v="-99999"/>
    <n v="-99999"/>
    <s v=""/>
    <n v="0.76192137500000001"/>
    <n v="-999"/>
    <n v="0.85062499958333371"/>
    <n v="10.547612586427682"/>
    <n v="2.3695007256635847"/>
    <n v="4.8"/>
    <n v="445.69999999999993"/>
    <n v="4.8"/>
    <n v="445.69999999999993"/>
    <d v="2015-05-31T00:00:00"/>
  </r>
  <r>
    <d v="2015-06-01T00:00:00"/>
    <n v="152"/>
    <s v="Mediados"/>
    <n v="5.5"/>
    <n v="1.1194888884000005"/>
    <m/>
    <n v="5.4283999999999999E-2"/>
    <n v="1.1542840000000001"/>
    <n v="6.567876"/>
    <n v="0"/>
    <n v="0"/>
    <n v="0"/>
    <n v="0"/>
    <n v="19.5"/>
    <n v="174.18584845495803"/>
    <n v="136.90000000000003"/>
    <n v="0"/>
    <n v="19.5"/>
    <n v="19.5"/>
    <n v="152"/>
    <x v="26"/>
    <n v="0"/>
    <n v="0"/>
    <n v="1.9500000000000002"/>
    <n v="0"/>
    <n v="0"/>
    <n v="0"/>
    <n v="0"/>
    <n v="0"/>
    <n v="-1.1314285714285715"/>
    <n v="-286.34335714285697"/>
    <n v="30.77599268008268"/>
    <n v="25"/>
    <n v="6.1576616006567981"/>
    <n v="-100"/>
    <n v="0"/>
    <n v="56.180000000000014"/>
    <n v="0"/>
    <n v="-0.68065017706052788"/>
    <n v="5.5"/>
    <n v="393.3"/>
    <n v="-9999"/>
    <n v="-999"/>
    <n v="-99999"/>
    <n v="-99999"/>
    <s v=""/>
    <n v="0.75418675000000002"/>
    <n v="-999"/>
    <n v="0.84686728361111152"/>
    <n v="10.783078790019349"/>
    <n v="2.4692056539578289"/>
    <n v="5.5"/>
    <n v="451.19999999999993"/>
    <n v="5.5"/>
    <n v="451.19999999999993"/>
    <d v="2015-06-01T00:00:00"/>
  </r>
  <r>
    <d v="2015-06-02T00:00:00"/>
    <n v="153"/>
    <s v="Mediados"/>
    <n v="6.1"/>
    <n v="1.1140777774000006"/>
    <m/>
    <n v="0.05"/>
    <n v="1.1499999999999999"/>
    <n v="5.0830000000000002"/>
    <n v="0"/>
    <n v="0"/>
    <n v="0"/>
    <n v="0"/>
    <n v="20.7"/>
    <n v="175.6037417103868"/>
    <n v="136.90000000000003"/>
    <n v="0"/>
    <n v="20.7"/>
    <n v="20.7"/>
    <n v="153"/>
    <x v="26"/>
    <n v="0"/>
    <n v="0"/>
    <n v="2.0699999999999998"/>
    <n v="0"/>
    <n v="0"/>
    <n v="0"/>
    <n v="0"/>
    <n v="0"/>
    <n v="-1.1314285714285715"/>
    <n v="-287.47478571428553"/>
    <n v="31.714564108654109"/>
    <n v="25"/>
    <n v="6.3454510021316741"/>
    <n v="-100"/>
    <n v="0"/>
    <n v="58.250000000000014"/>
    <n v="0"/>
    <n v="-0.68065017706052788"/>
    <n v="5.9"/>
    <n v="399.2"/>
    <n v="-9999"/>
    <n v="-999"/>
    <n v="-99999"/>
    <n v="-99999"/>
    <s v=""/>
    <n v="0.74645212500000002"/>
    <n v="-999"/>
    <n v="0.84310956763888933"/>
    <n v="11.034339576963516"/>
    <n v="2.6086930957145853"/>
    <n v="6.1"/>
    <n v="457.29999999999995"/>
    <n v="6.1"/>
    <n v="457.29999999999995"/>
    <d v="2015-06-02T00:00:00"/>
  </r>
  <r>
    <d v="2015-06-03T00:00:00"/>
    <n v="154"/>
    <s v="Mediados"/>
    <n v="6.6"/>
    <n v="1.1086666664000007"/>
    <m/>
    <n v="0.05"/>
    <n v="1.1499999999999999"/>
    <n v="5.5315000000000003"/>
    <n v="0"/>
    <n v="0"/>
    <n v="0"/>
    <n v="0"/>
    <n v="21.3"/>
    <n v="176.61712985473753"/>
    <n v="136.90000000000003"/>
    <n v="0"/>
    <n v="21.3"/>
    <n v="21.3"/>
    <n v="154"/>
    <x v="26"/>
    <n v="0"/>
    <n v="0"/>
    <n v="2.1300000000000003"/>
    <n v="0"/>
    <n v="0"/>
    <n v="0"/>
    <m/>
    <n v="0"/>
    <n v="-1.1314285714285715"/>
    <n v="-288.60621428571409"/>
    <n v="32.71313553722554"/>
    <n v="25"/>
    <n v="6.5452452055273191"/>
    <n v="-100"/>
    <n v="0"/>
    <n v="60.380000000000017"/>
    <n v="0"/>
    <n v="-0.68065017706052788"/>
    <n v="5.8"/>
    <n v="405"/>
    <n v="-9999"/>
    <n v="-999"/>
    <n v="-99999"/>
    <n v="-99999"/>
    <s v=""/>
    <n v="0.73871750000000003"/>
    <n v="-999"/>
    <n v="0.83935185166666715"/>
    <n v="11.280034021343516"/>
    <n v="2.5256300213180225"/>
    <n v="6.6"/>
    <n v="463.9"/>
    <n v="6.6"/>
    <n v="463.9"/>
    <d v="2015-06-03T00:00:00"/>
  </r>
  <r>
    <d v="2015-06-04T00:00:00"/>
    <n v="155"/>
    <s v="Mediados"/>
    <n v="6.8"/>
    <n v="1.1032555554000005"/>
    <m/>
    <n v="0.05"/>
    <n v="1.1499999999999999"/>
    <n v="6.3594999999999997"/>
    <n v="0"/>
    <n v="0"/>
    <n v="0"/>
    <n v="0"/>
    <n v="19.600000000000001"/>
    <n v="177.36454145735232"/>
    <n v="136.90000000000003"/>
    <n v="0"/>
    <n v="19.600000000000001"/>
    <n v="19.600000000000001"/>
    <n v="155"/>
    <x v="26"/>
    <n v="0"/>
    <n v="0"/>
    <n v="1.9600000000000002"/>
    <n v="0"/>
    <n v="0"/>
    <n v="0"/>
    <m/>
    <n v="0"/>
    <n v="-1.1314285714285715"/>
    <n v="-289.73764285714265"/>
    <n v="33.541706965796969"/>
    <n v="25"/>
    <n v="6.7110258034807861"/>
    <n v="-100"/>
    <n v="0"/>
    <n v="62.340000000000018"/>
    <n v="0"/>
    <n v="-0.68065017706052788"/>
    <n v="5.7"/>
    <n v="410.7"/>
    <n v="-9999"/>
    <n v="-999"/>
    <n v="-99999"/>
    <n v="-99999"/>
    <s v=""/>
    <n v="0.73098287500000003"/>
    <n v="-999"/>
    <n v="0.83559413569444496"/>
    <n v="11.520207215751016"/>
    <n v="2.4454774321971513"/>
    <n v="6.8"/>
    <n v="470.7"/>
    <n v="6.8"/>
    <n v="470.7"/>
    <d v="2015-06-04T00:00:00"/>
  </r>
  <r>
    <d v="2015-06-05T00:00:00"/>
    <n v="156"/>
    <s v="Final"/>
    <n v="6.5"/>
    <n v="1.0978444444000006"/>
    <m/>
    <n v="0.10173699999999999"/>
    <n v="1.1489590000000001"/>
    <n v="6.9971610000000002"/>
    <n v="0"/>
    <n v="0"/>
    <n v="0"/>
    <n v="0"/>
    <n v="19.7"/>
    <n v="177.98237991989291"/>
    <n v="136.90000000000003"/>
    <n v="0"/>
    <n v="19.7"/>
    <n v="19.7"/>
    <n v="156"/>
    <x v="26"/>
    <n v="0"/>
    <n v="0"/>
    <n v="1.97"/>
    <n v="0"/>
    <n v="0"/>
    <n v="0"/>
    <m/>
    <n v="0"/>
    <n v="-1.1314285714285715"/>
    <n v="-290.8690714285712"/>
    <n v="34.380278394368396"/>
    <n v="25"/>
    <n v="6.8788072017543804"/>
    <n v="-100"/>
    <n v="0"/>
    <n v="64.310000000000016"/>
    <n v="0"/>
    <n v="-0.68065017706052788"/>
    <n v="5.4"/>
    <n v="416.09999999999997"/>
    <n v="-9999"/>
    <n v="-999"/>
    <n v="-99999"/>
    <n v="-99999"/>
    <s v=""/>
    <n v="0.72324825000000004"/>
    <n v="-999"/>
    <n v="0.83183641972222278"/>
    <n v="11.746522215741017"/>
    <n v="2.2838307899727965"/>
    <n v="6.5"/>
    <n v="477.2"/>
    <n v="6.5"/>
    <n v="477.2"/>
    <d v="2015-06-05T00:00:00"/>
  </r>
  <r>
    <d v="2015-06-06T00:00:00"/>
    <n v="157"/>
    <s v="Final"/>
    <n v="6.7"/>
    <n v="1.0924333334000007"/>
    <m/>
    <n v="0.170154"/>
    <n v="1.164598"/>
    <n v="7.721285"/>
    <n v="0"/>
    <n v="0"/>
    <n v="0"/>
    <n v="0"/>
    <n v="20.7"/>
    <n v="178.29644757064403"/>
    <n v="136.90000000000003"/>
    <n v="0"/>
    <n v="20.7"/>
    <n v="20.7"/>
    <n v="157"/>
    <x v="26"/>
    <n v="0"/>
    <n v="0"/>
    <n v="2.0699999999999998"/>
    <n v="0"/>
    <n v="0"/>
    <n v="0"/>
    <m/>
    <n v="0"/>
    <n v="-1.1314285714285715"/>
    <n v="-292.00049999999976"/>
    <n v="35.318849822939825"/>
    <n v="25"/>
    <n v="7.0665966032292573"/>
    <n v="-100"/>
    <n v="0"/>
    <n v="66.38000000000001"/>
    <n v="0"/>
    <n v="-0.68065017706052788"/>
    <n v="5.6"/>
    <n v="421.7"/>
    <n v="-9999"/>
    <n v="-999"/>
    <n v="-99999"/>
    <n v="-99999"/>
    <s v=""/>
    <n v="0.71551362500000004"/>
    <n v="-999"/>
    <n v="0.82807870375000059"/>
    <n v="11.979956660201017"/>
    <n v="2.3353906051630133"/>
    <n v="6.7"/>
    <n v="483.9"/>
    <n v="6.7"/>
    <n v="483.9"/>
    <d v="2015-06-06T00:00:00"/>
  </r>
  <r>
    <d v="2015-06-07T00:00:00"/>
    <n v="158"/>
    <s v="Final"/>
    <n v="6.7"/>
    <n v="1.0870222223999999"/>
    <m/>
    <n v="0.244671"/>
    <n v="1.1863379999999999"/>
    <n v="8.0077780000000001"/>
    <n v="0"/>
    <n v="0"/>
    <n v="0"/>
    <n v="0"/>
    <n v="20.100000000000001"/>
    <n v="178.40841894105608"/>
    <n v="136.90000000000003"/>
    <n v="0"/>
    <n v="20.100000000000001"/>
    <n v="20.100000000000001"/>
    <n v="158"/>
    <x v="26"/>
    <n v="0"/>
    <n v="0"/>
    <n v="2.0100000000000002"/>
    <n v="0"/>
    <n v="0"/>
    <n v="0"/>
    <m/>
    <n v="0"/>
    <n v="-1.1314285714285715"/>
    <n v="-293.13192857142832"/>
    <n v="36.197421251511251"/>
    <n v="25"/>
    <n v="7.2423812027833643"/>
    <n v="-100"/>
    <n v="0"/>
    <n v="68.390000000000015"/>
    <n v="0"/>
    <n v="-0.68065017706052788"/>
    <n v="6"/>
    <n v="427.7"/>
    <n v="-9999"/>
    <n v="-999"/>
    <n v="-99999"/>
    <n v="-99999"/>
    <n v="0.70777900000000005"/>
    <n v="0.70777900000000005"/>
    <n v="0.82432098777777774"/>
    <n v="0.82432098777777774"/>
    <n v="12.228712215801018"/>
    <n v="2.46663992583197"/>
    <n v="6.7"/>
    <n v="490.59999999999997"/>
    <n v="6.7"/>
    <n v="490.59999999999997"/>
    <d v="2015-06-07T00:00:00"/>
  </r>
  <r>
    <d v="2015-06-08T00:00:00"/>
    <n v="159"/>
    <s v="Final"/>
    <n v="6.3"/>
    <n v="1.0460333333999998"/>
    <m/>
    <n v="0.286333"/>
    <n v="1.175222"/>
    <n v="7.6389440000000004"/>
    <n v="0"/>
    <n v="0"/>
    <n v="0"/>
    <n v="0"/>
    <n v="20.5"/>
    <n v="178.46206931945412"/>
    <n v="136.90000000000003"/>
    <n v="0"/>
    <n v="20.5"/>
    <n v="20.5"/>
    <n v="159"/>
    <x v="27"/>
    <n v="0"/>
    <n v="0"/>
    <n v="2.0500000000000003"/>
    <n v="0"/>
    <n v="0"/>
    <n v="0"/>
    <m/>
    <n v="0"/>
    <n v="-1.1314285714285715"/>
    <n v="-294.26335714285688"/>
    <n v="37.115992680082677"/>
    <n v="25"/>
    <n v="7.426169003617983"/>
    <n v="-100"/>
    <n v="0"/>
    <n v="70.440000000000012"/>
    <n v="0"/>
    <n v="-0.68065017706052788"/>
    <n v="6.6"/>
    <n v="434.3"/>
    <n v="-9999"/>
    <n v="-999"/>
    <n v="-99999"/>
    <n v="-99999"/>
    <s v=""/>
    <n v="0.68194566666666667"/>
    <n v="-999"/>
    <n v="0.79585648152777777"/>
    <n v="12.491071382486018"/>
    <n v="2.5776202621848938"/>
    <n v="6.3"/>
    <n v="496.9"/>
    <n v="6.3"/>
    <n v="496.9"/>
    <d v="2015-06-08T00:00:00"/>
  </r>
  <r>
    <d v="2015-06-09T00:00:00"/>
    <n v="160"/>
    <s v="Final"/>
    <n v="6.1"/>
    <n v="1.0050444444"/>
    <m/>
    <n v="0.33706900000000001"/>
    <n v="1.1731799999999999"/>
    <n v="7.8133790000000003"/>
    <n v="5.7"/>
    <n v="0"/>
    <n v="0"/>
    <n v="0"/>
    <n v="21.4"/>
    <n v="180.57508815661865"/>
    <n v="142.60000000000002"/>
    <n v="0"/>
    <n v="21.4"/>
    <n v="21.4"/>
    <n v="160"/>
    <x v="27"/>
    <n v="0"/>
    <n v="0"/>
    <n v="2.14"/>
    <n v="0"/>
    <n v="0"/>
    <n v="0"/>
    <m/>
    <n v="0"/>
    <n v="-1.1314285714285715"/>
    <n v="-295.39478571428543"/>
    <n v="38.124564108654106"/>
    <n v="25"/>
    <n v="7.6279640073337545"/>
    <n v="-100"/>
    <n v="0"/>
    <n v="72.580000000000013"/>
    <n v="0"/>
    <n v="-0.68065017706052788"/>
    <n v="7.1"/>
    <n v="441.40000000000003"/>
    <n v="-9999"/>
    <n v="-999"/>
    <n v="-99999"/>
    <n v="-99999"/>
    <s v=""/>
    <n v="0.6561123333333333"/>
    <n v="-999"/>
    <n v="0.7673919752777778"/>
    <n v="12.761180363954351"/>
    <n v="2.6288807975122666"/>
    <n v="6.1"/>
    <n v="503"/>
    <n v="6.1"/>
    <n v="503"/>
    <d v="2015-06-09T00:00:00"/>
  </r>
  <r>
    <d v="2015-06-10T00:00:00"/>
    <n v="161"/>
    <s v="Final"/>
    <n v="4.7"/>
    <n v="0.96405555539999999"/>
    <m/>
    <n v="0.38837300000000002"/>
    <n v="1.1717070000000001"/>
    <n v="7.8387180000000001"/>
    <n v="1"/>
    <n v="0"/>
    <n v="0"/>
    <n v="0"/>
    <n v="19.7"/>
    <n v="182.14474461294785"/>
    <n v="143.60000000000002"/>
    <n v="0"/>
    <n v="19.7"/>
    <n v="19.7"/>
    <n v="161"/>
    <x v="27"/>
    <n v="0"/>
    <n v="0"/>
    <n v="1.97"/>
    <n v="0"/>
    <n v="0"/>
    <n v="0"/>
    <m/>
    <n v="0"/>
    <n v="-1.1314285714285715"/>
    <n v="-296.52621428571399"/>
    <n v="38.963135537225533"/>
    <n v="25"/>
    <n v="7.7957454056073487"/>
    <n v="-100"/>
    <n v="0"/>
    <n v="74.550000000000011"/>
    <n v="0"/>
    <n v="-0.68065017706052788"/>
    <n v="6.9"/>
    <n v="448.3"/>
    <n v="-9999"/>
    <n v="-999"/>
    <n v="83"/>
    <n v="1.4"/>
    <s v=""/>
    <n v="0.63027899999999992"/>
    <n v="-999"/>
    <n v="0.73892746902777784"/>
    <n v="13.011896336131851"/>
    <n v="-0.33200991928640633"/>
    <n v="4.7"/>
    <n v="507.7"/>
    <n v="4.7"/>
    <n v="507.7"/>
    <d v="2015-06-10T00:00:00"/>
  </r>
  <r>
    <d v="2015-06-11T00:00:00"/>
    <n v="162"/>
    <s v="Final"/>
    <n v="3.9"/>
    <n v="0.92306666640000012"/>
    <m/>
    <n v="0.41874"/>
    <n v="1.149295"/>
    <n v="7.20608"/>
    <n v="23.3"/>
    <n v="0"/>
    <n v="0"/>
    <n v="0"/>
    <n v="17.3"/>
    <n v="189.81866461124784"/>
    <n v="166.90000000000003"/>
    <n v="0"/>
    <n v="17.3"/>
    <n v="17.3"/>
    <n v="162"/>
    <x v="27"/>
    <n v="0"/>
    <n v="0"/>
    <n v="1.3840000000000003"/>
    <n v="0"/>
    <n v="0"/>
    <n v="0"/>
    <m/>
    <n v="0"/>
    <n v="-1.1314285714285715"/>
    <n v="-297.65764285714255"/>
    <n v="39.215706965796961"/>
    <n v="25"/>
    <n v="7.8462799051214409"/>
    <n v="-100"/>
    <n v="0"/>
    <n v="75.934000000000012"/>
    <n v="0"/>
    <n v="-0.68065017706052788"/>
    <n v="7.4"/>
    <n v="455.7"/>
    <n v="-9999"/>
    <n v="-999"/>
    <n v="-99999"/>
    <n v="-99999"/>
    <s v=""/>
    <n v="0.60444566666666655"/>
    <n v="-999"/>
    <n v="0.71046296277777787"/>
    <n v="13.268141891605184"/>
    <n v="4.3561744430466263"/>
    <n v="3.9"/>
    <n v="511.59999999999997"/>
    <n v="3.9"/>
    <n v="511.59999999999997"/>
    <d v="2015-06-11T00:00:00"/>
  </r>
  <r>
    <d v="2015-06-12T00:00:00"/>
    <n v="163"/>
    <s v="Final"/>
    <n v="4.4000000000000004"/>
    <n v="0.88207777740000015"/>
    <m/>
    <n v="0.48035800000000001"/>
    <n v="1.1581360000000001"/>
    <n v="7.0530460000000001"/>
    <n v="0"/>
    <n v="0"/>
    <n v="0"/>
    <n v="0"/>
    <n v="17.600000000000001"/>
    <n v="194.98900112973902"/>
    <n v="166.90000000000003"/>
    <n v="0"/>
    <n v="17.600000000000001"/>
    <n v="17.600000000000001"/>
    <n v="163"/>
    <x v="27"/>
    <n v="0"/>
    <n v="0"/>
    <n v="1.4080000000000004"/>
    <n v="0"/>
    <n v="0"/>
    <n v="0"/>
    <m/>
    <n v="0"/>
    <n v="-1.1314285714285715"/>
    <n v="-298.78907142857111"/>
    <n v="39.492278394368391"/>
    <n v="25"/>
    <n v="7.9016163254038387"/>
    <n v="-100"/>
    <n v="0"/>
    <n v="77.342000000000013"/>
    <n v="0"/>
    <n v="-0.68065017706052788"/>
    <n v="6.2"/>
    <n v="461.9"/>
    <n v="-9999"/>
    <n v="-999"/>
    <n v="-99999"/>
    <n v="-99999"/>
    <s v=""/>
    <n v="0.57861233333333317"/>
    <n v="-999"/>
    <n v="0.68199845652777791"/>
    <n v="13.472245317433519"/>
    <n v="3.469758239081699"/>
    <n v="4.4000000000000004"/>
    <n v="516"/>
    <n v="4.4000000000000004"/>
    <n v="516"/>
    <d v="2015-06-12T00:00:00"/>
  </r>
  <r>
    <d v="2015-06-13T00:00:00"/>
    <n v="164"/>
    <s v="Final"/>
    <n v="5.3"/>
    <n v="0.84108888840000018"/>
    <m/>
    <n v="0.50798399999999999"/>
    <n v="1.132984"/>
    <n v="5.3703440000000002"/>
    <n v="0"/>
    <n v="0"/>
    <n v="0"/>
    <n v="0"/>
    <n v="17.5"/>
    <n v="198.77186371707941"/>
    <n v="166.90000000000003"/>
    <n v="0"/>
    <n v="17.5"/>
    <n v="17.5"/>
    <n v="164"/>
    <x v="27"/>
    <n v="0"/>
    <n v="0"/>
    <n v="1.4000000000000001"/>
    <n v="0"/>
    <n v="0"/>
    <n v="0"/>
    <m/>
    <n v="0"/>
    <n v="-1.1314285714285715"/>
    <n v="-299.92049999999966"/>
    <n v="39.760849822939818"/>
    <n v="25"/>
    <n v="7.9553521054301362"/>
    <n v="-100"/>
    <n v="0"/>
    <n v="78.742000000000019"/>
    <n v="0"/>
    <n v="-0.68065017706052788"/>
    <n v="6.4"/>
    <n v="468.29999999999995"/>
    <n v="-9999"/>
    <n v="-999"/>
    <n v="-99999"/>
    <n v="-99999"/>
    <s v=""/>
    <n v="0.5527789999999998"/>
    <n v="-999"/>
    <n v="0.65353395027777794"/>
    <n v="13.672002354340185"/>
    <n v="3.3958696274133331"/>
    <n v="5.3"/>
    <n v="521.29999999999995"/>
    <n v="5.3"/>
    <n v="521.29999999999995"/>
    <d v="2015-06-13T00:00:00"/>
  </r>
  <r>
    <d v="2015-06-14T00:00:00"/>
    <n v="165"/>
    <s v="Final"/>
    <n v="5.0999999999999996"/>
    <n v="0.80009999940000032"/>
    <m/>
    <n v="0.51593900000000004"/>
    <n v="1.0881609999999999"/>
    <n v="4.2329460000000001"/>
    <n v="0"/>
    <n v="0"/>
    <n v="0"/>
    <n v="0"/>
    <n v="16"/>
    <n v="201.82982736283023"/>
    <n v="166.90000000000003"/>
    <n v="0"/>
    <n v="16"/>
    <n v="16"/>
    <n v="165"/>
    <x v="27"/>
    <n v="0"/>
    <n v="0"/>
    <n v="1.1199999999999999"/>
    <n v="0"/>
    <n v="0"/>
    <n v="0"/>
    <m/>
    <n v="0"/>
    <n v="-1.1314285714285715"/>
    <n v="-301.05192857142822"/>
    <n v="39.749421251511244"/>
    <n v="25"/>
    <n v="7.9530654764928466"/>
    <n v="-100"/>
    <n v="0"/>
    <n v="79.862000000000023"/>
    <n v="0"/>
    <n v="-0.68065017706052788"/>
    <n v="8.1999999999999993"/>
    <n v="476.49999999999994"/>
    <n v="-9999"/>
    <n v="-999"/>
    <n v="-99999"/>
    <n v="-99999"/>
    <s v=""/>
    <n v="0.52694566666666642"/>
    <n v="-999"/>
    <n v="0.62506944402777798"/>
    <n v="13.913936520801851"/>
    <n v="4.1128808298483079"/>
    <n v="5.0999999999999996"/>
    <n v="526.4"/>
    <n v="5.0999999999999996"/>
    <n v="526.4"/>
    <d v="2015-06-14T00:00:00"/>
  </r>
  <r>
    <d v="2015-06-15T00:00:00"/>
    <n v="166"/>
    <s v="Final"/>
    <n v="2.7"/>
    <n v="0.75911111040000034"/>
    <m/>
    <n v="0.59916700000000001"/>
    <n v="1.1186119999999999"/>
    <n v="4.8659610000000004"/>
    <n v="3.3"/>
    <n v="0"/>
    <n v="0"/>
    <n v="0"/>
    <n v="14"/>
    <n v="205.1850517881339"/>
    <n v="170.20000000000005"/>
    <n v="0"/>
    <n v="14"/>
    <n v="14"/>
    <n v="166"/>
    <x v="28"/>
    <n v="0"/>
    <n v="0"/>
    <n v="0.56000000000000005"/>
    <n v="0"/>
    <n v="0"/>
    <n v="0"/>
    <m/>
    <n v="0"/>
    <n v="-1.1314285714285715"/>
    <n v="-302.18335714285678"/>
    <n v="39.177992680082674"/>
    <n v="25"/>
    <n v="7.8387340296283856"/>
    <n v="-100"/>
    <n v="0"/>
    <n v="80.422000000000025"/>
    <n v="0"/>
    <n v="-0.68065017706052788"/>
    <n v="8.3000000000000007"/>
    <n v="484.79999999999995"/>
    <n v="-9999"/>
    <n v="-999"/>
    <n v="-99999"/>
    <n v="-99999"/>
    <s v=""/>
    <n v="0.50111233333333305"/>
    <n v="-999"/>
    <n v="0.59660493777777801"/>
    <n v="14.144645779815184"/>
    <n v="3.9220574032266597"/>
    <n v="2.7"/>
    <n v="529.1"/>
    <n v="2.7"/>
    <n v="529.1"/>
    <d v="2015-06-15T00:00:00"/>
  </r>
  <r>
    <d v="2015-06-16T00:00:00"/>
    <n v="167"/>
    <s v="Final"/>
    <n v="4.5999999999999996"/>
    <n v="0.71812222140000037"/>
    <m/>
    <n v="0.68642800000000004"/>
    <n v="1.153095"/>
    <n v="6.1229339999999999"/>
    <n v="0"/>
    <n v="0"/>
    <n v="0"/>
    <n v="0"/>
    <n v="16.399999999999999"/>
    <n v="207.16942083027746"/>
    <n v="170.20000000000005"/>
    <n v="0"/>
    <n v="16.399999999999999"/>
    <n v="16.399999999999999"/>
    <n v="167"/>
    <x v="28"/>
    <n v="0"/>
    <n v="0"/>
    <n v="1.1479999999999999"/>
    <n v="0"/>
    <n v="0"/>
    <n v="0"/>
    <m/>
    <n v="0"/>
    <n v="-1.1314285714285715"/>
    <n v="-303.31478571428534"/>
    <n v="39.194564108654106"/>
    <n v="25"/>
    <n v="7.8420496415874554"/>
    <n v="-100"/>
    <n v="0"/>
    <n v="81.570000000000022"/>
    <n v="0"/>
    <n v="-0.68065017706052788"/>
    <n v="7.2"/>
    <n v="491.99999999999994"/>
    <n v="-9999"/>
    <n v="-999"/>
    <n v="-99999"/>
    <n v="-99999"/>
    <s v=""/>
    <n v="0.47527899999999973"/>
    <n v="-999"/>
    <n v="0.56814043152777804"/>
    <n v="14.332482446235185"/>
    <n v="3.1932233291400109"/>
    <n v="4.5999999999999996"/>
    <n v="533.70000000000005"/>
    <n v="4.5999999999999996"/>
    <n v="533.70000000000005"/>
    <d v="2015-06-16T00:00:00"/>
  </r>
  <r>
    <d v="2015-06-17T00:00:00"/>
    <n v="168"/>
    <s v="Final"/>
    <n v="5.7"/>
    <n v="0.6771333324000004"/>
    <m/>
    <n v="0.72767700000000002"/>
    <n v="1.1415660000000001"/>
    <n v="5.799156"/>
    <n v="0"/>
    <n v="0"/>
    <n v="0"/>
    <n v="0"/>
    <n v="19.399999999999999"/>
    <n v="208.50330450100628"/>
    <n v="170.20000000000005"/>
    <n v="0"/>
    <n v="19.399999999999999"/>
    <n v="19.399999999999999"/>
    <n v="168"/>
    <x v="28"/>
    <n v="0"/>
    <n v="0"/>
    <n v="1.94"/>
    <n v="0"/>
    <n v="0"/>
    <n v="0"/>
    <m/>
    <n v="0"/>
    <n v="-1.1314285714285715"/>
    <n v="-304.44621428571389"/>
    <n v="40.003135537225532"/>
    <n v="25"/>
    <n v="8.0038286389006661"/>
    <n v="-100"/>
    <n v="0"/>
    <n v="83.510000000000019"/>
    <n v="0"/>
    <n v="-0.68065017706052788"/>
    <n v="5.5"/>
    <n v="497.49999999999994"/>
    <n v="-9999"/>
    <n v="-999"/>
    <n v="-99999"/>
    <n v="-99999"/>
    <s v=""/>
    <n v="0.44944566666666641"/>
    <n v="-999"/>
    <n v="0.53967592527777808"/>
    <n v="14.466575501576852"/>
    <n v="2.279581940808356"/>
    <n v="5.7"/>
    <n v="539.40000000000009"/>
    <n v="5.7"/>
    <n v="539.40000000000009"/>
    <d v="2015-06-17T00:00:00"/>
  </r>
  <r>
    <d v="2015-06-18T00:00:00"/>
    <n v="169"/>
    <s v="Final"/>
    <n v="5.8"/>
    <n v="0.63614444340000043"/>
    <m/>
    <n v="0.71055800000000002"/>
    <n v="1.071669"/>
    <n v="2.8827889999999998"/>
    <n v="0"/>
    <n v="0"/>
    <n v="0"/>
    <n v="0"/>
    <n v="20.5"/>
    <n v="209.57176707319545"/>
    <n v="170.20000000000005"/>
    <n v="0"/>
    <n v="20.5"/>
    <n v="20.5"/>
    <n v="169"/>
    <x v="28"/>
    <n v="0"/>
    <n v="0"/>
    <n v="2.0500000000000003"/>
    <n v="0"/>
    <n v="0"/>
    <n v="0"/>
    <m/>
    <n v="0"/>
    <n v="-1.1314285714285715"/>
    <n v="-305.57764285714245"/>
    <n v="40.921706965796957"/>
    <n v="25"/>
    <n v="8.1876164397352849"/>
    <n v="-100"/>
    <n v="0"/>
    <n v="85.560000000000016"/>
    <n v="0"/>
    <n v="-0.68065017706052788"/>
    <n v="5.5"/>
    <n v="502.99999999999994"/>
    <n v="-9999"/>
    <n v="-999"/>
    <n v="-99999"/>
    <n v="-99999"/>
    <s v=""/>
    <n v="0.42361233333333309"/>
    <n v="-999"/>
    <n v="0.51121141902777811"/>
    <n v="14.591275269856018"/>
    <n v="2.1198960607458162"/>
    <n v="5.8"/>
    <n v="545.20000000000005"/>
    <n v="5.8"/>
    <n v="545.20000000000005"/>
    <d v="2015-06-18T00:00:00"/>
  </r>
  <r>
    <d v="2015-06-19T00:00:00"/>
    <n v="170"/>
    <s v="Final"/>
    <n v="6.3"/>
    <n v="0.59515555440000045"/>
    <m/>
    <n v="0.81413000000000002"/>
    <n v="1.122463"/>
    <n v="5.1521059999999999"/>
    <n v="0"/>
    <n v="0"/>
    <n v="0"/>
    <n v="0"/>
    <n v="22.4"/>
    <n v="210.46830649268676"/>
    <n v="170.20000000000005"/>
    <n v="0"/>
    <n v="22.4"/>
    <n v="22.4"/>
    <n v="170"/>
    <x v="28"/>
    <n v="0"/>
    <n v="0"/>
    <n v="2.2399999999999998"/>
    <n v="0"/>
    <n v="0"/>
    <n v="0"/>
    <m/>
    <n v="0"/>
    <n v="-1.1314285714285715"/>
    <n v="-306.70907142857101"/>
    <n v="42.030278394368388"/>
    <n v="25"/>
    <n v="8.409419446652338"/>
    <n v="-100"/>
    <n v="0"/>
    <n v="87.800000000000011"/>
    <n v="0"/>
    <n v="-0.68065017706052788"/>
    <n v="6"/>
    <n v="508.99999999999994"/>
    <n v="-9999"/>
    <n v="-999"/>
    <n v="-99999"/>
    <n v="-99999"/>
    <s v=""/>
    <n v="0.39777899999999977"/>
    <n v="-999"/>
    <n v="0.48274691277777809"/>
    <n v="14.717064158456019"/>
    <n v="2.1384111061999818"/>
    <n v="6.3"/>
    <n v="551.5"/>
    <n v="6.3"/>
    <n v="551.5"/>
    <d v="2015-06-19T00:00:00"/>
  </r>
  <r>
    <d v="2015-06-20T00:00:00"/>
    <n v="171"/>
    <s v="Final"/>
    <n v="6.9"/>
    <n v="0.55416666540000037"/>
    <m/>
    <n v="0.879884"/>
    <n v="1.13544"/>
    <n v="6.4720060000000004"/>
    <n v="0"/>
    <n v="0"/>
    <n v="0"/>
    <n v="0"/>
    <n v="23.1"/>
    <n v="211.21354210914765"/>
    <n v="170.20000000000005"/>
    <n v="0"/>
    <n v="23.1"/>
    <n v="23.1"/>
    <n v="171"/>
    <x v="28"/>
    <n v="0"/>
    <n v="0"/>
    <n v="2.31"/>
    <n v="0"/>
    <n v="0"/>
    <n v="0"/>
    <m/>
    <n v="0"/>
    <n v="-1.1314285714285715"/>
    <n v="-307.84049999999957"/>
    <n v="43.208849822939818"/>
    <n v="25"/>
    <n v="8.6452280558102874"/>
    <n v="-100"/>
    <n v="0"/>
    <n v="90.110000000000014"/>
    <n v="0"/>
    <n v="-0.68065017706052788"/>
    <n v="6.5"/>
    <n v="515.5"/>
    <n v="85"/>
    <n v="1.4"/>
    <n v="83"/>
    <n v="1.4"/>
    <s v=""/>
    <n v="0.37194566666666645"/>
    <n v="-999"/>
    <n v="0.45428240652777807"/>
    <n v="14.842234297001852"/>
    <n v="2.1278923552792151"/>
    <n v="6.9"/>
    <n v="558.4"/>
    <n v="6.9"/>
    <n v="558.4"/>
    <d v="2015-06-20T00:00:00"/>
  </r>
  <r>
    <d v="2015-06-21T00:00:00"/>
    <n v="172"/>
    <s v="Final"/>
    <n v="7.1"/>
    <n v="0.5131777764000004"/>
    <m/>
    <n v="0.93506599999999995"/>
    <n v="1.1378440000000001"/>
    <n v="6.633629"/>
    <n v="0"/>
    <n v="0"/>
    <n v="0"/>
    <n v="0"/>
    <n v="23.7"/>
    <n v="211.82258642214524"/>
    <n v="170.20000000000005"/>
    <n v="0"/>
    <n v="23.7"/>
    <n v="23.7"/>
    <n v="172"/>
    <x v="28"/>
    <n v="0"/>
    <n v="0"/>
    <n v="2.37"/>
    <n v="0"/>
    <n v="0"/>
    <n v="0"/>
    <m/>
    <n v="0"/>
    <n v="-5.94"/>
    <n v="-313.78049999999956"/>
    <n v="39.638849822939818"/>
    <n v="0"/>
    <n v="7.9309423415245739"/>
    <n v="-100"/>
    <n v="0"/>
    <n v="92.480000000000018"/>
    <n v="0"/>
    <n v="-0.68065017706052788"/>
    <n v="6.2"/>
    <n v="521.70000000000005"/>
    <n v="-9999"/>
    <n v="-999"/>
    <n v="-99999"/>
    <n v="-99999"/>
    <s v=""/>
    <n v="0.34611233333333313"/>
    <n v="-999"/>
    <n v="0.42581790027777805"/>
    <n v="14.842234297001852"/>
    <n v="0"/>
    <n v="7.1"/>
    <n v="565.5"/>
    <n v="7.1"/>
    <n v="565.5"/>
    <d v="2015-06-21T00:00:00"/>
  </r>
  <r>
    <d v="2015-06-22T00:00:00"/>
    <n v="173"/>
    <s v="Final"/>
    <n v="6.2"/>
    <n v="0.47218888740000031"/>
    <m/>
    <n v="0.99676200000000004"/>
    <n v="1.1467620000000001"/>
    <n v="7.1901970000000004"/>
    <n v="2.9"/>
    <n v="0"/>
    <n v="0"/>
    <n v="0"/>
    <n v="23.6"/>
    <n v="213.20119015292948"/>
    <n v="173.10000000000005"/>
    <n v="0"/>
    <n v="23.6"/>
    <n v="23.6"/>
    <n v="173"/>
    <x v="29"/>
    <n v="0"/>
    <n v="0"/>
    <n v="2.3600000000000003"/>
    <n v="0"/>
    <n v="0"/>
    <n v="0"/>
    <m/>
    <n v="0"/>
    <n v="-5.94"/>
    <n v="-319.72049999999956"/>
    <n v="36.05884982293982"/>
    <n v="0"/>
    <n v="7.2146558269187313"/>
    <n v="-100"/>
    <n v="0"/>
    <n v="94.840000000000018"/>
    <n v="0"/>
    <n v="-0.68065017706052788"/>
    <n v="7.2"/>
    <n v="528.90000000000009"/>
    <n v="87"/>
    <n v="1.4"/>
    <n v="-99999"/>
    <n v="-99999"/>
    <n v="0.32027899999999998"/>
    <n v="0.32027899999999998"/>
    <n v="-999"/>
    <n v="0.39735339402777803"/>
    <n v="14.842234297001852"/>
    <n v="0"/>
    <n v="6.2"/>
    <n v="571.70000000000005"/>
    <n v="6.2"/>
    <n v="571.70000000000005"/>
    <d v="2015-06-22T00:00:00"/>
  </r>
  <r>
    <d v="2015-06-23T00:00:00"/>
    <n v="174"/>
    <s v="Final"/>
    <n v="7.1"/>
    <n v="0.43119999840000001"/>
    <m/>
    <n v="1.0065850000000001"/>
    <n v="1.156585"/>
    <n v="7.9457370000000003"/>
    <n v="0"/>
    <n v="0"/>
    <n v="0"/>
    <n v="0"/>
    <n v="22.3"/>
    <n v="213.95598472423541"/>
    <n v="173.10000000000005"/>
    <n v="0"/>
    <n v="22.3"/>
    <n v="22.3"/>
    <n v="174"/>
    <x v="29"/>
    <n v="0"/>
    <n v="0"/>
    <n v="2.23"/>
    <n v="0"/>
    <n v="0"/>
    <n v="0"/>
    <m/>
    <n v="0"/>
    <n v="-5.94"/>
    <n v="-325.66049999999956"/>
    <n v="32.348849822939819"/>
    <n v="0"/>
    <n v="6.4723589081512243"/>
    <n v="-100"/>
    <n v="0"/>
    <n v="97.070000000000022"/>
    <n v="0"/>
    <n v="-0.68065017706052788"/>
    <n v="7.6"/>
    <n v="536.50000000000011"/>
    <n v="-9999"/>
    <n v="-999"/>
    <n v="-99999"/>
    <n v="-99999"/>
    <s v=""/>
    <n v="0.32013199999999997"/>
    <n v="0.36888888777777779"/>
    <n v="0.36888888777777779"/>
    <n v="14.842234297001852"/>
    <n v="0"/>
    <n v="7.1"/>
    <n v="578.80000000000007"/>
    <n v="7.1"/>
    <n v="578.80000000000007"/>
    <d v="2015-06-23T00:00:00"/>
  </r>
  <r>
    <d v="2015-06-24T00:00:00"/>
    <n v="175"/>
    <s v="-"/>
    <n v="5.9"/>
    <n v="0.42543491931428579"/>
    <m/>
    <n v="1.011393"/>
    <n v="1.1613929999999999"/>
    <n v="8.2575020000000006"/>
    <n v="1.4"/>
    <n v="0"/>
    <n v="0"/>
    <n v="0"/>
    <n v="20.2"/>
    <n v="214.79714073458675"/>
    <n v="174.50000000000006"/>
    <n v="0"/>
    <n v="20.2"/>
    <n v="20.2"/>
    <n v="175"/>
    <x v="29"/>
    <n v="0"/>
    <n v="0"/>
    <n v="0.20200000000000001"/>
    <n v="0"/>
    <n v="0"/>
    <n v="0"/>
    <m/>
    <n v="0"/>
    <n v="0"/>
    <n v="-325.66049999999956"/>
    <n v="32.550849822939817"/>
    <n v="0"/>
    <n v="6.5127750746178101"/>
    <n v="-100"/>
    <n v="0"/>
    <n v="97.27200000000002"/>
    <n v="0"/>
    <n v="-0.68065017706052788"/>
    <n v="7.4"/>
    <n v="543.90000000000009"/>
    <n v="-9999"/>
    <n v="-999"/>
    <n v="-99999"/>
    <n v="-99999"/>
    <s v=""/>
    <n v="0.31998499999999996"/>
    <n v="-999"/>
    <n v="0.36488536063492066"/>
    <n v="14.842234297001852"/>
    <n v="0"/>
    <n v="5.9"/>
    <n v="584.70000000000005"/>
    <n v="5.9"/>
    <n v="584.70000000000005"/>
    <d v="2015-06-24T00:00:00"/>
  </r>
  <r>
    <d v="2015-06-25T00:00:00"/>
    <n v="176"/>
    <s v="-"/>
    <n v="6.5"/>
    <n v="0.41966984022857146"/>
    <m/>
    <n v="1.0012859999999999"/>
    <n v="1.151286"/>
    <n v="7.1609959999999999"/>
    <n v="0"/>
    <n v="0"/>
    <n v="0"/>
    <n v="0"/>
    <n v="22.4"/>
    <n v="215.50881394262609"/>
    <n v="174.50000000000006"/>
    <n v="0"/>
    <n v="22.4"/>
    <n v="22.4"/>
    <n v="176"/>
    <x v="29"/>
    <n v="0"/>
    <n v="0"/>
    <n v="0.22399999999999998"/>
    <n v="0"/>
    <n v="0"/>
    <n v="0"/>
    <m/>
    <n v="0"/>
    <n v="0"/>
    <n v="-325.66049999999956"/>
    <n v="32.774849822939814"/>
    <n v="0"/>
    <n v="6.5575930017886783"/>
    <n v="-100"/>
    <n v="0"/>
    <n v="97.496000000000024"/>
    <n v="0"/>
    <n v="-0.68065017706052788"/>
    <n v="7.4"/>
    <n v="551.30000000000007"/>
    <n v="-9999"/>
    <n v="-999"/>
    <n v="-99999"/>
    <n v="-99999"/>
    <s v=""/>
    <n v="0.31983799999999996"/>
    <n v="-999"/>
    <n v="0.36088183349206354"/>
    <n v="14.842234297001852"/>
    <n v="0"/>
    <n v="6.5"/>
    <n v="591.20000000000005"/>
    <n v="6.5"/>
    <n v="591.20000000000005"/>
    <d v="2015-06-25T00:00:00"/>
  </r>
  <r>
    <d v="2015-06-26T00:00:00"/>
    <n v="177"/>
    <s v="-"/>
    <n v="6.6"/>
    <n v="0.41390476114285724"/>
    <m/>
    <n v="1.0303150000000001"/>
    <n v="1.180315"/>
    <n v="8.321218"/>
    <n v="0"/>
    <n v="0"/>
    <n v="0"/>
    <n v="0"/>
    <n v="24.7"/>
    <n v="216.10331032199326"/>
    <n v="174.50000000000006"/>
    <n v="0"/>
    <n v="24.7"/>
    <n v="24.7"/>
    <n v="177"/>
    <x v="29"/>
    <n v="0"/>
    <n v="0"/>
    <n v="0.24700000000000003"/>
    <n v="0"/>
    <n v="0"/>
    <n v="0"/>
    <m/>
    <n v="0"/>
    <n v="0"/>
    <n v="-325.66049999999956"/>
    <n v="33.021849822939814"/>
    <n v="0"/>
    <n v="6.6070127696958414"/>
    <n v="-100"/>
    <n v="0"/>
    <n v="97.743000000000023"/>
    <n v="0"/>
    <n v="-0.68065017706052788"/>
    <n v="7"/>
    <n v="558.30000000000007"/>
    <n v="-9999"/>
    <n v="-999"/>
    <n v="-99999"/>
    <n v="-99999"/>
    <s v=""/>
    <n v="0.31969099999999995"/>
    <n v="-999"/>
    <n v="0.35687830634920642"/>
    <n v="14.842234297001852"/>
    <n v="0"/>
    <n v="6.6"/>
    <n v="597.80000000000007"/>
    <n v="6.6"/>
    <n v="597.80000000000007"/>
    <d v="2015-06-26T00:00:00"/>
  </r>
  <r>
    <d v="2015-06-27T00:00:00"/>
    <n v="178"/>
    <s v="-"/>
    <n v="6.8"/>
    <n v="0.40813968205714302"/>
    <m/>
    <n v="0.81211199999999995"/>
    <n v="0.96211199999999997"/>
    <n v="5.6379739999999998"/>
    <n v="0"/>
    <n v="0"/>
    <n v="0"/>
    <n v="0"/>
    <n v="26.3"/>
    <n v="216.61865817441014"/>
    <n v="174.50000000000006"/>
    <n v="0"/>
    <n v="26.3"/>
    <n v="26.3"/>
    <n v="178"/>
    <x v="29"/>
    <n v="0"/>
    <n v="0"/>
    <n v="0.26300000000000007"/>
    <n v="0"/>
    <n v="0"/>
    <n v="0"/>
    <m/>
    <n v="0"/>
    <n v="0"/>
    <n v="-325.66049999999956"/>
    <n v="33.284849822939812"/>
    <n v="0"/>
    <n v="6.6596338181152088"/>
    <n v="-100"/>
    <n v="0"/>
    <n v="98.006000000000029"/>
    <n v="0"/>
    <n v="-0.68065017706052788"/>
    <n v="7.3"/>
    <n v="565.6"/>
    <s v="87-97"/>
    <n v="1.4"/>
    <n v="-99999"/>
    <n v="-99999"/>
    <s v=""/>
    <n v="0.31954399999999994"/>
    <n v="-999"/>
    <n v="0.3528747792063493"/>
    <n v="14.842234297001852"/>
    <n v="0"/>
    <n v="6.8"/>
    <n v="604.6"/>
    <n v="6.8"/>
    <n v="604.6"/>
    <d v="2015-06-27T00:00:00"/>
  </r>
  <r>
    <d v="2015-06-28T00:00:00"/>
    <n v="179"/>
    <s v="-"/>
    <n v="7"/>
    <n v="0.40237460297142869"/>
    <m/>
    <n v="0.78769199999999995"/>
    <n v="0.93769199999999997"/>
    <n v="6.057493"/>
    <n v="0"/>
    <n v="0"/>
    <n v="0"/>
    <n v="0"/>
    <n v="27.9"/>
    <n v="217.0585613049837"/>
    <n v="174.50000000000006"/>
    <n v="0"/>
    <n v="27.9"/>
    <n v="27.9"/>
    <n v="179"/>
    <x v="29"/>
    <n v="0"/>
    <n v="0"/>
    <n v="0.27900000000000003"/>
    <n v="0"/>
    <n v="0"/>
    <n v="0"/>
    <m/>
    <n v="0"/>
    <n v="0"/>
    <n v="-325.66049999999956"/>
    <n v="33.563849822939815"/>
    <n v="0"/>
    <n v="6.7154561470467815"/>
    <n v="-100"/>
    <n v="0"/>
    <n v="98.285000000000025"/>
    <n v="0"/>
    <n v="-0.68065017706052788"/>
    <n v="7"/>
    <n v="572.6"/>
    <n v="-9999"/>
    <n v="-999"/>
    <n v="-99999"/>
    <n v="-99999"/>
    <s v=""/>
    <n v="0.31939699999999993"/>
    <n v="-999"/>
    <n v="0.34887125206349218"/>
    <n v="14.842234297001852"/>
    <n v="0"/>
    <n v="7"/>
    <n v="611.6"/>
    <n v="7"/>
    <n v="611.6"/>
    <d v="2015-06-28T00:00:00"/>
  </r>
  <r>
    <d v="2015-06-29T00:00:00"/>
    <n v="180"/>
    <s v="-"/>
    <n v="8"/>
    <n v="0.39660952388571447"/>
    <m/>
    <n v="0.75096300000000005"/>
    <n v="0.90096299999999996"/>
    <n v="5.9823959999999996"/>
    <n v="0"/>
    <n v="0"/>
    <n v="0"/>
    <n v="0"/>
    <n v="27.1"/>
    <n v="217.42190942619069"/>
    <n v="174.50000000000006"/>
    <n v="0"/>
    <n v="27.1"/>
    <n v="27.1"/>
    <n v="180"/>
    <x v="30"/>
    <n v="0"/>
    <n v="0"/>
    <n v="0.27100000000000007"/>
    <n v="0"/>
    <n v="0"/>
    <n v="0"/>
    <m/>
    <n v="0"/>
    <n v="0"/>
    <n v="-325.66049999999956"/>
    <n v="33.834849822939816"/>
    <n v="0"/>
    <n v="6.7696778357222511"/>
    <n v="-100"/>
    <n v="0"/>
    <n v="98.556000000000026"/>
    <n v="0"/>
    <n v="-0.68065017706052788"/>
    <n v="5.6"/>
    <n v="578.20000000000005"/>
    <n v="-9999"/>
    <n v="-999"/>
    <n v="-99999"/>
    <n v="-99999"/>
    <s v=""/>
    <n v="0.31924999999999992"/>
    <n v="-999"/>
    <n v="0.34486772492063505"/>
    <n v="14.842234297001852"/>
    <n v="0"/>
    <n v="8"/>
    <n v="619.6"/>
    <n v="8"/>
    <n v="619.6"/>
    <d v="2015-06-29T00:00:00"/>
  </r>
  <r>
    <d v="2015-06-30T00:00:00"/>
    <n v="181"/>
    <s v="-"/>
    <n v="9"/>
    <n v="0.39084444479999991"/>
    <m/>
    <n v="0.70718999999999999"/>
    <n v="0.85719000000000001"/>
    <n v="5.7946039999999996"/>
    <n v="0"/>
    <n v="0"/>
    <n v="0"/>
    <n v="0"/>
    <n v="26.9"/>
    <n v="217.74369373934115"/>
    <n v="174.50000000000006"/>
    <n v="0"/>
    <n v="26.9"/>
    <n v="26.9"/>
    <n v="181"/>
    <x v="30"/>
    <n v="0"/>
    <n v="0"/>
    <n v="0.26900000000000002"/>
    <n v="0"/>
    <n v="0"/>
    <n v="0"/>
    <m/>
    <n v="0"/>
    <n v="0"/>
    <n v="-325.66049999999956"/>
    <n v="34.103849822939814"/>
    <n v="0"/>
    <n v="6.8234993643336965"/>
    <n v="-100"/>
    <n v="0"/>
    <n v="98.825000000000031"/>
    <n v="0"/>
    <n v="-0.68065017706052788"/>
    <n v="5.5"/>
    <n v="583.70000000000005"/>
    <n v="-9999"/>
    <n v="-999"/>
    <n v="-99999"/>
    <n v="-99999"/>
    <n v="0.31910300000000003"/>
    <n v="0.31910300000000003"/>
    <n v="0.34086419777777777"/>
    <n v="0.34086419777777777"/>
    <n v="14.842234297001852"/>
    <n v="0"/>
    <n v="9"/>
    <n v="628.6"/>
    <n v="9"/>
    <n v="628.6"/>
    <d v="2015-06-30T00:00:00"/>
  </r>
  <r>
    <d v="2015-07-01T00:00:00"/>
    <n v="182"/>
    <s v="-"/>
    <n v="8"/>
    <n v="0.38474074097777777"/>
    <m/>
    <n v="0.68488700000000002"/>
    <n v="0.83488700000000005"/>
    <n v="5.8108139999999997"/>
    <n v="0"/>
    <n v="0"/>
    <n v="0"/>
    <n v="0"/>
    <n v="25.7"/>
    <n v="218.03169746279329"/>
    <n v="174.50000000000006"/>
    <n v="0"/>
    <n v="25.7"/>
    <n v="25.7"/>
    <n v="182"/>
    <x v="30"/>
    <n v="0"/>
    <n v="0"/>
    <n v="0.25700000000000006"/>
    <n v="0"/>
    <n v="0"/>
    <n v="0"/>
    <m/>
    <n v="0"/>
    <n v="0"/>
    <n v="-325.66049999999956"/>
    <n v="34.360849822939812"/>
    <n v="0"/>
    <n v="6.8749199325609869"/>
    <n v="-100"/>
    <n v="0"/>
    <n v="99.082000000000036"/>
    <n v="0"/>
    <n v="-0.68065017706052788"/>
    <n v="7.4"/>
    <n v="591.1"/>
    <n v="-9999"/>
    <n v="-999"/>
    <n v="-99999"/>
    <n v="-99999"/>
    <s v=""/>
    <n v="0.31748211111111113"/>
    <n v="-999"/>
    <n v="0.33662551456790124"/>
    <n v="14.842234297001852"/>
    <n v="0"/>
    <n v="8"/>
    <n v="636.6"/>
    <n v="8"/>
    <n v="636.6"/>
    <d v="2015-07-01T00:00:00"/>
  </r>
  <r>
    <d v="2015-07-02T00:00:00"/>
    <n v="183"/>
    <s v="-"/>
    <n v="6.9"/>
    <n v="0.37863703715555552"/>
    <m/>
    <n v="0.67276599999999998"/>
    <n v="0.822766"/>
    <n v="6.6232670000000002"/>
    <n v="0"/>
    <n v="0"/>
    <n v="0"/>
    <n v="0"/>
    <n v="24.3"/>
    <n v="218.29258526333533"/>
    <n v="174.50000000000006"/>
    <n v="0"/>
    <n v="24.3"/>
    <n v="24.3"/>
    <n v="183"/>
    <x v="30"/>
    <n v="0"/>
    <n v="0"/>
    <n v="0.24300000000000002"/>
    <n v="0"/>
    <n v="0"/>
    <n v="0"/>
    <m/>
    <n v="0"/>
    <n v="0"/>
    <n v="-325.66049999999956"/>
    <n v="34.603849822939814"/>
    <n v="0"/>
    <n v="6.9235393803400989"/>
    <n v="-100"/>
    <n v="0"/>
    <n v="99.325000000000031"/>
    <n v="0"/>
    <n v="-0.68065017706052788"/>
    <n v="6"/>
    <n v="597.1"/>
    <n v="-9999"/>
    <n v="-999"/>
    <n v="-99999"/>
    <n v="-99999"/>
    <s v=""/>
    <n v="0.31586122222222224"/>
    <n v="-999"/>
    <n v="0.33238683135802471"/>
    <n v="14.842234297001852"/>
    <n v="0"/>
    <n v="6.9"/>
    <n v="643.5"/>
    <n v="6.9"/>
    <n v="643.5"/>
    <d v="2015-07-02T00:00:00"/>
  </r>
  <r>
    <d v="2015-07-03T00:00:00"/>
    <n v="184"/>
    <s v="-"/>
    <n v="7.6"/>
    <n v="0.37253333333333338"/>
    <m/>
    <n v="0.28347899999999998"/>
    <n v="0.433479"/>
    <n v="3.9013149999999999"/>
    <n v="0"/>
    <n v="0"/>
    <n v="0"/>
    <n v="0"/>
    <n v="25"/>
    <n v="218.51927932635462"/>
    <n v="174.50000000000006"/>
    <n v="0"/>
    <n v="25"/>
    <n v="25"/>
    <n v="184"/>
    <x v="30"/>
    <n v="0"/>
    <n v="0"/>
    <n v="0.25"/>
    <n v="0"/>
    <n v="0"/>
    <n v="0"/>
    <m/>
    <n v="0"/>
    <n v="0"/>
    <n v="-325.66049999999956"/>
    <n v="34.853849822939814"/>
    <n v="0"/>
    <n v="6.9735593883432996"/>
    <n v="-100"/>
    <n v="0"/>
    <n v="99.575000000000031"/>
    <n v="0"/>
    <n v="-0.68065017706052788"/>
    <n v="6.9"/>
    <n v="604"/>
    <n v="-9999"/>
    <n v="-999"/>
    <n v="-99999"/>
    <n v="-99999"/>
    <s v=""/>
    <n v="0.31424033333333334"/>
    <n v="-999"/>
    <n v="0.32814814814814819"/>
    <n v="14.842234297001852"/>
    <n v="0"/>
    <n v="7.6"/>
    <n v="651.1"/>
    <n v="7.6"/>
    <n v="651.1"/>
    <d v="2015-07-03T00:00:00"/>
  </r>
  <r>
    <d v="2015-07-04T00:00:00"/>
    <n v="185"/>
    <s v="-"/>
    <n v="8.3000000000000007"/>
    <n v="0.36642962951111113"/>
    <m/>
    <n v="9.2304999999999998E-2"/>
    <n v="0.24230499999999999"/>
    <n v="1.9432830000000001"/>
    <n v="0"/>
    <n v="0"/>
    <n v="0"/>
    <n v="0"/>
    <n v="26"/>
    <n v="218.692802325115"/>
    <n v="174.50000000000006"/>
    <n v="0"/>
    <n v="26"/>
    <n v="26"/>
    <n v="185"/>
    <x v="30"/>
    <n v="0"/>
    <n v="0"/>
    <n v="0.26"/>
    <n v="0"/>
    <n v="0"/>
    <n v="0"/>
    <m/>
    <n v="0"/>
    <n v="0"/>
    <n v="-325.66049999999956"/>
    <n v="35.113849822939812"/>
    <n v="0"/>
    <n v="7.0255801966666294"/>
    <n v="-100"/>
    <n v="0"/>
    <n v="99.835000000000036"/>
    <n v="0"/>
    <n v="-0.68065017706052788"/>
    <n v="8.1"/>
    <n v="612.1"/>
    <n v="-9999"/>
    <n v="-999"/>
    <n v="89"/>
    <n v="1.4"/>
    <s v=""/>
    <n v="0.31261944444444445"/>
    <n v="-999"/>
    <n v="0.32390946493827166"/>
    <n v="14.842234297001852"/>
    <n v="0"/>
    <n v="8.3000000000000007"/>
    <n v="659.4"/>
    <n v="8.3000000000000007"/>
    <n v="659.4"/>
    <d v="2015-07-04T00:00:00"/>
  </r>
  <r>
    <d v="2015-07-05T00:00:00"/>
    <n v="186"/>
    <s v="-"/>
    <n v="8.4"/>
    <n v="0.36032592568888899"/>
    <m/>
    <n v="3.3661999999999997E-2"/>
    <n v="0.18366199999999999"/>
    <n v="1.267266"/>
    <n v="0"/>
    <n v="0"/>
    <n v="0"/>
    <n v="0"/>
    <n v="27.8"/>
    <n v="218.87899229006612"/>
    <n v="174.50000000000006"/>
    <n v="0"/>
    <n v="27.8"/>
    <n v="27.8"/>
    <n v="186"/>
    <x v="30"/>
    <n v="0"/>
    <n v="0"/>
    <n v="0.27800000000000002"/>
    <n v="0"/>
    <n v="0"/>
    <n v="0"/>
    <m/>
    <n v="0"/>
    <n v="0"/>
    <n v="-325.66049999999956"/>
    <n v="35.391849822939811"/>
    <n v="0"/>
    <n v="7.0812024455661895"/>
    <n v="-100"/>
    <n v="0"/>
    <n v="100.11300000000004"/>
    <n v="0"/>
    <n v="-0.68065017706052788"/>
    <n v="6.6"/>
    <n v="618.70000000000005"/>
    <n v="-9999"/>
    <n v="-999"/>
    <n v="-99999"/>
    <n v="-99999"/>
    <s v=""/>
    <n v="0.31099855555555556"/>
    <n v="-999"/>
    <n v="0.31967078172839514"/>
    <n v="14.842234297001852"/>
    <n v="0"/>
    <n v="8.4"/>
    <n v="667.8"/>
    <n v="8.4"/>
    <n v="667.8"/>
    <d v="2015-07-05T00:00:00"/>
  </r>
  <r>
    <d v="2015-07-06T00:00:00"/>
    <n v="187"/>
    <s v="-"/>
    <n v="8.1999999999999993"/>
    <n v="0.35422222186666674"/>
    <m/>
    <n v="1.6801E-2"/>
    <n v="0.166801"/>
    <n v="1.274357"/>
    <n v="0"/>
    <n v="0"/>
    <n v="0"/>
    <n v="0"/>
    <n v="28.7"/>
    <n v="219.0427135198247"/>
    <n v="174.50000000000006"/>
    <n v="0"/>
    <n v="28.7"/>
    <n v="28.7"/>
    <n v="187"/>
    <x v="31"/>
    <n v="0"/>
    <n v="0"/>
    <n v="0.28700000000000003"/>
    <n v="0"/>
    <n v="0"/>
    <n v="0"/>
    <m/>
    <n v="0"/>
    <n v="0"/>
    <n v="-325.66049999999956"/>
    <n v="35.67884982293981"/>
    <n v="0"/>
    <n v="7.1386254147538644"/>
    <n v="-100"/>
    <n v="0"/>
    <n v="100.40000000000005"/>
    <n v="0"/>
    <n v="-0.68065017706052788"/>
    <n v="6.8"/>
    <n v="625.5"/>
    <n v="-9999"/>
    <n v="-999"/>
    <n v="-99999"/>
    <n v="-99999"/>
    <s v=""/>
    <n v="0.30937766666666666"/>
    <n v="-999"/>
    <n v="0.31543209851851861"/>
    <n v="14.842234297001852"/>
    <n v="0"/>
    <n v="8.1999999999999993"/>
    <n v="676"/>
    <n v="8.1999999999999993"/>
    <n v="676"/>
    <d v="2015-07-06T00:00:00"/>
  </r>
  <r>
    <d v="2015-07-07T00:00:00"/>
    <n v="188"/>
    <s v="-"/>
    <n v="7.3"/>
    <n v="0.3481185180444446"/>
    <m/>
    <n v="6.4920000000000004E-3"/>
    <n v="0.15649199999999999"/>
    <n v="1.292624"/>
    <n v="0"/>
    <n v="0"/>
    <n v="0"/>
    <n v="0"/>
    <n v="29.5"/>
    <n v="219.1571970894376"/>
    <n v="174.50000000000006"/>
    <n v="0"/>
    <n v="29.5"/>
    <n v="29.5"/>
    <n v="188"/>
    <x v="31"/>
    <n v="0"/>
    <n v="0"/>
    <n v="0.29500000000000004"/>
    <n v="0"/>
    <n v="0"/>
    <n v="0"/>
    <m/>
    <n v="0"/>
    <n v="0"/>
    <n v="-325.66049999999956"/>
    <n v="35.973849822939812"/>
    <n v="0"/>
    <n v="7.1976490241976414"/>
    <n v="-100"/>
    <n v="0"/>
    <n v="100.69500000000005"/>
    <n v="0"/>
    <n v="-0.68065017706052788"/>
    <n v="8.1"/>
    <n v="633.6"/>
    <n v="-9999"/>
    <n v="-999"/>
    <n v="-99999"/>
    <n v="-99999"/>
    <s v=""/>
    <n v="0.30775677777777777"/>
    <n v="-999"/>
    <n v="0.31119341530864209"/>
    <n v="14.842234297001852"/>
    <n v="0"/>
    <n v="7.3"/>
    <n v="683.3"/>
    <n v="7.3"/>
    <n v="683.3"/>
    <d v="2015-07-07T00:00:00"/>
  </r>
  <r>
    <d v="2015-07-08T00:00:00"/>
    <n v="189"/>
    <s v="-"/>
    <n v="8.6"/>
    <n v="0.34201481422222235"/>
    <m/>
    <n v="2.0939999999999999E-3"/>
    <n v="0.15209400000000001"/>
    <n v="1.271509"/>
    <n v="0"/>
    <n v="0"/>
    <n v="0"/>
    <n v="0"/>
    <n v="29.6"/>
    <n v="219.30649401412072"/>
    <n v="174.50000000000006"/>
    <n v="0"/>
    <n v="29.6"/>
    <n v="29.6"/>
    <n v="189"/>
    <x v="31"/>
    <n v="0"/>
    <n v="0"/>
    <n v="0.29600000000000004"/>
    <n v="0"/>
    <n v="0"/>
    <n v="0"/>
    <m/>
    <n v="0"/>
    <n v="0"/>
    <n v="-325.66049999999956"/>
    <n v="36.269849822939811"/>
    <n v="0"/>
    <n v="7.2568727136734319"/>
    <n v="-100"/>
    <n v="0"/>
    <n v="100.99100000000006"/>
    <n v="0"/>
    <n v="-0.68065017706052788"/>
    <n v="4.7"/>
    <n v="638.30000000000007"/>
    <n v="-9999"/>
    <n v="-999"/>
    <n v="-99999"/>
    <n v="-99999"/>
    <s v=""/>
    <n v="0.30613588888888887"/>
    <n v="-999"/>
    <n v="0.30695473209876556"/>
    <n v="14.842234297001852"/>
    <n v="0"/>
    <n v="8.6"/>
    <n v="691.9"/>
    <n v="8.6"/>
    <n v="691.9"/>
    <d v="2015-07-08T00:00:00"/>
  </r>
  <r>
    <d v="2015-07-09T00:00:00"/>
    <n v="190"/>
    <s v="-"/>
    <n v="8.1"/>
    <n v="0.33591111039999999"/>
    <m/>
    <n v="6.4599999999999998E-4"/>
    <n v="0.150646"/>
    <n v="1.233792"/>
    <n v="0"/>
    <n v="0"/>
    <n v="0"/>
    <n v="0"/>
    <n v="27"/>
    <n v="219.43799250451511"/>
    <n v="174.50000000000006"/>
    <n v="0"/>
    <n v="27"/>
    <n v="27"/>
    <n v="190"/>
    <x v="31"/>
    <n v="0"/>
    <n v="0"/>
    <n v="0.27"/>
    <n v="0"/>
    <n v="0"/>
    <n v="0"/>
    <m/>
    <n v="0"/>
    <n v="0"/>
    <n v="-325.66049999999956"/>
    <n v="36.539849822939814"/>
    <n v="0"/>
    <n v="7.310894322316889"/>
    <n v="-100"/>
    <n v="0"/>
    <n v="101.26100000000005"/>
    <n v="0"/>
    <n v="-0.68065017706052788"/>
    <n v="6.2"/>
    <n v="644.50000000000011"/>
    <n v="-9999"/>
    <n v="-999"/>
    <n v="-99999"/>
    <n v="-99999"/>
    <n v="0.30451499999999998"/>
    <n v="0.30451499999999998"/>
    <n v="0.30271604888888887"/>
    <n v="0.30271604888888887"/>
    <n v="14.842234297001852"/>
    <n v="0"/>
    <n v="8.1"/>
    <n v="700"/>
    <n v="8.1"/>
    <n v="700"/>
    <d v="2015-07-09T00:00:00"/>
  </r>
  <r>
    <d v="2015-07-10T00:00:00"/>
    <n v="191"/>
    <s v="-"/>
    <n v="7.8"/>
    <n v="0.33616507885714275"/>
    <m/>
    <n v="2.0799999999999999E-4"/>
    <n v="0.15020800000000001"/>
    <n v="1.1010230000000001"/>
    <n v="0"/>
    <n v="0"/>
    <n v="0"/>
    <n v="0"/>
    <n v="27.5"/>
    <n v="219.54152409253274"/>
    <n v="174.50000000000006"/>
    <n v="0"/>
    <n v="27.5"/>
    <n v="27.5"/>
    <n v="191"/>
    <x v="31"/>
    <n v="0"/>
    <n v="0"/>
    <n v="0.27500000000000002"/>
    <n v="0"/>
    <n v="0"/>
    <n v="0"/>
    <m/>
    <n v="0"/>
    <n v="0"/>
    <n v="-325.66049999999956"/>
    <n v="36.814849822939813"/>
    <n v="0"/>
    <n v="7.3659163311204106"/>
    <n v="-100"/>
    <n v="0"/>
    <n v="101.53600000000006"/>
    <n v="0"/>
    <n v="-0.68065017706052788"/>
    <n v="7"/>
    <n v="651.50000000000011"/>
    <n v="-9999"/>
    <n v="-999"/>
    <n v="-99999"/>
    <n v="-99999"/>
    <s v=""/>
    <n v="0.30451499999999998"/>
    <n v="-999"/>
    <n v="0.30289241587301585"/>
    <n v="14.842234297001852"/>
    <n v="0"/>
    <n v="7.8"/>
    <n v="707.8"/>
    <n v="7.8"/>
    <n v="707.8"/>
    <d v="2015-07-10T00:00:00"/>
  </r>
  <r>
    <d v="2015-07-11T00:00:00"/>
    <n v="192"/>
    <s v="-"/>
    <n v="7"/>
    <n v="0.33641904731428562"/>
    <m/>
    <n v="8.7000000000000001E-5"/>
    <n v="0.150087"/>
    <n v="1.2937529999999999"/>
    <n v="0"/>
    <n v="0"/>
    <n v="0"/>
    <n v="0"/>
    <n v="26.2"/>
    <n v="219.63080948660399"/>
    <n v="174.50000000000006"/>
    <n v="0"/>
    <n v="26.2"/>
    <n v="26.2"/>
    <n v="192"/>
    <x v="31"/>
    <n v="0"/>
    <n v="0"/>
    <n v="0.26200000000000001"/>
    <n v="0"/>
    <n v="0"/>
    <n v="0"/>
    <m/>
    <n v="0"/>
    <n v="0"/>
    <n v="-325.66049999999956"/>
    <n v="37.076849822939813"/>
    <n v="0"/>
    <n v="7.4183372995077654"/>
    <n v="-100"/>
    <n v="0"/>
    <n v="101.79800000000006"/>
    <n v="0"/>
    <n v="-0.68065017706052788"/>
    <n v="7.1"/>
    <n v="658.60000000000014"/>
    <n v="-9999"/>
    <n v="-999"/>
    <n v="-99999"/>
    <n v="-99999"/>
    <s v=""/>
    <n v="0.30451499999999998"/>
    <n v="-999"/>
    <n v="0.30306878285714284"/>
    <n v="14.842234297001852"/>
    <n v="0"/>
    <n v="7"/>
    <n v="714.8"/>
    <n v="7"/>
    <n v="714.8"/>
    <d v="2015-07-11T00:00:00"/>
  </r>
  <r>
    <d v="2015-07-12T00:00:00"/>
    <n v="193"/>
    <s v="-"/>
    <n v="7.3"/>
    <n v="0.3366730157714285"/>
    <m/>
    <n v="2.5999999999999998E-5"/>
    <n v="0.15002599999999999"/>
    <n v="1.209206"/>
    <n v="0"/>
    <n v="0"/>
    <n v="0"/>
    <n v="0"/>
    <n v="26.8"/>
    <n v="219.69805104720191"/>
    <n v="174.50000000000006"/>
    <n v="0"/>
    <n v="26.8"/>
    <n v="26.8"/>
    <n v="193"/>
    <x v="31"/>
    <n v="0"/>
    <n v="0"/>
    <n v="0.26800000000000002"/>
    <n v="0"/>
    <n v="0"/>
    <n v="0"/>
    <m/>
    <n v="0"/>
    <n v="0"/>
    <n v="-325.66049999999956"/>
    <n v="37.344849822939814"/>
    <n v="0"/>
    <n v="7.4719587480871974"/>
    <n v="-100"/>
    <n v="0"/>
    <n v="102.06600000000006"/>
    <n v="0"/>
    <n v="-0.68065017706052788"/>
    <n v="7.5"/>
    <n v="666.10000000000014"/>
    <n v="-9999"/>
    <n v="-999"/>
    <n v="-99999"/>
    <n v="-99999"/>
    <s v=""/>
    <n v="0.30451499999999998"/>
    <n v="-999"/>
    <n v="0.30324514984126982"/>
    <n v="14.842234297001852"/>
    <n v="0"/>
    <n v="7.3"/>
    <n v="722.09999999999991"/>
    <n v="7.3"/>
    <n v="722.09999999999991"/>
    <d v="2015-07-12T00:00:00"/>
  </r>
  <r>
    <d v="2015-07-13T00:00:00"/>
    <n v="194"/>
    <s v="-"/>
    <n v="6.9"/>
    <n v="0.33692698422857137"/>
    <m/>
    <n v="9.0000000000000002E-6"/>
    <n v="0.150009"/>
    <n v="1.168569"/>
    <n v="0"/>
    <n v="0"/>
    <n v="0"/>
    <n v="0"/>
    <n v="27.5"/>
    <n v="219.71893730401516"/>
    <n v="174.50000000000006"/>
    <n v="0"/>
    <n v="27.5"/>
    <n v="27.5"/>
    <n v="194"/>
    <x v="32"/>
    <n v="0"/>
    <n v="0"/>
    <n v="0.27500000000000002"/>
    <n v="0"/>
    <n v="0"/>
    <n v="0"/>
    <m/>
    <n v="0"/>
    <n v="0"/>
    <n v="-325.66049999999956"/>
    <n v="37.619849822939813"/>
    <n v="0"/>
    <n v="7.526980756890719"/>
    <n v="-100"/>
    <n v="0"/>
    <n v="102.34100000000007"/>
    <n v="0"/>
    <n v="-0.68065017706052788"/>
    <n v="8.5"/>
    <n v="674.60000000000014"/>
    <n v="-9999"/>
    <n v="-999"/>
    <n v="-99999"/>
    <n v="-99999"/>
    <s v=""/>
    <n v="0.30451499999999998"/>
    <n v="-999"/>
    <n v="0.30342151682539681"/>
    <n v="14.842234297001852"/>
    <n v="0"/>
    <n v="6.9"/>
    <n v="728.99999999999989"/>
    <n v="6.9"/>
    <n v="728.99999999999989"/>
    <d v="2015-07-13T00:00:00"/>
  </r>
  <r>
    <d v="2015-07-14T00:00:00"/>
    <n v="195"/>
    <s v="-"/>
    <n v="7.6"/>
    <n v="0.33718095268571424"/>
    <m/>
    <n v="3.0000000000000001E-6"/>
    <n v="0.150003"/>
    <n v="1.0560229999999999"/>
    <n v="0"/>
    <n v="0"/>
    <n v="0"/>
    <n v="0"/>
    <n v="27.8"/>
    <n v="219.81093933191505"/>
    <n v="174.50000000000006"/>
    <n v="0"/>
    <n v="27.8"/>
    <n v="27.8"/>
    <n v="195"/>
    <x v="32"/>
    <n v="0"/>
    <n v="0"/>
    <n v="0.27800000000000002"/>
    <n v="0"/>
    <n v="0"/>
    <n v="0"/>
    <m/>
    <n v="0"/>
    <n v="0"/>
    <n v="-325.66049999999956"/>
    <n v="37.897849822939811"/>
    <n v="0"/>
    <n v="7.5826030057902791"/>
    <n v="-100"/>
    <n v="0"/>
    <n v="102.61900000000007"/>
    <n v="0"/>
    <n v="-0.68065017706052788"/>
    <n v="6.1"/>
    <n v="680.70000000000016"/>
    <n v="-9999"/>
    <n v="-999"/>
    <n v="-99999"/>
    <n v="-99999"/>
    <s v=""/>
    <n v="0.30451499999999998"/>
    <n v="-999"/>
    <n v="0.30359788380952379"/>
    <n v="14.842234297001852"/>
    <n v="0"/>
    <n v="7.6"/>
    <n v="736.59999999999991"/>
    <n v="7.6"/>
    <n v="736.59999999999991"/>
    <d v="2015-07-14T00:00:00"/>
  </r>
  <r>
    <d v="2015-07-15T00:00:00"/>
    <n v="196"/>
    <s v="-"/>
    <n v="7.7"/>
    <n v="0.33743492114285711"/>
    <m/>
    <n v="9.9999999999999995E-7"/>
    <n v="0.150001"/>
    <n v="1.09351"/>
    <n v="0"/>
    <n v="0"/>
    <n v="0"/>
    <n v="0"/>
    <n v="27.2"/>
    <n v="219.86893520056174"/>
    <n v="174.50000000000006"/>
    <n v="0"/>
    <n v="27.2"/>
    <n v="27.2"/>
    <n v="196"/>
    <x v="32"/>
    <n v="0"/>
    <n v="0"/>
    <n v="0.27200000000000002"/>
    <n v="0"/>
    <n v="0"/>
    <n v="0"/>
    <m/>
    <n v="0"/>
    <n v="0"/>
    <n v="-325.66049999999956"/>
    <n v="38.16984982293981"/>
    <n v="0"/>
    <n v="7.6370247744977613"/>
    <n v="-100"/>
    <n v="0"/>
    <n v="102.89100000000008"/>
    <n v="0"/>
    <n v="-0.68065017706052788"/>
    <n v="7.1"/>
    <n v="687.80000000000018"/>
    <n v="-9999"/>
    <n v="-999"/>
    <n v="-99999"/>
    <n v="-99999"/>
    <s v=""/>
    <n v="0.30451499999999998"/>
    <n v="-999"/>
    <n v="0.30377425079365078"/>
    <n v="14.842234297001852"/>
    <n v="0"/>
    <n v="7.7"/>
    <n v="744.3"/>
    <n v="7.7"/>
    <n v="744.3"/>
    <d v="2015-07-15T00:00:00"/>
  </r>
  <r>
    <d v="2015-07-16T00:00:00"/>
    <n v="197"/>
    <s v="-"/>
    <n v="6.9"/>
    <n v="0.33768888959999999"/>
    <m/>
    <n v="9.9999999999999995E-7"/>
    <n v="0.150001"/>
    <n v="1.0365040000000001"/>
    <n v="0"/>
    <n v="0"/>
    <n v="0"/>
    <n v="0"/>
    <n v="27.7"/>
    <n v="219.93699731384274"/>
    <n v="174.50000000000006"/>
    <n v="0"/>
    <n v="27.7"/>
    <n v="27.7"/>
    <n v="197"/>
    <x v="32"/>
    <n v="0"/>
    <n v="0"/>
    <n v="0.27700000000000002"/>
    <n v="0"/>
    <n v="0"/>
    <n v="0"/>
    <m/>
    <n v="0"/>
    <n v="0"/>
    <n v="-325.66049999999956"/>
    <n v="38.446849822939811"/>
    <n v="0"/>
    <n v="7.6924469433653089"/>
    <n v="-100"/>
    <n v="0"/>
    <n v="103.16800000000008"/>
    <n v="0"/>
    <n v="-0.68065017706052788"/>
    <n v="6.5"/>
    <n v="694.30000000000018"/>
    <n v="-9999"/>
    <n v="-999"/>
    <n v="-99999"/>
    <n v="-99999"/>
    <s v=""/>
    <n v="0.30451499999999998"/>
    <n v="0.30395061777777777"/>
    <n v="0.30395061777777777"/>
    <n v="14.842234297001852"/>
    <n v="0"/>
    <n v="6.9"/>
    <n v="751.19999999999993"/>
    <n v="6.9"/>
    <n v="751.19999999999993"/>
    <d v="2015-07-16T00:00:00"/>
  </r>
  <r>
    <d v="2015-07-17T00:00:00"/>
    <n v="198"/>
    <d v="1899-12-30T00:00:00"/>
    <n v="0"/>
    <n v="0.33632592657777771"/>
    <m/>
    <n v="0"/>
    <n v="0"/>
    <n v="0"/>
    <n v="0"/>
    <n v="0"/>
    <n v="0"/>
    <n v="0"/>
    <n v="28.1"/>
    <n v="0"/>
    <n v="174.50000000000006"/>
    <n v="0"/>
    <n v="28.1"/>
    <n v="28.1"/>
    <n v="198"/>
    <x v="32"/>
    <n v="0"/>
    <n v="0"/>
    <n v="0.28100000000000008"/>
    <n v="0"/>
    <n v="0"/>
    <n v="0"/>
    <m/>
    <n v="0"/>
    <n v="0"/>
    <n v="-325.66049999999956"/>
    <n v="38.72784982293981"/>
    <n v="0"/>
    <n v="7.7486694323609067"/>
    <n v="-100"/>
    <n v="0"/>
    <n v="103.44900000000008"/>
    <n v="0"/>
    <n v="-0.68065017706052788"/>
    <n v="6.8"/>
    <n v="701.10000000000014"/>
    <n v="-9999"/>
    <n v="-999"/>
    <n v="-99999"/>
    <n v="-99999"/>
    <s v=""/>
    <n v="0.30451499999999998"/>
    <n v="-999"/>
    <n v="0.30300411567901231"/>
    <n v="14.842234297001852"/>
    <n v="0"/>
    <n v="7.3"/>
    <n v="758.49999999999989"/>
    <n v="7.3"/>
    <n v="758.49999999999989"/>
    <d v="2015-07-17T00:00:00"/>
  </r>
  <r>
    <d v="2015-07-18T00:00:00"/>
    <n v="199"/>
    <d v="1899-12-30T00:00:00"/>
    <n v="0"/>
    <n v="0.33496296355555544"/>
    <m/>
    <n v="0"/>
    <n v="0"/>
    <n v="0"/>
    <n v="0"/>
    <n v="0"/>
    <n v="0"/>
    <n v="0"/>
    <n v="26.2"/>
    <n v="0"/>
    <n v="174.50000000000006"/>
    <n v="0"/>
    <n v="26.2"/>
    <n v="26.2"/>
    <n v="199"/>
    <x v="32"/>
    <n v="0"/>
    <n v="0"/>
    <n v="0.26200000000000001"/>
    <n v="0"/>
    <n v="0"/>
    <n v="0"/>
    <m/>
    <n v="0"/>
    <n v="0"/>
    <n v="-325.66049999999956"/>
    <n v="38.98984982293981"/>
    <n v="0"/>
    <n v="7.8010904007482615"/>
    <n v="-100"/>
    <n v="0"/>
    <n v="103.71100000000008"/>
    <n v="0"/>
    <n v="-0.68065017706052788"/>
    <n v="7.8"/>
    <n v="708.90000000000009"/>
    <n v="-9999"/>
    <n v="-999"/>
    <n v="-99999"/>
    <n v="-99999"/>
    <s v=""/>
    <n v="0.30451499999999998"/>
    <n v="-999"/>
    <n v="0.30205761358024685"/>
    <n v="14.842234297001852"/>
    <n v="0"/>
    <n v="6.5"/>
    <n v="764.99999999999989"/>
    <n v="6.5"/>
    <n v="764.99999999999989"/>
    <d v="2015-07-18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A31049-9FD6-460A-BC3B-5CD2144EC6EB}" name="Tabla dinámica1" cacheId="52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>
  <location ref="A2:P36" firstHeaderRow="0" firstDataRow="1" firstDataCol="1"/>
  <pivotFields count="56"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numFmtId="1" showAll="0">
      <items count="34"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0"/>
        <item x="1"/>
        <item x="2"/>
        <item x="3"/>
        <item x="4"/>
        <item x="32"/>
        <item t="default"/>
      </items>
    </pivotField>
    <pivotField showAll="0"/>
    <pivotField showAll="0"/>
    <pivotField dataField="1" showAll="0" sumSubtotal="1"/>
    <pivotField dataField="1" showAll="0"/>
    <pivotField dataField="1" numFmtId="166" showAll="0"/>
    <pivotField numFmtId="166"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 defaultSubtotal="0"/>
    <pivotField showAll="0" defaultSubtotal="0"/>
    <pivotField dataField="1" showAll="0"/>
    <pivotField showAll="0"/>
    <pivotField showAll="0" defaultSubtotal="0"/>
    <pivotField dataField="1" showAll="0" defaultSubtota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showAll="0"/>
  </pivotFields>
  <rowFields count="1">
    <field x="20"/>
  </rowFields>
  <rowItems count="3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 t="grand">
      <x/>
    </i>
  </rowItems>
  <colFields count="1">
    <field x="-2"/>
  </colFields>
  <col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colItems>
  <dataFields count="15">
    <dataField name="Suma de N mineralizado" fld="23" baseField="20" baseItem="0" numFmtId="167"/>
    <dataField name="Suma de N agua" fld="24" baseField="20" baseItem="0" numFmtId="167"/>
    <dataField name="Suma de Nl" fld="28" baseField="20" baseItem="4" numFmtId="167"/>
    <dataField name="Suma de N fert neto" fld="25" baseField="0" baseItem="0" numFmtId="167"/>
    <dataField name="Suma de N extr 1" fld="29" baseField="20" baseItem="0" numFmtId="167"/>
    <dataField name="Máx. de N extrA 1" fld="30" subtotal="max" baseField="20" baseItem="0" numFmtId="167"/>
    <dataField name="Máx. de Nmin medido" fld="34" subtotal="max" baseField="20" baseItem="0" numFmtId="167"/>
    <dataField name="Máx. de N recom (kg ha-1)" fld="32" subtotal="max" baseField="20" baseItem="0" numFmtId="167"/>
    <dataField name="Máx. de Biomasa" fld="49" subtotal="max" baseField="20" baseItem="4" numFmtId="167"/>
    <dataField name="Máx. de BBCH tipo" fld="41" subtotal="max" baseField="41" baseItem="0" numFmtId="167"/>
    <dataField name="Máx. de BBCH real et" fld="43" subtotal="max" baseField="20" baseItem="6" numFmtId="167"/>
    <dataField name="Máx. de NDVI r.int" fld="48" subtotal="max" baseField="20" baseItem="0" numFmtId="167"/>
    <dataField name="Máx. de NDVI tipo i" fld="46" subtotal="max" baseField="20" baseItem="1" numFmtId="167"/>
    <dataField name="Máx. de Eto acumulada" fld="40" subtotal="max" baseField="20" baseItem="0" numFmtId="167"/>
    <dataField name="Máx. de Eto acumulada real" fld="52" subtotal="max" baseField="20" baseItem="0" numFmtId="167"/>
  </dataFields>
  <formats count="9">
    <format dxfId="9">
      <pivotArea type="all" dataOnly="0" outline="0" fieldPosition="0"/>
    </format>
    <format dxfId="8">
      <pivotArea outline="0" collapsedLevelsAreSubtotals="1" fieldPosition="0"/>
    </format>
    <format dxfId="7">
      <pivotArea field="20" type="button" dataOnly="0" labelOnly="1" outline="0" axis="axisRow" fieldPosition="0"/>
    </format>
    <format dxfId="6">
      <pivotArea dataOnly="0" labelOnly="1" fieldPosition="0">
        <references count="1">
          <reference field="20" count="0"/>
        </references>
      </pivotArea>
    </format>
    <format dxfId="5">
      <pivotArea dataOnly="0" labelOnly="1" grandRow="1" outline="0" fieldPosition="0"/>
    </format>
    <format dxfId="4">
      <pivotArea dataOnly="0" labelOnly="1" outline="0" fieldPosition="0">
        <references count="1">
          <reference field="4294967294" count="8">
            <x v="0"/>
            <x v="1"/>
            <x v="3"/>
            <x v="4"/>
            <x v="5"/>
            <x v="6"/>
            <x v="7"/>
            <x v="11"/>
          </reference>
        </references>
      </pivotArea>
    </format>
    <format dxfId="3">
      <pivotArea collapsedLevelsAreSubtotals="1" fieldPosition="0">
        <references count="2">
          <reference field="4294967294" count="1" selected="0">
            <x v="5"/>
          </reference>
          <reference field="20" count="20"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</reference>
        </references>
      </pivotArea>
    </format>
    <format dxfId="2">
      <pivotArea collapsedLevelsAreSubtotals="1" fieldPosition="0">
        <references count="2">
          <reference field="4294967294" count="1" selected="0">
            <x v="11"/>
          </reference>
          <reference field="20" count="10"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">
      <pivotArea collapsedLevelsAreSubtotals="1" fieldPosition="0">
        <references count="2">
          <reference field="4294967294" count="1" selected="0">
            <x v="8"/>
          </reference>
          <reference field="2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7" tint="0.59999389629810485"/>
  </sheetPr>
  <dimension ref="A1:M85"/>
  <sheetViews>
    <sheetView showGridLines="0" tabSelected="1" workbookViewId="0">
      <selection activeCell="L34" sqref="L34"/>
    </sheetView>
  </sheetViews>
  <sheetFormatPr baseColWidth="10" defaultColWidth="0" defaultRowHeight="15" zeroHeight="1"/>
  <cols>
    <col min="1" max="1" width="13.140625" style="310" bestFit="1" customWidth="1"/>
    <col min="2" max="2" width="11.42578125" style="310" customWidth="1"/>
    <col min="3" max="4" width="6.7109375" style="310" customWidth="1"/>
    <col min="5" max="5" width="12" style="310" bestFit="1" customWidth="1"/>
    <col min="6" max="6" width="10.28515625" style="5" bestFit="1" customWidth="1"/>
    <col min="7" max="7" width="11.5703125" style="5" bestFit="1" customWidth="1"/>
    <col min="8" max="8" width="26.140625" style="5" customWidth="1"/>
    <col min="9" max="9" width="10.140625" style="5" bestFit="1" customWidth="1"/>
    <col min="10" max="11" width="6.85546875" style="5" bestFit="1" customWidth="1"/>
    <col min="12" max="13" width="11.42578125" style="5" customWidth="1"/>
    <col min="14" max="16384" width="11.42578125" style="5" hidden="1"/>
  </cols>
  <sheetData>
    <row r="1" spans="1:13">
      <c r="A1" s="309" t="s">
        <v>206</v>
      </c>
      <c r="B1" s="309" t="s">
        <v>207</v>
      </c>
      <c r="F1" s="367" t="s">
        <v>617</v>
      </c>
      <c r="G1" s="368"/>
      <c r="H1" s="523" t="s">
        <v>618</v>
      </c>
      <c r="I1" s="524"/>
      <c r="J1" s="524"/>
      <c r="K1" s="524"/>
      <c r="L1" s="525"/>
    </row>
    <row r="2" spans="1:13">
      <c r="A2" s="310" t="s">
        <v>208</v>
      </c>
      <c r="B2" s="310" t="s">
        <v>209</v>
      </c>
      <c r="F2" s="369"/>
      <c r="G2" s="1"/>
      <c r="H2" s="526" t="s">
        <v>619</v>
      </c>
      <c r="I2" s="527"/>
      <c r="J2" s="527"/>
      <c r="K2" s="527"/>
      <c r="L2" s="528"/>
    </row>
    <row r="3" spans="1:13">
      <c r="A3" s="310" t="s">
        <v>210</v>
      </c>
      <c r="B3" s="310" t="s">
        <v>211</v>
      </c>
      <c r="F3" s="369"/>
      <c r="G3" s="1"/>
      <c r="H3" s="529" t="s">
        <v>626</v>
      </c>
      <c r="I3" s="530"/>
      <c r="J3" s="530"/>
      <c r="K3" s="530"/>
      <c r="L3" s="531"/>
    </row>
    <row r="4" spans="1:13">
      <c r="A4" s="310" t="s">
        <v>212</v>
      </c>
      <c r="B4" s="310" t="s">
        <v>213</v>
      </c>
      <c r="F4" s="369"/>
      <c r="G4" s="476"/>
      <c r="H4" s="532" t="s">
        <v>628</v>
      </c>
      <c r="I4" s="533"/>
      <c r="J4" s="533"/>
      <c r="K4" s="533"/>
      <c r="L4" s="534"/>
    </row>
    <row r="5" spans="1:13" s="101" customFormat="1">
      <c r="A5" s="310" t="s">
        <v>214</v>
      </c>
      <c r="B5" s="310" t="s">
        <v>215</v>
      </c>
      <c r="C5" s="310"/>
      <c r="D5" s="310"/>
      <c r="E5" s="310"/>
      <c r="F5" s="370"/>
      <c r="G5" s="1"/>
      <c r="H5" s="541" t="s">
        <v>688</v>
      </c>
      <c r="I5" s="542"/>
      <c r="J5" s="542"/>
      <c r="K5" s="542"/>
      <c r="L5" s="543"/>
    </row>
    <row r="6" spans="1:13">
      <c r="A6" s="310" t="s">
        <v>216</v>
      </c>
      <c r="B6" s="310" t="s">
        <v>217</v>
      </c>
      <c r="F6" s="367" t="s">
        <v>638</v>
      </c>
      <c r="G6" s="368"/>
      <c r="H6" s="535" t="s">
        <v>639</v>
      </c>
      <c r="I6" s="536"/>
      <c r="J6" s="536"/>
      <c r="K6" s="536"/>
      <c r="L6" s="537"/>
    </row>
    <row r="7" spans="1:13">
      <c r="A7" s="310" t="s">
        <v>218</v>
      </c>
      <c r="B7" s="310" t="s">
        <v>219</v>
      </c>
      <c r="F7" s="369"/>
      <c r="G7" s="1"/>
      <c r="H7" s="538" t="s">
        <v>640</v>
      </c>
      <c r="I7" s="539"/>
      <c r="J7" s="539"/>
      <c r="K7" s="539"/>
      <c r="L7" s="540"/>
    </row>
    <row r="8" spans="1:13">
      <c r="A8" s="310" t="s">
        <v>220</v>
      </c>
      <c r="B8" s="310" t="s">
        <v>221</v>
      </c>
      <c r="F8" s="372"/>
      <c r="G8" s="1"/>
      <c r="H8" s="514" t="s">
        <v>641</v>
      </c>
      <c r="I8" s="515"/>
      <c r="J8" s="515"/>
      <c r="K8" s="515"/>
      <c r="L8" s="516"/>
    </row>
    <row r="9" spans="1:13">
      <c r="A9" s="310" t="s">
        <v>222</v>
      </c>
      <c r="B9" s="310" t="s">
        <v>223</v>
      </c>
      <c r="F9" s="372"/>
      <c r="G9" s="1"/>
      <c r="H9" s="517" t="s">
        <v>643</v>
      </c>
      <c r="I9" s="518"/>
      <c r="J9" s="518"/>
      <c r="K9" s="518"/>
      <c r="L9" s="519"/>
    </row>
    <row r="10" spans="1:13">
      <c r="A10" s="310" t="s">
        <v>224</v>
      </c>
      <c r="B10" s="310" t="s">
        <v>225</v>
      </c>
      <c r="F10" s="373"/>
      <c r="G10" s="371"/>
      <c r="H10" s="520" t="s">
        <v>642</v>
      </c>
      <c r="I10" s="521"/>
      <c r="J10" s="521"/>
      <c r="K10" s="521"/>
      <c r="L10" s="522"/>
    </row>
    <row r="11" spans="1:13">
      <c r="A11" s="310" t="s">
        <v>226</v>
      </c>
      <c r="B11" s="310" t="s">
        <v>227</v>
      </c>
    </row>
    <row r="12" spans="1:13">
      <c r="A12" s="310" t="s">
        <v>362</v>
      </c>
      <c r="B12" s="310" t="s">
        <v>363</v>
      </c>
      <c r="F12" s="38" t="s">
        <v>666</v>
      </c>
    </row>
    <row r="13" spans="1:13">
      <c r="A13" s="310" t="s">
        <v>553</v>
      </c>
      <c r="B13" s="310" t="s">
        <v>552</v>
      </c>
      <c r="F13" s="513" t="s">
        <v>696</v>
      </c>
      <c r="G13" s="513"/>
      <c r="H13" s="513"/>
      <c r="I13" s="513"/>
      <c r="J13" s="513"/>
      <c r="K13" s="513"/>
      <c r="L13" s="513"/>
      <c r="M13" s="513"/>
    </row>
    <row r="14" spans="1:13">
      <c r="G14" s="101" t="s">
        <v>697</v>
      </c>
    </row>
    <row r="15" spans="1:13">
      <c r="G15" s="5" t="s">
        <v>698</v>
      </c>
    </row>
    <row r="16" spans="1:13">
      <c r="G16" s="5" t="s">
        <v>699</v>
      </c>
    </row>
    <row r="17" spans="1:13">
      <c r="A17" s="310" t="s">
        <v>228</v>
      </c>
      <c r="F17" s="101"/>
      <c r="G17" s="5" t="s">
        <v>700</v>
      </c>
    </row>
    <row r="18" spans="1:13">
      <c r="F18" s="512" t="s">
        <v>702</v>
      </c>
      <c r="G18" s="512"/>
      <c r="H18" s="512"/>
      <c r="I18" s="512"/>
      <c r="J18" s="512"/>
      <c r="K18" s="512"/>
      <c r="L18" s="512"/>
      <c r="M18" s="512"/>
    </row>
    <row r="19" spans="1:13">
      <c r="A19" s="310" t="s">
        <v>229</v>
      </c>
      <c r="B19" s="309" t="s">
        <v>206</v>
      </c>
      <c r="C19" s="309" t="s">
        <v>230</v>
      </c>
      <c r="D19" s="309" t="s">
        <v>203</v>
      </c>
      <c r="F19" s="512"/>
      <c r="G19" s="512" t="s">
        <v>706</v>
      </c>
      <c r="H19" s="512"/>
      <c r="I19" s="512"/>
      <c r="J19" s="512"/>
      <c r="K19" s="512"/>
      <c r="L19" s="512"/>
      <c r="M19" s="512"/>
    </row>
    <row r="20" spans="1:13">
      <c r="A20" s="310" t="str">
        <f>CONCATENATE(B20,"_",C20)</f>
        <v>CM_P4V</v>
      </c>
      <c r="B20" s="310" t="s">
        <v>210</v>
      </c>
      <c r="C20" s="310" t="s">
        <v>231</v>
      </c>
      <c r="D20" s="311" t="s">
        <v>232</v>
      </c>
      <c r="F20" s="512" t="s">
        <v>703</v>
      </c>
      <c r="G20" s="512"/>
      <c r="H20" s="512"/>
      <c r="I20" s="512"/>
      <c r="J20" s="512"/>
      <c r="K20" s="512"/>
      <c r="L20" s="512"/>
      <c r="M20" s="512"/>
    </row>
    <row r="21" spans="1:13">
      <c r="A21" s="310" t="str">
        <f t="shared" ref="A21:A29" si="0">CONCATENATE(B21,"_",C21)</f>
        <v>CM_P11</v>
      </c>
      <c r="B21" s="310" t="s">
        <v>210</v>
      </c>
      <c r="C21" s="310" t="s">
        <v>233</v>
      </c>
      <c r="D21" s="311" t="s">
        <v>234</v>
      </c>
      <c r="F21" s="512"/>
      <c r="G21" s="512" t="s">
        <v>707</v>
      </c>
      <c r="H21" s="512"/>
      <c r="I21" s="512"/>
      <c r="J21" s="512"/>
      <c r="K21" s="512"/>
      <c r="L21" s="512"/>
      <c r="M21" s="512"/>
    </row>
    <row r="22" spans="1:13">
      <c r="A22" s="310" t="str">
        <f t="shared" si="0"/>
        <v>LT_P01</v>
      </c>
      <c r="B22" s="310" t="s">
        <v>220</v>
      </c>
      <c r="C22" s="310" t="s">
        <v>235</v>
      </c>
      <c r="D22" s="311" t="s">
        <v>236</v>
      </c>
      <c r="F22" s="512" t="s">
        <v>704</v>
      </c>
      <c r="G22" s="512"/>
      <c r="H22" s="512"/>
      <c r="I22" s="512"/>
      <c r="J22" s="512"/>
      <c r="K22" s="512"/>
      <c r="L22" s="512"/>
      <c r="M22" s="512"/>
    </row>
    <row r="23" spans="1:13">
      <c r="A23" s="310" t="str">
        <f t="shared" si="0"/>
        <v>LT_P02</v>
      </c>
      <c r="B23" s="310" t="s">
        <v>220</v>
      </c>
      <c r="C23" s="310" t="s">
        <v>237</v>
      </c>
      <c r="D23" s="311" t="s">
        <v>238</v>
      </c>
      <c r="F23" s="512"/>
      <c r="G23" s="512" t="s">
        <v>708</v>
      </c>
      <c r="H23" s="512"/>
      <c r="I23" s="512"/>
      <c r="J23" s="512"/>
      <c r="K23" s="512"/>
      <c r="L23" s="512"/>
      <c r="M23" s="512"/>
    </row>
    <row r="24" spans="1:13">
      <c r="A24" s="310" t="str">
        <f t="shared" si="0"/>
        <v>LT_P03</v>
      </c>
      <c r="B24" s="310" t="s">
        <v>220</v>
      </c>
      <c r="C24" s="310" t="s">
        <v>239</v>
      </c>
      <c r="D24" s="311" t="s">
        <v>240</v>
      </c>
      <c r="F24" s="512" t="s">
        <v>705</v>
      </c>
      <c r="G24" s="512"/>
      <c r="H24" s="512"/>
      <c r="I24" s="512"/>
      <c r="J24" s="512"/>
      <c r="K24" s="512"/>
      <c r="L24" s="512"/>
      <c r="M24" s="512"/>
    </row>
    <row r="25" spans="1:13">
      <c r="A25" s="310" t="str">
        <f t="shared" si="0"/>
        <v>LT_P04</v>
      </c>
      <c r="B25" s="310" t="s">
        <v>220</v>
      </c>
      <c r="C25" s="310" t="s">
        <v>241</v>
      </c>
      <c r="D25" s="311" t="s">
        <v>242</v>
      </c>
      <c r="F25" s="512"/>
      <c r="G25" s="512" t="s">
        <v>709</v>
      </c>
      <c r="H25" s="512"/>
      <c r="I25" s="512"/>
      <c r="J25" s="512"/>
      <c r="K25" s="512"/>
      <c r="L25" s="512"/>
      <c r="M25" s="512"/>
    </row>
    <row r="26" spans="1:13">
      <c r="A26" s="310" t="str">
        <f t="shared" si="0"/>
        <v>LT_P05</v>
      </c>
      <c r="B26" s="310" t="s">
        <v>220</v>
      </c>
      <c r="C26" s="310" t="s">
        <v>243</v>
      </c>
      <c r="D26" s="311" t="s">
        <v>244</v>
      </c>
      <c r="F26" s="512"/>
      <c r="G26" s="512"/>
      <c r="H26" s="512"/>
      <c r="I26" s="512"/>
      <c r="J26" s="512"/>
      <c r="K26" s="512"/>
      <c r="L26" s="512"/>
      <c r="M26" s="512"/>
    </row>
    <row r="27" spans="1:13">
      <c r="A27" s="310" t="str">
        <f t="shared" si="0"/>
        <v>OR_Vill</v>
      </c>
      <c r="B27" s="310" t="s">
        <v>224</v>
      </c>
      <c r="C27" s="310" t="s">
        <v>245</v>
      </c>
      <c r="D27" s="311" t="s">
        <v>246</v>
      </c>
      <c r="F27" s="512"/>
      <c r="G27" s="512"/>
      <c r="H27" s="512"/>
      <c r="I27" s="512"/>
      <c r="J27" s="512"/>
      <c r="K27" s="512"/>
      <c r="L27" s="512"/>
      <c r="M27" s="512"/>
    </row>
    <row r="28" spans="1:13">
      <c r="A28" s="310" t="str">
        <f t="shared" si="0"/>
        <v>OR_CHz</v>
      </c>
      <c r="B28" s="310" t="s">
        <v>224</v>
      </c>
      <c r="C28" s="310" t="s">
        <v>247</v>
      </c>
      <c r="D28" s="311" t="s">
        <v>248</v>
      </c>
      <c r="F28" s="512"/>
      <c r="G28" s="512"/>
      <c r="H28" s="512"/>
      <c r="I28" s="512"/>
      <c r="J28" s="512"/>
      <c r="K28" s="512"/>
      <c r="L28" s="512"/>
      <c r="M28" s="512"/>
    </row>
    <row r="29" spans="1:13">
      <c r="A29" s="310" t="str">
        <f t="shared" si="0"/>
        <v>DL_Qui</v>
      </c>
      <c r="B29" s="310" t="s">
        <v>212</v>
      </c>
      <c r="C29" s="310" t="s">
        <v>249</v>
      </c>
      <c r="D29" s="311" t="s">
        <v>250</v>
      </c>
      <c r="F29" s="512"/>
      <c r="G29" s="512"/>
      <c r="H29" s="512"/>
      <c r="I29" s="512"/>
      <c r="J29" s="512"/>
      <c r="K29" s="512"/>
      <c r="L29" s="512"/>
      <c r="M29" s="512"/>
    </row>
    <row r="30" spans="1:13">
      <c r="A30" s="310" t="s">
        <v>364</v>
      </c>
      <c r="B30" s="310" t="s">
        <v>362</v>
      </c>
      <c r="C30" s="310" t="s">
        <v>243</v>
      </c>
      <c r="D30" s="311" t="s">
        <v>365</v>
      </c>
      <c r="F30" s="512"/>
      <c r="G30" s="512"/>
      <c r="H30" s="512"/>
      <c r="I30" s="512"/>
      <c r="J30" s="512"/>
      <c r="K30" s="512"/>
      <c r="L30" s="512"/>
      <c r="M30" s="512"/>
    </row>
    <row r="31" spans="1:13">
      <c r="A31" s="310" t="s">
        <v>557</v>
      </c>
      <c r="B31" s="310" t="s">
        <v>553</v>
      </c>
      <c r="C31" s="310" t="s">
        <v>554</v>
      </c>
      <c r="D31" s="311" t="s">
        <v>529</v>
      </c>
      <c r="F31" s="512"/>
      <c r="G31" s="512"/>
      <c r="H31" s="512"/>
      <c r="I31" s="512"/>
      <c r="J31" s="512"/>
      <c r="K31" s="512"/>
      <c r="L31" s="512"/>
      <c r="M31" s="512"/>
    </row>
    <row r="32" spans="1:13">
      <c r="A32" s="310" t="s">
        <v>558</v>
      </c>
      <c r="B32" s="310" t="s">
        <v>553</v>
      </c>
      <c r="C32" s="310" t="s">
        <v>555</v>
      </c>
      <c r="D32" s="311" t="s">
        <v>556</v>
      </c>
      <c r="F32" s="512"/>
      <c r="G32" s="512"/>
      <c r="H32" s="512"/>
      <c r="I32" s="512"/>
      <c r="J32" s="512"/>
      <c r="K32" s="512"/>
      <c r="L32" s="512"/>
      <c r="M32" s="512"/>
    </row>
    <row r="33" spans="1:13">
      <c r="D33" s="311"/>
      <c r="F33" s="512"/>
      <c r="G33" s="512"/>
      <c r="H33" s="512"/>
      <c r="I33" s="512"/>
      <c r="J33" s="512"/>
      <c r="K33" s="512"/>
      <c r="L33" s="512"/>
      <c r="M33" s="512"/>
    </row>
    <row r="34" spans="1:13">
      <c r="D34" s="311"/>
      <c r="F34" s="512"/>
      <c r="G34" s="512"/>
      <c r="H34" s="512"/>
      <c r="I34" s="512"/>
      <c r="J34" s="512"/>
      <c r="K34" s="512"/>
      <c r="L34" s="512"/>
      <c r="M34" s="512"/>
    </row>
    <row r="35" spans="1:13">
      <c r="D35" s="311"/>
      <c r="F35" s="512"/>
      <c r="G35" s="512"/>
      <c r="H35" s="512"/>
      <c r="I35" s="512"/>
      <c r="J35" s="512"/>
      <c r="K35" s="512"/>
      <c r="L35" s="512"/>
      <c r="M35" s="512"/>
    </row>
    <row r="36" spans="1:13">
      <c r="A36" s="310" t="s">
        <v>228</v>
      </c>
      <c r="D36" s="311"/>
      <c r="F36" s="512"/>
      <c r="G36" s="512"/>
      <c r="H36" s="512"/>
      <c r="I36" s="512"/>
      <c r="J36" s="512"/>
      <c r="K36" s="512"/>
      <c r="L36" s="512"/>
      <c r="M36" s="512"/>
    </row>
    <row r="37" spans="1:13">
      <c r="F37" s="512"/>
      <c r="G37" s="512"/>
      <c r="H37" s="512"/>
      <c r="I37" s="512"/>
      <c r="J37" s="512"/>
      <c r="K37" s="512"/>
      <c r="L37" s="512"/>
      <c r="M37" s="512"/>
    </row>
    <row r="38" spans="1:13">
      <c r="A38" s="309" t="s">
        <v>205</v>
      </c>
    </row>
    <row r="39" spans="1:13">
      <c r="A39" s="312">
        <v>2015</v>
      </c>
      <c r="B39" s="310" t="s">
        <v>251</v>
      </c>
    </row>
    <row r="40" spans="1:13">
      <c r="A40" s="312">
        <v>2016</v>
      </c>
      <c r="B40" s="310" t="s">
        <v>251</v>
      </c>
      <c r="F40" s="310"/>
      <c r="G40" s="310"/>
      <c r="H40" s="310"/>
      <c r="I40" s="310"/>
      <c r="J40" s="310"/>
      <c r="K40" s="310"/>
      <c r="L40" s="310"/>
    </row>
    <row r="41" spans="1:13">
      <c r="A41" s="312">
        <v>2017</v>
      </c>
      <c r="B41" s="310" t="s">
        <v>251</v>
      </c>
      <c r="F41" s="310"/>
      <c r="G41" s="310"/>
      <c r="H41" s="310"/>
      <c r="I41" s="310"/>
      <c r="J41" s="310"/>
      <c r="K41" s="310"/>
      <c r="L41" s="310"/>
    </row>
    <row r="42" spans="1:13">
      <c r="A42" s="309" t="s">
        <v>252</v>
      </c>
      <c r="E42" s="310" t="s">
        <v>52</v>
      </c>
      <c r="F42" s="310" t="s">
        <v>54</v>
      </c>
      <c r="G42" s="310" t="s">
        <v>56</v>
      </c>
      <c r="H42" s="310" t="s">
        <v>155</v>
      </c>
      <c r="I42" s="310" t="s">
        <v>154</v>
      </c>
      <c r="J42" s="310" t="s">
        <v>156</v>
      </c>
      <c r="K42" s="310" t="s">
        <v>157</v>
      </c>
      <c r="L42" s="310"/>
    </row>
    <row r="43" spans="1:13">
      <c r="A43" s="310" t="s">
        <v>253</v>
      </c>
      <c r="B43" s="313" t="s">
        <v>254</v>
      </c>
      <c r="C43" s="314"/>
      <c r="D43" s="314"/>
      <c r="E43" s="314"/>
      <c r="F43" s="314"/>
      <c r="G43" s="314"/>
      <c r="H43" s="314"/>
      <c r="I43" s="314"/>
      <c r="J43" s="314"/>
      <c r="K43" s="323"/>
      <c r="L43" s="310"/>
    </row>
    <row r="44" spans="1:13">
      <c r="A44" s="310" t="s">
        <v>255</v>
      </c>
      <c r="B44" s="315" t="s">
        <v>256</v>
      </c>
      <c r="C44" s="316"/>
      <c r="D44" s="316"/>
      <c r="E44" s="316"/>
      <c r="F44" s="316"/>
      <c r="G44" s="316"/>
      <c r="H44" s="316"/>
      <c r="I44" s="316"/>
      <c r="J44" s="316"/>
      <c r="K44" s="324"/>
      <c r="L44" s="310"/>
    </row>
    <row r="45" spans="1:13">
      <c r="A45" s="310" t="s">
        <v>257</v>
      </c>
      <c r="B45" s="315" t="s">
        <v>258</v>
      </c>
      <c r="C45" s="316"/>
      <c r="D45" s="316"/>
      <c r="E45" s="316"/>
      <c r="F45" s="316"/>
      <c r="G45" s="316"/>
      <c r="H45" s="316"/>
      <c r="I45" s="316"/>
      <c r="J45" s="316"/>
      <c r="K45" s="324"/>
      <c r="L45" s="310"/>
    </row>
    <row r="46" spans="1:13">
      <c r="A46" s="310" t="s">
        <v>259</v>
      </c>
      <c r="B46" s="315" t="s">
        <v>53</v>
      </c>
      <c r="C46" s="316"/>
      <c r="D46" s="316"/>
      <c r="E46" s="316" t="s">
        <v>53</v>
      </c>
      <c r="F46" s="325">
        <v>30</v>
      </c>
      <c r="G46" s="325">
        <v>140</v>
      </c>
      <c r="H46" s="325">
        <v>1450</v>
      </c>
      <c r="I46" s="325"/>
      <c r="J46" s="325">
        <f>H46-G46</f>
        <v>1310</v>
      </c>
      <c r="K46" s="326">
        <f>I46-G46</f>
        <v>-140</v>
      </c>
      <c r="L46" s="310"/>
    </row>
    <row r="47" spans="1:13">
      <c r="A47" s="310" t="s">
        <v>260</v>
      </c>
      <c r="B47" s="315" t="s">
        <v>261</v>
      </c>
      <c r="C47" s="316"/>
      <c r="D47" s="316"/>
      <c r="E47" s="316"/>
      <c r="F47" s="325"/>
      <c r="G47" s="325"/>
      <c r="H47" s="325"/>
      <c r="I47" s="325"/>
      <c r="J47" s="325"/>
      <c r="K47" s="326"/>
      <c r="L47" s="310"/>
    </row>
    <row r="48" spans="1:13">
      <c r="A48" s="310" t="s">
        <v>262</v>
      </c>
      <c r="B48" s="315" t="s">
        <v>136</v>
      </c>
      <c r="C48" s="316"/>
      <c r="D48" s="316"/>
      <c r="E48" s="316" t="s">
        <v>136</v>
      </c>
      <c r="F48" s="325">
        <v>27</v>
      </c>
      <c r="G48" s="325">
        <v>175</v>
      </c>
      <c r="H48" s="325">
        <f>1500+175+200</f>
        <v>1875</v>
      </c>
      <c r="I48" s="325">
        <v>3050</v>
      </c>
      <c r="J48" s="325">
        <f>H48-G48</f>
        <v>1700</v>
      </c>
      <c r="K48" s="326">
        <f>I48-G48</f>
        <v>2875</v>
      </c>
      <c r="L48" s="310"/>
    </row>
    <row r="49" spans="1:12">
      <c r="A49" s="310" t="s">
        <v>263</v>
      </c>
      <c r="B49" s="315" t="s">
        <v>264</v>
      </c>
      <c r="C49" s="316"/>
      <c r="D49" s="316"/>
      <c r="E49" s="316" t="s">
        <v>191</v>
      </c>
      <c r="F49" s="325">
        <v>33</v>
      </c>
      <c r="G49" s="325">
        <v>70</v>
      </c>
      <c r="H49" s="325">
        <v>1400</v>
      </c>
      <c r="I49" s="325"/>
      <c r="J49" s="325">
        <f>H49-G49</f>
        <v>1330</v>
      </c>
      <c r="K49" s="326">
        <f>I49-G49</f>
        <v>-70</v>
      </c>
      <c r="L49" s="310"/>
    </row>
    <row r="50" spans="1:12">
      <c r="A50" s="310" t="s">
        <v>265</v>
      </c>
      <c r="B50" s="317" t="s">
        <v>266</v>
      </c>
      <c r="C50" s="318"/>
      <c r="D50" s="318"/>
      <c r="E50" s="318"/>
      <c r="F50" s="318"/>
      <c r="G50" s="318"/>
      <c r="H50" s="318"/>
      <c r="I50" s="318"/>
      <c r="J50" s="318"/>
      <c r="K50" s="327"/>
      <c r="L50" s="310"/>
    </row>
    <row r="51" spans="1:12">
      <c r="F51" s="310"/>
      <c r="G51" s="310"/>
      <c r="H51" s="310"/>
      <c r="I51" s="310"/>
      <c r="J51" s="310"/>
      <c r="K51" s="310"/>
      <c r="L51" s="310"/>
    </row>
    <row r="52" spans="1:12">
      <c r="A52" s="309" t="s">
        <v>267</v>
      </c>
    </row>
    <row r="53" spans="1:12">
      <c r="A53" s="310" t="s">
        <v>268</v>
      </c>
      <c r="B53" s="310" t="s">
        <v>269</v>
      </c>
    </row>
    <row r="54" spans="1:12">
      <c r="A54" s="310" t="s">
        <v>270</v>
      </c>
      <c r="B54" s="310" t="s">
        <v>271</v>
      </c>
    </row>
    <row r="55" spans="1:12">
      <c r="A55" s="310" t="s">
        <v>272</v>
      </c>
      <c r="B55" s="310" t="s">
        <v>273</v>
      </c>
    </row>
    <row r="56" spans="1:12"/>
    <row r="57" spans="1:12">
      <c r="A57" s="309" t="s">
        <v>274</v>
      </c>
    </row>
    <row r="58" spans="1:12">
      <c r="A58" s="310" t="s">
        <v>275</v>
      </c>
      <c r="B58" s="310" t="s">
        <v>276</v>
      </c>
    </row>
    <row r="59" spans="1:12">
      <c r="A59" s="310" t="s">
        <v>277</v>
      </c>
      <c r="B59" s="310" t="s">
        <v>278</v>
      </c>
    </row>
    <row r="60" spans="1:12">
      <c r="A60" s="310" t="s">
        <v>279</v>
      </c>
      <c r="B60" s="310" t="s">
        <v>280</v>
      </c>
    </row>
    <row r="61" spans="1:12"/>
    <row r="62" spans="1:12">
      <c r="A62" s="309" t="s">
        <v>281</v>
      </c>
    </row>
    <row r="63" spans="1:12">
      <c r="A63" s="310" t="s">
        <v>282</v>
      </c>
      <c r="B63" s="310" t="s">
        <v>283</v>
      </c>
    </row>
    <row r="64" spans="1:12">
      <c r="A64" s="310" t="s">
        <v>284</v>
      </c>
      <c r="B64" s="310" t="s">
        <v>200</v>
      </c>
    </row>
    <row r="65" spans="1:10">
      <c r="A65" s="310" t="s">
        <v>285</v>
      </c>
      <c r="B65" s="310" t="s">
        <v>201</v>
      </c>
    </row>
    <row r="66" spans="1:10">
      <c r="A66" s="310" t="s">
        <v>286</v>
      </c>
      <c r="B66" s="310" t="s">
        <v>202</v>
      </c>
      <c r="C66" s="319"/>
      <c r="D66" s="319"/>
      <c r="E66" s="320"/>
      <c r="F66" s="36"/>
      <c r="G66" s="37"/>
      <c r="H66" s="37"/>
      <c r="I66" s="37"/>
    </row>
    <row r="67" spans="1:10">
      <c r="A67" s="310" t="s">
        <v>287</v>
      </c>
      <c r="B67" s="310" t="s">
        <v>288</v>
      </c>
      <c r="C67" s="321"/>
      <c r="D67" s="321"/>
      <c r="E67" s="321"/>
      <c r="F67" s="4"/>
      <c r="G67" s="4"/>
      <c r="H67" s="4"/>
      <c r="I67" s="4"/>
      <c r="J67" s="4"/>
    </row>
    <row r="68" spans="1:10">
      <c r="A68" s="310" t="s">
        <v>289</v>
      </c>
      <c r="B68" s="310" t="s">
        <v>290</v>
      </c>
    </row>
    <row r="69" spans="1:10">
      <c r="A69" s="310" t="s">
        <v>291</v>
      </c>
      <c r="B69" s="310" t="s">
        <v>292</v>
      </c>
    </row>
    <row r="70" spans="1:10">
      <c r="A70" s="310" t="s">
        <v>293</v>
      </c>
      <c r="B70" s="310" t="s">
        <v>294</v>
      </c>
    </row>
    <row r="71" spans="1:10">
      <c r="A71" s="310" t="s">
        <v>295</v>
      </c>
      <c r="B71" s="310" t="s">
        <v>296</v>
      </c>
    </row>
    <row r="72" spans="1:10"/>
    <row r="73" spans="1:10">
      <c r="A73" s="309" t="s">
        <v>297</v>
      </c>
    </row>
    <row r="74" spans="1:10">
      <c r="A74" s="312">
        <v>1</v>
      </c>
      <c r="B74" s="310" t="s">
        <v>298</v>
      </c>
    </row>
    <row r="75" spans="1:10">
      <c r="A75" s="312">
        <v>2</v>
      </c>
      <c r="B75" s="310" t="s">
        <v>299</v>
      </c>
    </row>
    <row r="76" spans="1:10">
      <c r="A76" s="322"/>
    </row>
    <row r="77" spans="1:10"/>
    <row r="78" spans="1:10">
      <c r="A78" s="310" t="s">
        <v>559</v>
      </c>
    </row>
    <row r="79" spans="1:10">
      <c r="A79" s="310" t="s">
        <v>439</v>
      </c>
      <c r="B79" s="312">
        <v>1</v>
      </c>
    </row>
    <row r="80" spans="1:10">
      <c r="A80" s="310" t="s">
        <v>132</v>
      </c>
      <c r="B80" s="312">
        <v>0</v>
      </c>
    </row>
    <row r="81" spans="1:2"/>
    <row r="82" spans="1:2">
      <c r="A82" s="310" t="s">
        <v>578</v>
      </c>
    </row>
    <row r="83" spans="1:2">
      <c r="A83" s="310" t="s">
        <v>579</v>
      </c>
      <c r="B83" s="312">
        <v>1</v>
      </c>
    </row>
    <row r="84" spans="1:2">
      <c r="A84" s="310" t="s">
        <v>132</v>
      </c>
      <c r="B84" s="312">
        <v>0</v>
      </c>
    </row>
    <row r="85" spans="1:2"/>
  </sheetData>
  <mergeCells count="11">
    <mergeCell ref="F13:M13"/>
    <mergeCell ref="H8:L8"/>
    <mergeCell ref="H9:L9"/>
    <mergeCell ref="H10:L10"/>
    <mergeCell ref="H1:L1"/>
    <mergeCell ref="H2:L2"/>
    <mergeCell ref="H3:L3"/>
    <mergeCell ref="H4:L4"/>
    <mergeCell ref="H6:L6"/>
    <mergeCell ref="H7:L7"/>
    <mergeCell ref="H5:L5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1">
    <tabColor theme="5" tint="0.59999389629810485"/>
    <pageSetUpPr fitToPage="1"/>
  </sheetPr>
  <dimension ref="A1:BB154"/>
  <sheetViews>
    <sheetView showGridLines="0" workbookViewId="0">
      <selection activeCell="W13" sqref="W13"/>
    </sheetView>
  </sheetViews>
  <sheetFormatPr baseColWidth="10" defaultColWidth="0" defaultRowHeight="15" zeroHeight="1"/>
  <cols>
    <col min="1" max="1" width="5.7109375" style="116" customWidth="1"/>
    <col min="2" max="2" width="19.5703125" style="116" customWidth="1"/>
    <col min="3" max="3" width="15.28515625" style="116" customWidth="1"/>
    <col min="4" max="4" width="9.28515625" style="116" customWidth="1"/>
    <col min="5" max="5" width="13.28515625" style="116" customWidth="1"/>
    <col min="6" max="6" width="8.7109375" style="116" customWidth="1"/>
    <col min="7" max="7" width="7.7109375" style="116" customWidth="1"/>
    <col min="8" max="8" width="8.140625" style="116" customWidth="1"/>
    <col min="9" max="10" width="12.140625" style="116" customWidth="1"/>
    <col min="11" max="11" width="11.7109375" style="116" customWidth="1"/>
    <col min="12" max="12" width="12" style="116" bestFit="1" customWidth="1"/>
    <col min="13" max="13" width="11.5703125" style="116" bestFit="1" customWidth="1"/>
    <col min="14" max="14" width="10.7109375" style="116" bestFit="1" customWidth="1"/>
    <col min="15" max="15" width="9.85546875" style="116" customWidth="1"/>
    <col min="16" max="16" width="8.7109375" style="116" customWidth="1"/>
    <col min="17" max="17" width="7.28515625" style="116" customWidth="1"/>
    <col min="18" max="18" width="11.85546875" style="116" customWidth="1"/>
    <col min="19" max="19" width="7.85546875" style="116" customWidth="1"/>
    <col min="20" max="20" width="2" style="116" customWidth="1"/>
    <col min="21" max="21" width="2.5703125" style="116" customWidth="1"/>
    <col min="22" max="22" width="9" style="116" customWidth="1"/>
    <col min="23" max="23" width="14.85546875" style="116" customWidth="1"/>
    <col min="24" max="24" width="8.42578125" style="116" customWidth="1"/>
    <col min="25" max="25" width="6.7109375" style="116" customWidth="1"/>
    <col min="26" max="26" width="10" style="116" customWidth="1"/>
    <col min="27" max="27" width="7.85546875" style="116" customWidth="1"/>
    <col min="28" max="28" width="8.7109375" style="116" customWidth="1"/>
    <col min="29" max="29" width="7.7109375" style="116" customWidth="1"/>
    <col min="30" max="30" width="6.7109375" style="116" customWidth="1"/>
    <col min="31" max="37" width="6.7109375" style="116" hidden="1" customWidth="1"/>
    <col min="38" max="38" width="8.7109375" style="116" hidden="1" customWidth="1"/>
    <col min="39" max="47" width="6.7109375" style="116" hidden="1" customWidth="1"/>
    <col min="48" max="48" width="8.7109375" style="116" hidden="1" customWidth="1"/>
    <col min="49" max="54" width="6.7109375" style="116" hidden="1" customWidth="1"/>
    <col min="55" max="16384" width="11.42578125" style="116" hidden="1"/>
  </cols>
  <sheetData>
    <row r="1" spans="1:32">
      <c r="A1" s="385"/>
      <c r="B1" s="436" t="s">
        <v>205</v>
      </c>
      <c r="C1" s="331">
        <f>YEAR(I8)</f>
        <v>2015</v>
      </c>
      <c r="D1" s="392"/>
      <c r="E1" s="434" t="s">
        <v>204</v>
      </c>
      <c r="F1" s="331" t="s">
        <v>220</v>
      </c>
      <c r="G1" s="392"/>
      <c r="H1" s="434" t="s">
        <v>300</v>
      </c>
      <c r="I1" s="331" t="s">
        <v>263</v>
      </c>
      <c r="J1" s="392"/>
      <c r="K1" s="434" t="s">
        <v>267</v>
      </c>
      <c r="L1" s="331" t="s">
        <v>270</v>
      </c>
      <c r="M1" s="392" t="s">
        <v>620</v>
      </c>
      <c r="N1" s="392"/>
      <c r="O1" s="392"/>
      <c r="P1" s="457"/>
      <c r="Q1" s="392"/>
      <c r="R1" s="392"/>
      <c r="S1" s="415"/>
      <c r="T1" s="392"/>
      <c r="U1" s="392"/>
      <c r="V1" s="392"/>
      <c r="W1" s="392"/>
      <c r="X1" s="392"/>
      <c r="Y1" s="392"/>
      <c r="Z1" s="392"/>
      <c r="AA1" s="392"/>
      <c r="AB1" s="392"/>
      <c r="AC1" s="393"/>
      <c r="AD1" s="386"/>
      <c r="AE1" s="328"/>
    </row>
    <row r="2" spans="1:32">
      <c r="A2" s="385"/>
      <c r="B2" s="437" t="s">
        <v>622</v>
      </c>
      <c r="C2" s="333" t="str">
        <f>CONCATENATE(F1," ",C1)</f>
        <v>LT 2015</v>
      </c>
      <c r="D2" s="395"/>
      <c r="E2" s="435" t="s">
        <v>203</v>
      </c>
      <c r="F2" s="250" t="s">
        <v>237</v>
      </c>
      <c r="G2" s="395"/>
      <c r="H2" s="435" t="s">
        <v>58</v>
      </c>
      <c r="I2" s="120" t="s">
        <v>264</v>
      </c>
      <c r="J2" s="395"/>
      <c r="K2" s="435" t="s">
        <v>274</v>
      </c>
      <c r="L2" s="250" t="s">
        <v>277</v>
      </c>
      <c r="M2" s="395" t="s">
        <v>621</v>
      </c>
      <c r="N2" s="395"/>
      <c r="O2" s="395"/>
      <c r="P2" s="457"/>
      <c r="Q2" s="395"/>
      <c r="R2" s="395"/>
      <c r="S2" s="395"/>
      <c r="T2" s="395"/>
      <c r="U2" s="395"/>
      <c r="V2" s="395"/>
      <c r="W2" s="395"/>
      <c r="X2" s="395"/>
      <c r="Y2" s="395"/>
      <c r="Z2" s="395"/>
      <c r="AA2" s="395"/>
      <c r="AB2" s="395"/>
      <c r="AC2" s="396"/>
      <c r="AD2" s="387"/>
      <c r="AE2" s="123"/>
    </row>
    <row r="3" spans="1:32">
      <c r="A3" s="385"/>
      <c r="B3" s="437" t="s">
        <v>623</v>
      </c>
      <c r="C3" s="333" t="str">
        <f>CONCATENATE(C2," ",I1)</f>
        <v>LT 2015 TrB</v>
      </c>
      <c r="D3" s="395"/>
      <c r="E3" s="414"/>
      <c r="F3" s="395"/>
      <c r="G3" s="395"/>
      <c r="H3" s="395"/>
      <c r="I3" s="395"/>
      <c r="J3" s="395"/>
      <c r="K3" s="395"/>
      <c r="L3" s="395"/>
      <c r="M3" s="395"/>
      <c r="N3" s="395"/>
      <c r="O3" s="395"/>
      <c r="P3" s="395"/>
      <c r="Q3" s="395"/>
      <c r="R3" s="395"/>
      <c r="S3" s="395"/>
      <c r="T3" s="395"/>
      <c r="U3" s="395"/>
      <c r="V3" s="395"/>
      <c r="W3" s="395"/>
      <c r="X3" s="395"/>
      <c r="Y3" s="395"/>
      <c r="Z3" s="395"/>
      <c r="AA3" s="395"/>
      <c r="AB3" s="395"/>
      <c r="AC3" s="396"/>
      <c r="AD3" s="387"/>
      <c r="AE3" s="123"/>
      <c r="AF3" s="123"/>
    </row>
    <row r="4" spans="1:32" ht="15.75" thickBot="1">
      <c r="A4" s="385"/>
      <c r="B4" s="438" t="s">
        <v>624</v>
      </c>
      <c r="C4" s="334" t="str">
        <f>CONCATENATE(C3," ",L2," ",L1)</f>
        <v>LT 2015 TrB F1 Z1</v>
      </c>
      <c r="D4" s="399"/>
      <c r="E4" s="399"/>
      <c r="F4" s="399"/>
      <c r="G4" s="399"/>
      <c r="H4" s="399"/>
      <c r="I4" s="399"/>
      <c r="J4" s="399"/>
      <c r="K4" s="399"/>
      <c r="L4" s="399"/>
      <c r="M4" s="399"/>
      <c r="N4" s="399"/>
      <c r="O4" s="399"/>
      <c r="P4" s="399"/>
      <c r="Q4" s="399"/>
      <c r="R4" s="399"/>
      <c r="S4" s="399"/>
      <c r="T4" s="399"/>
      <c r="U4" s="399"/>
      <c r="V4" s="399"/>
      <c r="W4" s="399"/>
      <c r="X4" s="399"/>
      <c r="Y4" s="399"/>
      <c r="Z4" s="399"/>
      <c r="AA4" s="399"/>
      <c r="AB4" s="399"/>
      <c r="AC4" s="400"/>
      <c r="AD4" s="387"/>
      <c r="AE4" s="123"/>
      <c r="AF4" s="123"/>
    </row>
    <row r="5" spans="1:32" ht="15.75" thickBot="1">
      <c r="A5" s="385"/>
      <c r="B5" s="385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385"/>
      <c r="R5" s="385"/>
      <c r="S5" s="385"/>
      <c r="T5" s="385"/>
      <c r="U5" s="385"/>
      <c r="V5" s="385"/>
      <c r="W5" s="385"/>
      <c r="X5" s="385"/>
      <c r="Y5" s="385"/>
      <c r="Z5" s="385"/>
      <c r="AA5" s="385"/>
      <c r="AB5" s="385"/>
      <c r="AC5" s="385"/>
      <c r="AD5" s="387"/>
      <c r="AE5" s="123"/>
    </row>
    <row r="6" spans="1:32" ht="18.75">
      <c r="A6" s="385"/>
      <c r="B6" s="409" t="s">
        <v>651</v>
      </c>
      <c r="C6" s="392"/>
      <c r="D6" s="393"/>
      <c r="E6" s="385"/>
      <c r="F6" s="391" t="s">
        <v>646</v>
      </c>
      <c r="G6" s="410"/>
      <c r="H6" s="392"/>
      <c r="I6" s="392"/>
      <c r="J6" s="393"/>
      <c r="K6" s="385"/>
      <c r="L6" s="391" t="s">
        <v>652</v>
      </c>
      <c r="M6" s="392"/>
      <c r="N6" s="392"/>
      <c r="O6" s="392"/>
      <c r="P6" s="393"/>
      <c r="Q6" s="385"/>
      <c r="R6" s="391" t="s">
        <v>659</v>
      </c>
      <c r="S6" s="392"/>
      <c r="T6" s="392"/>
      <c r="U6" s="392"/>
      <c r="V6" s="392"/>
      <c r="W6" s="392"/>
      <c r="X6" s="393"/>
      <c r="Y6" s="385"/>
      <c r="Z6" s="385"/>
      <c r="AA6" s="385"/>
      <c r="AB6" s="385"/>
      <c r="AC6" s="385"/>
      <c r="AD6" s="388"/>
      <c r="AE6" s="123"/>
    </row>
    <row r="7" spans="1:32" ht="15" customHeight="1">
      <c r="A7" s="385"/>
      <c r="B7" s="394"/>
      <c r="C7" s="395"/>
      <c r="D7" s="396"/>
      <c r="E7" s="385"/>
      <c r="F7" s="394"/>
      <c r="G7" s="395"/>
      <c r="H7" s="395"/>
      <c r="I7" s="395"/>
      <c r="J7" s="396"/>
      <c r="K7" s="385"/>
      <c r="L7" s="394"/>
      <c r="M7" s="395"/>
      <c r="N7" s="395"/>
      <c r="O7" s="395"/>
      <c r="P7" s="396"/>
      <c r="Q7" s="385"/>
      <c r="R7" s="394"/>
      <c r="S7" s="395"/>
      <c r="T7" s="395"/>
      <c r="U7" s="395"/>
      <c r="V7" s="395"/>
      <c r="W7" s="395"/>
      <c r="X7" s="396"/>
      <c r="Y7" s="458"/>
      <c r="Z7" s="387"/>
      <c r="AA7" s="387"/>
      <c r="AB7" s="387"/>
      <c r="AC7" s="387"/>
      <c r="AD7" s="387"/>
      <c r="AE7" s="123"/>
    </row>
    <row r="8" spans="1:32" ht="15" customHeight="1">
      <c r="A8" s="385"/>
      <c r="B8" s="423" t="s">
        <v>654</v>
      </c>
      <c r="C8" s="336">
        <v>1.4</v>
      </c>
      <c r="D8" s="396"/>
      <c r="E8" s="385"/>
      <c r="F8" s="417" t="s">
        <v>647</v>
      </c>
      <c r="G8" s="418"/>
      <c r="H8" s="419"/>
      <c r="I8" s="339">
        <v>42016</v>
      </c>
      <c r="J8" s="411"/>
      <c r="K8" s="385"/>
      <c r="L8" s="394" t="s">
        <v>665</v>
      </c>
      <c r="M8" s="395"/>
      <c r="N8" s="395"/>
      <c r="O8" s="427">
        <v>15</v>
      </c>
      <c r="P8" s="396"/>
      <c r="Q8" s="385"/>
      <c r="R8" s="416" t="s">
        <v>658</v>
      </c>
      <c r="S8" s="395"/>
      <c r="T8" s="395"/>
      <c r="U8" s="395"/>
      <c r="V8" s="395"/>
      <c r="W8" s="427">
        <v>7</v>
      </c>
      <c r="X8" s="396"/>
      <c r="Y8" s="385"/>
      <c r="Z8" s="387"/>
      <c r="AA8" s="387"/>
      <c r="AB8" s="387"/>
      <c r="AC8" s="387"/>
      <c r="AD8" s="385"/>
      <c r="AE8" s="123"/>
    </row>
    <row r="9" spans="1:32" ht="15.75">
      <c r="A9" s="385"/>
      <c r="B9" s="416" t="s">
        <v>192</v>
      </c>
      <c r="C9" s="336">
        <v>35</v>
      </c>
      <c r="D9" s="396"/>
      <c r="E9" s="385"/>
      <c r="F9" s="417" t="s">
        <v>649</v>
      </c>
      <c r="G9" s="418"/>
      <c r="H9" s="419"/>
      <c r="I9" s="340">
        <v>9000</v>
      </c>
      <c r="J9" s="396"/>
      <c r="K9" s="385"/>
      <c r="L9" s="394"/>
      <c r="M9" s="395"/>
      <c r="N9" s="395"/>
      <c r="O9" s="412"/>
      <c r="P9" s="396"/>
      <c r="Q9" s="385"/>
      <c r="R9" s="394"/>
      <c r="S9" s="395"/>
      <c r="T9" s="395"/>
      <c r="U9" s="395"/>
      <c r="V9" s="395"/>
      <c r="W9" s="395"/>
      <c r="X9" s="396"/>
      <c r="Y9" s="385"/>
      <c r="Z9" s="385"/>
      <c r="AA9" s="385"/>
      <c r="AB9" s="387"/>
      <c r="AC9" s="387"/>
      <c r="AD9" s="385"/>
    </row>
    <row r="10" spans="1:32">
      <c r="A10" s="385"/>
      <c r="B10" s="416" t="s">
        <v>193</v>
      </c>
      <c r="C10" s="336">
        <v>0.15</v>
      </c>
      <c r="D10" s="396"/>
      <c r="E10" s="385"/>
      <c r="F10" s="394"/>
      <c r="G10" s="395"/>
      <c r="H10" s="395"/>
      <c r="I10" s="395"/>
      <c r="J10" s="396"/>
      <c r="K10" s="385"/>
      <c r="L10" s="394"/>
      <c r="M10" s="395"/>
      <c r="N10" s="395"/>
      <c r="O10" s="395"/>
      <c r="P10" s="396"/>
      <c r="Q10" s="385"/>
      <c r="R10" s="394" t="s">
        <v>690</v>
      </c>
      <c r="S10" s="395"/>
      <c r="T10" s="395"/>
      <c r="U10" s="395"/>
      <c r="V10" s="395"/>
      <c r="W10" s="428">
        <f>'Res Bal Sem'!$I$43*1000000/(C9*100*C8*1000*(1-C10))</f>
        <v>4.3761819046877681</v>
      </c>
      <c r="X10" s="396"/>
      <c r="Y10" s="385"/>
      <c r="Z10" s="483"/>
      <c r="AA10" s="387"/>
      <c r="AB10" s="387"/>
      <c r="AC10" s="387"/>
      <c r="AD10" s="385"/>
    </row>
    <row r="11" spans="1:32" ht="15.75" thickBot="1">
      <c r="A11" s="385"/>
      <c r="B11" s="394" t="s">
        <v>653</v>
      </c>
      <c r="C11" s="429">
        <v>1.7999999999999999E-2</v>
      </c>
      <c r="D11" s="396"/>
      <c r="E11" s="387"/>
      <c r="F11" s="420" t="s">
        <v>650</v>
      </c>
      <c r="G11" s="421"/>
      <c r="H11" s="421"/>
      <c r="I11" s="366">
        <v>33</v>
      </c>
      <c r="J11" s="396"/>
      <c r="K11" s="385"/>
      <c r="L11" s="394"/>
      <c r="M11" s="395"/>
      <c r="N11" s="395"/>
      <c r="O11" s="395"/>
      <c r="P11" s="396"/>
      <c r="Q11" s="385"/>
      <c r="R11" s="401"/>
      <c r="S11" s="399"/>
      <c r="T11" s="399"/>
      <c r="U11" s="399"/>
      <c r="V11" s="399"/>
      <c r="W11" s="399"/>
      <c r="X11" s="400"/>
      <c r="Y11" s="385"/>
      <c r="Z11" s="387"/>
      <c r="AA11" s="387"/>
      <c r="AB11" s="387"/>
      <c r="AC11" s="387"/>
      <c r="AD11" s="385"/>
    </row>
    <row r="12" spans="1:32" ht="15.75" thickBot="1">
      <c r="A12" s="385"/>
      <c r="B12" s="394" t="s">
        <v>195</v>
      </c>
      <c r="C12" s="429">
        <v>0.2</v>
      </c>
      <c r="D12" s="396"/>
      <c r="E12" s="385"/>
      <c r="F12" s="417" t="s">
        <v>648</v>
      </c>
      <c r="G12" s="418"/>
      <c r="H12" s="418"/>
      <c r="I12" s="343">
        <f>I9*I11/1000</f>
        <v>297</v>
      </c>
      <c r="J12" s="396"/>
      <c r="K12" s="385"/>
      <c r="L12" s="394"/>
      <c r="M12" s="395"/>
      <c r="N12" s="395"/>
      <c r="O12" s="395"/>
      <c r="P12" s="413"/>
      <c r="Q12" s="385"/>
      <c r="R12" s="386"/>
      <c r="S12" s="386"/>
      <c r="T12" s="386"/>
      <c r="U12" s="386"/>
      <c r="V12" s="386"/>
      <c r="W12" s="386"/>
      <c r="X12" s="386"/>
      <c r="Y12" s="385"/>
      <c r="Z12" s="387"/>
      <c r="AA12" s="387"/>
      <c r="AB12" s="387"/>
      <c r="AC12" s="387"/>
      <c r="AD12" s="385"/>
    </row>
    <row r="13" spans="1:32" ht="15.75" thickBot="1">
      <c r="A13" s="385"/>
      <c r="B13" s="394" t="s">
        <v>655</v>
      </c>
      <c r="C13" s="336">
        <v>16</v>
      </c>
      <c r="D13" s="396"/>
      <c r="E13" s="390"/>
      <c r="F13" s="394"/>
      <c r="G13" s="395"/>
      <c r="H13" s="395"/>
      <c r="I13" s="395"/>
      <c r="J13" s="396"/>
      <c r="K13" s="385"/>
      <c r="L13" s="394"/>
      <c r="M13" s="395"/>
      <c r="N13" s="395"/>
      <c r="O13" s="395"/>
      <c r="P13" s="413"/>
      <c r="Q13" s="385"/>
      <c r="R13" s="479" t="s">
        <v>691</v>
      </c>
      <c r="S13" s="480"/>
      <c r="T13" s="477"/>
      <c r="U13" s="477"/>
      <c r="V13" s="477"/>
      <c r="W13" s="481" t="s">
        <v>439</v>
      </c>
      <c r="X13" s="478"/>
      <c r="Y13" s="387"/>
      <c r="Z13" s="387"/>
      <c r="AA13" s="387"/>
      <c r="AB13" s="387"/>
      <c r="AC13" s="387"/>
      <c r="AD13" s="385"/>
    </row>
    <row r="14" spans="1:32" ht="15.75" thickBot="1">
      <c r="A14" s="385"/>
      <c r="B14" s="394" t="s">
        <v>669</v>
      </c>
      <c r="C14" s="441">
        <v>42003</v>
      </c>
      <c r="D14" s="396"/>
      <c r="E14" s="385"/>
      <c r="F14" s="422" t="s">
        <v>657</v>
      </c>
      <c r="G14" s="395"/>
      <c r="H14" s="395"/>
      <c r="I14" s="337">
        <v>0.05</v>
      </c>
      <c r="J14" s="396"/>
      <c r="K14" s="385"/>
      <c r="L14" s="394"/>
      <c r="M14" s="395"/>
      <c r="N14" s="395"/>
      <c r="O14" s="395"/>
      <c r="P14" s="396"/>
      <c r="Q14" s="385"/>
      <c r="R14" s="387"/>
      <c r="S14" s="387"/>
      <c r="T14" s="387"/>
      <c r="U14" s="387"/>
      <c r="V14" s="387"/>
      <c r="W14" s="387"/>
      <c r="X14" s="387"/>
      <c r="Y14" s="385"/>
      <c r="Z14" s="484"/>
      <c r="AA14" s="387"/>
      <c r="AB14" s="387"/>
      <c r="AC14" s="387"/>
      <c r="AD14" s="385"/>
    </row>
    <row r="15" spans="1:32" ht="15.75" thickBot="1">
      <c r="A15" s="385"/>
      <c r="B15" s="394" t="s">
        <v>645</v>
      </c>
      <c r="C15" s="430">
        <f>C9*100*C8*1000*(1-C10)*C13/1000000</f>
        <v>66.64</v>
      </c>
      <c r="D15" s="396"/>
      <c r="E15" s="385"/>
      <c r="F15" s="394"/>
      <c r="G15" s="395"/>
      <c r="H15" s="395"/>
      <c r="I15" s="395"/>
      <c r="J15" s="396"/>
      <c r="K15" s="385"/>
      <c r="L15" s="394"/>
      <c r="M15" s="395"/>
      <c r="N15" s="395"/>
      <c r="O15" s="395"/>
      <c r="P15" s="396"/>
      <c r="Q15" s="385"/>
      <c r="R15" s="482" t="s">
        <v>693</v>
      </c>
      <c r="S15" s="477"/>
      <c r="T15" s="477"/>
      <c r="U15" s="477"/>
      <c r="V15" s="477"/>
      <c r="W15" s="481" t="s">
        <v>132</v>
      </c>
      <c r="X15" s="478"/>
      <c r="Y15" s="385"/>
      <c r="Z15" s="387"/>
      <c r="AA15" s="387"/>
      <c r="AB15" s="387"/>
      <c r="AC15" s="387"/>
      <c r="AD15" s="385"/>
    </row>
    <row r="16" spans="1:32" ht="15.75" thickBot="1">
      <c r="A16" s="385"/>
      <c r="B16" s="394" t="s">
        <v>656</v>
      </c>
      <c r="C16" s="431">
        <f>VLOOKUP(C11*100,MO,2)</f>
        <v>0.1</v>
      </c>
      <c r="D16" s="396"/>
      <c r="E16" s="385"/>
      <c r="F16" s="394"/>
      <c r="G16" s="395"/>
      <c r="H16" s="395"/>
      <c r="I16" s="395"/>
      <c r="J16" s="396"/>
      <c r="K16" s="385"/>
      <c r="L16" s="394"/>
      <c r="M16" s="395"/>
      <c r="N16" s="395"/>
      <c r="O16" s="395"/>
      <c r="P16" s="396"/>
      <c r="Q16" s="385"/>
      <c r="R16" s="387"/>
      <c r="S16" s="387"/>
      <c r="T16" s="387"/>
      <c r="U16" s="387"/>
      <c r="V16" s="387"/>
      <c r="W16" s="387"/>
      <c r="X16" s="387"/>
      <c r="Y16" s="385"/>
      <c r="Z16" s="387"/>
      <c r="AA16" s="387"/>
      <c r="AB16" s="387"/>
      <c r="AC16" s="387"/>
      <c r="AD16" s="385"/>
    </row>
    <row r="17" spans="1:30" ht="15.75" thickBot="1">
      <c r="A17" s="385"/>
      <c r="B17" s="401"/>
      <c r="C17" s="399"/>
      <c r="D17" s="400"/>
      <c r="E17" s="385"/>
      <c r="F17" s="401"/>
      <c r="G17" s="399"/>
      <c r="H17" s="399"/>
      <c r="I17" s="399"/>
      <c r="J17" s="400"/>
      <c r="K17" s="385"/>
      <c r="L17" s="401"/>
      <c r="M17" s="399"/>
      <c r="N17" s="399"/>
      <c r="O17" s="399"/>
      <c r="P17" s="400"/>
      <c r="Q17" s="385"/>
      <c r="R17" s="485" t="s">
        <v>694</v>
      </c>
      <c r="S17" s="477"/>
      <c r="T17" s="477"/>
      <c r="U17" s="477"/>
      <c r="V17" s="477"/>
      <c r="W17" s="481" t="s">
        <v>692</v>
      </c>
      <c r="X17" s="478"/>
      <c r="Y17" s="385"/>
      <c r="Z17" s="385"/>
      <c r="AA17" s="385"/>
      <c r="AB17" s="387"/>
      <c r="AC17" s="387"/>
      <c r="AD17" s="385"/>
    </row>
    <row r="18" spans="1:30" ht="15.75" thickBot="1">
      <c r="A18" s="385"/>
      <c r="B18" s="385"/>
      <c r="C18" s="385"/>
      <c r="D18" s="385"/>
      <c r="E18" s="385"/>
      <c r="F18" s="385"/>
      <c r="G18" s="385"/>
      <c r="H18" s="385"/>
      <c r="I18" s="385"/>
      <c r="J18" s="385"/>
      <c r="K18" s="385"/>
      <c r="L18" s="385"/>
      <c r="M18" s="385"/>
      <c r="N18" s="385"/>
      <c r="O18" s="385"/>
      <c r="P18" s="385"/>
      <c r="Q18" s="385"/>
      <c r="R18" s="385"/>
      <c r="S18" s="385"/>
      <c r="T18" s="385"/>
      <c r="U18" s="385"/>
      <c r="V18" s="385"/>
      <c r="W18" s="385"/>
      <c r="X18" s="385"/>
      <c r="Y18" s="385"/>
      <c r="Z18" s="385"/>
      <c r="AA18" s="385"/>
      <c r="AB18" s="385"/>
      <c r="AC18" s="459"/>
      <c r="AD18" s="385"/>
    </row>
    <row r="19" spans="1:30" ht="6" customHeight="1">
      <c r="A19" s="405"/>
      <c r="B19" s="392"/>
      <c r="C19" s="392"/>
      <c r="D19" s="392"/>
      <c r="E19" s="392"/>
      <c r="F19" s="392"/>
      <c r="G19" s="392"/>
      <c r="H19" s="392"/>
      <c r="I19" s="392"/>
      <c r="J19" s="392"/>
      <c r="K19" s="392"/>
      <c r="L19" s="392"/>
      <c r="M19" s="392"/>
      <c r="N19" s="392"/>
      <c r="O19" s="392"/>
      <c r="P19" s="392"/>
      <c r="Q19" s="392"/>
      <c r="R19" s="392"/>
      <c r="S19" s="392"/>
      <c r="T19" s="392"/>
      <c r="U19" s="392"/>
      <c r="V19" s="392"/>
      <c r="W19" s="392"/>
      <c r="X19" s="392"/>
      <c r="Y19" s="392"/>
      <c r="Z19" s="392"/>
      <c r="AA19" s="392"/>
      <c r="AB19" s="392"/>
      <c r="AC19" s="393"/>
      <c r="AD19" s="385"/>
    </row>
    <row r="20" spans="1:30" ht="23.25">
      <c r="A20" s="394"/>
      <c r="B20" s="406" t="s">
        <v>644</v>
      </c>
      <c r="C20" s="395"/>
      <c r="D20" s="395"/>
      <c r="E20" s="395"/>
      <c r="F20" s="395"/>
      <c r="G20" s="395"/>
      <c r="H20" s="395"/>
      <c r="I20" s="395"/>
      <c r="J20" s="395"/>
      <c r="K20" s="395"/>
      <c r="L20" s="395"/>
      <c r="M20" s="395"/>
      <c r="N20" s="395"/>
      <c r="O20" s="395"/>
      <c r="P20" s="395"/>
      <c r="Q20" s="395"/>
      <c r="R20" s="395"/>
      <c r="S20" s="395"/>
      <c r="T20" s="395"/>
      <c r="U20" s="395"/>
      <c r="V20" s="395"/>
      <c r="W20" s="395"/>
      <c r="X20" s="395"/>
      <c r="Y20" s="395"/>
      <c r="Z20" s="395"/>
      <c r="AA20" s="395"/>
      <c r="AB20" s="395"/>
      <c r="AC20" s="396"/>
      <c r="AD20" s="385"/>
    </row>
    <row r="21" spans="1:30" ht="4.5" customHeight="1">
      <c r="A21" s="394"/>
      <c r="B21" s="406"/>
      <c r="C21" s="395"/>
      <c r="D21" s="395"/>
      <c r="E21" s="395"/>
      <c r="F21" s="395"/>
      <c r="G21" s="395"/>
      <c r="H21" s="395"/>
      <c r="I21" s="395"/>
      <c r="J21" s="395"/>
      <c r="K21" s="395"/>
      <c r="L21" s="395"/>
      <c r="M21" s="395"/>
      <c r="N21" s="395"/>
      <c r="O21" s="395"/>
      <c r="P21" s="395"/>
      <c r="Q21" s="395"/>
      <c r="R21" s="395"/>
      <c r="S21" s="395"/>
      <c r="T21" s="395"/>
      <c r="U21" s="395"/>
      <c r="V21" s="395"/>
      <c r="W21" s="395"/>
      <c r="X21" s="395"/>
      <c r="Y21" s="395"/>
      <c r="Z21" s="395"/>
      <c r="AA21" s="395"/>
      <c r="AB21" s="395"/>
      <c r="AC21" s="396"/>
      <c r="AD21" s="385"/>
    </row>
    <row r="22" spans="1:30">
      <c r="A22" s="394"/>
      <c r="B22" s="544" t="s">
        <v>662</v>
      </c>
      <c r="C22" s="545"/>
      <c r="D22" s="545"/>
      <c r="E22" s="545"/>
      <c r="F22" s="545"/>
      <c r="G22" s="545"/>
      <c r="H22" s="545"/>
      <c r="I22" s="545"/>
      <c r="J22" s="545"/>
      <c r="K22" s="545"/>
      <c r="L22" s="545"/>
      <c r="M22" s="546"/>
      <c r="N22" s="395"/>
      <c r="O22" s="544" t="s">
        <v>663</v>
      </c>
      <c r="P22" s="545"/>
      <c r="Q22" s="545"/>
      <c r="R22" s="545"/>
      <c r="S22" s="546"/>
      <c r="T22" s="395"/>
      <c r="U22" s="395"/>
      <c r="V22" s="544" t="s">
        <v>664</v>
      </c>
      <c r="W22" s="545"/>
      <c r="X22" s="545"/>
      <c r="Y22" s="545"/>
      <c r="Z22" s="545"/>
      <c r="AA22" s="545"/>
      <c r="AB22" s="545"/>
      <c r="AC22" s="546"/>
      <c r="AD22" s="385"/>
    </row>
    <row r="23" spans="1:30" ht="46.9" customHeight="1">
      <c r="A23" s="402" t="s">
        <v>301</v>
      </c>
      <c r="B23" s="363" t="s">
        <v>302</v>
      </c>
      <c r="C23" s="364" t="s">
        <v>84</v>
      </c>
      <c r="D23" s="365" t="s">
        <v>301</v>
      </c>
      <c r="E23" s="364" t="s">
        <v>661</v>
      </c>
      <c r="F23" s="364" t="s">
        <v>2</v>
      </c>
      <c r="G23" s="364" t="s">
        <v>3</v>
      </c>
      <c r="H23" s="364" t="s">
        <v>4</v>
      </c>
      <c r="I23" s="364" t="s">
        <v>6</v>
      </c>
      <c r="J23" s="364" t="s">
        <v>5</v>
      </c>
      <c r="K23" s="364" t="s">
        <v>2</v>
      </c>
      <c r="L23" s="364" t="s">
        <v>3</v>
      </c>
      <c r="M23" s="364" t="s">
        <v>4</v>
      </c>
      <c r="N23" s="407" t="s">
        <v>625</v>
      </c>
      <c r="O23" s="355" t="s">
        <v>645</v>
      </c>
      <c r="P23" s="356" t="s">
        <v>321</v>
      </c>
      <c r="Q23" s="356" t="s">
        <v>627</v>
      </c>
      <c r="R23" s="356" t="s">
        <v>322</v>
      </c>
      <c r="S23" s="356" t="s">
        <v>323</v>
      </c>
      <c r="T23" s="395"/>
      <c r="U23" s="395"/>
      <c r="V23" s="432" t="s">
        <v>159</v>
      </c>
      <c r="W23" s="432" t="s">
        <v>333</v>
      </c>
      <c r="X23" s="432" t="s">
        <v>334</v>
      </c>
      <c r="Y23" s="432" t="s">
        <v>335</v>
      </c>
      <c r="Z23" s="432" t="s">
        <v>388</v>
      </c>
      <c r="AA23" s="432" t="s">
        <v>387</v>
      </c>
      <c r="AB23" s="432" t="s">
        <v>61</v>
      </c>
      <c r="AC23" s="433" t="s">
        <v>630</v>
      </c>
      <c r="AD23" s="389"/>
    </row>
    <row r="24" spans="1:30">
      <c r="A24" s="394">
        <f t="shared" ref="A24:A30" si="0">_xlfn.ISOWEEKNUM(C24)</f>
        <v>1</v>
      </c>
      <c r="B24" s="124" t="s">
        <v>317</v>
      </c>
      <c r="C24" s="357">
        <v>42003</v>
      </c>
      <c r="D24" s="358">
        <f t="shared" ref="D24:D30" si="1">_xlfn.ISOWEEKNUM(C24)</f>
        <v>1</v>
      </c>
      <c r="E24" s="359" t="s">
        <v>610</v>
      </c>
      <c r="F24" s="360">
        <v>11</v>
      </c>
      <c r="G24" s="360">
        <v>28</v>
      </c>
      <c r="H24" s="360">
        <v>23</v>
      </c>
      <c r="I24" s="361">
        <v>0.6</v>
      </c>
      <c r="J24" s="362">
        <v>220</v>
      </c>
      <c r="K24" s="383">
        <f>IF(($J24*F24*$I24*$N24/100)&lt;=0,"",($J24*F24*$I24*$N24/100))</f>
        <v>14.52</v>
      </c>
      <c r="L24" s="383">
        <f>IF(($J24*G24*$I24*$N24/100)&lt;=0,"",($J24*G24*$I24*$N24/100))</f>
        <v>36.96</v>
      </c>
      <c r="M24" s="383">
        <f>IF(($J24*H24*$I24*$N24/100)&lt;=0,"",($J24*H24*$I24*$N24/100))</f>
        <v>30.36</v>
      </c>
      <c r="N24" s="341">
        <v>1</v>
      </c>
      <c r="O24" s="353">
        <f>ROUNDUP(S24/5,0)*5</f>
        <v>0</v>
      </c>
      <c r="P24" s="353">
        <f>ROUNDUP(S24*10/(F24),0)*10</f>
        <v>0</v>
      </c>
      <c r="Q24" s="354">
        <f t="shared" ref="Q24:Q29" si="2">-AB24</f>
        <v>-44.532675675675677</v>
      </c>
      <c r="R24" s="354">
        <f t="shared" ref="R24:R29" si="3">MAX(Q24+VLOOKUP(C25+$W$8,Nitro,33,0),0)</f>
        <v>0</v>
      </c>
      <c r="S24" s="353">
        <f t="shared" ref="S24:S29" si="4">R24/I24</f>
        <v>0</v>
      </c>
      <c r="T24" s="395"/>
      <c r="U24" s="395"/>
      <c r="V24" s="346">
        <f t="shared" ref="V24:V29" si="5">VLOOKUP(C25+$W$8,Nitro,31,0)-VLOOKUP(C24+$W$8,Nitro,31,0)</f>
        <v>-36.62732432432432</v>
      </c>
      <c r="W24" s="346">
        <f t="shared" ref="W24:W29" si="6">VLOOKUP(C25+$W$8,Nitro,37,0)-VLOOKUP(C24+$W$8,Nitro,37,0)</f>
        <v>0</v>
      </c>
      <c r="X24" s="346">
        <f t="shared" ref="X24:X29" si="7">VLOOKUP(C25+$W$8,Nitro,38,0)-VLOOKUP(C24+$W$8,Nitro,38,0)</f>
        <v>0</v>
      </c>
      <c r="Y24" s="346">
        <f t="shared" ref="Y24:Y29" si="8">VLOOKUP(C25+$W$8,Nitro,39,0)-VLOOKUP(C24+$W$8,Nitro,39,0)</f>
        <v>0</v>
      </c>
      <c r="Z24" s="346">
        <f t="shared" ref="Z24:Z29" si="9">K24</f>
        <v>14.52</v>
      </c>
      <c r="AA24" s="346">
        <f>VLOOKUP(C24-1,Nitro,32,0)</f>
        <v>66.64</v>
      </c>
      <c r="AB24" s="346">
        <f t="shared" ref="AB24:AB29" si="10">SUM(V24:AA24)</f>
        <v>44.532675675675677</v>
      </c>
      <c r="AC24" s="347">
        <f>VLOOKUP(C24,Nitro,33,0)</f>
        <v>25</v>
      </c>
      <c r="AD24" s="385"/>
    </row>
    <row r="25" spans="1:30">
      <c r="A25" s="394">
        <f t="shared" si="0"/>
        <v>8</v>
      </c>
      <c r="B25" s="124" t="s">
        <v>318</v>
      </c>
      <c r="C25" s="342">
        <v>42057</v>
      </c>
      <c r="D25" s="343">
        <f t="shared" si="1"/>
        <v>8</v>
      </c>
      <c r="E25" s="330" t="s">
        <v>610</v>
      </c>
      <c r="F25" s="344">
        <v>11</v>
      </c>
      <c r="G25" s="344">
        <v>28</v>
      </c>
      <c r="H25" s="344">
        <v>23</v>
      </c>
      <c r="I25" s="345">
        <v>0.6</v>
      </c>
      <c r="J25" s="341">
        <v>101</v>
      </c>
      <c r="K25" s="384" t="str">
        <f t="shared" ref="K25:K29" si="11">IF(($J25*F25*$I25*$N25/100)&lt;=0,"",($J25*F25*$I25*$N25/100))</f>
        <v/>
      </c>
      <c r="L25" s="384" t="str">
        <f t="shared" ref="L25:L28" si="12">IF(($J25*G25*$I25*$N25/100)&lt;=0,"",($J25*G25*$I25*$N25/100))</f>
        <v/>
      </c>
      <c r="M25" s="384" t="str">
        <f t="shared" ref="M25:M29" si="13">IF(($J25*H25*$I25*$N25/100)&lt;=0,"",($J25*H25*$I25*$N25/100))</f>
        <v/>
      </c>
      <c r="N25" s="341">
        <v>0</v>
      </c>
      <c r="O25" s="338">
        <f t="shared" ref="O25:O29" si="14">ROUNDUP(S25/5,0)*5</f>
        <v>35</v>
      </c>
      <c r="P25" s="338">
        <f t="shared" ref="P25:P29" si="15">ROUNDUP(S25*10/(F25),0)*10</f>
        <v>310</v>
      </c>
      <c r="Q25" s="346">
        <f t="shared" si="2"/>
        <v>-19.966524667047466</v>
      </c>
      <c r="R25" s="346">
        <f t="shared" si="3"/>
        <v>20.033475332952534</v>
      </c>
      <c r="S25" s="346">
        <f t="shared" si="4"/>
        <v>33.389125554920895</v>
      </c>
      <c r="T25" s="395"/>
      <c r="U25" s="395"/>
      <c r="V25" s="346">
        <f t="shared" si="5"/>
        <v>-25.803570363466889</v>
      </c>
      <c r="W25" s="346">
        <f t="shared" si="6"/>
        <v>0.56000000000000005</v>
      </c>
      <c r="X25" s="346">
        <f t="shared" si="7"/>
        <v>0.67741935483870963</v>
      </c>
      <c r="Y25" s="346">
        <f t="shared" si="8"/>
        <v>0</v>
      </c>
      <c r="Z25" s="346" t="str">
        <f t="shared" si="9"/>
        <v/>
      </c>
      <c r="AA25" s="346">
        <f>VLOOKUP(C25+$W$8,Nitro,32,0)</f>
        <v>44.532675675675648</v>
      </c>
      <c r="AB25" s="346">
        <f t="shared" si="10"/>
        <v>19.966524667047466</v>
      </c>
      <c r="AC25" s="347">
        <f>VLOOKUP(C25+$W$8,Nitro,33,0)</f>
        <v>40</v>
      </c>
      <c r="AD25" s="385"/>
    </row>
    <row r="26" spans="1:30">
      <c r="A26" s="394">
        <f t="shared" si="0"/>
        <v>10</v>
      </c>
      <c r="B26" s="124" t="s">
        <v>319</v>
      </c>
      <c r="C26" s="342">
        <v>42066</v>
      </c>
      <c r="D26" s="343">
        <f t="shared" si="1"/>
        <v>10</v>
      </c>
      <c r="E26" s="330" t="s">
        <v>607</v>
      </c>
      <c r="F26" s="344">
        <v>46</v>
      </c>
      <c r="G26" s="344">
        <v>0</v>
      </c>
      <c r="H26" s="344">
        <v>0</v>
      </c>
      <c r="I26" s="345">
        <v>0.8</v>
      </c>
      <c r="J26" s="341">
        <v>240</v>
      </c>
      <c r="K26" s="384">
        <f t="shared" si="11"/>
        <v>88.32</v>
      </c>
      <c r="L26" s="384" t="str">
        <f t="shared" si="12"/>
        <v/>
      </c>
      <c r="M26" s="384" t="str">
        <f t="shared" si="13"/>
        <v/>
      </c>
      <c r="N26" s="341">
        <v>1</v>
      </c>
      <c r="O26" s="338">
        <f t="shared" si="14"/>
        <v>0</v>
      </c>
      <c r="P26" s="338">
        <f t="shared" si="15"/>
        <v>0</v>
      </c>
      <c r="Q26" s="346">
        <f t="shared" si="2"/>
        <v>-107.9076489605896</v>
      </c>
      <c r="R26" s="338">
        <f t="shared" si="3"/>
        <v>0</v>
      </c>
      <c r="S26" s="338">
        <f t="shared" si="4"/>
        <v>0</v>
      </c>
      <c r="T26" s="395"/>
      <c r="U26" s="395"/>
      <c r="V26" s="346">
        <f t="shared" si="5"/>
        <v>-97.182845312208741</v>
      </c>
      <c r="W26" s="346">
        <f t="shared" si="6"/>
        <v>6.7420000000000009</v>
      </c>
      <c r="X26" s="346">
        <f t="shared" si="7"/>
        <v>3.7258064516129044</v>
      </c>
      <c r="Y26" s="346">
        <f t="shared" si="8"/>
        <v>-1.9838368458620446</v>
      </c>
      <c r="Z26" s="346">
        <f t="shared" si="9"/>
        <v>88.32</v>
      </c>
      <c r="AA26" s="346">
        <f>VLOOKUP(C26+$W$8,Nitro,32,0)</f>
        <v>108.28652466704747</v>
      </c>
      <c r="AB26" s="346">
        <f t="shared" si="10"/>
        <v>107.9076489605896</v>
      </c>
      <c r="AC26" s="347">
        <f>VLOOKUP(C26+$W$8,Nitro,33,0)</f>
        <v>40</v>
      </c>
      <c r="AD26" s="385"/>
    </row>
    <row r="27" spans="1:30">
      <c r="A27" s="394">
        <f t="shared" si="0"/>
        <v>16</v>
      </c>
      <c r="B27" s="124" t="s">
        <v>612</v>
      </c>
      <c r="C27" s="342">
        <v>42113</v>
      </c>
      <c r="D27" s="343">
        <f t="shared" si="1"/>
        <v>16</v>
      </c>
      <c r="E27" s="330" t="s">
        <v>607</v>
      </c>
      <c r="F27" s="344">
        <v>46</v>
      </c>
      <c r="G27" s="344"/>
      <c r="H27" s="344"/>
      <c r="I27" s="345">
        <v>0.85</v>
      </c>
      <c r="J27" s="341">
        <v>180</v>
      </c>
      <c r="K27" s="384">
        <f t="shared" si="11"/>
        <v>70.38</v>
      </c>
      <c r="L27" s="384" t="str">
        <f t="shared" si="12"/>
        <v/>
      </c>
      <c r="M27" s="384" t="str">
        <f t="shared" si="13"/>
        <v/>
      </c>
      <c r="N27" s="341">
        <v>1</v>
      </c>
      <c r="O27" s="338">
        <f t="shared" si="14"/>
        <v>0</v>
      </c>
      <c r="P27" s="338">
        <f t="shared" si="15"/>
        <v>0</v>
      </c>
      <c r="Q27" s="346">
        <f t="shared" si="2"/>
        <v>-113.46837283155753</v>
      </c>
      <c r="R27" s="338">
        <f t="shared" si="3"/>
        <v>0</v>
      </c>
      <c r="S27" s="338">
        <f t="shared" si="4"/>
        <v>0</v>
      </c>
      <c r="T27" s="395"/>
      <c r="U27" s="395"/>
      <c r="V27" s="346">
        <f t="shared" si="5"/>
        <v>-86.846759999999904</v>
      </c>
      <c r="W27" s="346">
        <f t="shared" si="6"/>
        <v>33.532000000000011</v>
      </c>
      <c r="X27" s="346">
        <f t="shared" si="7"/>
        <v>6.4354838709677367</v>
      </c>
      <c r="Y27" s="346">
        <f t="shared" si="8"/>
        <v>0</v>
      </c>
      <c r="Z27" s="346">
        <f t="shared" si="9"/>
        <v>70.38</v>
      </c>
      <c r="AA27" s="346">
        <f>VLOOKUP(C27+$W$8,Nitro,32,0)</f>
        <v>89.967648960589685</v>
      </c>
      <c r="AB27" s="346">
        <f t="shared" si="10"/>
        <v>113.46837283155753</v>
      </c>
      <c r="AC27" s="347">
        <f>VLOOKUP(C27+$W$8,Nitro,33,0)</f>
        <v>40</v>
      </c>
      <c r="AD27" s="385"/>
    </row>
    <row r="28" spans="1:30">
      <c r="A28" s="394">
        <f t="shared" si="0"/>
        <v>20</v>
      </c>
      <c r="B28" s="124" t="s">
        <v>613</v>
      </c>
      <c r="C28" s="342">
        <v>42138</v>
      </c>
      <c r="D28" s="343">
        <f t="shared" si="1"/>
        <v>20</v>
      </c>
      <c r="E28" s="330" t="s">
        <v>611</v>
      </c>
      <c r="F28" s="344">
        <v>32</v>
      </c>
      <c r="G28" s="344"/>
      <c r="H28" s="344"/>
      <c r="I28" s="345">
        <v>0.85</v>
      </c>
      <c r="J28" s="341">
        <v>80</v>
      </c>
      <c r="K28" s="384">
        <f t="shared" si="11"/>
        <v>21.76</v>
      </c>
      <c r="L28" s="384" t="str">
        <f t="shared" si="12"/>
        <v/>
      </c>
      <c r="M28" s="384" t="str">
        <f t="shared" si="13"/>
        <v/>
      </c>
      <c r="N28" s="341">
        <v>1</v>
      </c>
      <c r="O28" s="338">
        <f t="shared" si="14"/>
        <v>0</v>
      </c>
      <c r="P28" s="338">
        <f t="shared" si="15"/>
        <v>0</v>
      </c>
      <c r="Q28" s="346">
        <f t="shared" si="2"/>
        <v>-63.355340573493166</v>
      </c>
      <c r="R28" s="338">
        <f t="shared" si="3"/>
        <v>0</v>
      </c>
      <c r="S28" s="338">
        <f t="shared" si="4"/>
        <v>0</v>
      </c>
      <c r="T28" s="395"/>
      <c r="U28" s="395"/>
      <c r="V28" s="346">
        <f t="shared" si="5"/>
        <v>-37.620000000000005</v>
      </c>
      <c r="W28" s="346">
        <f t="shared" si="6"/>
        <v>11.996000000000002</v>
      </c>
      <c r="X28" s="346">
        <f t="shared" si="7"/>
        <v>2.3709677419354787</v>
      </c>
      <c r="Y28" s="346">
        <f t="shared" si="8"/>
        <v>0</v>
      </c>
      <c r="Z28" s="346">
        <f t="shared" si="9"/>
        <v>21.76</v>
      </c>
      <c r="AA28" s="346">
        <f>VLOOKUP(C28+$W$8,Nitro,32,0)</f>
        <v>64.848372831557683</v>
      </c>
      <c r="AB28" s="346">
        <f t="shared" si="10"/>
        <v>63.355340573493166</v>
      </c>
      <c r="AC28" s="347">
        <f>VLOOKUP(C28+$W$8,Nitro,33,0)</f>
        <v>25</v>
      </c>
      <c r="AD28" s="385"/>
    </row>
    <row r="29" spans="1:30">
      <c r="A29" s="394">
        <f t="shared" si="0"/>
        <v>21</v>
      </c>
      <c r="B29" s="124" t="s">
        <v>614</v>
      </c>
      <c r="C29" s="342">
        <v>42147</v>
      </c>
      <c r="D29" s="343">
        <f t="shared" si="1"/>
        <v>21</v>
      </c>
      <c r="E29" s="330" t="s">
        <v>611</v>
      </c>
      <c r="F29" s="344">
        <v>32</v>
      </c>
      <c r="G29" s="344"/>
      <c r="H29" s="344"/>
      <c r="I29" s="345">
        <v>0.85</v>
      </c>
      <c r="J29" s="341">
        <v>107</v>
      </c>
      <c r="K29" s="384" t="str">
        <f t="shared" si="11"/>
        <v/>
      </c>
      <c r="L29" s="384" t="str">
        <f>IF(($J29*G29*$I29*$N29/100)&lt;=0,"",($J29*G29*$I29*$N29/100))</f>
        <v/>
      </c>
      <c r="M29" s="384" t="str">
        <f t="shared" si="13"/>
        <v/>
      </c>
      <c r="N29" s="341">
        <v>0</v>
      </c>
      <c r="O29" s="338">
        <f t="shared" si="14"/>
        <v>0</v>
      </c>
      <c r="P29" s="338">
        <f t="shared" si="15"/>
        <v>0</v>
      </c>
      <c r="Q29" s="346">
        <f t="shared" si="2"/>
        <v>-54.785865919115437</v>
      </c>
      <c r="R29" s="338">
        <f t="shared" si="3"/>
        <v>0</v>
      </c>
      <c r="S29" s="338">
        <f t="shared" si="4"/>
        <v>0</v>
      </c>
      <c r="T29" s="395"/>
      <c r="U29" s="395"/>
      <c r="V29" s="346">
        <f t="shared" si="5"/>
        <v>-14.708571428571247</v>
      </c>
      <c r="W29" s="346">
        <f t="shared" si="6"/>
        <v>24.512</v>
      </c>
      <c r="X29" s="346">
        <f t="shared" si="7"/>
        <v>3.3870967741935445</v>
      </c>
      <c r="Y29" s="346">
        <f t="shared" si="8"/>
        <v>0</v>
      </c>
      <c r="Z29" s="346" t="str">
        <f t="shared" si="9"/>
        <v/>
      </c>
      <c r="AA29" s="346">
        <f>VLOOKUP(C29+$W$8,Nitro,32,0)</f>
        <v>41.595340573493139</v>
      </c>
      <c r="AB29" s="346">
        <f t="shared" si="10"/>
        <v>54.785865919115437</v>
      </c>
      <c r="AC29" s="347">
        <f>VLOOKUP(C29+$W$8,Nitro,33,0)</f>
        <v>25</v>
      </c>
      <c r="AD29" s="385"/>
    </row>
    <row r="30" spans="1:30">
      <c r="A30" s="394">
        <f t="shared" si="0"/>
        <v>23</v>
      </c>
      <c r="B30" s="127"/>
      <c r="C30" s="342">
        <v>42160</v>
      </c>
      <c r="D30" s="343">
        <f t="shared" si="1"/>
        <v>23</v>
      </c>
      <c r="E30" s="330" t="s">
        <v>135</v>
      </c>
      <c r="F30" s="344"/>
      <c r="G30" s="344"/>
      <c r="H30" s="344"/>
      <c r="I30" s="330"/>
      <c r="J30" s="330"/>
      <c r="K30" s="395"/>
      <c r="L30" s="395"/>
      <c r="M30" s="395"/>
      <c r="N30" s="404"/>
      <c r="O30" s="395"/>
      <c r="P30" s="395"/>
      <c r="Q30" s="395"/>
      <c r="R30" s="395"/>
      <c r="S30" s="395"/>
      <c r="T30" s="395"/>
      <c r="U30" s="395"/>
      <c r="V30" s="395"/>
      <c r="W30" s="395"/>
      <c r="X30" s="395"/>
      <c r="Y30" s="395"/>
      <c r="Z30" s="395"/>
      <c r="AA30" s="395"/>
      <c r="AB30" s="395"/>
      <c r="AC30" s="396"/>
      <c r="AD30" s="385"/>
    </row>
    <row r="31" spans="1:30">
      <c r="A31" s="403"/>
      <c r="B31" s="408"/>
      <c r="C31" s="130" t="str">
        <f>CONCATENATE("Durac. ciclo: ",MAX(C24:C30)-MIN(C24:C30))</f>
        <v>Durac. ciclo: 157</v>
      </c>
      <c r="D31" s="131"/>
      <c r="E31" s="132"/>
      <c r="F31" s="132"/>
      <c r="G31" s="132"/>
      <c r="H31" s="133"/>
      <c r="I31" s="349">
        <f>SUMPRODUCT(I24:I30,K24:K30)/K31</f>
        <v>0.8087342291517079</v>
      </c>
      <c r="J31" s="343">
        <f>SUM(J24:J30)</f>
        <v>928</v>
      </c>
      <c r="K31" s="350">
        <f>SUM(K24:K30)</f>
        <v>194.97999999999996</v>
      </c>
      <c r="L31" s="350">
        <f>SUM(L24:L30)</f>
        <v>36.96</v>
      </c>
      <c r="M31" s="350">
        <f>SUM(M24:M30)</f>
        <v>30.36</v>
      </c>
      <c r="N31" s="343">
        <f>SUM(N24:N29)</f>
        <v>4</v>
      </c>
      <c r="O31" s="343">
        <f>SUM(O24:O30)</f>
        <v>35</v>
      </c>
      <c r="P31" s="343">
        <f>SUM(P24:P30)</f>
        <v>310</v>
      </c>
      <c r="Q31" s="343">
        <f>SUM(Q24:Q30)</f>
        <v>-404.01642862747889</v>
      </c>
      <c r="R31" s="350">
        <f>SUM(R24:R30)</f>
        <v>20.033475332952534</v>
      </c>
      <c r="S31" s="350">
        <f>SUM(S24:S30)</f>
        <v>33.389125554920895</v>
      </c>
      <c r="T31" s="395"/>
      <c r="U31" s="395"/>
      <c r="V31" s="346">
        <f>SUM(V24:V30)</f>
        <v>-298.78907142857111</v>
      </c>
      <c r="W31" s="346">
        <f>SUM(W24:W30)</f>
        <v>77.342000000000013</v>
      </c>
      <c r="X31" s="346">
        <f>SUM(X24:X30)</f>
        <v>16.596774193548374</v>
      </c>
      <c r="Y31" s="346">
        <f>SUM(Y24:Y30)</f>
        <v>-1.9838368458620446</v>
      </c>
      <c r="Z31" s="346"/>
      <c r="AA31" s="346">
        <f>SUM(AA24:AA30)</f>
        <v>415.87056270836365</v>
      </c>
      <c r="AB31" s="346"/>
      <c r="AC31" s="351"/>
      <c r="AD31" s="385"/>
    </row>
    <row r="32" spans="1:30" ht="15.75" thickBot="1">
      <c r="A32" s="401"/>
      <c r="B32" s="399"/>
      <c r="C32" s="399"/>
      <c r="D32" s="399"/>
      <c r="E32" s="399"/>
      <c r="F32" s="399"/>
      <c r="G32" s="399"/>
      <c r="H32" s="399"/>
      <c r="I32" s="399"/>
      <c r="J32" s="399"/>
      <c r="K32" s="399"/>
      <c r="L32" s="399"/>
      <c r="M32" s="399"/>
      <c r="N32" s="399"/>
      <c r="O32" s="399"/>
      <c r="P32" s="399"/>
      <c r="Q32" s="399"/>
      <c r="R32" s="399"/>
      <c r="S32" s="399"/>
      <c r="T32" s="399"/>
      <c r="U32" s="399"/>
      <c r="V32" s="399"/>
      <c r="W32" s="399"/>
      <c r="X32" s="399"/>
      <c r="Y32" s="399"/>
      <c r="Z32" s="399"/>
      <c r="AA32" s="399"/>
      <c r="AB32" s="399"/>
      <c r="AC32" s="400"/>
      <c r="AD32" s="385"/>
    </row>
    <row r="33" spans="1:30">
      <c r="A33" s="385"/>
      <c r="B33" s="385"/>
      <c r="C33" s="385"/>
      <c r="D33" s="385"/>
      <c r="E33" s="385"/>
      <c r="F33" s="385"/>
      <c r="G33" s="385"/>
      <c r="H33" s="385"/>
      <c r="I33" s="385"/>
      <c r="J33" s="385"/>
      <c r="K33" s="385"/>
      <c r="L33" s="385"/>
      <c r="M33" s="385"/>
      <c r="N33" s="385"/>
      <c r="O33" s="385"/>
      <c r="P33" s="385"/>
      <c r="Q33" s="385"/>
      <c r="R33" s="385"/>
      <c r="S33" s="385"/>
      <c r="T33" s="385"/>
      <c r="U33" s="385"/>
      <c r="V33" s="385"/>
      <c r="W33" s="385"/>
      <c r="X33" s="385"/>
      <c r="Y33" s="385"/>
      <c r="Z33" s="385"/>
      <c r="AA33" s="385"/>
      <c r="AB33" s="385"/>
      <c r="AC33" s="385"/>
      <c r="AD33" s="385"/>
    </row>
    <row r="34" spans="1:30" ht="15.75" thickBot="1">
      <c r="A34" s="385"/>
      <c r="B34" s="385"/>
      <c r="C34" s="385"/>
      <c r="D34" s="385"/>
      <c r="E34" s="385"/>
      <c r="F34" s="385"/>
      <c r="G34" s="385"/>
      <c r="H34" s="385"/>
      <c r="I34" s="385"/>
      <c r="J34" s="385"/>
      <c r="K34" s="385"/>
      <c r="L34" s="385"/>
      <c r="M34" s="385"/>
      <c r="N34" s="385"/>
      <c r="O34" s="385"/>
      <c r="P34" s="385"/>
      <c r="Q34" s="385"/>
      <c r="R34" s="385"/>
      <c r="S34" s="385"/>
      <c r="T34" s="385"/>
      <c r="U34" s="385"/>
      <c r="V34" s="385"/>
      <c r="W34" s="385"/>
      <c r="X34" s="385"/>
      <c r="Y34" s="385"/>
      <c r="Z34" s="385"/>
      <c r="AA34" s="385"/>
      <c r="AB34" s="385"/>
      <c r="AC34" s="385"/>
      <c r="AD34" s="385"/>
    </row>
    <row r="35" spans="1:30" ht="15.75">
      <c r="A35" s="385"/>
      <c r="B35" s="391" t="s">
        <v>660</v>
      </c>
      <c r="C35" s="392"/>
      <c r="D35" s="392"/>
      <c r="E35" s="392"/>
      <c r="F35" s="392"/>
      <c r="G35" s="392"/>
      <c r="H35" s="392"/>
      <c r="I35" s="393"/>
      <c r="J35" s="385"/>
      <c r="K35" s="391" t="s">
        <v>684</v>
      </c>
      <c r="L35" s="392"/>
      <c r="M35" s="392"/>
      <c r="N35" s="392"/>
      <c r="O35" s="392"/>
      <c r="P35" s="393"/>
      <c r="Q35" s="385"/>
      <c r="R35" s="547" t="s">
        <v>679</v>
      </c>
      <c r="S35" s="548"/>
      <c r="T35" s="385"/>
      <c r="U35" s="385"/>
      <c r="V35" s="460" t="s">
        <v>681</v>
      </c>
      <c r="W35" s="473"/>
      <c r="X35" s="392"/>
      <c r="Y35" s="392"/>
      <c r="Z35" s="392"/>
      <c r="AA35" s="392"/>
      <c r="AB35" s="392"/>
      <c r="AC35" s="393"/>
      <c r="AD35" s="385"/>
    </row>
    <row r="36" spans="1:30">
      <c r="A36" s="385"/>
      <c r="B36" s="394"/>
      <c r="C36" s="395"/>
      <c r="D36" s="395"/>
      <c r="E36" s="395"/>
      <c r="F36" s="395"/>
      <c r="G36" s="395"/>
      <c r="H36" s="395"/>
      <c r="I36" s="396"/>
      <c r="J36" s="385"/>
      <c r="K36" s="394"/>
      <c r="L36" s="395"/>
      <c r="M36" s="395"/>
      <c r="N36" s="395"/>
      <c r="O36" s="395"/>
      <c r="P36" s="396"/>
      <c r="Q36" s="385"/>
      <c r="R36" s="463" t="s">
        <v>680</v>
      </c>
      <c r="S36" s="464" t="s">
        <v>140</v>
      </c>
      <c r="T36" s="385"/>
      <c r="U36" s="385"/>
      <c r="V36" s="474"/>
      <c r="W36" s="475" t="s">
        <v>682</v>
      </c>
      <c r="X36" s="395"/>
      <c r="Y36" s="395"/>
      <c r="Z36" s="395"/>
      <c r="AA36" s="395"/>
      <c r="AB36" s="395"/>
      <c r="AC36" s="396"/>
      <c r="AD36" s="385"/>
    </row>
    <row r="37" spans="1:30">
      <c r="A37" s="385"/>
      <c r="B37" s="397" t="s">
        <v>316</v>
      </c>
      <c r="C37" s="395"/>
      <c r="D37" s="395"/>
      <c r="E37" s="220">
        <v>0.1</v>
      </c>
      <c r="F37" s="395"/>
      <c r="G37" s="395"/>
      <c r="H37" s="395"/>
      <c r="I37" s="396"/>
      <c r="J37" s="385"/>
      <c r="K37" s="439" t="s">
        <v>58</v>
      </c>
      <c r="L37" s="424" t="s">
        <v>52</v>
      </c>
      <c r="M37" s="424" t="s">
        <v>683</v>
      </c>
      <c r="N37" s="425" t="s">
        <v>668</v>
      </c>
      <c r="O37" s="426" t="s">
        <v>154</v>
      </c>
      <c r="P37" s="396"/>
      <c r="Q37" s="385"/>
      <c r="R37" s="461" t="s">
        <v>635</v>
      </c>
      <c r="S37" s="462">
        <v>13</v>
      </c>
      <c r="T37" s="385"/>
      <c r="U37" s="385"/>
      <c r="V37" s="474"/>
      <c r="W37" s="475" t="s">
        <v>685</v>
      </c>
      <c r="X37" s="395"/>
      <c r="Y37" s="395"/>
      <c r="Z37" s="395"/>
      <c r="AA37" s="395"/>
      <c r="AB37" s="395"/>
      <c r="AC37" s="396"/>
      <c r="AD37" s="385"/>
    </row>
    <row r="38" spans="1:30">
      <c r="A38" s="385"/>
      <c r="B38" s="374" t="s">
        <v>38</v>
      </c>
      <c r="C38" s="375" t="s">
        <v>39</v>
      </c>
      <c r="D38" s="375" t="s">
        <v>50</v>
      </c>
      <c r="E38" s="375" t="s">
        <v>22</v>
      </c>
      <c r="F38" s="375"/>
      <c r="G38" s="376"/>
      <c r="H38" s="395"/>
      <c r="I38" s="396"/>
      <c r="J38" s="385"/>
      <c r="K38" s="352" t="s">
        <v>254</v>
      </c>
      <c r="L38" s="465"/>
      <c r="M38" s="466"/>
      <c r="N38" s="466"/>
      <c r="O38" s="467"/>
      <c r="P38" s="396"/>
      <c r="Q38" s="385"/>
      <c r="R38" s="461">
        <v>42077</v>
      </c>
      <c r="S38" s="462">
        <v>22</v>
      </c>
      <c r="T38" s="385"/>
      <c r="U38" s="385"/>
      <c r="V38" s="474"/>
      <c r="W38" s="475" t="s">
        <v>686</v>
      </c>
      <c r="X38" s="395"/>
      <c r="Y38" s="395"/>
      <c r="Z38" s="395"/>
      <c r="AA38" s="395"/>
      <c r="AB38" s="395"/>
      <c r="AC38" s="396"/>
      <c r="AD38" s="385"/>
    </row>
    <row r="39" spans="1:30">
      <c r="A39" s="385"/>
      <c r="B39" s="332">
        <v>-10</v>
      </c>
      <c r="C39" s="335">
        <v>0</v>
      </c>
      <c r="D39" s="377" t="s">
        <v>30</v>
      </c>
      <c r="E39" s="335" t="s">
        <v>31</v>
      </c>
      <c r="F39" s="335"/>
      <c r="G39" s="378"/>
      <c r="H39" s="398">
        <f>B39*C39</f>
        <v>0</v>
      </c>
      <c r="I39" s="396"/>
      <c r="J39" s="385"/>
      <c r="K39" s="329" t="s">
        <v>256</v>
      </c>
      <c r="L39" s="468"/>
      <c r="M39" s="377"/>
      <c r="N39" s="377"/>
      <c r="O39" s="469"/>
      <c r="P39" s="396"/>
      <c r="Q39" s="385"/>
      <c r="R39" s="461">
        <v>42098</v>
      </c>
      <c r="S39" s="462">
        <v>30</v>
      </c>
      <c r="T39" s="385"/>
      <c r="U39" s="385"/>
      <c r="V39" s="474"/>
      <c r="W39" s="475" t="s">
        <v>687</v>
      </c>
      <c r="X39" s="395"/>
      <c r="Y39" s="395"/>
      <c r="Z39" s="395"/>
      <c r="AA39" s="395"/>
      <c r="AB39" s="395"/>
      <c r="AC39" s="396"/>
      <c r="AD39" s="385"/>
    </row>
    <row r="40" spans="1:30">
      <c r="A40" s="385"/>
      <c r="B40" s="332">
        <v>13</v>
      </c>
      <c r="C40" s="335">
        <v>0.3</v>
      </c>
      <c r="D40" s="377" t="s">
        <v>37</v>
      </c>
      <c r="E40" s="335" t="s">
        <v>29</v>
      </c>
      <c r="F40" s="335"/>
      <c r="G40" s="378"/>
      <c r="H40" s="398">
        <f>B40*C40</f>
        <v>3.9</v>
      </c>
      <c r="I40" s="396"/>
      <c r="J40" s="385"/>
      <c r="K40" s="329" t="s">
        <v>258</v>
      </c>
      <c r="L40" s="468"/>
      <c r="M40" s="377"/>
      <c r="N40" s="377"/>
      <c r="O40" s="469"/>
      <c r="P40" s="396"/>
      <c r="Q40" s="385"/>
      <c r="R40" s="461">
        <v>42113</v>
      </c>
      <c r="S40" s="462">
        <v>33</v>
      </c>
      <c r="T40" s="385"/>
      <c r="U40" s="385"/>
      <c r="V40" s="394"/>
      <c r="W40" s="475" t="s">
        <v>689</v>
      </c>
      <c r="X40" s="395"/>
      <c r="Y40" s="395"/>
      <c r="Z40" s="395"/>
      <c r="AA40" s="395"/>
      <c r="AB40" s="395"/>
      <c r="AC40" s="396"/>
      <c r="AD40" s="385"/>
    </row>
    <row r="41" spans="1:30">
      <c r="A41" s="385"/>
      <c r="B41" s="332">
        <v>14</v>
      </c>
      <c r="C41" s="335">
        <v>0.4</v>
      </c>
      <c r="D41" s="377" t="s">
        <v>36</v>
      </c>
      <c r="E41" s="335" t="s">
        <v>28</v>
      </c>
      <c r="F41" s="335"/>
      <c r="G41" s="378"/>
      <c r="H41" s="398">
        <f t="shared" ref="H41:H46" si="16">B41*C41</f>
        <v>5.6000000000000005</v>
      </c>
      <c r="I41" s="396"/>
      <c r="J41" s="385"/>
      <c r="K41" s="329" t="s">
        <v>261</v>
      </c>
      <c r="L41" s="468"/>
      <c r="M41" s="377"/>
      <c r="N41" s="377"/>
      <c r="O41" s="469"/>
      <c r="P41" s="396"/>
      <c r="Q41" s="385"/>
      <c r="R41" s="461">
        <v>42126</v>
      </c>
      <c r="S41" s="462">
        <v>41</v>
      </c>
      <c r="T41" s="385"/>
      <c r="U41" s="385"/>
      <c r="V41" s="394"/>
      <c r="W41" s="395"/>
      <c r="X41" s="395"/>
      <c r="Y41" s="395"/>
      <c r="Z41" s="395"/>
      <c r="AA41" s="395"/>
      <c r="AB41" s="395"/>
      <c r="AC41" s="396"/>
      <c r="AD41" s="385"/>
    </row>
    <row r="42" spans="1:30">
      <c r="A42" s="385"/>
      <c r="B42" s="332">
        <v>15</v>
      </c>
      <c r="C42" s="335">
        <v>0.6</v>
      </c>
      <c r="D42" s="377" t="s">
        <v>35</v>
      </c>
      <c r="E42" s="335" t="s">
        <v>27</v>
      </c>
      <c r="F42" s="335"/>
      <c r="G42" s="378"/>
      <c r="H42" s="398">
        <f t="shared" si="16"/>
        <v>9</v>
      </c>
      <c r="I42" s="396"/>
      <c r="J42" s="385"/>
      <c r="K42" s="329" t="s">
        <v>53</v>
      </c>
      <c r="L42" s="468">
        <v>30</v>
      </c>
      <c r="M42" s="377">
        <v>140</v>
      </c>
      <c r="N42" s="377">
        <v>1450</v>
      </c>
      <c r="O42" s="470">
        <v>2750</v>
      </c>
      <c r="P42" s="396"/>
      <c r="Q42" s="385"/>
      <c r="R42" s="461">
        <v>42140</v>
      </c>
      <c r="S42" s="462">
        <v>59</v>
      </c>
      <c r="T42" s="385"/>
      <c r="U42" s="385"/>
      <c r="V42" s="394"/>
      <c r="W42" s="395"/>
      <c r="X42" s="395"/>
      <c r="Y42" s="395"/>
      <c r="Z42" s="395"/>
      <c r="AA42" s="395"/>
      <c r="AB42" s="395"/>
      <c r="AC42" s="396"/>
      <c r="AD42" s="385"/>
    </row>
    <row r="43" spans="1:30">
      <c r="A43" s="385"/>
      <c r="B43" s="332">
        <v>16</v>
      </c>
      <c r="C43" s="335">
        <v>0.7</v>
      </c>
      <c r="D43" s="377" t="s">
        <v>34</v>
      </c>
      <c r="E43" s="335" t="s">
        <v>26</v>
      </c>
      <c r="F43" s="335"/>
      <c r="G43" s="378"/>
      <c r="H43" s="398">
        <f t="shared" si="16"/>
        <v>11.2</v>
      </c>
      <c r="I43" s="396"/>
      <c r="J43" s="385"/>
      <c r="K43" s="329" t="s">
        <v>136</v>
      </c>
      <c r="L43" s="468">
        <v>27</v>
      </c>
      <c r="M43" s="377">
        <v>175</v>
      </c>
      <c r="N43" s="377">
        <v>1875</v>
      </c>
      <c r="O43" s="470">
        <v>3050</v>
      </c>
      <c r="P43" s="396"/>
      <c r="Q43" s="385"/>
      <c r="R43" s="461">
        <v>42147</v>
      </c>
      <c r="S43" s="462">
        <v>65</v>
      </c>
      <c r="T43" s="385"/>
      <c r="U43" s="385"/>
      <c r="V43" s="394"/>
      <c r="W43" s="395"/>
      <c r="X43" s="395"/>
      <c r="Y43" s="395"/>
      <c r="Z43" s="395"/>
      <c r="AA43" s="395"/>
      <c r="AB43" s="395"/>
      <c r="AC43" s="396"/>
      <c r="AD43" s="385"/>
    </row>
    <row r="44" spans="1:30">
      <c r="A44" s="385"/>
      <c r="B44" s="332">
        <v>17</v>
      </c>
      <c r="C44" s="335">
        <v>0.8</v>
      </c>
      <c r="D44" s="377" t="s">
        <v>33</v>
      </c>
      <c r="E44" s="335" t="s">
        <v>25</v>
      </c>
      <c r="F44" s="335"/>
      <c r="G44" s="378"/>
      <c r="H44" s="398">
        <f t="shared" si="16"/>
        <v>13.600000000000001</v>
      </c>
      <c r="I44" s="396"/>
      <c r="J44" s="385"/>
      <c r="K44" s="329" t="s">
        <v>376</v>
      </c>
      <c r="L44" s="468">
        <v>33</v>
      </c>
      <c r="M44" s="377">
        <v>90</v>
      </c>
      <c r="N44" s="377">
        <v>1400</v>
      </c>
      <c r="O44" s="470">
        <v>2900</v>
      </c>
      <c r="P44" s="396"/>
      <c r="Q44" s="385"/>
      <c r="R44" s="461">
        <v>42165</v>
      </c>
      <c r="S44" s="462">
        <v>83</v>
      </c>
      <c r="T44" s="385"/>
      <c r="U44" s="385"/>
      <c r="V44" s="394"/>
      <c r="W44" s="395"/>
      <c r="X44" s="395"/>
      <c r="Y44" s="395"/>
      <c r="Z44" s="395"/>
      <c r="AA44" s="395"/>
      <c r="AB44" s="395"/>
      <c r="AC44" s="396"/>
      <c r="AD44" s="385"/>
    </row>
    <row r="45" spans="1:30">
      <c r="A45" s="385"/>
      <c r="B45" s="332">
        <v>18</v>
      </c>
      <c r="C45" s="335">
        <v>0.9</v>
      </c>
      <c r="D45" s="377" t="s">
        <v>32</v>
      </c>
      <c r="E45" s="335" t="s">
        <v>24</v>
      </c>
      <c r="F45" s="335"/>
      <c r="G45" s="378"/>
      <c r="H45" s="398">
        <f t="shared" si="16"/>
        <v>16.2</v>
      </c>
      <c r="I45" s="396"/>
      <c r="J45" s="385"/>
      <c r="K45" s="348" t="s">
        <v>667</v>
      </c>
      <c r="L45" s="471">
        <v>30</v>
      </c>
      <c r="M45" s="381">
        <v>90</v>
      </c>
      <c r="N45" s="381">
        <v>1400</v>
      </c>
      <c r="O45" s="472">
        <v>2900</v>
      </c>
      <c r="P45" s="396"/>
      <c r="Q45" s="385"/>
      <c r="R45" s="461">
        <v>42175</v>
      </c>
      <c r="S45" s="462">
        <v>83</v>
      </c>
      <c r="T45" s="385"/>
      <c r="U45" s="385"/>
      <c r="V45" s="394"/>
      <c r="W45" s="395"/>
      <c r="X45" s="395"/>
      <c r="Y45" s="395"/>
      <c r="Z45" s="395"/>
      <c r="AA45" s="395"/>
      <c r="AB45" s="395"/>
      <c r="AC45" s="396"/>
      <c r="AD45" s="385"/>
    </row>
    <row r="46" spans="1:30" ht="15.75" thickBot="1">
      <c r="A46" s="385"/>
      <c r="B46" s="379">
        <v>19</v>
      </c>
      <c r="C46" s="380">
        <v>1</v>
      </c>
      <c r="D46" s="381" t="s">
        <v>23</v>
      </c>
      <c r="E46" s="380" t="s">
        <v>21</v>
      </c>
      <c r="F46" s="380"/>
      <c r="G46" s="382"/>
      <c r="H46" s="398">
        <f t="shared" si="16"/>
        <v>19</v>
      </c>
      <c r="I46" s="396"/>
      <c r="J46" s="385"/>
      <c r="K46" s="401"/>
      <c r="L46" s="399"/>
      <c r="M46" s="399"/>
      <c r="N46" s="399"/>
      <c r="O46" s="399"/>
      <c r="P46" s="400"/>
      <c r="Q46" s="385"/>
      <c r="R46" s="461">
        <v>42189</v>
      </c>
      <c r="S46" s="462">
        <v>89</v>
      </c>
      <c r="T46" s="385"/>
      <c r="U46" s="385"/>
      <c r="V46" s="394"/>
      <c r="W46" s="395"/>
      <c r="X46" s="395"/>
      <c r="Y46" s="395"/>
      <c r="Z46" s="395"/>
      <c r="AA46" s="395"/>
      <c r="AB46" s="395"/>
      <c r="AC46" s="396"/>
      <c r="AD46" s="385"/>
    </row>
    <row r="47" spans="1:30">
      <c r="A47" s="385"/>
      <c r="B47" s="394"/>
      <c r="C47" s="395"/>
      <c r="D47" s="395"/>
      <c r="E47" s="395"/>
      <c r="F47" s="395"/>
      <c r="G47" s="395"/>
      <c r="H47" s="395"/>
      <c r="I47" s="396"/>
      <c r="J47" s="385"/>
      <c r="K47" s="385"/>
      <c r="L47" s="385"/>
      <c r="M47" s="385"/>
      <c r="N47" s="385"/>
      <c r="O47" s="385"/>
      <c r="P47" s="385"/>
      <c r="Q47" s="385"/>
      <c r="R47" s="394"/>
      <c r="S47" s="396"/>
      <c r="T47" s="385"/>
      <c r="U47" s="385"/>
      <c r="V47" s="394"/>
      <c r="W47" s="395"/>
      <c r="X47" s="395"/>
      <c r="Y47" s="395"/>
      <c r="Z47" s="395"/>
      <c r="AA47" s="395"/>
      <c r="AB47" s="395"/>
      <c r="AC47" s="396"/>
      <c r="AD47" s="385"/>
    </row>
    <row r="48" spans="1:30">
      <c r="A48" s="385"/>
      <c r="B48" s="352" t="s">
        <v>41</v>
      </c>
      <c r="C48" s="134" t="s">
        <v>48</v>
      </c>
      <c r="D48" s="134" t="s">
        <v>49</v>
      </c>
      <c r="E48" s="134"/>
      <c r="F48" s="135"/>
      <c r="G48" s="395"/>
      <c r="H48" s="395"/>
      <c r="I48" s="396"/>
      <c r="J48" s="385"/>
      <c r="K48" s="385"/>
      <c r="L48" s="385"/>
      <c r="M48" s="385"/>
      <c r="N48" s="385"/>
      <c r="O48" s="385"/>
      <c r="P48" s="385"/>
      <c r="Q48" s="385"/>
      <c r="R48" s="394"/>
      <c r="S48" s="396"/>
      <c r="T48" s="385"/>
      <c r="U48" s="385"/>
      <c r="V48" s="394"/>
      <c r="W48" s="395"/>
      <c r="X48" s="395"/>
      <c r="Y48" s="395"/>
      <c r="Z48" s="395"/>
      <c r="AA48" s="395"/>
      <c r="AB48" s="395"/>
      <c r="AC48" s="396"/>
      <c r="AD48" s="385"/>
    </row>
    <row r="49" spans="1:30">
      <c r="A49" s="385"/>
      <c r="B49" s="329">
        <v>0</v>
      </c>
      <c r="C49" s="123">
        <v>7.0000000000000007E-2</v>
      </c>
      <c r="D49" s="123"/>
      <c r="E49" s="123" t="s">
        <v>42</v>
      </c>
      <c r="F49" s="125" t="s">
        <v>47</v>
      </c>
      <c r="G49" s="395"/>
      <c r="H49" s="395"/>
      <c r="I49" s="396"/>
      <c r="J49" s="385"/>
      <c r="K49" s="385" t="s">
        <v>695</v>
      </c>
      <c r="L49" s="385"/>
      <c r="M49" s="385"/>
      <c r="N49" s="385"/>
      <c r="O49" s="385"/>
      <c r="P49" s="385"/>
      <c r="Q49" s="385"/>
      <c r="R49" s="394"/>
      <c r="S49" s="396"/>
      <c r="T49" s="385"/>
      <c r="U49" s="385"/>
      <c r="V49" s="394"/>
      <c r="W49" s="395"/>
      <c r="X49" s="395"/>
      <c r="Y49" s="395"/>
      <c r="Z49" s="395"/>
      <c r="AA49" s="395"/>
      <c r="AB49" s="395"/>
      <c r="AC49" s="396"/>
      <c r="AD49" s="385"/>
    </row>
    <row r="50" spans="1:30">
      <c r="A50" s="385"/>
      <c r="B50" s="329">
        <v>1</v>
      </c>
      <c r="C50" s="123">
        <v>0.1</v>
      </c>
      <c r="D50" s="123"/>
      <c r="E50" s="123" t="s">
        <v>43</v>
      </c>
      <c r="F50" s="125" t="s">
        <v>46</v>
      </c>
      <c r="G50" s="395"/>
      <c r="H50" s="395"/>
      <c r="I50" s="396"/>
      <c r="J50" s="385"/>
      <c r="K50" s="486" t="s">
        <v>439</v>
      </c>
      <c r="L50" s="486">
        <v>1</v>
      </c>
      <c r="M50" s="385"/>
      <c r="N50" s="385"/>
      <c r="O50" s="385"/>
      <c r="P50" s="385"/>
      <c r="Q50" s="385"/>
      <c r="R50" s="394"/>
      <c r="S50" s="396"/>
      <c r="T50" s="385"/>
      <c r="U50" s="385"/>
      <c r="V50" s="394"/>
      <c r="W50" s="395"/>
      <c r="X50" s="395"/>
      <c r="Y50" s="395"/>
      <c r="Z50" s="395"/>
      <c r="AA50" s="395"/>
      <c r="AB50" s="395"/>
      <c r="AC50" s="396"/>
      <c r="AD50" s="385"/>
    </row>
    <row r="51" spans="1:30">
      <c r="A51" s="385"/>
      <c r="B51" s="348">
        <v>2.5</v>
      </c>
      <c r="C51" s="128">
        <v>0.22</v>
      </c>
      <c r="D51" s="128"/>
      <c r="E51" s="128" t="s">
        <v>44</v>
      </c>
      <c r="F51" s="129" t="s">
        <v>45</v>
      </c>
      <c r="G51" s="395"/>
      <c r="H51" s="395"/>
      <c r="I51" s="396"/>
      <c r="J51" s="385"/>
      <c r="K51" s="486" t="s">
        <v>132</v>
      </c>
      <c r="L51" s="486">
        <v>0</v>
      </c>
      <c r="M51" s="385"/>
      <c r="N51" s="385"/>
      <c r="O51" s="385"/>
      <c r="P51" s="385"/>
      <c r="Q51" s="385"/>
      <c r="R51" s="394"/>
      <c r="S51" s="396"/>
      <c r="T51" s="385"/>
      <c r="U51" s="385"/>
      <c r="V51" s="394"/>
      <c r="W51" s="395"/>
      <c r="X51" s="395"/>
      <c r="Y51" s="395"/>
      <c r="Z51" s="395"/>
      <c r="AA51" s="395"/>
      <c r="AB51" s="395"/>
      <c r="AC51" s="396"/>
      <c r="AD51" s="385"/>
    </row>
    <row r="52" spans="1:30" ht="15.75" thickBot="1">
      <c r="A52" s="385"/>
      <c r="B52" s="401"/>
      <c r="C52" s="399"/>
      <c r="D52" s="399"/>
      <c r="E52" s="399"/>
      <c r="F52" s="399"/>
      <c r="G52" s="399"/>
      <c r="H52" s="399"/>
      <c r="I52" s="400"/>
      <c r="J52" s="385"/>
      <c r="K52" s="385"/>
      <c r="L52" s="385"/>
      <c r="M52" s="385"/>
      <c r="N52" s="385"/>
      <c r="O52" s="385"/>
      <c r="P52" s="385"/>
      <c r="Q52" s="385"/>
      <c r="R52" s="401"/>
      <c r="S52" s="400"/>
      <c r="T52" s="385"/>
      <c r="U52" s="385"/>
      <c r="V52" s="401"/>
      <c r="W52" s="399"/>
      <c r="X52" s="399"/>
      <c r="Y52" s="399"/>
      <c r="Z52" s="399"/>
      <c r="AA52" s="399"/>
      <c r="AB52" s="399"/>
      <c r="AC52" s="400"/>
      <c r="AD52" s="385"/>
    </row>
    <row r="53" spans="1:30">
      <c r="A53" s="385"/>
      <c r="B53" s="385"/>
      <c r="C53" s="385"/>
      <c r="D53" s="385"/>
      <c r="E53" s="385"/>
      <c r="F53" s="385"/>
      <c r="G53" s="385"/>
      <c r="H53" s="385"/>
      <c r="I53" s="385"/>
      <c r="J53" s="385"/>
      <c r="K53" s="385"/>
      <c r="L53" s="385"/>
      <c r="M53" s="385"/>
      <c r="N53" s="385"/>
      <c r="O53" s="385"/>
      <c r="P53" s="385"/>
      <c r="Q53" s="385"/>
      <c r="R53" s="385"/>
      <c r="S53" s="385"/>
      <c r="T53" s="385"/>
      <c r="U53" s="385"/>
      <c r="V53" s="385"/>
      <c r="W53" s="385"/>
      <c r="X53" s="385"/>
      <c r="Y53" s="385"/>
      <c r="Z53" s="385"/>
      <c r="AA53" s="385"/>
      <c r="AB53" s="385"/>
      <c r="AC53" s="385"/>
      <c r="AD53" s="385"/>
    </row>
    <row r="54" spans="1:30" hidden="1">
      <c r="A54" s="136"/>
      <c r="B54" s="137"/>
      <c r="C54" s="137"/>
      <c r="D54" s="137"/>
      <c r="E54" s="137"/>
      <c r="F54" s="137"/>
      <c r="G54" s="137"/>
      <c r="H54" s="137"/>
      <c r="I54" s="137"/>
      <c r="J54" s="137"/>
      <c r="K54" s="137"/>
      <c r="L54" s="136"/>
      <c r="M54" s="137"/>
      <c r="N54" s="136"/>
      <c r="O54" s="136"/>
    </row>
    <row r="55" spans="1:30" hidden="1">
      <c r="A55" s="136"/>
      <c r="B55" s="137"/>
      <c r="C55" s="137"/>
      <c r="D55" s="137"/>
      <c r="E55" s="137"/>
      <c r="F55" s="137"/>
      <c r="G55" s="137"/>
      <c r="H55" s="137"/>
      <c r="I55" s="137"/>
      <c r="J55" s="137"/>
      <c r="K55" s="137"/>
      <c r="L55" s="136"/>
      <c r="M55" s="136"/>
      <c r="N55" s="136"/>
      <c r="O55" s="136"/>
    </row>
    <row r="56" spans="1:30" hidden="1">
      <c r="A56" s="136"/>
      <c r="B56" s="137"/>
      <c r="C56" s="137"/>
      <c r="D56" s="137"/>
      <c r="E56" s="137"/>
      <c r="F56" s="137"/>
      <c r="G56" s="137"/>
      <c r="H56" s="137"/>
      <c r="I56" s="137"/>
      <c r="J56" s="137"/>
      <c r="K56" s="137"/>
      <c r="L56" s="136"/>
      <c r="M56" s="136"/>
      <c r="N56" s="136"/>
      <c r="O56" s="136"/>
    </row>
    <row r="57" spans="1:30" hidden="1">
      <c r="A57" s="136"/>
      <c r="B57" s="137"/>
      <c r="C57" s="137"/>
      <c r="D57" s="137"/>
      <c r="E57" s="137"/>
      <c r="F57" s="137"/>
      <c r="G57" s="137"/>
      <c r="H57" s="137"/>
      <c r="I57" s="137"/>
      <c r="J57" s="137"/>
      <c r="K57" s="137"/>
      <c r="L57" s="136"/>
      <c r="M57" s="136"/>
      <c r="N57" s="136"/>
      <c r="O57" s="136"/>
    </row>
    <row r="58" spans="1:30" hidden="1">
      <c r="A58" s="136"/>
      <c r="B58" s="138"/>
      <c r="C58" s="138"/>
      <c r="D58" s="138"/>
      <c r="E58" s="138"/>
      <c r="F58" s="138"/>
      <c r="G58" s="138"/>
      <c r="H58" s="138"/>
      <c r="I58" s="138"/>
      <c r="J58" s="138"/>
      <c r="K58" s="138"/>
      <c r="L58" s="139"/>
      <c r="M58" s="136"/>
      <c r="N58" s="136"/>
      <c r="O58" s="136"/>
    </row>
    <row r="59" spans="1:30" hidden="1">
      <c r="A59" s="136"/>
      <c r="B59" s="137"/>
      <c r="C59" s="137"/>
      <c r="D59" s="137"/>
      <c r="E59" s="137"/>
      <c r="F59" s="137"/>
      <c r="G59" s="137"/>
      <c r="H59" s="137"/>
      <c r="I59" s="137"/>
      <c r="J59" s="137"/>
      <c r="K59" s="137"/>
      <c r="L59" s="140"/>
      <c r="M59" s="136"/>
      <c r="N59" s="136"/>
      <c r="O59" s="136"/>
    </row>
    <row r="60" spans="1:30" hidden="1">
      <c r="A60" s="136"/>
      <c r="B60" s="137"/>
      <c r="C60" s="137"/>
      <c r="D60" s="137"/>
      <c r="E60" s="137"/>
      <c r="F60" s="137"/>
      <c r="G60" s="137"/>
      <c r="H60" s="137"/>
      <c r="I60" s="137"/>
      <c r="J60" s="137"/>
      <c r="K60" s="137"/>
      <c r="L60" s="140"/>
      <c r="M60" s="136"/>
      <c r="N60" s="136"/>
      <c r="O60" s="136"/>
    </row>
    <row r="61" spans="1:30" hidden="1">
      <c r="A61" s="136"/>
      <c r="B61" s="137"/>
      <c r="C61" s="137"/>
      <c r="D61" s="137"/>
      <c r="E61" s="137"/>
      <c r="F61" s="137"/>
      <c r="G61" s="137"/>
      <c r="H61" s="137"/>
      <c r="I61" s="137"/>
      <c r="J61" s="137"/>
      <c r="K61" s="137"/>
      <c r="L61" s="140"/>
      <c r="M61" s="136"/>
      <c r="N61" s="136"/>
      <c r="O61" s="136"/>
    </row>
    <row r="62" spans="1:30" hidden="1">
      <c r="A62" s="136"/>
      <c r="B62" s="137"/>
      <c r="C62" s="137"/>
      <c r="D62" s="137"/>
      <c r="E62" s="137"/>
      <c r="F62" s="137"/>
      <c r="G62" s="137"/>
      <c r="H62" s="141"/>
      <c r="I62" s="141"/>
      <c r="J62" s="141"/>
      <c r="K62" s="141"/>
      <c r="L62" s="140"/>
      <c r="M62" s="136"/>
      <c r="N62" s="136"/>
      <c r="O62" s="136"/>
    </row>
    <row r="63" spans="1:30" hidden="1">
      <c r="A63" s="136"/>
      <c r="B63" s="137"/>
      <c r="C63" s="141"/>
      <c r="D63" s="141"/>
      <c r="E63" s="141"/>
      <c r="F63" s="141"/>
      <c r="G63" s="137"/>
      <c r="H63" s="137"/>
      <c r="I63" s="137"/>
      <c r="J63" s="137"/>
      <c r="K63" s="137"/>
      <c r="L63" s="140"/>
      <c r="M63" s="136"/>
      <c r="N63" s="136"/>
      <c r="O63" s="136"/>
    </row>
    <row r="64" spans="1:30" hidden="1">
      <c r="A64" s="136"/>
      <c r="B64" s="137"/>
      <c r="C64" s="137"/>
      <c r="D64" s="137"/>
      <c r="E64" s="137"/>
      <c r="F64" s="137"/>
      <c r="G64" s="137"/>
      <c r="H64" s="137"/>
      <c r="I64" s="137"/>
      <c r="J64" s="137"/>
      <c r="K64" s="137"/>
      <c r="L64" s="140"/>
      <c r="M64" s="136"/>
      <c r="N64" s="136"/>
      <c r="O64" s="136"/>
    </row>
    <row r="65" spans="1:15" hidden="1">
      <c r="A65" s="136"/>
      <c r="B65" s="137"/>
      <c r="C65" s="137"/>
      <c r="D65" s="137"/>
      <c r="E65" s="137"/>
      <c r="F65" s="137"/>
      <c r="G65" s="137"/>
      <c r="H65" s="137"/>
      <c r="I65" s="137"/>
      <c r="J65" s="137"/>
      <c r="K65" s="137"/>
      <c r="L65" s="140"/>
      <c r="M65" s="136"/>
      <c r="N65" s="136"/>
      <c r="O65" s="136"/>
    </row>
    <row r="66" spans="1:15" hidden="1">
      <c r="A66" s="136"/>
      <c r="B66" s="137"/>
      <c r="C66" s="141"/>
      <c r="D66" s="141"/>
      <c r="E66" s="141"/>
      <c r="F66" s="137"/>
      <c r="G66" s="141"/>
      <c r="H66" s="141"/>
      <c r="I66" s="141"/>
      <c r="J66" s="141"/>
      <c r="K66" s="141"/>
      <c r="L66" s="140"/>
      <c r="M66" s="136"/>
      <c r="N66" s="136"/>
      <c r="O66" s="136"/>
    </row>
    <row r="67" spans="1:15" hidden="1">
      <c r="A67" s="136"/>
      <c r="B67" s="137"/>
      <c r="C67" s="137"/>
      <c r="D67" s="137"/>
      <c r="E67" s="137"/>
      <c r="F67" s="137"/>
      <c r="G67" s="137"/>
      <c r="H67" s="137"/>
      <c r="I67" s="137"/>
      <c r="J67" s="137"/>
      <c r="K67" s="137"/>
      <c r="L67" s="140"/>
      <c r="M67" s="136"/>
      <c r="N67" s="136"/>
      <c r="O67" s="136"/>
    </row>
    <row r="68" spans="1:15" hidden="1">
      <c r="A68" s="136"/>
      <c r="B68" s="137"/>
      <c r="C68" s="141"/>
      <c r="D68" s="141"/>
      <c r="E68" s="141"/>
      <c r="F68" s="141"/>
      <c r="G68" s="141"/>
      <c r="H68" s="141"/>
      <c r="I68" s="137"/>
      <c r="J68" s="137"/>
      <c r="K68" s="137"/>
      <c r="L68" s="140"/>
      <c r="M68" s="136"/>
      <c r="N68" s="136"/>
      <c r="O68" s="136"/>
    </row>
    <row r="69" spans="1:15" hidden="1">
      <c r="A69" s="136"/>
      <c r="B69" s="137"/>
      <c r="C69" s="137"/>
      <c r="D69" s="137"/>
      <c r="E69" s="137"/>
      <c r="F69" s="137"/>
      <c r="G69" s="137"/>
      <c r="H69" s="137"/>
      <c r="I69" s="137"/>
      <c r="J69" s="137"/>
      <c r="K69" s="137"/>
      <c r="L69" s="140"/>
      <c r="M69" s="136"/>
      <c r="N69" s="136"/>
      <c r="O69" s="136"/>
    </row>
    <row r="70" spans="1:15" hidden="1">
      <c r="A70" s="136"/>
      <c r="B70" s="137"/>
      <c r="C70" s="137"/>
      <c r="D70" s="137"/>
      <c r="E70" s="141"/>
      <c r="F70" s="141"/>
      <c r="G70" s="141"/>
      <c r="H70" s="141"/>
      <c r="I70" s="141"/>
      <c r="J70" s="141"/>
      <c r="K70" s="141"/>
      <c r="L70" s="140"/>
      <c r="M70" s="136"/>
      <c r="N70" s="136"/>
      <c r="O70" s="136"/>
    </row>
    <row r="71" spans="1:15" hidden="1">
      <c r="A71" s="136"/>
      <c r="B71" s="137"/>
      <c r="C71" s="137"/>
      <c r="D71" s="141"/>
      <c r="E71" s="141"/>
      <c r="F71" s="137"/>
      <c r="G71" s="137"/>
      <c r="H71" s="141"/>
      <c r="I71" s="137"/>
      <c r="J71" s="137"/>
      <c r="K71" s="137"/>
      <c r="L71" s="140"/>
      <c r="M71" s="136"/>
      <c r="N71" s="136"/>
      <c r="O71" s="136"/>
    </row>
    <row r="72" spans="1:15" hidden="1">
      <c r="A72" s="136"/>
      <c r="B72" s="137"/>
      <c r="C72" s="137"/>
      <c r="D72" s="137"/>
      <c r="E72" s="137"/>
      <c r="F72" s="137"/>
      <c r="G72" s="137"/>
      <c r="H72" s="137"/>
      <c r="I72" s="137"/>
      <c r="J72" s="137"/>
      <c r="K72" s="137"/>
      <c r="L72" s="140"/>
      <c r="M72" s="136"/>
      <c r="N72" s="136"/>
      <c r="O72" s="136"/>
    </row>
    <row r="73" spans="1:15" hidden="1">
      <c r="A73" s="136"/>
      <c r="B73" s="137"/>
      <c r="C73" s="137"/>
      <c r="D73" s="137"/>
      <c r="E73" s="137"/>
      <c r="F73" s="137"/>
      <c r="G73" s="137"/>
      <c r="H73" s="137"/>
      <c r="I73" s="137"/>
      <c r="J73" s="137"/>
      <c r="K73" s="137"/>
      <c r="L73" s="140"/>
      <c r="M73" s="136"/>
      <c r="N73" s="136"/>
      <c r="O73" s="136"/>
    </row>
    <row r="74" spans="1:15" hidden="1">
      <c r="A74" s="136"/>
      <c r="B74" s="137"/>
      <c r="C74" s="137"/>
      <c r="D74" s="137"/>
      <c r="E74" s="137"/>
      <c r="F74" s="137"/>
      <c r="G74" s="137"/>
      <c r="H74" s="137"/>
      <c r="I74" s="137"/>
      <c r="J74" s="137"/>
      <c r="K74" s="137"/>
      <c r="L74" s="140"/>
      <c r="M74" s="136"/>
      <c r="N74" s="136"/>
      <c r="O74" s="136"/>
    </row>
    <row r="75" spans="1:15" hidden="1">
      <c r="A75" s="136"/>
      <c r="B75" s="137"/>
      <c r="C75" s="137"/>
      <c r="D75" s="137"/>
      <c r="E75" s="137"/>
      <c r="F75" s="137"/>
      <c r="G75" s="137"/>
      <c r="H75" s="136"/>
      <c r="I75" s="136"/>
      <c r="J75" s="136"/>
      <c r="K75" s="136"/>
      <c r="L75" s="140"/>
      <c r="M75" s="136"/>
      <c r="N75" s="136"/>
      <c r="O75" s="136"/>
    </row>
    <row r="76" spans="1:15" hidden="1">
      <c r="A76" s="136"/>
      <c r="B76" s="137"/>
      <c r="C76" s="137"/>
      <c r="D76" s="137"/>
      <c r="E76" s="137"/>
      <c r="F76" s="137"/>
      <c r="G76" s="137"/>
      <c r="H76" s="136"/>
      <c r="I76" s="136"/>
      <c r="J76" s="136"/>
      <c r="K76" s="136"/>
      <c r="L76" s="140"/>
      <c r="M76" s="136"/>
      <c r="N76" s="136"/>
      <c r="O76" s="136"/>
    </row>
    <row r="77" spans="1:15" hidden="1">
      <c r="A77" s="136"/>
      <c r="B77" s="137"/>
      <c r="C77" s="137"/>
      <c r="D77" s="137"/>
      <c r="E77" s="137"/>
      <c r="F77" s="137"/>
      <c r="G77" s="137"/>
      <c r="H77" s="137"/>
      <c r="I77" s="137"/>
      <c r="J77" s="137"/>
      <c r="K77" s="137"/>
      <c r="L77" s="140"/>
      <c r="M77" s="136"/>
      <c r="N77" s="136"/>
      <c r="O77" s="136"/>
    </row>
    <row r="78" spans="1:15" ht="15" hidden="1" customHeight="1">
      <c r="A78" s="136"/>
      <c r="B78" s="137"/>
      <c r="C78" s="137"/>
      <c r="D78" s="137"/>
      <c r="E78" s="137"/>
      <c r="F78" s="137"/>
      <c r="G78" s="137"/>
      <c r="H78" s="137"/>
      <c r="I78" s="137"/>
      <c r="J78" s="137"/>
      <c r="K78" s="137"/>
      <c r="L78" s="140"/>
      <c r="M78" s="136"/>
      <c r="N78" s="136"/>
      <c r="O78" s="136"/>
    </row>
    <row r="79" spans="1:15" hidden="1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40"/>
      <c r="M79" s="136"/>
      <c r="N79" s="136"/>
      <c r="O79" s="136"/>
    </row>
    <row r="80" spans="1:15" hidden="1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40"/>
      <c r="M80" s="136"/>
      <c r="N80" s="136"/>
      <c r="O80" s="136"/>
    </row>
    <row r="81" spans="1:15" hidden="1">
      <c r="A81" s="138"/>
      <c r="B81" s="138"/>
      <c r="C81" s="138"/>
      <c r="D81" s="138"/>
      <c r="E81" s="138"/>
      <c r="F81" s="138"/>
      <c r="G81" s="138"/>
      <c r="H81" s="138"/>
      <c r="I81" s="138"/>
      <c r="J81" s="138"/>
      <c r="K81" s="138"/>
      <c r="L81" s="140"/>
      <c r="M81" s="136"/>
      <c r="N81" s="136"/>
      <c r="O81" s="136"/>
    </row>
    <row r="82" spans="1:15" hidden="1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40"/>
      <c r="M82" s="136"/>
      <c r="N82" s="136"/>
      <c r="O82" s="136"/>
    </row>
    <row r="83" spans="1:15" hidden="1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40"/>
      <c r="M83" s="136"/>
      <c r="N83" s="136"/>
      <c r="O83" s="136"/>
    </row>
    <row r="84" spans="1:15" hidden="1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40"/>
      <c r="M84" s="136"/>
      <c r="N84" s="136"/>
      <c r="O84" s="136"/>
    </row>
    <row r="85" spans="1:15" hidden="1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40"/>
      <c r="M85" s="136"/>
      <c r="N85" s="136"/>
      <c r="O85" s="136"/>
    </row>
    <row r="86" spans="1:15" hidden="1">
      <c r="A86" s="137"/>
      <c r="B86" s="137"/>
      <c r="C86" s="137"/>
      <c r="D86" s="137"/>
      <c r="E86" s="137"/>
      <c r="F86" s="137"/>
      <c r="G86" s="137"/>
      <c r="H86" s="137"/>
      <c r="I86" s="137"/>
      <c r="J86" s="137"/>
      <c r="K86" s="137"/>
      <c r="L86" s="140"/>
      <c r="M86" s="136"/>
      <c r="N86" s="136"/>
      <c r="O86" s="136"/>
    </row>
    <row r="87" spans="1:15" hidden="1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40"/>
      <c r="M87" s="136"/>
      <c r="N87" s="136"/>
      <c r="O87" s="136"/>
    </row>
    <row r="88" spans="1:15" hidden="1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40"/>
      <c r="M88" s="136"/>
      <c r="N88" s="136"/>
      <c r="O88" s="136"/>
    </row>
    <row r="89" spans="1:15" hidden="1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40"/>
      <c r="M89" s="136"/>
      <c r="N89" s="136"/>
      <c r="O89" s="136"/>
    </row>
    <row r="90" spans="1:15" hidden="1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40"/>
      <c r="M90" s="136"/>
      <c r="N90" s="136"/>
      <c r="O90" s="136"/>
    </row>
    <row r="91" spans="1:15" hidden="1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40"/>
      <c r="M91" s="136"/>
      <c r="N91" s="136"/>
      <c r="O91" s="136"/>
    </row>
    <row r="92" spans="1:15" hidden="1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40"/>
      <c r="M92" s="136"/>
      <c r="N92" s="136"/>
      <c r="O92" s="136"/>
    </row>
    <row r="93" spans="1:15" hidden="1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40"/>
      <c r="M93" s="136"/>
      <c r="N93" s="136"/>
      <c r="O93" s="136"/>
    </row>
    <row r="94" spans="1:15" hidden="1">
      <c r="A94" s="136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40"/>
      <c r="M94" s="136"/>
      <c r="N94" s="136"/>
      <c r="O94" s="136"/>
    </row>
    <row r="97" s="116" customFormat="1" hidden="1"/>
    <row r="98" s="116" customFormat="1" hidden="1"/>
    <row r="99" s="116" customFormat="1" hidden="1"/>
    <row r="100" s="116" customFormat="1" hidden="1"/>
    <row r="101" s="116" customFormat="1" hidden="1"/>
    <row r="102" s="116" customFormat="1" hidden="1"/>
    <row r="103" s="116" customFormat="1" hidden="1"/>
    <row r="104" s="116" customFormat="1" hidden="1"/>
    <row r="105" s="116" customFormat="1" hidden="1"/>
    <row r="106" s="116" customFormat="1" hidden="1"/>
    <row r="107" s="116" customFormat="1" hidden="1"/>
    <row r="108" s="116" customFormat="1" hidden="1"/>
    <row r="109" s="116" customFormat="1" hidden="1"/>
    <row r="110" s="116" customFormat="1" hidden="1"/>
    <row r="111" s="116" customFormat="1" hidden="1"/>
    <row r="112" s="116" customFormat="1" hidden="1"/>
    <row r="113" s="116" customFormat="1" hidden="1"/>
    <row r="114" s="116" customFormat="1" hidden="1"/>
    <row r="115" s="116" customFormat="1" hidden="1"/>
    <row r="116" s="116" customFormat="1" hidden="1"/>
    <row r="117" s="116" customFormat="1" hidden="1"/>
    <row r="118" s="116" customFormat="1" hidden="1"/>
    <row r="119" s="116" customFormat="1" hidden="1"/>
    <row r="120" s="116" customFormat="1" hidden="1"/>
    <row r="121" s="116" customFormat="1" hidden="1"/>
    <row r="122" s="116" customFormat="1" hidden="1"/>
    <row r="123" s="116" customFormat="1" hidden="1"/>
    <row r="124" s="116" customFormat="1" hidden="1"/>
    <row r="125" s="116" customFormat="1" hidden="1"/>
    <row r="126" s="116" customFormat="1" hidden="1"/>
    <row r="127" s="116" customFormat="1" hidden="1"/>
    <row r="128" s="116" customFormat="1" hidden="1"/>
    <row r="129" s="116" customFormat="1" hidden="1"/>
    <row r="130" s="116" customFormat="1" hidden="1"/>
    <row r="131" s="116" customFormat="1" hidden="1"/>
    <row r="132" s="116" customFormat="1" hidden="1"/>
    <row r="133" s="116" customFormat="1" hidden="1"/>
    <row r="134" s="116" customFormat="1" hidden="1"/>
    <row r="135" s="116" customFormat="1" hidden="1"/>
    <row r="136" s="116" customFormat="1" hidden="1"/>
    <row r="137" s="116" customFormat="1" hidden="1"/>
    <row r="138" s="116" customFormat="1" hidden="1"/>
    <row r="139" s="116" customFormat="1" hidden="1"/>
    <row r="140" s="116" customFormat="1" hidden="1"/>
    <row r="141" s="116" customFormat="1" hidden="1"/>
    <row r="142" s="116" customFormat="1" hidden="1"/>
    <row r="143" s="116" customFormat="1" hidden="1"/>
    <row r="144" s="116" customFormat="1" hidden="1"/>
    <row r="145" s="116" customFormat="1" hidden="1"/>
    <row r="146" s="116" customFormat="1" hidden="1"/>
    <row r="147" s="116" customFormat="1" hidden="1"/>
    <row r="148" s="116" customFormat="1" hidden="1"/>
    <row r="149" s="116" customFormat="1" hidden="1"/>
    <row r="150" s="116" customFormat="1" hidden="1"/>
    <row r="151" s="116" customFormat="1" hidden="1"/>
    <row r="152" s="116" customFormat="1" hidden="1"/>
    <row r="153" s="116" customFormat="1" hidden="1"/>
    <row r="154" s="116" customFormat="1" hidden="1"/>
  </sheetData>
  <sortState xmlns:xlrd2="http://schemas.microsoft.com/office/spreadsheetml/2017/richdata2" ref="B29:D36">
    <sortCondition ref="B29:B36"/>
  </sortState>
  <dataConsolidate/>
  <mergeCells count="4">
    <mergeCell ref="B22:M22"/>
    <mergeCell ref="O22:S22"/>
    <mergeCell ref="V22:AC22"/>
    <mergeCell ref="R35:S35"/>
  </mergeCells>
  <dataValidations count="3">
    <dataValidation type="list" allowBlank="1" showInputMessage="1" showErrorMessage="1" sqref="I2" xr:uid="{00000000-0002-0000-0400-000000000000}">
      <formula1>$K$38:$K$45</formula1>
    </dataValidation>
    <dataValidation type="whole" allowBlank="1" showDropDown="1" showInputMessage="1" showErrorMessage="1" sqref="C1" xr:uid="{00000000-0002-0000-0400-000005000000}">
      <formula1>2015</formula1>
      <formula2>2021</formula2>
    </dataValidation>
    <dataValidation type="list" allowBlank="1" showInputMessage="1" showErrorMessage="1" sqref="W13 W15 W17" xr:uid="{62266FFD-9DE9-49CF-A039-784DD9537D6E}">
      <formula1>$K$50:$K$51</formula1>
    </dataValidation>
  </dataValidations>
  <pageMargins left="0.7" right="0.7" top="0.75" bottom="0.75" header="0.3" footer="0.3"/>
  <pageSetup paperSize="9" scale="45" orientation="landscape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2000000}">
          <x14:formula1>
            <xm:f>Nomen!$A$43:$A$50</xm:f>
          </x14:formula1>
          <xm:sqref>I1</xm:sqref>
        </x14:dataValidation>
        <x14:dataValidation type="list" allowBlank="1" showInputMessage="1" showErrorMessage="1" xr:uid="{00000000-0002-0000-0400-000003000000}">
          <x14:formula1>
            <xm:f>Nomen!$A$53:$A$55</xm:f>
          </x14:formula1>
          <xm:sqref>L1</xm:sqref>
        </x14:dataValidation>
        <x14:dataValidation type="list" allowBlank="1" showInputMessage="1" showErrorMessage="1" xr:uid="{00000000-0002-0000-0400-000004000000}">
          <x14:formula1>
            <xm:f>Nomen!$A$58:$A$60</xm:f>
          </x14:formula1>
          <xm:sqref>L2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>
    <tabColor theme="7" tint="-0.249977111117893"/>
  </sheetPr>
  <dimension ref="A1:BE767"/>
  <sheetViews>
    <sheetView topLeftCell="A22" workbookViewId="0">
      <selection activeCell="AR45" sqref="AR45"/>
    </sheetView>
  </sheetViews>
  <sheetFormatPr baseColWidth="10" defaultColWidth="0" defaultRowHeight="15" zeroHeight="1"/>
  <cols>
    <col min="1" max="1" width="10.7109375" style="262" customWidth="1"/>
    <col min="2" max="2" width="5" style="262" customWidth="1"/>
    <col min="3" max="3" width="7.140625" style="262" customWidth="1"/>
    <col min="4" max="9" width="5.5703125" style="262" customWidth="1"/>
    <col min="10" max="10" width="6.5703125" style="262" bestFit="1" customWidth="1"/>
    <col min="11" max="11" width="6.42578125" style="262" customWidth="1"/>
    <col min="12" max="13" width="5.5703125" style="262" customWidth="1"/>
    <col min="14" max="14" width="8" style="262" customWidth="1"/>
    <col min="15" max="15" width="6.85546875" style="262" customWidth="1"/>
    <col min="16" max="16" width="7.42578125" style="262" customWidth="1"/>
    <col min="17" max="17" width="6.85546875" style="262" customWidth="1"/>
    <col min="18" max="19" width="6.85546875" style="260" customWidth="1"/>
    <col min="20" max="23" width="6.85546875" style="261" customWidth="1"/>
    <col min="24" max="24" width="11" style="260" customWidth="1"/>
    <col min="25" max="27" width="6.85546875" style="260" customWidth="1"/>
    <col min="28" max="28" width="6.85546875" style="261" customWidth="1"/>
    <col min="29" max="29" width="6.85546875" style="260" customWidth="1"/>
    <col min="30" max="33" width="6.85546875" style="261" customWidth="1"/>
    <col min="34" max="34" width="11.42578125" style="261" bestFit="1" customWidth="1"/>
    <col min="35" max="35" width="6.85546875" style="261" customWidth="1"/>
    <col min="36" max="39" width="8" style="262" customWidth="1"/>
    <col min="40" max="40" width="10.5703125" style="262" customWidth="1"/>
    <col min="41" max="41" width="16.42578125" style="262" customWidth="1"/>
    <col min="42" max="42" width="8" style="262" customWidth="1"/>
    <col min="43" max="43" width="9.42578125" style="262" customWidth="1"/>
    <col min="44" max="44" width="8" style="262" customWidth="1"/>
    <col min="45" max="45" width="8" style="100" customWidth="1"/>
    <col min="46" max="46" width="8" style="262" customWidth="1"/>
    <col min="47" max="47" width="10.5703125" style="262" bestFit="1" customWidth="1"/>
    <col min="48" max="48" width="8" style="262" customWidth="1"/>
    <col min="49" max="49" width="12.42578125" style="262" customWidth="1"/>
    <col min="50" max="51" width="8" style="262" customWidth="1"/>
    <col min="52" max="52" width="16" style="262" customWidth="1"/>
    <col min="53" max="54" width="10.5703125" style="262" bestFit="1" customWidth="1"/>
    <col min="55" max="55" width="12.7109375" style="262" customWidth="1"/>
    <col min="56" max="56" width="10.7109375" style="262" bestFit="1" customWidth="1"/>
    <col min="57" max="57" width="8" style="262" customWidth="1"/>
    <col min="58" max="16384" width="8" style="262" hidden="1"/>
  </cols>
  <sheetData>
    <row r="1" spans="1:56" ht="18.75">
      <c r="A1" s="264"/>
      <c r="B1" s="100"/>
      <c r="E1" s="549" t="s">
        <v>580</v>
      </c>
      <c r="F1" s="550"/>
      <c r="G1" s="489" t="str">
        <f>Inputs!W15</f>
        <v>No</v>
      </c>
      <c r="AF1" s="260"/>
      <c r="AG1" s="260"/>
    </row>
    <row r="2" spans="1:56">
      <c r="A2" s="253" t="s">
        <v>547</v>
      </c>
      <c r="B2" s="265" t="str">
        <f>Inputs!C4</f>
        <v>LT 2015 TrB F1 Z1</v>
      </c>
      <c r="AF2" s="260"/>
      <c r="AG2" s="260"/>
    </row>
    <row r="3" spans="1:56" ht="14.25" customHeight="1">
      <c r="AF3" s="260"/>
      <c r="AG3" s="260"/>
    </row>
    <row r="4" spans="1:56" s="263" customFormat="1" ht="12.75">
      <c r="A4" s="270">
        <v>1</v>
      </c>
      <c r="B4" s="270">
        <f t="shared" ref="B4:AM4" si="0">A4+1</f>
        <v>2</v>
      </c>
      <c r="C4" s="270">
        <f t="shared" si="0"/>
        <v>3</v>
      </c>
      <c r="D4" s="270">
        <f t="shared" si="0"/>
        <v>4</v>
      </c>
      <c r="E4" s="270">
        <f t="shared" si="0"/>
        <v>5</v>
      </c>
      <c r="F4" s="270">
        <f t="shared" si="0"/>
        <v>6</v>
      </c>
      <c r="G4" s="270">
        <f t="shared" si="0"/>
        <v>7</v>
      </c>
      <c r="H4" s="270">
        <f t="shared" si="0"/>
        <v>8</v>
      </c>
      <c r="I4" s="270">
        <f t="shared" si="0"/>
        <v>9</v>
      </c>
      <c r="J4" s="270">
        <f t="shared" si="0"/>
        <v>10</v>
      </c>
      <c r="K4" s="270">
        <f t="shared" si="0"/>
        <v>11</v>
      </c>
      <c r="L4" s="270">
        <f t="shared" si="0"/>
        <v>12</v>
      </c>
      <c r="M4" s="270">
        <f t="shared" si="0"/>
        <v>13</v>
      </c>
      <c r="N4" s="270">
        <f t="shared" si="0"/>
        <v>14</v>
      </c>
      <c r="O4" s="270">
        <f t="shared" si="0"/>
        <v>15</v>
      </c>
      <c r="P4" s="270">
        <f t="shared" si="0"/>
        <v>16</v>
      </c>
      <c r="Q4" s="270">
        <f t="shared" si="0"/>
        <v>17</v>
      </c>
      <c r="R4" s="270">
        <f t="shared" si="0"/>
        <v>18</v>
      </c>
      <c r="S4" s="270">
        <f t="shared" si="0"/>
        <v>19</v>
      </c>
      <c r="T4" s="270">
        <f t="shared" si="0"/>
        <v>20</v>
      </c>
      <c r="U4" s="270">
        <f t="shared" si="0"/>
        <v>21</v>
      </c>
      <c r="V4" s="270">
        <f t="shared" si="0"/>
        <v>22</v>
      </c>
      <c r="W4" s="270">
        <f t="shared" si="0"/>
        <v>23</v>
      </c>
      <c r="X4" s="270">
        <f t="shared" si="0"/>
        <v>24</v>
      </c>
      <c r="Y4" s="270">
        <f t="shared" si="0"/>
        <v>25</v>
      </c>
      <c r="Z4" s="270">
        <f t="shared" si="0"/>
        <v>26</v>
      </c>
      <c r="AA4" s="270">
        <f t="shared" si="0"/>
        <v>27</v>
      </c>
      <c r="AB4" s="270">
        <f t="shared" si="0"/>
        <v>28</v>
      </c>
      <c r="AC4" s="270">
        <f t="shared" si="0"/>
        <v>29</v>
      </c>
      <c r="AD4" s="270">
        <f t="shared" si="0"/>
        <v>30</v>
      </c>
      <c r="AE4" s="270">
        <f t="shared" si="0"/>
        <v>31</v>
      </c>
      <c r="AF4" s="270">
        <f t="shared" si="0"/>
        <v>32</v>
      </c>
      <c r="AG4" s="270">
        <f t="shared" si="0"/>
        <v>33</v>
      </c>
      <c r="AH4" s="270">
        <f t="shared" si="0"/>
        <v>34</v>
      </c>
      <c r="AI4" s="270">
        <f t="shared" si="0"/>
        <v>35</v>
      </c>
      <c r="AJ4" s="270">
        <f t="shared" si="0"/>
        <v>36</v>
      </c>
      <c r="AK4" s="270">
        <f t="shared" si="0"/>
        <v>37</v>
      </c>
      <c r="AL4" s="270">
        <f t="shared" si="0"/>
        <v>38</v>
      </c>
      <c r="AM4" s="270">
        <f t="shared" si="0"/>
        <v>39</v>
      </c>
      <c r="AN4" s="270">
        <f t="shared" ref="AN4" si="1">AM4+1</f>
        <v>40</v>
      </c>
      <c r="AO4" s="270">
        <f t="shared" ref="AO4" si="2">AN4+1</f>
        <v>41</v>
      </c>
      <c r="AP4" s="270">
        <f t="shared" ref="AP4" si="3">AO4+1</f>
        <v>42</v>
      </c>
      <c r="AQ4" s="270">
        <f t="shared" ref="AQ4" si="4">AP4+1</f>
        <v>43</v>
      </c>
      <c r="AR4" s="270">
        <f t="shared" ref="AR4" si="5">AQ4+1</f>
        <v>44</v>
      </c>
      <c r="AS4" s="270">
        <f t="shared" ref="AS4" si="6">AR4+1</f>
        <v>45</v>
      </c>
      <c r="AT4" s="270">
        <f t="shared" ref="AT4" si="7">AS4+1</f>
        <v>46</v>
      </c>
      <c r="AU4" s="270">
        <f t="shared" ref="AU4" si="8">AT4+1</f>
        <v>47</v>
      </c>
      <c r="AV4" s="270">
        <f t="shared" ref="AV4" si="9">AU4+1</f>
        <v>48</v>
      </c>
      <c r="AW4" s="270">
        <f t="shared" ref="AW4" si="10">AV4+1</f>
        <v>49</v>
      </c>
      <c r="AX4" s="270">
        <f t="shared" ref="AX4" si="11">AW4+1</f>
        <v>50</v>
      </c>
      <c r="AY4" s="270">
        <f t="shared" ref="AY4" si="12">AX4+1</f>
        <v>51</v>
      </c>
      <c r="AZ4" s="270">
        <f t="shared" ref="AZ4" si="13">AY4+1</f>
        <v>52</v>
      </c>
      <c r="BA4" s="270">
        <f t="shared" ref="BA4" si="14">AZ4+1</f>
        <v>53</v>
      </c>
      <c r="BB4" s="270">
        <f t="shared" ref="BB4" si="15">BA4+1</f>
        <v>54</v>
      </c>
      <c r="BC4" s="270">
        <f t="shared" ref="BC4" si="16">BB4+1</f>
        <v>55</v>
      </c>
      <c r="BD4" s="270">
        <f t="shared" ref="BD4" si="17">BC4+1</f>
        <v>56</v>
      </c>
    </row>
    <row r="5" spans="1:56" s="266" customFormat="1" ht="27" customHeight="1">
      <c r="A5" s="271" t="s">
        <v>337</v>
      </c>
      <c r="B5" s="271" t="s">
        <v>338</v>
      </c>
      <c r="C5" s="271" t="s">
        <v>339</v>
      </c>
      <c r="D5" s="271" t="s">
        <v>340</v>
      </c>
      <c r="E5" s="271" t="s">
        <v>341</v>
      </c>
      <c r="F5" s="271" t="s">
        <v>342</v>
      </c>
      <c r="G5" s="271" t="s">
        <v>343</v>
      </c>
      <c r="H5" s="271" t="s">
        <v>344</v>
      </c>
      <c r="I5" s="271" t="s">
        <v>345</v>
      </c>
      <c r="J5" s="271" t="s">
        <v>12</v>
      </c>
      <c r="K5" s="271" t="s">
        <v>16</v>
      </c>
      <c r="L5" s="271" t="s">
        <v>346</v>
      </c>
      <c r="M5" s="271" t="s">
        <v>347</v>
      </c>
      <c r="N5" s="271" t="s">
        <v>348</v>
      </c>
      <c r="O5" s="271" t="s">
        <v>13</v>
      </c>
      <c r="P5" s="271" t="s">
        <v>14</v>
      </c>
      <c r="Q5" s="271" t="s">
        <v>15</v>
      </c>
      <c r="R5" s="271" t="s">
        <v>40</v>
      </c>
      <c r="S5" s="271" t="s">
        <v>55</v>
      </c>
      <c r="T5" s="271" t="s">
        <v>10</v>
      </c>
      <c r="U5" s="271" t="s">
        <v>11</v>
      </c>
      <c r="V5" s="271" t="s">
        <v>57</v>
      </c>
      <c r="W5" s="271" t="s">
        <v>59</v>
      </c>
      <c r="X5" s="271" t="s">
        <v>137</v>
      </c>
      <c r="Y5" s="271" t="s">
        <v>7</v>
      </c>
      <c r="Z5" s="271" t="s">
        <v>139</v>
      </c>
      <c r="AA5" s="271" t="s">
        <v>138</v>
      </c>
      <c r="AB5" s="271" t="s">
        <v>140</v>
      </c>
      <c r="AC5" s="271" t="s">
        <v>67</v>
      </c>
      <c r="AD5" s="271" t="s">
        <v>158</v>
      </c>
      <c r="AE5" s="271" t="s">
        <v>159</v>
      </c>
      <c r="AF5" s="271" t="s">
        <v>69</v>
      </c>
      <c r="AG5" s="271" t="s">
        <v>336</v>
      </c>
      <c r="AH5" s="271" t="s">
        <v>194</v>
      </c>
      <c r="AI5" s="271" t="s">
        <v>314</v>
      </c>
      <c r="AJ5" s="271" t="s">
        <v>320</v>
      </c>
      <c r="AK5" s="271" t="s">
        <v>333</v>
      </c>
      <c r="AL5" s="271" t="s">
        <v>334</v>
      </c>
      <c r="AM5" s="271" t="s">
        <v>335</v>
      </c>
      <c r="AN5" s="271" t="s">
        <v>602</v>
      </c>
      <c r="AO5" s="271" t="s">
        <v>324</v>
      </c>
      <c r="AP5" s="271" t="s">
        <v>588</v>
      </c>
      <c r="AQ5" s="271" t="s">
        <v>589</v>
      </c>
      <c r="AR5" s="271" t="s">
        <v>636</v>
      </c>
      <c r="AS5" s="271" t="s">
        <v>383</v>
      </c>
      <c r="AT5" s="271" t="s">
        <v>584</v>
      </c>
      <c r="AU5" s="271" t="s">
        <v>585</v>
      </c>
      <c r="AV5" s="271" t="s">
        <v>381</v>
      </c>
      <c r="AW5" s="271" t="s">
        <v>382</v>
      </c>
      <c r="AX5" s="271" t="s">
        <v>576</v>
      </c>
      <c r="AY5" s="271" t="s">
        <v>456</v>
      </c>
      <c r="AZ5" s="271" t="s">
        <v>599</v>
      </c>
      <c r="BA5" s="271" t="s">
        <v>577</v>
      </c>
      <c r="BB5" s="271" t="s">
        <v>600</v>
      </c>
      <c r="BC5" s="271" t="s">
        <v>601</v>
      </c>
      <c r="BD5" s="271" t="s">
        <v>84</v>
      </c>
    </row>
    <row r="6" spans="1:56" s="275" customFormat="1">
      <c r="A6" s="273">
        <f>A7-1</f>
        <v>41977</v>
      </c>
      <c r="B6" s="274"/>
      <c r="D6" s="276"/>
      <c r="E6" s="276"/>
      <c r="F6" s="276"/>
      <c r="G6" s="276"/>
      <c r="H6" s="276"/>
      <c r="I6" s="276"/>
      <c r="J6" s="277"/>
      <c r="K6" s="277"/>
      <c r="L6" s="276"/>
      <c r="M6" s="277"/>
      <c r="N6" s="277"/>
      <c r="O6" s="276"/>
      <c r="P6" s="276"/>
      <c r="Q6" s="276"/>
      <c r="R6" s="278"/>
      <c r="S6" s="278"/>
      <c r="T6" s="279"/>
      <c r="U6" s="279">
        <f t="shared" ref="U6:U69" si="18">IF(_xlfn.ISOWEEKNUM(A6)&lt;40,_xlfn.ISOWEEKNUM(A6),_xlfn.ISOWEEKNUM(A6)-53)</f>
        <v>-4</v>
      </c>
      <c r="V6" s="279"/>
      <c r="W6" s="279"/>
      <c r="X6" s="278">
        <f>IF(AD6=0,VLOOKUP(R6,Mineral,2)*R6*Inputs!$C$16*Inputs!$E$37,VLOOKUP(R6,Mineral,2)*R6*Inputs!$C$16)</f>
        <v>0</v>
      </c>
      <c r="Y6" s="278"/>
      <c r="Z6" s="278">
        <f t="shared" ref="Z6:Z46" si="19">IFERROR(VLOOKUP(A6,Fertiliza,9,0),0)</f>
        <v>0</v>
      </c>
      <c r="AA6" s="278">
        <f t="shared" ref="AA6:AA46" si="20">IFERROR(Z6/VLOOKUP(A6,Fertiliza,7),0)</f>
        <v>0</v>
      </c>
      <c r="AB6" s="279"/>
      <c r="AC6" s="278"/>
      <c r="AD6" s="279"/>
      <c r="AE6" s="279"/>
      <c r="AF6" s="280">
        <f>Inputs!C15</f>
        <v>66.64</v>
      </c>
      <c r="AG6" s="279"/>
      <c r="AH6" s="279"/>
      <c r="AI6" s="279">
        <f>IFERROR(HLOOKUP(A6,Inputs!$C$14:$C$15,2,FALSE),-100)</f>
        <v>-100</v>
      </c>
      <c r="AJ6" s="281"/>
      <c r="AK6" s="282">
        <f>X6</f>
        <v>0</v>
      </c>
      <c r="AL6" s="282">
        <f>Y6</f>
        <v>0</v>
      </c>
      <c r="AM6" s="282">
        <f>AC6</f>
        <v>0</v>
      </c>
      <c r="AN6" s="281"/>
      <c r="AO6" s="281"/>
      <c r="AP6" s="281"/>
      <c r="AQ6" s="281"/>
      <c r="AR6" s="281"/>
      <c r="AS6" s="281"/>
      <c r="AT6" s="281"/>
      <c r="AU6" s="281"/>
      <c r="AV6" s="281"/>
      <c r="AW6" s="281"/>
      <c r="AX6" s="281" t="str">
        <f>IFERROR(VLOOKUP($A6,SWB!$C$15:$BE$244,53,FALSE),"")</f>
        <v/>
      </c>
      <c r="AY6" s="281"/>
      <c r="AZ6" s="281"/>
      <c r="BD6" s="281"/>
    </row>
    <row r="7" spans="1:56" s="275" customFormat="1" ht="12.75">
      <c r="A7" s="273">
        <f t="shared" ref="A7:A44" si="21">A8-1</f>
        <v>41978</v>
      </c>
      <c r="B7" s="274"/>
      <c r="D7" s="276"/>
      <c r="E7" s="276"/>
      <c r="F7" s="276"/>
      <c r="G7" s="276"/>
      <c r="H7" s="276"/>
      <c r="I7" s="276"/>
      <c r="J7" s="277"/>
      <c r="K7" s="277"/>
      <c r="L7" s="276"/>
      <c r="M7" s="277"/>
      <c r="N7" s="277"/>
      <c r="O7" s="276"/>
      <c r="P7" s="276"/>
      <c r="Q7" s="276"/>
      <c r="R7" s="278"/>
      <c r="S7" s="278"/>
      <c r="T7" s="279"/>
      <c r="U7" s="279">
        <f t="shared" si="18"/>
        <v>-4</v>
      </c>
      <c r="V7" s="279"/>
      <c r="W7" s="279"/>
      <c r="X7" s="278">
        <f>IF(AD7=0,VLOOKUP(R7,Mineral,2)*R7*Inputs!$C$16*Inputs!$E$37,VLOOKUP(R7,Mineral,2)*R7*Inputs!$C$16)</f>
        <v>0</v>
      </c>
      <c r="Y7" s="278"/>
      <c r="Z7" s="278">
        <f t="shared" si="19"/>
        <v>0</v>
      </c>
      <c r="AA7" s="278">
        <f t="shared" si="20"/>
        <v>0</v>
      </c>
      <c r="AB7" s="279"/>
      <c r="AC7" s="278">
        <f t="shared" ref="AC7:AC69" si="22">-L7*AH6/100</f>
        <v>0</v>
      </c>
      <c r="AD7" s="279"/>
      <c r="AE7" s="279"/>
      <c r="AF7" s="278">
        <f>AF6+SUM(X7:Z7)+SUM(AC7:AD7)</f>
        <v>66.64</v>
      </c>
      <c r="AG7" s="279"/>
      <c r="AH7" s="279"/>
      <c r="AI7" s="279">
        <f>IFERROR(HLOOKUP(A7,Inputs!$C$14:$C$15,2,FALSE),-100)</f>
        <v>-100</v>
      </c>
      <c r="AJ7" s="281"/>
      <c r="AK7" s="282">
        <f t="shared" ref="AK7:AL22" si="23">X7+AK6</f>
        <v>0</v>
      </c>
      <c r="AL7" s="282">
        <f t="shared" si="23"/>
        <v>0</v>
      </c>
      <c r="AM7" s="282">
        <f t="shared" ref="AM7:AM28" si="24">AC7+AM6</f>
        <v>0</v>
      </c>
      <c r="AN7" s="281"/>
      <c r="AO7" s="281"/>
      <c r="AP7" s="281"/>
      <c r="AQ7" s="281"/>
      <c r="AR7" s="281"/>
      <c r="AS7" s="281"/>
      <c r="AT7" s="281"/>
      <c r="AU7" s="281"/>
      <c r="AV7" s="281"/>
      <c r="AW7" s="281"/>
      <c r="AX7" s="281" t="str">
        <f>IFERROR(VLOOKUP($A7,SWB!$C$15:$BE$244,53,FALSE),"")</f>
        <v/>
      </c>
      <c r="AY7" s="281"/>
      <c r="AZ7" s="281"/>
      <c r="BD7" s="281"/>
    </row>
    <row r="8" spans="1:56" s="275" customFormat="1" ht="12.75">
      <c r="A8" s="273">
        <f t="shared" si="21"/>
        <v>41979</v>
      </c>
      <c r="B8" s="274"/>
      <c r="D8" s="276"/>
      <c r="E8" s="276"/>
      <c r="F8" s="276"/>
      <c r="G8" s="276"/>
      <c r="H8" s="276"/>
      <c r="I8" s="276"/>
      <c r="J8" s="277"/>
      <c r="K8" s="277"/>
      <c r="L8" s="276"/>
      <c r="M8" s="277"/>
      <c r="N8" s="277"/>
      <c r="O8" s="276"/>
      <c r="P8" s="276"/>
      <c r="Q8" s="276"/>
      <c r="R8" s="278"/>
      <c r="S8" s="278"/>
      <c r="T8" s="279"/>
      <c r="U8" s="279">
        <f t="shared" si="18"/>
        <v>-4</v>
      </c>
      <c r="V8" s="279"/>
      <c r="W8" s="279"/>
      <c r="X8" s="278">
        <f>IF(AD8=0,VLOOKUP(R8,Mineral,2)*R8*Inputs!$C$16*Inputs!$E$37,VLOOKUP(R8,Mineral,2)*R8*Inputs!$C$16)</f>
        <v>0</v>
      </c>
      <c r="Y8" s="278"/>
      <c r="Z8" s="278">
        <f t="shared" si="19"/>
        <v>0</v>
      </c>
      <c r="AA8" s="278">
        <f t="shared" si="20"/>
        <v>0</v>
      </c>
      <c r="AB8" s="279"/>
      <c r="AC8" s="278">
        <f t="shared" si="22"/>
        <v>0</v>
      </c>
      <c r="AD8" s="279"/>
      <c r="AE8" s="279"/>
      <c r="AF8" s="278">
        <f t="shared" ref="AF8:AF71" si="25">AF7+SUM(X8:Z8)+SUM(AC8:AD8)</f>
        <v>66.64</v>
      </c>
      <c r="AG8" s="279"/>
      <c r="AH8" s="279"/>
      <c r="AI8" s="279">
        <f>IFERROR(HLOOKUP(A8,Inputs!$C$14:$C$15,2,FALSE),-100)</f>
        <v>-100</v>
      </c>
      <c r="AJ8" s="281"/>
      <c r="AK8" s="282">
        <f t="shared" si="23"/>
        <v>0</v>
      </c>
      <c r="AL8" s="282">
        <f t="shared" si="23"/>
        <v>0</v>
      </c>
      <c r="AM8" s="282">
        <f t="shared" si="24"/>
        <v>0</v>
      </c>
      <c r="AN8" s="281"/>
      <c r="AO8" s="281"/>
      <c r="AP8" s="281"/>
      <c r="AQ8" s="281"/>
      <c r="AR8" s="281"/>
      <c r="AS8" s="281"/>
      <c r="AT8" s="281"/>
      <c r="AU8" s="281"/>
      <c r="AV8" s="281"/>
      <c r="AW8" s="281"/>
      <c r="AX8" s="281" t="str">
        <f>IFERROR(VLOOKUP($A8,SWB!$C$15:$BE$244,53,FALSE),"")</f>
        <v/>
      </c>
      <c r="AY8" s="281"/>
      <c r="AZ8" s="281"/>
      <c r="BD8" s="281"/>
    </row>
    <row r="9" spans="1:56" s="275" customFormat="1" ht="12.75">
      <c r="A9" s="273">
        <f t="shared" si="21"/>
        <v>41980</v>
      </c>
      <c r="B9" s="274"/>
      <c r="D9" s="276"/>
      <c r="E9" s="276"/>
      <c r="F9" s="276"/>
      <c r="G9" s="276"/>
      <c r="H9" s="276"/>
      <c r="I9" s="276"/>
      <c r="J9" s="277"/>
      <c r="K9" s="277"/>
      <c r="L9" s="276"/>
      <c r="M9" s="277"/>
      <c r="N9" s="277"/>
      <c r="O9" s="276"/>
      <c r="P9" s="276"/>
      <c r="Q9" s="276"/>
      <c r="R9" s="278"/>
      <c r="S9" s="278"/>
      <c r="T9" s="279"/>
      <c r="U9" s="279">
        <f t="shared" si="18"/>
        <v>-4</v>
      </c>
      <c r="V9" s="279"/>
      <c r="W9" s="279"/>
      <c r="X9" s="278">
        <f>IF(AD9=0,VLOOKUP(R9,Mineral,2)*R9*Inputs!$C$16*Inputs!$E$37,VLOOKUP(R9,Mineral,2)*R9*Inputs!$C$16)</f>
        <v>0</v>
      </c>
      <c r="Y9" s="278"/>
      <c r="Z9" s="278">
        <f t="shared" si="19"/>
        <v>0</v>
      </c>
      <c r="AA9" s="278">
        <f t="shared" si="20"/>
        <v>0</v>
      </c>
      <c r="AB9" s="279"/>
      <c r="AC9" s="278">
        <f t="shared" si="22"/>
        <v>0</v>
      </c>
      <c r="AD9" s="279"/>
      <c r="AE9" s="279"/>
      <c r="AF9" s="278">
        <f t="shared" si="25"/>
        <v>66.64</v>
      </c>
      <c r="AG9" s="279"/>
      <c r="AH9" s="279"/>
      <c r="AI9" s="279">
        <f>IFERROR(HLOOKUP(A9,Inputs!$C$14:$C$15,2,FALSE),-100)</f>
        <v>-100</v>
      </c>
      <c r="AJ9" s="281"/>
      <c r="AK9" s="282">
        <f t="shared" si="23"/>
        <v>0</v>
      </c>
      <c r="AL9" s="282">
        <f t="shared" si="23"/>
        <v>0</v>
      </c>
      <c r="AM9" s="282">
        <f t="shared" si="24"/>
        <v>0</v>
      </c>
      <c r="AN9" s="281"/>
      <c r="AO9" s="281"/>
      <c r="AP9" s="281"/>
      <c r="AQ9" s="281"/>
      <c r="AR9" s="281"/>
      <c r="AS9" s="281"/>
      <c r="AT9" s="281"/>
      <c r="AU9" s="281"/>
      <c r="AV9" s="281"/>
      <c r="AW9" s="281"/>
      <c r="AX9" s="281" t="str">
        <f>IFERROR(VLOOKUP($A9,SWB!$C$15:$BE$244,53,FALSE),"")</f>
        <v/>
      </c>
      <c r="AY9" s="281"/>
      <c r="AZ9" s="281"/>
      <c r="BD9" s="281"/>
    </row>
    <row r="10" spans="1:56" s="275" customFormat="1" ht="12.75">
      <c r="A10" s="273">
        <f t="shared" si="21"/>
        <v>41981</v>
      </c>
      <c r="B10" s="274"/>
      <c r="D10" s="276"/>
      <c r="E10" s="276"/>
      <c r="F10" s="276"/>
      <c r="G10" s="276"/>
      <c r="H10" s="276"/>
      <c r="I10" s="276"/>
      <c r="J10" s="277"/>
      <c r="K10" s="277"/>
      <c r="L10" s="276"/>
      <c r="M10" s="277"/>
      <c r="N10" s="277"/>
      <c r="O10" s="276"/>
      <c r="P10" s="276"/>
      <c r="Q10" s="276"/>
      <c r="R10" s="278"/>
      <c r="S10" s="278"/>
      <c r="T10" s="279"/>
      <c r="U10" s="279">
        <f t="shared" si="18"/>
        <v>-3</v>
      </c>
      <c r="V10" s="279"/>
      <c r="W10" s="279"/>
      <c r="X10" s="278">
        <f>IF(AD10=0,VLOOKUP(R10,Mineral,2)*R10*Inputs!$C$16*Inputs!$E$37,VLOOKUP(R10,Mineral,2)*R10*Inputs!$C$16)</f>
        <v>0</v>
      </c>
      <c r="Y10" s="278"/>
      <c r="Z10" s="278">
        <f t="shared" si="19"/>
        <v>0</v>
      </c>
      <c r="AA10" s="278">
        <f t="shared" si="20"/>
        <v>0</v>
      </c>
      <c r="AB10" s="279"/>
      <c r="AC10" s="278">
        <f t="shared" si="22"/>
        <v>0</v>
      </c>
      <c r="AD10" s="279"/>
      <c r="AE10" s="279"/>
      <c r="AF10" s="278">
        <f t="shared" si="25"/>
        <v>66.64</v>
      </c>
      <c r="AG10" s="279"/>
      <c r="AH10" s="279"/>
      <c r="AI10" s="279">
        <f>IFERROR(HLOOKUP(A10,Inputs!$C$14:$C$15,2,FALSE),-100)</f>
        <v>-100</v>
      </c>
      <c r="AJ10" s="281"/>
      <c r="AK10" s="282">
        <f t="shared" si="23"/>
        <v>0</v>
      </c>
      <c r="AL10" s="282">
        <f t="shared" si="23"/>
        <v>0</v>
      </c>
      <c r="AM10" s="282">
        <f t="shared" si="24"/>
        <v>0</v>
      </c>
      <c r="AN10" s="281"/>
      <c r="AO10" s="281"/>
      <c r="AP10" s="281"/>
      <c r="AQ10" s="281"/>
      <c r="AR10" s="281"/>
      <c r="AS10" s="281"/>
      <c r="AT10" s="281"/>
      <c r="AU10" s="281"/>
      <c r="AV10" s="281"/>
      <c r="AW10" s="281"/>
      <c r="AX10" s="281" t="str">
        <f>IFERROR(VLOOKUP($A10,SWB!$C$15:$BE$244,53,FALSE),"")</f>
        <v/>
      </c>
      <c r="AY10" s="281"/>
      <c r="AZ10" s="281"/>
      <c r="BD10" s="281"/>
    </row>
    <row r="11" spans="1:56" s="275" customFormat="1" ht="12.75">
      <c r="A11" s="273">
        <f t="shared" si="21"/>
        <v>41982</v>
      </c>
      <c r="B11" s="274"/>
      <c r="D11" s="276"/>
      <c r="E11" s="276"/>
      <c r="F11" s="276"/>
      <c r="G11" s="276"/>
      <c r="H11" s="276"/>
      <c r="I11" s="276"/>
      <c r="J11" s="277"/>
      <c r="K11" s="277"/>
      <c r="L11" s="276"/>
      <c r="M11" s="277"/>
      <c r="N11" s="277"/>
      <c r="O11" s="276"/>
      <c r="P11" s="276"/>
      <c r="Q11" s="276"/>
      <c r="R11" s="278"/>
      <c r="S11" s="278"/>
      <c r="T11" s="279"/>
      <c r="U11" s="279">
        <f t="shared" si="18"/>
        <v>-3</v>
      </c>
      <c r="V11" s="279"/>
      <c r="W11" s="279"/>
      <c r="X11" s="278">
        <f>IF(AD11=0,VLOOKUP(R11,Mineral,2)*R11*Inputs!$C$16*Inputs!$E$37,VLOOKUP(R11,Mineral,2)*R11*Inputs!$C$16)</f>
        <v>0</v>
      </c>
      <c r="Y11" s="278"/>
      <c r="Z11" s="278">
        <f t="shared" si="19"/>
        <v>0</v>
      </c>
      <c r="AA11" s="278">
        <f t="shared" si="20"/>
        <v>0</v>
      </c>
      <c r="AB11" s="279"/>
      <c r="AC11" s="278">
        <f t="shared" si="22"/>
        <v>0</v>
      </c>
      <c r="AD11" s="279"/>
      <c r="AE11" s="279"/>
      <c r="AF11" s="278">
        <f t="shared" si="25"/>
        <v>66.64</v>
      </c>
      <c r="AG11" s="279"/>
      <c r="AH11" s="279"/>
      <c r="AI11" s="279">
        <f>IFERROR(HLOOKUP(A11,Inputs!$C$14:$C$15,2,FALSE),-100)</f>
        <v>-100</v>
      </c>
      <c r="AJ11" s="281"/>
      <c r="AK11" s="282">
        <f t="shared" si="23"/>
        <v>0</v>
      </c>
      <c r="AL11" s="282">
        <f t="shared" si="23"/>
        <v>0</v>
      </c>
      <c r="AM11" s="282">
        <f t="shared" si="24"/>
        <v>0</v>
      </c>
      <c r="AN11" s="281"/>
      <c r="AO11" s="281"/>
      <c r="AP11" s="281"/>
      <c r="AQ11" s="281"/>
      <c r="AR11" s="281"/>
      <c r="AS11" s="281"/>
      <c r="AT11" s="281"/>
      <c r="AU11" s="281"/>
      <c r="AV11" s="281"/>
      <c r="AW11" s="281"/>
      <c r="AX11" s="281" t="str">
        <f>IFERROR(VLOOKUP($A11,SWB!$C$15:$BE$244,53,FALSE),"")</f>
        <v/>
      </c>
      <c r="AY11" s="281"/>
      <c r="AZ11" s="281"/>
      <c r="BD11" s="281"/>
    </row>
    <row r="12" spans="1:56" s="275" customFormat="1" ht="12.75">
      <c r="A12" s="273">
        <f t="shared" si="21"/>
        <v>41983</v>
      </c>
      <c r="B12" s="274"/>
      <c r="D12" s="276"/>
      <c r="E12" s="276"/>
      <c r="F12" s="276"/>
      <c r="G12" s="276"/>
      <c r="H12" s="276"/>
      <c r="I12" s="276"/>
      <c r="J12" s="277"/>
      <c r="K12" s="277"/>
      <c r="L12" s="276"/>
      <c r="M12" s="277"/>
      <c r="N12" s="277"/>
      <c r="O12" s="276"/>
      <c r="P12" s="276"/>
      <c r="Q12" s="276"/>
      <c r="R12" s="278"/>
      <c r="S12" s="278"/>
      <c r="T12" s="279"/>
      <c r="U12" s="279">
        <f t="shared" si="18"/>
        <v>-3</v>
      </c>
      <c r="V12" s="279"/>
      <c r="W12" s="279"/>
      <c r="X12" s="278">
        <f>IF(AD12=0,VLOOKUP(R12,Mineral,2)*R12*Inputs!$C$16*Inputs!$E$37,VLOOKUP(R12,Mineral,2)*R12*Inputs!$C$16)</f>
        <v>0</v>
      </c>
      <c r="Y12" s="278"/>
      <c r="Z12" s="278">
        <f t="shared" si="19"/>
        <v>0</v>
      </c>
      <c r="AA12" s="278">
        <f t="shared" si="20"/>
        <v>0</v>
      </c>
      <c r="AB12" s="279"/>
      <c r="AC12" s="278">
        <f t="shared" si="22"/>
        <v>0</v>
      </c>
      <c r="AD12" s="279"/>
      <c r="AE12" s="279"/>
      <c r="AF12" s="278">
        <f t="shared" si="25"/>
        <v>66.64</v>
      </c>
      <c r="AG12" s="279"/>
      <c r="AH12" s="279"/>
      <c r="AI12" s="279">
        <f>IFERROR(HLOOKUP(A12,Inputs!$C$14:$C$15,2,FALSE),-100)</f>
        <v>-100</v>
      </c>
      <c r="AJ12" s="281"/>
      <c r="AK12" s="282">
        <f t="shared" si="23"/>
        <v>0</v>
      </c>
      <c r="AL12" s="282">
        <f t="shared" si="23"/>
        <v>0</v>
      </c>
      <c r="AM12" s="282">
        <f t="shared" si="24"/>
        <v>0</v>
      </c>
      <c r="AN12" s="281"/>
      <c r="AO12" s="281"/>
      <c r="AP12" s="281"/>
      <c r="AQ12" s="281"/>
      <c r="AR12" s="281"/>
      <c r="AS12" s="281"/>
      <c r="AT12" s="281"/>
      <c r="AU12" s="281"/>
      <c r="AV12" s="281"/>
      <c r="AW12" s="281"/>
      <c r="AX12" s="281" t="str">
        <f>IFERROR(VLOOKUP($A12,SWB!$C$15:$BE$244,53,FALSE),"")</f>
        <v/>
      </c>
      <c r="AY12" s="281"/>
      <c r="AZ12" s="281"/>
      <c r="BD12" s="281"/>
    </row>
    <row r="13" spans="1:56" s="275" customFormat="1" ht="12.75">
      <c r="A13" s="273">
        <f t="shared" si="21"/>
        <v>41984</v>
      </c>
      <c r="B13" s="274"/>
      <c r="D13" s="276"/>
      <c r="E13" s="276"/>
      <c r="F13" s="276"/>
      <c r="G13" s="276"/>
      <c r="H13" s="276"/>
      <c r="I13" s="276"/>
      <c r="J13" s="277"/>
      <c r="K13" s="277"/>
      <c r="L13" s="276"/>
      <c r="M13" s="277"/>
      <c r="N13" s="277"/>
      <c r="O13" s="276"/>
      <c r="P13" s="276"/>
      <c r="Q13" s="276"/>
      <c r="R13" s="278"/>
      <c r="S13" s="278"/>
      <c r="T13" s="279"/>
      <c r="U13" s="279">
        <f t="shared" si="18"/>
        <v>-3</v>
      </c>
      <c r="V13" s="279"/>
      <c r="W13" s="279"/>
      <c r="X13" s="278">
        <f>IF(AD13=0,VLOOKUP(R13,Mineral,2)*R13*Inputs!$C$16*Inputs!$E$37,VLOOKUP(R13,Mineral,2)*R13*Inputs!$C$16)</f>
        <v>0</v>
      </c>
      <c r="Y13" s="278"/>
      <c r="Z13" s="278">
        <f t="shared" si="19"/>
        <v>0</v>
      </c>
      <c r="AA13" s="278">
        <f t="shared" si="20"/>
        <v>0</v>
      </c>
      <c r="AB13" s="279"/>
      <c r="AC13" s="278">
        <f t="shared" si="22"/>
        <v>0</v>
      </c>
      <c r="AD13" s="279"/>
      <c r="AE13" s="279"/>
      <c r="AF13" s="278">
        <f t="shared" si="25"/>
        <v>66.64</v>
      </c>
      <c r="AG13" s="279"/>
      <c r="AH13" s="279"/>
      <c r="AI13" s="279">
        <f>IFERROR(HLOOKUP(A13,Inputs!$C$14:$C$15,2,FALSE),-100)</f>
        <v>-100</v>
      </c>
      <c r="AJ13" s="281"/>
      <c r="AK13" s="282">
        <f t="shared" si="23"/>
        <v>0</v>
      </c>
      <c r="AL13" s="282">
        <f t="shared" si="23"/>
        <v>0</v>
      </c>
      <c r="AM13" s="282">
        <f t="shared" si="24"/>
        <v>0</v>
      </c>
      <c r="AN13" s="281"/>
      <c r="AO13" s="281"/>
      <c r="AP13" s="281"/>
      <c r="AQ13" s="281"/>
      <c r="AR13" s="281"/>
      <c r="AS13" s="281"/>
      <c r="AT13" s="281"/>
      <c r="AU13" s="281"/>
      <c r="AV13" s="281"/>
      <c r="AW13" s="281"/>
      <c r="AX13" s="281" t="str">
        <f>IFERROR(VLOOKUP($A13,SWB!$C$15:$BE$244,53,FALSE),"")</f>
        <v/>
      </c>
      <c r="AY13" s="281"/>
      <c r="AZ13" s="281"/>
      <c r="BD13" s="281"/>
    </row>
    <row r="14" spans="1:56" s="275" customFormat="1" ht="12.75">
      <c r="A14" s="273">
        <f t="shared" si="21"/>
        <v>41985</v>
      </c>
      <c r="B14" s="274"/>
      <c r="D14" s="276"/>
      <c r="E14" s="276"/>
      <c r="F14" s="276"/>
      <c r="G14" s="276"/>
      <c r="H14" s="276"/>
      <c r="I14" s="276"/>
      <c r="J14" s="277"/>
      <c r="K14" s="277"/>
      <c r="L14" s="276"/>
      <c r="M14" s="277"/>
      <c r="N14" s="277"/>
      <c r="O14" s="276"/>
      <c r="P14" s="276"/>
      <c r="Q14" s="276"/>
      <c r="R14" s="278"/>
      <c r="S14" s="278"/>
      <c r="T14" s="279"/>
      <c r="U14" s="279">
        <f t="shared" si="18"/>
        <v>-3</v>
      </c>
      <c r="V14" s="279"/>
      <c r="W14" s="279"/>
      <c r="X14" s="278">
        <f>IF(AD14=0,VLOOKUP(R14,Mineral,2)*R14*Inputs!$C$16*Inputs!$E$37,VLOOKUP(R14,Mineral,2)*R14*Inputs!$C$16)</f>
        <v>0</v>
      </c>
      <c r="Y14" s="278"/>
      <c r="Z14" s="278">
        <f t="shared" si="19"/>
        <v>0</v>
      </c>
      <c r="AA14" s="278">
        <f t="shared" si="20"/>
        <v>0</v>
      </c>
      <c r="AB14" s="279"/>
      <c r="AC14" s="278">
        <f t="shared" si="22"/>
        <v>0</v>
      </c>
      <c r="AD14" s="279"/>
      <c r="AE14" s="279"/>
      <c r="AF14" s="278">
        <f t="shared" si="25"/>
        <v>66.64</v>
      </c>
      <c r="AG14" s="279"/>
      <c r="AH14" s="279"/>
      <c r="AI14" s="279">
        <f>IFERROR(HLOOKUP(A14,Inputs!$C$14:$C$15,2,FALSE),-100)</f>
        <v>-100</v>
      </c>
      <c r="AJ14" s="281"/>
      <c r="AK14" s="282">
        <f t="shared" si="23"/>
        <v>0</v>
      </c>
      <c r="AL14" s="282">
        <f t="shared" si="23"/>
        <v>0</v>
      </c>
      <c r="AM14" s="282">
        <f t="shared" si="24"/>
        <v>0</v>
      </c>
      <c r="AN14" s="281"/>
      <c r="AO14" s="281"/>
      <c r="AP14" s="281"/>
      <c r="AQ14" s="281"/>
      <c r="AR14" s="281"/>
      <c r="AS14" s="281"/>
      <c r="AT14" s="281"/>
      <c r="AU14" s="281"/>
      <c r="AV14" s="281"/>
      <c r="AW14" s="281"/>
      <c r="AX14" s="281" t="str">
        <f>IFERROR(VLOOKUP($A14,SWB!$C$15:$BE$244,53,FALSE),"")</f>
        <v/>
      </c>
      <c r="AY14" s="281"/>
      <c r="AZ14" s="281"/>
      <c r="BD14" s="281"/>
    </row>
    <row r="15" spans="1:56" s="275" customFormat="1" ht="12.75">
      <c r="A15" s="273">
        <f t="shared" si="21"/>
        <v>41986</v>
      </c>
      <c r="B15" s="274"/>
      <c r="D15" s="276"/>
      <c r="E15" s="276"/>
      <c r="F15" s="276"/>
      <c r="G15" s="276"/>
      <c r="H15" s="276"/>
      <c r="I15" s="276"/>
      <c r="J15" s="277"/>
      <c r="K15" s="277"/>
      <c r="L15" s="276"/>
      <c r="M15" s="277"/>
      <c r="N15" s="277"/>
      <c r="O15" s="276"/>
      <c r="P15" s="276"/>
      <c r="Q15" s="276"/>
      <c r="R15" s="278"/>
      <c r="S15" s="278"/>
      <c r="T15" s="279"/>
      <c r="U15" s="279">
        <f t="shared" si="18"/>
        <v>-3</v>
      </c>
      <c r="V15" s="279"/>
      <c r="W15" s="279"/>
      <c r="X15" s="278">
        <f>IF(AD15=0,VLOOKUP(R15,Mineral,2)*R15*Inputs!$C$16*Inputs!$E$37,VLOOKUP(R15,Mineral,2)*R15*Inputs!$C$16)</f>
        <v>0</v>
      </c>
      <c r="Y15" s="278"/>
      <c r="Z15" s="278">
        <f t="shared" si="19"/>
        <v>0</v>
      </c>
      <c r="AA15" s="278">
        <f t="shared" si="20"/>
        <v>0</v>
      </c>
      <c r="AB15" s="279"/>
      <c r="AC15" s="278">
        <f t="shared" si="22"/>
        <v>0</v>
      </c>
      <c r="AD15" s="279"/>
      <c r="AE15" s="279"/>
      <c r="AF15" s="278">
        <f t="shared" si="25"/>
        <v>66.64</v>
      </c>
      <c r="AG15" s="279"/>
      <c r="AH15" s="279"/>
      <c r="AI15" s="279">
        <f>IFERROR(HLOOKUP(A15,Inputs!$C$14:$C$15,2,FALSE),-100)</f>
        <v>-100</v>
      </c>
      <c r="AJ15" s="281"/>
      <c r="AK15" s="282">
        <f t="shared" si="23"/>
        <v>0</v>
      </c>
      <c r="AL15" s="282">
        <f t="shared" si="23"/>
        <v>0</v>
      </c>
      <c r="AM15" s="282">
        <f t="shared" si="24"/>
        <v>0</v>
      </c>
      <c r="AN15" s="281"/>
      <c r="AO15" s="281"/>
      <c r="AP15" s="281"/>
      <c r="AQ15" s="281"/>
      <c r="AR15" s="281"/>
      <c r="AS15" s="281"/>
      <c r="AT15" s="281"/>
      <c r="AU15" s="281"/>
      <c r="AV15" s="281"/>
      <c r="AW15" s="281"/>
      <c r="AX15" s="281" t="str">
        <f>IFERROR(VLOOKUP($A15,SWB!$C$15:$BE$244,53,FALSE),"")</f>
        <v/>
      </c>
      <c r="AY15" s="281"/>
      <c r="AZ15" s="281"/>
      <c r="BD15" s="281"/>
    </row>
    <row r="16" spans="1:56" s="275" customFormat="1" ht="12.75">
      <c r="A16" s="273">
        <f t="shared" si="21"/>
        <v>41987</v>
      </c>
      <c r="B16" s="274"/>
      <c r="D16" s="276"/>
      <c r="E16" s="276"/>
      <c r="F16" s="276"/>
      <c r="G16" s="276"/>
      <c r="H16" s="276"/>
      <c r="I16" s="276"/>
      <c r="J16" s="277" t="s">
        <v>581</v>
      </c>
      <c r="K16" s="277"/>
      <c r="L16" s="276"/>
      <c r="M16" s="277"/>
      <c r="N16" s="277"/>
      <c r="O16" s="276"/>
      <c r="P16" s="276"/>
      <c r="Q16" s="276"/>
      <c r="R16" s="278"/>
      <c r="S16" s="278"/>
      <c r="T16" s="279"/>
      <c r="U16" s="279">
        <f t="shared" si="18"/>
        <v>-3</v>
      </c>
      <c r="V16" s="279"/>
      <c r="W16" s="279"/>
      <c r="X16" s="278">
        <f>IF(AD16=0,VLOOKUP(R16,Mineral,2)*R16*Inputs!$C$16*Inputs!$E$37,VLOOKUP(R16,Mineral,2)*R16*Inputs!$C$16)</f>
        <v>0</v>
      </c>
      <c r="Y16" s="278"/>
      <c r="Z16" s="278">
        <f t="shared" si="19"/>
        <v>0</v>
      </c>
      <c r="AA16" s="278">
        <f t="shared" si="20"/>
        <v>0</v>
      </c>
      <c r="AB16" s="279"/>
      <c r="AC16" s="278">
        <f t="shared" si="22"/>
        <v>0</v>
      </c>
      <c r="AD16" s="279"/>
      <c r="AE16" s="279"/>
      <c r="AF16" s="278">
        <f t="shared" si="25"/>
        <v>66.64</v>
      </c>
      <c r="AG16" s="279"/>
      <c r="AH16" s="279"/>
      <c r="AI16" s="279">
        <f>IFERROR(HLOOKUP(A16,Inputs!$C$14:$C$15,2,FALSE),-100)</f>
        <v>-100</v>
      </c>
      <c r="AJ16" s="281"/>
      <c r="AK16" s="282">
        <f t="shared" si="23"/>
        <v>0</v>
      </c>
      <c r="AL16" s="282">
        <f t="shared" si="23"/>
        <v>0</v>
      </c>
      <c r="AM16" s="282">
        <f t="shared" si="24"/>
        <v>0</v>
      </c>
      <c r="AN16" s="281"/>
      <c r="AO16" s="281"/>
      <c r="AP16" s="281"/>
      <c r="AQ16" s="281"/>
      <c r="AR16" s="281"/>
      <c r="AS16" s="281"/>
      <c r="AT16" s="281"/>
      <c r="AU16" s="281"/>
      <c r="AV16" s="281"/>
      <c r="AW16" s="281"/>
      <c r="AX16" s="281" t="str">
        <f>IFERROR(VLOOKUP($A16,SWB!$C$15:$BE$244,53,FALSE),"")</f>
        <v/>
      </c>
      <c r="AY16" s="281"/>
      <c r="AZ16" s="281"/>
      <c r="BD16" s="281"/>
    </row>
    <row r="17" spans="1:56" s="275" customFormat="1" ht="12.75">
      <c r="A17" s="273">
        <f t="shared" si="21"/>
        <v>41988</v>
      </c>
      <c r="B17" s="274"/>
      <c r="D17" s="276"/>
      <c r="E17" s="276"/>
      <c r="F17" s="276"/>
      <c r="G17" s="276"/>
      <c r="H17" s="276"/>
      <c r="I17" s="276"/>
      <c r="J17" s="277"/>
      <c r="K17" s="277"/>
      <c r="L17" s="276"/>
      <c r="M17" s="277"/>
      <c r="N17" s="277"/>
      <c r="O17" s="276"/>
      <c r="P17" s="276"/>
      <c r="Q17" s="276"/>
      <c r="R17" s="278"/>
      <c r="S17" s="278"/>
      <c r="T17" s="279"/>
      <c r="U17" s="279">
        <f t="shared" si="18"/>
        <v>-2</v>
      </c>
      <c r="V17" s="279"/>
      <c r="W17" s="279"/>
      <c r="X17" s="278">
        <f>IF(AD17=0,VLOOKUP(R17,Mineral,2)*R17*Inputs!$C$16*Inputs!$E$37,VLOOKUP(R17,Mineral,2)*R17*Inputs!$C$16)</f>
        <v>0</v>
      </c>
      <c r="Y17" s="278"/>
      <c r="Z17" s="278">
        <f t="shared" si="19"/>
        <v>0</v>
      </c>
      <c r="AA17" s="278">
        <f t="shared" si="20"/>
        <v>0</v>
      </c>
      <c r="AB17" s="279"/>
      <c r="AC17" s="278">
        <f t="shared" si="22"/>
        <v>0</v>
      </c>
      <c r="AD17" s="279"/>
      <c r="AE17" s="279"/>
      <c r="AF17" s="278">
        <f t="shared" si="25"/>
        <v>66.64</v>
      </c>
      <c r="AG17" s="279"/>
      <c r="AH17" s="279"/>
      <c r="AI17" s="279">
        <f>IFERROR(HLOOKUP(A17,Inputs!$C$14:$C$15,2,FALSE),-100)</f>
        <v>-100</v>
      </c>
      <c r="AJ17" s="281"/>
      <c r="AK17" s="282">
        <f t="shared" si="23"/>
        <v>0</v>
      </c>
      <c r="AL17" s="282">
        <f t="shared" si="23"/>
        <v>0</v>
      </c>
      <c r="AM17" s="282">
        <f t="shared" si="24"/>
        <v>0</v>
      </c>
      <c r="AN17" s="281"/>
      <c r="AO17" s="281"/>
      <c r="AP17" s="281"/>
      <c r="AQ17" s="281"/>
      <c r="AR17" s="281"/>
      <c r="AS17" s="281"/>
      <c r="AT17" s="281"/>
      <c r="AU17" s="281"/>
      <c r="AV17" s="281"/>
      <c r="AW17" s="281"/>
      <c r="AX17" s="281" t="str">
        <f>IFERROR(VLOOKUP($A17,SWB!$C$15:$BE$244,53,FALSE),"")</f>
        <v/>
      </c>
      <c r="AY17" s="281"/>
      <c r="AZ17" s="281"/>
      <c r="BD17" s="281"/>
    </row>
    <row r="18" spans="1:56" s="275" customFormat="1" ht="12.75">
      <c r="A18" s="273">
        <f t="shared" si="21"/>
        <v>41989</v>
      </c>
      <c r="B18" s="274"/>
      <c r="D18" s="276"/>
      <c r="E18" s="276"/>
      <c r="F18" s="276"/>
      <c r="G18" s="276"/>
      <c r="H18" s="276"/>
      <c r="I18" s="276"/>
      <c r="J18" s="277"/>
      <c r="K18" s="277"/>
      <c r="L18" s="276"/>
      <c r="M18" s="277"/>
      <c r="N18" s="277"/>
      <c r="O18" s="276"/>
      <c r="P18" s="276"/>
      <c r="Q18" s="276"/>
      <c r="R18" s="278"/>
      <c r="S18" s="278"/>
      <c r="T18" s="279"/>
      <c r="U18" s="279">
        <f t="shared" si="18"/>
        <v>-2</v>
      </c>
      <c r="V18" s="279"/>
      <c r="W18" s="279"/>
      <c r="X18" s="278">
        <f>IF(AD18=0,VLOOKUP(R18,Mineral,2)*R18*Inputs!$C$16*Inputs!$E$37,VLOOKUP(R18,Mineral,2)*R18*Inputs!$C$16)</f>
        <v>0</v>
      </c>
      <c r="Y18" s="278"/>
      <c r="Z18" s="278">
        <f t="shared" si="19"/>
        <v>0</v>
      </c>
      <c r="AA18" s="278">
        <f t="shared" si="20"/>
        <v>0</v>
      </c>
      <c r="AB18" s="279"/>
      <c r="AC18" s="278">
        <f t="shared" si="22"/>
        <v>0</v>
      </c>
      <c r="AD18" s="279"/>
      <c r="AE18" s="279"/>
      <c r="AF18" s="278">
        <f t="shared" si="25"/>
        <v>66.64</v>
      </c>
      <c r="AG18" s="279"/>
      <c r="AH18" s="279"/>
      <c r="AI18" s="279">
        <f>IFERROR(HLOOKUP(A18,Inputs!$C$14:$C$15,2,FALSE),-100)</f>
        <v>-100</v>
      </c>
      <c r="AJ18" s="281"/>
      <c r="AK18" s="282">
        <f t="shared" si="23"/>
        <v>0</v>
      </c>
      <c r="AL18" s="282">
        <f t="shared" si="23"/>
        <v>0</v>
      </c>
      <c r="AM18" s="282">
        <f t="shared" si="24"/>
        <v>0</v>
      </c>
      <c r="AN18" s="281"/>
      <c r="AO18" s="281"/>
      <c r="AP18" s="281"/>
      <c r="AQ18" s="281"/>
      <c r="AR18" s="281"/>
      <c r="AS18" s="281"/>
      <c r="AT18" s="281"/>
      <c r="AU18" s="281"/>
      <c r="AV18" s="281"/>
      <c r="AW18" s="281"/>
      <c r="AX18" s="281" t="str">
        <f>IFERROR(VLOOKUP($A18,SWB!$C$15:$BE$244,53,FALSE),"")</f>
        <v/>
      </c>
      <c r="AY18" s="281"/>
      <c r="AZ18" s="281"/>
      <c r="BD18" s="281"/>
    </row>
    <row r="19" spans="1:56" s="275" customFormat="1" ht="12.75">
      <c r="A19" s="273">
        <f t="shared" si="21"/>
        <v>41990</v>
      </c>
      <c r="B19" s="274"/>
      <c r="D19" s="276"/>
      <c r="E19" s="276"/>
      <c r="F19" s="276"/>
      <c r="G19" s="276"/>
      <c r="H19" s="276"/>
      <c r="I19" s="276"/>
      <c r="J19" s="277"/>
      <c r="K19" s="277"/>
      <c r="L19" s="276"/>
      <c r="M19" s="277"/>
      <c r="N19" s="277"/>
      <c r="O19" s="276"/>
      <c r="P19" s="276"/>
      <c r="Q19" s="276"/>
      <c r="R19" s="278"/>
      <c r="S19" s="278"/>
      <c r="T19" s="279"/>
      <c r="U19" s="279">
        <f t="shared" si="18"/>
        <v>-2</v>
      </c>
      <c r="V19" s="279"/>
      <c r="W19" s="279"/>
      <c r="X19" s="278">
        <f>IF(AD19=0,VLOOKUP(R19,Mineral,2)*R19*Inputs!$C$16*Inputs!$E$37,VLOOKUP(R19,Mineral,2)*R19*Inputs!$C$16)</f>
        <v>0</v>
      </c>
      <c r="Y19" s="278"/>
      <c r="Z19" s="278">
        <f t="shared" si="19"/>
        <v>0</v>
      </c>
      <c r="AA19" s="278">
        <f t="shared" si="20"/>
        <v>0</v>
      </c>
      <c r="AB19" s="279"/>
      <c r="AC19" s="278">
        <f t="shared" si="22"/>
        <v>0</v>
      </c>
      <c r="AD19" s="279"/>
      <c r="AE19" s="279"/>
      <c r="AF19" s="278">
        <f t="shared" si="25"/>
        <v>66.64</v>
      </c>
      <c r="AG19" s="279"/>
      <c r="AH19" s="279"/>
      <c r="AI19" s="279">
        <f>IFERROR(HLOOKUP(A19,Inputs!$C$14:$C$15,2,FALSE),-100)</f>
        <v>-100</v>
      </c>
      <c r="AJ19" s="281"/>
      <c r="AK19" s="282">
        <f t="shared" si="23"/>
        <v>0</v>
      </c>
      <c r="AL19" s="282">
        <f t="shared" si="23"/>
        <v>0</v>
      </c>
      <c r="AM19" s="282">
        <f t="shared" si="24"/>
        <v>0</v>
      </c>
      <c r="AN19" s="281"/>
      <c r="AO19" s="281"/>
      <c r="AP19" s="281"/>
      <c r="AQ19" s="281"/>
      <c r="AR19" s="281"/>
      <c r="AS19" s="281"/>
      <c r="AT19" s="281"/>
      <c r="AU19" s="281"/>
      <c r="AV19" s="281"/>
      <c r="AW19" s="281"/>
      <c r="AX19" s="281" t="str">
        <f>IFERROR(VLOOKUP($A19,SWB!$C$15:$BE$244,53,FALSE),"")</f>
        <v/>
      </c>
      <c r="AY19" s="281"/>
      <c r="AZ19" s="281"/>
      <c r="BD19" s="281"/>
    </row>
    <row r="20" spans="1:56" s="275" customFormat="1" ht="12.75">
      <c r="A20" s="273">
        <f t="shared" si="21"/>
        <v>41991</v>
      </c>
      <c r="B20" s="274"/>
      <c r="D20" s="276"/>
      <c r="E20" s="276"/>
      <c r="F20" s="276"/>
      <c r="G20" s="276"/>
      <c r="H20" s="276"/>
      <c r="I20" s="276"/>
      <c r="J20" s="277"/>
      <c r="K20" s="277"/>
      <c r="L20" s="276"/>
      <c r="M20" s="277"/>
      <c r="N20" s="277"/>
      <c r="O20" s="276"/>
      <c r="P20" s="276"/>
      <c r="Q20" s="276"/>
      <c r="R20" s="278"/>
      <c r="S20" s="278"/>
      <c r="T20" s="279"/>
      <c r="U20" s="279">
        <f t="shared" si="18"/>
        <v>-2</v>
      </c>
      <c r="V20" s="279"/>
      <c r="W20" s="279"/>
      <c r="X20" s="278">
        <f>IF(AD20=0,VLOOKUP(R20,Mineral,2)*R20*Inputs!$C$16*Inputs!$E$37,VLOOKUP(R20,Mineral,2)*R20*Inputs!$C$16)</f>
        <v>0</v>
      </c>
      <c r="Y20" s="278"/>
      <c r="Z20" s="278">
        <f t="shared" si="19"/>
        <v>0</v>
      </c>
      <c r="AA20" s="278">
        <f t="shared" si="20"/>
        <v>0</v>
      </c>
      <c r="AB20" s="279"/>
      <c r="AC20" s="278">
        <f t="shared" si="22"/>
        <v>0</v>
      </c>
      <c r="AD20" s="279"/>
      <c r="AE20" s="279"/>
      <c r="AF20" s="278">
        <f t="shared" si="25"/>
        <v>66.64</v>
      </c>
      <c r="AG20" s="279"/>
      <c r="AH20" s="279"/>
      <c r="AI20" s="279">
        <f>IFERROR(HLOOKUP(A20,Inputs!$C$14:$C$15,2,FALSE),-100)</f>
        <v>-100</v>
      </c>
      <c r="AJ20" s="281"/>
      <c r="AK20" s="282">
        <f t="shared" si="23"/>
        <v>0</v>
      </c>
      <c r="AL20" s="282">
        <f t="shared" si="23"/>
        <v>0</v>
      </c>
      <c r="AM20" s="282">
        <f t="shared" si="24"/>
        <v>0</v>
      </c>
      <c r="AN20" s="281"/>
      <c r="AO20" s="281"/>
      <c r="AP20" s="281"/>
      <c r="AQ20" s="281"/>
      <c r="AR20" s="281"/>
      <c r="AS20" s="281"/>
      <c r="AT20" s="281"/>
      <c r="AU20" s="281"/>
      <c r="AV20" s="281"/>
      <c r="AW20" s="281"/>
      <c r="AX20" s="281" t="str">
        <f>IFERROR(VLOOKUP($A20,SWB!$C$15:$BE$244,53,FALSE),"")</f>
        <v/>
      </c>
      <c r="AY20" s="281"/>
      <c r="AZ20" s="281"/>
      <c r="BD20" s="281"/>
    </row>
    <row r="21" spans="1:56" s="275" customFormat="1" ht="12.75">
      <c r="A21" s="273">
        <f t="shared" si="21"/>
        <v>41992</v>
      </c>
      <c r="B21" s="274"/>
      <c r="D21" s="276"/>
      <c r="E21" s="276"/>
      <c r="F21" s="276"/>
      <c r="G21" s="276"/>
      <c r="H21" s="276"/>
      <c r="I21" s="276"/>
      <c r="J21" s="277"/>
      <c r="K21" s="277"/>
      <c r="L21" s="276"/>
      <c r="M21" s="277"/>
      <c r="N21" s="277"/>
      <c r="O21" s="276"/>
      <c r="P21" s="276"/>
      <c r="Q21" s="276"/>
      <c r="R21" s="278"/>
      <c r="S21" s="278"/>
      <c r="T21" s="279"/>
      <c r="U21" s="279">
        <f t="shared" si="18"/>
        <v>-2</v>
      </c>
      <c r="V21" s="279"/>
      <c r="W21" s="279"/>
      <c r="X21" s="278">
        <f>IF(AD21=0,VLOOKUP(R21,Mineral,2)*R21*Inputs!$C$16*Inputs!$E$37,VLOOKUP(R21,Mineral,2)*R21*Inputs!$C$16)</f>
        <v>0</v>
      </c>
      <c r="Y21" s="278"/>
      <c r="Z21" s="278">
        <f t="shared" si="19"/>
        <v>0</v>
      </c>
      <c r="AA21" s="278">
        <f t="shared" si="20"/>
        <v>0</v>
      </c>
      <c r="AB21" s="279"/>
      <c r="AC21" s="278">
        <f t="shared" si="22"/>
        <v>0</v>
      </c>
      <c r="AD21" s="279"/>
      <c r="AE21" s="279"/>
      <c r="AF21" s="278">
        <f t="shared" si="25"/>
        <v>66.64</v>
      </c>
      <c r="AG21" s="279"/>
      <c r="AH21" s="279"/>
      <c r="AI21" s="279">
        <f>IFERROR(HLOOKUP(A21,Inputs!$C$14:$C$15,2,FALSE),-100)</f>
        <v>-100</v>
      </c>
      <c r="AJ21" s="281"/>
      <c r="AK21" s="282">
        <f t="shared" si="23"/>
        <v>0</v>
      </c>
      <c r="AL21" s="282">
        <f t="shared" si="23"/>
        <v>0</v>
      </c>
      <c r="AM21" s="282">
        <f t="shared" si="24"/>
        <v>0</v>
      </c>
      <c r="AN21" s="281"/>
      <c r="AO21" s="281"/>
      <c r="AP21" s="281"/>
      <c r="AQ21" s="281"/>
      <c r="AR21" s="281"/>
      <c r="AS21" s="281"/>
      <c r="AT21" s="281"/>
      <c r="AU21" s="281"/>
      <c r="AV21" s="281"/>
      <c r="AW21" s="281"/>
      <c r="AX21" s="281" t="str">
        <f>IFERROR(VLOOKUP($A21,SWB!$C$15:$BE$244,53,FALSE),"")</f>
        <v/>
      </c>
      <c r="AY21" s="281"/>
      <c r="AZ21" s="281"/>
      <c r="BD21" s="281"/>
    </row>
    <row r="22" spans="1:56" s="275" customFormat="1" ht="12.75">
      <c r="A22" s="273">
        <f t="shared" si="21"/>
        <v>41993</v>
      </c>
      <c r="B22" s="274"/>
      <c r="D22" s="276"/>
      <c r="E22" s="276"/>
      <c r="F22" s="276"/>
      <c r="G22" s="276"/>
      <c r="H22" s="276"/>
      <c r="I22" s="276"/>
      <c r="J22" s="277"/>
      <c r="K22" s="277"/>
      <c r="L22" s="276"/>
      <c r="M22" s="277"/>
      <c r="N22" s="277"/>
      <c r="O22" s="276"/>
      <c r="P22" s="276"/>
      <c r="Q22" s="276"/>
      <c r="R22" s="278"/>
      <c r="S22" s="278"/>
      <c r="T22" s="279"/>
      <c r="U22" s="279">
        <f t="shared" si="18"/>
        <v>-2</v>
      </c>
      <c r="V22" s="279"/>
      <c r="W22" s="279"/>
      <c r="X22" s="278">
        <f>IF(AD22=0,VLOOKUP(R22,Mineral,2)*R22*Inputs!$C$16*Inputs!$E$37,VLOOKUP(R22,Mineral,2)*R22*Inputs!$C$16)</f>
        <v>0</v>
      </c>
      <c r="Y22" s="278"/>
      <c r="Z22" s="278">
        <f t="shared" si="19"/>
        <v>0</v>
      </c>
      <c r="AA22" s="278">
        <f t="shared" si="20"/>
        <v>0</v>
      </c>
      <c r="AB22" s="279"/>
      <c r="AC22" s="278">
        <f t="shared" si="22"/>
        <v>0</v>
      </c>
      <c r="AD22" s="279"/>
      <c r="AE22" s="279"/>
      <c r="AF22" s="278">
        <f t="shared" si="25"/>
        <v>66.64</v>
      </c>
      <c r="AG22" s="279"/>
      <c r="AH22" s="279"/>
      <c r="AI22" s="279">
        <f>IFERROR(HLOOKUP(A22,Inputs!$C$14:$C$15,2,FALSE),-100)</f>
        <v>-100</v>
      </c>
      <c r="AJ22" s="281"/>
      <c r="AK22" s="282">
        <f t="shared" si="23"/>
        <v>0</v>
      </c>
      <c r="AL22" s="282">
        <f t="shared" si="23"/>
        <v>0</v>
      </c>
      <c r="AM22" s="282">
        <f t="shared" si="24"/>
        <v>0</v>
      </c>
      <c r="AN22" s="281"/>
      <c r="AO22" s="281"/>
      <c r="AP22" s="281"/>
      <c r="AQ22" s="281"/>
      <c r="AR22" s="281"/>
      <c r="AS22" s="281"/>
      <c r="AT22" s="281"/>
      <c r="AU22" s="281"/>
      <c r="AV22" s="281"/>
      <c r="AW22" s="281"/>
      <c r="AX22" s="281" t="str">
        <f>IFERROR(VLOOKUP($A22,SWB!$C$15:$BE$244,53,FALSE),"")</f>
        <v/>
      </c>
      <c r="AY22" s="281"/>
      <c r="AZ22" s="281"/>
      <c r="BD22" s="281"/>
    </row>
    <row r="23" spans="1:56" s="275" customFormat="1" ht="12.75">
      <c r="A23" s="273">
        <f t="shared" si="21"/>
        <v>41994</v>
      </c>
      <c r="B23" s="274"/>
      <c r="D23" s="276"/>
      <c r="E23" s="276"/>
      <c r="F23" s="276"/>
      <c r="G23" s="276"/>
      <c r="H23" s="276"/>
      <c r="I23" s="276"/>
      <c r="J23" s="277"/>
      <c r="K23" s="277"/>
      <c r="L23" s="276"/>
      <c r="M23" s="277"/>
      <c r="N23" s="277"/>
      <c r="O23" s="276"/>
      <c r="P23" s="276"/>
      <c r="Q23" s="276"/>
      <c r="R23" s="278"/>
      <c r="S23" s="278"/>
      <c r="T23" s="279"/>
      <c r="U23" s="279">
        <f t="shared" si="18"/>
        <v>-2</v>
      </c>
      <c r="V23" s="279"/>
      <c r="W23" s="279"/>
      <c r="X23" s="278">
        <f>IF(AD23=0,VLOOKUP(R23,Mineral,2)*R23*Inputs!$C$16*Inputs!$E$37,VLOOKUP(R23,Mineral,2)*R23*Inputs!$C$16)</f>
        <v>0</v>
      </c>
      <c r="Y23" s="278"/>
      <c r="Z23" s="278">
        <f t="shared" si="19"/>
        <v>0</v>
      </c>
      <c r="AA23" s="278">
        <f t="shared" si="20"/>
        <v>0</v>
      </c>
      <c r="AB23" s="279"/>
      <c r="AC23" s="278">
        <f t="shared" si="22"/>
        <v>0</v>
      </c>
      <c r="AD23" s="279"/>
      <c r="AE23" s="279"/>
      <c r="AF23" s="278">
        <f t="shared" si="25"/>
        <v>66.64</v>
      </c>
      <c r="AG23" s="279"/>
      <c r="AH23" s="279"/>
      <c r="AI23" s="279">
        <f>IFERROR(HLOOKUP(A23,Inputs!$C$14:$C$15,2,FALSE),-100)</f>
        <v>-100</v>
      </c>
      <c r="AJ23" s="281"/>
      <c r="AK23" s="282">
        <f t="shared" ref="AK23:AL28" si="26">X23+AK22</f>
        <v>0</v>
      </c>
      <c r="AL23" s="282">
        <f t="shared" si="26"/>
        <v>0</v>
      </c>
      <c r="AM23" s="282">
        <f t="shared" si="24"/>
        <v>0</v>
      </c>
      <c r="AN23" s="281"/>
      <c r="AO23" s="281"/>
      <c r="AP23" s="281"/>
      <c r="AQ23" s="281"/>
      <c r="AR23" s="281"/>
      <c r="AS23" s="281"/>
      <c r="AT23" s="281"/>
      <c r="AU23" s="281"/>
      <c r="AV23" s="281"/>
      <c r="AW23" s="281"/>
      <c r="AX23" s="281" t="str">
        <f>IFERROR(VLOOKUP($A23,SWB!$C$15:$BE$244,53,FALSE),"")</f>
        <v/>
      </c>
      <c r="AY23" s="281"/>
      <c r="AZ23" s="281"/>
      <c r="BD23" s="281"/>
    </row>
    <row r="24" spans="1:56" s="275" customFormat="1" ht="12.75">
      <c r="A24" s="273">
        <f t="shared" si="21"/>
        <v>41995</v>
      </c>
      <c r="B24" s="274"/>
      <c r="D24" s="276"/>
      <c r="E24" s="276"/>
      <c r="F24" s="276"/>
      <c r="G24" s="276"/>
      <c r="H24" s="276"/>
      <c r="I24" s="276"/>
      <c r="J24" s="277"/>
      <c r="K24" s="277"/>
      <c r="L24" s="276"/>
      <c r="M24" s="277"/>
      <c r="N24" s="277"/>
      <c r="O24" s="276"/>
      <c r="P24" s="276"/>
      <c r="Q24" s="276"/>
      <c r="R24" s="278"/>
      <c r="S24" s="278"/>
      <c r="T24" s="279"/>
      <c r="U24" s="279">
        <f t="shared" si="18"/>
        <v>-1</v>
      </c>
      <c r="V24" s="279"/>
      <c r="W24" s="279"/>
      <c r="X24" s="278">
        <f>IF(AD24=0,VLOOKUP(R24,Mineral,2)*R24*Inputs!$C$16*Inputs!$E$37,VLOOKUP(R24,Mineral,2)*R24*Inputs!$C$16)</f>
        <v>0</v>
      </c>
      <c r="Y24" s="278"/>
      <c r="Z24" s="278">
        <f t="shared" si="19"/>
        <v>0</v>
      </c>
      <c r="AA24" s="278">
        <f t="shared" si="20"/>
        <v>0</v>
      </c>
      <c r="AB24" s="279"/>
      <c r="AC24" s="278">
        <f t="shared" si="22"/>
        <v>0</v>
      </c>
      <c r="AD24" s="279"/>
      <c r="AE24" s="279"/>
      <c r="AF24" s="278">
        <f t="shared" si="25"/>
        <v>66.64</v>
      </c>
      <c r="AG24" s="279"/>
      <c r="AH24" s="279"/>
      <c r="AI24" s="279">
        <f>IFERROR(HLOOKUP(A24,Inputs!$C$14:$C$15,2,FALSE),-100)</f>
        <v>-100</v>
      </c>
      <c r="AJ24" s="281"/>
      <c r="AK24" s="282">
        <f t="shared" si="26"/>
        <v>0</v>
      </c>
      <c r="AL24" s="282">
        <f t="shared" si="26"/>
        <v>0</v>
      </c>
      <c r="AM24" s="282">
        <f t="shared" si="24"/>
        <v>0</v>
      </c>
      <c r="AN24" s="281"/>
      <c r="AO24" s="281"/>
      <c r="AP24" s="281"/>
      <c r="AQ24" s="281"/>
      <c r="AR24" s="281"/>
      <c r="AS24" s="281"/>
      <c r="AT24" s="281"/>
      <c r="AU24" s="281"/>
      <c r="AV24" s="281"/>
      <c r="AW24" s="281"/>
      <c r="AX24" s="281" t="str">
        <f>IFERROR(VLOOKUP($A24,SWB!$C$15:$BE$244,53,FALSE),"")</f>
        <v/>
      </c>
      <c r="AY24" s="281"/>
      <c r="AZ24" s="281"/>
      <c r="BD24" s="281"/>
    </row>
    <row r="25" spans="1:56" s="275" customFormat="1" ht="12.75">
      <c r="A25" s="273">
        <f t="shared" si="21"/>
        <v>41996</v>
      </c>
      <c r="B25" s="274"/>
      <c r="D25" s="276"/>
      <c r="E25" s="276"/>
      <c r="F25" s="276"/>
      <c r="G25" s="276"/>
      <c r="H25" s="276"/>
      <c r="I25" s="276"/>
      <c r="J25" s="277"/>
      <c r="K25" s="277"/>
      <c r="L25" s="276"/>
      <c r="M25" s="277"/>
      <c r="N25" s="277"/>
      <c r="O25" s="276"/>
      <c r="P25" s="276"/>
      <c r="Q25" s="276"/>
      <c r="R25" s="278"/>
      <c r="S25" s="278"/>
      <c r="T25" s="279"/>
      <c r="U25" s="279">
        <f t="shared" si="18"/>
        <v>-1</v>
      </c>
      <c r="V25" s="279"/>
      <c r="W25" s="279"/>
      <c r="X25" s="278">
        <f>IF(AD25=0,VLOOKUP(R25,Mineral,2)*R25*Inputs!$C$16*Inputs!$E$37,VLOOKUP(R25,Mineral,2)*R25*Inputs!$C$16)</f>
        <v>0</v>
      </c>
      <c r="Y25" s="278"/>
      <c r="Z25" s="278">
        <f t="shared" si="19"/>
        <v>0</v>
      </c>
      <c r="AA25" s="278">
        <f t="shared" si="20"/>
        <v>0</v>
      </c>
      <c r="AB25" s="279"/>
      <c r="AC25" s="278">
        <f t="shared" si="22"/>
        <v>0</v>
      </c>
      <c r="AD25" s="279"/>
      <c r="AE25" s="279"/>
      <c r="AF25" s="278">
        <f t="shared" si="25"/>
        <v>66.64</v>
      </c>
      <c r="AG25" s="279"/>
      <c r="AH25" s="279"/>
      <c r="AI25" s="279">
        <f>IFERROR(HLOOKUP(A25,Inputs!$C$14:$C$15,2,FALSE),-100)</f>
        <v>-100</v>
      </c>
      <c r="AJ25" s="281"/>
      <c r="AK25" s="282">
        <f t="shared" si="26"/>
        <v>0</v>
      </c>
      <c r="AL25" s="282">
        <f t="shared" si="26"/>
        <v>0</v>
      </c>
      <c r="AM25" s="282">
        <f t="shared" si="24"/>
        <v>0</v>
      </c>
      <c r="AN25" s="281"/>
      <c r="AO25" s="281"/>
      <c r="AP25" s="281"/>
      <c r="AQ25" s="281"/>
      <c r="AR25" s="281"/>
      <c r="AS25" s="281"/>
      <c r="AT25" s="281"/>
      <c r="AU25" s="281"/>
      <c r="AV25" s="281"/>
      <c r="AW25" s="281"/>
      <c r="AX25" s="281" t="str">
        <f>IFERROR(VLOOKUP($A25,SWB!$C$15:$BE$244,53,FALSE),"")</f>
        <v/>
      </c>
      <c r="AY25" s="281"/>
      <c r="AZ25" s="281"/>
      <c r="BD25" s="281"/>
    </row>
    <row r="26" spans="1:56" s="275" customFormat="1" ht="12.75">
      <c r="A26" s="273">
        <f t="shared" si="21"/>
        <v>41997</v>
      </c>
      <c r="B26" s="274"/>
      <c r="D26" s="276"/>
      <c r="E26" s="276"/>
      <c r="F26" s="276"/>
      <c r="G26" s="276"/>
      <c r="H26" s="276"/>
      <c r="I26" s="276"/>
      <c r="J26" s="277"/>
      <c r="K26" s="277"/>
      <c r="L26" s="276"/>
      <c r="M26" s="277"/>
      <c r="N26" s="277"/>
      <c r="O26" s="276"/>
      <c r="P26" s="276"/>
      <c r="Q26" s="276"/>
      <c r="R26" s="278"/>
      <c r="S26" s="278"/>
      <c r="T26" s="279"/>
      <c r="U26" s="279">
        <f t="shared" si="18"/>
        <v>-1</v>
      </c>
      <c r="V26" s="279"/>
      <c r="W26" s="279"/>
      <c r="X26" s="278">
        <f>IF(AD26=0,VLOOKUP(R26,Mineral,2)*R26*Inputs!$C$16*Inputs!$E$37,VLOOKUP(R26,Mineral,2)*R26*Inputs!$C$16)</f>
        <v>0</v>
      </c>
      <c r="Y26" s="278"/>
      <c r="Z26" s="278">
        <f t="shared" si="19"/>
        <v>0</v>
      </c>
      <c r="AA26" s="278">
        <f t="shared" si="20"/>
        <v>0</v>
      </c>
      <c r="AB26" s="279"/>
      <c r="AC26" s="278">
        <f t="shared" si="22"/>
        <v>0</v>
      </c>
      <c r="AD26" s="279"/>
      <c r="AE26" s="279"/>
      <c r="AF26" s="278">
        <f t="shared" si="25"/>
        <v>66.64</v>
      </c>
      <c r="AG26" s="279">
        <v>25</v>
      </c>
      <c r="AH26" s="279"/>
      <c r="AI26" s="279">
        <f>IFERROR(HLOOKUP(A26,Inputs!$C$14:$C$15,2,FALSE),-100)</f>
        <v>-100</v>
      </c>
      <c r="AJ26" s="281"/>
      <c r="AK26" s="282">
        <f t="shared" si="26"/>
        <v>0</v>
      </c>
      <c r="AL26" s="282">
        <f t="shared" si="26"/>
        <v>0</v>
      </c>
      <c r="AM26" s="282">
        <f t="shared" si="24"/>
        <v>0</v>
      </c>
      <c r="AN26" s="281"/>
      <c r="AO26" s="281"/>
      <c r="AP26" s="281"/>
      <c r="AQ26" s="281"/>
      <c r="AR26" s="281"/>
      <c r="AS26" s="281"/>
      <c r="AT26" s="281"/>
      <c r="AU26" s="281"/>
      <c r="AV26" s="281"/>
      <c r="AW26" s="281"/>
      <c r="AX26" s="281" t="str">
        <f>IFERROR(VLOOKUP($A26,SWB!$C$15:$BE$244,53,FALSE),"")</f>
        <v/>
      </c>
      <c r="AY26" s="281"/>
      <c r="AZ26" s="281"/>
      <c r="BD26" s="281"/>
    </row>
    <row r="27" spans="1:56" s="275" customFormat="1" ht="12.75">
      <c r="A27" s="273">
        <f t="shared" si="21"/>
        <v>41998</v>
      </c>
      <c r="B27" s="274"/>
      <c r="D27" s="276"/>
      <c r="E27" s="276"/>
      <c r="F27" s="276"/>
      <c r="G27" s="276"/>
      <c r="H27" s="276"/>
      <c r="I27" s="276"/>
      <c r="J27" s="277"/>
      <c r="K27" s="277"/>
      <c r="L27" s="276"/>
      <c r="M27" s="277"/>
      <c r="N27" s="277"/>
      <c r="O27" s="276"/>
      <c r="P27" s="276"/>
      <c r="Q27" s="276"/>
      <c r="R27" s="278"/>
      <c r="S27" s="278"/>
      <c r="T27" s="279"/>
      <c r="U27" s="279">
        <f t="shared" si="18"/>
        <v>-1</v>
      </c>
      <c r="V27" s="279"/>
      <c r="W27" s="279"/>
      <c r="X27" s="278">
        <f>IF(AD27=0,VLOOKUP(R27,Mineral,2)*R27*Inputs!$C$16*Inputs!$E$37,VLOOKUP(R27,Mineral,2)*R27*Inputs!$C$16)</f>
        <v>0</v>
      </c>
      <c r="Y27" s="278"/>
      <c r="Z27" s="278">
        <f t="shared" si="19"/>
        <v>0</v>
      </c>
      <c r="AA27" s="278">
        <f t="shared" si="20"/>
        <v>0</v>
      </c>
      <c r="AB27" s="279"/>
      <c r="AC27" s="278">
        <f t="shared" si="22"/>
        <v>0</v>
      </c>
      <c r="AD27" s="279"/>
      <c r="AE27" s="279"/>
      <c r="AF27" s="278">
        <f t="shared" si="25"/>
        <v>66.64</v>
      </c>
      <c r="AG27" s="279">
        <v>25</v>
      </c>
      <c r="AH27" s="279"/>
      <c r="AI27" s="279">
        <f>IFERROR(HLOOKUP(A27,Inputs!$C$14:$C$15,2,FALSE),-100)</f>
        <v>-100</v>
      </c>
      <c r="AJ27" s="281"/>
      <c r="AK27" s="282">
        <f t="shared" si="26"/>
        <v>0</v>
      </c>
      <c r="AL27" s="282">
        <f t="shared" si="26"/>
        <v>0</v>
      </c>
      <c r="AM27" s="282">
        <f t="shared" si="24"/>
        <v>0</v>
      </c>
      <c r="AN27" s="281"/>
      <c r="AO27" s="281"/>
      <c r="AP27" s="281"/>
      <c r="AQ27" s="281"/>
      <c r="AR27" s="281"/>
      <c r="AS27" s="281"/>
      <c r="AT27" s="281"/>
      <c r="AU27" s="281"/>
      <c r="AV27" s="281"/>
      <c r="AW27" s="281"/>
      <c r="AX27" s="281" t="str">
        <f>IFERROR(VLOOKUP($A27,SWB!$C$15:$BE$244,53,FALSE),"")</f>
        <v/>
      </c>
      <c r="AY27" s="281"/>
      <c r="AZ27" s="281"/>
      <c r="BD27" s="281"/>
    </row>
    <row r="28" spans="1:56" s="275" customFormat="1" ht="12.75">
      <c r="A28" s="273">
        <f t="shared" si="21"/>
        <v>41999</v>
      </c>
      <c r="B28" s="274"/>
      <c r="D28" s="276"/>
      <c r="E28" s="276"/>
      <c r="F28" s="276"/>
      <c r="G28" s="276"/>
      <c r="H28" s="276"/>
      <c r="I28" s="276"/>
      <c r="J28" s="277"/>
      <c r="K28" s="277"/>
      <c r="L28" s="276"/>
      <c r="M28" s="277"/>
      <c r="N28" s="277"/>
      <c r="O28" s="276"/>
      <c r="P28" s="276"/>
      <c r="Q28" s="276"/>
      <c r="R28" s="278"/>
      <c r="S28" s="278"/>
      <c r="T28" s="279"/>
      <c r="U28" s="279">
        <f t="shared" si="18"/>
        <v>-1</v>
      </c>
      <c r="V28" s="279"/>
      <c r="W28" s="279"/>
      <c r="X28" s="278">
        <f>IF(AD28=0,VLOOKUP(R28,Mineral,2)*R28*Inputs!$C$16*Inputs!$E$37,VLOOKUP(R28,Mineral,2)*R28*Inputs!$C$16)</f>
        <v>0</v>
      </c>
      <c r="Y28" s="278"/>
      <c r="Z28" s="278">
        <f t="shared" si="19"/>
        <v>0</v>
      </c>
      <c r="AA28" s="278">
        <f t="shared" si="20"/>
        <v>0</v>
      </c>
      <c r="AB28" s="279"/>
      <c r="AC28" s="278">
        <f t="shared" si="22"/>
        <v>0</v>
      </c>
      <c r="AD28" s="279"/>
      <c r="AE28" s="279"/>
      <c r="AF28" s="278">
        <f t="shared" si="25"/>
        <v>66.64</v>
      </c>
      <c r="AG28" s="279">
        <v>25</v>
      </c>
      <c r="AH28" s="279"/>
      <c r="AI28" s="279">
        <f>IFERROR(HLOOKUP(A28,Inputs!$C$14:$C$15,2,FALSE),-100)</f>
        <v>-100</v>
      </c>
      <c r="AJ28" s="281"/>
      <c r="AK28" s="282">
        <f t="shared" si="26"/>
        <v>0</v>
      </c>
      <c r="AL28" s="282">
        <f t="shared" si="26"/>
        <v>0</v>
      </c>
      <c r="AM28" s="282">
        <f t="shared" si="24"/>
        <v>0</v>
      </c>
      <c r="AN28" s="281"/>
      <c r="AO28" s="281"/>
      <c r="AP28" s="281"/>
      <c r="AQ28" s="281"/>
      <c r="AR28" s="281"/>
      <c r="AS28" s="281"/>
      <c r="AT28" s="281"/>
      <c r="AU28" s="281"/>
      <c r="AV28" s="281"/>
      <c r="AW28" s="281"/>
      <c r="AX28" s="281" t="str">
        <f>IFERROR(VLOOKUP($A28,SWB!$C$15:$BE$244,53,FALSE),"")</f>
        <v/>
      </c>
      <c r="AY28" s="281"/>
      <c r="AZ28" s="281"/>
      <c r="BD28" s="281"/>
    </row>
    <row r="29" spans="1:56" s="275" customFormat="1" ht="12.75">
      <c r="A29" s="273">
        <f t="shared" si="21"/>
        <v>42000</v>
      </c>
      <c r="B29" s="274"/>
      <c r="D29" s="276"/>
      <c r="E29" s="276"/>
      <c r="F29" s="276"/>
      <c r="G29" s="276"/>
      <c r="H29" s="276"/>
      <c r="I29" s="276"/>
      <c r="J29" s="277"/>
      <c r="K29" s="277"/>
      <c r="L29" s="276"/>
      <c r="M29" s="277"/>
      <c r="N29" s="277"/>
      <c r="O29" s="276"/>
      <c r="P29" s="276"/>
      <c r="Q29" s="276"/>
      <c r="R29" s="278"/>
      <c r="S29" s="278"/>
      <c r="T29" s="279"/>
      <c r="U29" s="279">
        <f t="shared" si="18"/>
        <v>-1</v>
      </c>
      <c r="V29" s="279"/>
      <c r="W29" s="279"/>
      <c r="X29" s="278">
        <f>IF(AD29=0,VLOOKUP(R29,Mineral,2)*R29*Inputs!$C$16*Inputs!$E$37,VLOOKUP(R29,Mineral,2)*R29*Inputs!$C$16)</f>
        <v>0</v>
      </c>
      <c r="Y29" s="278"/>
      <c r="Z29" s="278">
        <f t="shared" si="19"/>
        <v>0</v>
      </c>
      <c r="AA29" s="278">
        <f t="shared" si="20"/>
        <v>0</v>
      </c>
      <c r="AB29" s="279"/>
      <c r="AC29" s="278">
        <f t="shared" si="22"/>
        <v>0</v>
      </c>
      <c r="AD29" s="279"/>
      <c r="AE29" s="279"/>
      <c r="AF29" s="278">
        <f t="shared" si="25"/>
        <v>66.64</v>
      </c>
      <c r="AG29" s="279">
        <v>25</v>
      </c>
      <c r="AH29" s="279"/>
      <c r="AI29" s="279">
        <f>IFERROR(HLOOKUP(A29,Inputs!$C$14:$C$15,2,FALSE),-100)</f>
        <v>-100</v>
      </c>
      <c r="AJ29" s="281"/>
      <c r="AK29" s="282">
        <f t="shared" ref="AK29:AK92" si="27">X29+AK28</f>
        <v>0</v>
      </c>
      <c r="AL29" s="282">
        <f t="shared" ref="AL29:AL92" si="28">Y29+AL28</f>
        <v>0</v>
      </c>
      <c r="AM29" s="282">
        <f t="shared" ref="AM29:AM92" si="29">AC29+AM28</f>
        <v>0</v>
      </c>
      <c r="AN29" s="281"/>
      <c r="AO29" s="281"/>
      <c r="AP29" s="281"/>
      <c r="AQ29" s="281"/>
      <c r="AR29" s="281"/>
      <c r="AS29" s="281"/>
      <c r="AT29" s="281"/>
      <c r="AU29" s="281"/>
      <c r="AV29" s="281"/>
      <c r="AW29" s="281"/>
      <c r="AX29" s="281" t="str">
        <f>IFERROR(VLOOKUP($A29,SWB!$C$15:$BE$244,53,FALSE),"")</f>
        <v/>
      </c>
      <c r="AY29" s="281"/>
      <c r="AZ29" s="281"/>
      <c r="BD29" s="281"/>
    </row>
    <row r="30" spans="1:56" s="275" customFormat="1" ht="12.75">
      <c r="A30" s="273">
        <f t="shared" si="21"/>
        <v>42001</v>
      </c>
      <c r="B30" s="274"/>
      <c r="D30" s="276"/>
      <c r="E30" s="276"/>
      <c r="F30" s="276"/>
      <c r="G30" s="276"/>
      <c r="H30" s="276"/>
      <c r="I30" s="276"/>
      <c r="J30" s="277"/>
      <c r="K30" s="277"/>
      <c r="L30" s="276"/>
      <c r="M30" s="277"/>
      <c r="N30" s="277"/>
      <c r="O30" s="276"/>
      <c r="P30" s="276"/>
      <c r="Q30" s="276"/>
      <c r="R30" s="278"/>
      <c r="S30" s="278"/>
      <c r="T30" s="279"/>
      <c r="U30" s="279">
        <f t="shared" si="18"/>
        <v>-1</v>
      </c>
      <c r="V30" s="279"/>
      <c r="W30" s="279"/>
      <c r="X30" s="278">
        <f>IF(AD30=0,VLOOKUP(R30,Mineral,2)*R30*Inputs!$C$16*Inputs!$E$37,VLOOKUP(R30,Mineral,2)*R30*Inputs!$C$16)</f>
        <v>0</v>
      </c>
      <c r="Y30" s="278"/>
      <c r="Z30" s="278">
        <f t="shared" si="19"/>
        <v>0</v>
      </c>
      <c r="AA30" s="278">
        <f t="shared" si="20"/>
        <v>0</v>
      </c>
      <c r="AB30" s="279"/>
      <c r="AC30" s="278">
        <f t="shared" si="22"/>
        <v>0</v>
      </c>
      <c r="AD30" s="279"/>
      <c r="AE30" s="279"/>
      <c r="AF30" s="278">
        <f t="shared" si="25"/>
        <v>66.64</v>
      </c>
      <c r="AG30" s="279">
        <v>25</v>
      </c>
      <c r="AH30" s="279"/>
      <c r="AI30" s="279">
        <f>IFERROR(HLOOKUP(A30,Inputs!$C$14:$C$15,2,FALSE),-100)</f>
        <v>-100</v>
      </c>
      <c r="AJ30" s="281"/>
      <c r="AK30" s="282">
        <f t="shared" si="27"/>
        <v>0</v>
      </c>
      <c r="AL30" s="282">
        <f t="shared" si="28"/>
        <v>0</v>
      </c>
      <c r="AM30" s="282">
        <f t="shared" si="29"/>
        <v>0</v>
      </c>
      <c r="AN30" s="281"/>
      <c r="AO30" s="281"/>
      <c r="AP30" s="281"/>
      <c r="AQ30" s="281"/>
      <c r="AR30" s="281"/>
      <c r="AS30" s="281"/>
      <c r="AT30" s="281"/>
      <c r="AU30" s="281"/>
      <c r="AV30" s="281"/>
      <c r="AW30" s="281"/>
      <c r="AX30" s="281" t="str">
        <f>IFERROR(VLOOKUP($A30,SWB!$C$15:$BE$244,53,FALSE),"")</f>
        <v/>
      </c>
      <c r="AY30" s="281"/>
      <c r="AZ30" s="281"/>
      <c r="BD30" s="281"/>
    </row>
    <row r="31" spans="1:56" s="275" customFormat="1" ht="12.75">
      <c r="A31" s="273">
        <f t="shared" si="21"/>
        <v>42002</v>
      </c>
      <c r="B31" s="274"/>
      <c r="D31" s="276"/>
      <c r="E31" s="276"/>
      <c r="F31" s="276"/>
      <c r="G31" s="276"/>
      <c r="H31" s="276"/>
      <c r="I31" s="276"/>
      <c r="J31" s="277"/>
      <c r="K31" s="277"/>
      <c r="L31" s="276"/>
      <c r="M31" s="277"/>
      <c r="N31" s="277"/>
      <c r="O31" s="276"/>
      <c r="P31" s="276"/>
      <c r="Q31" s="276"/>
      <c r="R31" s="278"/>
      <c r="S31" s="278"/>
      <c r="T31" s="279"/>
      <c r="U31" s="279">
        <f t="shared" si="18"/>
        <v>1</v>
      </c>
      <c r="V31" s="279"/>
      <c r="W31" s="279"/>
      <c r="X31" s="278">
        <f>IF(AD31=0,VLOOKUP(R31,Mineral,2)*R31*Inputs!$C$16*Inputs!$E$37,VLOOKUP(R31,Mineral,2)*R31*Inputs!$C$16)</f>
        <v>0</v>
      </c>
      <c r="Y31" s="278"/>
      <c r="Z31" s="278">
        <f t="shared" si="19"/>
        <v>0</v>
      </c>
      <c r="AA31" s="278">
        <f t="shared" si="20"/>
        <v>0</v>
      </c>
      <c r="AB31" s="279"/>
      <c r="AC31" s="278">
        <f t="shared" si="22"/>
        <v>0</v>
      </c>
      <c r="AD31" s="279"/>
      <c r="AE31" s="279"/>
      <c r="AF31" s="278">
        <f t="shared" si="25"/>
        <v>66.64</v>
      </c>
      <c r="AG31" s="279">
        <v>25</v>
      </c>
      <c r="AH31" s="279"/>
      <c r="AI31" s="279">
        <f>IFERROR(HLOOKUP(A31,Inputs!$C$14:$C$15,2,FALSE),-100)</f>
        <v>-100</v>
      </c>
      <c r="AJ31" s="281"/>
      <c r="AK31" s="282">
        <f t="shared" si="27"/>
        <v>0</v>
      </c>
      <c r="AL31" s="282">
        <f t="shared" si="28"/>
        <v>0</v>
      </c>
      <c r="AM31" s="282">
        <f t="shared" si="29"/>
        <v>0</v>
      </c>
      <c r="AN31" s="281"/>
      <c r="AO31" s="281"/>
      <c r="AP31" s="281"/>
      <c r="AQ31" s="281"/>
      <c r="AR31" s="281"/>
      <c r="AS31" s="281"/>
      <c r="AT31" s="281"/>
      <c r="AU31" s="281"/>
      <c r="AV31" s="281"/>
      <c r="AW31" s="281"/>
      <c r="AX31" s="281" t="str">
        <f>IFERROR(VLOOKUP($A31,SWB!$C$15:$BE$244,53,FALSE),"")</f>
        <v/>
      </c>
      <c r="AY31" s="281"/>
      <c r="AZ31" s="281"/>
      <c r="BD31" s="281"/>
    </row>
    <row r="32" spans="1:56" s="275" customFormat="1" ht="12.75">
      <c r="A32" s="273">
        <f t="shared" si="21"/>
        <v>42003</v>
      </c>
      <c r="B32" s="274"/>
      <c r="D32" s="276"/>
      <c r="E32" s="276"/>
      <c r="F32" s="276"/>
      <c r="G32" s="276"/>
      <c r="H32" s="276"/>
      <c r="I32" s="276"/>
      <c r="J32" s="277"/>
      <c r="K32" s="277"/>
      <c r="L32" s="276"/>
      <c r="M32" s="277"/>
      <c r="N32" s="277"/>
      <c r="O32" s="276"/>
      <c r="P32" s="276"/>
      <c r="Q32" s="276"/>
      <c r="R32" s="278"/>
      <c r="S32" s="278"/>
      <c r="T32" s="279"/>
      <c r="U32" s="279">
        <f t="shared" si="18"/>
        <v>1</v>
      </c>
      <c r="V32" s="279"/>
      <c r="W32" s="279"/>
      <c r="X32" s="278">
        <f>IF(AD32=0,VLOOKUP(R32,Mineral,2)*R32*Inputs!$C$16*Inputs!$E$37,VLOOKUP(R32,Mineral,2)*R32*Inputs!$C$16)</f>
        <v>0</v>
      </c>
      <c r="Y32" s="278"/>
      <c r="Z32" s="278">
        <f>IFERROR(VLOOKUP(A32,Fertiliza,9,0),0)</f>
        <v>14.52</v>
      </c>
      <c r="AA32" s="278">
        <f t="shared" si="20"/>
        <v>24.2</v>
      </c>
      <c r="AB32" s="279"/>
      <c r="AC32" s="278">
        <f t="shared" si="22"/>
        <v>0</v>
      </c>
      <c r="AD32" s="279"/>
      <c r="AE32" s="279"/>
      <c r="AF32" s="278">
        <f t="shared" si="25"/>
        <v>81.16</v>
      </c>
      <c r="AG32" s="279">
        <v>25</v>
      </c>
      <c r="AH32" s="279"/>
      <c r="AI32" s="279">
        <f>IFERROR(HLOOKUP(A32,Inputs!$C$14:$C$15,2,FALSE),-100)</f>
        <v>66.64</v>
      </c>
      <c r="AJ32" s="281"/>
      <c r="AK32" s="282">
        <f t="shared" si="27"/>
        <v>0</v>
      </c>
      <c r="AL32" s="282">
        <f t="shared" si="28"/>
        <v>0</v>
      </c>
      <c r="AM32" s="282">
        <f t="shared" si="29"/>
        <v>0</v>
      </c>
      <c r="AN32" s="281"/>
      <c r="AO32" s="281"/>
      <c r="AP32" s="281"/>
      <c r="AQ32" s="281"/>
      <c r="AR32" s="281"/>
      <c r="AS32" s="281"/>
      <c r="AT32" s="281"/>
      <c r="AU32" s="281"/>
      <c r="AV32" s="281"/>
      <c r="AW32" s="281"/>
      <c r="AX32" s="281" t="str">
        <f>IFERROR(VLOOKUP($A32,SWB!$C$15:$BE$244,53,FALSE),"")</f>
        <v/>
      </c>
      <c r="AY32" s="281"/>
      <c r="AZ32" s="281"/>
      <c r="BD32" s="281"/>
    </row>
    <row r="33" spans="1:56" s="275" customFormat="1" ht="12.75">
      <c r="A33" s="273">
        <f t="shared" si="21"/>
        <v>42004</v>
      </c>
      <c r="B33" s="274"/>
      <c r="D33" s="276"/>
      <c r="E33" s="276"/>
      <c r="F33" s="276"/>
      <c r="G33" s="276"/>
      <c r="H33" s="276"/>
      <c r="I33" s="276"/>
      <c r="J33" s="277"/>
      <c r="K33" s="277"/>
      <c r="L33" s="276"/>
      <c r="M33" s="277"/>
      <c r="N33" s="277"/>
      <c r="O33" s="276"/>
      <c r="P33" s="276"/>
      <c r="Q33" s="276"/>
      <c r="R33" s="278"/>
      <c r="S33" s="278"/>
      <c r="T33" s="279"/>
      <c r="U33" s="279">
        <f t="shared" si="18"/>
        <v>1</v>
      </c>
      <c r="V33" s="279"/>
      <c r="W33" s="279"/>
      <c r="X33" s="278">
        <f>IF(AD33=0,VLOOKUP(R33,Mineral,2)*R33*Inputs!$C$16*Inputs!$E$37,VLOOKUP(R33,Mineral,2)*R33*Inputs!$C$16)</f>
        <v>0</v>
      </c>
      <c r="Y33" s="278"/>
      <c r="Z33" s="278">
        <f t="shared" si="19"/>
        <v>0</v>
      </c>
      <c r="AA33" s="278">
        <f t="shared" si="20"/>
        <v>0</v>
      </c>
      <c r="AB33" s="279"/>
      <c r="AC33" s="278">
        <f t="shared" si="22"/>
        <v>0</v>
      </c>
      <c r="AD33" s="279"/>
      <c r="AE33" s="279"/>
      <c r="AF33" s="278">
        <f t="shared" si="25"/>
        <v>81.16</v>
      </c>
      <c r="AG33" s="279">
        <v>25</v>
      </c>
      <c r="AH33" s="279"/>
      <c r="AI33" s="279">
        <f>IFERROR(HLOOKUP(A33,Inputs!$C$14:$C$15,2,FALSE),-100)</f>
        <v>-100</v>
      </c>
      <c r="AJ33" s="281"/>
      <c r="AK33" s="282">
        <f t="shared" si="27"/>
        <v>0</v>
      </c>
      <c r="AL33" s="282">
        <f t="shared" si="28"/>
        <v>0</v>
      </c>
      <c r="AM33" s="282">
        <f t="shared" si="29"/>
        <v>0</v>
      </c>
      <c r="AN33" s="281"/>
      <c r="AO33" s="281"/>
      <c r="AP33" s="281"/>
      <c r="AQ33" s="281"/>
      <c r="AR33" s="281"/>
      <c r="AS33" s="281"/>
      <c r="AT33" s="281"/>
      <c r="AU33" s="281"/>
      <c r="AV33" s="281"/>
      <c r="AW33" s="281"/>
      <c r="AX33" s="281" t="str">
        <f>IFERROR(VLOOKUP($A33,SWB!$C$15:$BE$244,53,FALSE),"")</f>
        <v/>
      </c>
      <c r="AY33" s="281"/>
      <c r="AZ33" s="281"/>
      <c r="BD33" s="281"/>
    </row>
    <row r="34" spans="1:56" s="275" customFormat="1" ht="12.75">
      <c r="A34" s="273">
        <f t="shared" si="21"/>
        <v>42005</v>
      </c>
      <c r="B34" s="274"/>
      <c r="D34" s="276"/>
      <c r="E34" s="276"/>
      <c r="F34" s="276"/>
      <c r="G34" s="276"/>
      <c r="H34" s="276"/>
      <c r="I34" s="276"/>
      <c r="J34" s="277"/>
      <c r="K34" s="277"/>
      <c r="L34" s="276"/>
      <c r="M34" s="277"/>
      <c r="N34" s="277"/>
      <c r="O34" s="276"/>
      <c r="P34" s="276"/>
      <c r="Q34" s="276"/>
      <c r="R34" s="278"/>
      <c r="S34" s="278"/>
      <c r="T34" s="279"/>
      <c r="U34" s="279">
        <f t="shared" si="18"/>
        <v>1</v>
      </c>
      <c r="V34" s="279"/>
      <c r="W34" s="279"/>
      <c r="X34" s="278">
        <f>IF(AD34=0,VLOOKUP(R34,Mineral,2)*R34*Inputs!$C$16*Inputs!$E$37,VLOOKUP(R34,Mineral,2)*R34*Inputs!$C$16)</f>
        <v>0</v>
      </c>
      <c r="Y34" s="278"/>
      <c r="Z34" s="278">
        <f t="shared" si="19"/>
        <v>0</v>
      </c>
      <c r="AA34" s="278">
        <f t="shared" si="20"/>
        <v>0</v>
      </c>
      <c r="AB34" s="279"/>
      <c r="AC34" s="278">
        <f t="shared" si="22"/>
        <v>0</v>
      </c>
      <c r="AD34" s="279"/>
      <c r="AE34" s="279"/>
      <c r="AF34" s="278">
        <f t="shared" si="25"/>
        <v>81.16</v>
      </c>
      <c r="AG34" s="279">
        <v>25</v>
      </c>
      <c r="AH34" s="279"/>
      <c r="AI34" s="279">
        <f>IFERROR(HLOOKUP(A34,Inputs!$C$14:$C$15,2,FALSE),-100)</f>
        <v>-100</v>
      </c>
      <c r="AJ34" s="281"/>
      <c r="AK34" s="282">
        <f t="shared" si="27"/>
        <v>0</v>
      </c>
      <c r="AL34" s="282">
        <f t="shared" si="28"/>
        <v>0</v>
      </c>
      <c r="AM34" s="282">
        <f t="shared" si="29"/>
        <v>0</v>
      </c>
      <c r="AN34" s="281"/>
      <c r="AO34" s="281"/>
      <c r="AP34" s="281"/>
      <c r="AQ34" s="281"/>
      <c r="AR34" s="281"/>
      <c r="AS34" s="281"/>
      <c r="AT34" s="281"/>
      <c r="AU34" s="281"/>
      <c r="AV34" s="281"/>
      <c r="AW34" s="281"/>
      <c r="AX34" s="281" t="str">
        <f>IFERROR(VLOOKUP($A34,SWB!$C$15:$BE$244,53,FALSE),"")</f>
        <v/>
      </c>
      <c r="AY34" s="281"/>
      <c r="AZ34" s="281"/>
      <c r="BD34" s="281"/>
    </row>
    <row r="35" spans="1:56" s="275" customFormat="1" ht="12.75">
      <c r="A35" s="273">
        <f t="shared" si="21"/>
        <v>42006</v>
      </c>
      <c r="B35" s="274"/>
      <c r="D35" s="276"/>
      <c r="E35" s="276"/>
      <c r="F35" s="276"/>
      <c r="G35" s="276"/>
      <c r="H35" s="276"/>
      <c r="I35" s="276"/>
      <c r="J35" s="277"/>
      <c r="K35" s="277"/>
      <c r="L35" s="276"/>
      <c r="M35" s="277"/>
      <c r="N35" s="277"/>
      <c r="O35" s="276"/>
      <c r="P35" s="276"/>
      <c r="Q35" s="276"/>
      <c r="R35" s="278"/>
      <c r="S35" s="278"/>
      <c r="T35" s="279"/>
      <c r="U35" s="279">
        <f t="shared" si="18"/>
        <v>1</v>
      </c>
      <c r="V35" s="279"/>
      <c r="W35" s="279"/>
      <c r="X35" s="278">
        <f>IF(AD35=0,VLOOKUP(R35,Mineral,2)*R35*Inputs!$C$16*Inputs!$E$37,VLOOKUP(R35,Mineral,2)*R35*Inputs!$C$16)</f>
        <v>0</v>
      </c>
      <c r="Y35" s="278"/>
      <c r="Z35" s="278">
        <f t="shared" si="19"/>
        <v>0</v>
      </c>
      <c r="AA35" s="278">
        <f t="shared" si="20"/>
        <v>0</v>
      </c>
      <c r="AB35" s="279"/>
      <c r="AC35" s="278">
        <f t="shared" si="22"/>
        <v>0</v>
      </c>
      <c r="AD35" s="279"/>
      <c r="AE35" s="279"/>
      <c r="AF35" s="278">
        <f t="shared" si="25"/>
        <v>81.16</v>
      </c>
      <c r="AG35" s="279">
        <v>25</v>
      </c>
      <c r="AH35" s="279"/>
      <c r="AI35" s="279">
        <f>IFERROR(HLOOKUP(A35,Inputs!$C$14:$C$15,2,FALSE),-100)</f>
        <v>-100</v>
      </c>
      <c r="AJ35" s="281"/>
      <c r="AK35" s="282">
        <f t="shared" si="27"/>
        <v>0</v>
      </c>
      <c r="AL35" s="282">
        <f t="shared" si="28"/>
        <v>0</v>
      </c>
      <c r="AM35" s="282">
        <f t="shared" si="29"/>
        <v>0</v>
      </c>
      <c r="AN35" s="281"/>
      <c r="AO35" s="281"/>
      <c r="AP35" s="281"/>
      <c r="AQ35" s="281"/>
      <c r="AR35" s="281"/>
      <c r="AS35" s="281"/>
      <c r="AT35" s="281"/>
      <c r="AU35" s="281"/>
      <c r="AV35" s="281"/>
      <c r="AW35" s="281"/>
      <c r="AX35" s="281" t="str">
        <f>IFERROR(VLOOKUP($A35,SWB!$C$15:$BE$244,53,FALSE),"")</f>
        <v/>
      </c>
      <c r="AY35" s="281"/>
      <c r="AZ35" s="281"/>
      <c r="BD35" s="281"/>
    </row>
    <row r="36" spans="1:56" s="275" customFormat="1" ht="12.75">
      <c r="A36" s="273">
        <f t="shared" si="21"/>
        <v>42007</v>
      </c>
      <c r="B36" s="274"/>
      <c r="D36" s="276"/>
      <c r="E36" s="276"/>
      <c r="F36" s="276"/>
      <c r="G36" s="276"/>
      <c r="H36" s="276"/>
      <c r="I36" s="276"/>
      <c r="J36" s="277"/>
      <c r="K36" s="277"/>
      <c r="L36" s="276"/>
      <c r="M36" s="277"/>
      <c r="N36" s="277"/>
      <c r="O36" s="276"/>
      <c r="P36" s="276"/>
      <c r="Q36" s="276"/>
      <c r="R36" s="278"/>
      <c r="S36" s="278"/>
      <c r="T36" s="279"/>
      <c r="U36" s="279">
        <f t="shared" si="18"/>
        <v>1</v>
      </c>
      <c r="V36" s="279"/>
      <c r="W36" s="279"/>
      <c r="X36" s="278">
        <f>IF(AD36=0,VLOOKUP(R36,Mineral,2)*R36*Inputs!$C$16*Inputs!$E$37,VLOOKUP(R36,Mineral,2)*R36*Inputs!$C$16)</f>
        <v>0</v>
      </c>
      <c r="Y36" s="278"/>
      <c r="Z36" s="278">
        <f>IFERROR(VLOOKUP(A36,Fertiliza,9,0),0)</f>
        <v>0</v>
      </c>
      <c r="AA36" s="278">
        <f t="shared" si="20"/>
        <v>0</v>
      </c>
      <c r="AB36" s="279"/>
      <c r="AC36" s="278">
        <f t="shared" si="22"/>
        <v>0</v>
      </c>
      <c r="AD36" s="279"/>
      <c r="AE36" s="279"/>
      <c r="AF36" s="278">
        <f t="shared" si="25"/>
        <v>81.16</v>
      </c>
      <c r="AG36" s="279">
        <v>25</v>
      </c>
      <c r="AH36" s="279"/>
      <c r="AI36" s="279">
        <f>IFERROR(HLOOKUP(A36,Inputs!$C$14:$C$15,2,FALSE),-100)</f>
        <v>-100</v>
      </c>
      <c r="AJ36" s="281"/>
      <c r="AK36" s="282">
        <f t="shared" si="27"/>
        <v>0</v>
      </c>
      <c r="AL36" s="282">
        <f t="shared" si="28"/>
        <v>0</v>
      </c>
      <c r="AM36" s="282">
        <f t="shared" si="29"/>
        <v>0</v>
      </c>
      <c r="AN36" s="281"/>
      <c r="AO36" s="281"/>
      <c r="AP36" s="281"/>
      <c r="AQ36" s="281"/>
      <c r="AR36" s="281"/>
      <c r="AS36" s="281"/>
      <c r="AT36" s="281"/>
      <c r="AU36" s="281"/>
      <c r="AV36" s="281"/>
      <c r="AW36" s="281"/>
      <c r="AX36" s="281" t="str">
        <f>IFERROR(VLOOKUP($A36,SWB!$C$15:$BE$244,53,FALSE),"")</f>
        <v/>
      </c>
      <c r="AY36" s="281"/>
      <c r="AZ36" s="281"/>
      <c r="BD36" s="281"/>
    </row>
    <row r="37" spans="1:56" s="275" customFormat="1" ht="12.75">
      <c r="A37" s="273">
        <f t="shared" si="21"/>
        <v>42008</v>
      </c>
      <c r="B37" s="274"/>
      <c r="D37" s="276"/>
      <c r="E37" s="276"/>
      <c r="F37" s="276"/>
      <c r="G37" s="276"/>
      <c r="H37" s="276"/>
      <c r="I37" s="276"/>
      <c r="J37" s="277"/>
      <c r="K37" s="277"/>
      <c r="L37" s="276"/>
      <c r="M37" s="277"/>
      <c r="N37" s="277"/>
      <c r="O37" s="276"/>
      <c r="P37" s="276"/>
      <c r="Q37" s="276"/>
      <c r="R37" s="278"/>
      <c r="S37" s="278"/>
      <c r="T37" s="279"/>
      <c r="U37" s="279">
        <f t="shared" si="18"/>
        <v>1</v>
      </c>
      <c r="V37" s="279"/>
      <c r="W37" s="279"/>
      <c r="X37" s="278">
        <f>IF(AD37=0,VLOOKUP(R37,Mineral,2)*R37*Inputs!$C$16*Inputs!$E$37,VLOOKUP(R37,Mineral,2)*R37*Inputs!$C$16)</f>
        <v>0</v>
      </c>
      <c r="Y37" s="278"/>
      <c r="Z37" s="278">
        <f t="shared" si="19"/>
        <v>0</v>
      </c>
      <c r="AA37" s="278">
        <f t="shared" si="20"/>
        <v>0</v>
      </c>
      <c r="AB37" s="279"/>
      <c r="AC37" s="278">
        <f t="shared" si="22"/>
        <v>0</v>
      </c>
      <c r="AD37" s="279"/>
      <c r="AE37" s="279"/>
      <c r="AF37" s="278">
        <f t="shared" si="25"/>
        <v>81.16</v>
      </c>
      <c r="AG37" s="279">
        <v>25</v>
      </c>
      <c r="AH37" s="279"/>
      <c r="AI37" s="279">
        <f>IFERROR(HLOOKUP(A37,Inputs!$C$14:$C$15,2,FALSE),-100)</f>
        <v>-100</v>
      </c>
      <c r="AJ37" s="281"/>
      <c r="AK37" s="282">
        <f t="shared" si="27"/>
        <v>0</v>
      </c>
      <c r="AL37" s="282">
        <f t="shared" si="28"/>
        <v>0</v>
      </c>
      <c r="AM37" s="282">
        <f t="shared" si="29"/>
        <v>0</v>
      </c>
      <c r="AN37" s="281"/>
      <c r="AO37" s="281"/>
      <c r="AP37" s="281"/>
      <c r="AQ37" s="281"/>
      <c r="AR37" s="281"/>
      <c r="AS37" s="281"/>
      <c r="AT37" s="281"/>
      <c r="AU37" s="281"/>
      <c r="AV37" s="281"/>
      <c r="AW37" s="281"/>
      <c r="AX37" s="281" t="str">
        <f>IFERROR(VLOOKUP($A37,SWB!$C$15:$BE$244,53,FALSE),"")</f>
        <v/>
      </c>
      <c r="AY37" s="281"/>
      <c r="AZ37" s="281"/>
      <c r="BD37" s="281"/>
    </row>
    <row r="38" spans="1:56" s="275" customFormat="1" ht="12.75">
      <c r="A38" s="273">
        <f t="shared" si="21"/>
        <v>42009</v>
      </c>
      <c r="B38" s="274"/>
      <c r="D38" s="276"/>
      <c r="E38" s="276"/>
      <c r="F38" s="276"/>
      <c r="G38" s="276"/>
      <c r="H38" s="276"/>
      <c r="I38" s="276"/>
      <c r="J38" s="277"/>
      <c r="K38" s="277"/>
      <c r="L38" s="276"/>
      <c r="M38" s="277"/>
      <c r="N38" s="277"/>
      <c r="O38" s="276"/>
      <c r="P38" s="276"/>
      <c r="Q38" s="276"/>
      <c r="R38" s="278"/>
      <c r="S38" s="278"/>
      <c r="T38" s="279"/>
      <c r="U38" s="279">
        <f t="shared" si="18"/>
        <v>2</v>
      </c>
      <c r="V38" s="279"/>
      <c r="W38" s="279"/>
      <c r="X38" s="278">
        <f>IF(AD38=0,VLOOKUP(R38,Mineral,2)*R38*Inputs!$C$16*Inputs!$E$37,VLOOKUP(R38,Mineral,2)*R38*Inputs!$C$16)</f>
        <v>0</v>
      </c>
      <c r="Y38" s="278"/>
      <c r="Z38" s="278">
        <f t="shared" si="19"/>
        <v>0</v>
      </c>
      <c r="AA38" s="278">
        <f t="shared" si="20"/>
        <v>0</v>
      </c>
      <c r="AB38" s="279"/>
      <c r="AC38" s="278">
        <f t="shared" si="22"/>
        <v>0</v>
      </c>
      <c r="AD38" s="279"/>
      <c r="AE38" s="279"/>
      <c r="AF38" s="278">
        <f t="shared" si="25"/>
        <v>81.16</v>
      </c>
      <c r="AG38" s="279">
        <v>25</v>
      </c>
      <c r="AH38" s="279"/>
      <c r="AI38" s="279">
        <f>IFERROR(HLOOKUP(A38,Inputs!$C$14:$C$15,2,FALSE),-100)</f>
        <v>-100</v>
      </c>
      <c r="AJ38" s="281"/>
      <c r="AK38" s="282">
        <f t="shared" si="27"/>
        <v>0</v>
      </c>
      <c r="AL38" s="282">
        <f t="shared" si="28"/>
        <v>0</v>
      </c>
      <c r="AM38" s="282">
        <f t="shared" si="29"/>
        <v>0</v>
      </c>
      <c r="AN38" s="281"/>
      <c r="AO38" s="281"/>
      <c r="AP38" s="281"/>
      <c r="AQ38" s="281"/>
      <c r="AR38" s="281"/>
      <c r="AS38" s="281"/>
      <c r="AT38" s="281"/>
      <c r="AU38" s="281"/>
      <c r="AV38" s="281"/>
      <c r="AW38" s="281"/>
      <c r="AX38" s="281" t="str">
        <f>IFERROR(VLOOKUP($A38,SWB!$C$15:$BE$244,53,FALSE),"")</f>
        <v/>
      </c>
      <c r="AY38" s="281"/>
      <c r="AZ38" s="281"/>
      <c r="BD38" s="281"/>
    </row>
    <row r="39" spans="1:56" s="275" customFormat="1" ht="12.75">
      <c r="A39" s="273">
        <f t="shared" si="21"/>
        <v>42010</v>
      </c>
      <c r="B39" s="274"/>
      <c r="D39" s="276"/>
      <c r="E39" s="276"/>
      <c r="F39" s="276"/>
      <c r="G39" s="276"/>
      <c r="H39" s="276"/>
      <c r="I39" s="276"/>
      <c r="J39" s="277"/>
      <c r="K39" s="277"/>
      <c r="L39" s="276"/>
      <c r="M39" s="277"/>
      <c r="N39" s="277"/>
      <c r="O39" s="276"/>
      <c r="P39" s="276"/>
      <c r="Q39" s="276"/>
      <c r="R39" s="278"/>
      <c r="S39" s="278"/>
      <c r="T39" s="279"/>
      <c r="U39" s="279">
        <f t="shared" si="18"/>
        <v>2</v>
      </c>
      <c r="V39" s="279"/>
      <c r="W39" s="279"/>
      <c r="X39" s="278">
        <f>IF(AD39=0,VLOOKUP(R39,Mineral,2)*R39*Inputs!$C$16*Inputs!$E$37,VLOOKUP(R39,Mineral,2)*R39*Inputs!$C$16)</f>
        <v>0</v>
      </c>
      <c r="Y39" s="278"/>
      <c r="Z39" s="278">
        <f t="shared" si="19"/>
        <v>0</v>
      </c>
      <c r="AA39" s="278">
        <f t="shared" si="20"/>
        <v>0</v>
      </c>
      <c r="AB39" s="279"/>
      <c r="AC39" s="278">
        <f t="shared" si="22"/>
        <v>0</v>
      </c>
      <c r="AD39" s="279"/>
      <c r="AE39" s="279"/>
      <c r="AF39" s="278">
        <f t="shared" si="25"/>
        <v>81.16</v>
      </c>
      <c r="AG39" s="279">
        <v>25</v>
      </c>
      <c r="AH39" s="279"/>
      <c r="AI39" s="279">
        <f>IFERROR(HLOOKUP(A39,Inputs!$C$14:$C$15,2,FALSE),-100)</f>
        <v>-100</v>
      </c>
      <c r="AJ39" s="281"/>
      <c r="AK39" s="282">
        <f t="shared" si="27"/>
        <v>0</v>
      </c>
      <c r="AL39" s="282">
        <f t="shared" si="28"/>
        <v>0</v>
      </c>
      <c r="AM39" s="282">
        <f t="shared" si="29"/>
        <v>0</v>
      </c>
      <c r="AN39" s="281"/>
      <c r="AO39" s="281"/>
      <c r="AP39" s="281"/>
      <c r="AQ39" s="281"/>
      <c r="AR39" s="281"/>
      <c r="AS39" s="281"/>
      <c r="AT39" s="281"/>
      <c r="AU39" s="281"/>
      <c r="AV39" s="281"/>
      <c r="AW39" s="281"/>
      <c r="AX39" s="281" t="str">
        <f>IFERROR(VLOOKUP($A39,SWB!$C$15:$BE$244,53,FALSE),"")</f>
        <v/>
      </c>
      <c r="AY39" s="281"/>
      <c r="AZ39" s="281"/>
      <c r="BD39" s="281"/>
    </row>
    <row r="40" spans="1:56" s="275" customFormat="1" ht="12.75">
      <c r="A40" s="273">
        <f t="shared" si="21"/>
        <v>42011</v>
      </c>
      <c r="B40" s="274"/>
      <c r="D40" s="276"/>
      <c r="E40" s="276"/>
      <c r="F40" s="276"/>
      <c r="G40" s="276"/>
      <c r="H40" s="276"/>
      <c r="I40" s="276"/>
      <c r="J40" s="277"/>
      <c r="K40" s="277"/>
      <c r="L40" s="276"/>
      <c r="M40" s="277"/>
      <c r="N40" s="277"/>
      <c r="O40" s="276"/>
      <c r="P40" s="276"/>
      <c r="Q40" s="276"/>
      <c r="R40" s="278"/>
      <c r="S40" s="278"/>
      <c r="T40" s="279"/>
      <c r="U40" s="279">
        <f t="shared" si="18"/>
        <v>2</v>
      </c>
      <c r="V40" s="279"/>
      <c r="W40" s="279"/>
      <c r="X40" s="278">
        <f>IF(AD40=0,VLOOKUP(R40,Mineral,2)*R40*Inputs!$C$16*Inputs!$E$37,VLOOKUP(R40,Mineral,2)*R40*Inputs!$C$16)</f>
        <v>0</v>
      </c>
      <c r="Y40" s="278"/>
      <c r="Z40" s="278">
        <f t="shared" si="19"/>
        <v>0</v>
      </c>
      <c r="AA40" s="278">
        <f t="shared" si="20"/>
        <v>0</v>
      </c>
      <c r="AB40" s="279"/>
      <c r="AC40" s="278">
        <f t="shared" si="22"/>
        <v>0</v>
      </c>
      <c r="AD40" s="279"/>
      <c r="AE40" s="279"/>
      <c r="AF40" s="278">
        <f t="shared" si="25"/>
        <v>81.16</v>
      </c>
      <c r="AG40" s="279">
        <v>25</v>
      </c>
      <c r="AH40" s="279"/>
      <c r="AI40" s="279">
        <f>IFERROR(HLOOKUP(A40,Inputs!$C$14:$C$15,2,FALSE),-100)</f>
        <v>-100</v>
      </c>
      <c r="AJ40" s="281"/>
      <c r="AK40" s="282">
        <f t="shared" si="27"/>
        <v>0</v>
      </c>
      <c r="AL40" s="282">
        <f t="shared" si="28"/>
        <v>0</v>
      </c>
      <c r="AM40" s="282">
        <f t="shared" si="29"/>
        <v>0</v>
      </c>
      <c r="AN40" s="281"/>
      <c r="AO40" s="281"/>
      <c r="AP40" s="281"/>
      <c r="AQ40" s="281"/>
      <c r="AR40" s="281"/>
      <c r="AS40" s="281"/>
      <c r="AT40" s="281"/>
      <c r="AU40" s="281"/>
      <c r="AV40" s="281"/>
      <c r="AW40" s="281"/>
      <c r="AX40" s="281" t="str">
        <f>IFERROR(VLOOKUP($A40,SWB!$C$15:$BE$244,53,FALSE),"")</f>
        <v/>
      </c>
      <c r="AY40" s="281"/>
      <c r="AZ40" s="281"/>
      <c r="BD40" s="281"/>
    </row>
    <row r="41" spans="1:56" s="275" customFormat="1" ht="12.75">
      <c r="A41" s="273">
        <f t="shared" si="21"/>
        <v>42012</v>
      </c>
      <c r="B41" s="274"/>
      <c r="D41" s="276"/>
      <c r="E41" s="276"/>
      <c r="F41" s="276"/>
      <c r="G41" s="276"/>
      <c r="H41" s="276"/>
      <c r="I41" s="276"/>
      <c r="J41" s="277"/>
      <c r="K41" s="277"/>
      <c r="L41" s="276"/>
      <c r="M41" s="277"/>
      <c r="N41" s="277"/>
      <c r="O41" s="276"/>
      <c r="P41" s="276"/>
      <c r="Q41" s="276"/>
      <c r="R41" s="278"/>
      <c r="S41" s="278"/>
      <c r="T41" s="279"/>
      <c r="U41" s="279">
        <f t="shared" si="18"/>
        <v>2</v>
      </c>
      <c r="V41" s="279"/>
      <c r="W41" s="279"/>
      <c r="X41" s="278">
        <f>IF(AD41=0,VLOOKUP(R41,Mineral,2)*R41*Inputs!$C$16*Inputs!$E$37,VLOOKUP(R41,Mineral,2)*R41*Inputs!$C$16)</f>
        <v>0</v>
      </c>
      <c r="Y41" s="278"/>
      <c r="Z41" s="278">
        <f t="shared" si="19"/>
        <v>0</v>
      </c>
      <c r="AA41" s="278">
        <f t="shared" si="20"/>
        <v>0</v>
      </c>
      <c r="AB41" s="279"/>
      <c r="AC41" s="278">
        <f t="shared" si="22"/>
        <v>0</v>
      </c>
      <c r="AD41" s="279"/>
      <c r="AE41" s="279"/>
      <c r="AF41" s="278">
        <f t="shared" si="25"/>
        <v>81.16</v>
      </c>
      <c r="AG41" s="279">
        <v>25</v>
      </c>
      <c r="AH41" s="279"/>
      <c r="AI41" s="279">
        <f>IFERROR(HLOOKUP(A41,Inputs!$C$14:$C$15,2,FALSE),-100)</f>
        <v>-100</v>
      </c>
      <c r="AJ41" s="281"/>
      <c r="AK41" s="282">
        <f t="shared" si="27"/>
        <v>0</v>
      </c>
      <c r="AL41" s="282">
        <f t="shared" si="28"/>
        <v>0</v>
      </c>
      <c r="AM41" s="282">
        <f t="shared" si="29"/>
        <v>0</v>
      </c>
      <c r="AN41" s="281"/>
      <c r="AO41" s="281"/>
      <c r="AP41" s="281"/>
      <c r="AQ41" s="281"/>
      <c r="AR41" s="281"/>
      <c r="AS41" s="281"/>
      <c r="AT41" s="281"/>
      <c r="AU41" s="281"/>
      <c r="AV41" s="281"/>
      <c r="AW41" s="281"/>
      <c r="AX41" s="281" t="str">
        <f>IFERROR(VLOOKUP($A41,SWB!$C$15:$BE$244,53,FALSE),"")</f>
        <v/>
      </c>
      <c r="AY41" s="281"/>
      <c r="AZ41" s="281"/>
      <c r="BD41" s="281"/>
    </row>
    <row r="42" spans="1:56" s="275" customFormat="1" ht="12.75">
      <c r="A42" s="273">
        <f t="shared" si="21"/>
        <v>42013</v>
      </c>
      <c r="B42" s="274"/>
      <c r="D42" s="276"/>
      <c r="E42" s="276"/>
      <c r="F42" s="276"/>
      <c r="G42" s="276"/>
      <c r="H42" s="276"/>
      <c r="I42" s="276"/>
      <c r="J42" s="277"/>
      <c r="K42" s="277"/>
      <c r="L42" s="276"/>
      <c r="M42" s="277"/>
      <c r="N42" s="277"/>
      <c r="O42" s="276"/>
      <c r="P42" s="276"/>
      <c r="Q42" s="276"/>
      <c r="R42" s="278"/>
      <c r="S42" s="278"/>
      <c r="T42" s="279"/>
      <c r="U42" s="279">
        <f t="shared" si="18"/>
        <v>2</v>
      </c>
      <c r="V42" s="279"/>
      <c r="W42" s="279"/>
      <c r="X42" s="278">
        <f>IF(AD42=0,VLOOKUP(R42,Mineral,2)*R42*Inputs!$C$16*Inputs!$E$37,VLOOKUP(R42,Mineral,2)*R42*Inputs!$C$16)</f>
        <v>0</v>
      </c>
      <c r="Y42" s="278"/>
      <c r="Z42" s="278">
        <f t="shared" si="19"/>
        <v>0</v>
      </c>
      <c r="AA42" s="278">
        <f t="shared" si="20"/>
        <v>0</v>
      </c>
      <c r="AB42" s="279"/>
      <c r="AC42" s="278">
        <f t="shared" si="22"/>
        <v>0</v>
      </c>
      <c r="AD42" s="279"/>
      <c r="AE42" s="279"/>
      <c r="AF42" s="278">
        <f t="shared" si="25"/>
        <v>81.16</v>
      </c>
      <c r="AG42" s="279">
        <v>25</v>
      </c>
      <c r="AH42" s="279"/>
      <c r="AI42" s="279">
        <f>IFERROR(HLOOKUP(A42,Inputs!$C$14:$C$15,2,FALSE),-100)</f>
        <v>-100</v>
      </c>
      <c r="AJ42" s="281"/>
      <c r="AK42" s="282">
        <f t="shared" si="27"/>
        <v>0</v>
      </c>
      <c r="AL42" s="282">
        <f t="shared" si="28"/>
        <v>0</v>
      </c>
      <c r="AM42" s="282">
        <f t="shared" si="29"/>
        <v>0</v>
      </c>
      <c r="AN42" s="281"/>
      <c r="AO42" s="281"/>
      <c r="AP42" s="281"/>
      <c r="AQ42" s="281"/>
      <c r="AR42" s="281"/>
      <c r="AS42" s="281"/>
      <c r="AT42" s="281"/>
      <c r="AU42" s="281"/>
      <c r="AV42" s="281"/>
      <c r="AW42" s="281"/>
      <c r="AX42" s="281" t="str">
        <f>IFERROR(VLOOKUP($A42,SWB!$C$15:$BE$244,53,FALSE),"")</f>
        <v/>
      </c>
      <c r="AY42" s="281"/>
      <c r="AZ42" s="281"/>
      <c r="BD42" s="281"/>
    </row>
    <row r="43" spans="1:56" s="275" customFormat="1" ht="12.75">
      <c r="A43" s="273">
        <f t="shared" si="21"/>
        <v>42014</v>
      </c>
      <c r="B43" s="274"/>
      <c r="D43" s="276"/>
      <c r="E43" s="276"/>
      <c r="F43" s="276"/>
      <c r="G43" s="276"/>
      <c r="H43" s="276"/>
      <c r="I43" s="276"/>
      <c r="J43" s="277"/>
      <c r="K43" s="277"/>
      <c r="L43" s="276"/>
      <c r="M43" s="277"/>
      <c r="N43" s="277"/>
      <c r="O43" s="276"/>
      <c r="P43" s="276"/>
      <c r="Q43" s="276"/>
      <c r="R43" s="278"/>
      <c r="S43" s="278"/>
      <c r="T43" s="279"/>
      <c r="U43" s="279">
        <f>IF(_xlfn.ISOWEEKNUM(A43)&lt;40,_xlfn.ISOWEEKNUM(A43),_xlfn.ISOWEEKNUM(A43)-53)</f>
        <v>2</v>
      </c>
      <c r="V43" s="279"/>
      <c r="W43" s="279"/>
      <c r="X43" s="278">
        <f>IF(AD43=0,VLOOKUP(R43,Mineral,2)*R43*Inputs!$C$16*Inputs!$E$37,VLOOKUP(R43,Mineral,2)*R43*Inputs!$C$16)</f>
        <v>0</v>
      </c>
      <c r="Y43" s="278"/>
      <c r="Z43" s="278">
        <f t="shared" si="19"/>
        <v>0</v>
      </c>
      <c r="AA43" s="278">
        <f t="shared" si="20"/>
        <v>0</v>
      </c>
      <c r="AB43" s="279"/>
      <c r="AC43" s="278">
        <f t="shared" si="22"/>
        <v>0</v>
      </c>
      <c r="AD43" s="279"/>
      <c r="AE43" s="279"/>
      <c r="AF43" s="278">
        <f t="shared" si="25"/>
        <v>81.16</v>
      </c>
      <c r="AG43" s="279">
        <v>25</v>
      </c>
      <c r="AH43" s="279"/>
      <c r="AI43" s="279">
        <f>IFERROR(HLOOKUP(A43,Inputs!$C$14:$C$15,2,FALSE),-100)</f>
        <v>-100</v>
      </c>
      <c r="AJ43" s="281"/>
      <c r="AK43" s="282">
        <f t="shared" si="27"/>
        <v>0</v>
      </c>
      <c r="AL43" s="282">
        <f t="shared" si="28"/>
        <v>0</v>
      </c>
      <c r="AM43" s="282">
        <f t="shared" si="29"/>
        <v>0</v>
      </c>
      <c r="AN43" s="281"/>
      <c r="AO43" s="281"/>
      <c r="AP43" s="281"/>
      <c r="AQ43" s="281"/>
      <c r="AR43" s="281"/>
      <c r="AS43" s="281"/>
      <c r="AT43" s="281"/>
      <c r="AU43" s="281"/>
      <c r="AV43" s="281"/>
      <c r="AW43" s="281"/>
      <c r="AX43" s="281" t="str">
        <f>IFERROR(VLOOKUP($A43,SWB!$C$15:$BE$244,53,FALSE),"")</f>
        <v/>
      </c>
      <c r="AY43" s="281"/>
      <c r="AZ43" s="281"/>
      <c r="BD43" s="281"/>
    </row>
    <row r="44" spans="1:56" s="275" customFormat="1" ht="12.75">
      <c r="A44" s="273">
        <f t="shared" si="21"/>
        <v>42015</v>
      </c>
      <c r="B44" s="274"/>
      <c r="D44" s="276"/>
      <c r="E44" s="276"/>
      <c r="F44" s="276"/>
      <c r="G44" s="276"/>
      <c r="H44" s="276"/>
      <c r="I44" s="276"/>
      <c r="J44" s="277"/>
      <c r="K44" s="277"/>
      <c r="L44" s="276"/>
      <c r="M44" s="277"/>
      <c r="N44" s="277"/>
      <c r="O44" s="276"/>
      <c r="P44" s="276"/>
      <c r="Q44" s="276"/>
      <c r="R44" s="278"/>
      <c r="S44" s="278"/>
      <c r="T44" s="279">
        <f>T45-1</f>
        <v>11</v>
      </c>
      <c r="U44" s="279">
        <f t="shared" si="18"/>
        <v>2</v>
      </c>
      <c r="V44" s="279"/>
      <c r="W44" s="279"/>
      <c r="X44" s="278">
        <f>IF(AD44=0,VLOOKUP(R44,Mineral,2)*R44*Inputs!$C$16*Inputs!$E$37,VLOOKUP(R44,Mineral,2)*R44*Inputs!$C$16)</f>
        <v>0</v>
      </c>
      <c r="Y44" s="278"/>
      <c r="Z44" s="278">
        <f t="shared" si="19"/>
        <v>0</v>
      </c>
      <c r="AA44" s="278">
        <f t="shared" si="20"/>
        <v>0</v>
      </c>
      <c r="AB44" s="279"/>
      <c r="AC44" s="278">
        <f t="shared" si="22"/>
        <v>0</v>
      </c>
      <c r="AD44" s="279"/>
      <c r="AE44" s="279"/>
      <c r="AF44" s="278">
        <f t="shared" si="25"/>
        <v>81.16</v>
      </c>
      <c r="AG44" s="279">
        <v>25</v>
      </c>
      <c r="AH44" s="279"/>
      <c r="AI44" s="279">
        <f>IFERROR(HLOOKUP(A44,Inputs!$C$14:$C$15,2,FALSE),-100)</f>
        <v>-100</v>
      </c>
      <c r="AJ44" s="281"/>
      <c r="AK44" s="282">
        <f t="shared" si="27"/>
        <v>0</v>
      </c>
      <c r="AL44" s="282">
        <f t="shared" si="28"/>
        <v>0</v>
      </c>
      <c r="AM44" s="282">
        <f t="shared" si="29"/>
        <v>0</v>
      </c>
      <c r="AN44" s="281"/>
      <c r="AO44" s="281"/>
      <c r="AP44" s="281"/>
      <c r="AQ44" s="281"/>
      <c r="AR44" s="281"/>
      <c r="AS44" s="281"/>
      <c r="AT44" s="281"/>
      <c r="AU44" s="281"/>
      <c r="AV44" s="281"/>
      <c r="AW44" s="281"/>
      <c r="AX44" s="281" t="str">
        <f>IFERROR(VLOOKUP($A44,SWB!$C$15:$BE$244,53,FALSE),"")</f>
        <v/>
      </c>
      <c r="AY44" s="281"/>
      <c r="AZ44" s="281"/>
      <c r="BD44" s="281"/>
    </row>
    <row r="45" spans="1:56" s="275" customFormat="1">
      <c r="A45" s="290">
        <f>Inputs!I8</f>
        <v>42016</v>
      </c>
      <c r="B45" s="291">
        <f t="shared" ref="B45:B76" si="30">IFERROR(IF($G$1="Sí",VLOOKUP($A45,CSVAgro,4,FALSE),VLOOKUP($A45,CSVSWB,3))," ")</f>
        <v>12</v>
      </c>
      <c r="C45" s="292" t="str">
        <f t="shared" ref="C45:C76" si="31">IFERROR(IF($G$1="Sí",VLOOKUP($A45,CSVAgro,2,FALSE),VLOOKUP($A45,CSVSWB,2,FALSE))," ")</f>
        <v>Inicial</v>
      </c>
      <c r="D45" s="293">
        <f t="shared" ref="D45:D76" si="32">IFERROR(IF($G$1="Sí",VLOOKUP($A45,CSVAgro,9,FALSE),VLOOKUP($A45,CSVSWB,8,FALSE)),0)</f>
        <v>1.3</v>
      </c>
      <c r="E45" s="293">
        <f t="shared" ref="E45:E76" si="33">IFERROR(IF($G$1="Sí",VLOOKUP($A45,CSVAgro,14,FALSE),VLOOKUP($A45,CSVSWB,13,FALSE)),0)</f>
        <v>0.26952098631111099</v>
      </c>
      <c r="F45" s="293"/>
      <c r="G45" s="293">
        <f t="shared" ref="G45:G76" si="34">IFERROR(IF($G$1="Sí",VLOOKUP($A45,CSVAgro,26,FALSE),VLOOKUP($A45,CSVSWB,26,FALSE)),0)</f>
        <v>1.0582039999999999</v>
      </c>
      <c r="H45" s="293">
        <f t="shared" ref="H45:H76" si="35">IFERROR(IF($G$1="Sí",VLOOKUP($A45,CSVAgro,29,FALSE),VLOOKUP($A45,CSVSWB,29,FALSE)),0)</f>
        <v>1.2082040000000001</v>
      </c>
      <c r="I45" s="293">
        <f t="shared" ref="I45:I76" si="36">IFERROR(IF($G$1="Sí",VLOOKUP($A45,CSVAgro,30,FALSE),VLOOKUP($A45,CSVSWB,30,FALSE)),0)</f>
        <v>1.3290249999999999</v>
      </c>
      <c r="J45" s="293">
        <f>IFERROR(IF($G$1="Sí",VLOOKUP($A45,CSVAgro,13,FALSE),VLOOKUP($A45,SWB!$C$15:$P$202,14,FALSE)),0)</f>
        <v>0</v>
      </c>
      <c r="K45" s="488">
        <f t="shared" ref="K45:K76" si="37">IFERROR(IF($G$1="Sí",VLOOKUP($A45,CSVAgro,35,FALSE),VLOOKUP($A45,CSVSWB,35,FALSE)),0)</f>
        <v>0</v>
      </c>
      <c r="L45" s="488">
        <f t="shared" ref="L45:L108" si="38">IFERROR(IF($G$1="Sí",VLOOKUP($A45,CSVAgro,37,FALSE),VLOOKUP($A45,CSVSWB,37,FALSE)),0)</f>
        <v>0</v>
      </c>
      <c r="M45" s="488">
        <f t="shared" ref="M45:M108" si="39">IFERROR(IF($G$1="Sí",VLOOKUP($A45,CSVAgro,36,FALSE),VLOOKUP($A45,CSVSWB,36,FALSE)),0)</f>
        <v>0</v>
      </c>
      <c r="N45" s="293">
        <f>IF(ISERROR($G$1="Sí"),VLOOKUP($A45,CSVAgro,16,FALSE),IF(ISERROR(VLOOKUP($A45,Clima!$W$8:$Z$284,2,FALSE)),VLOOKUP($A45,Clima!$E$8:$H$372,2,FALSE),VLOOKUP($A45,Clima!$W$8:$Z$284,2,FALSE)))</f>
        <v>5.5</v>
      </c>
      <c r="O45" s="293">
        <f t="shared" ref="O45:O76" si="40">IFERROR(IF($G$1="Sí",VLOOKUP($A45,CSVAgro,42,FALSE),VLOOKUP($A45,CSVSWB,42,FALSE)),0)</f>
        <v>0.26952098631111099</v>
      </c>
      <c r="P45" s="293">
        <f>J45+P44</f>
        <v>0</v>
      </c>
      <c r="Q45" s="293">
        <f t="shared" ref="Q45:Q108" si="41">IFERROR(IF($G$1="Sí",VLOOKUP($A45,CSVAgro,43,FALSE),VLOOKUP($A45,CSVSWB,43,FALSE)),0)</f>
        <v>0</v>
      </c>
      <c r="R45" s="294">
        <f>N45</f>
        <v>5.5</v>
      </c>
      <c r="S45" s="294">
        <f>R45</f>
        <v>5.5</v>
      </c>
      <c r="T45" s="295">
        <f>B45</f>
        <v>12</v>
      </c>
      <c r="U45" s="295">
        <f>IF(_xlfn.ISOWEEKNUM(A45)&lt;40,_xlfn.ISOWEEKNUM(A45),_xlfn.ISOWEEKNUM(A45)-53)</f>
        <v>3</v>
      </c>
      <c r="V45" s="444"/>
      <c r="W45" s="444">
        <f>IF(AND(S45&gt;VLOOKUP(Inputs!$I$2,Extracciones,3),S45&lt;VLOOKUP(Inputs!$I$2,Extracciones,5)),(S45-VLOOKUP(Inputs!$I$2,Extracciones,3))*Inputs!$E$12,0)</f>
        <v>0</v>
      </c>
      <c r="X45" s="294">
        <f>IF(AD45=0,VLOOKUP(R45,Mineral,2)*R45*Inputs!$C$16*Inputs!$E$37,VLOOKUP(R45,Mineral,2)*R45*Inputs!$C$16)</f>
        <v>0</v>
      </c>
      <c r="Y45" s="294">
        <f>SUM(K45,M45)*Inputs!$O$8*14/(100*62)</f>
        <v>0</v>
      </c>
      <c r="Z45" s="294">
        <f t="shared" si="19"/>
        <v>0</v>
      </c>
      <c r="AA45" s="294">
        <f t="shared" si="20"/>
        <v>0</v>
      </c>
      <c r="AB45" s="295">
        <f t="shared" ref="AB45:AB76" si="42">VLOOKUP(A45,FenoT,11)</f>
        <v>0</v>
      </c>
      <c r="AC45" s="294">
        <f t="shared" si="22"/>
        <v>0</v>
      </c>
      <c r="AD45" s="295">
        <f>IFERROR(-VLOOKUP(A45,FenoT,9),0)</f>
        <v>0</v>
      </c>
      <c r="AE45" s="295">
        <f>AD45</f>
        <v>0</v>
      </c>
      <c r="AF45" s="293">
        <f t="shared" si="25"/>
        <v>81.16</v>
      </c>
      <c r="AG45" s="295">
        <f t="shared" ref="AG45:AG76" si="43">VLOOKUP(A45,FenoT,10)</f>
        <v>25</v>
      </c>
      <c r="AH45" s="295">
        <f>AF45*1000000/(Inputs!$C$9*100*Inputs!$C$8*1000*(1-Inputs!$C$10)*(1+Inputs!$C$12))</f>
        <v>16.238495398159262</v>
      </c>
      <c r="AI45" s="295">
        <f>IFERROR(HLOOKUP(A45,Inputs!$C$14:$C$15,2,FALSE),-100)</f>
        <v>-100</v>
      </c>
      <c r="AJ45" s="291">
        <f t="shared" ref="AJ45:AJ108" si="44">IF(AF45&gt;AG45,0,1)</f>
        <v>0</v>
      </c>
      <c r="AK45" s="296">
        <f t="shared" si="27"/>
        <v>0</v>
      </c>
      <c r="AL45" s="296">
        <f t="shared" si="28"/>
        <v>0</v>
      </c>
      <c r="AM45" s="296">
        <f t="shared" si="29"/>
        <v>0</v>
      </c>
      <c r="AN45" s="297">
        <f>IFERROR(IF($G$1="Sí",VLOOKUP($A45,CSVAgro,9,FALSE),VLOOKUP($A45,Clima!$E$8:$Q$373,13,FALSE)),0)</f>
        <v>1</v>
      </c>
      <c r="AO45" s="291">
        <f>AN45+AO44</f>
        <v>1</v>
      </c>
      <c r="AP45" s="291">
        <f>IFERROR(VLOOKUP($A45,'F TrB'!$C$3:$O$21,3,FALSE),-9999)</f>
        <v>0</v>
      </c>
      <c r="AQ45" s="291">
        <f>IF(AP45&gt;0,1.4,-999)</f>
        <v>-999</v>
      </c>
      <c r="AR45" s="291">
        <f>IFERROR(IF(VLOOKUP($A45,'F TrB'!$Q$3:$R$21,2,FALSE)=0,-99999,VLOOKUP($A45,'F TrB'!$Q$3:$R$21,2,FALSE)),-99999)</f>
        <v>-99999</v>
      </c>
      <c r="AS45" s="291">
        <f>IF(AR45&gt;1,1.4,-99999)</f>
        <v>-99999</v>
      </c>
      <c r="AT45" s="291" t="str">
        <f>IFERROR(VLOOKUP($A45,'NDVI tipo'!$Q$8:$S$30,2,FALSE),"")</f>
        <v/>
      </c>
      <c r="AU45" s="291">
        <f>IF(ISERROR(VLOOKUP($A45,'NDVI tipo'!$Q$8:$S$50,2,FALSE)),AU44+VLOOKUP($A45,'NDVI tipo'!$Q$8:$S$50,3,TRUE),VLOOKUP($A45,'NDVI tipo'!$Q$8:$S$50,2,FALSE))</f>
        <v>2.8791111111111101E-3</v>
      </c>
      <c r="AV45" s="291">
        <f>IFERROR(VLOOKUP($A45,'NDVI real'!$Q$8:$S$44,2,FALSE),-999)</f>
        <v>-999</v>
      </c>
      <c r="AW45" s="291">
        <f>IF(ISERROR(VLOOKUP($A45,'NDVI real'!$T$8:$U$350,2,FALSE)),"",VLOOKUP($A45,'NDVI real'!$T$8:$U$350,2,FALSE))</f>
        <v>0.25661179604938267</v>
      </c>
      <c r="AX45" s="291">
        <f>IFERROR(VLOOKUP($A45,SWB!$C$15:$BE$244,53,FALSE),"")</f>
        <v>0</v>
      </c>
      <c r="AY45" s="291">
        <f>IFERROR(VLOOKUP($A45,SWB!$C$15:$BE$244,55,FALSE),"")</f>
        <v>0</v>
      </c>
      <c r="AZ45" s="291">
        <f>IF(ISERROR(VLOOKUP($A45,Clima!$V$8:$AI$320,14,FALSE)),-999,VLOOKUP(A45,Clima!$V$8:$AI$219,14,FALSE))</f>
        <v>1.3</v>
      </c>
      <c r="BA45" s="291">
        <f>AZ45</f>
        <v>1.3</v>
      </c>
      <c r="BB45" s="291">
        <f>IF(AZ45=-999,VLOOKUP(A45,$A$45:$AN$232,40,FALSE),VLOOKUP(A45,$A$45:$AZ$232,52,FALSE))</f>
        <v>1.3</v>
      </c>
      <c r="BC45" s="291">
        <f>BB45</f>
        <v>1.3</v>
      </c>
      <c r="BD45" s="298">
        <f t="shared" ref="BD45:BD76" si="45">A45</f>
        <v>42016</v>
      </c>
    </row>
    <row r="46" spans="1:56" s="275" customFormat="1" ht="12.75">
      <c r="A46" s="273">
        <f>A45+1</f>
        <v>42017</v>
      </c>
      <c r="B46" s="274">
        <f t="shared" si="30"/>
        <v>13</v>
      </c>
      <c r="C46" s="275" t="str">
        <f t="shared" si="31"/>
        <v>Inicial</v>
      </c>
      <c r="D46" s="276">
        <f t="shared" si="32"/>
        <v>1.1000000000000001</v>
      </c>
      <c r="E46" s="276">
        <f t="shared" si="33"/>
        <v>0.27347160355555544</v>
      </c>
      <c r="F46" s="276"/>
      <c r="G46" s="276">
        <f t="shared" si="34"/>
        <v>1.0749439999999999</v>
      </c>
      <c r="H46" s="276">
        <f t="shared" si="35"/>
        <v>1.224944</v>
      </c>
      <c r="I46" s="276">
        <f t="shared" si="36"/>
        <v>2.2416480000000001</v>
      </c>
      <c r="J46" s="276">
        <f>IFERROR(IF($G$1="Sí",VLOOKUP($A46,CSVAgro,13,FALSE),VLOOKUP($A46,SWB!$C$15:$P$202,14,FALSE)),0)</f>
        <v>0</v>
      </c>
      <c r="K46" s="487">
        <f t="shared" si="37"/>
        <v>0</v>
      </c>
      <c r="L46" s="487">
        <f t="shared" si="38"/>
        <v>0</v>
      </c>
      <c r="M46" s="487">
        <f t="shared" si="39"/>
        <v>0</v>
      </c>
      <c r="N46" s="277">
        <f>IF(ISERROR($G$1="Sí"),VLOOKUP($A46,CSVAgro,16,FALSE),IF(ISERROR(VLOOKUP($A46,Clima!$W$8:$Z$284,2,FALSE)),VLOOKUP($A46,Clima!$E$8:$H$372,2,FALSE),VLOOKUP($A46,Clima!$W$8:$Z$284,2,FALSE)))</f>
        <v>6.8</v>
      </c>
      <c r="O46" s="276">
        <f t="shared" si="40"/>
        <v>0.46095110879999979</v>
      </c>
      <c r="P46" s="276">
        <f>J46+P45</f>
        <v>0</v>
      </c>
      <c r="Q46" s="487">
        <f t="shared" si="41"/>
        <v>0</v>
      </c>
      <c r="R46" s="278">
        <f>N46</f>
        <v>6.8</v>
      </c>
      <c r="S46" s="278">
        <f t="shared" ref="S46:S109" si="46">R46</f>
        <v>6.8</v>
      </c>
      <c r="T46" s="279">
        <f t="shared" ref="T46:T108" si="47">B46</f>
        <v>13</v>
      </c>
      <c r="U46" s="279">
        <f t="shared" si="18"/>
        <v>3</v>
      </c>
      <c r="V46" s="443">
        <f t="shared" ref="V46:V109" si="48">MAX(W46-W45,0)</f>
        <v>0</v>
      </c>
      <c r="W46" s="443">
        <f>IF(AND(S46&gt;VLOOKUP(Inputs!$I$2,Extracciones,3),S46&lt;VLOOKUP(Inputs!$I$2,Extracciones,5)),(S46-VLOOKUP(Inputs!$I$2,Extracciones,3))*Inputs!$E$12,0)</f>
        <v>0</v>
      </c>
      <c r="X46" s="278">
        <f>IF(AD46=0,VLOOKUP(R46,Mineral,2)*R46*Inputs!$C$16*Inputs!$E$37,VLOOKUP(R46,Mineral,2)*R46*Inputs!$C$16)</f>
        <v>0</v>
      </c>
      <c r="Y46" s="278">
        <f>SUM(K46,M46)*Inputs!$O$8*14/(100*62)</f>
        <v>0</v>
      </c>
      <c r="Z46" s="278">
        <f t="shared" si="19"/>
        <v>0</v>
      </c>
      <c r="AA46" s="278">
        <f t="shared" si="20"/>
        <v>0</v>
      </c>
      <c r="AB46" s="279">
        <f t="shared" si="42"/>
        <v>0</v>
      </c>
      <c r="AC46" s="278">
        <f t="shared" si="22"/>
        <v>0</v>
      </c>
      <c r="AD46" s="279">
        <f t="shared" ref="AD46:AD108" si="49">IFERROR(-VLOOKUP(A46,FenoT,9),0)</f>
        <v>0</v>
      </c>
      <c r="AE46" s="278">
        <f t="shared" ref="AE46:AE109" si="50">AE45+AD46</f>
        <v>0</v>
      </c>
      <c r="AF46" s="278">
        <f t="shared" si="25"/>
        <v>81.16</v>
      </c>
      <c r="AG46" s="279">
        <f t="shared" si="43"/>
        <v>25</v>
      </c>
      <c r="AH46" s="279">
        <f>AF46*1000000/(Inputs!$C$9*100*Inputs!$C$8*1000*(1-Inputs!$C$10)*(1+Inputs!$C$12))</f>
        <v>16.238495398159262</v>
      </c>
      <c r="AI46" s="279">
        <f>IFERROR(HLOOKUP(A46,Inputs!$C$14:$C$15,2,FALSE),-100)</f>
        <v>-100</v>
      </c>
      <c r="AJ46" s="281">
        <f t="shared" si="44"/>
        <v>0</v>
      </c>
      <c r="AK46" s="282">
        <f t="shared" si="27"/>
        <v>0</v>
      </c>
      <c r="AL46" s="282">
        <f t="shared" si="28"/>
        <v>0</v>
      </c>
      <c r="AM46" s="282">
        <f t="shared" si="29"/>
        <v>0</v>
      </c>
      <c r="AN46" s="283">
        <f>IFERROR(IF($G$1="Sí",VLOOKUP($A46,CSVAgro,9,FALSE),VLOOKUP($A46,Clima!$E$8:$Q$373,13,FALSE)),0)</f>
        <v>0.7</v>
      </c>
      <c r="AO46" s="285">
        <f>AN46+AO45</f>
        <v>1.7</v>
      </c>
      <c r="AP46" s="281">
        <f>IFERROR(VLOOKUP($A46,'F TrB'!$C$3:$O$21,3,FALSE),-9999)</f>
        <v>-9999</v>
      </c>
      <c r="AQ46" s="281">
        <f t="shared" ref="AQ46:AQ109" si="51">IF(AP46&gt;0,1.4,-999)</f>
        <v>-999</v>
      </c>
      <c r="AR46" s="281">
        <f>IFERROR(IF(VLOOKUP($A46,'F TrB'!$Q$3:$R$21,2,FALSE)=0,-99999,VLOOKUP($A46,'F TrB'!$Q$3:$R$21,2,FALSE)),-99999)</f>
        <v>-99999</v>
      </c>
      <c r="AS46" s="281">
        <f t="shared" ref="AS46:AS109" si="52">IF(AR46&gt;1,1.4,-99999)</f>
        <v>-99999</v>
      </c>
      <c r="AT46" s="281" t="str">
        <f>IFERROR(VLOOKUP($A46,'NDVI tipo'!$Q$8:$S$30,2,FALSE),"")</f>
        <v/>
      </c>
      <c r="AU46" s="281">
        <f>IF(ISERROR(VLOOKUP($A46,'NDVI tipo'!$Q$8:$S$50,2,FALSE)),AU45+VLOOKUP($A46,'NDVI tipo'!$Q$8:$S$50,3,TRUE),VLOOKUP($A46,'NDVI tipo'!$Q$8:$S$50,2,FALSE))</f>
        <v>5.7582222222222201E-3</v>
      </c>
      <c r="AV46" s="281">
        <f>IFERROR(VLOOKUP($A46,'NDVI real'!$Q$8:$S$44,2,FALSE),-999)</f>
        <v>-999</v>
      </c>
      <c r="AW46" s="281">
        <f>IF(ISERROR(VLOOKUP($A46,'NDVI real'!$T$8:$U$350,2,FALSE)),"",VLOOKUP($A46,'NDVI real'!$T$8:$U$350,2,FALSE))</f>
        <v>0.25935528024691351</v>
      </c>
      <c r="AX46" s="281">
        <f>IFERROR(VLOOKUP($A46,SWB!$C$15:$BE$244,53,FALSE),"")</f>
        <v>0</v>
      </c>
      <c r="AY46" s="281">
        <f>IFERROR(VLOOKUP($A46,SWB!$C$15:$BE$244,55,FALSE),"")</f>
        <v>0</v>
      </c>
      <c r="AZ46" s="281">
        <f>IF(ISERROR(VLOOKUP($A46,Clima!$V$8:$AI$320,14,FALSE)),-999,VLOOKUP(A46,Clima!$V$8:$AI$219,14,FALSE))</f>
        <v>1.1000000000000001</v>
      </c>
      <c r="BA46" s="281">
        <f>IF(AZ46=-999,-999,AZ46+BA45)</f>
        <v>2.4000000000000004</v>
      </c>
      <c r="BB46" s="281">
        <f>IF(AZ46=-999,VLOOKUP(A46,$A$45:$AN$232,40,FALSE),VLOOKUP(A46,$A$45:$AZ$232,52,FALSE))</f>
        <v>1.1000000000000001</v>
      </c>
      <c r="BC46" s="281">
        <f>BB46+BC45</f>
        <v>2.4000000000000004</v>
      </c>
      <c r="BD46" s="284">
        <f t="shared" si="45"/>
        <v>42017</v>
      </c>
    </row>
    <row r="47" spans="1:56" s="275" customFormat="1" ht="12.75">
      <c r="A47" s="273">
        <f t="shared" ref="A47:A110" si="53">A46+1</f>
        <v>42018</v>
      </c>
      <c r="B47" s="274">
        <f t="shared" si="30"/>
        <v>14</v>
      </c>
      <c r="C47" s="275" t="str">
        <f t="shared" si="31"/>
        <v>Inicial</v>
      </c>
      <c r="D47" s="276">
        <f t="shared" si="32"/>
        <v>1.1000000000000001</v>
      </c>
      <c r="E47" s="276">
        <f t="shared" si="33"/>
        <v>0.2774222207999999</v>
      </c>
      <c r="F47" s="276"/>
      <c r="G47" s="276">
        <f t="shared" si="34"/>
        <v>1.063741</v>
      </c>
      <c r="H47" s="276">
        <f t="shared" si="35"/>
        <v>1.213741</v>
      </c>
      <c r="I47" s="276">
        <f t="shared" si="36"/>
        <v>2.1483210000000001</v>
      </c>
      <c r="J47" s="276">
        <f>IFERROR(IF($G$1="Sí",VLOOKUP($A47,CSVAgro,13,FALSE),VLOOKUP($A47,SWB!$C$15:$P$202,14,FALSE)),0)</f>
        <v>0</v>
      </c>
      <c r="K47" s="487">
        <f t="shared" si="37"/>
        <v>0</v>
      </c>
      <c r="L47" s="487">
        <f t="shared" si="38"/>
        <v>0</v>
      </c>
      <c r="M47" s="487">
        <f t="shared" si="39"/>
        <v>0</v>
      </c>
      <c r="N47" s="277">
        <f>IF(ISERROR($G$1="Sí"),VLOOKUP($A47,CSVAgro,16,FALSE),IF(ISERROR(VLOOKUP($A47,Clima!$W$8:$Z$284,2,FALSE)),VLOOKUP($A47,Clima!$E$8:$H$372,2,FALSE),VLOOKUP($A47,Clima!$W$8:$Z$284,2,FALSE)))</f>
        <v>4.5</v>
      </c>
      <c r="O47" s="276">
        <f t="shared" si="40"/>
        <v>0.76611555167999967</v>
      </c>
      <c r="P47" s="276">
        <f t="shared" ref="P47:P110" si="54">J47+P46</f>
        <v>0</v>
      </c>
      <c r="Q47" s="487">
        <f t="shared" si="41"/>
        <v>0</v>
      </c>
      <c r="R47" s="278">
        <f t="shared" ref="R47:R110" si="55">N47</f>
        <v>4.5</v>
      </c>
      <c r="S47" s="278">
        <f t="shared" si="46"/>
        <v>4.5</v>
      </c>
      <c r="T47" s="279">
        <f t="shared" si="47"/>
        <v>14</v>
      </c>
      <c r="U47" s="279">
        <f t="shared" si="18"/>
        <v>3</v>
      </c>
      <c r="V47" s="443">
        <f t="shared" si="48"/>
        <v>0</v>
      </c>
      <c r="W47" s="443">
        <f>IF(AND(S47&gt;VLOOKUP(Inputs!$I$2,Extracciones,3),S47&lt;VLOOKUP(Inputs!$I$2,Extracciones,5)),(S47-VLOOKUP(Inputs!$I$2,Extracciones,3))*Inputs!$E$12,0)</f>
        <v>0</v>
      </c>
      <c r="X47" s="278">
        <f>IF(AD47=0,VLOOKUP(R47,Mineral,2)*R47*Inputs!$C$16*Inputs!$E$37,VLOOKUP(R47,Mineral,2)*R47*Inputs!$C$16)</f>
        <v>0</v>
      </c>
      <c r="Y47" s="278">
        <f>SUM(K47,M47)*Inputs!$O$8*14/(100*62)</f>
        <v>0</v>
      </c>
      <c r="Z47" s="278">
        <f>IFERROR(VLOOKUP(A47,Fertiliza,9,0),0)</f>
        <v>0</v>
      </c>
      <c r="AA47" s="278">
        <f t="shared" ref="AA47:AA110" si="56">IFERROR(Z47/VLOOKUP(A47,Fertiliza,7),0)</f>
        <v>0</v>
      </c>
      <c r="AB47" s="279">
        <f t="shared" si="42"/>
        <v>0</v>
      </c>
      <c r="AC47" s="278">
        <f t="shared" si="22"/>
        <v>0</v>
      </c>
      <c r="AD47" s="279">
        <f t="shared" si="49"/>
        <v>0</v>
      </c>
      <c r="AE47" s="278">
        <f t="shared" si="50"/>
        <v>0</v>
      </c>
      <c r="AF47" s="278">
        <f t="shared" si="25"/>
        <v>81.16</v>
      </c>
      <c r="AG47" s="279">
        <f t="shared" si="43"/>
        <v>25</v>
      </c>
      <c r="AH47" s="279">
        <f>AF47*1000000/(Inputs!$C$9*100*Inputs!$C$8*1000*(1-Inputs!$C$10)*(1+Inputs!$C$12))</f>
        <v>16.238495398159262</v>
      </c>
      <c r="AI47" s="279">
        <f>IFERROR(HLOOKUP(A47,Inputs!$C$14:$C$15,2,FALSE),-100)</f>
        <v>-100</v>
      </c>
      <c r="AJ47" s="281">
        <f t="shared" si="44"/>
        <v>0</v>
      </c>
      <c r="AK47" s="282">
        <f t="shared" si="27"/>
        <v>0</v>
      </c>
      <c r="AL47" s="282">
        <f t="shared" si="28"/>
        <v>0</v>
      </c>
      <c r="AM47" s="282">
        <f t="shared" si="29"/>
        <v>0</v>
      </c>
      <c r="AN47" s="283">
        <f>IFERROR(IF($G$1="Sí",VLOOKUP($A47,CSVAgro,9,FALSE),VLOOKUP($A47,Clima!$E$8:$Q$373,13,FALSE)),0)</f>
        <v>1.1000000000000001</v>
      </c>
      <c r="AO47" s="281">
        <f t="shared" ref="AO47:AO110" si="57">AN47+AO46</f>
        <v>2.8</v>
      </c>
      <c r="AP47" s="281">
        <f>IFERROR(VLOOKUP($A47,'F TrB'!$C$3:$O$21,3,FALSE),-9999)</f>
        <v>-9999</v>
      </c>
      <c r="AQ47" s="281">
        <f t="shared" si="51"/>
        <v>-999</v>
      </c>
      <c r="AR47" s="281">
        <f>IFERROR(IF(VLOOKUP($A47,'F TrB'!$Q$3:$R$21,2,FALSE)=0,-99999,VLOOKUP($A47,'F TrB'!$Q$3:$R$21,2,FALSE)),-99999)</f>
        <v>-99999</v>
      </c>
      <c r="AS47" s="281">
        <f t="shared" si="52"/>
        <v>-99999</v>
      </c>
      <c r="AT47" s="281">
        <f>IFERROR(VLOOKUP($A47,'NDVI tipo'!$Q$8:$S$30,2,FALSE),"")</f>
        <v>0.21315899999999999</v>
      </c>
      <c r="AU47" s="281">
        <f>IF(ISERROR(VLOOKUP($A47,'NDVI tipo'!$Q$8:$S$50,2,FALSE)),AU46+VLOOKUP($A47,'NDVI tipo'!$Q$8:$S$50,3,TRUE),VLOOKUP($A47,'NDVI tipo'!$Q$8:$S$50,2,FALSE))</f>
        <v>0.21315899999999999</v>
      </c>
      <c r="AV47" s="281">
        <f>IFERROR(VLOOKUP($A47,'NDVI real'!$Q$8:$S$44,2,FALSE),-999)</f>
        <v>0.26209876444444441</v>
      </c>
      <c r="AW47" s="281">
        <f>IF(ISERROR(VLOOKUP($A47,'NDVI real'!$T$8:$U$350,2,FALSE)),"",VLOOKUP($A47,'NDVI real'!$T$8:$U$350,2,FALSE))</f>
        <v>0.26209876444444441</v>
      </c>
      <c r="AX47" s="281">
        <f>IFERROR(VLOOKUP($A47,SWB!$C$15:$BE$244,53,FALSE),"")</f>
        <v>0</v>
      </c>
      <c r="AY47" s="281">
        <f>IFERROR(VLOOKUP($A47,SWB!$C$15:$BE$244,55,FALSE),"")</f>
        <v>0</v>
      </c>
      <c r="AZ47" s="281">
        <f>IF(ISERROR(VLOOKUP($A47,Clima!$V$8:$AI$320,14,FALSE)),-999,VLOOKUP(A47,Clima!$V$8:$AI$219,14,FALSE))</f>
        <v>1.1000000000000001</v>
      </c>
      <c r="BA47" s="281">
        <f t="shared" ref="BA47:BA110" si="58">IF(AZ47=-999,-999,AZ47+BA46)</f>
        <v>3.5000000000000004</v>
      </c>
      <c r="BB47" s="281">
        <f t="shared" ref="BB47:BB109" si="59">IF(AZ47=-999,VLOOKUP(A47,$A$45:$AN$232,40,FALSE),VLOOKUP(A47,$A$45:$AZ$232,52,FALSE))</f>
        <v>1.1000000000000001</v>
      </c>
      <c r="BC47" s="281">
        <f t="shared" ref="BC47:BC110" si="60">BB47+BC46</f>
        <v>3.5000000000000004</v>
      </c>
      <c r="BD47" s="284">
        <f t="shared" si="45"/>
        <v>42018</v>
      </c>
    </row>
    <row r="48" spans="1:56" s="275" customFormat="1" ht="12.75">
      <c r="A48" s="273">
        <f t="shared" si="53"/>
        <v>42019</v>
      </c>
      <c r="B48" s="274">
        <f t="shared" si="30"/>
        <v>15</v>
      </c>
      <c r="C48" s="275" t="str">
        <f t="shared" si="31"/>
        <v>Inicial</v>
      </c>
      <c r="D48" s="276">
        <f t="shared" si="32"/>
        <v>1.8</v>
      </c>
      <c r="E48" s="276">
        <f t="shared" si="33"/>
        <v>0.27726666526666666</v>
      </c>
      <c r="F48" s="276"/>
      <c r="G48" s="276">
        <f t="shared" si="34"/>
        <v>1.0406709999999999</v>
      </c>
      <c r="H48" s="276">
        <f t="shared" si="35"/>
        <v>1.190671</v>
      </c>
      <c r="I48" s="276">
        <f t="shared" si="36"/>
        <v>1.4883390000000001</v>
      </c>
      <c r="J48" s="276">
        <f>IFERROR(IF($G$1="Sí",VLOOKUP($A48,CSVAgro,13,FALSE),VLOOKUP($A48,SWB!$C$15:$P$202,14,FALSE)),0)</f>
        <v>0</v>
      </c>
      <c r="K48" s="487">
        <f t="shared" si="37"/>
        <v>0</v>
      </c>
      <c r="L48" s="487">
        <f t="shared" si="38"/>
        <v>0</v>
      </c>
      <c r="M48" s="487">
        <f t="shared" si="39"/>
        <v>0</v>
      </c>
      <c r="N48" s="277">
        <f>IF(ISERROR($G$1="Sí"),VLOOKUP($A48,CSVAgro,16,FALSE),IF(ISERROR(VLOOKUP($A48,Clima!$W$8:$Z$284,2,FALSE)),VLOOKUP($A48,Clima!$E$8:$H$372,2,FALSE),VLOOKUP($A48,Clima!$W$8:$Z$284,2,FALSE)))</f>
        <v>6.6</v>
      </c>
      <c r="O48" s="276">
        <f t="shared" si="40"/>
        <v>1.0988355499999996</v>
      </c>
      <c r="P48" s="276">
        <f t="shared" si="54"/>
        <v>0</v>
      </c>
      <c r="Q48" s="487">
        <f t="shared" si="41"/>
        <v>0</v>
      </c>
      <c r="R48" s="278">
        <f t="shared" si="55"/>
        <v>6.6</v>
      </c>
      <c r="S48" s="278">
        <f t="shared" si="46"/>
        <v>6.6</v>
      </c>
      <c r="T48" s="279">
        <f t="shared" si="47"/>
        <v>15</v>
      </c>
      <c r="U48" s="279">
        <f t="shared" si="18"/>
        <v>3</v>
      </c>
      <c r="V48" s="443">
        <f t="shared" si="48"/>
        <v>0</v>
      </c>
      <c r="W48" s="443">
        <f>IF(AND(S48&gt;VLOOKUP(Inputs!$I$2,Extracciones,3),S48&lt;VLOOKUP(Inputs!$I$2,Extracciones,5)),(S48-VLOOKUP(Inputs!$I$2,Extracciones,3))*Inputs!$E$12,0)</f>
        <v>0</v>
      </c>
      <c r="X48" s="278">
        <f>IF(AD48=0,VLOOKUP(R48,Mineral,2)*R48*Inputs!$C$16*Inputs!$E$37,VLOOKUP(R48,Mineral,2)*R48*Inputs!$C$16)</f>
        <v>0</v>
      </c>
      <c r="Y48" s="278">
        <f>SUM(K48,M48)*Inputs!$O$8*14/(100*62)</f>
        <v>0</v>
      </c>
      <c r="Z48" s="278">
        <f t="shared" ref="Z48:Z110" si="61">IFERROR(VLOOKUP(A48,Fertiliza,9,0),0)</f>
        <v>0</v>
      </c>
      <c r="AA48" s="278">
        <f t="shared" si="56"/>
        <v>0</v>
      </c>
      <c r="AB48" s="279">
        <f t="shared" si="42"/>
        <v>0</v>
      </c>
      <c r="AC48" s="278">
        <f t="shared" si="22"/>
        <v>0</v>
      </c>
      <c r="AD48" s="279">
        <f>IFERROR(-VLOOKUP(A48,FenoT,9),0)</f>
        <v>0</v>
      </c>
      <c r="AE48" s="278">
        <f t="shared" si="50"/>
        <v>0</v>
      </c>
      <c r="AF48" s="278">
        <f t="shared" si="25"/>
        <v>81.16</v>
      </c>
      <c r="AG48" s="279">
        <f t="shared" si="43"/>
        <v>25</v>
      </c>
      <c r="AH48" s="279">
        <f>AF48*1000000/(Inputs!$C$9*100*Inputs!$C$8*1000*(1-Inputs!$C$10)*(1+Inputs!$C$12))</f>
        <v>16.238495398159262</v>
      </c>
      <c r="AI48" s="279">
        <f>IFERROR(HLOOKUP(A48,Inputs!$C$14:$C$15,2,FALSE),-100)</f>
        <v>-100</v>
      </c>
      <c r="AJ48" s="281">
        <f t="shared" si="44"/>
        <v>0</v>
      </c>
      <c r="AK48" s="282">
        <f t="shared" si="27"/>
        <v>0</v>
      </c>
      <c r="AL48" s="282">
        <f t="shared" si="28"/>
        <v>0</v>
      </c>
      <c r="AM48" s="282">
        <f t="shared" si="29"/>
        <v>0</v>
      </c>
      <c r="AN48" s="283">
        <f>IFERROR(IF($G$1="Sí",VLOOKUP($A48,CSVAgro,9,FALSE),VLOOKUP($A48,Clima!$E$8:$Q$373,13,FALSE)),0)</f>
        <v>1.2</v>
      </c>
      <c r="AO48" s="281">
        <f t="shared" si="57"/>
        <v>4</v>
      </c>
      <c r="AP48" s="281">
        <f>IFERROR(VLOOKUP($A48,'F TrB'!$C$3:$O$21,3,FALSE),-9999)</f>
        <v>-9999</v>
      </c>
      <c r="AQ48" s="281">
        <f t="shared" si="51"/>
        <v>-999</v>
      </c>
      <c r="AR48" s="281">
        <f>IFERROR(IF(VLOOKUP($A48,'F TrB'!$Q$3:$R$21,2,FALSE)=0,-99999,VLOOKUP($A48,'F TrB'!$Q$3:$R$21,2,FALSE)),-99999)</f>
        <v>-99999</v>
      </c>
      <c r="AS48" s="281">
        <f t="shared" si="52"/>
        <v>-99999</v>
      </c>
      <c r="AT48" s="281" t="str">
        <f>IFERROR(VLOOKUP($A48,'NDVI tipo'!$Q$8:$S$30,2,FALSE),"")</f>
        <v/>
      </c>
      <c r="AU48" s="281">
        <f>IF(ISERROR(VLOOKUP($A48,'NDVI tipo'!$Q$8:$S$50,2,FALSE)),AU47+VLOOKUP($A48,'NDVI tipo'!$Q$8:$S$50,3,TRUE),VLOOKUP($A48,'NDVI tipo'!$Q$8:$S$50,2,FALSE))</f>
        <v>0.21467361818181818</v>
      </c>
      <c r="AV48" s="281">
        <f>IFERROR(VLOOKUP($A48,'NDVI real'!$Q$8:$S$44,2,FALSE),-999)</f>
        <v>-999</v>
      </c>
      <c r="AW48" s="281">
        <f>IF(ISERROR(VLOOKUP($A48,'NDVI real'!$T$8:$U$350,2,FALSE)),"",VLOOKUP($A48,'NDVI real'!$T$8:$U$350,2,FALSE))</f>
        <v>0.2619907397685185</v>
      </c>
      <c r="AX48" s="281">
        <f>IFERROR(VLOOKUP($A48,SWB!$C$15:$BE$244,53,FALSE),"")</f>
        <v>0</v>
      </c>
      <c r="AY48" s="281">
        <f>IFERROR(VLOOKUP($A48,SWB!$C$15:$BE$244,55,FALSE),"")</f>
        <v>0</v>
      </c>
      <c r="AZ48" s="281">
        <f>IF(ISERROR(VLOOKUP($A48,Clima!$V$8:$AI$320,14,FALSE)),-999,VLOOKUP(A48,Clima!$V$8:$AI$219,14,FALSE))</f>
        <v>1.8</v>
      </c>
      <c r="BA48" s="281">
        <f t="shared" si="58"/>
        <v>5.3000000000000007</v>
      </c>
      <c r="BB48" s="281">
        <f t="shared" si="59"/>
        <v>1.8</v>
      </c>
      <c r="BC48" s="281">
        <f t="shared" si="60"/>
        <v>5.3000000000000007</v>
      </c>
      <c r="BD48" s="284">
        <f t="shared" si="45"/>
        <v>42019</v>
      </c>
    </row>
    <row r="49" spans="1:56" s="275" customFormat="1" ht="12.75">
      <c r="A49" s="273">
        <f t="shared" si="53"/>
        <v>42020</v>
      </c>
      <c r="B49" s="274">
        <f t="shared" si="30"/>
        <v>16</v>
      </c>
      <c r="C49" s="275" t="str">
        <f t="shared" si="31"/>
        <v>Inicial</v>
      </c>
      <c r="D49" s="276">
        <f t="shared" si="32"/>
        <v>1.8</v>
      </c>
      <c r="E49" s="276">
        <f t="shared" si="33"/>
        <v>0.27711110973333331</v>
      </c>
      <c r="F49" s="276"/>
      <c r="G49" s="276">
        <f t="shared" si="34"/>
        <v>1.042762</v>
      </c>
      <c r="H49" s="276">
        <f t="shared" si="35"/>
        <v>1.1927620000000001</v>
      </c>
      <c r="I49" s="276">
        <f t="shared" si="36"/>
        <v>1.3716759999999999</v>
      </c>
      <c r="J49" s="276">
        <f>IFERROR(IF($G$1="Sí",VLOOKUP($A49,CSVAgro,13,FALSE),VLOOKUP($A49,SWB!$C$15:$P$202,14,FALSE)),0)</f>
        <v>0.6</v>
      </c>
      <c r="K49" s="487">
        <f t="shared" si="37"/>
        <v>0</v>
      </c>
      <c r="L49" s="487">
        <f t="shared" si="38"/>
        <v>0</v>
      </c>
      <c r="M49" s="487">
        <f t="shared" si="39"/>
        <v>0</v>
      </c>
      <c r="N49" s="277">
        <f>IF(ISERROR($G$1="Sí"),VLOOKUP($A49,CSVAgro,16,FALSE),IF(ISERROR(VLOOKUP($A49,Clima!$W$8:$Z$284,2,FALSE)),VLOOKUP($A49,Clima!$E$8:$H$372,2,FALSE),VLOOKUP($A49,Clima!$W$8:$Z$284,2,FALSE)))</f>
        <v>6.3</v>
      </c>
      <c r="O49" s="276">
        <f t="shared" si="40"/>
        <v>1.5102798194978462</v>
      </c>
      <c r="P49" s="276">
        <f t="shared" si="54"/>
        <v>0.6</v>
      </c>
      <c r="Q49" s="487">
        <f t="shared" si="41"/>
        <v>0</v>
      </c>
      <c r="R49" s="278">
        <f t="shared" si="55"/>
        <v>6.3</v>
      </c>
      <c r="S49" s="278">
        <f t="shared" si="46"/>
        <v>6.3</v>
      </c>
      <c r="T49" s="279">
        <f t="shared" si="47"/>
        <v>16</v>
      </c>
      <c r="U49" s="279">
        <f t="shared" si="18"/>
        <v>3</v>
      </c>
      <c r="V49" s="443">
        <f t="shared" si="48"/>
        <v>0</v>
      </c>
      <c r="W49" s="443">
        <f>IF(AND(S49&gt;VLOOKUP(Inputs!$I$2,Extracciones,3),S49&lt;VLOOKUP(Inputs!$I$2,Extracciones,5)),(S49-VLOOKUP(Inputs!$I$2,Extracciones,3))*Inputs!$E$12,0)</f>
        <v>0</v>
      </c>
      <c r="X49" s="278">
        <f>IF(AD49=0,VLOOKUP(R49,Mineral,2)*R49*Inputs!$C$16*Inputs!$E$37,VLOOKUP(R49,Mineral,2)*R49*Inputs!$C$16)</f>
        <v>0</v>
      </c>
      <c r="Y49" s="278">
        <f>SUM(K49,M49)*Inputs!$O$8*14/(100*62)</f>
        <v>0</v>
      </c>
      <c r="Z49" s="278">
        <f t="shared" si="61"/>
        <v>0</v>
      </c>
      <c r="AA49" s="278">
        <f t="shared" si="56"/>
        <v>0</v>
      </c>
      <c r="AB49" s="279">
        <f t="shared" si="42"/>
        <v>0</v>
      </c>
      <c r="AC49" s="278">
        <f t="shared" si="22"/>
        <v>0</v>
      </c>
      <c r="AD49" s="279">
        <f t="shared" si="49"/>
        <v>0</v>
      </c>
      <c r="AE49" s="278">
        <f t="shared" si="50"/>
        <v>0</v>
      </c>
      <c r="AF49" s="278">
        <f t="shared" si="25"/>
        <v>81.16</v>
      </c>
      <c r="AG49" s="279">
        <f t="shared" si="43"/>
        <v>25</v>
      </c>
      <c r="AH49" s="279">
        <f>AF49*1000000/(Inputs!$C$9*100*Inputs!$C$8*1000*(1-Inputs!$C$10)*(1+Inputs!$C$12))</f>
        <v>16.238495398159262</v>
      </c>
      <c r="AI49" s="279">
        <f>IFERROR(HLOOKUP(A49,Inputs!$C$14:$C$15,2,FALSE),-100)</f>
        <v>-100</v>
      </c>
      <c r="AJ49" s="281">
        <f t="shared" si="44"/>
        <v>0</v>
      </c>
      <c r="AK49" s="282">
        <f t="shared" si="27"/>
        <v>0</v>
      </c>
      <c r="AL49" s="282">
        <f t="shared" si="28"/>
        <v>0</v>
      </c>
      <c r="AM49" s="282">
        <f t="shared" si="29"/>
        <v>0</v>
      </c>
      <c r="AN49" s="283">
        <f>IFERROR(IF($G$1="Sí",VLOOKUP($A49,CSVAgro,9,FALSE),VLOOKUP($A49,Clima!$E$8:$Q$373,13,FALSE)),0)</f>
        <v>1.4</v>
      </c>
      <c r="AO49" s="281">
        <f t="shared" si="57"/>
        <v>5.4</v>
      </c>
      <c r="AP49" s="281">
        <f>IFERROR(VLOOKUP($A49,'F TrB'!$C$3:$O$21,3,FALSE),-9999)</f>
        <v>-9999</v>
      </c>
      <c r="AQ49" s="281">
        <f t="shared" si="51"/>
        <v>-999</v>
      </c>
      <c r="AR49" s="281">
        <f>IFERROR(IF(VLOOKUP($A49,'F TrB'!$Q$3:$R$21,2,FALSE)=0,-99999,VLOOKUP($A49,'F TrB'!$Q$3:$R$21,2,FALSE)),-99999)</f>
        <v>-99999</v>
      </c>
      <c r="AS49" s="281">
        <f t="shared" si="52"/>
        <v>-99999</v>
      </c>
      <c r="AT49" s="281" t="str">
        <f>IFERROR(VLOOKUP($A49,'NDVI tipo'!$Q$8:$S$30,2,FALSE),"")</f>
        <v/>
      </c>
      <c r="AU49" s="281">
        <f>IF(ISERROR(VLOOKUP($A49,'NDVI tipo'!$Q$8:$S$50,2,FALSE)),AU48+VLOOKUP($A49,'NDVI tipo'!$Q$8:$S$50,3,TRUE),VLOOKUP($A49,'NDVI tipo'!$Q$8:$S$50,2,FALSE))</f>
        <v>0.21618823636363638</v>
      </c>
      <c r="AV49" s="281">
        <f>IFERROR(VLOOKUP($A49,'NDVI real'!$Q$8:$S$44,2,FALSE),-999)</f>
        <v>-999</v>
      </c>
      <c r="AW49" s="281">
        <f>IF(ISERROR(VLOOKUP($A49,'NDVI real'!$T$8:$U$350,2,FALSE)),"",VLOOKUP($A49,'NDVI real'!$T$8:$U$350,2,FALSE))</f>
        <v>0.26188271509259259</v>
      </c>
      <c r="AX49" s="281">
        <f>IFERROR(VLOOKUP($A49,SWB!$C$15:$BE$244,53,FALSE),"")</f>
        <v>0</v>
      </c>
      <c r="AY49" s="281">
        <f>IFERROR(VLOOKUP($A49,SWB!$C$15:$BE$244,55,FALSE),"")</f>
        <v>0</v>
      </c>
      <c r="AZ49" s="281">
        <f>IF(ISERROR(VLOOKUP($A49,Clima!$V$8:$AI$320,14,FALSE)),-999,VLOOKUP(A49,Clima!$V$8:$AI$219,14,FALSE))</f>
        <v>1.8</v>
      </c>
      <c r="BA49" s="281">
        <f t="shared" si="58"/>
        <v>7.1000000000000005</v>
      </c>
      <c r="BB49" s="281">
        <f t="shared" si="59"/>
        <v>1.8</v>
      </c>
      <c r="BC49" s="281">
        <f t="shared" si="60"/>
        <v>7.1000000000000005</v>
      </c>
      <c r="BD49" s="284">
        <f t="shared" si="45"/>
        <v>42020</v>
      </c>
    </row>
    <row r="50" spans="1:56" s="275" customFormat="1" ht="12.75">
      <c r="A50" s="273">
        <f t="shared" si="53"/>
        <v>42021</v>
      </c>
      <c r="B50" s="274">
        <f t="shared" si="30"/>
        <v>17</v>
      </c>
      <c r="C50" s="275" t="str">
        <f t="shared" si="31"/>
        <v>Inicial</v>
      </c>
      <c r="D50" s="276">
        <f t="shared" si="32"/>
        <v>1.4</v>
      </c>
      <c r="E50" s="276">
        <f t="shared" si="33"/>
        <v>0.27695555419999995</v>
      </c>
      <c r="F50" s="276"/>
      <c r="G50" s="276">
        <f t="shared" si="34"/>
        <v>1.0367200000000001</v>
      </c>
      <c r="H50" s="276">
        <f t="shared" si="35"/>
        <v>1.18672</v>
      </c>
      <c r="I50" s="276">
        <f t="shared" si="36"/>
        <v>1.3053920000000001</v>
      </c>
      <c r="J50" s="276">
        <f>IFERROR(IF($G$1="Sí",VLOOKUP($A50,CSVAgro,13,FALSE),VLOOKUP($A50,SWB!$C$15:$P$202,14,FALSE)),0)</f>
        <v>0</v>
      </c>
      <c r="K50" s="487">
        <f t="shared" si="37"/>
        <v>0</v>
      </c>
      <c r="L50" s="487">
        <f t="shared" si="38"/>
        <v>0</v>
      </c>
      <c r="M50" s="487">
        <f t="shared" si="39"/>
        <v>0</v>
      </c>
      <c r="N50" s="277">
        <f>IF(ISERROR($G$1="Sí"),VLOOKUP($A50,CSVAgro,16,FALSE),IF(ISERROR(VLOOKUP($A50,Clima!$W$8:$Z$284,2,FALSE)),VLOOKUP($A50,Clima!$E$8:$H$372,2,FALSE),VLOOKUP($A50,Clima!$W$8:$Z$284,2,FALSE)))</f>
        <v>1.3</v>
      </c>
      <c r="O50" s="276">
        <f t="shared" si="40"/>
        <v>1.8032419207010095</v>
      </c>
      <c r="P50" s="276">
        <f t="shared" si="54"/>
        <v>0.6</v>
      </c>
      <c r="Q50" s="487">
        <f t="shared" si="41"/>
        <v>0</v>
      </c>
      <c r="R50" s="278">
        <f t="shared" si="55"/>
        <v>1.3</v>
      </c>
      <c r="S50" s="278">
        <f t="shared" si="46"/>
        <v>1.3</v>
      </c>
      <c r="T50" s="279">
        <f t="shared" si="47"/>
        <v>17</v>
      </c>
      <c r="U50" s="279">
        <f t="shared" si="18"/>
        <v>3</v>
      </c>
      <c r="V50" s="443">
        <f t="shared" si="48"/>
        <v>0</v>
      </c>
      <c r="W50" s="443">
        <f>IF(AND(S50&gt;VLOOKUP(Inputs!$I$2,Extracciones,3),S50&lt;VLOOKUP(Inputs!$I$2,Extracciones,5)),(S50-VLOOKUP(Inputs!$I$2,Extracciones,3))*Inputs!$E$12,0)</f>
        <v>0</v>
      </c>
      <c r="X50" s="278">
        <f>IF(AD50=0,VLOOKUP(R50,Mineral,2)*R50*Inputs!$C$16*Inputs!$E$37,VLOOKUP(R50,Mineral,2)*R50*Inputs!$C$16)</f>
        <v>0</v>
      </c>
      <c r="Y50" s="278">
        <f>SUM(K50,M50)*Inputs!$O$8*14/(100*62)</f>
        <v>0</v>
      </c>
      <c r="Z50" s="278">
        <f t="shared" si="61"/>
        <v>0</v>
      </c>
      <c r="AA50" s="278">
        <f t="shared" si="56"/>
        <v>0</v>
      </c>
      <c r="AB50" s="279">
        <f t="shared" si="42"/>
        <v>0</v>
      </c>
      <c r="AC50" s="278">
        <f t="shared" si="22"/>
        <v>0</v>
      </c>
      <c r="AD50" s="279">
        <f t="shared" si="49"/>
        <v>0</v>
      </c>
      <c r="AE50" s="278">
        <f t="shared" si="50"/>
        <v>0</v>
      </c>
      <c r="AF50" s="278">
        <f t="shared" si="25"/>
        <v>81.16</v>
      </c>
      <c r="AG50" s="279">
        <f t="shared" si="43"/>
        <v>25</v>
      </c>
      <c r="AH50" s="279">
        <f>AF50*1000000/(Inputs!$C$9*100*Inputs!$C$8*1000*(1-Inputs!$C$10)*(1+Inputs!$C$12))</f>
        <v>16.238495398159262</v>
      </c>
      <c r="AI50" s="279">
        <f>IFERROR(HLOOKUP(A50,Inputs!$C$14:$C$15,2,FALSE),-100)</f>
        <v>-100</v>
      </c>
      <c r="AJ50" s="281">
        <f t="shared" si="44"/>
        <v>0</v>
      </c>
      <c r="AK50" s="282">
        <f t="shared" si="27"/>
        <v>0</v>
      </c>
      <c r="AL50" s="282">
        <f t="shared" si="28"/>
        <v>0</v>
      </c>
      <c r="AM50" s="282">
        <f t="shared" si="29"/>
        <v>0</v>
      </c>
      <c r="AN50" s="283">
        <f>IFERROR(IF($G$1="Sí",VLOOKUP($A50,CSVAgro,9,FALSE),VLOOKUP($A50,Clima!$E$8:$Q$373,13,FALSE)),0)</f>
        <v>1</v>
      </c>
      <c r="AO50" s="281">
        <f t="shared" si="57"/>
        <v>6.4</v>
      </c>
      <c r="AP50" s="281">
        <f>IFERROR(VLOOKUP($A50,'F TrB'!$C$3:$O$21,3,FALSE),-9999)</f>
        <v>-9999</v>
      </c>
      <c r="AQ50" s="281">
        <f t="shared" si="51"/>
        <v>-999</v>
      </c>
      <c r="AR50" s="281">
        <f>IFERROR(IF(VLOOKUP($A50,'F TrB'!$Q$3:$R$21,2,FALSE)=0,-99999,VLOOKUP($A50,'F TrB'!$Q$3:$R$21,2,FALSE)),-99999)</f>
        <v>-99999</v>
      </c>
      <c r="AS50" s="281">
        <f t="shared" si="52"/>
        <v>-99999</v>
      </c>
      <c r="AT50" s="281" t="str">
        <f>IFERROR(VLOOKUP($A50,'NDVI tipo'!$Q$8:$S$30,2,FALSE),"")</f>
        <v/>
      </c>
      <c r="AU50" s="281">
        <f>IF(ISERROR(VLOOKUP($A50,'NDVI tipo'!$Q$8:$S$50,2,FALSE)),AU49+VLOOKUP($A50,'NDVI tipo'!$Q$8:$S$50,3,TRUE),VLOOKUP($A50,'NDVI tipo'!$Q$8:$S$50,2,FALSE))</f>
        <v>0.21770285454545457</v>
      </c>
      <c r="AV50" s="281">
        <f>IFERROR(VLOOKUP($A50,'NDVI real'!$Q$8:$S$44,2,FALSE),-999)</f>
        <v>-999</v>
      </c>
      <c r="AW50" s="281">
        <f>IF(ISERROR(VLOOKUP($A50,'NDVI real'!$T$8:$U$350,2,FALSE)),"",VLOOKUP($A50,'NDVI real'!$T$8:$U$350,2,FALSE))</f>
        <v>0.26177469041666668</v>
      </c>
      <c r="AX50" s="281">
        <f>IFERROR(VLOOKUP($A50,SWB!$C$15:$BE$244,53,FALSE),"")</f>
        <v>0</v>
      </c>
      <c r="AY50" s="281">
        <f>IFERROR(VLOOKUP($A50,SWB!$C$15:$BE$244,55,FALSE),"")</f>
        <v>0</v>
      </c>
      <c r="AZ50" s="281">
        <f>IF(ISERROR(VLOOKUP($A50,Clima!$V$8:$AI$320,14,FALSE)),-999,VLOOKUP(A50,Clima!$V$8:$AI$219,14,FALSE))</f>
        <v>1.4</v>
      </c>
      <c r="BA50" s="281">
        <f t="shared" si="58"/>
        <v>8.5</v>
      </c>
      <c r="BB50" s="281">
        <f t="shared" si="59"/>
        <v>1.4</v>
      </c>
      <c r="BC50" s="281">
        <f t="shared" si="60"/>
        <v>8.5</v>
      </c>
      <c r="BD50" s="284">
        <f t="shared" si="45"/>
        <v>42021</v>
      </c>
    </row>
    <row r="51" spans="1:56" s="275" customFormat="1" ht="12.75">
      <c r="A51" s="273">
        <f t="shared" si="53"/>
        <v>42022</v>
      </c>
      <c r="B51" s="274">
        <f t="shared" si="30"/>
        <v>18</v>
      </c>
      <c r="C51" s="275" t="str">
        <f t="shared" si="31"/>
        <v>Inicial</v>
      </c>
      <c r="D51" s="276">
        <f t="shared" si="32"/>
        <v>0.6</v>
      </c>
      <c r="E51" s="276">
        <f t="shared" si="33"/>
        <v>0.27679999866666671</v>
      </c>
      <c r="F51" s="276"/>
      <c r="G51" s="276">
        <f t="shared" si="34"/>
        <v>1.0669420000000001</v>
      </c>
      <c r="H51" s="276">
        <f t="shared" si="35"/>
        <v>1.216942</v>
      </c>
      <c r="I51" s="276">
        <f t="shared" si="36"/>
        <v>2.227004</v>
      </c>
      <c r="J51" s="276">
        <f>IFERROR(IF($G$1="Sí",VLOOKUP($A51,CSVAgro,13,FALSE),VLOOKUP($A51,SWB!$C$15:$P$202,14,FALSE)),0)</f>
        <v>4.0999999999999996</v>
      </c>
      <c r="K51" s="487">
        <f t="shared" si="37"/>
        <v>0</v>
      </c>
      <c r="L51" s="487">
        <f t="shared" si="38"/>
        <v>0</v>
      </c>
      <c r="M51" s="487">
        <f t="shared" si="39"/>
        <v>0</v>
      </c>
      <c r="N51" s="277">
        <f>IF(ISERROR($G$1="Sí"),VLOOKUP($A51,CSVAgro,16,FALSE),IF(ISERROR(VLOOKUP($A51,Clima!$W$8:$Z$284,2,FALSE)),VLOOKUP($A51,Clima!$E$8:$H$372,2,FALSE),VLOOKUP($A51,Clima!$W$8:$Z$284,2,FALSE)))</f>
        <v>-0.4</v>
      </c>
      <c r="O51" s="276">
        <f t="shared" si="40"/>
        <v>3.4396973278263427</v>
      </c>
      <c r="P51" s="276">
        <f t="shared" si="54"/>
        <v>4.6999999999999993</v>
      </c>
      <c r="Q51" s="487">
        <f t="shared" si="41"/>
        <v>0</v>
      </c>
      <c r="R51" s="278">
        <f t="shared" si="55"/>
        <v>-0.4</v>
      </c>
      <c r="S51" s="278">
        <f t="shared" si="46"/>
        <v>-0.4</v>
      </c>
      <c r="T51" s="279">
        <f t="shared" si="47"/>
        <v>18</v>
      </c>
      <c r="U51" s="279">
        <f t="shared" si="18"/>
        <v>3</v>
      </c>
      <c r="V51" s="443">
        <f t="shared" si="48"/>
        <v>0</v>
      </c>
      <c r="W51" s="443">
        <f>IF(AND(S51&gt;VLOOKUP(Inputs!$I$2,Extracciones,3),S51&lt;VLOOKUP(Inputs!$I$2,Extracciones,5)),(S51-VLOOKUP(Inputs!$I$2,Extracciones,3))*Inputs!$E$12,0)</f>
        <v>0</v>
      </c>
      <c r="X51" s="278">
        <f>IF(AD51=0,VLOOKUP(R51,Mineral,2)*R51*Inputs!$C$16*Inputs!$E$37,VLOOKUP(R51,Mineral,2)*R51*Inputs!$C$16)</f>
        <v>0</v>
      </c>
      <c r="Y51" s="278">
        <f>SUM(K51,M51)*Inputs!$O$8*14/(100*62)</f>
        <v>0</v>
      </c>
      <c r="Z51" s="278">
        <f t="shared" si="61"/>
        <v>0</v>
      </c>
      <c r="AA51" s="278">
        <f t="shared" si="56"/>
        <v>0</v>
      </c>
      <c r="AB51" s="279">
        <f t="shared" si="42"/>
        <v>0</v>
      </c>
      <c r="AC51" s="278">
        <f t="shared" si="22"/>
        <v>0</v>
      </c>
      <c r="AD51" s="279">
        <f t="shared" si="49"/>
        <v>0</v>
      </c>
      <c r="AE51" s="278">
        <f t="shared" si="50"/>
        <v>0</v>
      </c>
      <c r="AF51" s="278">
        <f t="shared" si="25"/>
        <v>81.16</v>
      </c>
      <c r="AG51" s="279">
        <f t="shared" si="43"/>
        <v>25</v>
      </c>
      <c r="AH51" s="279">
        <f>AF51*1000000/(Inputs!$C$9*100*Inputs!$C$8*1000*(1-Inputs!$C$10)*(1+Inputs!$C$12))</f>
        <v>16.238495398159262</v>
      </c>
      <c r="AI51" s="279">
        <f>IFERROR(HLOOKUP(A51,Inputs!$C$14:$C$15,2,FALSE),-100)</f>
        <v>-100</v>
      </c>
      <c r="AJ51" s="281">
        <f t="shared" si="44"/>
        <v>0</v>
      </c>
      <c r="AK51" s="282">
        <f t="shared" si="27"/>
        <v>0</v>
      </c>
      <c r="AL51" s="282">
        <f t="shared" si="28"/>
        <v>0</v>
      </c>
      <c r="AM51" s="282">
        <f t="shared" si="29"/>
        <v>0</v>
      </c>
      <c r="AN51" s="283">
        <f>IFERROR(IF($G$1="Sí",VLOOKUP($A51,CSVAgro,9,FALSE),VLOOKUP($A51,Clima!$E$8:$Q$373,13,FALSE)),0)</f>
        <v>1.6</v>
      </c>
      <c r="AO51" s="281">
        <f t="shared" si="57"/>
        <v>8</v>
      </c>
      <c r="AP51" s="281">
        <f>IFERROR(VLOOKUP($A51,'F TrB'!$C$3:$O$21,3,FALSE),-9999)</f>
        <v>-9999</v>
      </c>
      <c r="AQ51" s="281">
        <f t="shared" si="51"/>
        <v>-999</v>
      </c>
      <c r="AR51" s="281">
        <f>IFERROR(IF(VLOOKUP($A51,'F TrB'!$Q$3:$R$21,2,FALSE)=0,-99999,VLOOKUP($A51,'F TrB'!$Q$3:$R$21,2,FALSE)),-99999)</f>
        <v>-99999</v>
      </c>
      <c r="AS51" s="281">
        <f t="shared" si="52"/>
        <v>-99999</v>
      </c>
      <c r="AT51" s="281" t="str">
        <f>IFERROR(VLOOKUP($A51,'NDVI tipo'!$Q$8:$S$30,2,FALSE),"")</f>
        <v/>
      </c>
      <c r="AU51" s="281">
        <f>IF(ISERROR(VLOOKUP($A51,'NDVI tipo'!$Q$8:$S$50,2,FALSE)),AU50+VLOOKUP($A51,'NDVI tipo'!$Q$8:$S$50,3,TRUE),VLOOKUP($A51,'NDVI tipo'!$Q$8:$S$50,2,FALSE))</f>
        <v>0.21921747272727277</v>
      </c>
      <c r="AV51" s="281">
        <f>IFERROR(VLOOKUP($A51,'NDVI real'!$Q$8:$S$44,2,FALSE),-999)</f>
        <v>-999</v>
      </c>
      <c r="AW51" s="281">
        <f>IF(ISERROR(VLOOKUP($A51,'NDVI real'!$T$8:$U$350,2,FALSE)),"",VLOOKUP($A51,'NDVI real'!$T$8:$U$350,2,FALSE))</f>
        <v>0.26166666574074077</v>
      </c>
      <c r="AX51" s="281">
        <f>IFERROR(VLOOKUP($A51,SWB!$C$15:$BE$244,53,FALSE),"")</f>
        <v>0</v>
      </c>
      <c r="AY51" s="281">
        <f>IFERROR(VLOOKUP($A51,SWB!$C$15:$BE$244,55,FALSE),"")</f>
        <v>0</v>
      </c>
      <c r="AZ51" s="281">
        <f>IF(ISERROR(VLOOKUP($A51,Clima!$V$8:$AI$320,14,FALSE)),-999,VLOOKUP(A51,Clima!$V$8:$AI$219,14,FALSE))</f>
        <v>0.6</v>
      </c>
      <c r="BA51" s="281">
        <f t="shared" si="58"/>
        <v>9.1</v>
      </c>
      <c r="BB51" s="281">
        <f t="shared" si="59"/>
        <v>0.6</v>
      </c>
      <c r="BC51" s="281">
        <f t="shared" si="60"/>
        <v>9.1</v>
      </c>
      <c r="BD51" s="284">
        <f t="shared" si="45"/>
        <v>42022</v>
      </c>
    </row>
    <row r="52" spans="1:56" s="275" customFormat="1" ht="12.75">
      <c r="A52" s="273">
        <f t="shared" si="53"/>
        <v>42023</v>
      </c>
      <c r="B52" s="274">
        <f t="shared" si="30"/>
        <v>19</v>
      </c>
      <c r="C52" s="275" t="str">
        <f t="shared" si="31"/>
        <v>Inicial</v>
      </c>
      <c r="D52" s="276">
        <f t="shared" si="32"/>
        <v>1</v>
      </c>
      <c r="E52" s="276">
        <f t="shared" si="33"/>
        <v>0.27664444313333336</v>
      </c>
      <c r="F52" s="276"/>
      <c r="G52" s="276">
        <f t="shared" si="34"/>
        <v>0.95551600000000003</v>
      </c>
      <c r="H52" s="276">
        <f t="shared" si="35"/>
        <v>1.1055159999999999</v>
      </c>
      <c r="I52" s="276">
        <f t="shared" si="36"/>
        <v>1.934653</v>
      </c>
      <c r="J52" s="276">
        <f>IFERROR(IF($G$1="Sí",VLOOKUP($A52,CSVAgro,13,FALSE),VLOOKUP($A52,SWB!$C$15:$P$202,14,FALSE)),0)</f>
        <v>2.4</v>
      </c>
      <c r="K52" s="487">
        <f t="shared" si="37"/>
        <v>0</v>
      </c>
      <c r="L52" s="487">
        <f t="shared" si="38"/>
        <v>0</v>
      </c>
      <c r="M52" s="487">
        <f t="shared" si="39"/>
        <v>0</v>
      </c>
      <c r="N52" s="277">
        <f>IF(ISERROR($G$1="Sí"),VLOOKUP($A52,CSVAgro,16,FALSE),IF(ISERROR(VLOOKUP($A52,Clima!$W$8:$Z$284,2,FALSE)),VLOOKUP($A52,Clima!$E$8:$H$372,2,FALSE),VLOOKUP($A52,Clima!$W$8:$Z$284,2,FALSE)))</f>
        <v>3.2</v>
      </c>
      <c r="O52" s="276">
        <f t="shared" si="40"/>
        <v>4.2579250313890098</v>
      </c>
      <c r="P52" s="276">
        <f t="shared" si="54"/>
        <v>7.1</v>
      </c>
      <c r="Q52" s="487">
        <f t="shared" si="41"/>
        <v>0</v>
      </c>
      <c r="R52" s="278">
        <f t="shared" si="55"/>
        <v>3.2</v>
      </c>
      <c r="S52" s="278">
        <f t="shared" si="46"/>
        <v>3.2</v>
      </c>
      <c r="T52" s="279">
        <f t="shared" si="47"/>
        <v>19</v>
      </c>
      <c r="U52" s="279">
        <f t="shared" si="18"/>
        <v>4</v>
      </c>
      <c r="V52" s="276">
        <f t="shared" si="48"/>
        <v>0</v>
      </c>
      <c r="W52" s="276">
        <f>IF(AND(S52&gt;VLOOKUP(Inputs!$I$2,Extracciones,3),S52&lt;VLOOKUP(Inputs!$I$2,Extracciones,5)),(S52-VLOOKUP(Inputs!$I$2,Extracciones,3))*Inputs!$E$12,0)</f>
        <v>0</v>
      </c>
      <c r="X52" s="278">
        <f>IF(AD52=0,VLOOKUP(R52,Mineral,2)*R52*Inputs!$C$16*Inputs!$E$37,VLOOKUP(R52,Mineral,2)*R52*Inputs!$C$16)</f>
        <v>0</v>
      </c>
      <c r="Y52" s="278">
        <f>SUM(K52,M52)*Inputs!$O$8*14/(100*62)</f>
        <v>0</v>
      </c>
      <c r="Z52" s="278">
        <f t="shared" si="61"/>
        <v>0</v>
      </c>
      <c r="AA52" s="278">
        <f t="shared" si="56"/>
        <v>0</v>
      </c>
      <c r="AB52" s="279">
        <f t="shared" si="42"/>
        <v>0</v>
      </c>
      <c r="AC52" s="278">
        <f t="shared" si="22"/>
        <v>0</v>
      </c>
      <c r="AD52" s="279">
        <f t="shared" si="49"/>
        <v>0</v>
      </c>
      <c r="AE52" s="278">
        <f t="shared" si="50"/>
        <v>0</v>
      </c>
      <c r="AF52" s="278">
        <f t="shared" si="25"/>
        <v>81.16</v>
      </c>
      <c r="AG52" s="279">
        <f t="shared" si="43"/>
        <v>25</v>
      </c>
      <c r="AH52" s="279">
        <f>AF52*1000000/(Inputs!$C$9*100*Inputs!$C$8*1000*(1-Inputs!$C$10)*(1+Inputs!$C$12))</f>
        <v>16.238495398159262</v>
      </c>
      <c r="AI52" s="279">
        <f>IFERROR(HLOOKUP(A52,Inputs!$C$14:$C$15,2,FALSE),-100)</f>
        <v>-100</v>
      </c>
      <c r="AJ52" s="281">
        <f t="shared" si="44"/>
        <v>0</v>
      </c>
      <c r="AK52" s="282">
        <f t="shared" si="27"/>
        <v>0</v>
      </c>
      <c r="AL52" s="282">
        <f t="shared" si="28"/>
        <v>0</v>
      </c>
      <c r="AM52" s="282">
        <f t="shared" si="29"/>
        <v>0</v>
      </c>
      <c r="AN52" s="283">
        <f>IFERROR(IF($G$1="Sí",VLOOKUP($A52,CSVAgro,9,FALSE),VLOOKUP($A52,Clima!$E$8:$Q$373,13,FALSE)),0)</f>
        <v>0.8</v>
      </c>
      <c r="AO52" s="281">
        <f t="shared" si="57"/>
        <v>8.8000000000000007</v>
      </c>
      <c r="AP52" s="281">
        <f>IFERROR(VLOOKUP($A52,'F TrB'!$C$3:$O$21,3,FALSE),-9999)</f>
        <v>-9999</v>
      </c>
      <c r="AQ52" s="281">
        <f t="shared" si="51"/>
        <v>-999</v>
      </c>
      <c r="AR52" s="281">
        <f>IFERROR(IF(VLOOKUP($A52,'F TrB'!$Q$3:$R$21,2,FALSE)=0,-99999,VLOOKUP($A52,'F TrB'!$Q$3:$R$21,2,FALSE)),-99999)</f>
        <v>-99999</v>
      </c>
      <c r="AS52" s="281">
        <f t="shared" si="52"/>
        <v>-99999</v>
      </c>
      <c r="AT52" s="281" t="str">
        <f>IFERROR(VLOOKUP($A52,'NDVI tipo'!$Q$8:$S$30,2,FALSE),"")</f>
        <v/>
      </c>
      <c r="AU52" s="281">
        <f>IF(ISERROR(VLOOKUP($A52,'NDVI tipo'!$Q$8:$S$50,2,FALSE)),AU51+VLOOKUP($A52,'NDVI tipo'!$Q$8:$S$50,3,TRUE),VLOOKUP($A52,'NDVI tipo'!$Q$8:$S$50,2,FALSE))</f>
        <v>0.22073209090909096</v>
      </c>
      <c r="AV52" s="281">
        <f>IFERROR(VLOOKUP($A52,'NDVI real'!$Q$8:$S$44,2,FALSE),-999)</f>
        <v>-999</v>
      </c>
      <c r="AW52" s="281">
        <f>IF(ISERROR(VLOOKUP($A52,'NDVI real'!$T$8:$U$350,2,FALSE)),"",VLOOKUP($A52,'NDVI real'!$T$8:$U$350,2,FALSE))</f>
        <v>0.26155864106481486</v>
      </c>
      <c r="AX52" s="281">
        <f>IFERROR(VLOOKUP($A52,SWB!$C$15:$BE$244,53,FALSE),"")</f>
        <v>0</v>
      </c>
      <c r="AY52" s="281">
        <f>IFERROR(VLOOKUP($A52,SWB!$C$15:$BE$244,55,FALSE),"")</f>
        <v>0</v>
      </c>
      <c r="AZ52" s="281">
        <f>IF(ISERROR(VLOOKUP($A52,Clima!$V$8:$AI$320,14,FALSE)),-999,VLOOKUP(A52,Clima!$V$8:$AI$219,14,FALSE))</f>
        <v>1</v>
      </c>
      <c r="BA52" s="281">
        <f t="shared" si="58"/>
        <v>10.1</v>
      </c>
      <c r="BB52" s="281">
        <f t="shared" si="59"/>
        <v>1</v>
      </c>
      <c r="BC52" s="281">
        <f t="shared" si="60"/>
        <v>10.1</v>
      </c>
      <c r="BD52" s="284">
        <f t="shared" si="45"/>
        <v>42023</v>
      </c>
    </row>
    <row r="53" spans="1:56" s="275" customFormat="1" ht="12.75">
      <c r="A53" s="273">
        <f t="shared" si="53"/>
        <v>42024</v>
      </c>
      <c r="B53" s="274">
        <f t="shared" si="30"/>
        <v>20</v>
      </c>
      <c r="C53" s="275" t="str">
        <f t="shared" si="31"/>
        <v>Inicial</v>
      </c>
      <c r="D53" s="276">
        <f t="shared" si="32"/>
        <v>1.1000000000000001</v>
      </c>
      <c r="E53" s="276">
        <f t="shared" si="33"/>
        <v>0.27648888760000001</v>
      </c>
      <c r="F53" s="276"/>
      <c r="G53" s="276">
        <f t="shared" si="34"/>
        <v>0.82065399999999999</v>
      </c>
      <c r="H53" s="276">
        <f t="shared" si="35"/>
        <v>0.97065400000000002</v>
      </c>
      <c r="I53" s="276">
        <f t="shared" si="36"/>
        <v>1.3395030000000001</v>
      </c>
      <c r="J53" s="276">
        <f>IFERROR(IF($G$1="Sí",VLOOKUP($A53,CSVAgro,13,FALSE),VLOOKUP($A53,SWB!$C$15:$P$202,14,FALSE)),0)</f>
        <v>0</v>
      </c>
      <c r="K53" s="487">
        <f t="shared" si="37"/>
        <v>0</v>
      </c>
      <c r="L53" s="487">
        <f t="shared" si="38"/>
        <v>0</v>
      </c>
      <c r="M53" s="487">
        <f t="shared" si="39"/>
        <v>0</v>
      </c>
      <c r="N53" s="277">
        <f>IF(ISERROR($G$1="Sí"),VLOOKUP($A53,CSVAgro,16,FALSE),IF(ISERROR(VLOOKUP($A53,Clima!$W$8:$Z$284,2,FALSE)),VLOOKUP($A53,Clima!$E$8:$H$372,2,FALSE),VLOOKUP($A53,Clima!$W$8:$Z$284,2,FALSE)))</f>
        <v>1.1000000000000001</v>
      </c>
      <c r="O53" s="276">
        <f t="shared" si="40"/>
        <v>5.0761527349516768</v>
      </c>
      <c r="P53" s="276">
        <f t="shared" si="54"/>
        <v>7.1</v>
      </c>
      <c r="Q53" s="487">
        <f t="shared" si="41"/>
        <v>0</v>
      </c>
      <c r="R53" s="278">
        <f t="shared" si="55"/>
        <v>1.1000000000000001</v>
      </c>
      <c r="S53" s="278">
        <f t="shared" si="46"/>
        <v>1.1000000000000001</v>
      </c>
      <c r="T53" s="279">
        <f t="shared" si="47"/>
        <v>20</v>
      </c>
      <c r="U53" s="279">
        <f t="shared" si="18"/>
        <v>4</v>
      </c>
      <c r="V53" s="276">
        <f t="shared" si="48"/>
        <v>0</v>
      </c>
      <c r="W53" s="276">
        <f>IF(AND(S53&gt;VLOOKUP(Inputs!$I$2,Extracciones,3),S53&lt;VLOOKUP(Inputs!$I$2,Extracciones,5)),(S53-VLOOKUP(Inputs!$I$2,Extracciones,3))*Inputs!$E$12,0)</f>
        <v>0</v>
      </c>
      <c r="X53" s="278">
        <f>IF(AD53=0,VLOOKUP(R53,Mineral,2)*R53*Inputs!$C$16*Inputs!$E$37,VLOOKUP(R53,Mineral,2)*R53*Inputs!$C$16)</f>
        <v>0</v>
      </c>
      <c r="Y53" s="278">
        <f>SUM(K53,M53)*Inputs!$O$8*14/(100*62)</f>
        <v>0</v>
      </c>
      <c r="Z53" s="278">
        <f t="shared" si="61"/>
        <v>0</v>
      </c>
      <c r="AA53" s="278">
        <f t="shared" si="56"/>
        <v>0</v>
      </c>
      <c r="AB53" s="279">
        <f t="shared" si="42"/>
        <v>0</v>
      </c>
      <c r="AC53" s="278">
        <f t="shared" si="22"/>
        <v>0</v>
      </c>
      <c r="AD53" s="279">
        <f t="shared" si="49"/>
        <v>0</v>
      </c>
      <c r="AE53" s="278">
        <f t="shared" si="50"/>
        <v>0</v>
      </c>
      <c r="AF53" s="278">
        <f t="shared" si="25"/>
        <v>81.16</v>
      </c>
      <c r="AG53" s="279">
        <f t="shared" si="43"/>
        <v>25</v>
      </c>
      <c r="AH53" s="279">
        <f>AF53*1000000/(Inputs!$C$9*100*Inputs!$C$8*1000*(1-Inputs!$C$10)*(1+Inputs!$C$12))</f>
        <v>16.238495398159262</v>
      </c>
      <c r="AI53" s="279">
        <f>IFERROR(HLOOKUP(A53,Inputs!$C$14:$C$15,2,FALSE),-100)</f>
        <v>-100</v>
      </c>
      <c r="AJ53" s="281">
        <f t="shared" si="44"/>
        <v>0</v>
      </c>
      <c r="AK53" s="282">
        <f t="shared" si="27"/>
        <v>0</v>
      </c>
      <c r="AL53" s="282">
        <f t="shared" si="28"/>
        <v>0</v>
      </c>
      <c r="AM53" s="282">
        <f t="shared" si="29"/>
        <v>0</v>
      </c>
      <c r="AN53" s="283">
        <f>IFERROR(IF($G$1="Sí",VLOOKUP($A53,CSVAgro,9,FALSE),VLOOKUP($A53,Clima!$E$8:$Q$373,13,FALSE)),0)</f>
        <v>0.8</v>
      </c>
      <c r="AO53" s="281">
        <f t="shared" si="57"/>
        <v>9.6000000000000014</v>
      </c>
      <c r="AP53" s="281">
        <f>IFERROR(VLOOKUP($A53,'F TrB'!$C$3:$O$21,3,FALSE),-9999)</f>
        <v>-9999</v>
      </c>
      <c r="AQ53" s="281">
        <f t="shared" si="51"/>
        <v>-999</v>
      </c>
      <c r="AR53" s="281">
        <f>IFERROR(IF(VLOOKUP($A53,'F TrB'!$Q$3:$R$21,2,FALSE)=0,-99999,VLOOKUP($A53,'F TrB'!$Q$3:$R$21,2,FALSE)),-99999)</f>
        <v>-99999</v>
      </c>
      <c r="AS53" s="281">
        <f t="shared" si="52"/>
        <v>-99999</v>
      </c>
      <c r="AT53" s="281" t="str">
        <f>IFERROR(VLOOKUP($A53,'NDVI tipo'!$Q$8:$S$30,2,FALSE),"")</f>
        <v/>
      </c>
      <c r="AU53" s="281">
        <f>IF(ISERROR(VLOOKUP($A53,'NDVI tipo'!$Q$8:$S$50,2,FALSE)),AU52+VLOOKUP($A53,'NDVI tipo'!$Q$8:$S$50,3,TRUE),VLOOKUP($A53,'NDVI tipo'!$Q$8:$S$50,2,FALSE))</f>
        <v>0.22224670909090916</v>
      </c>
      <c r="AV53" s="281">
        <f>IFERROR(VLOOKUP($A53,'NDVI real'!$Q$8:$S$44,2,FALSE),-999)</f>
        <v>-999</v>
      </c>
      <c r="AW53" s="281">
        <f>IF(ISERROR(VLOOKUP($A53,'NDVI real'!$T$8:$U$350,2,FALSE)),"",VLOOKUP($A53,'NDVI real'!$T$8:$U$350,2,FALSE))</f>
        <v>0.26145061638888895</v>
      </c>
      <c r="AX53" s="281">
        <f>IFERROR(VLOOKUP($A53,SWB!$C$15:$BE$244,53,FALSE),"")</f>
        <v>0</v>
      </c>
      <c r="AY53" s="281">
        <f>IFERROR(VLOOKUP($A53,SWB!$C$15:$BE$244,55,FALSE),"")</f>
        <v>0</v>
      </c>
      <c r="AZ53" s="281">
        <f>IF(ISERROR(VLOOKUP($A53,Clima!$V$8:$AI$320,14,FALSE)),-999,VLOOKUP(A53,Clima!$V$8:$AI$219,14,FALSE))</f>
        <v>1.1000000000000001</v>
      </c>
      <c r="BA53" s="281">
        <f t="shared" si="58"/>
        <v>11.2</v>
      </c>
      <c r="BB53" s="281">
        <f t="shared" si="59"/>
        <v>1.1000000000000001</v>
      </c>
      <c r="BC53" s="281">
        <f t="shared" si="60"/>
        <v>11.2</v>
      </c>
      <c r="BD53" s="284">
        <f t="shared" si="45"/>
        <v>42024</v>
      </c>
    </row>
    <row r="54" spans="1:56" s="275" customFormat="1" ht="12.75">
      <c r="A54" s="273">
        <f t="shared" si="53"/>
        <v>42025</v>
      </c>
      <c r="B54" s="274">
        <f t="shared" si="30"/>
        <v>21</v>
      </c>
      <c r="C54" s="275" t="str">
        <f t="shared" si="31"/>
        <v>Inicial</v>
      </c>
      <c r="D54" s="276">
        <f t="shared" si="32"/>
        <v>1.1000000000000001</v>
      </c>
      <c r="E54" s="276">
        <f t="shared" si="33"/>
        <v>0.27633333206666677</v>
      </c>
      <c r="F54" s="276"/>
      <c r="G54" s="276">
        <f t="shared" si="34"/>
        <v>0.91297300000000003</v>
      </c>
      <c r="H54" s="276">
        <f t="shared" si="35"/>
        <v>1.0629729999999999</v>
      </c>
      <c r="I54" s="276">
        <f t="shared" si="36"/>
        <v>0.64841400000000005</v>
      </c>
      <c r="J54" s="276">
        <f>IFERROR(IF($G$1="Sí",VLOOKUP($A54,CSVAgro,13,FALSE),VLOOKUP($A54,SWB!$C$15:$P$202,14,FALSE)),0)</f>
        <v>0.2</v>
      </c>
      <c r="K54" s="487">
        <f t="shared" si="37"/>
        <v>0</v>
      </c>
      <c r="L54" s="487">
        <f t="shared" si="38"/>
        <v>0</v>
      </c>
      <c r="M54" s="487">
        <f t="shared" si="39"/>
        <v>0</v>
      </c>
      <c r="N54" s="277">
        <f>IF(ISERROR($G$1="Sí"),VLOOKUP($A54,CSVAgro,16,FALSE),IF(ISERROR(VLOOKUP($A54,Clima!$W$8:$Z$284,2,FALSE)),VLOOKUP($A54,Clima!$E$8:$H$372,2,FALSE),VLOOKUP($A54,Clima!$W$8:$Z$284,2,FALSE)))</f>
        <v>1.5</v>
      </c>
      <c r="O54" s="276">
        <f t="shared" si="40"/>
        <v>5.9966589014596767</v>
      </c>
      <c r="P54" s="276">
        <f t="shared" si="54"/>
        <v>7.3</v>
      </c>
      <c r="Q54" s="487">
        <f t="shared" si="41"/>
        <v>0</v>
      </c>
      <c r="R54" s="278">
        <f t="shared" si="55"/>
        <v>1.5</v>
      </c>
      <c r="S54" s="278">
        <f t="shared" si="46"/>
        <v>1.5</v>
      </c>
      <c r="T54" s="279">
        <f t="shared" si="47"/>
        <v>21</v>
      </c>
      <c r="U54" s="279">
        <f t="shared" si="18"/>
        <v>4</v>
      </c>
      <c r="V54" s="276">
        <f>MAX(W54-W53,0)</f>
        <v>0</v>
      </c>
      <c r="W54" s="276">
        <f>IF(AND(S54&gt;VLOOKUP(Inputs!$I$2,Extracciones,3),S54&lt;VLOOKUP(Inputs!$I$2,Extracciones,5)),(S54-VLOOKUP(Inputs!$I$2,Extracciones,3))*Inputs!$E$12,0)</f>
        <v>0</v>
      </c>
      <c r="X54" s="278">
        <f>IF(AD54=0,VLOOKUP(R54,Mineral,2)*R54*Inputs!$C$16*Inputs!$E$37,VLOOKUP(R54,Mineral,2)*R54*Inputs!$C$16)</f>
        <v>0</v>
      </c>
      <c r="Y54" s="278">
        <f>SUM(K54,M54)*Inputs!$O$8*14/(100*62)</f>
        <v>0</v>
      </c>
      <c r="Z54" s="278">
        <f t="shared" si="61"/>
        <v>0</v>
      </c>
      <c r="AA54" s="278">
        <f t="shared" si="56"/>
        <v>0</v>
      </c>
      <c r="AB54" s="279">
        <f t="shared" si="42"/>
        <v>0</v>
      </c>
      <c r="AC54" s="278">
        <f t="shared" si="22"/>
        <v>0</v>
      </c>
      <c r="AD54" s="279">
        <f t="shared" si="49"/>
        <v>0</v>
      </c>
      <c r="AE54" s="278">
        <f t="shared" si="50"/>
        <v>0</v>
      </c>
      <c r="AF54" s="278">
        <f t="shared" si="25"/>
        <v>81.16</v>
      </c>
      <c r="AG54" s="279">
        <f t="shared" si="43"/>
        <v>25</v>
      </c>
      <c r="AH54" s="279">
        <f>AF54*1000000/(Inputs!$C$9*100*Inputs!$C$8*1000*(1-Inputs!$C$10)*(1+Inputs!$C$12))</f>
        <v>16.238495398159262</v>
      </c>
      <c r="AI54" s="279">
        <f>IFERROR(HLOOKUP(A54,Inputs!$C$14:$C$15,2,FALSE),-100)</f>
        <v>-100</v>
      </c>
      <c r="AJ54" s="281">
        <f t="shared" si="44"/>
        <v>0</v>
      </c>
      <c r="AK54" s="282">
        <f t="shared" si="27"/>
        <v>0</v>
      </c>
      <c r="AL54" s="282">
        <f t="shared" si="28"/>
        <v>0</v>
      </c>
      <c r="AM54" s="282">
        <f t="shared" si="29"/>
        <v>0</v>
      </c>
      <c r="AN54" s="283">
        <f>IFERROR(IF($G$1="Sí",VLOOKUP($A54,CSVAgro,9,FALSE),VLOOKUP($A54,Clima!$E$8:$Q$373,13,FALSE)),0)</f>
        <v>0.9</v>
      </c>
      <c r="AO54" s="281">
        <f t="shared" si="57"/>
        <v>10.500000000000002</v>
      </c>
      <c r="AP54" s="281">
        <f>IFERROR(VLOOKUP($A54,'F TrB'!$C$3:$O$21,3,FALSE),-9999)</f>
        <v>-9999</v>
      </c>
      <c r="AQ54" s="281">
        <f t="shared" si="51"/>
        <v>-999</v>
      </c>
      <c r="AR54" s="281">
        <f>IFERROR(IF(VLOOKUP($A54,'F TrB'!$Q$3:$R$21,2,FALSE)=0,-99999,VLOOKUP($A54,'F TrB'!$Q$3:$R$21,2,FALSE)),-99999)</f>
        <v>-99999</v>
      </c>
      <c r="AS54" s="281">
        <f t="shared" si="52"/>
        <v>-99999</v>
      </c>
      <c r="AT54" s="281" t="str">
        <f>IFERROR(VLOOKUP($A54,'NDVI tipo'!$Q$8:$S$30,2,FALSE),"")</f>
        <v/>
      </c>
      <c r="AU54" s="281">
        <f>IF(ISERROR(VLOOKUP($A54,'NDVI tipo'!$Q$8:$S$50,2,FALSE)),AU53+VLOOKUP($A54,'NDVI tipo'!$Q$8:$S$50,3,TRUE),VLOOKUP($A54,'NDVI tipo'!$Q$8:$S$50,2,FALSE))</f>
        <v>0.22376132727272735</v>
      </c>
      <c r="AV54" s="281">
        <f>IFERROR(VLOOKUP($A54,'NDVI real'!$Q$8:$S$44,2,FALSE),-999)</f>
        <v>-999</v>
      </c>
      <c r="AW54" s="281">
        <f>IF(ISERROR(VLOOKUP($A54,'NDVI real'!$T$8:$U$350,2,FALSE)),"",VLOOKUP($A54,'NDVI real'!$T$8:$U$350,2,FALSE))</f>
        <v>0.26134259171296303</v>
      </c>
      <c r="AX54" s="281">
        <f>IFERROR(VLOOKUP($A54,SWB!$C$15:$BE$244,53,FALSE),"")</f>
        <v>0</v>
      </c>
      <c r="AY54" s="281">
        <f>IFERROR(VLOOKUP($A54,SWB!$C$15:$BE$244,55,FALSE),"")</f>
        <v>0</v>
      </c>
      <c r="AZ54" s="281">
        <f>IF(ISERROR(VLOOKUP($A54,Clima!$V$8:$AI$320,14,FALSE)),-999,VLOOKUP(A54,Clima!$V$8:$AI$219,14,FALSE))</f>
        <v>1.1000000000000001</v>
      </c>
      <c r="BA54" s="281">
        <f t="shared" si="58"/>
        <v>12.299999999999999</v>
      </c>
      <c r="BB54" s="281">
        <f t="shared" si="59"/>
        <v>1.1000000000000001</v>
      </c>
      <c r="BC54" s="281">
        <f t="shared" si="60"/>
        <v>12.299999999999999</v>
      </c>
      <c r="BD54" s="284">
        <f t="shared" si="45"/>
        <v>42025</v>
      </c>
    </row>
    <row r="55" spans="1:56" s="275" customFormat="1" ht="12.75">
      <c r="A55" s="273">
        <f t="shared" si="53"/>
        <v>42026</v>
      </c>
      <c r="B55" s="274">
        <f t="shared" si="30"/>
        <v>22</v>
      </c>
      <c r="C55" s="275" t="str">
        <f t="shared" si="31"/>
        <v>Inicial</v>
      </c>
      <c r="D55" s="276">
        <f t="shared" si="32"/>
        <v>1</v>
      </c>
      <c r="E55" s="276">
        <f t="shared" si="33"/>
        <v>0.27617777653333342</v>
      </c>
      <c r="F55" s="276"/>
      <c r="G55" s="276">
        <f t="shared" si="34"/>
        <v>0.94294900000000004</v>
      </c>
      <c r="H55" s="276">
        <f t="shared" si="35"/>
        <v>1.0929489999999999</v>
      </c>
      <c r="I55" s="276">
        <f t="shared" si="36"/>
        <v>1.0601609999999999</v>
      </c>
      <c r="J55" s="276">
        <f>IFERROR(IF($G$1="Sí",VLOOKUP($A55,CSVAgro,13,FALSE),VLOOKUP($A55,SWB!$C$15:$P$202,14,FALSE)),0)</f>
        <v>0</v>
      </c>
      <c r="K55" s="487">
        <f t="shared" si="37"/>
        <v>0</v>
      </c>
      <c r="L55" s="487">
        <f t="shared" si="38"/>
        <v>0</v>
      </c>
      <c r="M55" s="487">
        <f t="shared" si="39"/>
        <v>0</v>
      </c>
      <c r="N55" s="277">
        <f>IF(ISERROR($G$1="Sí"),VLOOKUP($A55,CSVAgro,16,FALSE),IF(ISERROR(VLOOKUP($A55,Clima!$W$8:$Z$284,2,FALSE)),VLOOKUP($A55,Clima!$E$8:$H$372,2,FALSE),VLOOKUP($A55,Clima!$W$8:$Z$284,2,FALSE)))</f>
        <v>2.2000000000000002</v>
      </c>
      <c r="O55" s="276">
        <f t="shared" si="40"/>
        <v>6.299268699923978</v>
      </c>
      <c r="P55" s="276">
        <f t="shared" si="54"/>
        <v>7.3</v>
      </c>
      <c r="Q55" s="487">
        <f t="shared" si="41"/>
        <v>0</v>
      </c>
      <c r="R55" s="278">
        <f t="shared" si="55"/>
        <v>2.2000000000000002</v>
      </c>
      <c r="S55" s="278">
        <f t="shared" si="46"/>
        <v>2.2000000000000002</v>
      </c>
      <c r="T55" s="279">
        <f t="shared" si="47"/>
        <v>22</v>
      </c>
      <c r="U55" s="279">
        <f t="shared" si="18"/>
        <v>4</v>
      </c>
      <c r="V55" s="276">
        <f t="shared" si="48"/>
        <v>0</v>
      </c>
      <c r="W55" s="276">
        <f>IF(AND(S55&gt;VLOOKUP(Inputs!$I$2,Extracciones,3),S55&lt;VLOOKUP(Inputs!$I$2,Extracciones,5)),(S55-VLOOKUP(Inputs!$I$2,Extracciones,3))*Inputs!$E$12,0)</f>
        <v>0</v>
      </c>
      <c r="X55" s="278">
        <f>IF(AD55=0,VLOOKUP(R55,Mineral,2)*R55*Inputs!$C$16*Inputs!$E$37,VLOOKUP(R55,Mineral,2)*R55*Inputs!$C$16)</f>
        <v>0</v>
      </c>
      <c r="Y55" s="278">
        <f>SUM(K55,M55)*Inputs!$O$8*14/(100*62)</f>
        <v>0</v>
      </c>
      <c r="Z55" s="278">
        <f t="shared" si="61"/>
        <v>0</v>
      </c>
      <c r="AA55" s="278">
        <f t="shared" si="56"/>
        <v>0</v>
      </c>
      <c r="AB55" s="279">
        <f t="shared" si="42"/>
        <v>0</v>
      </c>
      <c r="AC55" s="278">
        <f t="shared" si="22"/>
        <v>0</v>
      </c>
      <c r="AD55" s="279">
        <f t="shared" si="49"/>
        <v>0</v>
      </c>
      <c r="AE55" s="278">
        <f t="shared" si="50"/>
        <v>0</v>
      </c>
      <c r="AF55" s="278">
        <f t="shared" si="25"/>
        <v>81.16</v>
      </c>
      <c r="AG55" s="279">
        <f t="shared" si="43"/>
        <v>25</v>
      </c>
      <c r="AH55" s="279">
        <f>AF55*1000000/(Inputs!$C$9*100*Inputs!$C$8*1000*(1-Inputs!$C$10)*(1+Inputs!$C$12))</f>
        <v>16.238495398159262</v>
      </c>
      <c r="AI55" s="279">
        <f>IFERROR(HLOOKUP(A55,Inputs!$C$14:$C$15,2,FALSE),-100)</f>
        <v>-100</v>
      </c>
      <c r="AJ55" s="281">
        <f t="shared" si="44"/>
        <v>0</v>
      </c>
      <c r="AK55" s="282">
        <f t="shared" si="27"/>
        <v>0</v>
      </c>
      <c r="AL55" s="282">
        <f t="shared" si="28"/>
        <v>0</v>
      </c>
      <c r="AM55" s="282">
        <f t="shared" si="29"/>
        <v>0</v>
      </c>
      <c r="AN55" s="283">
        <f>IFERROR(IF($G$1="Sí",VLOOKUP($A55,CSVAgro,9,FALSE),VLOOKUP($A55,Clima!$E$8:$Q$373,13,FALSE)),0)</f>
        <v>0.8</v>
      </c>
      <c r="AO55" s="281">
        <f t="shared" si="57"/>
        <v>11.300000000000002</v>
      </c>
      <c r="AP55" s="281">
        <f>IFERROR(VLOOKUP($A55,'F TrB'!$C$3:$O$21,3,FALSE),-9999)</f>
        <v>-9999</v>
      </c>
      <c r="AQ55" s="281">
        <f t="shared" si="51"/>
        <v>-999</v>
      </c>
      <c r="AR55" s="281">
        <f>IFERROR(IF(VLOOKUP($A55,'F TrB'!$Q$3:$R$21,2,FALSE)=0,-99999,VLOOKUP($A55,'F TrB'!$Q$3:$R$21,2,FALSE)),-99999)</f>
        <v>-99999</v>
      </c>
      <c r="AS55" s="281">
        <f t="shared" si="52"/>
        <v>-99999</v>
      </c>
      <c r="AT55" s="281" t="str">
        <f>IFERROR(VLOOKUP($A55,'NDVI tipo'!$Q$8:$S$30,2,FALSE),"")</f>
        <v/>
      </c>
      <c r="AU55" s="281">
        <f>IF(ISERROR(VLOOKUP($A55,'NDVI tipo'!$Q$8:$S$50,2,FALSE)),AU54+VLOOKUP($A55,'NDVI tipo'!$Q$8:$S$50,3,TRUE),VLOOKUP($A55,'NDVI tipo'!$Q$8:$S$50,2,FALSE))</f>
        <v>0.22527594545454555</v>
      </c>
      <c r="AV55" s="281">
        <f>IFERROR(VLOOKUP($A55,'NDVI real'!$Q$8:$S$44,2,FALSE),-999)</f>
        <v>-999</v>
      </c>
      <c r="AW55" s="281">
        <f>IF(ISERROR(VLOOKUP($A55,'NDVI real'!$T$8:$U$350,2,FALSE)),"",VLOOKUP($A55,'NDVI real'!$T$8:$U$350,2,FALSE))</f>
        <v>0.26123456703703712</v>
      </c>
      <c r="AX55" s="281">
        <f>IFERROR(VLOOKUP($A55,SWB!$C$15:$BE$244,53,FALSE),"")</f>
        <v>0</v>
      </c>
      <c r="AY55" s="281">
        <f>IFERROR(VLOOKUP($A55,SWB!$C$15:$BE$244,55,FALSE),"")</f>
        <v>0</v>
      </c>
      <c r="AZ55" s="281">
        <f>IF(ISERROR(VLOOKUP($A55,Clima!$V$8:$AI$320,14,FALSE)),-999,VLOOKUP(A55,Clima!$V$8:$AI$219,14,FALSE))</f>
        <v>1</v>
      </c>
      <c r="BA55" s="281">
        <f t="shared" si="58"/>
        <v>13.299999999999999</v>
      </c>
      <c r="BB55" s="281">
        <f t="shared" si="59"/>
        <v>1</v>
      </c>
      <c r="BC55" s="281">
        <f t="shared" si="60"/>
        <v>13.299999999999999</v>
      </c>
      <c r="BD55" s="284">
        <f t="shared" si="45"/>
        <v>42026</v>
      </c>
    </row>
    <row r="56" spans="1:56" s="275" customFormat="1" ht="12.75">
      <c r="A56" s="273">
        <f t="shared" si="53"/>
        <v>42027</v>
      </c>
      <c r="B56" s="274">
        <f t="shared" si="30"/>
        <v>23</v>
      </c>
      <c r="C56" s="275" t="str">
        <f t="shared" si="31"/>
        <v>Inicial</v>
      </c>
      <c r="D56" s="276">
        <f t="shared" si="32"/>
        <v>1.8</v>
      </c>
      <c r="E56" s="276">
        <f t="shared" si="33"/>
        <v>0.27602222100000018</v>
      </c>
      <c r="F56" s="276"/>
      <c r="G56" s="276">
        <f t="shared" si="34"/>
        <v>0.95284000000000002</v>
      </c>
      <c r="H56" s="276">
        <f t="shared" si="35"/>
        <v>1.10284</v>
      </c>
      <c r="I56" s="276">
        <f t="shared" si="36"/>
        <v>1.2351810000000001</v>
      </c>
      <c r="J56" s="276">
        <f>IFERROR(IF($G$1="Sí",VLOOKUP($A56,CSVAgro,13,FALSE),VLOOKUP($A56,SWB!$C$15:$P$202,14,FALSE)),0)</f>
        <v>0</v>
      </c>
      <c r="K56" s="487">
        <f t="shared" si="37"/>
        <v>0</v>
      </c>
      <c r="L56" s="487">
        <f t="shared" si="38"/>
        <v>0</v>
      </c>
      <c r="M56" s="487">
        <f t="shared" si="39"/>
        <v>0</v>
      </c>
      <c r="N56" s="277">
        <f>IF(ISERROR($G$1="Sí"),VLOOKUP($A56,CSVAgro,16,FALSE),IF(ISERROR(VLOOKUP($A56,Clima!$W$8:$Z$284,2,FALSE)),VLOOKUP($A56,Clima!$E$8:$H$372,2,FALSE),VLOOKUP($A56,Clima!$W$8:$Z$284,2,FALSE)))</f>
        <v>2.2000000000000002</v>
      </c>
      <c r="O56" s="276">
        <f t="shared" si="40"/>
        <v>6.7497863450996878</v>
      </c>
      <c r="P56" s="276">
        <f t="shared" si="54"/>
        <v>7.3</v>
      </c>
      <c r="Q56" s="487">
        <f t="shared" si="41"/>
        <v>0</v>
      </c>
      <c r="R56" s="278">
        <f t="shared" si="55"/>
        <v>2.2000000000000002</v>
      </c>
      <c r="S56" s="278">
        <f t="shared" si="46"/>
        <v>2.2000000000000002</v>
      </c>
      <c r="T56" s="279">
        <f t="shared" si="47"/>
        <v>23</v>
      </c>
      <c r="U56" s="279">
        <f t="shared" si="18"/>
        <v>4</v>
      </c>
      <c r="V56" s="276">
        <f t="shared" si="48"/>
        <v>0</v>
      </c>
      <c r="W56" s="276">
        <f>IF(AND(S56&gt;VLOOKUP(Inputs!$I$2,Extracciones,3),S56&lt;VLOOKUP(Inputs!$I$2,Extracciones,5)),(S56-VLOOKUP(Inputs!$I$2,Extracciones,3))*Inputs!$E$12,0)</f>
        <v>0</v>
      </c>
      <c r="X56" s="278">
        <f>IF(AD56=0,VLOOKUP(R56,Mineral,2)*R56*Inputs!$C$16*Inputs!$E$37,VLOOKUP(R56,Mineral,2)*R56*Inputs!$C$16)</f>
        <v>0</v>
      </c>
      <c r="Y56" s="278">
        <f>SUM(K56,M56)*Inputs!$O$8*14/(100*62)</f>
        <v>0</v>
      </c>
      <c r="Z56" s="278">
        <f t="shared" si="61"/>
        <v>0</v>
      </c>
      <c r="AA56" s="278">
        <f t="shared" si="56"/>
        <v>0</v>
      </c>
      <c r="AB56" s="279">
        <f t="shared" si="42"/>
        <v>0</v>
      </c>
      <c r="AC56" s="278">
        <f t="shared" si="22"/>
        <v>0</v>
      </c>
      <c r="AD56" s="279">
        <f t="shared" si="49"/>
        <v>0</v>
      </c>
      <c r="AE56" s="278">
        <f t="shared" si="50"/>
        <v>0</v>
      </c>
      <c r="AF56" s="278">
        <f t="shared" si="25"/>
        <v>81.16</v>
      </c>
      <c r="AG56" s="279">
        <f t="shared" si="43"/>
        <v>25</v>
      </c>
      <c r="AH56" s="279">
        <f>AF56*1000000/(Inputs!$C$9*100*Inputs!$C$8*1000*(1-Inputs!$C$10)*(1+Inputs!$C$12))</f>
        <v>16.238495398159262</v>
      </c>
      <c r="AI56" s="279">
        <f>IFERROR(HLOOKUP(A56,Inputs!$C$14:$C$15,2,FALSE),-100)</f>
        <v>-100</v>
      </c>
      <c r="AJ56" s="281">
        <f t="shared" si="44"/>
        <v>0</v>
      </c>
      <c r="AK56" s="282">
        <f t="shared" si="27"/>
        <v>0</v>
      </c>
      <c r="AL56" s="282">
        <f t="shared" si="28"/>
        <v>0</v>
      </c>
      <c r="AM56" s="282">
        <f t="shared" si="29"/>
        <v>0</v>
      </c>
      <c r="AN56" s="283">
        <f>IFERROR(IF($G$1="Sí",VLOOKUP($A56,CSVAgro,9,FALSE),VLOOKUP($A56,Clima!$E$8:$Q$373,13,FALSE)),0)</f>
        <v>1.2</v>
      </c>
      <c r="AO56" s="281">
        <f t="shared" si="57"/>
        <v>12.500000000000002</v>
      </c>
      <c r="AP56" s="281">
        <f>IFERROR(VLOOKUP($A56,'F TrB'!$C$3:$O$21,3,FALSE),-9999)</f>
        <v>-9999</v>
      </c>
      <c r="AQ56" s="281">
        <f t="shared" si="51"/>
        <v>-999</v>
      </c>
      <c r="AR56" s="281">
        <f>IFERROR(IF(VLOOKUP($A56,'F TrB'!$Q$3:$R$21,2,FALSE)=0,-99999,VLOOKUP($A56,'F TrB'!$Q$3:$R$21,2,FALSE)),-99999)</f>
        <v>-99999</v>
      </c>
      <c r="AS56" s="281">
        <f t="shared" si="52"/>
        <v>-99999</v>
      </c>
      <c r="AT56" s="281" t="str">
        <f>IFERROR(VLOOKUP($A56,'NDVI tipo'!$Q$8:$S$30,2,FALSE),"")</f>
        <v/>
      </c>
      <c r="AU56" s="281">
        <f>IF(ISERROR(VLOOKUP($A56,'NDVI tipo'!$Q$8:$S$50,2,FALSE)),AU55+VLOOKUP($A56,'NDVI tipo'!$Q$8:$S$50,3,TRUE),VLOOKUP($A56,'NDVI tipo'!$Q$8:$S$50,2,FALSE))</f>
        <v>0.22679056363636374</v>
      </c>
      <c r="AV56" s="281">
        <f>IFERROR(VLOOKUP($A56,'NDVI real'!$Q$8:$S$44,2,FALSE),-999)</f>
        <v>-999</v>
      </c>
      <c r="AW56" s="281">
        <f>IF(ISERROR(VLOOKUP($A56,'NDVI real'!$T$8:$U$350,2,FALSE)),"",VLOOKUP($A56,'NDVI real'!$T$8:$U$350,2,FALSE))</f>
        <v>0.26112654236111121</v>
      </c>
      <c r="AX56" s="281">
        <f>IFERROR(VLOOKUP($A56,SWB!$C$15:$BE$244,53,FALSE),"")</f>
        <v>0</v>
      </c>
      <c r="AY56" s="281">
        <f>IFERROR(VLOOKUP($A56,SWB!$C$15:$BE$244,55,FALSE),"")</f>
        <v>0</v>
      </c>
      <c r="AZ56" s="281">
        <f>IF(ISERROR(VLOOKUP($A56,Clima!$V$8:$AI$320,14,FALSE)),-999,VLOOKUP(A56,Clima!$V$8:$AI$219,14,FALSE))</f>
        <v>1.8</v>
      </c>
      <c r="BA56" s="281">
        <f t="shared" si="58"/>
        <v>15.1</v>
      </c>
      <c r="BB56" s="281">
        <f t="shared" si="59"/>
        <v>1.8</v>
      </c>
      <c r="BC56" s="281">
        <f t="shared" si="60"/>
        <v>15.1</v>
      </c>
      <c r="BD56" s="284">
        <f t="shared" si="45"/>
        <v>42027</v>
      </c>
    </row>
    <row r="57" spans="1:56" s="275" customFormat="1" ht="12.75">
      <c r="A57" s="273">
        <f t="shared" si="53"/>
        <v>42028</v>
      </c>
      <c r="B57" s="274">
        <f t="shared" si="30"/>
        <v>24</v>
      </c>
      <c r="C57" s="275" t="str">
        <f t="shared" si="31"/>
        <v>Inicial</v>
      </c>
      <c r="D57" s="276">
        <f t="shared" si="32"/>
        <v>2.2000000000000002</v>
      </c>
      <c r="E57" s="276">
        <f t="shared" si="33"/>
        <v>0.27586666546666683</v>
      </c>
      <c r="F57" s="276"/>
      <c r="G57" s="276">
        <f t="shared" si="34"/>
        <v>1.0147360000000001</v>
      </c>
      <c r="H57" s="276">
        <f t="shared" si="35"/>
        <v>1.164736</v>
      </c>
      <c r="I57" s="276">
        <f t="shared" si="36"/>
        <v>1.327799</v>
      </c>
      <c r="J57" s="276">
        <f>IFERROR(IF($G$1="Sí",VLOOKUP($A57,CSVAgro,13,FALSE),VLOOKUP($A57,SWB!$C$15:$P$202,14,FALSE)),0)</f>
        <v>0</v>
      </c>
      <c r="K57" s="487">
        <f t="shared" si="37"/>
        <v>0</v>
      </c>
      <c r="L57" s="487">
        <f t="shared" si="38"/>
        <v>0</v>
      </c>
      <c r="M57" s="487">
        <f t="shared" si="39"/>
        <v>0</v>
      </c>
      <c r="N57" s="277">
        <f>IF(ISERROR($G$1="Sí"),VLOOKUP($A57,CSVAgro,16,FALSE),IF(ISERROR(VLOOKUP($A57,Clima!$W$8:$Z$284,2,FALSE)),VLOOKUP($A57,Clima!$E$8:$H$372,2,FALSE),VLOOKUP($A57,Clima!$W$8:$Z$284,2,FALSE)))</f>
        <v>1.9</v>
      </c>
      <c r="O57" s="276">
        <f t="shared" si="40"/>
        <v>7.3810929396498528</v>
      </c>
      <c r="P57" s="276">
        <f t="shared" si="54"/>
        <v>7.3</v>
      </c>
      <c r="Q57" s="487">
        <f t="shared" si="41"/>
        <v>0</v>
      </c>
      <c r="R57" s="278">
        <f t="shared" si="55"/>
        <v>1.9</v>
      </c>
      <c r="S57" s="278">
        <f t="shared" si="46"/>
        <v>1.9</v>
      </c>
      <c r="T57" s="279">
        <f t="shared" si="47"/>
        <v>24</v>
      </c>
      <c r="U57" s="279">
        <f t="shared" si="18"/>
        <v>4</v>
      </c>
      <c r="V57" s="276">
        <f t="shared" si="48"/>
        <v>0</v>
      </c>
      <c r="W57" s="276">
        <f>IF(AND(S57&gt;VLOOKUP(Inputs!$I$2,Extracciones,3),S57&lt;VLOOKUP(Inputs!$I$2,Extracciones,5)),(S57-VLOOKUP(Inputs!$I$2,Extracciones,3))*Inputs!$E$12,0)</f>
        <v>0</v>
      </c>
      <c r="X57" s="278">
        <f>IF(AD57=0,VLOOKUP(R57,Mineral,2)*R57*Inputs!$C$16*Inputs!$E$37,VLOOKUP(R57,Mineral,2)*R57*Inputs!$C$16)</f>
        <v>0</v>
      </c>
      <c r="Y57" s="278">
        <f>SUM(K57,M57)*Inputs!$O$8*14/(100*62)</f>
        <v>0</v>
      </c>
      <c r="Z57" s="278">
        <f t="shared" si="61"/>
        <v>0</v>
      </c>
      <c r="AA57" s="278">
        <f t="shared" si="56"/>
        <v>0</v>
      </c>
      <c r="AB57" s="279">
        <f t="shared" si="42"/>
        <v>0</v>
      </c>
      <c r="AC57" s="278">
        <f t="shared" si="22"/>
        <v>0</v>
      </c>
      <c r="AD57" s="279">
        <f t="shared" si="49"/>
        <v>0</v>
      </c>
      <c r="AE57" s="278">
        <f t="shared" si="50"/>
        <v>0</v>
      </c>
      <c r="AF57" s="278">
        <f t="shared" si="25"/>
        <v>81.16</v>
      </c>
      <c r="AG57" s="279">
        <f t="shared" si="43"/>
        <v>25</v>
      </c>
      <c r="AH57" s="279">
        <f>AF57*1000000/(Inputs!$C$9*100*Inputs!$C$8*1000*(1-Inputs!$C$10)*(1+Inputs!$C$12))</f>
        <v>16.238495398159262</v>
      </c>
      <c r="AI57" s="279">
        <f>IFERROR(HLOOKUP(A57,Inputs!$C$14:$C$15,2,FALSE),-100)</f>
        <v>-100</v>
      </c>
      <c r="AJ57" s="281">
        <f t="shared" si="44"/>
        <v>0</v>
      </c>
      <c r="AK57" s="282">
        <f t="shared" si="27"/>
        <v>0</v>
      </c>
      <c r="AL57" s="282">
        <f t="shared" si="28"/>
        <v>0</v>
      </c>
      <c r="AM57" s="282">
        <f t="shared" si="29"/>
        <v>0</v>
      </c>
      <c r="AN57" s="283">
        <f>IFERROR(IF($G$1="Sí",VLOOKUP($A57,CSVAgro,9,FALSE),VLOOKUP($A57,Clima!$E$8:$Q$373,13,FALSE)),0)</f>
        <v>1.7</v>
      </c>
      <c r="AO57" s="281">
        <f t="shared" si="57"/>
        <v>14.200000000000001</v>
      </c>
      <c r="AP57" s="281">
        <f>IFERROR(VLOOKUP($A57,'F TrB'!$C$3:$O$21,3,FALSE),-9999)</f>
        <v>9</v>
      </c>
      <c r="AQ57" s="281">
        <f t="shared" si="51"/>
        <v>1.4</v>
      </c>
      <c r="AR57" s="281">
        <f>IFERROR(IF(VLOOKUP($A57,'F TrB'!$Q$3:$R$21,2,FALSE)=0,-99999,VLOOKUP($A57,'F TrB'!$Q$3:$R$21,2,FALSE)),-99999)</f>
        <v>-99999</v>
      </c>
      <c r="AS57" s="281">
        <f t="shared" si="52"/>
        <v>-99999</v>
      </c>
      <c r="AT57" s="281" t="str">
        <f>IFERROR(VLOOKUP($A57,'NDVI tipo'!$Q$8:$S$30,2,FALSE),"")</f>
        <v/>
      </c>
      <c r="AU57" s="281">
        <f>IF(ISERROR(VLOOKUP($A57,'NDVI tipo'!$Q$8:$S$50,2,FALSE)),AU56+VLOOKUP($A57,'NDVI tipo'!$Q$8:$S$50,3,TRUE),VLOOKUP($A57,'NDVI tipo'!$Q$8:$S$50,2,FALSE))</f>
        <v>0.22830518181818193</v>
      </c>
      <c r="AV57" s="281">
        <f>IFERROR(VLOOKUP($A57,'NDVI real'!$Q$8:$S$44,2,FALSE),-999)</f>
        <v>-999</v>
      </c>
      <c r="AW57" s="281">
        <f>IF(ISERROR(VLOOKUP($A57,'NDVI real'!$T$8:$U$350,2,FALSE)),"",VLOOKUP($A57,'NDVI real'!$T$8:$U$350,2,FALSE))</f>
        <v>0.2610185176851853</v>
      </c>
      <c r="AX57" s="281">
        <f>IFERROR(VLOOKUP($A57,SWB!$C$15:$BE$244,53,FALSE),"")</f>
        <v>0</v>
      </c>
      <c r="AY57" s="281">
        <f>IFERROR(VLOOKUP($A57,SWB!$C$15:$BE$244,55,FALSE),"")</f>
        <v>0</v>
      </c>
      <c r="AZ57" s="281">
        <f>IF(ISERROR(VLOOKUP($A57,Clima!$V$8:$AI$320,14,FALSE)),-999,VLOOKUP(A57,Clima!$V$8:$AI$219,14,FALSE))</f>
        <v>2.2000000000000002</v>
      </c>
      <c r="BA57" s="281">
        <f t="shared" si="58"/>
        <v>17.3</v>
      </c>
      <c r="BB57" s="281">
        <f t="shared" si="59"/>
        <v>2.2000000000000002</v>
      </c>
      <c r="BC57" s="281">
        <f t="shared" si="60"/>
        <v>17.3</v>
      </c>
      <c r="BD57" s="284">
        <f t="shared" si="45"/>
        <v>42028</v>
      </c>
    </row>
    <row r="58" spans="1:56" s="275" customFormat="1" ht="12.75">
      <c r="A58" s="273">
        <f t="shared" si="53"/>
        <v>42029</v>
      </c>
      <c r="B58" s="274">
        <f t="shared" si="30"/>
        <v>25</v>
      </c>
      <c r="C58" s="275" t="str">
        <f t="shared" si="31"/>
        <v>Inicial</v>
      </c>
      <c r="D58" s="276">
        <f t="shared" si="32"/>
        <v>3.2</v>
      </c>
      <c r="E58" s="276">
        <f t="shared" si="33"/>
        <v>0.27571110993333348</v>
      </c>
      <c r="F58" s="276"/>
      <c r="G58" s="276">
        <f t="shared" si="34"/>
        <v>1.0132650000000001</v>
      </c>
      <c r="H58" s="276">
        <f t="shared" si="35"/>
        <v>1.163265</v>
      </c>
      <c r="I58" s="276">
        <f t="shared" si="36"/>
        <v>1.1865300000000001</v>
      </c>
      <c r="J58" s="276">
        <f>IFERROR(IF($G$1="Sí",VLOOKUP($A58,CSVAgro,13,FALSE),VLOOKUP($A58,SWB!$C$15:$P$202,14,FALSE)),0)</f>
        <v>0</v>
      </c>
      <c r="K58" s="487">
        <f t="shared" si="37"/>
        <v>0</v>
      </c>
      <c r="L58" s="487">
        <f t="shared" si="38"/>
        <v>0</v>
      </c>
      <c r="M58" s="487">
        <f t="shared" si="39"/>
        <v>0</v>
      </c>
      <c r="N58" s="277">
        <f>IF(ISERROR($G$1="Sí"),VLOOKUP($A58,CSVAgro,16,FALSE),IF(ISERROR(VLOOKUP($A58,Clima!$W$8:$Z$284,2,FALSE)),VLOOKUP($A58,Clima!$E$8:$H$372,2,FALSE),VLOOKUP($A58,Clima!$W$8:$Z$284,2,FALSE)))</f>
        <v>5.7</v>
      </c>
      <c r="O58" s="276">
        <f t="shared" si="40"/>
        <v>7.7835376401248926</v>
      </c>
      <c r="P58" s="276">
        <f t="shared" si="54"/>
        <v>7.3</v>
      </c>
      <c r="Q58" s="487">
        <f t="shared" si="41"/>
        <v>0</v>
      </c>
      <c r="R58" s="278">
        <f t="shared" si="55"/>
        <v>5.7</v>
      </c>
      <c r="S58" s="278">
        <f t="shared" si="46"/>
        <v>5.7</v>
      </c>
      <c r="T58" s="279">
        <f t="shared" si="47"/>
        <v>25</v>
      </c>
      <c r="U58" s="279">
        <f t="shared" si="18"/>
        <v>4</v>
      </c>
      <c r="V58" s="276">
        <f t="shared" si="48"/>
        <v>0</v>
      </c>
      <c r="W58" s="276">
        <f>IF(AND(S58&gt;VLOOKUP(Inputs!$I$2,Extracciones,3),S58&lt;VLOOKUP(Inputs!$I$2,Extracciones,5)),(S58-VLOOKUP(Inputs!$I$2,Extracciones,3))*Inputs!$E$12,0)</f>
        <v>0</v>
      </c>
      <c r="X58" s="278">
        <f>IF(AD58=0,VLOOKUP(R58,Mineral,2)*R58*Inputs!$C$16*Inputs!$E$37,VLOOKUP(R58,Mineral,2)*R58*Inputs!$C$16)</f>
        <v>0</v>
      </c>
      <c r="Y58" s="278">
        <f>SUM(K58,M58)*Inputs!$O$8*14/(100*62)</f>
        <v>0</v>
      </c>
      <c r="Z58" s="278">
        <f t="shared" si="61"/>
        <v>0</v>
      </c>
      <c r="AA58" s="278">
        <f t="shared" si="56"/>
        <v>0</v>
      </c>
      <c r="AB58" s="279">
        <f t="shared" si="42"/>
        <v>0</v>
      </c>
      <c r="AC58" s="278">
        <f t="shared" si="22"/>
        <v>0</v>
      </c>
      <c r="AD58" s="279">
        <f t="shared" si="49"/>
        <v>-0.92967567567567544</v>
      </c>
      <c r="AE58" s="278">
        <f t="shared" si="50"/>
        <v>-0.92967567567567544</v>
      </c>
      <c r="AF58" s="278">
        <f t="shared" si="25"/>
        <v>80.230324324324314</v>
      </c>
      <c r="AG58" s="279">
        <f t="shared" si="43"/>
        <v>25</v>
      </c>
      <c r="AH58" s="279">
        <f>AF58*1000000/(Inputs!$C$9*100*Inputs!$C$8*1000*(1-Inputs!$C$10)*(1+Inputs!$C$12))</f>
        <v>16.052485859208545</v>
      </c>
      <c r="AI58" s="279">
        <f>IFERROR(HLOOKUP(A58,Inputs!$C$14:$C$15,2,FALSE),-100)</f>
        <v>-100</v>
      </c>
      <c r="AJ58" s="281">
        <f t="shared" si="44"/>
        <v>0</v>
      </c>
      <c r="AK58" s="282">
        <f t="shared" si="27"/>
        <v>0</v>
      </c>
      <c r="AL58" s="282">
        <f t="shared" si="28"/>
        <v>0</v>
      </c>
      <c r="AM58" s="282">
        <f t="shared" si="29"/>
        <v>0</v>
      </c>
      <c r="AN58" s="283">
        <f>IFERROR(IF($G$1="Sí",VLOOKUP($A58,CSVAgro,9,FALSE),VLOOKUP($A58,Clima!$E$8:$Q$373,13,FALSE)),0)</f>
        <v>1.1000000000000001</v>
      </c>
      <c r="AO58" s="281">
        <f t="shared" si="57"/>
        <v>15.3</v>
      </c>
      <c r="AP58" s="281">
        <f>IFERROR(VLOOKUP($A58,'F TrB'!$C$3:$O$21,3,FALSE),-9999)</f>
        <v>-9999</v>
      </c>
      <c r="AQ58" s="281">
        <f t="shared" si="51"/>
        <v>-999</v>
      </c>
      <c r="AR58" s="281">
        <f>IFERROR(IF(VLOOKUP($A58,'F TrB'!$Q$3:$R$21,2,FALSE)=0,-99999,VLOOKUP($A58,'F TrB'!$Q$3:$R$21,2,FALSE)),-99999)</f>
        <v>-99999</v>
      </c>
      <c r="AS58" s="281">
        <f t="shared" si="52"/>
        <v>-99999</v>
      </c>
      <c r="AT58" s="281" t="str">
        <f>IFERROR(VLOOKUP($A58,'NDVI tipo'!$Q$8:$S$30,2,FALSE),"")</f>
        <v/>
      </c>
      <c r="AU58" s="281">
        <f>IF(ISERROR(VLOOKUP($A58,'NDVI tipo'!$Q$8:$S$50,2,FALSE)),AU57+VLOOKUP($A58,'NDVI tipo'!$Q$8:$S$50,3,TRUE),VLOOKUP($A58,'NDVI tipo'!$Q$8:$S$50,2,FALSE))</f>
        <v>0.22981980000000013</v>
      </c>
      <c r="AV58" s="281">
        <f>IFERROR(VLOOKUP($A58,'NDVI real'!$Q$8:$S$44,2,FALSE),-999)</f>
        <v>-999</v>
      </c>
      <c r="AW58" s="281">
        <f>IF(ISERROR(VLOOKUP($A58,'NDVI real'!$T$8:$U$350,2,FALSE)),"",VLOOKUP($A58,'NDVI real'!$T$8:$U$350,2,FALSE))</f>
        <v>0.26091049300925939</v>
      </c>
      <c r="AX58" s="281">
        <f>IFERROR(VLOOKUP($A58,SWB!$C$15:$BE$244,53,FALSE),"")</f>
        <v>0</v>
      </c>
      <c r="AY58" s="281">
        <f>IFERROR(VLOOKUP($A58,SWB!$C$15:$BE$244,55,FALSE),"")</f>
        <v>0</v>
      </c>
      <c r="AZ58" s="281">
        <f>IF(ISERROR(VLOOKUP($A58,Clima!$V$8:$AI$320,14,FALSE)),-999,VLOOKUP(A58,Clima!$V$8:$AI$219,14,FALSE))</f>
        <v>3.2</v>
      </c>
      <c r="BA58" s="281">
        <f t="shared" si="58"/>
        <v>20.5</v>
      </c>
      <c r="BB58" s="281">
        <f t="shared" si="59"/>
        <v>3.2</v>
      </c>
      <c r="BC58" s="281">
        <f t="shared" si="60"/>
        <v>20.5</v>
      </c>
      <c r="BD58" s="284">
        <f t="shared" si="45"/>
        <v>42029</v>
      </c>
    </row>
    <row r="59" spans="1:56" s="275" customFormat="1" ht="12.75">
      <c r="A59" s="273">
        <f t="shared" si="53"/>
        <v>42030</v>
      </c>
      <c r="B59" s="274">
        <f t="shared" si="30"/>
        <v>26</v>
      </c>
      <c r="C59" s="275" t="str">
        <f t="shared" si="31"/>
        <v>Inicial</v>
      </c>
      <c r="D59" s="276">
        <f t="shared" si="32"/>
        <v>1.8</v>
      </c>
      <c r="E59" s="276">
        <f t="shared" si="33"/>
        <v>0.27555555440000024</v>
      </c>
      <c r="F59" s="276"/>
      <c r="G59" s="276">
        <f t="shared" si="34"/>
        <v>1.0964419999999999</v>
      </c>
      <c r="H59" s="276">
        <f t="shared" si="35"/>
        <v>1.246442</v>
      </c>
      <c r="I59" s="276">
        <f t="shared" si="36"/>
        <v>2.1937389999999999</v>
      </c>
      <c r="J59" s="276">
        <f>IFERROR(IF($G$1="Sí",VLOOKUP($A59,CSVAgro,13,FALSE),VLOOKUP($A59,SWB!$C$15:$P$202,14,FALSE)),0)</f>
        <v>0</v>
      </c>
      <c r="K59" s="487">
        <f t="shared" si="37"/>
        <v>0</v>
      </c>
      <c r="L59" s="487">
        <f t="shared" si="38"/>
        <v>0</v>
      </c>
      <c r="M59" s="487">
        <f t="shared" si="39"/>
        <v>0</v>
      </c>
      <c r="N59" s="277">
        <f>IF(ISERROR($G$1="Sí"),VLOOKUP($A59,CSVAgro,16,FALSE),IF(ISERROR(VLOOKUP($A59,Clima!$W$8:$Z$284,2,FALSE)),VLOOKUP($A59,Clima!$E$8:$H$372,2,FALSE),VLOOKUP($A59,Clima!$W$8:$Z$284,2,FALSE)))</f>
        <v>3.3</v>
      </c>
      <c r="O59" s="276">
        <f t="shared" si="40"/>
        <v>8.1097387975497846</v>
      </c>
      <c r="P59" s="276">
        <f t="shared" si="54"/>
        <v>7.3</v>
      </c>
      <c r="Q59" s="487">
        <f t="shared" si="41"/>
        <v>0</v>
      </c>
      <c r="R59" s="278">
        <f t="shared" si="55"/>
        <v>3.3</v>
      </c>
      <c r="S59" s="278">
        <f t="shared" si="46"/>
        <v>3.3</v>
      </c>
      <c r="T59" s="279">
        <f t="shared" si="47"/>
        <v>26</v>
      </c>
      <c r="U59" s="279">
        <f t="shared" si="18"/>
        <v>5</v>
      </c>
      <c r="V59" s="276">
        <f t="shared" si="48"/>
        <v>0</v>
      </c>
      <c r="W59" s="276">
        <f>IF(AND(S59&gt;VLOOKUP(Inputs!$I$2,Extracciones,3),S59&lt;VLOOKUP(Inputs!$I$2,Extracciones,5)),(S59-VLOOKUP(Inputs!$I$2,Extracciones,3))*Inputs!$E$12,0)</f>
        <v>0</v>
      </c>
      <c r="X59" s="278">
        <f>IF(AD59=0,VLOOKUP(R59,Mineral,2)*R59*Inputs!$C$16*Inputs!$E$37,VLOOKUP(R59,Mineral,2)*R59*Inputs!$C$16)</f>
        <v>0</v>
      </c>
      <c r="Y59" s="278">
        <f>SUM(K59,M59)*Inputs!$O$8*14/(100*62)</f>
        <v>0</v>
      </c>
      <c r="Z59" s="278">
        <f t="shared" si="61"/>
        <v>0</v>
      </c>
      <c r="AA59" s="278">
        <f t="shared" si="56"/>
        <v>0</v>
      </c>
      <c r="AB59" s="279">
        <f t="shared" si="42"/>
        <v>0</v>
      </c>
      <c r="AC59" s="278">
        <f t="shared" si="22"/>
        <v>0</v>
      </c>
      <c r="AD59" s="279">
        <f t="shared" si="49"/>
        <v>-0.92967567567567544</v>
      </c>
      <c r="AE59" s="278">
        <f t="shared" si="50"/>
        <v>-1.8593513513513509</v>
      </c>
      <c r="AF59" s="278">
        <f t="shared" si="25"/>
        <v>79.300648648648632</v>
      </c>
      <c r="AG59" s="279">
        <f t="shared" si="43"/>
        <v>25</v>
      </c>
      <c r="AH59" s="279">
        <f>AF59*1000000/(Inputs!$C$9*100*Inputs!$C$8*1000*(1-Inputs!$C$10)*(1+Inputs!$C$12))</f>
        <v>15.86647632025783</v>
      </c>
      <c r="AI59" s="279">
        <f>IFERROR(HLOOKUP(A59,Inputs!$C$14:$C$15,2,FALSE),-100)</f>
        <v>-100</v>
      </c>
      <c r="AJ59" s="281">
        <f t="shared" si="44"/>
        <v>0</v>
      </c>
      <c r="AK59" s="282">
        <f t="shared" si="27"/>
        <v>0</v>
      </c>
      <c r="AL59" s="282">
        <f t="shared" si="28"/>
        <v>0</v>
      </c>
      <c r="AM59" s="282">
        <f t="shared" si="29"/>
        <v>0</v>
      </c>
      <c r="AN59" s="283">
        <f>IFERROR(IF($G$1="Sí",VLOOKUP($A59,CSVAgro,9,FALSE),VLOOKUP($A59,Clima!$E$8:$Q$373,13,FALSE)),0)</f>
        <v>0.9</v>
      </c>
      <c r="AO59" s="281">
        <f t="shared" si="57"/>
        <v>16.2</v>
      </c>
      <c r="AP59" s="281">
        <f>IFERROR(VLOOKUP($A59,'F TrB'!$C$3:$O$21,3,FALSE),-9999)</f>
        <v>-9999</v>
      </c>
      <c r="AQ59" s="281">
        <f t="shared" si="51"/>
        <v>-999</v>
      </c>
      <c r="AR59" s="281">
        <f>IFERROR(IF(VLOOKUP($A59,'F TrB'!$Q$3:$R$21,2,FALSE)=0,-99999,VLOOKUP($A59,'F TrB'!$Q$3:$R$21,2,FALSE)),-99999)</f>
        <v>-99999</v>
      </c>
      <c r="AS59" s="281">
        <f t="shared" si="52"/>
        <v>-99999</v>
      </c>
      <c r="AT59" s="281" t="str">
        <f>IFERROR(VLOOKUP($A59,'NDVI tipo'!$Q$8:$S$30,2,FALSE),"")</f>
        <v/>
      </c>
      <c r="AU59" s="281">
        <f>IF(ISERROR(VLOOKUP($A59,'NDVI tipo'!$Q$8:$S$50,2,FALSE)),AU58+VLOOKUP($A59,'NDVI tipo'!$Q$8:$S$50,3,TRUE),VLOOKUP($A59,'NDVI tipo'!$Q$8:$S$50,2,FALSE))</f>
        <v>0.23133441818181832</v>
      </c>
      <c r="AV59" s="281">
        <f>IFERROR(VLOOKUP($A59,'NDVI real'!$Q$8:$S$44,2,FALSE),-999)</f>
        <v>-999</v>
      </c>
      <c r="AW59" s="281">
        <f>IF(ISERROR(VLOOKUP($A59,'NDVI real'!$T$8:$U$350,2,FALSE)),"",VLOOKUP($A59,'NDVI real'!$T$8:$U$350,2,FALSE))</f>
        <v>0.26080246833333348</v>
      </c>
      <c r="AX59" s="281">
        <f>IFERROR(VLOOKUP($A59,SWB!$C$15:$BE$244,53,FALSE),"")</f>
        <v>0</v>
      </c>
      <c r="AY59" s="281">
        <f>IFERROR(VLOOKUP($A59,SWB!$C$15:$BE$244,55,FALSE),"")</f>
        <v>0</v>
      </c>
      <c r="AZ59" s="281">
        <f>IF(ISERROR(VLOOKUP($A59,Clima!$V$8:$AI$320,14,FALSE)),-999,VLOOKUP(A59,Clima!$V$8:$AI$219,14,FALSE))</f>
        <v>1.8</v>
      </c>
      <c r="BA59" s="281">
        <f t="shared" si="58"/>
        <v>22.3</v>
      </c>
      <c r="BB59" s="281">
        <f t="shared" si="59"/>
        <v>1.8</v>
      </c>
      <c r="BC59" s="281">
        <f t="shared" si="60"/>
        <v>22.3</v>
      </c>
      <c r="BD59" s="284">
        <f t="shared" si="45"/>
        <v>42030</v>
      </c>
    </row>
    <row r="60" spans="1:56" s="275" customFormat="1" ht="12.75">
      <c r="A60" s="273">
        <f t="shared" si="53"/>
        <v>42031</v>
      </c>
      <c r="B60" s="274">
        <f t="shared" si="30"/>
        <v>27</v>
      </c>
      <c r="C60" s="275" t="str">
        <f t="shared" si="31"/>
        <v>Inicial</v>
      </c>
      <c r="D60" s="276">
        <f t="shared" si="32"/>
        <v>2.1</v>
      </c>
      <c r="E60" s="276">
        <f t="shared" si="33"/>
        <v>0.27539999886666688</v>
      </c>
      <c r="F60" s="276"/>
      <c r="G60" s="276">
        <f t="shared" si="34"/>
        <v>1.1029880000000001</v>
      </c>
      <c r="H60" s="276">
        <f t="shared" si="35"/>
        <v>1.252988</v>
      </c>
      <c r="I60" s="276">
        <f t="shared" si="36"/>
        <v>2.7816339999999999</v>
      </c>
      <c r="J60" s="276">
        <f>IFERROR(IF($G$1="Sí",VLOOKUP($A60,CSVAgro,13,FALSE),VLOOKUP($A60,SWB!$C$15:$P$202,14,FALSE)),0)</f>
        <v>0</v>
      </c>
      <c r="K60" s="487">
        <f t="shared" si="37"/>
        <v>0</v>
      </c>
      <c r="L60" s="487">
        <f t="shared" si="38"/>
        <v>0</v>
      </c>
      <c r="M60" s="487">
        <f t="shared" si="39"/>
        <v>0</v>
      </c>
      <c r="N60" s="277">
        <f>IF(ISERROR($G$1="Sí"),VLOOKUP($A60,CSVAgro,16,FALSE),IF(ISERROR(VLOOKUP($A60,Clima!$W$8:$Z$284,2,FALSE)),VLOOKUP($A60,Clima!$E$8:$H$372,2,FALSE),VLOOKUP($A60,Clima!$W$8:$Z$284,2,FALSE)))</f>
        <v>5.0999999999999996</v>
      </c>
      <c r="O60" s="276">
        <f t="shared" si="40"/>
        <v>8.4334903787696209</v>
      </c>
      <c r="P60" s="276">
        <f t="shared" si="54"/>
        <v>7.3</v>
      </c>
      <c r="Q60" s="487">
        <f t="shared" si="41"/>
        <v>0</v>
      </c>
      <c r="R60" s="278">
        <f t="shared" si="55"/>
        <v>5.0999999999999996</v>
      </c>
      <c r="S60" s="278">
        <f t="shared" si="46"/>
        <v>5.0999999999999996</v>
      </c>
      <c r="T60" s="279">
        <f t="shared" si="47"/>
        <v>27</v>
      </c>
      <c r="U60" s="279">
        <f t="shared" si="18"/>
        <v>5</v>
      </c>
      <c r="V60" s="276">
        <f t="shared" si="48"/>
        <v>0</v>
      </c>
      <c r="W60" s="276">
        <f>IF(AND(S60&gt;VLOOKUP(Inputs!$I$2,Extracciones,3),S60&lt;VLOOKUP(Inputs!$I$2,Extracciones,5)),(S60-VLOOKUP(Inputs!$I$2,Extracciones,3))*Inputs!$E$12,0)</f>
        <v>0</v>
      </c>
      <c r="X60" s="278">
        <f>IF(AD60=0,VLOOKUP(R60,Mineral,2)*R60*Inputs!$C$16*Inputs!$E$37,VLOOKUP(R60,Mineral,2)*R60*Inputs!$C$16)</f>
        <v>0</v>
      </c>
      <c r="Y60" s="278">
        <f>SUM(K60,M60)*Inputs!$O$8*14/(100*62)</f>
        <v>0</v>
      </c>
      <c r="Z60" s="278">
        <f t="shared" si="61"/>
        <v>0</v>
      </c>
      <c r="AA60" s="278">
        <f t="shared" si="56"/>
        <v>0</v>
      </c>
      <c r="AB60" s="279">
        <f t="shared" si="42"/>
        <v>0</v>
      </c>
      <c r="AC60" s="278">
        <f t="shared" si="22"/>
        <v>0</v>
      </c>
      <c r="AD60" s="279">
        <f t="shared" si="49"/>
        <v>-0.92967567567567544</v>
      </c>
      <c r="AE60" s="278">
        <f t="shared" si="50"/>
        <v>-2.7890270270270263</v>
      </c>
      <c r="AF60" s="278">
        <f t="shared" si="25"/>
        <v>78.37097297297295</v>
      </c>
      <c r="AG60" s="279">
        <f t="shared" si="43"/>
        <v>25</v>
      </c>
      <c r="AH60" s="279">
        <f>AF60*1000000/(Inputs!$C$9*100*Inputs!$C$8*1000*(1-Inputs!$C$10)*(1+Inputs!$C$12))</f>
        <v>15.680466781307112</v>
      </c>
      <c r="AI60" s="279">
        <f>IFERROR(HLOOKUP(A60,Inputs!$C$14:$C$15,2,FALSE),-100)</f>
        <v>-100</v>
      </c>
      <c r="AJ60" s="281">
        <f t="shared" si="44"/>
        <v>0</v>
      </c>
      <c r="AK60" s="282">
        <f t="shared" si="27"/>
        <v>0</v>
      </c>
      <c r="AL60" s="282">
        <f t="shared" si="28"/>
        <v>0</v>
      </c>
      <c r="AM60" s="282">
        <f t="shared" si="29"/>
        <v>0</v>
      </c>
      <c r="AN60" s="283">
        <f>IFERROR(IF($G$1="Sí",VLOOKUP($A60,CSVAgro,9,FALSE),VLOOKUP($A60,Clima!$E$8:$Q$373,13,FALSE)),0)</f>
        <v>0.9</v>
      </c>
      <c r="AO60" s="281">
        <f t="shared" si="57"/>
        <v>17.099999999999998</v>
      </c>
      <c r="AP60" s="281">
        <f>IFERROR(VLOOKUP($A60,'F TrB'!$C$3:$O$21,3,FALSE),-9999)</f>
        <v>-9999</v>
      </c>
      <c r="AQ60" s="281">
        <f t="shared" si="51"/>
        <v>-999</v>
      </c>
      <c r="AR60" s="281">
        <f>IFERROR(IF(VLOOKUP($A60,'F TrB'!$Q$3:$R$21,2,FALSE)=0,-99999,VLOOKUP($A60,'F TrB'!$Q$3:$R$21,2,FALSE)),-99999)</f>
        <v>-99999</v>
      </c>
      <c r="AS60" s="281">
        <f t="shared" si="52"/>
        <v>-99999</v>
      </c>
      <c r="AT60" s="281" t="str">
        <f>IFERROR(VLOOKUP($A60,'NDVI tipo'!$Q$8:$S$30,2,FALSE),"")</f>
        <v/>
      </c>
      <c r="AU60" s="281">
        <f>IF(ISERROR(VLOOKUP($A60,'NDVI tipo'!$Q$8:$S$50,2,FALSE)),AU59+VLOOKUP($A60,'NDVI tipo'!$Q$8:$S$50,3,TRUE),VLOOKUP($A60,'NDVI tipo'!$Q$8:$S$50,2,FALSE))</f>
        <v>0.23284903636363652</v>
      </c>
      <c r="AV60" s="281">
        <f>IFERROR(VLOOKUP($A60,'NDVI real'!$Q$8:$S$44,2,FALSE),-999)</f>
        <v>-999</v>
      </c>
      <c r="AW60" s="281">
        <f>IF(ISERROR(VLOOKUP($A60,'NDVI real'!$T$8:$U$350,2,FALSE)),"",VLOOKUP($A60,'NDVI real'!$T$8:$U$350,2,FALSE))</f>
        <v>0.26069444365740757</v>
      </c>
      <c r="AX60" s="286">
        <f>IFERROR(VLOOKUP($A60,SWB!$C$15:$BE$244,53,FALSE),"")</f>
        <v>0</v>
      </c>
      <c r="AY60" s="286">
        <f>IFERROR(VLOOKUP($A60,SWB!$C$15:$BE$244,55,FALSE),"")</f>
        <v>0</v>
      </c>
      <c r="AZ60" s="281">
        <f>IF(ISERROR(VLOOKUP($A60,Clima!$V$8:$AI$320,14,FALSE)),-999,VLOOKUP(A60,Clima!$V$8:$AI$219,14,FALSE))</f>
        <v>2.1</v>
      </c>
      <c r="BA60" s="281">
        <f t="shared" si="58"/>
        <v>24.400000000000002</v>
      </c>
      <c r="BB60" s="281">
        <f t="shared" si="59"/>
        <v>2.1</v>
      </c>
      <c r="BC60" s="281">
        <f t="shared" si="60"/>
        <v>24.400000000000002</v>
      </c>
      <c r="BD60" s="284">
        <f t="shared" si="45"/>
        <v>42031</v>
      </c>
    </row>
    <row r="61" spans="1:56" s="275" customFormat="1" ht="12.75">
      <c r="A61" s="273">
        <f t="shared" si="53"/>
        <v>42032</v>
      </c>
      <c r="B61" s="274">
        <f t="shared" si="30"/>
        <v>28</v>
      </c>
      <c r="C61" s="275" t="str">
        <f t="shared" si="31"/>
        <v>Inicial</v>
      </c>
      <c r="D61" s="276">
        <f t="shared" si="32"/>
        <v>2.2999999999999998</v>
      </c>
      <c r="E61" s="276">
        <f t="shared" si="33"/>
        <v>0.27524444333333353</v>
      </c>
      <c r="F61" s="276"/>
      <c r="G61" s="276">
        <f t="shared" si="34"/>
        <v>1.1361079999999999</v>
      </c>
      <c r="H61" s="276">
        <f t="shared" si="35"/>
        <v>1.286108</v>
      </c>
      <c r="I61" s="276">
        <f t="shared" si="36"/>
        <v>4.064101</v>
      </c>
      <c r="J61" s="276">
        <f>IFERROR(IF($G$1="Sí",VLOOKUP($A61,CSVAgro,13,FALSE),VLOOKUP($A61,SWB!$C$15:$P$202,14,FALSE)),0)</f>
        <v>0</v>
      </c>
      <c r="K61" s="487">
        <f t="shared" si="37"/>
        <v>0</v>
      </c>
      <c r="L61" s="487">
        <f t="shared" si="38"/>
        <v>0</v>
      </c>
      <c r="M61" s="487">
        <f t="shared" si="39"/>
        <v>0</v>
      </c>
      <c r="N61" s="277">
        <f>IF(ISERROR($G$1="Sí"),VLOOKUP($A61,CSVAgro,16,FALSE),IF(ISERROR(VLOOKUP($A61,Clima!$W$8:$Z$284,2,FALSE)),VLOOKUP($A61,Clima!$E$8:$H$372,2,FALSE),VLOOKUP($A61,Clima!$W$8:$Z$284,2,FALSE)))</f>
        <v>5</v>
      </c>
      <c r="O61" s="276">
        <f t="shared" si="40"/>
        <v>8.7905678703963854</v>
      </c>
      <c r="P61" s="276">
        <f t="shared" si="54"/>
        <v>7.3</v>
      </c>
      <c r="Q61" s="487">
        <f t="shared" si="41"/>
        <v>0</v>
      </c>
      <c r="R61" s="278">
        <f t="shared" si="55"/>
        <v>5</v>
      </c>
      <c r="S61" s="278">
        <f t="shared" si="46"/>
        <v>5</v>
      </c>
      <c r="T61" s="279">
        <f t="shared" si="47"/>
        <v>28</v>
      </c>
      <c r="U61" s="279">
        <f t="shared" si="18"/>
        <v>5</v>
      </c>
      <c r="V61" s="276">
        <f t="shared" si="48"/>
        <v>0</v>
      </c>
      <c r="W61" s="276">
        <f>IF(AND(S61&gt;VLOOKUP(Inputs!$I$2,Extracciones,3),S61&lt;VLOOKUP(Inputs!$I$2,Extracciones,5)),(S61-VLOOKUP(Inputs!$I$2,Extracciones,3))*Inputs!$E$12,0)</f>
        <v>0</v>
      </c>
      <c r="X61" s="278">
        <f>IF(AD61=0,VLOOKUP(R61,Mineral,2)*R61*Inputs!$C$16*Inputs!$E$37,VLOOKUP(R61,Mineral,2)*R61*Inputs!$C$16)</f>
        <v>0</v>
      </c>
      <c r="Y61" s="278">
        <f>SUM(K61,M61)*Inputs!$O$8*14/(100*62)</f>
        <v>0</v>
      </c>
      <c r="Z61" s="278">
        <f t="shared" si="61"/>
        <v>0</v>
      </c>
      <c r="AA61" s="278">
        <f t="shared" si="56"/>
        <v>0</v>
      </c>
      <c r="AB61" s="279">
        <f t="shared" si="42"/>
        <v>0</v>
      </c>
      <c r="AC61" s="278">
        <f t="shared" si="22"/>
        <v>0</v>
      </c>
      <c r="AD61" s="279">
        <f t="shared" si="49"/>
        <v>-0.92967567567567544</v>
      </c>
      <c r="AE61" s="278">
        <f t="shared" si="50"/>
        <v>-3.7187027027027018</v>
      </c>
      <c r="AF61" s="278">
        <f t="shared" si="25"/>
        <v>77.441297297297268</v>
      </c>
      <c r="AG61" s="279">
        <f t="shared" si="43"/>
        <v>25</v>
      </c>
      <c r="AH61" s="279">
        <f>AF61*1000000/(Inputs!$C$9*100*Inputs!$C$8*1000*(1-Inputs!$C$10)*(1+Inputs!$C$12))</f>
        <v>15.494457242356397</v>
      </c>
      <c r="AI61" s="279">
        <f>IFERROR(HLOOKUP(A61,Inputs!$C$14:$C$15,2,FALSE),-100)</f>
        <v>-100</v>
      </c>
      <c r="AJ61" s="281">
        <f t="shared" si="44"/>
        <v>0</v>
      </c>
      <c r="AK61" s="282">
        <f t="shared" si="27"/>
        <v>0</v>
      </c>
      <c r="AL61" s="282">
        <f t="shared" si="28"/>
        <v>0</v>
      </c>
      <c r="AM61" s="282">
        <f t="shared" si="29"/>
        <v>0</v>
      </c>
      <c r="AN61" s="283">
        <f>IFERROR(IF($G$1="Sí",VLOOKUP($A61,CSVAgro,9,FALSE),VLOOKUP($A61,Clima!$E$8:$Q$373,13,FALSE)),0)</f>
        <v>1</v>
      </c>
      <c r="AO61" s="281">
        <f t="shared" si="57"/>
        <v>18.099999999999998</v>
      </c>
      <c r="AP61" s="281">
        <f>IFERROR(VLOOKUP($A61,'F TrB'!$C$3:$O$21,3,FALSE),-9999)</f>
        <v>-9999</v>
      </c>
      <c r="AQ61" s="281">
        <f t="shared" si="51"/>
        <v>-999</v>
      </c>
      <c r="AR61" s="281">
        <f>IFERROR(IF(VLOOKUP($A61,'F TrB'!$Q$3:$R$21,2,FALSE)=0,-99999,VLOOKUP($A61,'F TrB'!$Q$3:$R$21,2,FALSE)),-99999)</f>
        <v>-99999</v>
      </c>
      <c r="AS61" s="281">
        <f t="shared" si="52"/>
        <v>-99999</v>
      </c>
      <c r="AT61" s="281" t="str">
        <f>IFERROR(VLOOKUP($A61,'NDVI tipo'!$Q$8:$S$30,2,FALSE),"")</f>
        <v/>
      </c>
      <c r="AU61" s="281">
        <f>IF(ISERROR(VLOOKUP($A61,'NDVI tipo'!$Q$8:$S$50,2,FALSE)),AU60+VLOOKUP($A61,'NDVI tipo'!$Q$8:$S$50,3,TRUE),VLOOKUP($A61,'NDVI tipo'!$Q$8:$S$50,2,FALSE))</f>
        <v>0.23436365454545471</v>
      </c>
      <c r="AV61" s="281">
        <f>IFERROR(VLOOKUP($A61,'NDVI real'!$Q$8:$S$44,2,FALSE),-999)</f>
        <v>-999</v>
      </c>
      <c r="AW61" s="281">
        <f>IF(ISERROR(VLOOKUP($A61,'NDVI real'!$T$8:$U$350,2,FALSE)),"",VLOOKUP($A61,'NDVI real'!$T$8:$U$350,2,FALSE))</f>
        <v>0.26058641898148166</v>
      </c>
      <c r="AX61" s="286">
        <f>IFERROR(VLOOKUP($A61,SWB!$C$15:$BE$244,53,FALSE),"")</f>
        <v>0</v>
      </c>
      <c r="AY61" s="286">
        <f>IFERROR(VLOOKUP($A61,SWB!$C$15:$BE$244,55,FALSE),"")</f>
        <v>0</v>
      </c>
      <c r="AZ61" s="281">
        <f>IF(ISERROR(VLOOKUP($A61,Clima!$V$8:$AI$320,14,FALSE)),-999,VLOOKUP(A61,Clima!$V$8:$AI$219,14,FALSE))</f>
        <v>2.2999999999999998</v>
      </c>
      <c r="BA61" s="281">
        <f t="shared" si="58"/>
        <v>26.700000000000003</v>
      </c>
      <c r="BB61" s="281">
        <f t="shared" si="59"/>
        <v>2.2999999999999998</v>
      </c>
      <c r="BC61" s="281">
        <f t="shared" si="60"/>
        <v>26.700000000000003</v>
      </c>
      <c r="BD61" s="284">
        <f t="shared" si="45"/>
        <v>42032</v>
      </c>
    </row>
    <row r="62" spans="1:56" s="275" customFormat="1" ht="12.75">
      <c r="A62" s="273">
        <f t="shared" si="53"/>
        <v>42033</v>
      </c>
      <c r="B62" s="274">
        <f t="shared" si="30"/>
        <v>29</v>
      </c>
      <c r="C62" s="275" t="str">
        <f t="shared" si="31"/>
        <v>Inicial</v>
      </c>
      <c r="D62" s="276">
        <f t="shared" si="32"/>
        <v>2.2999999999999998</v>
      </c>
      <c r="E62" s="276">
        <f t="shared" si="33"/>
        <v>0.27508888780000029</v>
      </c>
      <c r="F62" s="276"/>
      <c r="G62" s="276">
        <f t="shared" si="34"/>
        <v>0.86833000000000005</v>
      </c>
      <c r="H62" s="276">
        <f t="shared" si="35"/>
        <v>1.01833</v>
      </c>
      <c r="I62" s="276">
        <f t="shared" si="36"/>
        <v>1.8024450000000001</v>
      </c>
      <c r="J62" s="276">
        <f>IFERROR(IF($G$1="Sí",VLOOKUP($A62,CSVAgro,13,FALSE),VLOOKUP($A62,SWB!$C$15:$P$202,14,FALSE)),0)</f>
        <v>0</v>
      </c>
      <c r="K62" s="487">
        <f t="shared" si="37"/>
        <v>0</v>
      </c>
      <c r="L62" s="487">
        <f t="shared" si="38"/>
        <v>0</v>
      </c>
      <c r="M62" s="487">
        <f t="shared" si="39"/>
        <v>0</v>
      </c>
      <c r="N62" s="277">
        <f>IF(ISERROR($G$1="Sí"),VLOOKUP($A62,CSVAgro,16,FALSE),IF(ISERROR(VLOOKUP($A62,Clima!$W$8:$Z$284,2,FALSE)),VLOOKUP($A62,Clima!$E$8:$H$372,2,FALSE),VLOOKUP($A62,Clima!$W$8:$Z$284,2,FALSE)))</f>
        <v>6.3</v>
      </c>
      <c r="O62" s="276">
        <f t="shared" si="40"/>
        <v>9.0385313435053103</v>
      </c>
      <c r="P62" s="276">
        <f t="shared" si="54"/>
        <v>7.3</v>
      </c>
      <c r="Q62" s="487">
        <f t="shared" si="41"/>
        <v>0</v>
      </c>
      <c r="R62" s="278">
        <f t="shared" si="55"/>
        <v>6.3</v>
      </c>
      <c r="S62" s="278">
        <f t="shared" si="46"/>
        <v>6.3</v>
      </c>
      <c r="T62" s="279">
        <f t="shared" si="47"/>
        <v>29</v>
      </c>
      <c r="U62" s="279">
        <f t="shared" si="18"/>
        <v>5</v>
      </c>
      <c r="V62" s="276">
        <f t="shared" si="48"/>
        <v>0</v>
      </c>
      <c r="W62" s="276">
        <f>IF(AND(S62&gt;VLOOKUP(Inputs!$I$2,Extracciones,3),S62&lt;VLOOKUP(Inputs!$I$2,Extracciones,5)),(S62-VLOOKUP(Inputs!$I$2,Extracciones,3))*Inputs!$E$12,0)</f>
        <v>0</v>
      </c>
      <c r="X62" s="278">
        <f>IF(AD62=0,VLOOKUP(R62,Mineral,2)*R62*Inputs!$C$16*Inputs!$E$37,VLOOKUP(R62,Mineral,2)*R62*Inputs!$C$16)</f>
        <v>0</v>
      </c>
      <c r="Y62" s="278">
        <f>SUM(K62,M62)*Inputs!$O$8*14/(100*62)</f>
        <v>0</v>
      </c>
      <c r="Z62" s="278">
        <f t="shared" si="61"/>
        <v>0</v>
      </c>
      <c r="AA62" s="278">
        <f t="shared" si="56"/>
        <v>0</v>
      </c>
      <c r="AB62" s="279">
        <f t="shared" si="42"/>
        <v>0</v>
      </c>
      <c r="AC62" s="278">
        <f t="shared" si="22"/>
        <v>0</v>
      </c>
      <c r="AD62" s="279">
        <f t="shared" si="49"/>
        <v>-0.92967567567567544</v>
      </c>
      <c r="AE62" s="278">
        <f t="shared" si="50"/>
        <v>-4.6483783783783768</v>
      </c>
      <c r="AF62" s="278">
        <f t="shared" si="25"/>
        <v>76.511621621621586</v>
      </c>
      <c r="AG62" s="279">
        <f t="shared" si="43"/>
        <v>25</v>
      </c>
      <c r="AH62" s="279">
        <f>AF62*1000000/(Inputs!$C$9*100*Inputs!$C$8*1000*(1-Inputs!$C$10)*(1+Inputs!$C$12))</f>
        <v>15.308447703405678</v>
      </c>
      <c r="AI62" s="279">
        <f>IFERROR(HLOOKUP(A62,Inputs!$C$14:$C$15,2,FALSE),-100)</f>
        <v>-100</v>
      </c>
      <c r="AJ62" s="281">
        <f t="shared" si="44"/>
        <v>0</v>
      </c>
      <c r="AK62" s="282">
        <f t="shared" si="27"/>
        <v>0</v>
      </c>
      <c r="AL62" s="282">
        <f t="shared" si="28"/>
        <v>0</v>
      </c>
      <c r="AM62" s="282">
        <f t="shared" si="29"/>
        <v>0</v>
      </c>
      <c r="AN62" s="283">
        <f>IFERROR(IF($G$1="Sí",VLOOKUP($A62,CSVAgro,9,FALSE),VLOOKUP($A62,Clima!$E$8:$Q$373,13,FALSE)),0)</f>
        <v>0.7</v>
      </c>
      <c r="AO62" s="281">
        <f t="shared" si="57"/>
        <v>18.799999999999997</v>
      </c>
      <c r="AP62" s="281">
        <f>IFERROR(VLOOKUP($A62,'F TrB'!$C$3:$O$21,3,FALSE),-9999)</f>
        <v>-9999</v>
      </c>
      <c r="AQ62" s="281">
        <f t="shared" si="51"/>
        <v>-999</v>
      </c>
      <c r="AR62" s="281">
        <f>IFERROR(IF(VLOOKUP($A62,'F TrB'!$Q$3:$R$21,2,FALSE)=0,-99999,VLOOKUP($A62,'F TrB'!$Q$3:$R$21,2,FALSE)),-99999)</f>
        <v>-99999</v>
      </c>
      <c r="AS62" s="281">
        <f t="shared" si="52"/>
        <v>-99999</v>
      </c>
      <c r="AT62" s="281" t="str">
        <f>IFERROR(VLOOKUP($A62,'NDVI tipo'!$Q$8:$S$30,2,FALSE),"")</f>
        <v/>
      </c>
      <c r="AU62" s="281">
        <f>IF(ISERROR(VLOOKUP($A62,'NDVI tipo'!$Q$8:$S$50,2,FALSE)),AU61+VLOOKUP($A62,'NDVI tipo'!$Q$8:$S$50,3,TRUE),VLOOKUP($A62,'NDVI tipo'!$Q$8:$S$50,2,FALSE))</f>
        <v>0.23587827272727291</v>
      </c>
      <c r="AV62" s="281">
        <f>IFERROR(VLOOKUP($A62,'NDVI real'!$Q$8:$S$44,2,FALSE),-999)</f>
        <v>-999</v>
      </c>
      <c r="AW62" s="281">
        <f>IF(ISERROR(VLOOKUP($A62,'NDVI real'!$T$8:$U$350,2,FALSE)),"",VLOOKUP($A62,'NDVI real'!$T$8:$U$350,2,FALSE))</f>
        <v>0.26047839430555575</v>
      </c>
      <c r="AX62" s="286">
        <f>IFERROR(VLOOKUP($A62,SWB!$C$15:$BE$244,53,FALSE),"")</f>
        <v>0</v>
      </c>
      <c r="AY62" s="286">
        <f>IFERROR(VLOOKUP($A62,SWB!$C$15:$BE$244,55,FALSE),"")</f>
        <v>0</v>
      </c>
      <c r="AZ62" s="281">
        <f>IF(ISERROR(VLOOKUP($A62,Clima!$V$8:$AI$320,14,FALSE)),-999,VLOOKUP(A62,Clima!$V$8:$AI$219,14,FALSE))</f>
        <v>2.2999999999999998</v>
      </c>
      <c r="BA62" s="281">
        <f t="shared" si="58"/>
        <v>29.000000000000004</v>
      </c>
      <c r="BB62" s="281">
        <f t="shared" si="59"/>
        <v>2.2999999999999998</v>
      </c>
      <c r="BC62" s="281">
        <f t="shared" si="60"/>
        <v>29.000000000000004</v>
      </c>
      <c r="BD62" s="284">
        <f t="shared" si="45"/>
        <v>42033</v>
      </c>
    </row>
    <row r="63" spans="1:56" s="275" customFormat="1" ht="12.75">
      <c r="A63" s="273">
        <f t="shared" si="53"/>
        <v>42034</v>
      </c>
      <c r="B63" s="274">
        <f t="shared" si="30"/>
        <v>30</v>
      </c>
      <c r="C63" s="275" t="str">
        <f t="shared" si="31"/>
        <v>Inicial</v>
      </c>
      <c r="D63" s="276">
        <f t="shared" si="32"/>
        <v>2.5</v>
      </c>
      <c r="E63" s="276">
        <f t="shared" si="33"/>
        <v>0.27493333226666694</v>
      </c>
      <c r="F63" s="276"/>
      <c r="G63" s="276">
        <f t="shared" si="34"/>
        <v>0.75979200000000002</v>
      </c>
      <c r="H63" s="276">
        <f t="shared" si="35"/>
        <v>0.90979200000000005</v>
      </c>
      <c r="I63" s="276">
        <f t="shared" si="36"/>
        <v>1.8741730000000001</v>
      </c>
      <c r="J63" s="276">
        <f>IFERROR(IF($G$1="Sí",VLOOKUP($A63,CSVAgro,13,FALSE),VLOOKUP($A63,SWB!$C$15:$P$202,14,FALSE)),0)</f>
        <v>0.2</v>
      </c>
      <c r="K63" s="487">
        <f t="shared" si="37"/>
        <v>0</v>
      </c>
      <c r="L63" s="487">
        <f t="shared" si="38"/>
        <v>0</v>
      </c>
      <c r="M63" s="487">
        <f t="shared" si="39"/>
        <v>0</v>
      </c>
      <c r="N63" s="277">
        <f>IF(ISERROR($G$1="Sí"),VLOOKUP($A63,CSVAgro,16,FALSE),IF(ISERROR(VLOOKUP($A63,Clima!$W$8:$Z$284,2,FALSE)),VLOOKUP($A63,Clima!$E$8:$H$372,2,FALSE),VLOOKUP($A63,Clima!$W$8:$Z$284,2,FALSE)))</f>
        <v>11.9</v>
      </c>
      <c r="O63" s="276">
        <f t="shared" si="40"/>
        <v>9.3964027039743971</v>
      </c>
      <c r="P63" s="276">
        <f t="shared" si="54"/>
        <v>7.5</v>
      </c>
      <c r="Q63" s="487">
        <f t="shared" si="41"/>
        <v>0</v>
      </c>
      <c r="R63" s="278">
        <f t="shared" si="55"/>
        <v>11.9</v>
      </c>
      <c r="S63" s="278">
        <f t="shared" si="46"/>
        <v>11.9</v>
      </c>
      <c r="T63" s="279">
        <f t="shared" si="47"/>
        <v>30</v>
      </c>
      <c r="U63" s="279">
        <f t="shared" si="18"/>
        <v>5</v>
      </c>
      <c r="V63" s="276">
        <f t="shared" si="48"/>
        <v>0</v>
      </c>
      <c r="W63" s="276">
        <f>IF(AND(S63&gt;VLOOKUP(Inputs!$I$2,Extracciones,3),S63&lt;VLOOKUP(Inputs!$I$2,Extracciones,5)),(S63-VLOOKUP(Inputs!$I$2,Extracciones,3))*Inputs!$E$12,0)</f>
        <v>0</v>
      </c>
      <c r="X63" s="278">
        <f>IF(AD63=0,VLOOKUP(R63,Mineral,2)*R63*Inputs!$C$16*Inputs!$E$37,VLOOKUP(R63,Mineral,2)*R63*Inputs!$C$16)</f>
        <v>0</v>
      </c>
      <c r="Y63" s="278">
        <f>SUM(K63,M63)*Inputs!$O$8*14/(100*62)</f>
        <v>0</v>
      </c>
      <c r="Z63" s="278">
        <f t="shared" si="61"/>
        <v>0</v>
      </c>
      <c r="AA63" s="278">
        <f t="shared" si="56"/>
        <v>0</v>
      </c>
      <c r="AB63" s="279">
        <f t="shared" si="42"/>
        <v>0</v>
      </c>
      <c r="AC63" s="278">
        <f t="shared" si="22"/>
        <v>0</v>
      </c>
      <c r="AD63" s="279">
        <f t="shared" si="49"/>
        <v>-0.92967567567567544</v>
      </c>
      <c r="AE63" s="278">
        <f t="shared" si="50"/>
        <v>-5.5780540540540517</v>
      </c>
      <c r="AF63" s="278">
        <f t="shared" si="25"/>
        <v>75.581945945945904</v>
      </c>
      <c r="AG63" s="279">
        <f t="shared" si="43"/>
        <v>25</v>
      </c>
      <c r="AH63" s="279">
        <f>AF63*1000000/(Inputs!$C$9*100*Inputs!$C$8*1000*(1-Inputs!$C$10)*(1+Inputs!$C$12))</f>
        <v>15.122438164454962</v>
      </c>
      <c r="AI63" s="279">
        <f>IFERROR(HLOOKUP(A63,Inputs!$C$14:$C$15,2,FALSE),-100)</f>
        <v>-100</v>
      </c>
      <c r="AJ63" s="281">
        <f t="shared" si="44"/>
        <v>0</v>
      </c>
      <c r="AK63" s="282">
        <f t="shared" si="27"/>
        <v>0</v>
      </c>
      <c r="AL63" s="282">
        <f t="shared" si="28"/>
        <v>0</v>
      </c>
      <c r="AM63" s="282">
        <f t="shared" si="29"/>
        <v>0</v>
      </c>
      <c r="AN63" s="283">
        <f>IFERROR(IF($G$1="Sí",VLOOKUP($A63,CSVAgro,9,FALSE),VLOOKUP($A63,Clima!$E$8:$Q$373,13,FALSE)),0)</f>
        <v>1</v>
      </c>
      <c r="AO63" s="281">
        <f t="shared" si="57"/>
        <v>19.799999999999997</v>
      </c>
      <c r="AP63" s="281">
        <f>IFERROR(VLOOKUP($A63,'F TrB'!$C$3:$O$21,3,FALSE),-9999)</f>
        <v>-9999</v>
      </c>
      <c r="AQ63" s="281">
        <f t="shared" si="51"/>
        <v>-999</v>
      </c>
      <c r="AR63" s="281">
        <f>IFERROR(IF(VLOOKUP($A63,'F TrB'!$Q$3:$R$21,2,FALSE)=0,-99999,VLOOKUP($A63,'F TrB'!$Q$3:$R$21,2,FALSE)),-99999)</f>
        <v>-99999</v>
      </c>
      <c r="AS63" s="281">
        <f t="shared" si="52"/>
        <v>-99999</v>
      </c>
      <c r="AT63" s="281" t="str">
        <f>IFERROR(VLOOKUP($A63,'NDVI tipo'!$Q$8:$S$30,2,FALSE),"")</f>
        <v/>
      </c>
      <c r="AU63" s="281">
        <f>IF(ISERROR(VLOOKUP($A63,'NDVI tipo'!$Q$8:$S$50,2,FALSE)),AU62+VLOOKUP($A63,'NDVI tipo'!$Q$8:$S$50,3,TRUE),VLOOKUP($A63,'NDVI tipo'!$Q$8:$S$50,2,FALSE))</f>
        <v>0.2373928909090911</v>
      </c>
      <c r="AV63" s="281">
        <f>IFERROR(VLOOKUP($A63,'NDVI real'!$Q$8:$S$44,2,FALSE),-999)</f>
        <v>-999</v>
      </c>
      <c r="AW63" s="281">
        <f>IF(ISERROR(VLOOKUP($A63,'NDVI real'!$T$8:$U$350,2,FALSE)),"",VLOOKUP($A63,'NDVI real'!$T$8:$U$350,2,FALSE))</f>
        <v>0.26037036962962984</v>
      </c>
      <c r="AX63" s="286">
        <f>IFERROR(VLOOKUP($A63,SWB!$C$15:$BE$244,53,FALSE),"")</f>
        <v>0</v>
      </c>
      <c r="AY63" s="286">
        <f>IFERROR(VLOOKUP($A63,SWB!$C$15:$BE$244,55,FALSE),"")</f>
        <v>0</v>
      </c>
      <c r="AZ63" s="281">
        <f>IF(ISERROR(VLOOKUP($A63,Clima!$V$8:$AI$320,14,FALSE)),-999,VLOOKUP(A63,Clima!$V$8:$AI$219,14,FALSE))</f>
        <v>2.5</v>
      </c>
      <c r="BA63" s="281">
        <f t="shared" si="58"/>
        <v>31.500000000000004</v>
      </c>
      <c r="BB63" s="281">
        <f t="shared" si="59"/>
        <v>2.5</v>
      </c>
      <c r="BC63" s="281">
        <f t="shared" si="60"/>
        <v>31.500000000000004</v>
      </c>
      <c r="BD63" s="284">
        <f t="shared" si="45"/>
        <v>42034</v>
      </c>
    </row>
    <row r="64" spans="1:56" s="275" customFormat="1" ht="12.75">
      <c r="A64" s="273">
        <f t="shared" si="53"/>
        <v>42035</v>
      </c>
      <c r="B64" s="274">
        <f t="shared" si="30"/>
        <v>31</v>
      </c>
      <c r="C64" s="275" t="str">
        <f t="shared" si="31"/>
        <v>Inicial</v>
      </c>
      <c r="D64" s="276">
        <f t="shared" si="32"/>
        <v>2.2000000000000002</v>
      </c>
      <c r="E64" s="276">
        <f t="shared" si="33"/>
        <v>0.27477777673333359</v>
      </c>
      <c r="F64" s="276"/>
      <c r="G64" s="276">
        <f t="shared" si="34"/>
        <v>0.644007</v>
      </c>
      <c r="H64" s="276">
        <f t="shared" si="35"/>
        <v>0.79400700000000002</v>
      </c>
      <c r="I64" s="276">
        <f t="shared" si="36"/>
        <v>1.8262149999999999</v>
      </c>
      <c r="J64" s="276">
        <f>IFERROR(IF($G$1="Sí",VLOOKUP($A64,CSVAgro,13,FALSE),VLOOKUP($A64,SWB!$C$15:$P$202,14,FALSE)),0)</f>
        <v>11.2</v>
      </c>
      <c r="K64" s="487">
        <f t="shared" si="37"/>
        <v>0</v>
      </c>
      <c r="L64" s="487">
        <f t="shared" si="38"/>
        <v>0</v>
      </c>
      <c r="M64" s="487">
        <f t="shared" si="39"/>
        <v>0</v>
      </c>
      <c r="N64" s="277">
        <f>IF(ISERROR($G$1="Sí"),VLOOKUP($A64,CSVAgro,16,FALSE),IF(ISERROR(VLOOKUP($A64,Clima!$W$8:$Z$284,2,FALSE)),VLOOKUP($A64,Clima!$E$8:$H$372,2,FALSE),VLOOKUP($A64,Clima!$W$8:$Z$284,2,FALSE)))</f>
        <v>7.3</v>
      </c>
      <c r="O64" s="276">
        <f t="shared" si="40"/>
        <v>10.930579648154398</v>
      </c>
      <c r="P64" s="276">
        <f t="shared" si="54"/>
        <v>18.7</v>
      </c>
      <c r="Q64" s="487">
        <f t="shared" si="41"/>
        <v>0</v>
      </c>
      <c r="R64" s="278">
        <f t="shared" si="55"/>
        <v>7.3</v>
      </c>
      <c r="S64" s="278">
        <f t="shared" si="46"/>
        <v>7.3</v>
      </c>
      <c r="T64" s="279">
        <f t="shared" si="47"/>
        <v>31</v>
      </c>
      <c r="U64" s="279">
        <f t="shared" si="18"/>
        <v>5</v>
      </c>
      <c r="V64" s="276">
        <f t="shared" si="48"/>
        <v>0</v>
      </c>
      <c r="W64" s="276">
        <f>IF(AND(S64&gt;VLOOKUP(Inputs!$I$2,Extracciones,3),S64&lt;VLOOKUP(Inputs!$I$2,Extracciones,5)),(S64-VLOOKUP(Inputs!$I$2,Extracciones,3))*Inputs!$E$12,0)</f>
        <v>0</v>
      </c>
      <c r="X64" s="278">
        <f>IF(AD64=0,VLOOKUP(R64,Mineral,2)*R64*Inputs!$C$16*Inputs!$E$37,VLOOKUP(R64,Mineral,2)*R64*Inputs!$C$16)</f>
        <v>0</v>
      </c>
      <c r="Y64" s="278">
        <f>SUM(K64,M64)*Inputs!$O$8*14/(100*62)</f>
        <v>0</v>
      </c>
      <c r="Z64" s="278">
        <f t="shared" si="61"/>
        <v>0</v>
      </c>
      <c r="AA64" s="278">
        <f t="shared" si="56"/>
        <v>0</v>
      </c>
      <c r="AB64" s="279">
        <f t="shared" si="42"/>
        <v>0</v>
      </c>
      <c r="AC64" s="278">
        <f t="shared" si="22"/>
        <v>0</v>
      </c>
      <c r="AD64" s="279">
        <f t="shared" si="49"/>
        <v>-0.92967567567567544</v>
      </c>
      <c r="AE64" s="278">
        <f t="shared" si="50"/>
        <v>-6.5077297297297267</v>
      </c>
      <c r="AF64" s="278">
        <f t="shared" si="25"/>
        <v>74.652270270270222</v>
      </c>
      <c r="AG64" s="279">
        <f t="shared" si="43"/>
        <v>25</v>
      </c>
      <c r="AH64" s="279">
        <f>AF64*1000000/(Inputs!$C$9*100*Inputs!$C$8*1000*(1-Inputs!$C$10)*(1+Inputs!$C$12))</f>
        <v>14.936428625504247</v>
      </c>
      <c r="AI64" s="279">
        <f>IFERROR(HLOOKUP(A64,Inputs!$C$14:$C$15,2,FALSE),-100)</f>
        <v>-100</v>
      </c>
      <c r="AJ64" s="281">
        <f t="shared" si="44"/>
        <v>0</v>
      </c>
      <c r="AK64" s="282">
        <f t="shared" si="27"/>
        <v>0</v>
      </c>
      <c r="AL64" s="282">
        <f t="shared" si="28"/>
        <v>0</v>
      </c>
      <c r="AM64" s="282">
        <f t="shared" si="29"/>
        <v>0</v>
      </c>
      <c r="AN64" s="283">
        <f>IFERROR(IF($G$1="Sí",VLOOKUP($A64,CSVAgro,9,FALSE),VLOOKUP($A64,Clima!$E$8:$Q$373,13,FALSE)),0)</f>
        <v>1.5</v>
      </c>
      <c r="AO64" s="281">
        <f t="shared" si="57"/>
        <v>21.299999999999997</v>
      </c>
      <c r="AP64" s="281">
        <f>IFERROR(VLOOKUP($A64,'F TrB'!$C$3:$O$21,3,FALSE),-9999)</f>
        <v>-9999</v>
      </c>
      <c r="AQ64" s="281">
        <f t="shared" si="51"/>
        <v>-999</v>
      </c>
      <c r="AR64" s="281">
        <f>IFERROR(IF(VLOOKUP($A64,'F TrB'!$Q$3:$R$21,2,FALSE)=0,-99999,VLOOKUP($A64,'F TrB'!$Q$3:$R$21,2,FALSE)),-99999)</f>
        <v>-99999</v>
      </c>
      <c r="AS64" s="281">
        <f t="shared" si="52"/>
        <v>-99999</v>
      </c>
      <c r="AT64" s="281" t="str">
        <f>IFERROR(VLOOKUP($A64,'NDVI tipo'!$Q$8:$S$30,2,FALSE),"")</f>
        <v/>
      </c>
      <c r="AU64" s="281">
        <f>IF(ISERROR(VLOOKUP($A64,'NDVI tipo'!$Q$8:$S$50,2,FALSE)),AU63+VLOOKUP($A64,'NDVI tipo'!$Q$8:$S$50,3,TRUE),VLOOKUP($A64,'NDVI tipo'!$Q$8:$S$50,2,FALSE))</f>
        <v>0.2389075090909093</v>
      </c>
      <c r="AV64" s="281">
        <f>IFERROR(VLOOKUP($A64,'NDVI real'!$Q$8:$S$44,2,FALSE),-999)</f>
        <v>-999</v>
      </c>
      <c r="AW64" s="281">
        <f>IF(ISERROR(VLOOKUP($A64,'NDVI real'!$T$8:$U$350,2,FALSE)),"",VLOOKUP($A64,'NDVI real'!$T$8:$U$350,2,FALSE))</f>
        <v>0.26026234495370393</v>
      </c>
      <c r="AX64" s="286">
        <f>IFERROR(VLOOKUP($A64,SWB!$C$15:$BE$244,53,FALSE),"")</f>
        <v>0</v>
      </c>
      <c r="AY64" s="286">
        <f>IFERROR(VLOOKUP($A64,SWB!$C$15:$BE$244,55,FALSE),"")</f>
        <v>0</v>
      </c>
      <c r="AZ64" s="281">
        <f>IF(ISERROR(VLOOKUP($A64,Clima!$V$8:$AI$320,14,FALSE)),-999,VLOOKUP(A64,Clima!$V$8:$AI$219,14,FALSE))</f>
        <v>2.2000000000000002</v>
      </c>
      <c r="BA64" s="281">
        <f t="shared" si="58"/>
        <v>33.700000000000003</v>
      </c>
      <c r="BB64" s="281">
        <f t="shared" si="59"/>
        <v>2.2000000000000002</v>
      </c>
      <c r="BC64" s="281">
        <f t="shared" si="60"/>
        <v>33.700000000000003</v>
      </c>
      <c r="BD64" s="284">
        <f t="shared" si="45"/>
        <v>42035</v>
      </c>
    </row>
    <row r="65" spans="1:56" s="275" customFormat="1" ht="12.75">
      <c r="A65" s="273">
        <f t="shared" si="53"/>
        <v>42036</v>
      </c>
      <c r="B65" s="274">
        <f t="shared" si="30"/>
        <v>32</v>
      </c>
      <c r="C65" s="275" t="str">
        <f t="shared" si="31"/>
        <v>Inicial</v>
      </c>
      <c r="D65" s="276">
        <f t="shared" si="32"/>
        <v>1.9</v>
      </c>
      <c r="E65" s="276">
        <f t="shared" si="33"/>
        <v>0.27462222120000035</v>
      </c>
      <c r="F65" s="276"/>
      <c r="G65" s="276">
        <f t="shared" si="34"/>
        <v>0.53226700000000005</v>
      </c>
      <c r="H65" s="276">
        <f t="shared" si="35"/>
        <v>0.68226699999999996</v>
      </c>
      <c r="I65" s="276">
        <f t="shared" si="36"/>
        <v>1.555569</v>
      </c>
      <c r="J65" s="276">
        <f>IFERROR(IF($G$1="Sí",VLOOKUP($A65,CSVAgro,13,FALSE),VLOOKUP($A65,SWB!$C$15:$P$202,14,FALSE)),0)</f>
        <v>0</v>
      </c>
      <c r="K65" s="487">
        <f t="shared" si="37"/>
        <v>0</v>
      </c>
      <c r="L65" s="487">
        <f t="shared" si="38"/>
        <v>0</v>
      </c>
      <c r="M65" s="487">
        <f t="shared" si="39"/>
        <v>0</v>
      </c>
      <c r="N65" s="277">
        <f>IF(ISERROR($G$1="Sí"),VLOOKUP($A65,CSVAgro,16,FALSE),IF(ISERROR(VLOOKUP($A65,Clima!$W$8:$Z$284,2,FALSE)),VLOOKUP($A65,Clima!$E$8:$H$372,2,FALSE),VLOOKUP($A65,Clima!$W$8:$Z$284,2,FALSE)))</f>
        <v>2.2999999999999998</v>
      </c>
      <c r="O65" s="276">
        <f t="shared" si="40"/>
        <v>12.464756592334398</v>
      </c>
      <c r="P65" s="276">
        <f t="shared" si="54"/>
        <v>18.7</v>
      </c>
      <c r="Q65" s="487">
        <f t="shared" si="41"/>
        <v>0</v>
      </c>
      <c r="R65" s="278">
        <f t="shared" si="55"/>
        <v>2.2999999999999998</v>
      </c>
      <c r="S65" s="278">
        <f t="shared" si="46"/>
        <v>2.2999999999999998</v>
      </c>
      <c r="T65" s="279">
        <f t="shared" si="47"/>
        <v>32</v>
      </c>
      <c r="U65" s="279">
        <f t="shared" si="18"/>
        <v>5</v>
      </c>
      <c r="V65" s="276">
        <f t="shared" si="48"/>
        <v>0</v>
      </c>
      <c r="W65" s="276">
        <f>IF(AND(S65&gt;VLOOKUP(Inputs!$I$2,Extracciones,3),S65&lt;VLOOKUP(Inputs!$I$2,Extracciones,5)),(S65-VLOOKUP(Inputs!$I$2,Extracciones,3))*Inputs!$E$12,0)</f>
        <v>0</v>
      </c>
      <c r="X65" s="278">
        <f>IF(AD65=0,VLOOKUP(R65,Mineral,2)*R65*Inputs!$C$16*Inputs!$E$37,VLOOKUP(R65,Mineral,2)*R65*Inputs!$C$16)</f>
        <v>0</v>
      </c>
      <c r="Y65" s="278">
        <f>SUM(K65,M65)*Inputs!$O$8*14/(100*62)</f>
        <v>0</v>
      </c>
      <c r="Z65" s="278">
        <f t="shared" si="61"/>
        <v>0</v>
      </c>
      <c r="AA65" s="278">
        <f t="shared" si="56"/>
        <v>0</v>
      </c>
      <c r="AB65" s="279">
        <f t="shared" si="42"/>
        <v>0</v>
      </c>
      <c r="AC65" s="278">
        <f t="shared" si="22"/>
        <v>0</v>
      </c>
      <c r="AD65" s="279">
        <f t="shared" si="49"/>
        <v>-0.92967567567567544</v>
      </c>
      <c r="AE65" s="278">
        <f t="shared" si="50"/>
        <v>-7.4374054054054017</v>
      </c>
      <c r="AF65" s="278">
        <f t="shared" si="25"/>
        <v>73.72259459459454</v>
      </c>
      <c r="AG65" s="279">
        <f t="shared" si="43"/>
        <v>25</v>
      </c>
      <c r="AH65" s="279">
        <f>AF65*1000000/(Inputs!$C$9*100*Inputs!$C$8*1000*(1-Inputs!$C$10)*(1+Inputs!$C$12))</f>
        <v>14.75041908655353</v>
      </c>
      <c r="AI65" s="279">
        <f>IFERROR(HLOOKUP(A65,Inputs!$C$14:$C$15,2,FALSE),-100)</f>
        <v>-100</v>
      </c>
      <c r="AJ65" s="281">
        <f t="shared" si="44"/>
        <v>0</v>
      </c>
      <c r="AK65" s="282">
        <f t="shared" si="27"/>
        <v>0</v>
      </c>
      <c r="AL65" s="282">
        <f t="shared" si="28"/>
        <v>0</v>
      </c>
      <c r="AM65" s="282">
        <f t="shared" si="29"/>
        <v>0</v>
      </c>
      <c r="AN65" s="283">
        <f>IFERROR(IF($G$1="Sí",VLOOKUP($A65,CSVAgro,9,FALSE),VLOOKUP($A65,Clima!$E$8:$Q$373,13,FALSE)),0)</f>
        <v>1.5</v>
      </c>
      <c r="AO65" s="281">
        <f t="shared" si="57"/>
        <v>22.799999999999997</v>
      </c>
      <c r="AP65" s="281">
        <f>IFERROR(VLOOKUP($A65,'F TrB'!$C$3:$O$21,3,FALSE),-9999)</f>
        <v>-9999</v>
      </c>
      <c r="AQ65" s="281">
        <f t="shared" si="51"/>
        <v>-999</v>
      </c>
      <c r="AR65" s="281">
        <f>IFERROR(IF(VLOOKUP($A65,'F TrB'!$Q$3:$R$21,2,FALSE)=0,-99999,VLOOKUP($A65,'F TrB'!$Q$3:$R$21,2,FALSE)),-99999)</f>
        <v>-99999</v>
      </c>
      <c r="AS65" s="281">
        <f t="shared" si="52"/>
        <v>-99999</v>
      </c>
      <c r="AT65" s="281" t="str">
        <f>IFERROR(VLOOKUP($A65,'NDVI tipo'!$Q$8:$S$30,2,FALSE),"")</f>
        <v/>
      </c>
      <c r="AU65" s="281">
        <f>IF(ISERROR(VLOOKUP($A65,'NDVI tipo'!$Q$8:$S$50,2,FALSE)),AU64+VLOOKUP($A65,'NDVI tipo'!$Q$8:$S$50,3,TRUE),VLOOKUP($A65,'NDVI tipo'!$Q$8:$S$50,2,FALSE))</f>
        <v>0.24042212727272749</v>
      </c>
      <c r="AV65" s="281">
        <f>IFERROR(VLOOKUP($A65,'NDVI real'!$Q$8:$S$44,2,FALSE),-999)</f>
        <v>-999</v>
      </c>
      <c r="AW65" s="281">
        <f>IF(ISERROR(VLOOKUP($A65,'NDVI real'!$T$8:$U$350,2,FALSE)),"",VLOOKUP($A65,'NDVI real'!$T$8:$U$350,2,FALSE))</f>
        <v>0.26015432027777802</v>
      </c>
      <c r="AX65" s="286">
        <f>IFERROR(VLOOKUP($A65,SWB!$C$15:$BE$244,53,FALSE),"")</f>
        <v>0</v>
      </c>
      <c r="AY65" s="286">
        <f>IFERROR(VLOOKUP($A65,SWB!$C$15:$BE$244,55,FALSE),"")</f>
        <v>0</v>
      </c>
      <c r="AZ65" s="281">
        <f>IF(ISERROR(VLOOKUP($A65,Clima!$V$8:$AI$320,14,FALSE)),-999,VLOOKUP(A65,Clima!$V$8:$AI$219,14,FALSE))</f>
        <v>1.9</v>
      </c>
      <c r="BA65" s="281">
        <f t="shared" si="58"/>
        <v>35.6</v>
      </c>
      <c r="BB65" s="281">
        <f t="shared" si="59"/>
        <v>1.9</v>
      </c>
      <c r="BC65" s="281">
        <f t="shared" si="60"/>
        <v>35.6</v>
      </c>
      <c r="BD65" s="284">
        <f t="shared" si="45"/>
        <v>42036</v>
      </c>
    </row>
    <row r="66" spans="1:56" s="275" customFormat="1" ht="12.75">
      <c r="A66" s="273">
        <f t="shared" si="53"/>
        <v>42037</v>
      </c>
      <c r="B66" s="274">
        <f t="shared" si="30"/>
        <v>33</v>
      </c>
      <c r="C66" s="275" t="str">
        <f t="shared" si="31"/>
        <v>Inicial</v>
      </c>
      <c r="D66" s="276">
        <f t="shared" si="32"/>
        <v>1</v>
      </c>
      <c r="E66" s="276">
        <f t="shared" si="33"/>
        <v>0.274466665666667</v>
      </c>
      <c r="F66" s="276"/>
      <c r="G66" s="276">
        <f t="shared" si="34"/>
        <v>0.45882800000000001</v>
      </c>
      <c r="H66" s="276">
        <f t="shared" si="35"/>
        <v>0.60882800000000004</v>
      </c>
      <c r="I66" s="276">
        <f t="shared" si="36"/>
        <v>1.515981</v>
      </c>
      <c r="J66" s="276">
        <f>IFERROR(IF($G$1="Sí",VLOOKUP($A66,CSVAgro,13,FALSE),VLOOKUP($A66,SWB!$C$15:$P$202,14,FALSE)),0)</f>
        <v>0.6</v>
      </c>
      <c r="K66" s="487">
        <f t="shared" si="37"/>
        <v>0</v>
      </c>
      <c r="L66" s="487">
        <f t="shared" si="38"/>
        <v>0</v>
      </c>
      <c r="M66" s="487">
        <f t="shared" si="39"/>
        <v>0</v>
      </c>
      <c r="N66" s="277">
        <f>IF(ISERROR($G$1="Sí"),VLOOKUP($A66,CSVAgro,16,FALSE),IF(ISERROR(VLOOKUP($A66,Clima!$W$8:$Z$284,2,FALSE)),VLOOKUP($A66,Clima!$E$8:$H$372,2,FALSE),VLOOKUP($A66,Clima!$W$8:$Z$284,2,FALSE)))</f>
        <v>2.5</v>
      </c>
      <c r="O66" s="276">
        <f t="shared" si="40"/>
        <v>13.998933536514398</v>
      </c>
      <c r="P66" s="276">
        <f t="shared" si="54"/>
        <v>19.3</v>
      </c>
      <c r="Q66" s="487">
        <f t="shared" si="41"/>
        <v>0</v>
      </c>
      <c r="R66" s="278">
        <f t="shared" si="55"/>
        <v>2.5</v>
      </c>
      <c r="S66" s="278">
        <f t="shared" si="46"/>
        <v>2.5</v>
      </c>
      <c r="T66" s="279">
        <f t="shared" si="47"/>
        <v>33</v>
      </c>
      <c r="U66" s="279">
        <f t="shared" si="18"/>
        <v>6</v>
      </c>
      <c r="V66" s="276">
        <f t="shared" si="48"/>
        <v>0</v>
      </c>
      <c r="W66" s="276">
        <f>IF(AND(S66&gt;VLOOKUP(Inputs!$I$2,Extracciones,3),S66&lt;VLOOKUP(Inputs!$I$2,Extracciones,5)),(S66-VLOOKUP(Inputs!$I$2,Extracciones,3))*Inputs!$E$12,0)</f>
        <v>0</v>
      </c>
      <c r="X66" s="278">
        <f>IF(AD66=0,VLOOKUP(R66,Mineral,2)*R66*Inputs!$C$16*Inputs!$E$37,VLOOKUP(R66,Mineral,2)*R66*Inputs!$C$16)</f>
        <v>0</v>
      </c>
      <c r="Y66" s="278">
        <f>SUM(K66,M66)*Inputs!$O$8*14/(100*62)</f>
        <v>0</v>
      </c>
      <c r="Z66" s="278">
        <f t="shared" si="61"/>
        <v>0</v>
      </c>
      <c r="AA66" s="278">
        <f t="shared" si="56"/>
        <v>0</v>
      </c>
      <c r="AB66" s="279">
        <f t="shared" si="42"/>
        <v>0</v>
      </c>
      <c r="AC66" s="278">
        <f t="shared" si="22"/>
        <v>0</v>
      </c>
      <c r="AD66" s="279">
        <f t="shared" si="49"/>
        <v>-0.92967567567567544</v>
      </c>
      <c r="AE66" s="278">
        <f t="shared" si="50"/>
        <v>-8.3670810810810767</v>
      </c>
      <c r="AF66" s="278">
        <f t="shared" si="25"/>
        <v>72.792918918918858</v>
      </c>
      <c r="AG66" s="279">
        <f t="shared" si="43"/>
        <v>25</v>
      </c>
      <c r="AH66" s="279">
        <f>AF66*1000000/(Inputs!$C$9*100*Inputs!$C$8*1000*(1-Inputs!$C$10)*(1+Inputs!$C$12))</f>
        <v>14.564409547602814</v>
      </c>
      <c r="AI66" s="279">
        <f>IFERROR(HLOOKUP(A66,Inputs!$C$14:$C$15,2,FALSE),-100)</f>
        <v>-100</v>
      </c>
      <c r="AJ66" s="281">
        <f t="shared" si="44"/>
        <v>0</v>
      </c>
      <c r="AK66" s="282">
        <f t="shared" si="27"/>
        <v>0</v>
      </c>
      <c r="AL66" s="282">
        <f t="shared" si="28"/>
        <v>0</v>
      </c>
      <c r="AM66" s="282">
        <f t="shared" si="29"/>
        <v>0</v>
      </c>
      <c r="AN66" s="283">
        <f>IFERROR(IF($G$1="Sí",VLOOKUP($A66,CSVAgro,9,FALSE),VLOOKUP($A66,Clima!$E$8:$Q$373,13,FALSE)),0)</f>
        <v>1.5</v>
      </c>
      <c r="AO66" s="281">
        <f t="shared" si="57"/>
        <v>24.299999999999997</v>
      </c>
      <c r="AP66" s="281">
        <f>IFERROR(VLOOKUP($A66,'F TrB'!$C$3:$O$21,3,FALSE),-9999)</f>
        <v>-9999</v>
      </c>
      <c r="AQ66" s="281">
        <f t="shared" si="51"/>
        <v>-999</v>
      </c>
      <c r="AR66" s="281">
        <f>IFERROR(IF(VLOOKUP($A66,'F TrB'!$Q$3:$R$21,2,FALSE)=0,-99999,VLOOKUP($A66,'F TrB'!$Q$3:$R$21,2,FALSE)),-99999)</f>
        <v>-99999</v>
      </c>
      <c r="AS66" s="281">
        <f t="shared" si="52"/>
        <v>-99999</v>
      </c>
      <c r="AT66" s="281" t="str">
        <f>IFERROR(VLOOKUP($A66,'NDVI tipo'!$Q$8:$S$30,2,FALSE),"")</f>
        <v/>
      </c>
      <c r="AU66" s="281">
        <f>IF(ISERROR(VLOOKUP($A66,'NDVI tipo'!$Q$8:$S$50,2,FALSE)),AU65+VLOOKUP($A66,'NDVI tipo'!$Q$8:$S$50,3,TRUE),VLOOKUP($A66,'NDVI tipo'!$Q$8:$S$50,2,FALSE))</f>
        <v>0.24193674545454569</v>
      </c>
      <c r="AV66" s="281">
        <f>IFERROR(VLOOKUP($A66,'NDVI real'!$Q$8:$S$44,2,FALSE),-999)</f>
        <v>-999</v>
      </c>
      <c r="AW66" s="281">
        <f>IF(ISERROR(VLOOKUP($A66,'NDVI real'!$T$8:$U$350,2,FALSE)),"",VLOOKUP($A66,'NDVI real'!$T$8:$U$350,2,FALSE))</f>
        <v>0.26004629560185211</v>
      </c>
      <c r="AX66" s="286">
        <f>IFERROR(VLOOKUP($A66,SWB!$C$15:$BE$244,53,FALSE),"")</f>
        <v>0</v>
      </c>
      <c r="AY66" s="286">
        <f>IFERROR(VLOOKUP($A66,SWB!$C$15:$BE$244,55,FALSE),"")</f>
        <v>0</v>
      </c>
      <c r="AZ66" s="281">
        <f>IF(ISERROR(VLOOKUP($A66,Clima!$V$8:$AI$320,14,FALSE)),-999,VLOOKUP(A66,Clima!$V$8:$AI$219,14,FALSE))</f>
        <v>1</v>
      </c>
      <c r="BA66" s="281">
        <f t="shared" si="58"/>
        <v>36.6</v>
      </c>
      <c r="BB66" s="281">
        <f t="shared" si="59"/>
        <v>1</v>
      </c>
      <c r="BC66" s="281">
        <f t="shared" si="60"/>
        <v>36.6</v>
      </c>
      <c r="BD66" s="284">
        <f t="shared" si="45"/>
        <v>42037</v>
      </c>
    </row>
    <row r="67" spans="1:56" s="275" customFormat="1" ht="12.75">
      <c r="A67" s="273">
        <f t="shared" si="53"/>
        <v>42038</v>
      </c>
      <c r="B67" s="274">
        <f t="shared" si="30"/>
        <v>34</v>
      </c>
      <c r="C67" s="275" t="str">
        <f t="shared" si="31"/>
        <v>Inicial</v>
      </c>
      <c r="D67" s="276">
        <f t="shared" si="32"/>
        <v>2</v>
      </c>
      <c r="E67" s="276">
        <f t="shared" si="33"/>
        <v>0.27431111013333376</v>
      </c>
      <c r="F67" s="276"/>
      <c r="G67" s="276">
        <f t="shared" si="34"/>
        <v>1.045812</v>
      </c>
      <c r="H67" s="276">
        <f t="shared" si="35"/>
        <v>1.1958120000000001</v>
      </c>
      <c r="I67" s="276">
        <f t="shared" si="36"/>
        <v>2.5949110000000002</v>
      </c>
      <c r="J67" s="276">
        <f>IFERROR(IF($G$1="Sí",VLOOKUP($A67,CSVAgro,13,FALSE),VLOOKUP($A67,SWB!$C$15:$P$202,14,FALSE)),0)</f>
        <v>1.2</v>
      </c>
      <c r="K67" s="487">
        <f t="shared" si="37"/>
        <v>0</v>
      </c>
      <c r="L67" s="487">
        <f t="shared" si="38"/>
        <v>0</v>
      </c>
      <c r="M67" s="487">
        <f t="shared" si="39"/>
        <v>0</v>
      </c>
      <c r="N67" s="277">
        <f>IF(ISERROR($G$1="Sí"),VLOOKUP($A67,CSVAgro,16,FALSE),IF(ISERROR(VLOOKUP($A67,Clima!$W$8:$Z$284,2,FALSE)),VLOOKUP($A67,Clima!$E$8:$H$372,2,FALSE),VLOOKUP($A67,Clima!$W$8:$Z$284,2,FALSE)))</f>
        <v>6.2</v>
      </c>
      <c r="O67" s="276">
        <f t="shared" si="40"/>
        <v>15.430832017749065</v>
      </c>
      <c r="P67" s="276">
        <f t="shared" si="54"/>
        <v>20.5</v>
      </c>
      <c r="Q67" s="487">
        <f t="shared" si="41"/>
        <v>0</v>
      </c>
      <c r="R67" s="278">
        <f t="shared" si="55"/>
        <v>6.2</v>
      </c>
      <c r="S67" s="278">
        <f t="shared" si="46"/>
        <v>6.2</v>
      </c>
      <c r="T67" s="279">
        <f t="shared" si="47"/>
        <v>34</v>
      </c>
      <c r="U67" s="279">
        <f t="shared" si="18"/>
        <v>6</v>
      </c>
      <c r="V67" s="276">
        <f t="shared" si="48"/>
        <v>0</v>
      </c>
      <c r="W67" s="276">
        <f>IF(AND(S67&gt;VLOOKUP(Inputs!$I$2,Extracciones,3),S67&lt;VLOOKUP(Inputs!$I$2,Extracciones,5)),(S67-VLOOKUP(Inputs!$I$2,Extracciones,3))*Inputs!$E$12,0)</f>
        <v>0</v>
      </c>
      <c r="X67" s="278">
        <f>IF(AD67=0,VLOOKUP(R67,Mineral,2)*R67*Inputs!$C$16*Inputs!$E$37,VLOOKUP(R67,Mineral,2)*R67*Inputs!$C$16)</f>
        <v>0</v>
      </c>
      <c r="Y67" s="278">
        <f>SUM(K67,M67)*Inputs!$O$8*14/(100*62)</f>
        <v>0</v>
      </c>
      <c r="Z67" s="278">
        <f t="shared" si="61"/>
        <v>0</v>
      </c>
      <c r="AA67" s="278">
        <f t="shared" si="56"/>
        <v>0</v>
      </c>
      <c r="AB67" s="279">
        <f t="shared" si="42"/>
        <v>0</v>
      </c>
      <c r="AC67" s="278">
        <f t="shared" si="22"/>
        <v>0</v>
      </c>
      <c r="AD67" s="279">
        <f t="shared" si="49"/>
        <v>-0.92967567567567544</v>
      </c>
      <c r="AE67" s="278">
        <f t="shared" si="50"/>
        <v>-9.2967567567567517</v>
      </c>
      <c r="AF67" s="278">
        <f t="shared" si="25"/>
        <v>71.863243243243176</v>
      </c>
      <c r="AG67" s="279">
        <f t="shared" si="43"/>
        <v>25</v>
      </c>
      <c r="AH67" s="279">
        <f>AF67*1000000/(Inputs!$C$9*100*Inputs!$C$8*1000*(1-Inputs!$C$10)*(1+Inputs!$C$12))</f>
        <v>14.378400008652095</v>
      </c>
      <c r="AI67" s="279">
        <f>IFERROR(HLOOKUP(A67,Inputs!$C$14:$C$15,2,FALSE),-100)</f>
        <v>-100</v>
      </c>
      <c r="AJ67" s="281">
        <f t="shared" si="44"/>
        <v>0</v>
      </c>
      <c r="AK67" s="282">
        <f t="shared" si="27"/>
        <v>0</v>
      </c>
      <c r="AL67" s="282">
        <f t="shared" si="28"/>
        <v>0</v>
      </c>
      <c r="AM67" s="282">
        <f t="shared" si="29"/>
        <v>0</v>
      </c>
      <c r="AN67" s="283">
        <f>IFERROR(IF($G$1="Sí",VLOOKUP($A67,CSVAgro,9,FALSE),VLOOKUP($A67,Clima!$E$8:$Q$373,13,FALSE)),0)</f>
        <v>1.4</v>
      </c>
      <c r="AO67" s="281">
        <f t="shared" si="57"/>
        <v>25.699999999999996</v>
      </c>
      <c r="AP67" s="281">
        <f>IFERROR(VLOOKUP($A67,'F TrB'!$C$3:$O$21,3,FALSE),-9999)</f>
        <v>-9999</v>
      </c>
      <c r="AQ67" s="281">
        <f t="shared" si="51"/>
        <v>-999</v>
      </c>
      <c r="AR67" s="281">
        <f>IFERROR(IF(VLOOKUP($A67,'F TrB'!$Q$3:$R$21,2,FALSE)=0,-99999,VLOOKUP($A67,'F TrB'!$Q$3:$R$21,2,FALSE)),-99999)</f>
        <v>-99999</v>
      </c>
      <c r="AS67" s="281">
        <f t="shared" si="52"/>
        <v>-99999</v>
      </c>
      <c r="AT67" s="281" t="str">
        <f>IFERROR(VLOOKUP($A67,'NDVI tipo'!$Q$8:$S$30,2,FALSE),"")</f>
        <v/>
      </c>
      <c r="AU67" s="281">
        <f>IF(ISERROR(VLOOKUP($A67,'NDVI tipo'!$Q$8:$S$50,2,FALSE)),AU66+VLOOKUP($A67,'NDVI tipo'!$Q$8:$S$50,3,TRUE),VLOOKUP($A67,'NDVI tipo'!$Q$8:$S$50,2,FALSE))</f>
        <v>0.24345136363636388</v>
      </c>
      <c r="AV67" s="281">
        <f>IFERROR(VLOOKUP($A67,'NDVI real'!$Q$8:$S$44,2,FALSE),-999)</f>
        <v>-999</v>
      </c>
      <c r="AW67" s="281">
        <f>IF(ISERROR(VLOOKUP($A67,'NDVI real'!$T$8:$U$350,2,FALSE)),"",VLOOKUP($A67,'NDVI real'!$T$8:$U$350,2,FALSE))</f>
        <v>0.2599382709259262</v>
      </c>
      <c r="AX67" s="286">
        <f>IFERROR(VLOOKUP($A67,SWB!$C$15:$BE$244,53,FALSE),"")</f>
        <v>0</v>
      </c>
      <c r="AY67" s="286">
        <f>IFERROR(VLOOKUP($A67,SWB!$C$15:$BE$244,55,FALSE),"")</f>
        <v>0</v>
      </c>
      <c r="AZ67" s="281">
        <f>IF(ISERROR(VLOOKUP($A67,Clima!$V$8:$AI$320,14,FALSE)),-999,VLOOKUP(A67,Clima!$V$8:$AI$219,14,FALSE))</f>
        <v>2</v>
      </c>
      <c r="BA67" s="281">
        <f t="shared" si="58"/>
        <v>38.6</v>
      </c>
      <c r="BB67" s="281">
        <f t="shared" si="59"/>
        <v>2</v>
      </c>
      <c r="BC67" s="281">
        <f t="shared" si="60"/>
        <v>38.6</v>
      </c>
      <c r="BD67" s="284">
        <f t="shared" si="45"/>
        <v>42038</v>
      </c>
    </row>
    <row r="68" spans="1:56" s="275" customFormat="1" ht="12.75">
      <c r="A68" s="273">
        <f t="shared" si="53"/>
        <v>42039</v>
      </c>
      <c r="B68" s="274">
        <f t="shared" si="30"/>
        <v>35</v>
      </c>
      <c r="C68" s="275" t="str">
        <f t="shared" si="31"/>
        <v>Inicial</v>
      </c>
      <c r="D68" s="276">
        <f t="shared" si="32"/>
        <v>1.2</v>
      </c>
      <c r="E68" s="276">
        <f t="shared" si="33"/>
        <v>0.27415555460000041</v>
      </c>
      <c r="F68" s="276"/>
      <c r="G68" s="276">
        <f t="shared" si="34"/>
        <v>0.95535700000000001</v>
      </c>
      <c r="H68" s="276">
        <f t="shared" si="35"/>
        <v>1.1053569999999999</v>
      </c>
      <c r="I68" s="276">
        <f t="shared" si="36"/>
        <v>2.1112310000000001</v>
      </c>
      <c r="J68" s="276">
        <f>IFERROR(IF($G$1="Sí",VLOOKUP($A68,CSVAgro,13,FALSE),VLOOKUP($A68,SWB!$C$15:$P$202,14,FALSE)),0)</f>
        <v>3.7</v>
      </c>
      <c r="K68" s="487">
        <f t="shared" si="37"/>
        <v>0</v>
      </c>
      <c r="L68" s="487">
        <f t="shared" si="38"/>
        <v>0</v>
      </c>
      <c r="M68" s="487">
        <f t="shared" si="39"/>
        <v>0</v>
      </c>
      <c r="N68" s="277">
        <f>IF(ISERROR($G$1="Sí"),VLOOKUP($A68,CSVAgro,16,FALSE),IF(ISERROR(VLOOKUP($A68,Clima!$W$8:$Z$284,2,FALSE)),VLOOKUP($A68,Clima!$E$8:$H$372,2,FALSE),VLOOKUP($A68,Clima!$W$8:$Z$284,2,FALSE)))</f>
        <v>0.6</v>
      </c>
      <c r="O68" s="276">
        <f t="shared" si="40"/>
        <v>16.965008961929065</v>
      </c>
      <c r="P68" s="276">
        <f t="shared" si="54"/>
        <v>24.2</v>
      </c>
      <c r="Q68" s="487">
        <f t="shared" si="41"/>
        <v>0</v>
      </c>
      <c r="R68" s="278">
        <f t="shared" si="55"/>
        <v>0.6</v>
      </c>
      <c r="S68" s="278">
        <f t="shared" si="46"/>
        <v>0.6</v>
      </c>
      <c r="T68" s="279">
        <f t="shared" si="47"/>
        <v>35</v>
      </c>
      <c r="U68" s="279">
        <f t="shared" si="18"/>
        <v>6</v>
      </c>
      <c r="V68" s="276">
        <f t="shared" si="48"/>
        <v>0</v>
      </c>
      <c r="W68" s="276">
        <f>IF(AND(S68&gt;VLOOKUP(Inputs!$I$2,Extracciones,3),S68&lt;VLOOKUP(Inputs!$I$2,Extracciones,5)),(S68-VLOOKUP(Inputs!$I$2,Extracciones,3))*Inputs!$E$12,0)</f>
        <v>0</v>
      </c>
      <c r="X68" s="278">
        <f>IF(AD68=0,VLOOKUP(R68,Mineral,2)*R68*Inputs!$C$16*Inputs!$E$37,VLOOKUP(R68,Mineral,2)*R68*Inputs!$C$16)</f>
        <v>0</v>
      </c>
      <c r="Y68" s="278">
        <f>SUM(K68,M68)*Inputs!$O$8*14/(100*62)</f>
        <v>0</v>
      </c>
      <c r="Z68" s="278">
        <f t="shared" si="61"/>
        <v>0</v>
      </c>
      <c r="AA68" s="278">
        <f t="shared" si="56"/>
        <v>0</v>
      </c>
      <c r="AB68" s="279">
        <f t="shared" si="42"/>
        <v>0</v>
      </c>
      <c r="AC68" s="278">
        <f t="shared" si="22"/>
        <v>0</v>
      </c>
      <c r="AD68" s="279">
        <f t="shared" si="49"/>
        <v>-0.92967567567567544</v>
      </c>
      <c r="AE68" s="278">
        <f t="shared" si="50"/>
        <v>-10.226432432432427</v>
      </c>
      <c r="AF68" s="278">
        <f t="shared" si="25"/>
        <v>70.933567567567493</v>
      </c>
      <c r="AG68" s="279">
        <f t="shared" si="43"/>
        <v>25</v>
      </c>
      <c r="AH68" s="279">
        <f>AF68*1000000/(Inputs!$C$9*100*Inputs!$C$8*1000*(1-Inputs!$C$10)*(1+Inputs!$C$12))</f>
        <v>14.19239046970138</v>
      </c>
      <c r="AI68" s="279">
        <f>IFERROR(HLOOKUP(A68,Inputs!$C$14:$C$15,2,FALSE),-100)</f>
        <v>-100</v>
      </c>
      <c r="AJ68" s="281">
        <f t="shared" si="44"/>
        <v>0</v>
      </c>
      <c r="AK68" s="282">
        <f t="shared" si="27"/>
        <v>0</v>
      </c>
      <c r="AL68" s="282">
        <f t="shared" si="28"/>
        <v>0</v>
      </c>
      <c r="AM68" s="282">
        <f t="shared" si="29"/>
        <v>0</v>
      </c>
      <c r="AN68" s="283">
        <f>IFERROR(IF($G$1="Sí",VLOOKUP($A68,CSVAgro,9,FALSE),VLOOKUP($A68,Clima!$E$8:$Q$373,13,FALSE)),0)</f>
        <v>1.5</v>
      </c>
      <c r="AO68" s="281">
        <f t="shared" si="57"/>
        <v>27.199999999999996</v>
      </c>
      <c r="AP68" s="281">
        <f>IFERROR(VLOOKUP($A68,'F TrB'!$C$3:$O$21,3,FALSE),-9999)</f>
        <v>11</v>
      </c>
      <c r="AQ68" s="281">
        <f t="shared" si="51"/>
        <v>1.4</v>
      </c>
      <c r="AR68" s="281">
        <f>IFERROR(IF(VLOOKUP($A68,'F TrB'!$Q$3:$R$21,2,FALSE)=0,-99999,VLOOKUP($A68,'F TrB'!$Q$3:$R$21,2,FALSE)),-99999)</f>
        <v>-99999</v>
      </c>
      <c r="AS68" s="281">
        <f t="shared" si="52"/>
        <v>-99999</v>
      </c>
      <c r="AT68" s="281" t="str">
        <f>IFERROR(VLOOKUP($A68,'NDVI tipo'!$Q$8:$S$30,2,FALSE),"")</f>
        <v/>
      </c>
      <c r="AU68" s="281">
        <f>IF(ISERROR(VLOOKUP($A68,'NDVI tipo'!$Q$8:$S$50,2,FALSE)),AU67+VLOOKUP($A68,'NDVI tipo'!$Q$8:$S$50,3,TRUE),VLOOKUP($A68,'NDVI tipo'!$Q$8:$S$50,2,FALSE))</f>
        <v>0.24496598181818208</v>
      </c>
      <c r="AV68" s="281">
        <f>IFERROR(VLOOKUP($A68,'NDVI real'!$Q$8:$S$44,2,FALSE),-999)</f>
        <v>-999</v>
      </c>
      <c r="AW68" s="281">
        <f>IF(ISERROR(VLOOKUP($A68,'NDVI real'!$T$8:$U$350,2,FALSE)),"",VLOOKUP($A68,'NDVI real'!$T$8:$U$350,2,FALSE))</f>
        <v>0.25983024625000029</v>
      </c>
      <c r="AX68" s="286">
        <f>IFERROR(VLOOKUP($A68,SWB!$C$15:$BE$244,53,FALSE),"")</f>
        <v>0</v>
      </c>
      <c r="AY68" s="286">
        <f>IFERROR(VLOOKUP($A68,SWB!$C$15:$BE$244,55,FALSE),"")</f>
        <v>0</v>
      </c>
      <c r="AZ68" s="281">
        <f>IF(ISERROR(VLOOKUP($A68,Clima!$V$8:$AI$320,14,FALSE)),-999,VLOOKUP(A68,Clima!$V$8:$AI$219,14,FALSE))</f>
        <v>1.2</v>
      </c>
      <c r="BA68" s="281">
        <f t="shared" si="58"/>
        <v>39.800000000000004</v>
      </c>
      <c r="BB68" s="281">
        <f t="shared" si="59"/>
        <v>1.2</v>
      </c>
      <c r="BC68" s="281">
        <f t="shared" si="60"/>
        <v>39.800000000000004</v>
      </c>
      <c r="BD68" s="284">
        <f t="shared" si="45"/>
        <v>42039</v>
      </c>
    </row>
    <row r="69" spans="1:56" s="275" customFormat="1" ht="12.75">
      <c r="A69" s="273">
        <f t="shared" si="53"/>
        <v>42040</v>
      </c>
      <c r="B69" s="274">
        <f t="shared" si="30"/>
        <v>36</v>
      </c>
      <c r="C69" s="275" t="str">
        <f t="shared" si="31"/>
        <v>Inicial</v>
      </c>
      <c r="D69" s="276">
        <f t="shared" si="32"/>
        <v>1.8</v>
      </c>
      <c r="E69" s="276">
        <f t="shared" si="33"/>
        <v>0.27399999906666705</v>
      </c>
      <c r="F69" s="276"/>
      <c r="G69" s="276">
        <f t="shared" si="34"/>
        <v>0.80350299999999997</v>
      </c>
      <c r="H69" s="276">
        <f t="shared" si="35"/>
        <v>0.95350299999999999</v>
      </c>
      <c r="I69" s="276">
        <f t="shared" si="36"/>
        <v>0.93443299999999996</v>
      </c>
      <c r="J69" s="276">
        <f>IFERROR(IF($G$1="Sí",VLOOKUP($A69,CSVAgro,13,FALSE),VLOOKUP($A69,SWB!$C$15:$P$202,14,FALSE)),0)</f>
        <v>0</v>
      </c>
      <c r="K69" s="487">
        <f t="shared" si="37"/>
        <v>0</v>
      </c>
      <c r="L69" s="487">
        <f t="shared" si="38"/>
        <v>0</v>
      </c>
      <c r="M69" s="487">
        <f t="shared" si="39"/>
        <v>0</v>
      </c>
      <c r="N69" s="277">
        <f>IF(ISERROR($G$1="Sí"),VLOOKUP($A69,CSVAgro,16,FALSE),IF(ISERROR(VLOOKUP($A69,Clima!$W$8:$Z$284,2,FALSE)),VLOOKUP($A69,Clima!$E$8:$H$372,2,FALSE),VLOOKUP($A69,Clima!$W$8:$Z$284,2,FALSE)))</f>
        <v>0.2</v>
      </c>
      <c r="O69" s="276">
        <f t="shared" si="40"/>
        <v>18.601464369054398</v>
      </c>
      <c r="P69" s="276">
        <f t="shared" si="54"/>
        <v>24.2</v>
      </c>
      <c r="Q69" s="487">
        <f t="shared" si="41"/>
        <v>0</v>
      </c>
      <c r="R69" s="278">
        <f t="shared" si="55"/>
        <v>0.2</v>
      </c>
      <c r="S69" s="278">
        <f t="shared" si="46"/>
        <v>0.2</v>
      </c>
      <c r="T69" s="279">
        <f t="shared" si="47"/>
        <v>36</v>
      </c>
      <c r="U69" s="279">
        <f t="shared" si="18"/>
        <v>6</v>
      </c>
      <c r="V69" s="276">
        <f t="shared" si="48"/>
        <v>0</v>
      </c>
      <c r="W69" s="276">
        <f>IF(AND(S69&gt;VLOOKUP(Inputs!$I$2,Extracciones,3),S69&lt;VLOOKUP(Inputs!$I$2,Extracciones,5)),(S69-VLOOKUP(Inputs!$I$2,Extracciones,3))*Inputs!$E$12,0)</f>
        <v>0</v>
      </c>
      <c r="X69" s="278">
        <f>IF(AD69=0,VLOOKUP(R69,Mineral,2)*R69*Inputs!$C$16*Inputs!$E$37,VLOOKUP(R69,Mineral,2)*R69*Inputs!$C$16)</f>
        <v>0</v>
      </c>
      <c r="Y69" s="278">
        <f>SUM(K69,M69)*Inputs!$O$8*14/(100*62)</f>
        <v>0</v>
      </c>
      <c r="Z69" s="278">
        <f t="shared" si="61"/>
        <v>0</v>
      </c>
      <c r="AA69" s="278">
        <f t="shared" si="56"/>
        <v>0</v>
      </c>
      <c r="AB69" s="279">
        <f t="shared" si="42"/>
        <v>0</v>
      </c>
      <c r="AC69" s="278">
        <f t="shared" si="22"/>
        <v>0</v>
      </c>
      <c r="AD69" s="279">
        <f t="shared" si="49"/>
        <v>-0.63306486486486502</v>
      </c>
      <c r="AE69" s="278">
        <f t="shared" si="50"/>
        <v>-10.859497297297292</v>
      </c>
      <c r="AF69" s="278">
        <f t="shared" si="25"/>
        <v>70.30050270270263</v>
      </c>
      <c r="AG69" s="279">
        <f t="shared" si="43"/>
        <v>25</v>
      </c>
      <c r="AH69" s="279">
        <f>AF69*1000000/(Inputs!$C$9*100*Inputs!$C$8*1000*(1-Inputs!$C$10)*(1+Inputs!$C$12))</f>
        <v>14.065726831273034</v>
      </c>
      <c r="AI69" s="279">
        <f>IFERROR(HLOOKUP(A69,Inputs!$C$14:$C$15,2,FALSE),-100)</f>
        <v>-100</v>
      </c>
      <c r="AJ69" s="281">
        <f t="shared" si="44"/>
        <v>0</v>
      </c>
      <c r="AK69" s="282">
        <f t="shared" si="27"/>
        <v>0</v>
      </c>
      <c r="AL69" s="282">
        <f t="shared" si="28"/>
        <v>0</v>
      </c>
      <c r="AM69" s="282">
        <f t="shared" si="29"/>
        <v>0</v>
      </c>
      <c r="AN69" s="283">
        <f>IFERROR(IF($G$1="Sí",VLOOKUP($A69,CSVAgro,9,FALSE),VLOOKUP($A69,Clima!$E$8:$Q$373,13,FALSE)),0)</f>
        <v>1.6</v>
      </c>
      <c r="AO69" s="281">
        <f t="shared" si="57"/>
        <v>28.799999999999997</v>
      </c>
      <c r="AP69" s="281">
        <f>IFERROR(VLOOKUP($A69,'F TrB'!$C$3:$O$21,3,FALSE),-9999)</f>
        <v>-9999</v>
      </c>
      <c r="AQ69" s="281">
        <f t="shared" si="51"/>
        <v>-999</v>
      </c>
      <c r="AR69" s="281">
        <f>IFERROR(IF(VLOOKUP($A69,'F TrB'!$Q$3:$R$21,2,FALSE)=0,-99999,VLOOKUP($A69,'F TrB'!$Q$3:$R$21,2,FALSE)),-99999)</f>
        <v>-99999</v>
      </c>
      <c r="AS69" s="281">
        <f t="shared" si="52"/>
        <v>-99999</v>
      </c>
      <c r="AT69" s="281" t="str">
        <f>IFERROR(VLOOKUP($A69,'NDVI tipo'!$Q$8:$S$30,2,FALSE),"")</f>
        <v/>
      </c>
      <c r="AU69" s="281">
        <f>IF(ISERROR(VLOOKUP($A69,'NDVI tipo'!$Q$8:$S$50,2,FALSE)),AU68+VLOOKUP($A69,'NDVI tipo'!$Q$8:$S$50,3,TRUE),VLOOKUP($A69,'NDVI tipo'!$Q$8:$S$50,2,FALSE))</f>
        <v>0.24648060000000027</v>
      </c>
      <c r="AV69" s="281">
        <f>IFERROR(VLOOKUP($A69,'NDVI real'!$Q$8:$S$44,2,FALSE),-999)</f>
        <v>-999</v>
      </c>
      <c r="AW69" s="281">
        <f>IF(ISERROR(VLOOKUP($A69,'NDVI real'!$T$8:$U$350,2,FALSE)),"",VLOOKUP($A69,'NDVI real'!$T$8:$U$350,2,FALSE))</f>
        <v>0.25972222157407437</v>
      </c>
      <c r="AX69" s="286">
        <f>IFERROR(VLOOKUP($A69,SWB!$C$15:$BE$244,53,FALSE),"")</f>
        <v>0</v>
      </c>
      <c r="AY69" s="286">
        <f>IFERROR(VLOOKUP($A69,SWB!$C$15:$BE$244,55,FALSE),"")</f>
        <v>0</v>
      </c>
      <c r="AZ69" s="281">
        <f>IF(ISERROR(VLOOKUP($A69,Clima!$V$8:$AI$320,14,FALSE)),-999,VLOOKUP(A69,Clima!$V$8:$AI$219,14,FALSE))</f>
        <v>1.8</v>
      </c>
      <c r="BA69" s="281">
        <f t="shared" si="58"/>
        <v>41.6</v>
      </c>
      <c r="BB69" s="281">
        <f t="shared" si="59"/>
        <v>1.8</v>
      </c>
      <c r="BC69" s="281">
        <f t="shared" si="60"/>
        <v>41.6</v>
      </c>
      <c r="BD69" s="284">
        <f t="shared" si="45"/>
        <v>42040</v>
      </c>
    </row>
    <row r="70" spans="1:56" s="275" customFormat="1" ht="12.75">
      <c r="A70" s="273">
        <f t="shared" si="53"/>
        <v>42041</v>
      </c>
      <c r="B70" s="274">
        <f t="shared" si="30"/>
        <v>37</v>
      </c>
      <c r="C70" s="275" t="str">
        <f t="shared" si="31"/>
        <v>Inicial</v>
      </c>
      <c r="D70" s="276">
        <f t="shared" si="32"/>
        <v>1.7</v>
      </c>
      <c r="E70" s="276">
        <f t="shared" si="33"/>
        <v>0.27384444353333381</v>
      </c>
      <c r="F70" s="276"/>
      <c r="G70" s="276">
        <f t="shared" si="34"/>
        <v>1.00952</v>
      </c>
      <c r="H70" s="276">
        <f t="shared" si="35"/>
        <v>1.1595200000000001</v>
      </c>
      <c r="I70" s="276">
        <f t="shared" si="36"/>
        <v>2.2610640000000002</v>
      </c>
      <c r="J70" s="276">
        <f>IFERROR(IF($G$1="Sí",VLOOKUP($A70,CSVAgro,13,FALSE),VLOOKUP($A70,SWB!$C$15:$P$202,14,FALSE)),0)</f>
        <v>0</v>
      </c>
      <c r="K70" s="487">
        <f t="shared" si="37"/>
        <v>0</v>
      </c>
      <c r="L70" s="487">
        <f t="shared" si="38"/>
        <v>0</v>
      </c>
      <c r="M70" s="487">
        <f t="shared" si="39"/>
        <v>0</v>
      </c>
      <c r="N70" s="277">
        <f>IF(ISERROR($G$1="Sí"),VLOOKUP($A70,CSVAgro,16,FALSE),IF(ISERROR(VLOOKUP($A70,Clima!$W$8:$Z$284,2,FALSE)),VLOOKUP($A70,Clima!$E$8:$H$372,2,FALSE),VLOOKUP($A70,Clima!$W$8:$Z$284,2,FALSE)))</f>
        <v>-0.1</v>
      </c>
      <c r="O70" s="276">
        <f t="shared" si="40"/>
        <v>20.544755165015729</v>
      </c>
      <c r="P70" s="276">
        <f t="shared" si="54"/>
        <v>24.2</v>
      </c>
      <c r="Q70" s="487">
        <f t="shared" si="41"/>
        <v>0</v>
      </c>
      <c r="R70" s="278">
        <f t="shared" si="55"/>
        <v>-0.1</v>
      </c>
      <c r="S70" s="278">
        <f t="shared" si="46"/>
        <v>-0.1</v>
      </c>
      <c r="T70" s="279">
        <f t="shared" si="47"/>
        <v>37</v>
      </c>
      <c r="U70" s="279">
        <f t="shared" ref="U70:U133" si="62">IF(_xlfn.ISOWEEKNUM(A70)&lt;40,_xlfn.ISOWEEKNUM(A70),_xlfn.ISOWEEKNUM(A70)-53)</f>
        <v>6</v>
      </c>
      <c r="V70" s="276">
        <f t="shared" si="48"/>
        <v>0</v>
      </c>
      <c r="W70" s="276">
        <f>IF(AND(S70&gt;VLOOKUP(Inputs!$I$2,Extracciones,3),S70&lt;VLOOKUP(Inputs!$I$2,Extracciones,5)),(S70-VLOOKUP(Inputs!$I$2,Extracciones,3))*Inputs!$E$12,0)</f>
        <v>0</v>
      </c>
      <c r="X70" s="278">
        <f>IF(AD70=0,VLOOKUP(R70,Mineral,2)*R70*Inputs!$C$16*Inputs!$E$37,VLOOKUP(R70,Mineral,2)*R70*Inputs!$C$16)</f>
        <v>0</v>
      </c>
      <c r="Y70" s="278">
        <f>SUM(K70,M70)*Inputs!$O$8*14/(100*62)</f>
        <v>0</v>
      </c>
      <c r="Z70" s="278">
        <f t="shared" si="61"/>
        <v>0</v>
      </c>
      <c r="AA70" s="278">
        <f t="shared" si="56"/>
        <v>0</v>
      </c>
      <c r="AB70" s="279">
        <f t="shared" si="42"/>
        <v>0</v>
      </c>
      <c r="AC70" s="278">
        <f t="shared" ref="AC70:AC79" si="63">-L70*AH69/100</f>
        <v>0</v>
      </c>
      <c r="AD70" s="279">
        <f t="shared" si="49"/>
        <v>-0.63306486486486502</v>
      </c>
      <c r="AE70" s="278">
        <f t="shared" si="50"/>
        <v>-11.492562162162157</v>
      </c>
      <c r="AF70" s="278">
        <f t="shared" si="25"/>
        <v>69.667437837837767</v>
      </c>
      <c r="AG70" s="279">
        <f t="shared" si="43"/>
        <v>25</v>
      </c>
      <c r="AH70" s="279">
        <f>AF70*1000000/(Inputs!$C$9*100*Inputs!$C$8*1000*(1-Inputs!$C$10)*(1+Inputs!$C$12))</f>
        <v>13.939063192844692</v>
      </c>
      <c r="AI70" s="279">
        <f>IFERROR(HLOOKUP(A70,Inputs!$C$14:$C$15,2,FALSE),-100)</f>
        <v>-100</v>
      </c>
      <c r="AJ70" s="281">
        <f t="shared" si="44"/>
        <v>0</v>
      </c>
      <c r="AK70" s="282">
        <f t="shared" si="27"/>
        <v>0</v>
      </c>
      <c r="AL70" s="282">
        <f t="shared" si="28"/>
        <v>0</v>
      </c>
      <c r="AM70" s="282">
        <f t="shared" si="29"/>
        <v>0</v>
      </c>
      <c r="AN70" s="283">
        <f>IFERROR(IF($G$1="Sí",VLOOKUP($A70,CSVAgro,9,FALSE),VLOOKUP($A70,Clima!$E$8:$Q$373,13,FALSE)),0)</f>
        <v>1.9</v>
      </c>
      <c r="AO70" s="281">
        <f t="shared" si="57"/>
        <v>30.699999999999996</v>
      </c>
      <c r="AP70" s="281">
        <f>IFERROR(VLOOKUP($A70,'F TrB'!$C$3:$O$21,3,FALSE),-9999)</f>
        <v>-9999</v>
      </c>
      <c r="AQ70" s="281">
        <f t="shared" si="51"/>
        <v>-999</v>
      </c>
      <c r="AR70" s="281">
        <f>IFERROR(IF(VLOOKUP($A70,'F TrB'!$Q$3:$R$21,2,FALSE)=0,-99999,VLOOKUP($A70,'F TrB'!$Q$3:$R$21,2,FALSE)),-99999)</f>
        <v>-99999</v>
      </c>
      <c r="AS70" s="281">
        <f t="shared" si="52"/>
        <v>-99999</v>
      </c>
      <c r="AT70" s="281" t="str">
        <f>IFERROR(VLOOKUP($A70,'NDVI tipo'!$Q$8:$S$30,2,FALSE),"")</f>
        <v/>
      </c>
      <c r="AU70" s="281">
        <f>IF(ISERROR(VLOOKUP($A70,'NDVI tipo'!$Q$8:$S$50,2,FALSE)),AU69+VLOOKUP($A70,'NDVI tipo'!$Q$8:$S$50,3,TRUE),VLOOKUP($A70,'NDVI tipo'!$Q$8:$S$50,2,FALSE))</f>
        <v>0.24799521818181847</v>
      </c>
      <c r="AV70" s="281">
        <f>IFERROR(VLOOKUP($A70,'NDVI real'!$Q$8:$S$44,2,FALSE),-999)</f>
        <v>-999</v>
      </c>
      <c r="AW70" s="281">
        <f>IF(ISERROR(VLOOKUP($A70,'NDVI real'!$T$8:$U$350,2,FALSE)),"",VLOOKUP($A70,'NDVI real'!$T$8:$U$350,2,FALSE))</f>
        <v>0.25961419689814846</v>
      </c>
      <c r="AX70" s="286">
        <f>IFERROR(VLOOKUP($A70,SWB!$C$15:$BE$244,53,FALSE),"")</f>
        <v>0</v>
      </c>
      <c r="AY70" s="286">
        <f>IFERROR(VLOOKUP($A70,SWB!$C$15:$BE$244,55,FALSE),"")</f>
        <v>0</v>
      </c>
      <c r="AZ70" s="281">
        <f>IF(ISERROR(VLOOKUP($A70,Clima!$V$8:$AI$320,14,FALSE)),-999,VLOOKUP(A70,Clima!$V$8:$AI$219,14,FALSE))</f>
        <v>1.7</v>
      </c>
      <c r="BA70" s="281">
        <f t="shared" si="58"/>
        <v>43.300000000000004</v>
      </c>
      <c r="BB70" s="281">
        <f t="shared" si="59"/>
        <v>1.7</v>
      </c>
      <c r="BC70" s="281">
        <f t="shared" si="60"/>
        <v>43.300000000000004</v>
      </c>
      <c r="BD70" s="284">
        <f t="shared" si="45"/>
        <v>42041</v>
      </c>
    </row>
    <row r="71" spans="1:56" s="275" customFormat="1" ht="12.75">
      <c r="A71" s="273">
        <f t="shared" si="53"/>
        <v>42042</v>
      </c>
      <c r="B71" s="274">
        <f t="shared" si="30"/>
        <v>38</v>
      </c>
      <c r="C71" s="275" t="str">
        <f t="shared" si="31"/>
        <v>Inicial</v>
      </c>
      <c r="D71" s="276">
        <f t="shared" si="32"/>
        <v>0.8</v>
      </c>
      <c r="E71" s="276">
        <f t="shared" si="33"/>
        <v>0.27368888800000046</v>
      </c>
      <c r="F71" s="276"/>
      <c r="G71" s="276">
        <f t="shared" si="34"/>
        <v>1.0032620000000001</v>
      </c>
      <c r="H71" s="276">
        <f t="shared" si="35"/>
        <v>1.153262</v>
      </c>
      <c r="I71" s="276">
        <f t="shared" si="36"/>
        <v>1.3954470000000001</v>
      </c>
      <c r="J71" s="276">
        <f>IFERROR(IF($G$1="Sí",VLOOKUP($A71,CSVAgro,13,FALSE),VLOOKUP($A71,SWB!$C$15:$P$202,14,FALSE)),0)</f>
        <v>0</v>
      </c>
      <c r="K71" s="487">
        <f t="shared" si="37"/>
        <v>0</v>
      </c>
      <c r="L71" s="487">
        <f t="shared" si="38"/>
        <v>0</v>
      </c>
      <c r="M71" s="487">
        <f t="shared" si="39"/>
        <v>0</v>
      </c>
      <c r="N71" s="277">
        <f>IF(ISERROR($G$1="Sí"),VLOOKUP($A71,CSVAgro,16,FALSE),IF(ISERROR(VLOOKUP($A71,Clima!$W$8:$Z$284,2,FALSE)),VLOOKUP($A71,Clima!$E$8:$H$372,2,FALSE),VLOOKUP($A71,Clima!$W$8:$Z$284,2,FALSE)))</f>
        <v>-1.4</v>
      </c>
      <c r="O71" s="276">
        <f t="shared" si="40"/>
        <v>21.293571697284452</v>
      </c>
      <c r="P71" s="276">
        <f t="shared" si="54"/>
        <v>24.2</v>
      </c>
      <c r="Q71" s="487">
        <f t="shared" si="41"/>
        <v>0</v>
      </c>
      <c r="R71" s="278">
        <f t="shared" si="55"/>
        <v>-1.4</v>
      </c>
      <c r="S71" s="278">
        <f t="shared" si="46"/>
        <v>-1.4</v>
      </c>
      <c r="T71" s="279">
        <f t="shared" si="47"/>
        <v>38</v>
      </c>
      <c r="U71" s="279">
        <f t="shared" si="62"/>
        <v>6</v>
      </c>
      <c r="V71" s="276">
        <f t="shared" si="48"/>
        <v>0</v>
      </c>
      <c r="W71" s="276">
        <f>IF(AND(S71&gt;VLOOKUP(Inputs!$I$2,Extracciones,3),S71&lt;VLOOKUP(Inputs!$I$2,Extracciones,5)),(S71-VLOOKUP(Inputs!$I$2,Extracciones,3))*Inputs!$E$12,0)</f>
        <v>0</v>
      </c>
      <c r="X71" s="278">
        <f>IF(AD71=0,VLOOKUP(R71,Mineral,2)*R71*Inputs!$C$16*Inputs!$E$37,VLOOKUP(R71,Mineral,2)*R71*Inputs!$C$16)</f>
        <v>0</v>
      </c>
      <c r="Y71" s="278">
        <f>SUM(K71,M71)*Inputs!$O$8*14/(100*62)</f>
        <v>0</v>
      </c>
      <c r="Z71" s="278">
        <f t="shared" si="61"/>
        <v>0</v>
      </c>
      <c r="AA71" s="278">
        <f t="shared" si="56"/>
        <v>0</v>
      </c>
      <c r="AB71" s="279">
        <f t="shared" si="42"/>
        <v>0</v>
      </c>
      <c r="AC71" s="278">
        <f t="shared" si="63"/>
        <v>0</v>
      </c>
      <c r="AD71" s="279">
        <f t="shared" si="49"/>
        <v>-0.63306486486486502</v>
      </c>
      <c r="AE71" s="278">
        <f t="shared" si="50"/>
        <v>-12.125627027027022</v>
      </c>
      <c r="AF71" s="278">
        <f t="shared" si="25"/>
        <v>69.034372972972903</v>
      </c>
      <c r="AG71" s="279">
        <f t="shared" si="43"/>
        <v>25</v>
      </c>
      <c r="AH71" s="279">
        <f>AF71*1000000/(Inputs!$C$9*100*Inputs!$C$8*1000*(1-Inputs!$C$10)*(1+Inputs!$C$12))</f>
        <v>13.812399554416347</v>
      </c>
      <c r="AI71" s="279">
        <f>IFERROR(HLOOKUP(A71,Inputs!$C$14:$C$15,2,FALSE),-100)</f>
        <v>-100</v>
      </c>
      <c r="AJ71" s="281">
        <f t="shared" si="44"/>
        <v>0</v>
      </c>
      <c r="AK71" s="282">
        <f t="shared" si="27"/>
        <v>0</v>
      </c>
      <c r="AL71" s="282">
        <f t="shared" si="28"/>
        <v>0</v>
      </c>
      <c r="AM71" s="282">
        <f t="shared" si="29"/>
        <v>0</v>
      </c>
      <c r="AN71" s="283">
        <f>IFERROR(IF($G$1="Sí",VLOOKUP($A71,CSVAgro,9,FALSE),VLOOKUP($A71,Clima!$E$8:$Q$373,13,FALSE)),0)</f>
        <v>2</v>
      </c>
      <c r="AO71" s="281">
        <f t="shared" si="57"/>
        <v>32.699999999999996</v>
      </c>
      <c r="AP71" s="281">
        <f>IFERROR(VLOOKUP($A71,'F TrB'!$C$3:$O$21,3,FALSE),-9999)</f>
        <v>-9999</v>
      </c>
      <c r="AQ71" s="281">
        <f t="shared" si="51"/>
        <v>-999</v>
      </c>
      <c r="AR71" s="281">
        <f>IFERROR(IF(VLOOKUP($A71,'F TrB'!$Q$3:$R$21,2,FALSE)=0,-99999,VLOOKUP($A71,'F TrB'!$Q$3:$R$21,2,FALSE)),-99999)</f>
        <v>-99999</v>
      </c>
      <c r="AS71" s="281">
        <f t="shared" si="52"/>
        <v>-99999</v>
      </c>
      <c r="AT71" s="281" t="str">
        <f>IFERROR(VLOOKUP($A71,'NDVI tipo'!$Q$8:$S$30,2,FALSE),"")</f>
        <v/>
      </c>
      <c r="AU71" s="281">
        <f>IF(ISERROR(VLOOKUP($A71,'NDVI tipo'!$Q$8:$S$50,2,FALSE)),AU70+VLOOKUP($A71,'NDVI tipo'!$Q$8:$S$50,3,TRUE),VLOOKUP($A71,'NDVI tipo'!$Q$8:$S$50,2,FALSE))</f>
        <v>0.24950983636363666</v>
      </c>
      <c r="AV71" s="281">
        <f>IFERROR(VLOOKUP($A71,'NDVI real'!$Q$8:$S$44,2,FALSE),-999)</f>
        <v>-999</v>
      </c>
      <c r="AW71" s="281">
        <f>IF(ISERROR(VLOOKUP($A71,'NDVI real'!$T$8:$U$350,2,FALSE)),"",VLOOKUP($A71,'NDVI real'!$T$8:$U$350,2,FALSE))</f>
        <v>0.25950617222222255</v>
      </c>
      <c r="AX71" s="286">
        <f>IFERROR(VLOOKUP($A71,SWB!$C$15:$BE$244,53,FALSE),"")</f>
        <v>0</v>
      </c>
      <c r="AY71" s="286">
        <f>IFERROR(VLOOKUP($A71,SWB!$C$15:$BE$244,55,FALSE),"")</f>
        <v>0</v>
      </c>
      <c r="AZ71" s="281">
        <f>IF(ISERROR(VLOOKUP($A71,Clima!$V$8:$AI$320,14,FALSE)),-999,VLOOKUP(A71,Clima!$V$8:$AI$219,14,FALSE))</f>
        <v>0.8</v>
      </c>
      <c r="BA71" s="281">
        <f t="shared" si="58"/>
        <v>44.1</v>
      </c>
      <c r="BB71" s="281">
        <f t="shared" si="59"/>
        <v>0.8</v>
      </c>
      <c r="BC71" s="281">
        <f t="shared" si="60"/>
        <v>44.1</v>
      </c>
      <c r="BD71" s="284">
        <f t="shared" si="45"/>
        <v>42042</v>
      </c>
    </row>
    <row r="72" spans="1:56" s="275" customFormat="1" ht="12.75">
      <c r="A72" s="273">
        <f t="shared" si="53"/>
        <v>42043</v>
      </c>
      <c r="B72" s="274">
        <f t="shared" si="30"/>
        <v>39</v>
      </c>
      <c r="C72" s="275" t="str">
        <f t="shared" si="31"/>
        <v>Inicial</v>
      </c>
      <c r="D72" s="276">
        <f t="shared" si="32"/>
        <v>1.2</v>
      </c>
      <c r="E72" s="276">
        <f t="shared" si="33"/>
        <v>0.27353333246666711</v>
      </c>
      <c r="F72" s="276"/>
      <c r="G72" s="276">
        <f t="shared" si="34"/>
        <v>1.0351129999999999</v>
      </c>
      <c r="H72" s="276">
        <f t="shared" si="35"/>
        <v>1.1851130000000001</v>
      </c>
      <c r="I72" s="276">
        <f t="shared" si="36"/>
        <v>2.1450550000000002</v>
      </c>
      <c r="J72" s="276">
        <f>IFERROR(IF($G$1="Sí",VLOOKUP($A72,CSVAgro,13,FALSE),VLOOKUP($A72,SWB!$C$15:$P$202,14,FALSE)),0)</f>
        <v>0</v>
      </c>
      <c r="K72" s="487">
        <f t="shared" si="37"/>
        <v>0</v>
      </c>
      <c r="L72" s="487">
        <f t="shared" si="38"/>
        <v>0</v>
      </c>
      <c r="M72" s="487">
        <f t="shared" si="39"/>
        <v>0</v>
      </c>
      <c r="N72" s="277">
        <f>IF(ISERROR($G$1="Sí"),VLOOKUP($A72,CSVAgro,16,FALSE),IF(ISERROR(VLOOKUP($A72,Clima!$W$8:$Z$284,2,FALSE)),VLOOKUP($A72,Clima!$E$8:$H$372,2,FALSE),VLOOKUP($A72,Clima!$W$8:$Z$284,2,FALSE)))</f>
        <v>-0.8</v>
      </c>
      <c r="O72" s="276">
        <f t="shared" si="40"/>
        <v>21.734691851710103</v>
      </c>
      <c r="P72" s="276">
        <f t="shared" si="54"/>
        <v>24.2</v>
      </c>
      <c r="Q72" s="487">
        <f t="shared" si="41"/>
        <v>0</v>
      </c>
      <c r="R72" s="278">
        <f t="shared" si="55"/>
        <v>-0.8</v>
      </c>
      <c r="S72" s="278">
        <f t="shared" si="46"/>
        <v>-0.8</v>
      </c>
      <c r="T72" s="279">
        <f t="shared" si="47"/>
        <v>39</v>
      </c>
      <c r="U72" s="279">
        <f t="shared" si="62"/>
        <v>6</v>
      </c>
      <c r="V72" s="276">
        <f t="shared" si="48"/>
        <v>0</v>
      </c>
      <c r="W72" s="276">
        <f>IF(AND(S72&gt;VLOOKUP(Inputs!$I$2,Extracciones,3),S72&lt;VLOOKUP(Inputs!$I$2,Extracciones,5)),(S72-VLOOKUP(Inputs!$I$2,Extracciones,3))*Inputs!$E$12,0)</f>
        <v>0</v>
      </c>
      <c r="X72" s="278">
        <f>IF(AD72=0,VLOOKUP(R72,Mineral,2)*R72*Inputs!$C$16*Inputs!$E$37,VLOOKUP(R72,Mineral,2)*R72*Inputs!$C$16)</f>
        <v>0</v>
      </c>
      <c r="Y72" s="278">
        <f>SUM(K72,M72)*Inputs!$O$8*14/(100*62)</f>
        <v>0</v>
      </c>
      <c r="Z72" s="278">
        <f t="shared" si="61"/>
        <v>0</v>
      </c>
      <c r="AA72" s="278">
        <f t="shared" si="56"/>
        <v>0</v>
      </c>
      <c r="AB72" s="279">
        <f t="shared" si="42"/>
        <v>0</v>
      </c>
      <c r="AC72" s="278">
        <f t="shared" si="63"/>
        <v>0</v>
      </c>
      <c r="AD72" s="279">
        <f t="shared" si="49"/>
        <v>-0.63306486486486502</v>
      </c>
      <c r="AE72" s="278">
        <f t="shared" si="50"/>
        <v>-12.758691891891887</v>
      </c>
      <c r="AF72" s="278">
        <f t="shared" ref="AF72:AF135" si="64">AF71+SUM(X72:Z72)+SUM(AC72:AD72)</f>
        <v>68.40130810810804</v>
      </c>
      <c r="AG72" s="279">
        <f t="shared" si="43"/>
        <v>25</v>
      </c>
      <c r="AH72" s="279">
        <f>AF72*1000000/(Inputs!$C$9*100*Inputs!$C$8*1000*(1-Inputs!$C$10)*(1+Inputs!$C$12))</f>
        <v>13.685735915988005</v>
      </c>
      <c r="AI72" s="279">
        <f>IFERROR(HLOOKUP(A72,Inputs!$C$14:$C$15,2,FALSE),-100)</f>
        <v>-100</v>
      </c>
      <c r="AJ72" s="281">
        <f t="shared" si="44"/>
        <v>0</v>
      </c>
      <c r="AK72" s="282">
        <f t="shared" si="27"/>
        <v>0</v>
      </c>
      <c r="AL72" s="282">
        <f t="shared" si="28"/>
        <v>0</v>
      </c>
      <c r="AM72" s="282">
        <f t="shared" si="29"/>
        <v>0</v>
      </c>
      <c r="AN72" s="283">
        <f>IFERROR(IF($G$1="Sí",VLOOKUP($A72,CSVAgro,9,FALSE),VLOOKUP($A72,Clima!$E$8:$Q$373,13,FALSE)),0)</f>
        <v>1.2</v>
      </c>
      <c r="AO72" s="281">
        <f t="shared" si="57"/>
        <v>33.9</v>
      </c>
      <c r="AP72" s="281">
        <f>IFERROR(VLOOKUP($A72,'F TrB'!$C$3:$O$21,3,FALSE),-9999)</f>
        <v>-9999</v>
      </c>
      <c r="AQ72" s="281">
        <f t="shared" si="51"/>
        <v>-999</v>
      </c>
      <c r="AR72" s="281">
        <f>IFERROR(IF(VLOOKUP($A72,'F TrB'!$Q$3:$R$21,2,FALSE)=0,-99999,VLOOKUP($A72,'F TrB'!$Q$3:$R$21,2,FALSE)),-99999)</f>
        <v>-99999</v>
      </c>
      <c r="AS72" s="281">
        <f t="shared" si="52"/>
        <v>-99999</v>
      </c>
      <c r="AT72" s="281" t="str">
        <f>IFERROR(VLOOKUP($A72,'NDVI tipo'!$Q$8:$S$30,2,FALSE),"")</f>
        <v/>
      </c>
      <c r="AU72" s="281">
        <f>IF(ISERROR(VLOOKUP($A72,'NDVI tipo'!$Q$8:$S$50,2,FALSE)),AU71+VLOOKUP($A72,'NDVI tipo'!$Q$8:$S$50,3,TRUE),VLOOKUP($A72,'NDVI tipo'!$Q$8:$S$50,2,FALSE))</f>
        <v>0.25102445454545486</v>
      </c>
      <c r="AV72" s="281">
        <f>IFERROR(VLOOKUP($A72,'NDVI real'!$Q$8:$S$44,2,FALSE),-999)</f>
        <v>-999</v>
      </c>
      <c r="AW72" s="281">
        <f>IF(ISERROR(VLOOKUP($A72,'NDVI real'!$T$8:$U$350,2,FALSE)),"",VLOOKUP($A72,'NDVI real'!$T$8:$U$350,2,FALSE))</f>
        <v>0.25939814754629664</v>
      </c>
      <c r="AX72" s="286">
        <f>IFERROR(VLOOKUP($A72,SWB!$C$15:$BE$244,53,FALSE),"")</f>
        <v>0</v>
      </c>
      <c r="AY72" s="286">
        <f>IFERROR(VLOOKUP($A72,SWB!$C$15:$BE$244,55,FALSE),"")</f>
        <v>0</v>
      </c>
      <c r="AZ72" s="281">
        <f>IF(ISERROR(VLOOKUP($A72,Clima!$V$8:$AI$320,14,FALSE)),-999,VLOOKUP(A72,Clima!$V$8:$AI$219,14,FALSE))</f>
        <v>1.2</v>
      </c>
      <c r="BA72" s="281">
        <f t="shared" si="58"/>
        <v>45.300000000000004</v>
      </c>
      <c r="BB72" s="281">
        <f t="shared" si="59"/>
        <v>1.2</v>
      </c>
      <c r="BC72" s="281">
        <f t="shared" si="60"/>
        <v>45.300000000000004</v>
      </c>
      <c r="BD72" s="284">
        <f t="shared" si="45"/>
        <v>42043</v>
      </c>
    </row>
    <row r="73" spans="1:56" s="275" customFormat="1" ht="12.75">
      <c r="A73" s="273">
        <f t="shared" si="53"/>
        <v>42044</v>
      </c>
      <c r="B73" s="274">
        <f t="shared" si="30"/>
        <v>40</v>
      </c>
      <c r="C73" s="275" t="str">
        <f t="shared" si="31"/>
        <v>Inicial</v>
      </c>
      <c r="D73" s="276">
        <f t="shared" si="32"/>
        <v>0.9</v>
      </c>
      <c r="E73" s="276">
        <f t="shared" si="33"/>
        <v>0.27337777693333387</v>
      </c>
      <c r="F73" s="276"/>
      <c r="G73" s="276">
        <f t="shared" si="34"/>
        <v>1.044943</v>
      </c>
      <c r="H73" s="276">
        <f t="shared" si="35"/>
        <v>1.1949430000000001</v>
      </c>
      <c r="I73" s="276">
        <f t="shared" si="36"/>
        <v>1.9716560000000001</v>
      </c>
      <c r="J73" s="276">
        <f>IFERROR(IF($G$1="Sí",VLOOKUP($A73,CSVAgro,13,FALSE),VLOOKUP($A73,SWB!$C$15:$P$202,14,FALSE)),0)</f>
        <v>0</v>
      </c>
      <c r="K73" s="487">
        <f t="shared" si="37"/>
        <v>0</v>
      </c>
      <c r="L73" s="487">
        <f t="shared" si="38"/>
        <v>0</v>
      </c>
      <c r="M73" s="487">
        <f t="shared" si="39"/>
        <v>0</v>
      </c>
      <c r="N73" s="277">
        <f>IF(ISERROR($G$1="Sí"),VLOOKUP($A73,CSVAgro,16,FALSE),IF(ISERROR(VLOOKUP($A73,Clima!$W$8:$Z$284,2,FALSE)),VLOOKUP($A73,Clima!$E$8:$H$372,2,FALSE),VLOOKUP($A73,Clima!$W$8:$Z$284,2,FALSE)))</f>
        <v>0.6</v>
      </c>
      <c r="O73" s="276">
        <f t="shared" si="40"/>
        <v>22.644001105475315</v>
      </c>
      <c r="P73" s="276">
        <f t="shared" si="54"/>
        <v>24.2</v>
      </c>
      <c r="Q73" s="487">
        <f t="shared" si="41"/>
        <v>0</v>
      </c>
      <c r="R73" s="278">
        <f t="shared" si="55"/>
        <v>0.6</v>
      </c>
      <c r="S73" s="278">
        <f t="shared" si="46"/>
        <v>0.6</v>
      </c>
      <c r="T73" s="279">
        <f t="shared" si="47"/>
        <v>40</v>
      </c>
      <c r="U73" s="279">
        <f t="shared" si="62"/>
        <v>7</v>
      </c>
      <c r="V73" s="276">
        <f t="shared" si="48"/>
        <v>0</v>
      </c>
      <c r="W73" s="276">
        <f>IF(AND(S73&gt;VLOOKUP(Inputs!$I$2,Extracciones,3),S73&lt;VLOOKUP(Inputs!$I$2,Extracciones,5)),(S73-VLOOKUP(Inputs!$I$2,Extracciones,3))*Inputs!$E$12,0)</f>
        <v>0</v>
      </c>
      <c r="X73" s="278">
        <f>IF(AD73=0,VLOOKUP(R73,Mineral,2)*R73*Inputs!$C$16*Inputs!$E$37,VLOOKUP(R73,Mineral,2)*R73*Inputs!$C$16)</f>
        <v>0</v>
      </c>
      <c r="Y73" s="278">
        <f>SUM(K73,M73)*Inputs!$O$8*14/(100*62)</f>
        <v>0</v>
      </c>
      <c r="Z73" s="278">
        <f t="shared" si="61"/>
        <v>0</v>
      </c>
      <c r="AA73" s="278">
        <f t="shared" si="56"/>
        <v>0</v>
      </c>
      <c r="AB73" s="279">
        <f t="shared" si="42"/>
        <v>0</v>
      </c>
      <c r="AC73" s="278">
        <f t="shared" si="63"/>
        <v>0</v>
      </c>
      <c r="AD73" s="279">
        <f t="shared" si="49"/>
        <v>-0.63306486486486502</v>
      </c>
      <c r="AE73" s="278">
        <f t="shared" si="50"/>
        <v>-13.391756756756752</v>
      </c>
      <c r="AF73" s="278">
        <f t="shared" si="64"/>
        <v>67.768243243243177</v>
      </c>
      <c r="AG73" s="279">
        <f t="shared" si="43"/>
        <v>25</v>
      </c>
      <c r="AH73" s="279">
        <f>AF73*1000000/(Inputs!$C$9*100*Inputs!$C$8*1000*(1-Inputs!$C$10)*(1+Inputs!$C$12))</f>
        <v>13.559072277559659</v>
      </c>
      <c r="AI73" s="279">
        <f>IFERROR(HLOOKUP(A73,Inputs!$C$14:$C$15,2,FALSE),-100)</f>
        <v>-100</v>
      </c>
      <c r="AJ73" s="281">
        <f t="shared" si="44"/>
        <v>0</v>
      </c>
      <c r="AK73" s="282">
        <f t="shared" si="27"/>
        <v>0</v>
      </c>
      <c r="AL73" s="282">
        <f t="shared" si="28"/>
        <v>0</v>
      </c>
      <c r="AM73" s="282">
        <f t="shared" si="29"/>
        <v>0</v>
      </c>
      <c r="AN73" s="283">
        <f>IFERROR(IF($G$1="Sí",VLOOKUP($A73,CSVAgro,9,FALSE),VLOOKUP($A73,Clima!$E$8:$Q$373,13,FALSE)),0)</f>
        <v>2.5</v>
      </c>
      <c r="AO73" s="281">
        <f t="shared" si="57"/>
        <v>36.4</v>
      </c>
      <c r="AP73" s="281">
        <f>IFERROR(VLOOKUP($A73,'F TrB'!$C$3:$O$21,3,FALSE),-9999)</f>
        <v>-9999</v>
      </c>
      <c r="AQ73" s="281">
        <f t="shared" si="51"/>
        <v>-999</v>
      </c>
      <c r="AR73" s="281">
        <f>IFERROR(IF(VLOOKUP($A73,'F TrB'!$Q$3:$R$21,2,FALSE)=0,-99999,VLOOKUP($A73,'F TrB'!$Q$3:$R$21,2,FALSE)),-99999)</f>
        <v>-99999</v>
      </c>
      <c r="AS73" s="281">
        <f t="shared" si="52"/>
        <v>-99999</v>
      </c>
      <c r="AT73" s="281" t="str">
        <f>IFERROR(VLOOKUP($A73,'NDVI tipo'!$Q$8:$S$30,2,FALSE),"")</f>
        <v/>
      </c>
      <c r="AU73" s="281">
        <f>IF(ISERROR(VLOOKUP($A73,'NDVI tipo'!$Q$8:$S$50,2,FALSE)),AU72+VLOOKUP($A73,'NDVI tipo'!$Q$8:$S$50,3,TRUE),VLOOKUP($A73,'NDVI tipo'!$Q$8:$S$50,2,FALSE))</f>
        <v>0.25253907272727305</v>
      </c>
      <c r="AV73" s="281">
        <f>IFERROR(VLOOKUP($A73,'NDVI real'!$Q$8:$S$44,2,FALSE),-999)</f>
        <v>-999</v>
      </c>
      <c r="AW73" s="281">
        <f>IF(ISERROR(VLOOKUP($A73,'NDVI real'!$T$8:$U$350,2,FALSE)),"",VLOOKUP($A73,'NDVI real'!$T$8:$U$350,2,FALSE))</f>
        <v>0.25929012287037073</v>
      </c>
      <c r="AX73" s="286">
        <f>IFERROR(VLOOKUP($A73,SWB!$C$15:$BE$244,53,FALSE),"")</f>
        <v>0</v>
      </c>
      <c r="AY73" s="286">
        <f>IFERROR(VLOOKUP($A73,SWB!$C$15:$BE$244,55,FALSE),"")</f>
        <v>0</v>
      </c>
      <c r="AZ73" s="281">
        <f>IF(ISERROR(VLOOKUP($A73,Clima!$V$8:$AI$320,14,FALSE)),-999,VLOOKUP(A73,Clima!$V$8:$AI$219,14,FALSE))</f>
        <v>0.9</v>
      </c>
      <c r="BA73" s="281">
        <f t="shared" si="58"/>
        <v>46.2</v>
      </c>
      <c r="BB73" s="281">
        <f t="shared" si="59"/>
        <v>0.9</v>
      </c>
      <c r="BC73" s="281">
        <f t="shared" si="60"/>
        <v>46.2</v>
      </c>
      <c r="BD73" s="284">
        <f t="shared" si="45"/>
        <v>42044</v>
      </c>
    </row>
    <row r="74" spans="1:56" s="275" customFormat="1" ht="12.75">
      <c r="A74" s="273">
        <f t="shared" si="53"/>
        <v>42045</v>
      </c>
      <c r="B74" s="274">
        <f t="shared" si="30"/>
        <v>41</v>
      </c>
      <c r="C74" s="275" t="str">
        <f t="shared" si="31"/>
        <v>Inicial</v>
      </c>
      <c r="D74" s="276">
        <f t="shared" si="32"/>
        <v>0.8</v>
      </c>
      <c r="E74" s="276">
        <f t="shared" si="33"/>
        <v>0.27322222140000052</v>
      </c>
      <c r="F74" s="276"/>
      <c r="G74" s="276">
        <f t="shared" si="34"/>
        <v>0.97456600000000004</v>
      </c>
      <c r="H74" s="276">
        <f t="shared" si="35"/>
        <v>1.124566</v>
      </c>
      <c r="I74" s="276">
        <f t="shared" si="36"/>
        <v>0.93338900000000002</v>
      </c>
      <c r="J74" s="276">
        <f>IFERROR(IF($G$1="Sí",VLOOKUP($A74,CSVAgro,13,FALSE),VLOOKUP($A74,SWB!$C$15:$P$202,14,FALSE)),0)</f>
        <v>0.2</v>
      </c>
      <c r="K74" s="487">
        <f t="shared" si="37"/>
        <v>0</v>
      </c>
      <c r="L74" s="487">
        <f t="shared" si="38"/>
        <v>0</v>
      </c>
      <c r="M74" s="487">
        <f t="shared" si="39"/>
        <v>0</v>
      </c>
      <c r="N74" s="277">
        <f>IF(ISERROR($G$1="Sí"),VLOOKUP($A74,CSVAgro,16,FALSE),IF(ISERROR(VLOOKUP($A74,Clima!$W$8:$Z$284,2,FALSE)),VLOOKUP($A74,Clima!$E$8:$H$372,2,FALSE),VLOOKUP($A74,Clima!$W$8:$Z$284,2,FALSE)))</f>
        <v>3.6</v>
      </c>
      <c r="O74" s="276">
        <f t="shared" si="40"/>
        <v>23.512135821727611</v>
      </c>
      <c r="P74" s="276">
        <f t="shared" si="54"/>
        <v>24.4</v>
      </c>
      <c r="Q74" s="487">
        <f t="shared" si="41"/>
        <v>0</v>
      </c>
      <c r="R74" s="278">
        <f t="shared" si="55"/>
        <v>3.6</v>
      </c>
      <c r="S74" s="278">
        <f t="shared" si="46"/>
        <v>3.6</v>
      </c>
      <c r="T74" s="279">
        <f t="shared" si="47"/>
        <v>41</v>
      </c>
      <c r="U74" s="279">
        <f t="shared" si="62"/>
        <v>7</v>
      </c>
      <c r="V74" s="276">
        <f t="shared" si="48"/>
        <v>0</v>
      </c>
      <c r="W74" s="276">
        <f>IF(AND(S74&gt;VLOOKUP(Inputs!$I$2,Extracciones,3),S74&lt;VLOOKUP(Inputs!$I$2,Extracciones,5)),(S74-VLOOKUP(Inputs!$I$2,Extracciones,3))*Inputs!$E$12,0)</f>
        <v>0</v>
      </c>
      <c r="X74" s="278">
        <f>IF(AD74=0,VLOOKUP(R74,Mineral,2)*R74*Inputs!$C$16*Inputs!$E$37,VLOOKUP(R74,Mineral,2)*R74*Inputs!$C$16)</f>
        <v>0</v>
      </c>
      <c r="Y74" s="278">
        <f>SUM(K74,M74)*Inputs!$O$8*14/(100*62)</f>
        <v>0</v>
      </c>
      <c r="Z74" s="278">
        <f t="shared" si="61"/>
        <v>0</v>
      </c>
      <c r="AA74" s="278">
        <f t="shared" si="56"/>
        <v>0</v>
      </c>
      <c r="AB74" s="279">
        <f t="shared" si="42"/>
        <v>0</v>
      </c>
      <c r="AC74" s="278">
        <f t="shared" si="63"/>
        <v>0</v>
      </c>
      <c r="AD74" s="279">
        <f t="shared" si="49"/>
        <v>-0.63306486486486502</v>
      </c>
      <c r="AE74" s="278">
        <f t="shared" si="50"/>
        <v>-14.024821621621617</v>
      </c>
      <c r="AF74" s="278">
        <f t="shared" si="64"/>
        <v>67.135178378378313</v>
      </c>
      <c r="AG74" s="279">
        <f t="shared" si="43"/>
        <v>25</v>
      </c>
      <c r="AH74" s="279">
        <f>AF74*1000000/(Inputs!$C$9*100*Inputs!$C$8*1000*(1-Inputs!$C$10)*(1+Inputs!$C$12))</f>
        <v>13.432408639131316</v>
      </c>
      <c r="AI74" s="279">
        <f>IFERROR(HLOOKUP(A74,Inputs!$C$14:$C$15,2,FALSE),-100)</f>
        <v>-100</v>
      </c>
      <c r="AJ74" s="281">
        <f t="shared" si="44"/>
        <v>0</v>
      </c>
      <c r="AK74" s="282">
        <f t="shared" si="27"/>
        <v>0</v>
      </c>
      <c r="AL74" s="282">
        <f t="shared" si="28"/>
        <v>0</v>
      </c>
      <c r="AM74" s="282">
        <f t="shared" si="29"/>
        <v>0</v>
      </c>
      <c r="AN74" s="283">
        <f>IFERROR(IF($G$1="Sí",VLOOKUP($A74,CSVAgro,9,FALSE),VLOOKUP($A74,Clima!$E$8:$Q$373,13,FALSE)),0)</f>
        <v>2.4</v>
      </c>
      <c r="AO74" s="281">
        <f t="shared" si="57"/>
        <v>38.799999999999997</v>
      </c>
      <c r="AP74" s="281">
        <f>IFERROR(VLOOKUP($A74,'F TrB'!$C$3:$O$21,3,FALSE),-9999)</f>
        <v>-9999</v>
      </c>
      <c r="AQ74" s="281">
        <f t="shared" si="51"/>
        <v>-999</v>
      </c>
      <c r="AR74" s="281">
        <f>IFERROR(IF(VLOOKUP($A74,'F TrB'!$Q$3:$R$21,2,FALSE)=0,-99999,VLOOKUP($A74,'F TrB'!$Q$3:$R$21,2,FALSE)),-99999)</f>
        <v>-99999</v>
      </c>
      <c r="AS74" s="281">
        <f t="shared" si="52"/>
        <v>-99999</v>
      </c>
      <c r="AT74" s="281" t="str">
        <f>IFERROR(VLOOKUP($A74,'NDVI tipo'!$Q$8:$S$30,2,FALSE),"")</f>
        <v/>
      </c>
      <c r="AU74" s="281">
        <f>IF(ISERROR(VLOOKUP($A74,'NDVI tipo'!$Q$8:$S$50,2,FALSE)),AU73+VLOOKUP($A74,'NDVI tipo'!$Q$8:$S$50,3,TRUE),VLOOKUP($A74,'NDVI tipo'!$Q$8:$S$50,2,FALSE))</f>
        <v>0.25405369090909125</v>
      </c>
      <c r="AV74" s="281">
        <f>IFERROR(VLOOKUP($A74,'NDVI real'!$Q$8:$S$44,2,FALSE),-999)</f>
        <v>-999</v>
      </c>
      <c r="AW74" s="281">
        <f>IF(ISERROR(VLOOKUP($A74,'NDVI real'!$T$8:$U$350,2,FALSE)),"",VLOOKUP($A74,'NDVI real'!$T$8:$U$350,2,FALSE))</f>
        <v>0.25918209819444482</v>
      </c>
      <c r="AX74" s="286">
        <f>IFERROR(VLOOKUP($A74,SWB!$C$15:$BE$244,53,FALSE),"")</f>
        <v>0</v>
      </c>
      <c r="AY74" s="286">
        <f>IFERROR(VLOOKUP($A74,SWB!$C$15:$BE$244,55,FALSE),"")</f>
        <v>0</v>
      </c>
      <c r="AZ74" s="281">
        <f>IF(ISERROR(VLOOKUP($A74,Clima!$V$8:$AI$320,14,FALSE)),-999,VLOOKUP(A74,Clima!$V$8:$AI$219,14,FALSE))</f>
        <v>0.8</v>
      </c>
      <c r="BA74" s="281">
        <f t="shared" si="58"/>
        <v>47</v>
      </c>
      <c r="BB74" s="281">
        <f t="shared" si="59"/>
        <v>0.8</v>
      </c>
      <c r="BC74" s="281">
        <f t="shared" si="60"/>
        <v>47</v>
      </c>
      <c r="BD74" s="284">
        <f t="shared" si="45"/>
        <v>42045</v>
      </c>
    </row>
    <row r="75" spans="1:56" s="275" customFormat="1" ht="12.75">
      <c r="A75" s="273">
        <f t="shared" si="53"/>
        <v>42046</v>
      </c>
      <c r="B75" s="274">
        <f t="shared" si="30"/>
        <v>42</v>
      </c>
      <c r="C75" s="275" t="str">
        <f t="shared" si="31"/>
        <v>Inicial</v>
      </c>
      <c r="D75" s="276">
        <f t="shared" si="32"/>
        <v>1.3</v>
      </c>
      <c r="E75" s="276">
        <f t="shared" si="33"/>
        <v>0.27306666586666717</v>
      </c>
      <c r="F75" s="276"/>
      <c r="G75" s="276">
        <f t="shared" si="34"/>
        <v>1.0477650000000001</v>
      </c>
      <c r="H75" s="276">
        <f t="shared" si="35"/>
        <v>1.197765</v>
      </c>
      <c r="I75" s="276">
        <f t="shared" si="36"/>
        <v>1.4492959999999999</v>
      </c>
      <c r="J75" s="276">
        <f>IFERROR(IF($G$1="Sí",VLOOKUP($A75,CSVAgro,13,FALSE),VLOOKUP($A75,SWB!$C$15:$P$202,14,FALSE)),0)</f>
        <v>0.2</v>
      </c>
      <c r="K75" s="487">
        <f t="shared" si="37"/>
        <v>0</v>
      </c>
      <c r="L75" s="487">
        <f t="shared" si="38"/>
        <v>0</v>
      </c>
      <c r="M75" s="487">
        <f t="shared" si="39"/>
        <v>0</v>
      </c>
      <c r="N75" s="277">
        <f>IF(ISERROR($G$1="Sí"),VLOOKUP($A75,CSVAgro,16,FALSE),IF(ISERROR(VLOOKUP($A75,Clima!$W$8:$Z$284,2,FALSE)),VLOOKUP($A75,Clima!$E$8:$H$372,2,FALSE),VLOOKUP($A75,Clima!$W$8:$Z$284,2,FALSE)))</f>
        <v>5.9</v>
      </c>
      <c r="O75" s="276">
        <f t="shared" si="40"/>
        <v>24.44857114363354</v>
      </c>
      <c r="P75" s="276">
        <f t="shared" si="54"/>
        <v>24.599999999999998</v>
      </c>
      <c r="Q75" s="487">
        <f t="shared" si="41"/>
        <v>0</v>
      </c>
      <c r="R75" s="278">
        <f t="shared" si="55"/>
        <v>5.9</v>
      </c>
      <c r="S75" s="278">
        <f t="shared" si="46"/>
        <v>5.9</v>
      </c>
      <c r="T75" s="279">
        <f t="shared" si="47"/>
        <v>42</v>
      </c>
      <c r="U75" s="279">
        <f t="shared" si="62"/>
        <v>7</v>
      </c>
      <c r="V75" s="276">
        <f t="shared" si="48"/>
        <v>0</v>
      </c>
      <c r="W75" s="276">
        <f>IF(AND(S75&gt;VLOOKUP(Inputs!$I$2,Extracciones,3),S75&lt;VLOOKUP(Inputs!$I$2,Extracciones,5)),(S75-VLOOKUP(Inputs!$I$2,Extracciones,3))*Inputs!$E$12,0)</f>
        <v>0</v>
      </c>
      <c r="X75" s="278">
        <f>IF(AD75=0,VLOOKUP(R75,Mineral,2)*R75*Inputs!$C$16*Inputs!$E$37,VLOOKUP(R75,Mineral,2)*R75*Inputs!$C$16)</f>
        <v>0</v>
      </c>
      <c r="Y75" s="278">
        <f>SUM(K75,M75)*Inputs!$O$8*14/(100*62)</f>
        <v>0</v>
      </c>
      <c r="Z75" s="278">
        <f t="shared" si="61"/>
        <v>0</v>
      </c>
      <c r="AA75" s="278">
        <f t="shared" si="56"/>
        <v>0</v>
      </c>
      <c r="AB75" s="279">
        <f t="shared" si="42"/>
        <v>0</v>
      </c>
      <c r="AC75" s="278">
        <f t="shared" si="63"/>
        <v>0</v>
      </c>
      <c r="AD75" s="279">
        <f t="shared" si="49"/>
        <v>-0.63306486486486502</v>
      </c>
      <c r="AE75" s="278">
        <f t="shared" si="50"/>
        <v>-14.657886486486483</v>
      </c>
      <c r="AF75" s="278">
        <f t="shared" si="64"/>
        <v>66.50211351351345</v>
      </c>
      <c r="AG75" s="279">
        <f t="shared" si="43"/>
        <v>25</v>
      </c>
      <c r="AH75" s="279">
        <f>AF75*1000000/(Inputs!$C$9*100*Inputs!$C$8*1000*(1-Inputs!$C$10)*(1+Inputs!$C$12))</f>
        <v>13.305745000702972</v>
      </c>
      <c r="AI75" s="279">
        <f>IFERROR(HLOOKUP(A75,Inputs!$C$14:$C$15,2,FALSE),-100)</f>
        <v>-100</v>
      </c>
      <c r="AJ75" s="281">
        <f t="shared" si="44"/>
        <v>0</v>
      </c>
      <c r="AK75" s="282">
        <f t="shared" si="27"/>
        <v>0</v>
      </c>
      <c r="AL75" s="282">
        <f t="shared" si="28"/>
        <v>0</v>
      </c>
      <c r="AM75" s="282">
        <f t="shared" si="29"/>
        <v>0</v>
      </c>
      <c r="AN75" s="283">
        <f>IFERROR(IF($G$1="Sí",VLOOKUP($A75,CSVAgro,9,FALSE),VLOOKUP($A75,Clima!$E$8:$Q$373,13,FALSE)),0)</f>
        <v>2.6</v>
      </c>
      <c r="AO75" s="281">
        <f t="shared" si="57"/>
        <v>41.4</v>
      </c>
      <c r="AP75" s="281">
        <f>IFERROR(VLOOKUP($A75,'F TrB'!$C$3:$O$21,3,FALSE),-9999)</f>
        <v>-9999</v>
      </c>
      <c r="AQ75" s="281">
        <f t="shared" si="51"/>
        <v>-999</v>
      </c>
      <c r="AR75" s="281">
        <f>IFERROR(IF(VLOOKUP($A75,'F TrB'!$Q$3:$R$21,2,FALSE)=0,-99999,VLOOKUP($A75,'F TrB'!$Q$3:$R$21,2,FALSE)),-99999)</f>
        <v>-99999</v>
      </c>
      <c r="AS75" s="281">
        <f t="shared" si="52"/>
        <v>-99999</v>
      </c>
      <c r="AT75" s="281" t="str">
        <f>IFERROR(VLOOKUP($A75,'NDVI tipo'!$Q$8:$S$30,2,FALSE),"")</f>
        <v/>
      </c>
      <c r="AU75" s="281">
        <f>IF(ISERROR(VLOOKUP($A75,'NDVI tipo'!$Q$8:$S$50,2,FALSE)),AU74+VLOOKUP($A75,'NDVI tipo'!$Q$8:$S$50,3,TRUE),VLOOKUP($A75,'NDVI tipo'!$Q$8:$S$50,2,FALSE))</f>
        <v>0.25556830909090944</v>
      </c>
      <c r="AV75" s="281">
        <f>IFERROR(VLOOKUP($A75,'NDVI real'!$Q$8:$S$44,2,FALSE),-999)</f>
        <v>-999</v>
      </c>
      <c r="AW75" s="281">
        <f>IF(ISERROR(VLOOKUP($A75,'NDVI real'!$T$8:$U$350,2,FALSE)),"",VLOOKUP($A75,'NDVI real'!$T$8:$U$350,2,FALSE))</f>
        <v>0.25907407351851891</v>
      </c>
      <c r="AX75" s="286">
        <f>IFERROR(VLOOKUP($A75,SWB!$C$15:$BE$244,53,FALSE),"")</f>
        <v>0</v>
      </c>
      <c r="AY75" s="286">
        <f>IFERROR(VLOOKUP($A75,SWB!$C$15:$BE$244,55,FALSE),"")</f>
        <v>0</v>
      </c>
      <c r="AZ75" s="281">
        <f>IF(ISERROR(VLOOKUP($A75,Clima!$V$8:$AI$320,14,FALSE)),-999,VLOOKUP(A75,Clima!$V$8:$AI$219,14,FALSE))</f>
        <v>1.3</v>
      </c>
      <c r="BA75" s="281">
        <f t="shared" si="58"/>
        <v>48.3</v>
      </c>
      <c r="BB75" s="281">
        <f t="shared" si="59"/>
        <v>1.3</v>
      </c>
      <c r="BC75" s="281">
        <f t="shared" si="60"/>
        <v>48.3</v>
      </c>
      <c r="BD75" s="284">
        <f t="shared" si="45"/>
        <v>42046</v>
      </c>
    </row>
    <row r="76" spans="1:56" s="275" customFormat="1" ht="12.75">
      <c r="A76" s="273">
        <f t="shared" si="53"/>
        <v>42047</v>
      </c>
      <c r="B76" s="274">
        <f t="shared" si="30"/>
        <v>43</v>
      </c>
      <c r="C76" s="275" t="str">
        <f t="shared" si="31"/>
        <v>Inicial</v>
      </c>
      <c r="D76" s="276">
        <f t="shared" si="32"/>
        <v>0.7</v>
      </c>
      <c r="E76" s="276">
        <f t="shared" si="33"/>
        <v>0.27291111033333393</v>
      </c>
      <c r="F76" s="276"/>
      <c r="G76" s="276">
        <f t="shared" si="34"/>
        <v>1.022605</v>
      </c>
      <c r="H76" s="276">
        <f t="shared" si="35"/>
        <v>1.1726049999999999</v>
      </c>
      <c r="I76" s="276">
        <f t="shared" si="36"/>
        <v>1.00844</v>
      </c>
      <c r="J76" s="276">
        <f>IFERROR(IF($G$1="Sí",VLOOKUP($A76,CSVAgro,13,FALSE),VLOOKUP($A76,SWB!$C$15:$P$202,14,FALSE)),0)</f>
        <v>1.8</v>
      </c>
      <c r="K76" s="487">
        <f t="shared" si="37"/>
        <v>0</v>
      </c>
      <c r="L76" s="487">
        <f t="shared" si="38"/>
        <v>0</v>
      </c>
      <c r="M76" s="487">
        <f t="shared" si="39"/>
        <v>0</v>
      </c>
      <c r="N76" s="277">
        <f>IF(ISERROR($G$1="Sí"),VLOOKUP($A76,CSVAgro,16,FALSE),IF(ISERROR(VLOOKUP($A76,Clima!$W$8:$Z$284,2,FALSE)),VLOOKUP($A76,Clima!$E$8:$H$372,2,FALSE),VLOOKUP($A76,Clima!$W$8:$Z$284,2,FALSE)))</f>
        <v>5.4</v>
      </c>
      <c r="O76" s="276">
        <f t="shared" si="40"/>
        <v>25.98274808781354</v>
      </c>
      <c r="P76" s="276">
        <f t="shared" si="54"/>
        <v>26.4</v>
      </c>
      <c r="Q76" s="487">
        <f t="shared" si="41"/>
        <v>0</v>
      </c>
      <c r="R76" s="278">
        <f t="shared" si="55"/>
        <v>5.4</v>
      </c>
      <c r="S76" s="278">
        <f t="shared" si="46"/>
        <v>5.4</v>
      </c>
      <c r="T76" s="279">
        <f t="shared" si="47"/>
        <v>43</v>
      </c>
      <c r="U76" s="279">
        <f t="shared" si="62"/>
        <v>7</v>
      </c>
      <c r="V76" s="276">
        <f t="shared" si="48"/>
        <v>0</v>
      </c>
      <c r="W76" s="276">
        <f>IF(AND(S76&gt;VLOOKUP(Inputs!$I$2,Extracciones,3),S76&lt;VLOOKUP(Inputs!$I$2,Extracciones,5)),(S76-VLOOKUP(Inputs!$I$2,Extracciones,3))*Inputs!$E$12,0)</f>
        <v>0</v>
      </c>
      <c r="X76" s="278">
        <f>IF(AD76=0,VLOOKUP(R76,Mineral,2)*R76*Inputs!$C$16*Inputs!$E$37,VLOOKUP(R76,Mineral,2)*R76*Inputs!$C$16)</f>
        <v>0</v>
      </c>
      <c r="Y76" s="278">
        <f>SUM(K76,M76)*Inputs!$O$8*14/(100*62)</f>
        <v>0</v>
      </c>
      <c r="Z76" s="278">
        <f t="shared" si="61"/>
        <v>0</v>
      </c>
      <c r="AA76" s="278">
        <f t="shared" si="56"/>
        <v>0</v>
      </c>
      <c r="AB76" s="279">
        <f t="shared" si="42"/>
        <v>0</v>
      </c>
      <c r="AC76" s="278">
        <f t="shared" si="63"/>
        <v>0</v>
      </c>
      <c r="AD76" s="279">
        <f t="shared" si="49"/>
        <v>-0.63306486486486502</v>
      </c>
      <c r="AE76" s="278">
        <f t="shared" si="50"/>
        <v>-15.290951351351348</v>
      </c>
      <c r="AF76" s="278">
        <f t="shared" si="64"/>
        <v>65.869048648648587</v>
      </c>
      <c r="AG76" s="279">
        <f t="shared" si="43"/>
        <v>25</v>
      </c>
      <c r="AH76" s="279">
        <f>AF76*1000000/(Inputs!$C$9*100*Inputs!$C$8*1000*(1-Inputs!$C$10)*(1+Inputs!$C$12))</f>
        <v>13.179081362274628</v>
      </c>
      <c r="AI76" s="279">
        <f>IFERROR(HLOOKUP(A76,Inputs!$C$14:$C$15,2,FALSE),-100)</f>
        <v>-100</v>
      </c>
      <c r="AJ76" s="281">
        <f t="shared" si="44"/>
        <v>0</v>
      </c>
      <c r="AK76" s="282">
        <f t="shared" si="27"/>
        <v>0</v>
      </c>
      <c r="AL76" s="282">
        <f t="shared" si="28"/>
        <v>0</v>
      </c>
      <c r="AM76" s="282">
        <f t="shared" si="29"/>
        <v>0</v>
      </c>
      <c r="AN76" s="283">
        <f>IFERROR(IF($G$1="Sí",VLOOKUP($A76,CSVAgro,9,FALSE),VLOOKUP($A76,Clima!$E$8:$Q$373,13,FALSE)),0)</f>
        <v>1.5</v>
      </c>
      <c r="AO76" s="281">
        <f t="shared" si="57"/>
        <v>42.9</v>
      </c>
      <c r="AP76" s="281">
        <f>IFERROR(VLOOKUP($A76,'F TrB'!$C$3:$O$21,3,FALSE),-9999)</f>
        <v>-9999</v>
      </c>
      <c r="AQ76" s="281">
        <f t="shared" si="51"/>
        <v>-999</v>
      </c>
      <c r="AR76" s="281">
        <f>IFERROR(IF(VLOOKUP($A76,'F TrB'!$Q$3:$R$21,2,FALSE)=0,-99999,VLOOKUP($A76,'F TrB'!$Q$3:$R$21,2,FALSE)),-99999)</f>
        <v>-99999</v>
      </c>
      <c r="AS76" s="281">
        <f t="shared" si="52"/>
        <v>-99999</v>
      </c>
      <c r="AT76" s="281" t="str">
        <f>IFERROR(VLOOKUP($A76,'NDVI tipo'!$Q$8:$S$30,2,FALSE),"")</f>
        <v/>
      </c>
      <c r="AU76" s="281">
        <f>IF(ISERROR(VLOOKUP($A76,'NDVI tipo'!$Q$8:$S$50,2,FALSE)),AU75+VLOOKUP($A76,'NDVI tipo'!$Q$8:$S$50,3,TRUE),VLOOKUP($A76,'NDVI tipo'!$Q$8:$S$50,2,FALSE))</f>
        <v>0.25708292727272763</v>
      </c>
      <c r="AV76" s="281">
        <f>IFERROR(VLOOKUP($A76,'NDVI real'!$Q$8:$S$44,2,FALSE),-999)</f>
        <v>-999</v>
      </c>
      <c r="AW76" s="281">
        <f>IF(ISERROR(VLOOKUP($A76,'NDVI real'!$T$8:$U$350,2,FALSE)),"",VLOOKUP($A76,'NDVI real'!$T$8:$U$350,2,FALSE))</f>
        <v>0.258966048842593</v>
      </c>
      <c r="AX76" s="286">
        <f>IFERROR(VLOOKUP($A76,SWB!$C$15:$BE$244,53,FALSE),"")</f>
        <v>0</v>
      </c>
      <c r="AY76" s="286">
        <f>IFERROR(VLOOKUP($A76,SWB!$C$15:$BE$244,55,FALSE),"")</f>
        <v>0</v>
      </c>
      <c r="AZ76" s="281">
        <f>IF(ISERROR(VLOOKUP($A76,Clima!$V$8:$AI$320,14,FALSE)),-999,VLOOKUP(A76,Clima!$V$8:$AI$219,14,FALSE))</f>
        <v>0.7</v>
      </c>
      <c r="BA76" s="281">
        <f t="shared" si="58"/>
        <v>49</v>
      </c>
      <c r="BB76" s="281">
        <f t="shared" si="59"/>
        <v>0.7</v>
      </c>
      <c r="BC76" s="281">
        <f t="shared" si="60"/>
        <v>49</v>
      </c>
      <c r="BD76" s="284">
        <f t="shared" si="45"/>
        <v>42047</v>
      </c>
    </row>
    <row r="77" spans="1:56" s="275" customFormat="1" ht="12.75">
      <c r="A77" s="273">
        <f t="shared" si="53"/>
        <v>42048</v>
      </c>
      <c r="B77" s="274">
        <f t="shared" ref="B77:B108" si="65">IFERROR(IF($G$1="Sí",VLOOKUP($A77,CSVAgro,4,FALSE),VLOOKUP($A77,CSVSWB,3))," ")</f>
        <v>44</v>
      </c>
      <c r="C77" s="275" t="str">
        <f t="shared" ref="C77:C108" si="66">IFERROR(IF($G$1="Sí",VLOOKUP($A77,CSVAgro,2,FALSE),VLOOKUP($A77,CSVSWB,2,FALSE))," ")</f>
        <v>Inicial</v>
      </c>
      <c r="D77" s="276">
        <f t="shared" ref="D77:D108" si="67">IFERROR(IF($G$1="Sí",VLOOKUP($A77,CSVAgro,9,FALSE),VLOOKUP($A77,CSVSWB,8,FALSE)),0)</f>
        <v>1.2</v>
      </c>
      <c r="E77" s="276">
        <f t="shared" ref="E77:E108" si="68">IFERROR(IF($G$1="Sí",VLOOKUP($A77,CSVAgro,14,FALSE),VLOOKUP($A77,CSVSWB,13,FALSE)),0)</f>
        <v>0.27275555480000058</v>
      </c>
      <c r="F77" s="276"/>
      <c r="G77" s="276">
        <f t="shared" ref="G77:G108" si="69">IFERROR(IF($G$1="Sí",VLOOKUP($A77,CSVAgro,26,FALSE),VLOOKUP($A77,CSVSWB,26,FALSE)),0)</f>
        <v>0.91366499999999995</v>
      </c>
      <c r="H77" s="276">
        <f t="shared" ref="H77:H108" si="70">IFERROR(IF($G$1="Sí",VLOOKUP($A77,CSVAgro,29,FALSE),VLOOKUP($A77,CSVSWB,29,FALSE)),0)</f>
        <v>1.0636650000000001</v>
      </c>
      <c r="I77" s="276">
        <f t="shared" ref="I77:I108" si="71">IFERROR(IF($G$1="Sí",VLOOKUP($A77,CSVAgro,30,FALSE),VLOOKUP($A77,CSVSWB,30,FALSE)),0)</f>
        <v>0.88284200000000002</v>
      </c>
      <c r="J77" s="276">
        <f>IFERROR(IF($G$1="Sí",VLOOKUP($A77,CSVAgro,13,FALSE),VLOOKUP($A77,SWB!$C$15:$P$202,14,FALSE)),0)</f>
        <v>0</v>
      </c>
      <c r="K77" s="487">
        <f t="shared" ref="K77:K108" si="72">IFERROR(IF($G$1="Sí",VLOOKUP($A77,CSVAgro,35,FALSE),VLOOKUP($A77,CSVSWB,35,FALSE)),0)</f>
        <v>0</v>
      </c>
      <c r="L77" s="487">
        <f t="shared" si="38"/>
        <v>0</v>
      </c>
      <c r="M77" s="487">
        <f t="shared" si="39"/>
        <v>0</v>
      </c>
      <c r="N77" s="277">
        <f>IF(ISERROR($G$1="Sí"),VLOOKUP($A77,CSVAgro,16,FALSE),IF(ISERROR(VLOOKUP($A77,Clima!$W$8:$Z$284,2,FALSE)),VLOOKUP($A77,Clima!$E$8:$H$372,2,FALSE),VLOOKUP($A77,Clima!$W$8:$Z$284,2,FALSE)))</f>
        <v>4.0999999999999996</v>
      </c>
      <c r="O77" s="276">
        <f t="shared" ref="O77:O108" si="73">IFERROR(IF($G$1="Sí",VLOOKUP($A77,CSVAgro,42,FALSE),VLOOKUP($A77,CSVSWB,42,FALSE)),0)</f>
        <v>26.567878390534226</v>
      </c>
      <c r="P77" s="276">
        <f t="shared" si="54"/>
        <v>26.4</v>
      </c>
      <c r="Q77" s="487">
        <f t="shared" si="41"/>
        <v>0</v>
      </c>
      <c r="R77" s="278">
        <f t="shared" si="55"/>
        <v>4.0999999999999996</v>
      </c>
      <c r="S77" s="278">
        <f t="shared" si="46"/>
        <v>4.0999999999999996</v>
      </c>
      <c r="T77" s="279">
        <f t="shared" si="47"/>
        <v>44</v>
      </c>
      <c r="U77" s="279">
        <f t="shared" si="62"/>
        <v>7</v>
      </c>
      <c r="V77" s="276">
        <f t="shared" si="48"/>
        <v>0</v>
      </c>
      <c r="W77" s="276">
        <f>IF(AND(S77&gt;VLOOKUP(Inputs!$I$2,Extracciones,3),S77&lt;VLOOKUP(Inputs!$I$2,Extracciones,5)),(S77-VLOOKUP(Inputs!$I$2,Extracciones,3))*Inputs!$E$12,0)</f>
        <v>0</v>
      </c>
      <c r="X77" s="278">
        <f>IF(AD77=0,VLOOKUP(R77,Mineral,2)*R77*Inputs!$C$16*Inputs!$E$37,VLOOKUP(R77,Mineral,2)*R77*Inputs!$C$16)</f>
        <v>0</v>
      </c>
      <c r="Y77" s="278">
        <f>SUM(K77,M77)*Inputs!$O$8*14/(100*62)</f>
        <v>0</v>
      </c>
      <c r="Z77" s="278">
        <f t="shared" si="61"/>
        <v>0</v>
      </c>
      <c r="AA77" s="278">
        <f t="shared" si="56"/>
        <v>0</v>
      </c>
      <c r="AB77" s="279">
        <f t="shared" ref="AB77:AB108" si="74">VLOOKUP(A77,FenoT,11)</f>
        <v>0</v>
      </c>
      <c r="AC77" s="278">
        <f t="shared" si="63"/>
        <v>0</v>
      </c>
      <c r="AD77" s="279">
        <f t="shared" si="49"/>
        <v>-0.63306486486486502</v>
      </c>
      <c r="AE77" s="278">
        <f t="shared" si="50"/>
        <v>-15.924016216216213</v>
      </c>
      <c r="AF77" s="278">
        <f t="shared" si="64"/>
        <v>65.235983783783723</v>
      </c>
      <c r="AG77" s="279">
        <f t="shared" ref="AG77:AG108" si="75">VLOOKUP(A77,FenoT,10)</f>
        <v>25</v>
      </c>
      <c r="AH77" s="279">
        <f>AF77*1000000/(Inputs!$C$9*100*Inputs!$C$8*1000*(1-Inputs!$C$10)*(1+Inputs!$C$12))</f>
        <v>13.052417723846284</v>
      </c>
      <c r="AI77" s="279">
        <f>IFERROR(HLOOKUP(A77,Inputs!$C$14:$C$15,2,FALSE),-100)</f>
        <v>-100</v>
      </c>
      <c r="AJ77" s="281">
        <f t="shared" si="44"/>
        <v>0</v>
      </c>
      <c r="AK77" s="282">
        <f t="shared" si="27"/>
        <v>0</v>
      </c>
      <c r="AL77" s="282">
        <f t="shared" si="28"/>
        <v>0</v>
      </c>
      <c r="AM77" s="282">
        <f t="shared" si="29"/>
        <v>0</v>
      </c>
      <c r="AN77" s="283">
        <f>IFERROR(IF($G$1="Sí",VLOOKUP($A77,CSVAgro,9,FALSE),VLOOKUP($A77,Clima!$E$8:$Q$373,13,FALSE)),0)</f>
        <v>1.6</v>
      </c>
      <c r="AO77" s="281">
        <f t="shared" si="57"/>
        <v>44.5</v>
      </c>
      <c r="AP77" s="281">
        <f>IFERROR(VLOOKUP($A77,'F TrB'!$C$3:$O$21,3,FALSE),-9999)</f>
        <v>-9999</v>
      </c>
      <c r="AQ77" s="281">
        <f t="shared" si="51"/>
        <v>-999</v>
      </c>
      <c r="AR77" s="281">
        <f>IFERROR(IF(VLOOKUP($A77,'F TrB'!$Q$3:$R$21,2,FALSE)=0,-99999,VLOOKUP($A77,'F TrB'!$Q$3:$R$21,2,FALSE)),-99999)</f>
        <v>-99999</v>
      </c>
      <c r="AS77" s="281">
        <f t="shared" si="52"/>
        <v>-99999</v>
      </c>
      <c r="AT77" s="281" t="str">
        <f>IFERROR(VLOOKUP($A77,'NDVI tipo'!$Q$8:$S$30,2,FALSE),"")</f>
        <v/>
      </c>
      <c r="AU77" s="281">
        <f>IF(ISERROR(VLOOKUP($A77,'NDVI tipo'!$Q$8:$S$50,2,FALSE)),AU76+VLOOKUP($A77,'NDVI tipo'!$Q$8:$S$50,3,TRUE),VLOOKUP($A77,'NDVI tipo'!$Q$8:$S$50,2,FALSE))</f>
        <v>0.25859754545454583</v>
      </c>
      <c r="AV77" s="281">
        <f>IFERROR(VLOOKUP($A77,'NDVI real'!$Q$8:$S$44,2,FALSE),-999)</f>
        <v>-999</v>
      </c>
      <c r="AW77" s="281">
        <f>IF(ISERROR(VLOOKUP($A77,'NDVI real'!$T$8:$U$350,2,FALSE)),"",VLOOKUP($A77,'NDVI real'!$T$8:$U$350,2,FALSE))</f>
        <v>0.25885802416666709</v>
      </c>
      <c r="AX77" s="286">
        <f>IFERROR(VLOOKUP($A77,SWB!$C$15:$BE$244,53,FALSE),"")</f>
        <v>0</v>
      </c>
      <c r="AY77" s="286">
        <f>IFERROR(VLOOKUP($A77,SWB!$C$15:$BE$244,55,FALSE),"")</f>
        <v>0</v>
      </c>
      <c r="AZ77" s="281">
        <f>IF(ISERROR(VLOOKUP($A77,Clima!$V$8:$AI$320,14,FALSE)),-999,VLOOKUP(A77,Clima!$V$8:$AI$219,14,FALSE))</f>
        <v>1.2</v>
      </c>
      <c r="BA77" s="281">
        <f t="shared" si="58"/>
        <v>50.2</v>
      </c>
      <c r="BB77" s="281">
        <f t="shared" si="59"/>
        <v>1.2</v>
      </c>
      <c r="BC77" s="281">
        <f t="shared" si="60"/>
        <v>50.2</v>
      </c>
      <c r="BD77" s="284">
        <f t="shared" ref="BD77:BD108" si="76">A77</f>
        <v>42048</v>
      </c>
    </row>
    <row r="78" spans="1:56" s="275" customFormat="1" ht="12.75">
      <c r="A78" s="273">
        <f t="shared" si="53"/>
        <v>42049</v>
      </c>
      <c r="B78" s="274">
        <f t="shared" si="65"/>
        <v>45</v>
      </c>
      <c r="C78" s="275" t="str">
        <f t="shared" si="66"/>
        <v>Inicial</v>
      </c>
      <c r="D78" s="276">
        <f t="shared" si="67"/>
        <v>2.1</v>
      </c>
      <c r="E78" s="276">
        <f t="shared" si="68"/>
        <v>0.27259999926666723</v>
      </c>
      <c r="F78" s="276"/>
      <c r="G78" s="276">
        <f t="shared" si="69"/>
        <v>0.93933</v>
      </c>
      <c r="H78" s="276">
        <f t="shared" si="70"/>
        <v>1.0893299999999999</v>
      </c>
      <c r="I78" s="276">
        <f t="shared" si="71"/>
        <v>1.4270229999999999</v>
      </c>
      <c r="J78" s="276">
        <f>IFERROR(IF($G$1="Sí",VLOOKUP($A78,CSVAgro,13,FALSE),VLOOKUP($A78,SWB!$C$15:$P$202,14,FALSE)),0)</f>
        <v>0.2</v>
      </c>
      <c r="K78" s="487">
        <f t="shared" si="72"/>
        <v>0</v>
      </c>
      <c r="L78" s="487">
        <f t="shared" si="38"/>
        <v>0</v>
      </c>
      <c r="M78" s="487">
        <f t="shared" si="39"/>
        <v>0</v>
      </c>
      <c r="N78" s="277">
        <f>IF(ISERROR($G$1="Sí"),VLOOKUP($A78,CSVAgro,16,FALSE),IF(ISERROR(VLOOKUP($A78,Clima!$W$8:$Z$284,2,FALSE)),VLOOKUP($A78,Clima!$E$8:$H$372,2,FALSE),VLOOKUP($A78,Clima!$W$8:$Z$284,2,FALSE)))</f>
        <v>8.1999999999999993</v>
      </c>
      <c r="O78" s="276">
        <f t="shared" si="73"/>
        <v>27.227152498036638</v>
      </c>
      <c r="P78" s="276">
        <f t="shared" si="54"/>
        <v>26.599999999999998</v>
      </c>
      <c r="Q78" s="487">
        <f t="shared" si="41"/>
        <v>0</v>
      </c>
      <c r="R78" s="278">
        <f t="shared" si="55"/>
        <v>8.1999999999999993</v>
      </c>
      <c r="S78" s="278">
        <f t="shared" si="46"/>
        <v>8.1999999999999993</v>
      </c>
      <c r="T78" s="279">
        <f t="shared" si="47"/>
        <v>45</v>
      </c>
      <c r="U78" s="279">
        <f t="shared" si="62"/>
        <v>7</v>
      </c>
      <c r="V78" s="276">
        <f t="shared" si="48"/>
        <v>0</v>
      </c>
      <c r="W78" s="276">
        <f>IF(AND(S78&gt;VLOOKUP(Inputs!$I$2,Extracciones,3),S78&lt;VLOOKUP(Inputs!$I$2,Extracciones,5)),(S78-VLOOKUP(Inputs!$I$2,Extracciones,3))*Inputs!$E$12,0)</f>
        <v>0</v>
      </c>
      <c r="X78" s="278">
        <f>IF(AD78=0,VLOOKUP(R78,Mineral,2)*R78*Inputs!$C$16*Inputs!$E$37,VLOOKUP(R78,Mineral,2)*R78*Inputs!$C$16)</f>
        <v>0</v>
      </c>
      <c r="Y78" s="278">
        <f>SUM(K78,M78)*Inputs!$O$8*14/(100*62)</f>
        <v>0</v>
      </c>
      <c r="Z78" s="278">
        <f t="shared" si="61"/>
        <v>0</v>
      </c>
      <c r="AA78" s="278">
        <f t="shared" si="56"/>
        <v>0</v>
      </c>
      <c r="AB78" s="279">
        <f t="shared" si="74"/>
        <v>0</v>
      </c>
      <c r="AC78" s="278">
        <f t="shared" si="63"/>
        <v>0</v>
      </c>
      <c r="AD78" s="279">
        <f t="shared" si="49"/>
        <v>-0.63306486486486502</v>
      </c>
      <c r="AE78" s="278">
        <f t="shared" si="50"/>
        <v>-16.557081081081076</v>
      </c>
      <c r="AF78" s="278">
        <f t="shared" si="64"/>
        <v>64.60291891891886</v>
      </c>
      <c r="AG78" s="279">
        <f t="shared" si="75"/>
        <v>25</v>
      </c>
      <c r="AH78" s="279">
        <f>AF78*1000000/(Inputs!$C$9*100*Inputs!$C$8*1000*(1-Inputs!$C$10)*(1+Inputs!$C$12))</f>
        <v>12.925754085417939</v>
      </c>
      <c r="AI78" s="279">
        <f>IFERROR(HLOOKUP(A78,Inputs!$C$14:$C$15,2,FALSE),-100)</f>
        <v>-100</v>
      </c>
      <c r="AJ78" s="281">
        <f t="shared" si="44"/>
        <v>0</v>
      </c>
      <c r="AK78" s="282">
        <f t="shared" si="27"/>
        <v>0</v>
      </c>
      <c r="AL78" s="282">
        <f t="shared" si="28"/>
        <v>0</v>
      </c>
      <c r="AM78" s="282">
        <f t="shared" si="29"/>
        <v>0</v>
      </c>
      <c r="AN78" s="283">
        <f>IFERROR(IF($G$1="Sí",VLOOKUP($A78,CSVAgro,9,FALSE),VLOOKUP($A78,Clima!$E$8:$Q$373,13,FALSE)),0)</f>
        <v>1.8</v>
      </c>
      <c r="AO78" s="281">
        <f t="shared" si="57"/>
        <v>46.3</v>
      </c>
      <c r="AP78" s="281">
        <f>IFERROR(VLOOKUP($A78,'F TrB'!$C$3:$O$21,3,FALSE),-9999)</f>
        <v>-9999</v>
      </c>
      <c r="AQ78" s="281">
        <f t="shared" si="51"/>
        <v>-999</v>
      </c>
      <c r="AR78" s="281">
        <f>IFERROR(IF(VLOOKUP($A78,'F TrB'!$Q$3:$R$21,2,FALSE)=0,-99999,VLOOKUP($A78,'F TrB'!$Q$3:$R$21,2,FALSE)),-99999)</f>
        <v>-99999</v>
      </c>
      <c r="AS78" s="281">
        <f t="shared" si="52"/>
        <v>-99999</v>
      </c>
      <c r="AT78" s="281" t="str">
        <f>IFERROR(VLOOKUP($A78,'NDVI tipo'!$Q$8:$S$30,2,FALSE),"")</f>
        <v/>
      </c>
      <c r="AU78" s="281">
        <f>IF(ISERROR(VLOOKUP($A78,'NDVI tipo'!$Q$8:$S$50,2,FALSE)),AU77+VLOOKUP($A78,'NDVI tipo'!$Q$8:$S$50,3,TRUE),VLOOKUP($A78,'NDVI tipo'!$Q$8:$S$50,2,FALSE))</f>
        <v>0.26011216363636402</v>
      </c>
      <c r="AV78" s="281">
        <f>IFERROR(VLOOKUP($A78,'NDVI real'!$Q$8:$S$44,2,FALSE),-999)</f>
        <v>-999</v>
      </c>
      <c r="AW78" s="281">
        <f>IF(ISERROR(VLOOKUP($A78,'NDVI real'!$T$8:$U$350,2,FALSE)),"",VLOOKUP($A78,'NDVI real'!$T$8:$U$350,2,FALSE))</f>
        <v>0.25874999949074118</v>
      </c>
      <c r="AX78" s="286">
        <f>IFERROR(VLOOKUP($A78,SWB!$C$15:$BE$244,53,FALSE),"")</f>
        <v>0</v>
      </c>
      <c r="AY78" s="286">
        <f>IFERROR(VLOOKUP($A78,SWB!$C$15:$BE$244,55,FALSE),"")</f>
        <v>0</v>
      </c>
      <c r="AZ78" s="281">
        <f>IF(ISERROR(VLOOKUP($A78,Clima!$V$8:$AI$320,14,FALSE)),-999,VLOOKUP(A78,Clima!$V$8:$AI$219,14,FALSE))</f>
        <v>2.1</v>
      </c>
      <c r="BA78" s="281">
        <f t="shared" si="58"/>
        <v>52.300000000000004</v>
      </c>
      <c r="BB78" s="281">
        <f t="shared" si="59"/>
        <v>2.1</v>
      </c>
      <c r="BC78" s="281">
        <f t="shared" si="60"/>
        <v>52.300000000000004</v>
      </c>
      <c r="BD78" s="284">
        <f t="shared" si="76"/>
        <v>42049</v>
      </c>
    </row>
    <row r="79" spans="1:56" s="275" customFormat="1" ht="12.75">
      <c r="A79" s="273">
        <f t="shared" si="53"/>
        <v>42050</v>
      </c>
      <c r="B79" s="274">
        <f t="shared" si="65"/>
        <v>46</v>
      </c>
      <c r="C79" s="275" t="str">
        <f t="shared" si="66"/>
        <v>Inicial</v>
      </c>
      <c r="D79" s="276">
        <f t="shared" si="67"/>
        <v>1.3</v>
      </c>
      <c r="E79" s="276">
        <f t="shared" si="68"/>
        <v>0.27244444373333399</v>
      </c>
      <c r="F79" s="276"/>
      <c r="G79" s="276">
        <f t="shared" si="69"/>
        <v>0.89463300000000001</v>
      </c>
      <c r="H79" s="276">
        <f t="shared" si="70"/>
        <v>1.0446329999999999</v>
      </c>
      <c r="I79" s="276">
        <f t="shared" si="71"/>
        <v>0.73124299999999998</v>
      </c>
      <c r="J79" s="276">
        <f>IFERROR(IF($G$1="Sí",VLOOKUP($A79,CSVAgro,13,FALSE),VLOOKUP($A79,SWB!$C$15:$P$202,14,FALSE)),0)</f>
        <v>1.8</v>
      </c>
      <c r="K79" s="487">
        <f t="shared" si="72"/>
        <v>0</v>
      </c>
      <c r="L79" s="487">
        <f t="shared" si="38"/>
        <v>0</v>
      </c>
      <c r="M79" s="487">
        <f t="shared" si="39"/>
        <v>0</v>
      </c>
      <c r="N79" s="277">
        <f>IF(ISERROR($G$1="Sí"),VLOOKUP($A79,CSVAgro,16,FALSE),IF(ISERROR(VLOOKUP($A79,Clima!$W$8:$Z$284,2,FALSE)),VLOOKUP($A79,Clima!$E$8:$H$372,2,FALSE),VLOOKUP($A79,Clima!$W$8:$Z$284,2,FALSE)))</f>
        <v>8.8000000000000007</v>
      </c>
      <c r="O79" s="276">
        <f t="shared" si="73"/>
        <v>29.784114071669972</v>
      </c>
      <c r="P79" s="276">
        <f t="shared" si="54"/>
        <v>28.4</v>
      </c>
      <c r="Q79" s="487">
        <f t="shared" si="41"/>
        <v>0</v>
      </c>
      <c r="R79" s="278">
        <f t="shared" si="55"/>
        <v>8.8000000000000007</v>
      </c>
      <c r="S79" s="278">
        <f t="shared" si="46"/>
        <v>8.8000000000000007</v>
      </c>
      <c r="T79" s="279">
        <f t="shared" si="47"/>
        <v>46</v>
      </c>
      <c r="U79" s="279">
        <f t="shared" si="62"/>
        <v>7</v>
      </c>
      <c r="V79" s="276">
        <f t="shared" si="48"/>
        <v>0</v>
      </c>
      <c r="W79" s="276">
        <f>IF(AND(S79&gt;VLOOKUP(Inputs!$I$2,Extracciones,3),S79&lt;VLOOKUP(Inputs!$I$2,Extracciones,5)),(S79-VLOOKUP(Inputs!$I$2,Extracciones,3))*Inputs!$E$12,0)</f>
        <v>0</v>
      </c>
      <c r="X79" s="278">
        <f>IF(AD79=0,VLOOKUP(R79,Mineral,2)*R79*Inputs!$C$16*Inputs!$E$37,VLOOKUP(R79,Mineral,2)*R79*Inputs!$C$16)</f>
        <v>0</v>
      </c>
      <c r="Y79" s="278">
        <f>SUM(K79,M79)*Inputs!$O$8*14/(100*62)</f>
        <v>0</v>
      </c>
      <c r="Z79" s="278">
        <f t="shared" si="61"/>
        <v>0</v>
      </c>
      <c r="AA79" s="278">
        <f t="shared" si="56"/>
        <v>0</v>
      </c>
      <c r="AB79" s="279">
        <f t="shared" si="74"/>
        <v>0</v>
      </c>
      <c r="AC79" s="278">
        <f t="shared" si="63"/>
        <v>0</v>
      </c>
      <c r="AD79" s="279">
        <f t="shared" si="49"/>
        <v>-0.63306486486486502</v>
      </c>
      <c r="AE79" s="278">
        <f t="shared" si="50"/>
        <v>-17.19014594594594</v>
      </c>
      <c r="AF79" s="278">
        <f t="shared" si="64"/>
        <v>63.969854054053997</v>
      </c>
      <c r="AG79" s="279">
        <f t="shared" si="75"/>
        <v>25</v>
      </c>
      <c r="AH79" s="279">
        <f>AF79*1000000/(Inputs!$C$9*100*Inputs!$C$8*1000*(1-Inputs!$C$10)*(1+Inputs!$C$12))</f>
        <v>12.799090446989595</v>
      </c>
      <c r="AI79" s="279">
        <f>IFERROR(HLOOKUP(A79,Inputs!$C$14:$C$15,2,FALSE),-100)</f>
        <v>-100</v>
      </c>
      <c r="AJ79" s="281">
        <f t="shared" si="44"/>
        <v>0</v>
      </c>
      <c r="AK79" s="282">
        <f t="shared" si="27"/>
        <v>0</v>
      </c>
      <c r="AL79" s="282">
        <f t="shared" si="28"/>
        <v>0</v>
      </c>
      <c r="AM79" s="282">
        <f t="shared" si="29"/>
        <v>0</v>
      </c>
      <c r="AN79" s="283">
        <f>IFERROR(IF($G$1="Sí",VLOOKUP($A79,CSVAgro,9,FALSE),VLOOKUP($A79,Clima!$E$8:$Q$373,13,FALSE)),0)</f>
        <v>2.5</v>
      </c>
      <c r="AO79" s="281">
        <f t="shared" si="57"/>
        <v>48.8</v>
      </c>
      <c r="AP79" s="281">
        <f>IFERROR(VLOOKUP($A79,'F TrB'!$C$3:$O$21,3,FALSE),-9999)</f>
        <v>-9999</v>
      </c>
      <c r="AQ79" s="281">
        <f t="shared" si="51"/>
        <v>-999</v>
      </c>
      <c r="AR79" s="281">
        <f>IFERROR(IF(VLOOKUP($A79,'F TrB'!$Q$3:$R$21,2,FALSE)=0,-99999,VLOOKUP($A79,'F TrB'!$Q$3:$R$21,2,FALSE)),-99999)</f>
        <v>-99999</v>
      </c>
      <c r="AS79" s="281">
        <f t="shared" si="52"/>
        <v>-99999</v>
      </c>
      <c r="AT79" s="281" t="str">
        <f>IFERROR(VLOOKUP($A79,'NDVI tipo'!$Q$8:$S$30,2,FALSE),"")</f>
        <v/>
      </c>
      <c r="AU79" s="281">
        <f>IF(ISERROR(VLOOKUP($A79,'NDVI tipo'!$Q$8:$S$50,2,FALSE)),AU78+VLOOKUP($A79,'NDVI tipo'!$Q$8:$S$50,3,TRUE),VLOOKUP($A79,'NDVI tipo'!$Q$8:$S$50,2,FALSE))</f>
        <v>0.26162678181818222</v>
      </c>
      <c r="AV79" s="281">
        <f>IFERROR(VLOOKUP($A79,'NDVI real'!$Q$8:$S$44,2,FALSE),-999)</f>
        <v>-999</v>
      </c>
      <c r="AW79" s="281">
        <f>IF(ISERROR(VLOOKUP($A79,'NDVI real'!$T$8:$U$350,2,FALSE)),"",VLOOKUP($A79,'NDVI real'!$T$8:$U$350,2,FALSE))</f>
        <v>0.25864197481481527</v>
      </c>
      <c r="AX79" s="286">
        <f>IFERROR(VLOOKUP($A79,SWB!$C$15:$BE$244,53,FALSE),"")</f>
        <v>0</v>
      </c>
      <c r="AY79" s="286">
        <f>IFERROR(VLOOKUP($A79,SWB!$C$15:$BE$244,55,FALSE),"")</f>
        <v>0</v>
      </c>
      <c r="AZ79" s="281">
        <f>IF(ISERROR(VLOOKUP($A79,Clima!$V$8:$AI$320,14,FALSE)),-999,VLOOKUP(A79,Clima!$V$8:$AI$219,14,FALSE))</f>
        <v>1.3</v>
      </c>
      <c r="BA79" s="281">
        <f t="shared" si="58"/>
        <v>53.6</v>
      </c>
      <c r="BB79" s="281">
        <f t="shared" si="59"/>
        <v>1.3</v>
      </c>
      <c r="BC79" s="281">
        <f t="shared" si="60"/>
        <v>53.6</v>
      </c>
      <c r="BD79" s="284">
        <f t="shared" si="76"/>
        <v>42050</v>
      </c>
    </row>
    <row r="80" spans="1:56" s="275" customFormat="1" ht="12.75">
      <c r="A80" s="273">
        <f t="shared" si="53"/>
        <v>42051</v>
      </c>
      <c r="B80" s="274">
        <f t="shared" si="65"/>
        <v>47</v>
      </c>
      <c r="C80" s="275" t="str">
        <f t="shared" si="66"/>
        <v>Inicial</v>
      </c>
      <c r="D80" s="276">
        <f t="shared" si="67"/>
        <v>1.7</v>
      </c>
      <c r="E80" s="276">
        <f t="shared" si="68"/>
        <v>0.27228888820000063</v>
      </c>
      <c r="F80" s="276"/>
      <c r="G80" s="276">
        <f t="shared" si="69"/>
        <v>0.92514200000000002</v>
      </c>
      <c r="H80" s="276">
        <f t="shared" si="70"/>
        <v>1.075142</v>
      </c>
      <c r="I80" s="276">
        <f t="shared" si="71"/>
        <v>1.3009219999999999</v>
      </c>
      <c r="J80" s="276">
        <f>IFERROR(IF($G$1="Sí",VLOOKUP($A80,CSVAgro,13,FALSE),VLOOKUP($A80,SWB!$C$15:$P$202,14,FALSE)),0)</f>
        <v>0.2</v>
      </c>
      <c r="K80" s="487">
        <f t="shared" si="72"/>
        <v>0</v>
      </c>
      <c r="L80" s="487">
        <f t="shared" si="38"/>
        <v>0</v>
      </c>
      <c r="M80" s="487">
        <f t="shared" si="39"/>
        <v>0</v>
      </c>
      <c r="N80" s="277">
        <f>IF(ISERROR($G$1="Sí"),VLOOKUP($A80,CSVAgro,16,FALSE),IF(ISERROR(VLOOKUP($A80,Clima!$W$8:$Z$284,2,FALSE)),VLOOKUP($A80,Clima!$E$8:$H$372,2,FALSE),VLOOKUP($A80,Clima!$W$8:$Z$284,2,FALSE)))</f>
        <v>8.1999999999999993</v>
      </c>
      <c r="O80" s="276">
        <f t="shared" si="73"/>
        <v>30.386653701849919</v>
      </c>
      <c r="P80" s="276">
        <f t="shared" si="54"/>
        <v>28.599999999999998</v>
      </c>
      <c r="Q80" s="487">
        <f t="shared" si="41"/>
        <v>0</v>
      </c>
      <c r="R80" s="278">
        <f t="shared" si="55"/>
        <v>8.1999999999999993</v>
      </c>
      <c r="S80" s="278">
        <f t="shared" si="46"/>
        <v>8.1999999999999993</v>
      </c>
      <c r="T80" s="279">
        <f t="shared" si="47"/>
        <v>47</v>
      </c>
      <c r="U80" s="279">
        <f t="shared" si="62"/>
        <v>8</v>
      </c>
      <c r="V80" s="276">
        <f t="shared" si="48"/>
        <v>0</v>
      </c>
      <c r="W80" s="276">
        <f>IF(AND(S80&gt;VLOOKUP(Inputs!$I$2,Extracciones,3),S80&lt;VLOOKUP(Inputs!$I$2,Extracciones,5)),(S80-VLOOKUP(Inputs!$I$2,Extracciones,3))*Inputs!$E$12,0)</f>
        <v>0</v>
      </c>
      <c r="X80" s="278">
        <f>IF(AD80=0,VLOOKUP(R80,Mineral,2)*R80*Inputs!$C$16*Inputs!$E$37,VLOOKUP(R80,Mineral,2)*R80*Inputs!$C$16)</f>
        <v>0</v>
      </c>
      <c r="Y80" s="278">
        <f>SUM(K80,M80)*Inputs!$O$8*14/(100*62)</f>
        <v>0</v>
      </c>
      <c r="Z80" s="278">
        <f t="shared" si="61"/>
        <v>0</v>
      </c>
      <c r="AA80" s="278">
        <f t="shared" si="56"/>
        <v>0</v>
      </c>
      <c r="AB80" s="279">
        <f t="shared" si="74"/>
        <v>0</v>
      </c>
      <c r="AC80" s="278">
        <f>-L80*AH79/100</f>
        <v>0</v>
      </c>
      <c r="AD80" s="279">
        <f t="shared" si="49"/>
        <v>-0.63306486486486502</v>
      </c>
      <c r="AE80" s="278">
        <f t="shared" si="50"/>
        <v>-17.823210810810803</v>
      </c>
      <c r="AF80" s="278">
        <f t="shared" si="64"/>
        <v>63.336789189189133</v>
      </c>
      <c r="AG80" s="279">
        <f t="shared" si="75"/>
        <v>25</v>
      </c>
      <c r="AH80" s="279">
        <f>AF80*1000000/(Inputs!$C$9*100*Inputs!$C$8*1000*(1-Inputs!$C$10)*(1+Inputs!$C$12))</f>
        <v>12.672426808561251</v>
      </c>
      <c r="AI80" s="279">
        <f>IFERROR(HLOOKUP(A80,Inputs!$C$14:$C$15,2,FALSE),-100)</f>
        <v>-100</v>
      </c>
      <c r="AJ80" s="281">
        <f t="shared" si="44"/>
        <v>0</v>
      </c>
      <c r="AK80" s="282">
        <f t="shared" si="27"/>
        <v>0</v>
      </c>
      <c r="AL80" s="282">
        <f t="shared" si="28"/>
        <v>0</v>
      </c>
      <c r="AM80" s="282">
        <f t="shared" si="29"/>
        <v>0</v>
      </c>
      <c r="AN80" s="283">
        <f>IFERROR(IF($G$1="Sí",VLOOKUP($A80,CSVAgro,9,FALSE),VLOOKUP($A80,Clima!$E$8:$Q$373,13,FALSE)),0)</f>
        <v>1.7</v>
      </c>
      <c r="AO80" s="281">
        <f t="shared" si="57"/>
        <v>50.5</v>
      </c>
      <c r="AP80" s="281">
        <f>IFERROR(VLOOKUP($A80,'F TrB'!$C$3:$O$21,3,FALSE),-9999)</f>
        <v>-9999</v>
      </c>
      <c r="AQ80" s="281">
        <f t="shared" si="51"/>
        <v>-999</v>
      </c>
      <c r="AR80" s="281">
        <f>IFERROR(IF(VLOOKUP($A80,'F TrB'!$Q$3:$R$21,2,FALSE)=0,-99999,VLOOKUP($A80,'F TrB'!$Q$3:$R$21,2,FALSE)),-99999)</f>
        <v>-99999</v>
      </c>
      <c r="AS80" s="281">
        <f t="shared" si="52"/>
        <v>-99999</v>
      </c>
      <c r="AT80" s="281" t="str">
        <f>IFERROR(VLOOKUP($A80,'NDVI tipo'!$Q$8:$S$30,2,FALSE),"")</f>
        <v/>
      </c>
      <c r="AU80" s="281">
        <f>IF(ISERROR(VLOOKUP($A80,'NDVI tipo'!$Q$8:$S$50,2,FALSE)),AU79+VLOOKUP($A80,'NDVI tipo'!$Q$8:$S$50,3,TRUE),VLOOKUP($A80,'NDVI tipo'!$Q$8:$S$50,2,FALSE))</f>
        <v>0.26314140000000041</v>
      </c>
      <c r="AV80" s="281">
        <f>IFERROR(VLOOKUP($A80,'NDVI real'!$Q$8:$S$44,2,FALSE),-999)</f>
        <v>-999</v>
      </c>
      <c r="AW80" s="281">
        <f>IF(ISERROR(VLOOKUP($A80,'NDVI real'!$T$8:$U$350,2,FALSE)),"",VLOOKUP($A80,'NDVI real'!$T$8:$U$350,2,FALSE))</f>
        <v>0.25853395013888936</v>
      </c>
      <c r="AX80" s="286">
        <f>IFERROR(VLOOKUP($A80,SWB!$C$15:$BE$244,53,FALSE),"")</f>
        <v>0</v>
      </c>
      <c r="AY80" s="286">
        <f>IFERROR(VLOOKUP($A80,SWB!$C$15:$BE$244,55,FALSE),"")</f>
        <v>0</v>
      </c>
      <c r="AZ80" s="281">
        <f>IF(ISERROR(VLOOKUP($A80,Clima!$V$8:$AI$320,14,FALSE)),-999,VLOOKUP(A80,Clima!$V$8:$AI$219,14,FALSE))</f>
        <v>1.7</v>
      </c>
      <c r="BA80" s="281">
        <f t="shared" si="58"/>
        <v>55.300000000000004</v>
      </c>
      <c r="BB80" s="281">
        <f t="shared" si="59"/>
        <v>1.7</v>
      </c>
      <c r="BC80" s="281">
        <f t="shared" si="60"/>
        <v>55.300000000000004</v>
      </c>
      <c r="BD80" s="284">
        <f t="shared" si="76"/>
        <v>42051</v>
      </c>
    </row>
    <row r="81" spans="1:56" s="275" customFormat="1" ht="12.75">
      <c r="A81" s="273">
        <f t="shared" si="53"/>
        <v>42052</v>
      </c>
      <c r="B81" s="274">
        <f t="shared" si="65"/>
        <v>48</v>
      </c>
      <c r="C81" s="275" t="str">
        <f t="shared" si="66"/>
        <v>Inicial</v>
      </c>
      <c r="D81" s="276">
        <f t="shared" si="67"/>
        <v>1.2</v>
      </c>
      <c r="E81" s="276">
        <f t="shared" si="68"/>
        <v>0.27213333266666739</v>
      </c>
      <c r="F81" s="276"/>
      <c r="G81" s="276">
        <f t="shared" si="69"/>
        <v>1.0381370000000001</v>
      </c>
      <c r="H81" s="276">
        <f t="shared" si="70"/>
        <v>1.188137</v>
      </c>
      <c r="I81" s="276">
        <f t="shared" si="71"/>
        <v>2.4832070000000002</v>
      </c>
      <c r="J81" s="276">
        <f>IFERROR(IF($G$1="Sí",VLOOKUP($A81,CSVAgro,13,FALSE),VLOOKUP($A81,SWB!$C$15:$P$202,14,FALSE)),0)</f>
        <v>6.3</v>
      </c>
      <c r="K81" s="487">
        <f t="shared" si="72"/>
        <v>0</v>
      </c>
      <c r="L81" s="487">
        <f t="shared" si="38"/>
        <v>0</v>
      </c>
      <c r="M81" s="487">
        <f t="shared" si="39"/>
        <v>0</v>
      </c>
      <c r="N81" s="277">
        <f>IF(ISERROR($G$1="Sí"),VLOOKUP($A81,CSVAgro,16,FALSE),IF(ISERROR(VLOOKUP($A81,Clima!$W$8:$Z$284,2,FALSE)),VLOOKUP($A81,Clima!$E$8:$H$372,2,FALSE),VLOOKUP($A81,Clima!$W$8:$Z$284,2,FALSE)))</f>
        <v>6.2</v>
      </c>
      <c r="O81" s="276">
        <f t="shared" si="73"/>
        <v>32.636779886647254</v>
      </c>
      <c r="P81" s="276">
        <f t="shared" si="54"/>
        <v>34.9</v>
      </c>
      <c r="Q81" s="487">
        <f t="shared" si="41"/>
        <v>0</v>
      </c>
      <c r="R81" s="278">
        <f t="shared" si="55"/>
        <v>6.2</v>
      </c>
      <c r="S81" s="278">
        <f t="shared" si="46"/>
        <v>6.2</v>
      </c>
      <c r="T81" s="279">
        <f t="shared" si="47"/>
        <v>48</v>
      </c>
      <c r="U81" s="279">
        <f t="shared" si="62"/>
        <v>8</v>
      </c>
      <c r="V81" s="276">
        <f t="shared" si="48"/>
        <v>0</v>
      </c>
      <c r="W81" s="276">
        <f>IF(AND(S81&gt;VLOOKUP(Inputs!$I$2,Extracciones,3),S81&lt;VLOOKUP(Inputs!$I$2,Extracciones,5)),(S81-VLOOKUP(Inputs!$I$2,Extracciones,3))*Inputs!$E$12,0)</f>
        <v>0</v>
      </c>
      <c r="X81" s="278">
        <f>IF(AD81=0,VLOOKUP(R81,Mineral,2)*R81*Inputs!$C$16*Inputs!$E$37,VLOOKUP(R81,Mineral,2)*R81*Inputs!$C$16)</f>
        <v>0</v>
      </c>
      <c r="Y81" s="278">
        <f>SUM(K81,M81)*Inputs!$O$8*14/(100*62)</f>
        <v>0</v>
      </c>
      <c r="Z81" s="278">
        <f t="shared" si="61"/>
        <v>0</v>
      </c>
      <c r="AA81" s="278">
        <f t="shared" si="56"/>
        <v>0</v>
      </c>
      <c r="AB81" s="279">
        <f t="shared" si="74"/>
        <v>0</v>
      </c>
      <c r="AC81" s="278">
        <f t="shared" ref="AC81:AC144" si="77">-L81*AH80/100</f>
        <v>0</v>
      </c>
      <c r="AD81" s="279">
        <f t="shared" si="49"/>
        <v>-0.63306486486486502</v>
      </c>
      <c r="AE81" s="278">
        <f t="shared" si="50"/>
        <v>-18.456275675675666</v>
      </c>
      <c r="AF81" s="278">
        <f t="shared" si="64"/>
        <v>62.70372432432427</v>
      </c>
      <c r="AG81" s="279">
        <f t="shared" si="75"/>
        <v>25</v>
      </c>
      <c r="AH81" s="279">
        <f>AF81*1000000/(Inputs!$C$9*100*Inputs!$C$8*1000*(1-Inputs!$C$10)*(1+Inputs!$C$12))</f>
        <v>12.545763170132908</v>
      </c>
      <c r="AI81" s="279">
        <f>IFERROR(HLOOKUP(A81,Inputs!$C$14:$C$15,2,FALSE),-100)</f>
        <v>-100</v>
      </c>
      <c r="AJ81" s="281">
        <f t="shared" si="44"/>
        <v>0</v>
      </c>
      <c r="AK81" s="282">
        <f t="shared" si="27"/>
        <v>0</v>
      </c>
      <c r="AL81" s="282">
        <f t="shared" si="28"/>
        <v>0</v>
      </c>
      <c r="AM81" s="282">
        <f t="shared" si="29"/>
        <v>0</v>
      </c>
      <c r="AN81" s="283">
        <f>IFERROR(IF($G$1="Sí",VLOOKUP($A81,CSVAgro,9,FALSE),VLOOKUP($A81,Clima!$E$8:$Q$373,13,FALSE)),0)</f>
        <v>2.2000000000000002</v>
      </c>
      <c r="AO81" s="281">
        <f t="shared" si="57"/>
        <v>52.7</v>
      </c>
      <c r="AP81" s="281">
        <f>IFERROR(VLOOKUP($A81,'F TrB'!$C$3:$O$21,3,FALSE),-9999)</f>
        <v>-9999</v>
      </c>
      <c r="AQ81" s="281">
        <f t="shared" si="51"/>
        <v>-999</v>
      </c>
      <c r="AR81" s="281">
        <f>IFERROR(IF(VLOOKUP($A81,'F TrB'!$Q$3:$R$21,2,FALSE)=0,-99999,VLOOKUP($A81,'F TrB'!$Q$3:$R$21,2,FALSE)),-99999)</f>
        <v>-99999</v>
      </c>
      <c r="AS81" s="281">
        <f t="shared" si="52"/>
        <v>-99999</v>
      </c>
      <c r="AT81" s="281" t="str">
        <f>IFERROR(VLOOKUP($A81,'NDVI tipo'!$Q$8:$S$30,2,FALSE),"")</f>
        <v/>
      </c>
      <c r="AU81" s="281">
        <f>IF(ISERROR(VLOOKUP($A81,'NDVI tipo'!$Q$8:$S$50,2,FALSE)),AU80+VLOOKUP($A81,'NDVI tipo'!$Q$8:$S$50,3,TRUE),VLOOKUP($A81,'NDVI tipo'!$Q$8:$S$50,2,FALSE))</f>
        <v>0.26465601818181861</v>
      </c>
      <c r="AV81" s="281">
        <f>IFERROR(VLOOKUP($A81,'NDVI real'!$Q$8:$S$44,2,FALSE),-999)</f>
        <v>-999</v>
      </c>
      <c r="AW81" s="281">
        <f>IF(ISERROR(VLOOKUP($A81,'NDVI real'!$T$8:$U$350,2,FALSE)),"",VLOOKUP($A81,'NDVI real'!$T$8:$U$350,2,FALSE))</f>
        <v>0.25842592546296345</v>
      </c>
      <c r="AX81" s="286">
        <f>IFERROR(VLOOKUP($A81,SWB!$C$15:$BE$244,53,FALSE),"")</f>
        <v>0</v>
      </c>
      <c r="AY81" s="286">
        <f>IFERROR(VLOOKUP($A81,SWB!$C$15:$BE$244,55,FALSE),"")</f>
        <v>0</v>
      </c>
      <c r="AZ81" s="281">
        <f>IF(ISERROR(VLOOKUP($A81,Clima!$V$8:$AI$320,14,FALSE)),-999,VLOOKUP(A81,Clima!$V$8:$AI$219,14,FALSE))</f>
        <v>1.2</v>
      </c>
      <c r="BA81" s="281">
        <f t="shared" si="58"/>
        <v>56.500000000000007</v>
      </c>
      <c r="BB81" s="281">
        <f t="shared" si="59"/>
        <v>1.2</v>
      </c>
      <c r="BC81" s="281">
        <f t="shared" si="60"/>
        <v>56.500000000000007</v>
      </c>
      <c r="BD81" s="284">
        <f t="shared" si="76"/>
        <v>42052</v>
      </c>
    </row>
    <row r="82" spans="1:56" s="275" customFormat="1" ht="12.75">
      <c r="A82" s="273">
        <f t="shared" si="53"/>
        <v>42053</v>
      </c>
      <c r="B82" s="274">
        <f t="shared" si="65"/>
        <v>49</v>
      </c>
      <c r="C82" s="275" t="str">
        <f t="shared" si="66"/>
        <v>Inicial</v>
      </c>
      <c r="D82" s="276">
        <f t="shared" si="67"/>
        <v>1.6</v>
      </c>
      <c r="E82" s="276">
        <f t="shared" si="68"/>
        <v>0.27197777713333404</v>
      </c>
      <c r="F82" s="276"/>
      <c r="G82" s="276">
        <f t="shared" si="69"/>
        <v>0.95605600000000002</v>
      </c>
      <c r="H82" s="276">
        <f t="shared" si="70"/>
        <v>1.1060559999999999</v>
      </c>
      <c r="I82" s="276">
        <f t="shared" si="71"/>
        <v>1.437873</v>
      </c>
      <c r="J82" s="276">
        <f>IFERROR(IF($G$1="Sí",VLOOKUP($A82,CSVAgro,13,FALSE),VLOOKUP($A82,SWB!$C$15:$P$202,14,FALSE)),0)</f>
        <v>0</v>
      </c>
      <c r="K82" s="487">
        <f t="shared" si="72"/>
        <v>0</v>
      </c>
      <c r="L82" s="487">
        <f t="shared" si="38"/>
        <v>0</v>
      </c>
      <c r="M82" s="487">
        <f t="shared" si="39"/>
        <v>0</v>
      </c>
      <c r="N82" s="277">
        <f>IF(ISERROR($G$1="Sí"),VLOOKUP($A82,CSVAgro,16,FALSE),IF(ISERROR(VLOOKUP($A82,Clima!$W$8:$Z$284,2,FALSE)),VLOOKUP($A82,Clima!$E$8:$H$372,2,FALSE),VLOOKUP($A82,Clima!$W$8:$Z$284,2,FALSE)))</f>
        <v>5.6</v>
      </c>
      <c r="O82" s="276">
        <f t="shared" si="73"/>
        <v>33.659564516100588</v>
      </c>
      <c r="P82" s="276">
        <f t="shared" si="54"/>
        <v>34.9</v>
      </c>
      <c r="Q82" s="487">
        <f t="shared" si="41"/>
        <v>0</v>
      </c>
      <c r="R82" s="278">
        <f t="shared" si="55"/>
        <v>5.6</v>
      </c>
      <c r="S82" s="278">
        <f t="shared" si="46"/>
        <v>5.6</v>
      </c>
      <c r="T82" s="279">
        <f t="shared" si="47"/>
        <v>49</v>
      </c>
      <c r="U82" s="279">
        <f t="shared" si="62"/>
        <v>8</v>
      </c>
      <c r="V82" s="276">
        <f t="shared" si="48"/>
        <v>0</v>
      </c>
      <c r="W82" s="276">
        <f>IF(AND(S82&gt;VLOOKUP(Inputs!$I$2,Extracciones,3),S82&lt;VLOOKUP(Inputs!$I$2,Extracciones,5)),(S82-VLOOKUP(Inputs!$I$2,Extracciones,3))*Inputs!$E$12,0)</f>
        <v>0</v>
      </c>
      <c r="X82" s="278">
        <f>IF(AD82=0,VLOOKUP(R82,Mineral,2)*R82*Inputs!$C$16*Inputs!$E$37,VLOOKUP(R82,Mineral,2)*R82*Inputs!$C$16)</f>
        <v>0</v>
      </c>
      <c r="Y82" s="278">
        <f>SUM(K82,M82)*Inputs!$O$8*14/(100*62)</f>
        <v>0</v>
      </c>
      <c r="Z82" s="278">
        <f t="shared" si="61"/>
        <v>0</v>
      </c>
      <c r="AA82" s="278">
        <f t="shared" si="56"/>
        <v>0</v>
      </c>
      <c r="AB82" s="279">
        <f t="shared" si="74"/>
        <v>0</v>
      </c>
      <c r="AC82" s="278">
        <f t="shared" si="77"/>
        <v>0</v>
      </c>
      <c r="AD82" s="279">
        <f t="shared" si="49"/>
        <v>-0.63306486486486502</v>
      </c>
      <c r="AE82" s="278">
        <f t="shared" si="50"/>
        <v>-19.08934054054053</v>
      </c>
      <c r="AF82" s="278">
        <f t="shared" si="64"/>
        <v>62.070659459459407</v>
      </c>
      <c r="AG82" s="279">
        <f t="shared" si="75"/>
        <v>25</v>
      </c>
      <c r="AH82" s="279">
        <f>AF82*1000000/(Inputs!$C$9*100*Inputs!$C$8*1000*(1-Inputs!$C$10)*(1+Inputs!$C$12))</f>
        <v>12.419099531704564</v>
      </c>
      <c r="AI82" s="279">
        <f>IFERROR(HLOOKUP(A82,Inputs!$C$14:$C$15,2,FALSE),-100)</f>
        <v>-100</v>
      </c>
      <c r="AJ82" s="281">
        <f t="shared" si="44"/>
        <v>0</v>
      </c>
      <c r="AK82" s="282">
        <f t="shared" si="27"/>
        <v>0</v>
      </c>
      <c r="AL82" s="282">
        <f t="shared" si="28"/>
        <v>0</v>
      </c>
      <c r="AM82" s="282">
        <f t="shared" si="29"/>
        <v>0</v>
      </c>
      <c r="AN82" s="283">
        <f>IFERROR(IF($G$1="Sí",VLOOKUP($A82,CSVAgro,9,FALSE),VLOOKUP($A82,Clima!$E$8:$Q$373,13,FALSE)),0)</f>
        <v>1</v>
      </c>
      <c r="AO82" s="281">
        <f t="shared" si="57"/>
        <v>53.7</v>
      </c>
      <c r="AP82" s="281">
        <f>IFERROR(VLOOKUP($A82,'F TrB'!$C$3:$O$21,3,FALSE),-9999)</f>
        <v>-9999</v>
      </c>
      <c r="AQ82" s="281">
        <f t="shared" si="51"/>
        <v>-999</v>
      </c>
      <c r="AR82" s="281">
        <f>IFERROR(IF(VLOOKUP($A82,'F TrB'!$Q$3:$R$21,2,FALSE)=0,-99999,VLOOKUP($A82,'F TrB'!$Q$3:$R$21,2,FALSE)),-99999)</f>
        <v>-99999</v>
      </c>
      <c r="AS82" s="281">
        <f t="shared" si="52"/>
        <v>-99999</v>
      </c>
      <c r="AT82" s="281" t="str">
        <f>IFERROR(VLOOKUP($A82,'NDVI tipo'!$Q$8:$S$30,2,FALSE),"")</f>
        <v/>
      </c>
      <c r="AU82" s="281">
        <f>IF(ISERROR(VLOOKUP($A82,'NDVI tipo'!$Q$8:$S$50,2,FALSE)),AU81+VLOOKUP($A82,'NDVI tipo'!$Q$8:$S$50,3,TRUE),VLOOKUP($A82,'NDVI tipo'!$Q$8:$S$50,2,FALSE))</f>
        <v>0.2661706363636368</v>
      </c>
      <c r="AV82" s="281">
        <f>IFERROR(VLOOKUP($A82,'NDVI real'!$Q$8:$S$44,2,FALSE),-999)</f>
        <v>-999</v>
      </c>
      <c r="AW82" s="281">
        <f>IF(ISERROR(VLOOKUP($A82,'NDVI real'!$T$8:$U$350,2,FALSE)),"",VLOOKUP($A82,'NDVI real'!$T$8:$U$350,2,FALSE))</f>
        <v>0.25831790078703754</v>
      </c>
      <c r="AX82" s="286">
        <f>IFERROR(VLOOKUP($A82,SWB!$C$15:$BE$244,53,FALSE),"")</f>
        <v>0</v>
      </c>
      <c r="AY82" s="286">
        <f>IFERROR(VLOOKUP($A82,SWB!$C$15:$BE$244,55,FALSE),"")</f>
        <v>0</v>
      </c>
      <c r="AZ82" s="281">
        <f>IF(ISERROR(VLOOKUP($A82,Clima!$V$8:$AI$320,14,FALSE)),-999,VLOOKUP(A82,Clima!$V$8:$AI$219,14,FALSE))</f>
        <v>1.6</v>
      </c>
      <c r="BA82" s="281">
        <f t="shared" si="58"/>
        <v>58.100000000000009</v>
      </c>
      <c r="BB82" s="281">
        <f t="shared" si="59"/>
        <v>1.6</v>
      </c>
      <c r="BC82" s="281">
        <f t="shared" si="60"/>
        <v>58.100000000000009</v>
      </c>
      <c r="BD82" s="284">
        <f t="shared" si="76"/>
        <v>42053</v>
      </c>
    </row>
    <row r="83" spans="1:56" s="275" customFormat="1" ht="12.75">
      <c r="A83" s="273">
        <f t="shared" si="53"/>
        <v>42054</v>
      </c>
      <c r="B83" s="274">
        <f t="shared" si="65"/>
        <v>50</v>
      </c>
      <c r="C83" s="275" t="str">
        <f t="shared" si="66"/>
        <v>Inicial</v>
      </c>
      <c r="D83" s="276">
        <f t="shared" si="67"/>
        <v>1.3</v>
      </c>
      <c r="E83" s="276">
        <f t="shared" si="68"/>
        <v>0.27182222160000069</v>
      </c>
      <c r="F83" s="276"/>
      <c r="G83" s="276">
        <f t="shared" si="69"/>
        <v>0.95086499999999996</v>
      </c>
      <c r="H83" s="276">
        <f t="shared" si="70"/>
        <v>1.100865</v>
      </c>
      <c r="I83" s="276">
        <f t="shared" si="71"/>
        <v>1.882479</v>
      </c>
      <c r="J83" s="276">
        <f>IFERROR(IF($G$1="Sí",VLOOKUP($A83,CSVAgro,13,FALSE),VLOOKUP($A83,SWB!$C$15:$P$202,14,FALSE)),0)</f>
        <v>0</v>
      </c>
      <c r="K83" s="487">
        <f t="shared" si="72"/>
        <v>0</v>
      </c>
      <c r="L83" s="487">
        <f t="shared" si="38"/>
        <v>0</v>
      </c>
      <c r="M83" s="487">
        <f t="shared" si="39"/>
        <v>0</v>
      </c>
      <c r="N83" s="277">
        <f>IF(ISERROR($G$1="Sí"),VLOOKUP($A83,CSVAgro,16,FALSE),IF(ISERROR(VLOOKUP($A83,Clima!$W$8:$Z$284,2,FALSE)),VLOOKUP($A83,Clima!$E$8:$H$372,2,FALSE),VLOOKUP($A83,Clima!$W$8:$Z$284,2,FALSE)))</f>
        <v>4.4000000000000004</v>
      </c>
      <c r="O83" s="276">
        <f t="shared" si="73"/>
        <v>35.091462997335256</v>
      </c>
      <c r="P83" s="276">
        <f t="shared" si="54"/>
        <v>34.9</v>
      </c>
      <c r="Q83" s="487">
        <f t="shared" si="41"/>
        <v>0</v>
      </c>
      <c r="R83" s="278">
        <f t="shared" si="55"/>
        <v>4.4000000000000004</v>
      </c>
      <c r="S83" s="278">
        <f t="shared" si="46"/>
        <v>4.4000000000000004</v>
      </c>
      <c r="T83" s="279">
        <f t="shared" si="47"/>
        <v>50</v>
      </c>
      <c r="U83" s="279">
        <f t="shared" si="62"/>
        <v>8</v>
      </c>
      <c r="V83" s="276">
        <f t="shared" si="48"/>
        <v>0</v>
      </c>
      <c r="W83" s="276">
        <f>IF(AND(S83&gt;VLOOKUP(Inputs!$I$2,Extracciones,3),S83&lt;VLOOKUP(Inputs!$I$2,Extracciones,5)),(S83-VLOOKUP(Inputs!$I$2,Extracciones,3))*Inputs!$E$12,0)</f>
        <v>0</v>
      </c>
      <c r="X83" s="278">
        <f>IF(AD83=0,VLOOKUP(R83,Mineral,2)*R83*Inputs!$C$16*Inputs!$E$37,VLOOKUP(R83,Mineral,2)*R83*Inputs!$C$16)</f>
        <v>0</v>
      </c>
      <c r="Y83" s="278">
        <f>SUM(K83,M83)*Inputs!$O$8*14/(100*62)</f>
        <v>0</v>
      </c>
      <c r="Z83" s="278">
        <f t="shared" si="61"/>
        <v>0</v>
      </c>
      <c r="AA83" s="278">
        <f t="shared" si="56"/>
        <v>0</v>
      </c>
      <c r="AB83" s="279">
        <f t="shared" si="74"/>
        <v>0</v>
      </c>
      <c r="AC83" s="278">
        <f t="shared" si="77"/>
        <v>0</v>
      </c>
      <c r="AD83" s="279">
        <f t="shared" si="49"/>
        <v>-0.63306486486486502</v>
      </c>
      <c r="AE83" s="278">
        <f t="shared" si="50"/>
        <v>-19.722405405405393</v>
      </c>
      <c r="AF83" s="278">
        <f t="shared" si="64"/>
        <v>61.437594594594543</v>
      </c>
      <c r="AG83" s="279">
        <f t="shared" si="75"/>
        <v>25</v>
      </c>
      <c r="AH83" s="279">
        <f>AF83*1000000/(Inputs!$C$9*100*Inputs!$C$8*1000*(1-Inputs!$C$10)*(1+Inputs!$C$12))</f>
        <v>12.29243589327622</v>
      </c>
      <c r="AI83" s="279">
        <f>IFERROR(HLOOKUP(A83,Inputs!$C$14:$C$15,2,FALSE),-100)</f>
        <v>-100</v>
      </c>
      <c r="AJ83" s="281">
        <f t="shared" si="44"/>
        <v>0</v>
      </c>
      <c r="AK83" s="282">
        <f t="shared" si="27"/>
        <v>0</v>
      </c>
      <c r="AL83" s="282">
        <f t="shared" si="28"/>
        <v>0</v>
      </c>
      <c r="AM83" s="282">
        <f t="shared" si="29"/>
        <v>0</v>
      </c>
      <c r="AN83" s="283">
        <f>IFERROR(IF($G$1="Sí",VLOOKUP($A83,CSVAgro,9,FALSE),VLOOKUP($A83,Clima!$E$8:$Q$373,13,FALSE)),0)</f>
        <v>1.4</v>
      </c>
      <c r="AO83" s="281">
        <f t="shared" si="57"/>
        <v>55.1</v>
      </c>
      <c r="AP83" s="281">
        <f>IFERROR(VLOOKUP($A83,'F TrB'!$C$3:$O$21,3,FALSE),-9999)</f>
        <v>12</v>
      </c>
      <c r="AQ83" s="281">
        <f t="shared" si="51"/>
        <v>1.4</v>
      </c>
      <c r="AR83" s="281">
        <f>IFERROR(IF(VLOOKUP($A83,'F TrB'!$Q$3:$R$21,2,FALSE)=0,-99999,VLOOKUP($A83,'F TrB'!$Q$3:$R$21,2,FALSE)),-99999)</f>
        <v>-99999</v>
      </c>
      <c r="AS83" s="281">
        <f t="shared" si="52"/>
        <v>-99999</v>
      </c>
      <c r="AT83" s="281" t="str">
        <f>IFERROR(VLOOKUP($A83,'NDVI tipo'!$Q$8:$S$30,2,FALSE),"")</f>
        <v/>
      </c>
      <c r="AU83" s="281">
        <f>IF(ISERROR(VLOOKUP($A83,'NDVI tipo'!$Q$8:$S$50,2,FALSE)),AU82+VLOOKUP($A83,'NDVI tipo'!$Q$8:$S$50,3,TRUE),VLOOKUP($A83,'NDVI tipo'!$Q$8:$S$50,2,FALSE))</f>
        <v>0.267685254545455</v>
      </c>
      <c r="AV83" s="281">
        <f>IFERROR(VLOOKUP($A83,'NDVI real'!$Q$8:$S$44,2,FALSE),-999)</f>
        <v>-999</v>
      </c>
      <c r="AW83" s="281">
        <f>IF(ISERROR(VLOOKUP($A83,'NDVI real'!$T$8:$U$350,2,FALSE)),"",VLOOKUP($A83,'NDVI real'!$T$8:$U$350,2,FALSE))</f>
        <v>0.25820987611111162</v>
      </c>
      <c r="AX83" s="286">
        <f>IFERROR(VLOOKUP($A83,SWB!$C$15:$BE$244,53,FALSE),"")</f>
        <v>0</v>
      </c>
      <c r="AY83" s="286">
        <f>IFERROR(VLOOKUP($A83,SWB!$C$15:$BE$244,55,FALSE),"")</f>
        <v>0</v>
      </c>
      <c r="AZ83" s="281">
        <f>IF(ISERROR(VLOOKUP($A83,Clima!$V$8:$AI$320,14,FALSE)),-999,VLOOKUP(A83,Clima!$V$8:$AI$219,14,FALSE))</f>
        <v>1.3</v>
      </c>
      <c r="BA83" s="281">
        <f t="shared" si="58"/>
        <v>59.400000000000006</v>
      </c>
      <c r="BB83" s="281">
        <f t="shared" si="59"/>
        <v>1.3</v>
      </c>
      <c r="BC83" s="281">
        <f t="shared" si="60"/>
        <v>59.400000000000006</v>
      </c>
      <c r="BD83" s="284">
        <f t="shared" si="76"/>
        <v>42054</v>
      </c>
    </row>
    <row r="84" spans="1:56" s="275" customFormat="1" ht="12.75">
      <c r="A84" s="273">
        <f t="shared" si="53"/>
        <v>42055</v>
      </c>
      <c r="B84" s="274">
        <f t="shared" si="65"/>
        <v>51</v>
      </c>
      <c r="C84" s="275" t="str">
        <f t="shared" si="66"/>
        <v>Inicial</v>
      </c>
      <c r="D84" s="276">
        <f t="shared" si="67"/>
        <v>1.3</v>
      </c>
      <c r="E84" s="276">
        <f t="shared" si="68"/>
        <v>0.27166666606666745</v>
      </c>
      <c r="F84" s="276"/>
      <c r="G84" s="276">
        <f t="shared" si="69"/>
        <v>0.94306500000000004</v>
      </c>
      <c r="H84" s="276">
        <f t="shared" si="70"/>
        <v>1.093065</v>
      </c>
      <c r="I84" s="276">
        <f t="shared" si="71"/>
        <v>1.3444700000000001</v>
      </c>
      <c r="J84" s="276">
        <f>IFERROR(IF($G$1="Sí",VLOOKUP($A84,CSVAgro,13,FALSE),VLOOKUP($A84,SWB!$C$15:$P$202,14,FALSE)),0)</f>
        <v>0.2</v>
      </c>
      <c r="K84" s="487">
        <f t="shared" si="72"/>
        <v>0</v>
      </c>
      <c r="L84" s="487">
        <f t="shared" si="38"/>
        <v>0</v>
      </c>
      <c r="M84" s="487">
        <f t="shared" si="39"/>
        <v>0</v>
      </c>
      <c r="N84" s="277">
        <f>IF(ISERROR($G$1="Sí"),VLOOKUP($A84,CSVAgro,16,FALSE),IF(ISERROR(VLOOKUP($A84,Clima!$W$8:$Z$284,2,FALSE)),VLOOKUP($A84,Clima!$E$8:$H$372,2,FALSE),VLOOKUP($A84,Clima!$W$8:$Z$284,2,FALSE)))</f>
        <v>3.7</v>
      </c>
      <c r="O84" s="276">
        <f t="shared" si="73"/>
        <v>37.137032256241923</v>
      </c>
      <c r="P84" s="276">
        <f t="shared" si="54"/>
        <v>35.1</v>
      </c>
      <c r="Q84" s="487">
        <f t="shared" si="41"/>
        <v>0</v>
      </c>
      <c r="R84" s="278">
        <f t="shared" si="55"/>
        <v>3.7</v>
      </c>
      <c r="S84" s="278">
        <f t="shared" si="46"/>
        <v>3.7</v>
      </c>
      <c r="T84" s="279">
        <f t="shared" si="47"/>
        <v>51</v>
      </c>
      <c r="U84" s="279">
        <f t="shared" si="62"/>
        <v>8</v>
      </c>
      <c r="V84" s="276">
        <f t="shared" si="48"/>
        <v>0</v>
      </c>
      <c r="W84" s="276">
        <f>IF(AND(S84&gt;VLOOKUP(Inputs!$I$2,Extracciones,3),S84&lt;VLOOKUP(Inputs!$I$2,Extracciones,5)),(S84-VLOOKUP(Inputs!$I$2,Extracciones,3))*Inputs!$E$12,0)</f>
        <v>0</v>
      </c>
      <c r="X84" s="278">
        <f>IF(AD84=0,VLOOKUP(R84,Mineral,2)*R84*Inputs!$C$16*Inputs!$E$37,VLOOKUP(R84,Mineral,2)*R84*Inputs!$C$16)</f>
        <v>0</v>
      </c>
      <c r="Y84" s="278">
        <f>SUM(K84,M84)*Inputs!$O$8*14/(100*62)</f>
        <v>0</v>
      </c>
      <c r="Z84" s="278">
        <f t="shared" si="61"/>
        <v>0</v>
      </c>
      <c r="AA84" s="278">
        <f t="shared" si="56"/>
        <v>0</v>
      </c>
      <c r="AB84" s="279">
        <f t="shared" si="74"/>
        <v>0</v>
      </c>
      <c r="AC84" s="278">
        <f t="shared" si="77"/>
        <v>0</v>
      </c>
      <c r="AD84" s="279">
        <f t="shared" si="49"/>
        <v>-1.0956891891891893</v>
      </c>
      <c r="AE84" s="278">
        <f t="shared" si="50"/>
        <v>-20.818094594594584</v>
      </c>
      <c r="AF84" s="278">
        <f t="shared" si="64"/>
        <v>60.341905405405356</v>
      </c>
      <c r="AG84" s="279">
        <f t="shared" si="75"/>
        <v>25</v>
      </c>
      <c r="AH84" s="279">
        <f>AF84*1000000/(Inputs!$C$9*100*Inputs!$C$8*1000*(1-Inputs!$C$10)*(1+Inputs!$C$12))</f>
        <v>12.073210365227162</v>
      </c>
      <c r="AI84" s="279">
        <f>IFERROR(HLOOKUP(A84,Inputs!$C$14:$C$15,2,FALSE),-100)</f>
        <v>-100</v>
      </c>
      <c r="AJ84" s="281">
        <f t="shared" si="44"/>
        <v>0</v>
      </c>
      <c r="AK84" s="282">
        <f t="shared" si="27"/>
        <v>0</v>
      </c>
      <c r="AL84" s="282">
        <f t="shared" si="28"/>
        <v>0</v>
      </c>
      <c r="AM84" s="282">
        <f t="shared" si="29"/>
        <v>0</v>
      </c>
      <c r="AN84" s="283">
        <f>IFERROR(IF($G$1="Sí",VLOOKUP($A84,CSVAgro,9,FALSE),VLOOKUP($A84,Clima!$E$8:$Q$373,13,FALSE)),0)</f>
        <v>2</v>
      </c>
      <c r="AO84" s="281">
        <f t="shared" si="57"/>
        <v>57.1</v>
      </c>
      <c r="AP84" s="281">
        <f>IFERROR(VLOOKUP($A84,'F TrB'!$C$3:$O$21,3,FALSE),-9999)</f>
        <v>-9999</v>
      </c>
      <c r="AQ84" s="281">
        <f t="shared" si="51"/>
        <v>-999</v>
      </c>
      <c r="AR84" s="281">
        <f>IFERROR(IF(VLOOKUP($A84,'F TrB'!$Q$3:$R$21,2,FALSE)=0,-99999,VLOOKUP($A84,'F TrB'!$Q$3:$R$21,2,FALSE)),-99999)</f>
        <v>-99999</v>
      </c>
      <c r="AS84" s="281">
        <f t="shared" si="52"/>
        <v>-99999</v>
      </c>
      <c r="AT84" s="281" t="str">
        <f>IFERROR(VLOOKUP($A84,'NDVI tipo'!$Q$8:$S$30,2,FALSE),"")</f>
        <v/>
      </c>
      <c r="AU84" s="281">
        <f>IF(ISERROR(VLOOKUP($A84,'NDVI tipo'!$Q$8:$S$50,2,FALSE)),AU83+VLOOKUP($A84,'NDVI tipo'!$Q$8:$S$50,3,TRUE),VLOOKUP($A84,'NDVI tipo'!$Q$8:$S$50,2,FALSE))</f>
        <v>0.26919987272727319</v>
      </c>
      <c r="AV84" s="281">
        <f>IFERROR(VLOOKUP($A84,'NDVI real'!$Q$8:$S$44,2,FALSE),-999)</f>
        <v>-999</v>
      </c>
      <c r="AW84" s="281">
        <f>IF(ISERROR(VLOOKUP($A84,'NDVI real'!$T$8:$U$350,2,FALSE)),"",VLOOKUP($A84,'NDVI real'!$T$8:$U$350,2,FALSE))</f>
        <v>0.25810185143518571</v>
      </c>
      <c r="AX84" s="286">
        <f>IFERROR(VLOOKUP($A84,SWB!$C$15:$BE$244,53,FALSE),"")</f>
        <v>0</v>
      </c>
      <c r="AY84" s="286">
        <f>IFERROR(VLOOKUP($A84,SWB!$C$15:$BE$244,55,FALSE),"")</f>
        <v>0</v>
      </c>
      <c r="AZ84" s="281">
        <f>IF(ISERROR(VLOOKUP($A84,Clima!$V$8:$AI$320,14,FALSE)),-999,VLOOKUP(A84,Clima!$V$8:$AI$219,14,FALSE))</f>
        <v>1.3</v>
      </c>
      <c r="BA84" s="281">
        <f t="shared" si="58"/>
        <v>60.7</v>
      </c>
      <c r="BB84" s="281">
        <f t="shared" si="59"/>
        <v>1.3</v>
      </c>
      <c r="BC84" s="281">
        <f t="shared" si="60"/>
        <v>60.7</v>
      </c>
      <c r="BD84" s="284">
        <f t="shared" si="76"/>
        <v>42055</v>
      </c>
    </row>
    <row r="85" spans="1:56" s="275" customFormat="1" ht="12.75">
      <c r="A85" s="273">
        <f t="shared" si="53"/>
        <v>42056</v>
      </c>
      <c r="B85" s="274">
        <f t="shared" si="65"/>
        <v>52</v>
      </c>
      <c r="C85" s="275" t="str">
        <f t="shared" si="66"/>
        <v>Inicial</v>
      </c>
      <c r="D85" s="276">
        <f t="shared" si="67"/>
        <v>1.5</v>
      </c>
      <c r="E85" s="276">
        <f t="shared" si="68"/>
        <v>0.2715111105333341</v>
      </c>
      <c r="F85" s="276"/>
      <c r="G85" s="276">
        <f t="shared" si="69"/>
        <v>0.95090799999999998</v>
      </c>
      <c r="H85" s="276">
        <f t="shared" si="70"/>
        <v>1.100908</v>
      </c>
      <c r="I85" s="276">
        <f t="shared" si="71"/>
        <v>1.7064079999999999</v>
      </c>
      <c r="J85" s="276">
        <f>IFERROR(IF($G$1="Sí",VLOOKUP($A85,CSVAgro,13,FALSE),VLOOKUP($A85,SWB!$C$15:$P$202,14,FALSE)),0)</f>
        <v>1.4</v>
      </c>
      <c r="K85" s="487">
        <f t="shared" si="72"/>
        <v>0</v>
      </c>
      <c r="L85" s="487">
        <f t="shared" si="38"/>
        <v>0</v>
      </c>
      <c r="M85" s="487">
        <f t="shared" si="39"/>
        <v>0</v>
      </c>
      <c r="N85" s="277">
        <f>IF(ISERROR($G$1="Sí"),VLOOKUP($A85,CSVAgro,16,FALSE),IF(ISERROR(VLOOKUP($A85,Clima!$W$8:$Z$284,2,FALSE)),VLOOKUP($A85,Clima!$E$8:$H$372,2,FALSE),VLOOKUP($A85,Clima!$W$8:$Z$284,2,FALSE)))</f>
        <v>4.5</v>
      </c>
      <c r="O85" s="276">
        <f t="shared" si="73"/>
        <v>37.816251799694648</v>
      </c>
      <c r="P85" s="276">
        <f t="shared" si="54"/>
        <v>36.5</v>
      </c>
      <c r="Q85" s="487">
        <f t="shared" si="41"/>
        <v>0</v>
      </c>
      <c r="R85" s="278">
        <f t="shared" si="55"/>
        <v>4.5</v>
      </c>
      <c r="S85" s="278">
        <f t="shared" si="46"/>
        <v>4.5</v>
      </c>
      <c r="T85" s="279">
        <f t="shared" si="47"/>
        <v>52</v>
      </c>
      <c r="U85" s="279">
        <f t="shared" si="62"/>
        <v>8</v>
      </c>
      <c r="V85" s="276">
        <f t="shared" si="48"/>
        <v>0</v>
      </c>
      <c r="W85" s="276">
        <f>IF(AND(S85&gt;VLOOKUP(Inputs!$I$2,Extracciones,3),S85&lt;VLOOKUP(Inputs!$I$2,Extracciones,5)),(S85-VLOOKUP(Inputs!$I$2,Extracciones,3))*Inputs!$E$12,0)</f>
        <v>0</v>
      </c>
      <c r="X85" s="278">
        <f>IF(AD85=0,VLOOKUP(R85,Mineral,2)*R85*Inputs!$C$16*Inputs!$E$37,VLOOKUP(R85,Mineral,2)*R85*Inputs!$C$16)</f>
        <v>0</v>
      </c>
      <c r="Y85" s="278">
        <f>SUM(K85,M85)*Inputs!$O$8*14/(100*62)</f>
        <v>0</v>
      </c>
      <c r="Z85" s="278">
        <f t="shared" si="61"/>
        <v>0</v>
      </c>
      <c r="AA85" s="278">
        <f t="shared" si="56"/>
        <v>0</v>
      </c>
      <c r="AB85" s="279">
        <f t="shared" si="74"/>
        <v>0</v>
      </c>
      <c r="AC85" s="278">
        <f t="shared" si="77"/>
        <v>0</v>
      </c>
      <c r="AD85" s="279">
        <f t="shared" si="49"/>
        <v>-1.0956891891891893</v>
      </c>
      <c r="AE85" s="278">
        <f t="shared" si="50"/>
        <v>-21.913783783783774</v>
      </c>
      <c r="AF85" s="278">
        <f t="shared" si="64"/>
        <v>59.246216216216169</v>
      </c>
      <c r="AG85" s="279">
        <f t="shared" si="75"/>
        <v>25</v>
      </c>
      <c r="AH85" s="279">
        <f>AF85*1000000/(Inputs!$C$9*100*Inputs!$C$8*1000*(1-Inputs!$C$10)*(1+Inputs!$C$12))</f>
        <v>11.853984837178105</v>
      </c>
      <c r="AI85" s="279">
        <f>IFERROR(HLOOKUP(A85,Inputs!$C$14:$C$15,2,FALSE),-100)</f>
        <v>-100</v>
      </c>
      <c r="AJ85" s="281">
        <f t="shared" si="44"/>
        <v>0</v>
      </c>
      <c r="AK85" s="282">
        <f t="shared" si="27"/>
        <v>0</v>
      </c>
      <c r="AL85" s="282">
        <f t="shared" si="28"/>
        <v>0</v>
      </c>
      <c r="AM85" s="282">
        <f t="shared" si="29"/>
        <v>0</v>
      </c>
      <c r="AN85" s="283">
        <f>IFERROR(IF($G$1="Sí",VLOOKUP($A85,CSVAgro,9,FALSE),VLOOKUP($A85,Clima!$E$8:$Q$373,13,FALSE)),0)</f>
        <v>1.8</v>
      </c>
      <c r="AO85" s="281">
        <f t="shared" si="57"/>
        <v>58.9</v>
      </c>
      <c r="AP85" s="281">
        <f>IFERROR(VLOOKUP($A85,'F TrB'!$C$3:$O$21,3,FALSE),-9999)</f>
        <v>-9999</v>
      </c>
      <c r="AQ85" s="281">
        <f t="shared" si="51"/>
        <v>-999</v>
      </c>
      <c r="AR85" s="281">
        <f>IFERROR(IF(VLOOKUP($A85,'F TrB'!$Q$3:$R$21,2,FALSE)=0,-99999,VLOOKUP($A85,'F TrB'!$Q$3:$R$21,2,FALSE)),-99999)</f>
        <v>-99999</v>
      </c>
      <c r="AS85" s="281">
        <f t="shared" si="52"/>
        <v>-99999</v>
      </c>
      <c r="AT85" s="281" t="str">
        <f>IFERROR(VLOOKUP($A85,'NDVI tipo'!$Q$8:$S$30,2,FALSE),"")</f>
        <v/>
      </c>
      <c r="AU85" s="281">
        <f>IF(ISERROR(VLOOKUP($A85,'NDVI tipo'!$Q$8:$S$50,2,FALSE)),AU84+VLOOKUP($A85,'NDVI tipo'!$Q$8:$S$50,3,TRUE),VLOOKUP($A85,'NDVI tipo'!$Q$8:$S$50,2,FALSE))</f>
        <v>0.27071449090909139</v>
      </c>
      <c r="AV85" s="281">
        <f>IFERROR(VLOOKUP($A85,'NDVI real'!$Q$8:$S$44,2,FALSE),-999)</f>
        <v>-999</v>
      </c>
      <c r="AW85" s="281">
        <f>IF(ISERROR(VLOOKUP($A85,'NDVI real'!$T$8:$U$350,2,FALSE)),"",VLOOKUP($A85,'NDVI real'!$T$8:$U$350,2,FALSE))</f>
        <v>0.2579938267592598</v>
      </c>
      <c r="AX85" s="286">
        <f>IFERROR(VLOOKUP($A85,SWB!$C$15:$BE$244,53,FALSE),"")</f>
        <v>0</v>
      </c>
      <c r="AY85" s="286">
        <f>IFERROR(VLOOKUP($A85,SWB!$C$15:$BE$244,55,FALSE),"")</f>
        <v>0</v>
      </c>
      <c r="AZ85" s="281">
        <f>IF(ISERROR(VLOOKUP($A85,Clima!$V$8:$AI$320,14,FALSE)),-999,VLOOKUP(A85,Clima!$V$8:$AI$219,14,FALSE))</f>
        <v>1.5</v>
      </c>
      <c r="BA85" s="281">
        <f t="shared" si="58"/>
        <v>62.2</v>
      </c>
      <c r="BB85" s="281">
        <f t="shared" si="59"/>
        <v>1.5</v>
      </c>
      <c r="BC85" s="281">
        <f t="shared" si="60"/>
        <v>62.2</v>
      </c>
      <c r="BD85" s="284">
        <f t="shared" si="76"/>
        <v>42056</v>
      </c>
    </row>
    <row r="86" spans="1:56" s="275" customFormat="1" ht="12.75">
      <c r="A86" s="273">
        <f t="shared" si="53"/>
        <v>42057</v>
      </c>
      <c r="B86" s="274">
        <f t="shared" si="65"/>
        <v>53</v>
      </c>
      <c r="C86" s="275" t="str">
        <f t="shared" si="66"/>
        <v>Inicial</v>
      </c>
      <c r="D86" s="276">
        <f t="shared" si="67"/>
        <v>2.8</v>
      </c>
      <c r="E86" s="276">
        <f t="shared" si="68"/>
        <v>0.27135555500000075</v>
      </c>
      <c r="F86" s="276"/>
      <c r="G86" s="276">
        <f t="shared" si="69"/>
        <v>0.93392299999999995</v>
      </c>
      <c r="H86" s="276">
        <f t="shared" si="70"/>
        <v>1.083923</v>
      </c>
      <c r="I86" s="276">
        <f t="shared" si="71"/>
        <v>1.3765829999999999</v>
      </c>
      <c r="J86" s="276">
        <f>IFERROR(IF($G$1="Sí",VLOOKUP($A86,CSVAgro,13,FALSE),VLOOKUP($A86,SWB!$C$15:$P$202,14,FALSE)),0)</f>
        <v>0</v>
      </c>
      <c r="K86" s="487">
        <f t="shared" si="72"/>
        <v>0</v>
      </c>
      <c r="L86" s="487">
        <f t="shared" si="38"/>
        <v>0</v>
      </c>
      <c r="M86" s="487">
        <f t="shared" si="39"/>
        <v>0</v>
      </c>
      <c r="N86" s="277">
        <f>IF(ISERROR($G$1="Sí"),VLOOKUP($A86,CSVAgro,16,FALSE),IF(ISERROR(VLOOKUP($A86,Clima!$W$8:$Z$284,2,FALSE)),VLOOKUP($A86,Clima!$E$8:$H$372,2,FALSE),VLOOKUP($A86,Clima!$W$8:$Z$284,2,FALSE)))</f>
        <v>6.4</v>
      </c>
      <c r="O86" s="276">
        <f t="shared" si="73"/>
        <v>38.780542697709912</v>
      </c>
      <c r="P86" s="276">
        <f t="shared" si="54"/>
        <v>36.5</v>
      </c>
      <c r="Q86" s="487">
        <f t="shared" si="41"/>
        <v>0</v>
      </c>
      <c r="R86" s="278">
        <f t="shared" si="55"/>
        <v>6.4</v>
      </c>
      <c r="S86" s="278">
        <f t="shared" si="46"/>
        <v>6.4</v>
      </c>
      <c r="T86" s="279">
        <f t="shared" si="47"/>
        <v>53</v>
      </c>
      <c r="U86" s="279">
        <f t="shared" si="62"/>
        <v>8</v>
      </c>
      <c r="V86" s="276">
        <f t="shared" si="48"/>
        <v>0</v>
      </c>
      <c r="W86" s="276">
        <f>IF(AND(S86&gt;VLOOKUP(Inputs!$I$2,Extracciones,3),S86&lt;VLOOKUP(Inputs!$I$2,Extracciones,5)),(S86-VLOOKUP(Inputs!$I$2,Extracciones,3))*Inputs!$E$12,0)</f>
        <v>0</v>
      </c>
      <c r="X86" s="278">
        <f>IF(AD86=0,VLOOKUP(R86,Mineral,2)*R86*Inputs!$C$16*Inputs!$E$37,VLOOKUP(R86,Mineral,2)*R86*Inputs!$C$16)</f>
        <v>0</v>
      </c>
      <c r="Y86" s="278">
        <f>SUM(K86,M86)*Inputs!$O$8*14/(100*62)</f>
        <v>0</v>
      </c>
      <c r="Z86" s="278" t="str">
        <f>IFERROR(VLOOKUP(A86,Fertiliza,9,0),0)</f>
        <v/>
      </c>
      <c r="AA86" s="278">
        <f t="shared" si="56"/>
        <v>0</v>
      </c>
      <c r="AB86" s="279">
        <f t="shared" si="74"/>
        <v>0</v>
      </c>
      <c r="AC86" s="278">
        <f t="shared" si="77"/>
        <v>0</v>
      </c>
      <c r="AD86" s="279">
        <f t="shared" si="49"/>
        <v>-1.0956891891891893</v>
      </c>
      <c r="AE86" s="278">
        <f t="shared" si="50"/>
        <v>-23.009472972972965</v>
      </c>
      <c r="AF86" s="278">
        <f t="shared" si="64"/>
        <v>58.150527027026982</v>
      </c>
      <c r="AG86" s="279">
        <f t="shared" si="75"/>
        <v>25</v>
      </c>
      <c r="AH86" s="279">
        <f>AF86*1000000/(Inputs!$C$9*100*Inputs!$C$8*1000*(1-Inputs!$C$10)*(1+Inputs!$C$12))</f>
        <v>11.634759309129048</v>
      </c>
      <c r="AI86" s="279">
        <f>IFERROR(HLOOKUP(A86,Inputs!$C$14:$C$15,2,FALSE),-100)</f>
        <v>-100</v>
      </c>
      <c r="AJ86" s="281">
        <f t="shared" si="44"/>
        <v>0</v>
      </c>
      <c r="AK86" s="282">
        <f t="shared" si="27"/>
        <v>0</v>
      </c>
      <c r="AL86" s="282">
        <f t="shared" si="28"/>
        <v>0</v>
      </c>
      <c r="AM86" s="282">
        <f t="shared" si="29"/>
        <v>0</v>
      </c>
      <c r="AN86" s="283">
        <f>IFERROR(IF($G$1="Sí",VLOOKUP($A86,CSVAgro,9,FALSE),VLOOKUP($A86,Clima!$E$8:$Q$373,13,FALSE)),0)</f>
        <v>2.6</v>
      </c>
      <c r="AO86" s="281">
        <f t="shared" si="57"/>
        <v>61.5</v>
      </c>
      <c r="AP86" s="281">
        <f>IFERROR(VLOOKUP($A86,'F TrB'!$C$3:$O$21,3,FALSE),-9999)</f>
        <v>-9999</v>
      </c>
      <c r="AQ86" s="281">
        <f t="shared" si="51"/>
        <v>-999</v>
      </c>
      <c r="AR86" s="281">
        <f>IFERROR(IF(VLOOKUP($A86,'F TrB'!$Q$3:$R$21,2,FALSE)=0,-99999,VLOOKUP($A86,'F TrB'!$Q$3:$R$21,2,FALSE)),-99999)</f>
        <v>-99999</v>
      </c>
      <c r="AS86" s="281">
        <f t="shared" si="52"/>
        <v>-99999</v>
      </c>
      <c r="AT86" s="281" t="str">
        <f>IFERROR(VLOOKUP($A86,'NDVI tipo'!$Q$8:$S$30,2,FALSE),"")</f>
        <v/>
      </c>
      <c r="AU86" s="281">
        <f>IF(ISERROR(VLOOKUP($A86,'NDVI tipo'!$Q$8:$S$50,2,FALSE)),AU85+VLOOKUP($A86,'NDVI tipo'!$Q$8:$S$50,3,TRUE),VLOOKUP($A86,'NDVI tipo'!$Q$8:$S$50,2,FALSE))</f>
        <v>0.27222910909090958</v>
      </c>
      <c r="AV86" s="281">
        <f>IFERROR(VLOOKUP($A86,'NDVI real'!$Q$8:$S$44,2,FALSE),-999)</f>
        <v>-999</v>
      </c>
      <c r="AW86" s="281">
        <f>IF(ISERROR(VLOOKUP($A86,'NDVI real'!$T$8:$U$350,2,FALSE)),"",VLOOKUP($A86,'NDVI real'!$T$8:$U$350,2,FALSE))</f>
        <v>0.25788580208333389</v>
      </c>
      <c r="AX86" s="286">
        <f>IFERROR(VLOOKUP($A86,SWB!$C$15:$BE$244,53,FALSE),"")</f>
        <v>0</v>
      </c>
      <c r="AY86" s="286">
        <f>IFERROR(VLOOKUP($A86,SWB!$C$15:$BE$244,55,FALSE),"")</f>
        <v>0</v>
      </c>
      <c r="AZ86" s="281">
        <f>IF(ISERROR(VLOOKUP($A86,Clima!$V$8:$AI$320,14,FALSE)),-999,VLOOKUP(A86,Clima!$V$8:$AI$219,14,FALSE))</f>
        <v>2.8</v>
      </c>
      <c r="BA86" s="281">
        <f t="shared" si="58"/>
        <v>65</v>
      </c>
      <c r="BB86" s="281">
        <f t="shared" si="59"/>
        <v>2.8</v>
      </c>
      <c r="BC86" s="281">
        <f t="shared" si="60"/>
        <v>65</v>
      </c>
      <c r="BD86" s="284">
        <f t="shared" si="76"/>
        <v>42057</v>
      </c>
    </row>
    <row r="87" spans="1:56" s="275" customFormat="1" ht="12.75">
      <c r="A87" s="273">
        <f t="shared" si="53"/>
        <v>42058</v>
      </c>
      <c r="B87" s="274">
        <f t="shared" si="65"/>
        <v>54</v>
      </c>
      <c r="C87" s="275" t="str">
        <f t="shared" si="66"/>
        <v>Inicial</v>
      </c>
      <c r="D87" s="276">
        <f t="shared" si="67"/>
        <v>2.2000000000000002</v>
      </c>
      <c r="E87" s="276">
        <f t="shared" si="68"/>
        <v>0.27119999946666751</v>
      </c>
      <c r="F87" s="276"/>
      <c r="G87" s="276">
        <f t="shared" si="69"/>
        <v>0.91640500000000003</v>
      </c>
      <c r="H87" s="276">
        <f t="shared" si="70"/>
        <v>1.066405</v>
      </c>
      <c r="I87" s="276">
        <f t="shared" si="71"/>
        <v>1.3436699999999999</v>
      </c>
      <c r="J87" s="276">
        <f>IFERROR(IF($G$1="Sí",VLOOKUP($A87,CSVAgro,13,FALSE),VLOOKUP($A87,SWB!$C$15:$P$202,14,FALSE)),0)</f>
        <v>3.3</v>
      </c>
      <c r="K87" s="487">
        <f t="shared" si="72"/>
        <v>0</v>
      </c>
      <c r="L87" s="487">
        <f t="shared" si="38"/>
        <v>0</v>
      </c>
      <c r="M87" s="487">
        <f t="shared" si="39"/>
        <v>0</v>
      </c>
      <c r="N87" s="277">
        <f>IF(ISERROR($G$1="Sí"),VLOOKUP($A87,CSVAgro,16,FALSE),IF(ISERROR(VLOOKUP($A87,Clima!$W$8:$Z$284,2,FALSE)),VLOOKUP($A87,Clima!$E$8:$H$372,2,FALSE),VLOOKUP($A87,Clima!$W$8:$Z$284,2,FALSE)))</f>
        <v>8.6999999999999993</v>
      </c>
      <c r="O87" s="276">
        <f t="shared" si="73"/>
        <v>41.235225808397914</v>
      </c>
      <c r="P87" s="276">
        <f t="shared" si="54"/>
        <v>39.799999999999997</v>
      </c>
      <c r="Q87" s="487">
        <f t="shared" si="41"/>
        <v>0</v>
      </c>
      <c r="R87" s="278">
        <f t="shared" si="55"/>
        <v>8.6999999999999993</v>
      </c>
      <c r="S87" s="278">
        <f t="shared" si="46"/>
        <v>8.6999999999999993</v>
      </c>
      <c r="T87" s="279">
        <f t="shared" si="47"/>
        <v>54</v>
      </c>
      <c r="U87" s="279">
        <f t="shared" si="62"/>
        <v>9</v>
      </c>
      <c r="V87" s="276">
        <f t="shared" si="48"/>
        <v>0</v>
      </c>
      <c r="W87" s="276">
        <f>IF(AND(S87&gt;VLOOKUP(Inputs!$I$2,Extracciones,3),S87&lt;VLOOKUP(Inputs!$I$2,Extracciones,5)),(S87-VLOOKUP(Inputs!$I$2,Extracciones,3))*Inputs!$E$12,0)</f>
        <v>0</v>
      </c>
      <c r="X87" s="278">
        <f>IF(AD87=0,VLOOKUP(R87,Mineral,2)*R87*Inputs!$C$16*Inputs!$E$37,VLOOKUP(R87,Mineral,2)*R87*Inputs!$C$16)</f>
        <v>0</v>
      </c>
      <c r="Y87" s="278">
        <f>SUM(K87,M87)*Inputs!$O$8*14/(100*62)</f>
        <v>0</v>
      </c>
      <c r="Z87" s="278">
        <f t="shared" si="61"/>
        <v>0</v>
      </c>
      <c r="AA87" s="278">
        <f t="shared" si="56"/>
        <v>0</v>
      </c>
      <c r="AB87" s="279">
        <f t="shared" si="74"/>
        <v>0</v>
      </c>
      <c r="AC87" s="278">
        <f t="shared" si="77"/>
        <v>0</v>
      </c>
      <c r="AD87" s="279">
        <f t="shared" si="49"/>
        <v>-1.0956891891891893</v>
      </c>
      <c r="AE87" s="278">
        <f t="shared" si="50"/>
        <v>-24.105162162162156</v>
      </c>
      <c r="AF87" s="278">
        <f t="shared" si="64"/>
        <v>57.054837837837795</v>
      </c>
      <c r="AG87" s="279">
        <f t="shared" si="75"/>
        <v>25</v>
      </c>
      <c r="AH87" s="279">
        <f>AF87*1000000/(Inputs!$C$9*100*Inputs!$C$8*1000*(1-Inputs!$C$10)*(1+Inputs!$C$12))</f>
        <v>11.41553378107999</v>
      </c>
      <c r="AI87" s="279">
        <f>IFERROR(HLOOKUP(A87,Inputs!$C$14:$C$15,2,FALSE),-100)</f>
        <v>-100</v>
      </c>
      <c r="AJ87" s="281">
        <f t="shared" si="44"/>
        <v>0</v>
      </c>
      <c r="AK87" s="282">
        <f t="shared" si="27"/>
        <v>0</v>
      </c>
      <c r="AL87" s="282">
        <f t="shared" si="28"/>
        <v>0</v>
      </c>
      <c r="AM87" s="282">
        <f t="shared" si="29"/>
        <v>0</v>
      </c>
      <c r="AN87" s="283">
        <f>IFERROR(IF($G$1="Sí",VLOOKUP($A87,CSVAgro,9,FALSE),VLOOKUP($A87,Clima!$E$8:$Q$373,13,FALSE)),0)</f>
        <v>2.4</v>
      </c>
      <c r="AO87" s="281">
        <f t="shared" si="57"/>
        <v>63.9</v>
      </c>
      <c r="AP87" s="281">
        <f>IFERROR(VLOOKUP($A87,'F TrB'!$C$3:$O$21,3,FALSE),-9999)</f>
        <v>-9999</v>
      </c>
      <c r="AQ87" s="281">
        <f t="shared" si="51"/>
        <v>-999</v>
      </c>
      <c r="AR87" s="281">
        <f>IFERROR(IF(VLOOKUP($A87,'F TrB'!$Q$3:$R$21,2,FALSE)=0,-99999,VLOOKUP($A87,'F TrB'!$Q$3:$R$21,2,FALSE)),-99999)</f>
        <v>-99999</v>
      </c>
      <c r="AS87" s="281">
        <f t="shared" si="52"/>
        <v>-99999</v>
      </c>
      <c r="AT87" s="281" t="str">
        <f>IFERROR(VLOOKUP($A87,'NDVI tipo'!$Q$8:$S$30,2,FALSE),"")</f>
        <v/>
      </c>
      <c r="AU87" s="281">
        <f>IF(ISERROR(VLOOKUP($A87,'NDVI tipo'!$Q$8:$S$50,2,FALSE)),AU86+VLOOKUP($A87,'NDVI tipo'!$Q$8:$S$50,3,TRUE),VLOOKUP($A87,'NDVI tipo'!$Q$8:$S$50,2,FALSE))</f>
        <v>0.27374372727272778</v>
      </c>
      <c r="AV87" s="281">
        <f>IFERROR(VLOOKUP($A87,'NDVI real'!$Q$8:$S$44,2,FALSE),-999)</f>
        <v>-999</v>
      </c>
      <c r="AW87" s="281">
        <f>IF(ISERROR(VLOOKUP($A87,'NDVI real'!$T$8:$U$350,2,FALSE)),"",VLOOKUP($A87,'NDVI real'!$T$8:$U$350,2,FALSE))</f>
        <v>0.25777777740740798</v>
      </c>
      <c r="AX87" s="286">
        <f>IFERROR(VLOOKUP($A87,SWB!$C$15:$BE$244,53,FALSE),"")</f>
        <v>0</v>
      </c>
      <c r="AY87" s="286">
        <f>IFERROR(VLOOKUP($A87,SWB!$C$15:$BE$244,55,FALSE),"")</f>
        <v>0</v>
      </c>
      <c r="AZ87" s="281">
        <f>IF(ISERROR(VLOOKUP($A87,Clima!$V$8:$AI$320,14,FALSE)),-999,VLOOKUP(A87,Clima!$V$8:$AI$219,14,FALSE))</f>
        <v>2.2000000000000002</v>
      </c>
      <c r="BA87" s="281">
        <f t="shared" si="58"/>
        <v>67.2</v>
      </c>
      <c r="BB87" s="281">
        <f t="shared" si="59"/>
        <v>2.2000000000000002</v>
      </c>
      <c r="BC87" s="281">
        <f t="shared" si="60"/>
        <v>67.2</v>
      </c>
      <c r="BD87" s="284">
        <f t="shared" si="76"/>
        <v>42058</v>
      </c>
    </row>
    <row r="88" spans="1:56" s="275" customFormat="1" ht="12.75">
      <c r="A88" s="273">
        <f t="shared" si="53"/>
        <v>42059</v>
      </c>
      <c r="B88" s="274">
        <f t="shared" si="65"/>
        <v>55</v>
      </c>
      <c r="C88" s="275" t="str">
        <f t="shared" si="66"/>
        <v>Inicial</v>
      </c>
      <c r="D88" s="276">
        <f t="shared" si="67"/>
        <v>2.6</v>
      </c>
      <c r="E88" s="276">
        <f t="shared" si="68"/>
        <v>0.27104444393333416</v>
      </c>
      <c r="F88" s="276"/>
      <c r="G88" s="276">
        <f t="shared" si="69"/>
        <v>0.95064899999999997</v>
      </c>
      <c r="H88" s="276">
        <f t="shared" si="70"/>
        <v>1.100649</v>
      </c>
      <c r="I88" s="276">
        <f t="shared" si="71"/>
        <v>1.6179539999999999</v>
      </c>
      <c r="J88" s="276">
        <f>IFERROR(IF($G$1="Sí",VLOOKUP($A88,CSVAgro,13,FALSE),VLOOKUP($A88,SWB!$C$15:$P$202,14,FALSE)),0)</f>
        <v>0</v>
      </c>
      <c r="K88" s="487">
        <f t="shared" si="72"/>
        <v>0</v>
      </c>
      <c r="L88" s="487">
        <f t="shared" si="38"/>
        <v>0</v>
      </c>
      <c r="M88" s="487">
        <f t="shared" si="39"/>
        <v>0</v>
      </c>
      <c r="N88" s="277">
        <f>IF(ISERROR($G$1="Sí"),VLOOKUP($A88,CSVAgro,16,FALSE),IF(ISERROR(VLOOKUP($A88,Clima!$W$8:$Z$284,2,FALSE)),VLOOKUP($A88,Clima!$E$8:$H$372,2,FALSE),VLOOKUP($A88,Clima!$W$8:$Z$284,2,FALSE)))</f>
        <v>5.7</v>
      </c>
      <c r="O88" s="276">
        <f t="shared" si="73"/>
        <v>43.280795067304581</v>
      </c>
      <c r="P88" s="276">
        <f t="shared" si="54"/>
        <v>39.799999999999997</v>
      </c>
      <c r="Q88" s="487">
        <f t="shared" si="41"/>
        <v>0</v>
      </c>
      <c r="R88" s="278">
        <f t="shared" si="55"/>
        <v>5.7</v>
      </c>
      <c r="S88" s="278">
        <f t="shared" si="46"/>
        <v>5.7</v>
      </c>
      <c r="T88" s="279">
        <f t="shared" si="47"/>
        <v>55</v>
      </c>
      <c r="U88" s="279">
        <f t="shared" si="62"/>
        <v>9</v>
      </c>
      <c r="V88" s="276">
        <f t="shared" si="48"/>
        <v>0</v>
      </c>
      <c r="W88" s="276">
        <f>IF(AND(S88&gt;VLOOKUP(Inputs!$I$2,Extracciones,3),S88&lt;VLOOKUP(Inputs!$I$2,Extracciones,5)),(S88-VLOOKUP(Inputs!$I$2,Extracciones,3))*Inputs!$E$12,0)</f>
        <v>0</v>
      </c>
      <c r="X88" s="278">
        <f>IF(AD88=0,VLOOKUP(R88,Mineral,2)*R88*Inputs!$C$16*Inputs!$E$37,VLOOKUP(R88,Mineral,2)*R88*Inputs!$C$16)</f>
        <v>0</v>
      </c>
      <c r="Y88" s="278">
        <f>SUM(K88,M88)*Inputs!$O$8*14/(100*62)</f>
        <v>0</v>
      </c>
      <c r="Z88" s="278">
        <f t="shared" si="61"/>
        <v>0</v>
      </c>
      <c r="AA88" s="278">
        <f t="shared" si="56"/>
        <v>0</v>
      </c>
      <c r="AB88" s="279">
        <f t="shared" si="74"/>
        <v>0</v>
      </c>
      <c r="AC88" s="278">
        <f t="shared" si="77"/>
        <v>0</v>
      </c>
      <c r="AD88" s="279">
        <f t="shared" si="49"/>
        <v>-1.0956891891891893</v>
      </c>
      <c r="AE88" s="278">
        <f t="shared" si="50"/>
        <v>-25.200851351351346</v>
      </c>
      <c r="AF88" s="278">
        <f t="shared" si="64"/>
        <v>55.959148648648608</v>
      </c>
      <c r="AG88" s="279">
        <f t="shared" si="75"/>
        <v>25</v>
      </c>
      <c r="AH88" s="279">
        <f>AF88*1000000/(Inputs!$C$9*100*Inputs!$C$8*1000*(1-Inputs!$C$10)*(1+Inputs!$C$12))</f>
        <v>11.196308253030933</v>
      </c>
      <c r="AI88" s="279">
        <f>IFERROR(HLOOKUP(A88,Inputs!$C$14:$C$15,2,FALSE),-100)</f>
        <v>-100</v>
      </c>
      <c r="AJ88" s="281">
        <f t="shared" si="44"/>
        <v>0</v>
      </c>
      <c r="AK88" s="282">
        <f t="shared" si="27"/>
        <v>0</v>
      </c>
      <c r="AL88" s="282">
        <f t="shared" si="28"/>
        <v>0</v>
      </c>
      <c r="AM88" s="282">
        <f t="shared" si="29"/>
        <v>0</v>
      </c>
      <c r="AN88" s="283">
        <f>IFERROR(IF($G$1="Sí",VLOOKUP($A88,CSVAgro,9,FALSE),VLOOKUP($A88,Clima!$E$8:$Q$373,13,FALSE)),0)</f>
        <v>2</v>
      </c>
      <c r="AO88" s="281">
        <f t="shared" si="57"/>
        <v>65.900000000000006</v>
      </c>
      <c r="AP88" s="281">
        <f>IFERROR(VLOOKUP($A88,'F TrB'!$C$3:$O$21,3,FALSE),-9999)</f>
        <v>-9999</v>
      </c>
      <c r="AQ88" s="281">
        <f t="shared" si="51"/>
        <v>-999</v>
      </c>
      <c r="AR88" s="281">
        <f>IFERROR(IF(VLOOKUP($A88,'F TrB'!$Q$3:$R$21,2,FALSE)=0,-99999,VLOOKUP($A88,'F TrB'!$Q$3:$R$21,2,FALSE)),-99999)</f>
        <v>-99999</v>
      </c>
      <c r="AS88" s="281">
        <f t="shared" si="52"/>
        <v>-99999</v>
      </c>
      <c r="AT88" s="281" t="str">
        <f>IFERROR(VLOOKUP($A88,'NDVI tipo'!$Q$8:$S$30,2,FALSE),"")</f>
        <v/>
      </c>
      <c r="AU88" s="281">
        <f>IF(ISERROR(VLOOKUP($A88,'NDVI tipo'!$Q$8:$S$50,2,FALSE)),AU87+VLOOKUP($A88,'NDVI tipo'!$Q$8:$S$50,3,TRUE),VLOOKUP($A88,'NDVI tipo'!$Q$8:$S$50,2,FALSE))</f>
        <v>0.27525834545454597</v>
      </c>
      <c r="AV88" s="281">
        <f>IFERROR(VLOOKUP($A88,'NDVI real'!$Q$8:$S$44,2,FALSE),-999)</f>
        <v>-999</v>
      </c>
      <c r="AW88" s="281">
        <f>IF(ISERROR(VLOOKUP($A88,'NDVI real'!$T$8:$U$350,2,FALSE)),"",VLOOKUP($A88,'NDVI real'!$T$8:$U$350,2,FALSE))</f>
        <v>0.25766975273148207</v>
      </c>
      <c r="AX88" s="286">
        <f>IFERROR(VLOOKUP($A88,SWB!$C$15:$BE$244,53,FALSE),"")</f>
        <v>0</v>
      </c>
      <c r="AY88" s="286">
        <f>IFERROR(VLOOKUP($A88,SWB!$C$15:$BE$244,55,FALSE),"")</f>
        <v>0</v>
      </c>
      <c r="AZ88" s="281">
        <f>IF(ISERROR(VLOOKUP($A88,Clima!$V$8:$AI$320,14,FALSE)),-999,VLOOKUP(A88,Clima!$V$8:$AI$219,14,FALSE))</f>
        <v>2.6</v>
      </c>
      <c r="BA88" s="281">
        <f t="shared" si="58"/>
        <v>69.8</v>
      </c>
      <c r="BB88" s="281">
        <f t="shared" si="59"/>
        <v>2.6</v>
      </c>
      <c r="BC88" s="281">
        <f t="shared" si="60"/>
        <v>69.8</v>
      </c>
      <c r="BD88" s="284">
        <f t="shared" si="76"/>
        <v>42059</v>
      </c>
    </row>
    <row r="89" spans="1:56" s="275" customFormat="1" ht="12.75">
      <c r="A89" s="273">
        <f t="shared" si="53"/>
        <v>42060</v>
      </c>
      <c r="B89" s="274">
        <f t="shared" si="65"/>
        <v>56</v>
      </c>
      <c r="C89" s="275" t="str">
        <f t="shared" si="66"/>
        <v>Inicial</v>
      </c>
      <c r="D89" s="276">
        <f t="shared" si="67"/>
        <v>2.2000000000000002</v>
      </c>
      <c r="E89" s="276">
        <f t="shared" si="68"/>
        <v>0.2708888884000008</v>
      </c>
      <c r="F89" s="276"/>
      <c r="G89" s="276">
        <f t="shared" si="69"/>
        <v>1.008424</v>
      </c>
      <c r="H89" s="276">
        <f t="shared" si="70"/>
        <v>1.1584239999999999</v>
      </c>
      <c r="I89" s="276">
        <f t="shared" si="71"/>
        <v>3.2320039999999999</v>
      </c>
      <c r="J89" s="276">
        <f>IFERROR(IF($G$1="Sí",VLOOKUP($A89,CSVAgro,13,FALSE),VLOOKUP($A89,SWB!$C$15:$P$202,14,FALSE)),0)</f>
        <v>0</v>
      </c>
      <c r="K89" s="487">
        <f t="shared" si="72"/>
        <v>0</v>
      </c>
      <c r="L89" s="487">
        <f t="shared" si="38"/>
        <v>0</v>
      </c>
      <c r="M89" s="487">
        <f t="shared" si="39"/>
        <v>0</v>
      </c>
      <c r="N89" s="277">
        <f>IF(ISERROR($G$1="Sí"),VLOOKUP($A89,CSVAgro,16,FALSE),IF(ISERROR(VLOOKUP($A89,Clima!$W$8:$Z$284,2,FALSE)),VLOOKUP($A89,Clima!$E$8:$H$372,2,FALSE),VLOOKUP($A89,Clima!$W$8:$Z$284,2,FALSE)))</f>
        <v>6.5</v>
      </c>
      <c r="O89" s="276">
        <f t="shared" si="73"/>
        <v>44.108713806312281</v>
      </c>
      <c r="P89" s="276">
        <f t="shared" si="54"/>
        <v>39.799999999999997</v>
      </c>
      <c r="Q89" s="487">
        <f t="shared" si="41"/>
        <v>0</v>
      </c>
      <c r="R89" s="278">
        <f t="shared" si="55"/>
        <v>6.5</v>
      </c>
      <c r="S89" s="278">
        <f t="shared" si="46"/>
        <v>6.5</v>
      </c>
      <c r="T89" s="279">
        <f t="shared" si="47"/>
        <v>56</v>
      </c>
      <c r="U89" s="279">
        <f t="shared" si="62"/>
        <v>9</v>
      </c>
      <c r="V89" s="276">
        <f t="shared" si="48"/>
        <v>0</v>
      </c>
      <c r="W89" s="276">
        <f>IF(AND(S89&gt;VLOOKUP(Inputs!$I$2,Extracciones,3),S89&lt;VLOOKUP(Inputs!$I$2,Extracciones,5)),(S89-VLOOKUP(Inputs!$I$2,Extracciones,3))*Inputs!$E$12,0)</f>
        <v>0</v>
      </c>
      <c r="X89" s="278">
        <f>IF(AD89=0,VLOOKUP(R89,Mineral,2)*R89*Inputs!$C$16*Inputs!$E$37,VLOOKUP(R89,Mineral,2)*R89*Inputs!$C$16)</f>
        <v>0</v>
      </c>
      <c r="Y89" s="278">
        <f>SUM(K89,M89)*Inputs!$O$8*14/(100*62)</f>
        <v>0</v>
      </c>
      <c r="Z89" s="278">
        <f t="shared" si="61"/>
        <v>0</v>
      </c>
      <c r="AA89" s="278">
        <f t="shared" si="56"/>
        <v>0</v>
      </c>
      <c r="AB89" s="279">
        <f t="shared" si="74"/>
        <v>0</v>
      </c>
      <c r="AC89" s="278">
        <f t="shared" si="77"/>
        <v>0</v>
      </c>
      <c r="AD89" s="279">
        <f t="shared" si="49"/>
        <v>-1.0956891891891893</v>
      </c>
      <c r="AE89" s="278">
        <f t="shared" si="50"/>
        <v>-26.296540540540537</v>
      </c>
      <c r="AF89" s="278">
        <f t="shared" si="64"/>
        <v>54.86345945945942</v>
      </c>
      <c r="AG89" s="279">
        <f t="shared" si="75"/>
        <v>25</v>
      </c>
      <c r="AH89" s="279">
        <f>AF89*1000000/(Inputs!$C$9*100*Inputs!$C$8*1000*(1-Inputs!$C$10)*(1+Inputs!$C$12))</f>
        <v>10.977082724981878</v>
      </c>
      <c r="AI89" s="279">
        <f>IFERROR(HLOOKUP(A89,Inputs!$C$14:$C$15,2,FALSE),-100)</f>
        <v>-100</v>
      </c>
      <c r="AJ89" s="281">
        <f t="shared" si="44"/>
        <v>0</v>
      </c>
      <c r="AK89" s="282">
        <f t="shared" si="27"/>
        <v>0</v>
      </c>
      <c r="AL89" s="282">
        <f t="shared" si="28"/>
        <v>0</v>
      </c>
      <c r="AM89" s="282">
        <f t="shared" si="29"/>
        <v>0</v>
      </c>
      <c r="AN89" s="283">
        <f>IFERROR(IF($G$1="Sí",VLOOKUP($A89,CSVAgro,9,FALSE),VLOOKUP($A89,Clima!$E$8:$Q$373,13,FALSE)),0)</f>
        <v>2.4</v>
      </c>
      <c r="AO89" s="281">
        <f t="shared" si="57"/>
        <v>68.300000000000011</v>
      </c>
      <c r="AP89" s="281">
        <f>IFERROR(VLOOKUP($A89,'F TrB'!$C$3:$O$21,3,FALSE),-9999)</f>
        <v>-9999</v>
      </c>
      <c r="AQ89" s="281">
        <f t="shared" si="51"/>
        <v>-999</v>
      </c>
      <c r="AR89" s="281">
        <f>IFERROR(IF(VLOOKUP($A89,'F TrB'!$Q$3:$R$21,2,FALSE)=0,-99999,VLOOKUP($A89,'F TrB'!$Q$3:$R$21,2,FALSE)),-99999)</f>
        <v>-99999</v>
      </c>
      <c r="AS89" s="281">
        <f t="shared" si="52"/>
        <v>-99999</v>
      </c>
      <c r="AT89" s="281" t="str">
        <f>IFERROR(VLOOKUP($A89,'NDVI tipo'!$Q$8:$S$30,2,FALSE),"")</f>
        <v/>
      </c>
      <c r="AU89" s="281">
        <f>IF(ISERROR(VLOOKUP($A89,'NDVI tipo'!$Q$8:$S$50,2,FALSE)),AU88+VLOOKUP($A89,'NDVI tipo'!$Q$8:$S$50,3,TRUE),VLOOKUP($A89,'NDVI tipo'!$Q$8:$S$50,2,FALSE))</f>
        <v>0.27677296363636417</v>
      </c>
      <c r="AV89" s="281">
        <f>IFERROR(VLOOKUP($A89,'NDVI real'!$Q$8:$S$44,2,FALSE),-999)</f>
        <v>-999</v>
      </c>
      <c r="AW89" s="281">
        <f>IF(ISERROR(VLOOKUP($A89,'NDVI real'!$T$8:$U$350,2,FALSE)),"",VLOOKUP($A89,'NDVI real'!$T$8:$U$350,2,FALSE))</f>
        <v>0.25756172805555616</v>
      </c>
      <c r="AX89" s="286">
        <f>IFERROR(VLOOKUP($A89,SWB!$C$15:$BE$244,53,FALSE),"")</f>
        <v>0</v>
      </c>
      <c r="AY89" s="286">
        <f>IFERROR(VLOOKUP($A89,SWB!$C$15:$BE$244,55,FALSE),"")</f>
        <v>0</v>
      </c>
      <c r="AZ89" s="281">
        <f>IF(ISERROR(VLOOKUP($A89,Clima!$V$8:$AI$320,14,FALSE)),-999,VLOOKUP(A89,Clima!$V$8:$AI$219,14,FALSE))</f>
        <v>2.2000000000000002</v>
      </c>
      <c r="BA89" s="281">
        <f t="shared" si="58"/>
        <v>72</v>
      </c>
      <c r="BB89" s="281">
        <f t="shared" si="59"/>
        <v>2.2000000000000002</v>
      </c>
      <c r="BC89" s="281">
        <f t="shared" si="60"/>
        <v>72</v>
      </c>
      <c r="BD89" s="284">
        <f t="shared" si="76"/>
        <v>42060</v>
      </c>
    </row>
    <row r="90" spans="1:56" s="275" customFormat="1" ht="12.75">
      <c r="A90" s="273">
        <f t="shared" si="53"/>
        <v>42061</v>
      </c>
      <c r="B90" s="274">
        <f t="shared" si="65"/>
        <v>57</v>
      </c>
      <c r="C90" s="275" t="str">
        <f t="shared" si="66"/>
        <v>Inicial</v>
      </c>
      <c r="D90" s="276">
        <f t="shared" si="67"/>
        <v>3</v>
      </c>
      <c r="E90" s="276">
        <f t="shared" si="68"/>
        <v>0.27073333286666756</v>
      </c>
      <c r="F90" s="276"/>
      <c r="G90" s="276">
        <f t="shared" si="69"/>
        <v>0.98982400000000004</v>
      </c>
      <c r="H90" s="276">
        <f t="shared" si="70"/>
        <v>1.1398239999999999</v>
      </c>
      <c r="I90" s="276">
        <f t="shared" si="71"/>
        <v>2.5532059999999999</v>
      </c>
      <c r="J90" s="276">
        <f>IFERROR(IF($G$1="Sí",VLOOKUP($A90,CSVAgro,13,FALSE),VLOOKUP($A90,SWB!$C$15:$P$202,14,FALSE)),0)</f>
        <v>0</v>
      </c>
      <c r="K90" s="487">
        <f t="shared" si="72"/>
        <v>0</v>
      </c>
      <c r="L90" s="487">
        <f t="shared" si="38"/>
        <v>0</v>
      </c>
      <c r="M90" s="487">
        <f t="shared" si="39"/>
        <v>0</v>
      </c>
      <c r="N90" s="277">
        <f>IF(ISERROR($G$1="Sí"),VLOOKUP($A90,CSVAgro,16,FALSE),IF(ISERROR(VLOOKUP($A90,Clima!$W$8:$Z$284,2,FALSE)),VLOOKUP($A90,Clima!$E$8:$H$372,2,FALSE),VLOOKUP($A90,Clima!$W$8:$Z$284,2,FALSE)))</f>
        <v>10</v>
      </c>
      <c r="O90" s="276">
        <f t="shared" si="73"/>
        <v>44.684867638357026</v>
      </c>
      <c r="P90" s="276">
        <f t="shared" si="54"/>
        <v>39.799999999999997</v>
      </c>
      <c r="Q90" s="487">
        <f t="shared" si="41"/>
        <v>0</v>
      </c>
      <c r="R90" s="278">
        <f t="shared" si="55"/>
        <v>10</v>
      </c>
      <c r="S90" s="278">
        <f t="shared" si="46"/>
        <v>10</v>
      </c>
      <c r="T90" s="279">
        <f t="shared" si="47"/>
        <v>57</v>
      </c>
      <c r="U90" s="279">
        <f t="shared" si="62"/>
        <v>9</v>
      </c>
      <c r="V90" s="276">
        <f t="shared" si="48"/>
        <v>0</v>
      </c>
      <c r="W90" s="276">
        <f>IF(AND(S90&gt;VLOOKUP(Inputs!$I$2,Extracciones,3),S90&lt;VLOOKUP(Inputs!$I$2,Extracciones,5)),(S90-VLOOKUP(Inputs!$I$2,Extracciones,3))*Inputs!$E$12,0)</f>
        <v>0</v>
      </c>
      <c r="X90" s="278">
        <f>IF(AD90=0,VLOOKUP(R90,Mineral,2)*R90*Inputs!$C$16*Inputs!$E$37,VLOOKUP(R90,Mineral,2)*R90*Inputs!$C$16)</f>
        <v>0</v>
      </c>
      <c r="Y90" s="278">
        <f>SUM(K90,M90)*Inputs!$O$8*14/(100*62)</f>
        <v>0</v>
      </c>
      <c r="Z90" s="278">
        <f t="shared" si="61"/>
        <v>0</v>
      </c>
      <c r="AA90" s="278">
        <f t="shared" si="56"/>
        <v>0</v>
      </c>
      <c r="AB90" s="279">
        <f t="shared" si="74"/>
        <v>0</v>
      </c>
      <c r="AC90" s="278">
        <f t="shared" si="77"/>
        <v>0</v>
      </c>
      <c r="AD90" s="279">
        <f t="shared" si="49"/>
        <v>-1.0956891891891893</v>
      </c>
      <c r="AE90" s="278">
        <f t="shared" si="50"/>
        <v>-27.392229729729728</v>
      </c>
      <c r="AF90" s="278">
        <f t="shared" si="64"/>
        <v>53.767770270270233</v>
      </c>
      <c r="AG90" s="279">
        <f t="shared" si="75"/>
        <v>25</v>
      </c>
      <c r="AH90" s="279">
        <f>AF90*1000000/(Inputs!$C$9*100*Inputs!$C$8*1000*(1-Inputs!$C$10)*(1+Inputs!$C$12))</f>
        <v>10.75785719693282</v>
      </c>
      <c r="AI90" s="279">
        <f>IFERROR(HLOOKUP(A90,Inputs!$C$14:$C$15,2,FALSE),-100)</f>
        <v>-100</v>
      </c>
      <c r="AJ90" s="281">
        <f t="shared" si="44"/>
        <v>0</v>
      </c>
      <c r="AK90" s="282">
        <f t="shared" si="27"/>
        <v>0</v>
      </c>
      <c r="AL90" s="282">
        <f t="shared" si="28"/>
        <v>0</v>
      </c>
      <c r="AM90" s="282">
        <f t="shared" si="29"/>
        <v>0</v>
      </c>
      <c r="AN90" s="283">
        <f>IFERROR(IF($G$1="Sí",VLOOKUP($A90,CSVAgro,9,FALSE),VLOOKUP($A90,Clima!$E$8:$Q$373,13,FALSE)),0)</f>
        <v>1.7</v>
      </c>
      <c r="AO90" s="281">
        <f t="shared" si="57"/>
        <v>70.000000000000014</v>
      </c>
      <c r="AP90" s="281">
        <f>IFERROR(VLOOKUP($A90,'F TrB'!$C$3:$O$21,3,FALSE),-9999)</f>
        <v>-9999</v>
      </c>
      <c r="AQ90" s="281">
        <f t="shared" si="51"/>
        <v>-999</v>
      </c>
      <c r="AR90" s="281">
        <f>IFERROR(IF(VLOOKUP($A90,'F TrB'!$Q$3:$R$21,2,FALSE)=0,-99999,VLOOKUP($A90,'F TrB'!$Q$3:$R$21,2,FALSE)),-99999)</f>
        <v>-99999</v>
      </c>
      <c r="AS90" s="281">
        <f t="shared" si="52"/>
        <v>-99999</v>
      </c>
      <c r="AT90" s="281" t="str">
        <f>IFERROR(VLOOKUP($A90,'NDVI tipo'!$Q$8:$S$30,2,FALSE),"")</f>
        <v/>
      </c>
      <c r="AU90" s="281">
        <f>IF(ISERROR(VLOOKUP($A90,'NDVI tipo'!$Q$8:$S$50,2,FALSE)),AU89+VLOOKUP($A90,'NDVI tipo'!$Q$8:$S$50,3,TRUE),VLOOKUP($A90,'NDVI tipo'!$Q$8:$S$50,2,FALSE))</f>
        <v>0.27828758181818236</v>
      </c>
      <c r="AV90" s="281">
        <f>IFERROR(VLOOKUP($A90,'NDVI real'!$Q$8:$S$44,2,FALSE),-999)</f>
        <v>-999</v>
      </c>
      <c r="AW90" s="281">
        <f>IF(ISERROR(VLOOKUP($A90,'NDVI real'!$T$8:$U$350,2,FALSE)),"",VLOOKUP($A90,'NDVI real'!$T$8:$U$350,2,FALSE))</f>
        <v>0.25745370337963025</v>
      </c>
      <c r="AX90" s="286">
        <f>IFERROR(VLOOKUP($A90,SWB!$C$15:$BE$244,53,FALSE),"")</f>
        <v>0</v>
      </c>
      <c r="AY90" s="286">
        <f>IFERROR(VLOOKUP($A90,SWB!$C$15:$BE$244,55,FALSE),"")</f>
        <v>0</v>
      </c>
      <c r="AZ90" s="281">
        <f>IF(ISERROR(VLOOKUP($A90,Clima!$V$8:$AI$320,14,FALSE)),-999,VLOOKUP(A90,Clima!$V$8:$AI$219,14,FALSE))</f>
        <v>3</v>
      </c>
      <c r="BA90" s="281">
        <f t="shared" si="58"/>
        <v>75</v>
      </c>
      <c r="BB90" s="281">
        <f t="shared" si="59"/>
        <v>3</v>
      </c>
      <c r="BC90" s="281">
        <f t="shared" si="60"/>
        <v>75</v>
      </c>
      <c r="BD90" s="284">
        <f t="shared" si="76"/>
        <v>42061</v>
      </c>
    </row>
    <row r="91" spans="1:56" s="275" customFormat="1" ht="12.75">
      <c r="A91" s="273">
        <f t="shared" si="53"/>
        <v>42062</v>
      </c>
      <c r="B91" s="274">
        <f t="shared" si="65"/>
        <v>58</v>
      </c>
      <c r="C91" s="275" t="str">
        <f t="shared" si="66"/>
        <v>Inicial</v>
      </c>
      <c r="D91" s="276">
        <f t="shared" si="67"/>
        <v>3.8</v>
      </c>
      <c r="E91" s="276">
        <f t="shared" si="68"/>
        <v>0.27057777733333421</v>
      </c>
      <c r="F91" s="276"/>
      <c r="G91" s="276">
        <f t="shared" si="69"/>
        <v>1.016931</v>
      </c>
      <c r="H91" s="276">
        <f t="shared" si="70"/>
        <v>1.1669309999999999</v>
      </c>
      <c r="I91" s="276">
        <f t="shared" si="71"/>
        <v>3.0573600000000001</v>
      </c>
      <c r="J91" s="276">
        <f>IFERROR(IF($G$1="Sí",VLOOKUP($A91,CSVAgro,13,FALSE),VLOOKUP($A91,SWB!$C$15:$P$202,14,FALSE)),0)</f>
        <v>0</v>
      </c>
      <c r="K91" s="487">
        <f t="shared" si="72"/>
        <v>0</v>
      </c>
      <c r="L91" s="487">
        <f t="shared" si="38"/>
        <v>0</v>
      </c>
      <c r="M91" s="487">
        <f t="shared" si="39"/>
        <v>0</v>
      </c>
      <c r="N91" s="277">
        <f>IF(ISERROR($G$1="Sí"),VLOOKUP($A91,CSVAgro,16,FALSE),IF(ISERROR(VLOOKUP($A91,Clima!$W$8:$Z$284,2,FALSE)),VLOOKUP($A91,Clima!$E$8:$H$372,2,FALSE),VLOOKUP($A91,Clima!$W$8:$Z$284,2,FALSE)))</f>
        <v>9.1</v>
      </c>
      <c r="O91" s="276">
        <f t="shared" si="73"/>
        <v>45.287719159069965</v>
      </c>
      <c r="P91" s="276">
        <f t="shared" si="54"/>
        <v>39.799999999999997</v>
      </c>
      <c r="Q91" s="487">
        <f t="shared" si="41"/>
        <v>0</v>
      </c>
      <c r="R91" s="278">
        <f t="shared" si="55"/>
        <v>9.1</v>
      </c>
      <c r="S91" s="278">
        <f t="shared" si="46"/>
        <v>9.1</v>
      </c>
      <c r="T91" s="279">
        <f t="shared" si="47"/>
        <v>58</v>
      </c>
      <c r="U91" s="279">
        <f t="shared" si="62"/>
        <v>9</v>
      </c>
      <c r="V91" s="276">
        <f t="shared" si="48"/>
        <v>0</v>
      </c>
      <c r="W91" s="276">
        <f>IF(AND(S91&gt;VLOOKUP(Inputs!$I$2,Extracciones,3),S91&lt;VLOOKUP(Inputs!$I$2,Extracciones,5)),(S91-VLOOKUP(Inputs!$I$2,Extracciones,3))*Inputs!$E$12,0)</f>
        <v>0</v>
      </c>
      <c r="X91" s="278">
        <f>IF(AD91=0,VLOOKUP(R91,Mineral,2)*R91*Inputs!$C$16*Inputs!$E$37,VLOOKUP(R91,Mineral,2)*R91*Inputs!$C$16)</f>
        <v>0</v>
      </c>
      <c r="Y91" s="278">
        <f>SUM(K91,M91)*Inputs!$O$8*14/(100*62)</f>
        <v>0</v>
      </c>
      <c r="Z91" s="278">
        <f t="shared" si="61"/>
        <v>0</v>
      </c>
      <c r="AA91" s="278">
        <f t="shared" si="56"/>
        <v>0</v>
      </c>
      <c r="AB91" s="279">
        <f t="shared" si="74"/>
        <v>0</v>
      </c>
      <c r="AC91" s="278">
        <f t="shared" si="77"/>
        <v>0</v>
      </c>
      <c r="AD91" s="279">
        <f t="shared" si="49"/>
        <v>-1.0956891891891893</v>
      </c>
      <c r="AE91" s="278">
        <f t="shared" si="50"/>
        <v>-28.487918918918918</v>
      </c>
      <c r="AF91" s="278">
        <f t="shared" si="64"/>
        <v>52.672081081081046</v>
      </c>
      <c r="AG91" s="279">
        <f t="shared" si="75"/>
        <v>25</v>
      </c>
      <c r="AH91" s="279">
        <f>AF91*1000000/(Inputs!$C$9*100*Inputs!$C$8*1000*(1-Inputs!$C$10)*(1+Inputs!$C$12))</f>
        <v>10.538631668883763</v>
      </c>
      <c r="AI91" s="279">
        <f>IFERROR(HLOOKUP(A91,Inputs!$C$14:$C$15,2,FALSE),-100)</f>
        <v>-100</v>
      </c>
      <c r="AJ91" s="281">
        <f t="shared" si="44"/>
        <v>0</v>
      </c>
      <c r="AK91" s="282">
        <f t="shared" si="27"/>
        <v>0</v>
      </c>
      <c r="AL91" s="282">
        <f t="shared" si="28"/>
        <v>0</v>
      </c>
      <c r="AM91" s="282">
        <f t="shared" si="29"/>
        <v>0</v>
      </c>
      <c r="AN91" s="283">
        <f>IFERROR(IF($G$1="Sí",VLOOKUP($A91,CSVAgro,9,FALSE),VLOOKUP($A91,Clima!$E$8:$Q$373,13,FALSE)),0)</f>
        <v>1.8</v>
      </c>
      <c r="AO91" s="281">
        <f t="shared" si="57"/>
        <v>71.800000000000011</v>
      </c>
      <c r="AP91" s="281">
        <f>IFERROR(VLOOKUP($A91,'F TrB'!$C$3:$O$21,3,FALSE),-9999)</f>
        <v>13</v>
      </c>
      <c r="AQ91" s="281">
        <f t="shared" si="51"/>
        <v>1.4</v>
      </c>
      <c r="AR91" s="281">
        <f>IFERROR(IF(VLOOKUP($A91,'F TrB'!$Q$3:$R$21,2,FALSE)=0,-99999,VLOOKUP($A91,'F TrB'!$Q$3:$R$21,2,FALSE)),-99999)</f>
        <v>-99999</v>
      </c>
      <c r="AS91" s="281">
        <f t="shared" si="52"/>
        <v>-99999</v>
      </c>
      <c r="AT91" s="281" t="str">
        <f>IFERROR(VLOOKUP($A91,'NDVI tipo'!$Q$8:$S$30,2,FALSE),"")</f>
        <v/>
      </c>
      <c r="AU91" s="281">
        <f>IF(ISERROR(VLOOKUP($A91,'NDVI tipo'!$Q$8:$S$50,2,FALSE)),AU90+VLOOKUP($A91,'NDVI tipo'!$Q$8:$S$50,3,TRUE),VLOOKUP($A91,'NDVI tipo'!$Q$8:$S$50,2,FALSE))</f>
        <v>0.27980220000000056</v>
      </c>
      <c r="AV91" s="281">
        <f>IFERROR(VLOOKUP($A91,'NDVI real'!$Q$8:$S$44,2,FALSE),-999)</f>
        <v>-999</v>
      </c>
      <c r="AW91" s="281">
        <f>IF(ISERROR(VLOOKUP($A91,'NDVI real'!$T$8:$U$350,2,FALSE)),"",VLOOKUP($A91,'NDVI real'!$T$8:$U$350,2,FALSE))</f>
        <v>0.25734567870370434</v>
      </c>
      <c r="AX91" s="286">
        <f>IFERROR(VLOOKUP($A91,SWB!$C$15:$BE$244,53,FALSE),"")</f>
        <v>0</v>
      </c>
      <c r="AY91" s="286">
        <f>IFERROR(VLOOKUP($A91,SWB!$C$15:$BE$244,55,FALSE),"")</f>
        <v>0</v>
      </c>
      <c r="AZ91" s="281">
        <f>IF(ISERROR(VLOOKUP($A91,Clima!$V$8:$AI$320,14,FALSE)),-999,VLOOKUP(A91,Clima!$V$8:$AI$219,14,FALSE))</f>
        <v>3.8</v>
      </c>
      <c r="BA91" s="281">
        <f t="shared" si="58"/>
        <v>78.8</v>
      </c>
      <c r="BB91" s="281">
        <f t="shared" si="59"/>
        <v>3.8</v>
      </c>
      <c r="BC91" s="281">
        <f t="shared" si="60"/>
        <v>78.8</v>
      </c>
      <c r="BD91" s="284">
        <f t="shared" si="76"/>
        <v>42062</v>
      </c>
    </row>
    <row r="92" spans="1:56" s="275" customFormat="1" ht="12.75">
      <c r="A92" s="273">
        <f t="shared" si="53"/>
        <v>42063</v>
      </c>
      <c r="B92" s="274">
        <f t="shared" si="65"/>
        <v>59</v>
      </c>
      <c r="C92" s="275" t="str">
        <f t="shared" si="66"/>
        <v>Inicial</v>
      </c>
      <c r="D92" s="276">
        <f t="shared" si="67"/>
        <v>3.1</v>
      </c>
      <c r="E92" s="276">
        <f t="shared" si="68"/>
        <v>0.27042222180000097</v>
      </c>
      <c r="F92" s="276"/>
      <c r="G92" s="276">
        <f t="shared" si="69"/>
        <v>1.049283</v>
      </c>
      <c r="H92" s="276">
        <f t="shared" si="70"/>
        <v>1.1992830000000001</v>
      </c>
      <c r="I92" s="276">
        <f t="shared" si="71"/>
        <v>2.6264289999999999</v>
      </c>
      <c r="J92" s="276">
        <f>IFERROR(IF($G$1="Sí",VLOOKUP($A92,CSVAgro,13,FALSE),VLOOKUP($A92,SWB!$C$15:$P$202,14,FALSE)),0)</f>
        <v>0</v>
      </c>
      <c r="K92" s="487">
        <f t="shared" si="72"/>
        <v>0</v>
      </c>
      <c r="L92" s="487">
        <f t="shared" si="38"/>
        <v>0</v>
      </c>
      <c r="M92" s="487">
        <f t="shared" si="39"/>
        <v>0</v>
      </c>
      <c r="N92" s="277">
        <f>IF(ISERROR($G$1="Sí"),VLOOKUP($A92,CSVAgro,16,FALSE),IF(ISERROR(VLOOKUP($A92,Clima!$W$8:$Z$284,2,FALSE)),VLOOKUP($A92,Clima!$E$8:$H$372,2,FALSE),VLOOKUP($A92,Clima!$W$8:$Z$284,2,FALSE)))</f>
        <v>8.5</v>
      </c>
      <c r="O92" s="276">
        <f t="shared" si="73"/>
        <v>45.751010787179858</v>
      </c>
      <c r="P92" s="276">
        <f t="shared" si="54"/>
        <v>39.799999999999997</v>
      </c>
      <c r="Q92" s="487">
        <f t="shared" si="41"/>
        <v>0</v>
      </c>
      <c r="R92" s="278">
        <f t="shared" si="55"/>
        <v>8.5</v>
      </c>
      <c r="S92" s="278">
        <f t="shared" si="46"/>
        <v>8.5</v>
      </c>
      <c r="T92" s="279">
        <f t="shared" si="47"/>
        <v>59</v>
      </c>
      <c r="U92" s="279">
        <f t="shared" si="62"/>
        <v>9</v>
      </c>
      <c r="V92" s="276">
        <f t="shared" si="48"/>
        <v>0</v>
      </c>
      <c r="W92" s="276">
        <f>IF(AND(S92&gt;VLOOKUP(Inputs!$I$2,Extracciones,3),S92&lt;VLOOKUP(Inputs!$I$2,Extracciones,5)),(S92-VLOOKUP(Inputs!$I$2,Extracciones,3))*Inputs!$E$12,0)</f>
        <v>0</v>
      </c>
      <c r="X92" s="278">
        <f>IF(AD92=0,VLOOKUP(R92,Mineral,2)*R92*Inputs!$C$16*Inputs!$E$37,VLOOKUP(R92,Mineral,2)*R92*Inputs!$C$16)</f>
        <v>0</v>
      </c>
      <c r="Y92" s="278">
        <f>SUM(K92,M92)*Inputs!$O$8*14/(100*62)</f>
        <v>0</v>
      </c>
      <c r="Z92" s="278">
        <f t="shared" si="61"/>
        <v>0</v>
      </c>
      <c r="AA92" s="278">
        <f t="shared" si="56"/>
        <v>0</v>
      </c>
      <c r="AB92" s="279">
        <f t="shared" si="74"/>
        <v>0</v>
      </c>
      <c r="AC92" s="278">
        <f t="shared" si="77"/>
        <v>0</v>
      </c>
      <c r="AD92" s="279">
        <f t="shared" si="49"/>
        <v>-4.0697027027027026</v>
      </c>
      <c r="AE92" s="278">
        <f t="shared" si="50"/>
        <v>-32.557621621621621</v>
      </c>
      <c r="AF92" s="278">
        <f t="shared" si="64"/>
        <v>48.602378378378347</v>
      </c>
      <c r="AG92" s="279">
        <f t="shared" si="75"/>
        <v>40</v>
      </c>
      <c r="AH92" s="279">
        <f>AF92*1000000/(Inputs!$C$9*100*Inputs!$C$8*1000*(1-Inputs!$C$10)*(1+Inputs!$C$12))</f>
        <v>9.7243654218444071</v>
      </c>
      <c r="AI92" s="279">
        <f>IFERROR(HLOOKUP(A92,Inputs!$C$14:$C$15,2,FALSE),-100)</f>
        <v>-100</v>
      </c>
      <c r="AJ92" s="281">
        <f t="shared" si="44"/>
        <v>0</v>
      </c>
      <c r="AK92" s="282">
        <f t="shared" si="27"/>
        <v>0</v>
      </c>
      <c r="AL92" s="282">
        <f t="shared" si="28"/>
        <v>0</v>
      </c>
      <c r="AM92" s="282">
        <f t="shared" si="29"/>
        <v>0</v>
      </c>
      <c r="AN92" s="283">
        <f>IFERROR(IF($G$1="Sí",VLOOKUP($A92,CSVAgro,9,FALSE),VLOOKUP($A92,Clima!$E$8:$Q$373,13,FALSE)),0)</f>
        <v>1.4</v>
      </c>
      <c r="AO92" s="281">
        <f t="shared" si="57"/>
        <v>73.200000000000017</v>
      </c>
      <c r="AP92" s="281">
        <f>IFERROR(VLOOKUP($A92,'F TrB'!$C$3:$O$21,3,FALSE),-9999)</f>
        <v>-9999</v>
      </c>
      <c r="AQ92" s="281">
        <f t="shared" si="51"/>
        <v>-999</v>
      </c>
      <c r="AR92" s="281">
        <f>IFERROR(IF(VLOOKUP($A92,'F TrB'!$Q$3:$R$21,2,FALSE)=0,-99999,VLOOKUP($A92,'F TrB'!$Q$3:$R$21,2,FALSE)),-99999)</f>
        <v>-99999</v>
      </c>
      <c r="AS92" s="281">
        <f t="shared" si="52"/>
        <v>-99999</v>
      </c>
      <c r="AT92" s="281" t="str">
        <f>IFERROR(VLOOKUP($A92,'NDVI tipo'!$Q$8:$S$30,2,FALSE),"")</f>
        <v/>
      </c>
      <c r="AU92" s="281">
        <f>IF(ISERROR(VLOOKUP($A92,'NDVI tipo'!$Q$8:$S$50,2,FALSE)),AU91+VLOOKUP($A92,'NDVI tipo'!$Q$8:$S$50,3,TRUE),VLOOKUP($A92,'NDVI tipo'!$Q$8:$S$50,2,FALSE))</f>
        <v>0.28131681818181875</v>
      </c>
      <c r="AV92" s="281">
        <f>IFERROR(VLOOKUP($A92,'NDVI real'!$Q$8:$S$44,2,FALSE),-999)</f>
        <v>-999</v>
      </c>
      <c r="AW92" s="281">
        <f>IF(ISERROR(VLOOKUP($A92,'NDVI real'!$T$8:$U$350,2,FALSE)),"",VLOOKUP($A92,'NDVI real'!$T$8:$U$350,2,FALSE))</f>
        <v>0.25723765402777843</v>
      </c>
      <c r="AX92" s="286">
        <f>IFERROR(VLOOKUP($A92,SWB!$C$15:$BE$244,53,FALSE),"")</f>
        <v>0</v>
      </c>
      <c r="AY92" s="286">
        <f>IFERROR(VLOOKUP($A92,SWB!$C$15:$BE$244,55,FALSE),"")</f>
        <v>0</v>
      </c>
      <c r="AZ92" s="281">
        <f>IF(ISERROR(VLOOKUP($A92,Clima!$V$8:$AI$320,14,FALSE)),-999,VLOOKUP(A92,Clima!$V$8:$AI$219,14,FALSE))</f>
        <v>3.1</v>
      </c>
      <c r="BA92" s="281">
        <f t="shared" si="58"/>
        <v>81.899999999999991</v>
      </c>
      <c r="BB92" s="281">
        <f t="shared" si="59"/>
        <v>3.1</v>
      </c>
      <c r="BC92" s="281">
        <f t="shared" si="60"/>
        <v>81.899999999999991</v>
      </c>
      <c r="BD92" s="284">
        <f t="shared" si="76"/>
        <v>42063</v>
      </c>
    </row>
    <row r="93" spans="1:56" s="275" customFormat="1" ht="12.75">
      <c r="A93" s="273">
        <f t="shared" si="53"/>
        <v>42064</v>
      </c>
      <c r="B93" s="274">
        <f t="shared" si="65"/>
        <v>60</v>
      </c>
      <c r="C93" s="275" t="str">
        <f t="shared" si="66"/>
        <v>Inicial</v>
      </c>
      <c r="D93" s="276">
        <f t="shared" si="67"/>
        <v>2.7</v>
      </c>
      <c r="E93" s="276">
        <f t="shared" si="68"/>
        <v>0.27026666626666762</v>
      </c>
      <c r="F93" s="276"/>
      <c r="G93" s="276">
        <f t="shared" si="69"/>
        <v>1.0537380000000001</v>
      </c>
      <c r="H93" s="276">
        <f t="shared" si="70"/>
        <v>1.203738</v>
      </c>
      <c r="I93" s="276">
        <f t="shared" si="71"/>
        <v>3.6473270000000002</v>
      </c>
      <c r="J93" s="276">
        <f>IFERROR(IF($G$1="Sí",VLOOKUP($A93,CSVAgro,13,FALSE),VLOOKUP($A93,SWB!$C$15:$P$202,14,FALSE)),0)</f>
        <v>0</v>
      </c>
      <c r="K93" s="487">
        <f t="shared" si="72"/>
        <v>0</v>
      </c>
      <c r="L93" s="487">
        <f t="shared" si="38"/>
        <v>0</v>
      </c>
      <c r="M93" s="487">
        <f t="shared" si="39"/>
        <v>0</v>
      </c>
      <c r="N93" s="277">
        <f>IF(ISERROR($G$1="Sí"),VLOOKUP($A93,CSVAgro,16,FALSE),IF(ISERROR(VLOOKUP($A93,Clima!$W$8:$Z$284,2,FALSE)),VLOOKUP($A93,Clima!$E$8:$H$372,2,FALSE),VLOOKUP($A93,Clima!$W$8:$Z$284,2,FALSE)))</f>
        <v>9.8000000000000007</v>
      </c>
      <c r="O93" s="276">
        <f t="shared" si="73"/>
        <v>46.538117795645299</v>
      </c>
      <c r="P93" s="276">
        <f t="shared" si="54"/>
        <v>39.799999999999997</v>
      </c>
      <c r="Q93" s="487">
        <f t="shared" si="41"/>
        <v>0</v>
      </c>
      <c r="R93" s="278">
        <f t="shared" si="55"/>
        <v>9.8000000000000007</v>
      </c>
      <c r="S93" s="278">
        <f t="shared" si="46"/>
        <v>9.8000000000000007</v>
      </c>
      <c r="T93" s="279">
        <f t="shared" si="47"/>
        <v>60</v>
      </c>
      <c r="U93" s="279">
        <f t="shared" si="62"/>
        <v>9</v>
      </c>
      <c r="V93" s="276">
        <f t="shared" si="48"/>
        <v>0</v>
      </c>
      <c r="W93" s="276">
        <f>IF(AND(S93&gt;VLOOKUP(Inputs!$I$2,Extracciones,3),S93&lt;VLOOKUP(Inputs!$I$2,Extracciones,5)),(S93-VLOOKUP(Inputs!$I$2,Extracciones,3))*Inputs!$E$12,0)</f>
        <v>0</v>
      </c>
      <c r="X93" s="278">
        <f>IF(AD93=0,VLOOKUP(R93,Mineral,2)*R93*Inputs!$C$16*Inputs!$E$37,VLOOKUP(R93,Mineral,2)*R93*Inputs!$C$16)</f>
        <v>0</v>
      </c>
      <c r="Y93" s="278">
        <f>SUM(K93,M93)*Inputs!$O$8*14/(100*62)</f>
        <v>0</v>
      </c>
      <c r="Z93" s="278">
        <f t="shared" si="61"/>
        <v>0</v>
      </c>
      <c r="AA93" s="278">
        <f t="shared" si="56"/>
        <v>0</v>
      </c>
      <c r="AB93" s="279">
        <f t="shared" si="74"/>
        <v>0</v>
      </c>
      <c r="AC93" s="278">
        <f t="shared" si="77"/>
        <v>0</v>
      </c>
      <c r="AD93" s="279">
        <f t="shared" si="49"/>
        <v>-4.0697027027027026</v>
      </c>
      <c r="AE93" s="278">
        <f t="shared" si="50"/>
        <v>-36.62732432432432</v>
      </c>
      <c r="AF93" s="278">
        <f t="shared" si="64"/>
        <v>44.532675675675648</v>
      </c>
      <c r="AG93" s="279">
        <f t="shared" si="75"/>
        <v>40</v>
      </c>
      <c r="AH93" s="279">
        <f>AF93*1000000/(Inputs!$C$9*100*Inputs!$C$8*1000*(1-Inputs!$C$10)*(1+Inputs!$C$12))</f>
        <v>8.9100991748050511</v>
      </c>
      <c r="AI93" s="279">
        <f>IFERROR(HLOOKUP(A93,Inputs!$C$14:$C$15,2,FALSE),-100)</f>
        <v>-100</v>
      </c>
      <c r="AJ93" s="281">
        <f t="shared" si="44"/>
        <v>0</v>
      </c>
      <c r="AK93" s="282">
        <f t="shared" ref="AK93:AK156" si="78">X93+AK92</f>
        <v>0</v>
      </c>
      <c r="AL93" s="282">
        <f t="shared" ref="AL93:AL156" si="79">Y93+AL92</f>
        <v>0</v>
      </c>
      <c r="AM93" s="282">
        <f t="shared" ref="AM93:AM156" si="80">AC93+AM92</f>
        <v>0</v>
      </c>
      <c r="AN93" s="283">
        <f>IFERROR(IF($G$1="Sí",VLOOKUP($A93,CSVAgro,9,FALSE),VLOOKUP($A93,Clima!$E$8:$Q$373,13,FALSE)),0)</f>
        <v>2.4</v>
      </c>
      <c r="AO93" s="281">
        <f t="shared" si="57"/>
        <v>75.600000000000023</v>
      </c>
      <c r="AP93" s="281">
        <f>IFERROR(VLOOKUP($A93,'F TrB'!$C$3:$O$21,3,FALSE),-9999)</f>
        <v>-9999</v>
      </c>
      <c r="AQ93" s="281">
        <f t="shared" si="51"/>
        <v>-999</v>
      </c>
      <c r="AR93" s="281">
        <f>IFERROR(IF(VLOOKUP($A93,'F TrB'!$Q$3:$R$21,2,FALSE)=0,-99999,VLOOKUP($A93,'F TrB'!$Q$3:$R$21,2,FALSE)),-99999)</f>
        <v>-99999</v>
      </c>
      <c r="AS93" s="281">
        <f t="shared" si="52"/>
        <v>-99999</v>
      </c>
      <c r="AT93" s="281" t="str">
        <f>IFERROR(VLOOKUP($A93,'NDVI tipo'!$Q$8:$S$30,2,FALSE),"")</f>
        <v/>
      </c>
      <c r="AU93" s="281">
        <f>IF(ISERROR(VLOOKUP($A93,'NDVI tipo'!$Q$8:$S$50,2,FALSE)),AU92+VLOOKUP($A93,'NDVI tipo'!$Q$8:$S$50,3,TRUE),VLOOKUP($A93,'NDVI tipo'!$Q$8:$S$50,2,FALSE))</f>
        <v>0.28283143636363695</v>
      </c>
      <c r="AV93" s="281">
        <f>IFERROR(VLOOKUP($A93,'NDVI real'!$Q$8:$S$44,2,FALSE),-999)</f>
        <v>-999</v>
      </c>
      <c r="AW93" s="281">
        <f>IF(ISERROR(VLOOKUP($A93,'NDVI real'!$T$8:$U$350,2,FALSE)),"",VLOOKUP($A93,'NDVI real'!$T$8:$U$350,2,FALSE))</f>
        <v>0.25712962935185252</v>
      </c>
      <c r="AX93" s="286">
        <f>IFERROR(VLOOKUP($A93,SWB!$C$15:$BE$244,53,FALSE),"")</f>
        <v>0</v>
      </c>
      <c r="AY93" s="286">
        <f>IFERROR(VLOOKUP($A93,SWB!$C$15:$BE$244,55,FALSE),"")</f>
        <v>0</v>
      </c>
      <c r="AZ93" s="281">
        <f>IF(ISERROR(VLOOKUP($A93,Clima!$V$8:$AI$320,14,FALSE)),-999,VLOOKUP(A93,Clima!$V$8:$AI$219,14,FALSE))</f>
        <v>2.7</v>
      </c>
      <c r="BA93" s="281">
        <f t="shared" si="58"/>
        <v>84.6</v>
      </c>
      <c r="BB93" s="281">
        <f t="shared" si="59"/>
        <v>2.7</v>
      </c>
      <c r="BC93" s="281">
        <f t="shared" si="60"/>
        <v>84.6</v>
      </c>
      <c r="BD93" s="284">
        <f t="shared" si="76"/>
        <v>42064</v>
      </c>
    </row>
    <row r="94" spans="1:56" s="275" customFormat="1" ht="12.75">
      <c r="A94" s="273">
        <f t="shared" si="53"/>
        <v>42065</v>
      </c>
      <c r="B94" s="274">
        <f t="shared" si="65"/>
        <v>61</v>
      </c>
      <c r="C94" s="275" t="str">
        <f t="shared" si="66"/>
        <v>Inicial</v>
      </c>
      <c r="D94" s="276">
        <f t="shared" si="67"/>
        <v>3.1</v>
      </c>
      <c r="E94" s="276">
        <f t="shared" si="68"/>
        <v>0.27011111073333427</v>
      </c>
      <c r="F94" s="276"/>
      <c r="G94" s="276">
        <f t="shared" si="69"/>
        <v>0.96840300000000001</v>
      </c>
      <c r="H94" s="276">
        <f t="shared" si="70"/>
        <v>1.118403</v>
      </c>
      <c r="I94" s="276">
        <f t="shared" si="71"/>
        <v>4.2499320000000003</v>
      </c>
      <c r="J94" s="276">
        <f>IFERROR(IF($G$1="Sí",VLOOKUP($A94,CSVAgro,13,FALSE),VLOOKUP($A94,SWB!$C$15:$P$202,14,FALSE)),0)</f>
        <v>0</v>
      </c>
      <c r="K94" s="487">
        <f t="shared" si="72"/>
        <v>0</v>
      </c>
      <c r="L94" s="487">
        <f t="shared" si="38"/>
        <v>0</v>
      </c>
      <c r="M94" s="487">
        <f t="shared" si="39"/>
        <v>0</v>
      </c>
      <c r="N94" s="277">
        <f>IF(ISERROR($G$1="Sí"),VLOOKUP($A94,CSVAgro,16,FALSE),IF(ISERROR(VLOOKUP($A94,Clima!$W$8:$Z$284,2,FALSE)),VLOOKUP($A94,Clima!$E$8:$H$372,2,FALSE),VLOOKUP($A94,Clima!$W$8:$Z$284,2,FALSE)))</f>
        <v>12.1</v>
      </c>
      <c r="O94" s="276">
        <f t="shared" si="73"/>
        <v>47.637029673216922</v>
      </c>
      <c r="P94" s="276">
        <f t="shared" si="54"/>
        <v>39.799999999999997</v>
      </c>
      <c r="Q94" s="487">
        <f t="shared" si="41"/>
        <v>0</v>
      </c>
      <c r="R94" s="278">
        <f t="shared" si="55"/>
        <v>12.1</v>
      </c>
      <c r="S94" s="278">
        <f t="shared" si="46"/>
        <v>12.1</v>
      </c>
      <c r="T94" s="279">
        <f t="shared" si="47"/>
        <v>61</v>
      </c>
      <c r="U94" s="279">
        <f t="shared" si="62"/>
        <v>10</v>
      </c>
      <c r="V94" s="276">
        <f t="shared" si="48"/>
        <v>0</v>
      </c>
      <c r="W94" s="276">
        <f>IF(AND(S94&gt;VLOOKUP(Inputs!$I$2,Extracciones,3),S94&lt;VLOOKUP(Inputs!$I$2,Extracciones,5)),(S94-VLOOKUP(Inputs!$I$2,Extracciones,3))*Inputs!$E$12,0)</f>
        <v>0</v>
      </c>
      <c r="X94" s="278">
        <f>IF(AD94=0,VLOOKUP(R94,Mineral,2)*R94*Inputs!$C$16*Inputs!$E$37,VLOOKUP(R94,Mineral,2)*R94*Inputs!$C$16)</f>
        <v>0</v>
      </c>
      <c r="Y94" s="278">
        <f>SUM(K94,M94)*Inputs!$O$8*14/(100*62)</f>
        <v>0</v>
      </c>
      <c r="Z94" s="278">
        <f t="shared" si="61"/>
        <v>0</v>
      </c>
      <c r="AA94" s="278">
        <f t="shared" si="56"/>
        <v>0</v>
      </c>
      <c r="AB94" s="279">
        <f t="shared" si="74"/>
        <v>0</v>
      </c>
      <c r="AC94" s="278">
        <f t="shared" si="77"/>
        <v>0</v>
      </c>
      <c r="AD94" s="279">
        <f t="shared" si="49"/>
        <v>-4.0697027027027026</v>
      </c>
      <c r="AE94" s="278">
        <f t="shared" si="50"/>
        <v>-40.697027027027019</v>
      </c>
      <c r="AF94" s="278">
        <f t="shared" si="64"/>
        <v>40.462972972972949</v>
      </c>
      <c r="AG94" s="279">
        <f t="shared" si="75"/>
        <v>40</v>
      </c>
      <c r="AH94" s="279">
        <f>AF94*1000000/(Inputs!$C$9*100*Inputs!$C$8*1000*(1-Inputs!$C$10)*(1+Inputs!$C$12))</f>
        <v>8.0958329277656969</v>
      </c>
      <c r="AI94" s="279">
        <f>IFERROR(HLOOKUP(A94,Inputs!$C$14:$C$15,2,FALSE),-100)</f>
        <v>-100</v>
      </c>
      <c r="AJ94" s="281">
        <f t="shared" si="44"/>
        <v>0</v>
      </c>
      <c r="AK94" s="282">
        <f t="shared" si="78"/>
        <v>0</v>
      </c>
      <c r="AL94" s="282">
        <f t="shared" si="79"/>
        <v>0</v>
      </c>
      <c r="AM94" s="282">
        <f t="shared" si="80"/>
        <v>0</v>
      </c>
      <c r="AN94" s="283">
        <f>IFERROR(IF($G$1="Sí",VLOOKUP($A94,CSVAgro,9,FALSE),VLOOKUP($A94,Clima!$E$8:$Q$373,13,FALSE)),0)</f>
        <v>3.4</v>
      </c>
      <c r="AO94" s="281">
        <f t="shared" si="57"/>
        <v>79.000000000000028</v>
      </c>
      <c r="AP94" s="281">
        <f>IFERROR(VLOOKUP($A94,'F TrB'!$C$3:$O$21,3,FALSE),-9999)</f>
        <v>-9999</v>
      </c>
      <c r="AQ94" s="281">
        <f t="shared" si="51"/>
        <v>-999</v>
      </c>
      <c r="AR94" s="281">
        <f>IFERROR(IF(VLOOKUP($A94,'F TrB'!$Q$3:$R$21,2,FALSE)=0,-99999,VLOOKUP($A94,'F TrB'!$Q$3:$R$21,2,FALSE)),-99999)</f>
        <v>-99999</v>
      </c>
      <c r="AS94" s="281">
        <f t="shared" si="52"/>
        <v>-99999</v>
      </c>
      <c r="AT94" s="281" t="str">
        <f>IFERROR(VLOOKUP($A94,'NDVI tipo'!$Q$8:$S$30,2,FALSE),"")</f>
        <v/>
      </c>
      <c r="AU94" s="281">
        <f>IF(ISERROR(VLOOKUP($A94,'NDVI tipo'!$Q$8:$S$50,2,FALSE)),AU93+VLOOKUP($A94,'NDVI tipo'!$Q$8:$S$50,3,TRUE),VLOOKUP($A94,'NDVI tipo'!$Q$8:$S$50,2,FALSE))</f>
        <v>0.28434605454545514</v>
      </c>
      <c r="AV94" s="281">
        <f>IFERROR(VLOOKUP($A94,'NDVI real'!$Q$8:$S$44,2,FALSE),-999)</f>
        <v>-999</v>
      </c>
      <c r="AW94" s="281">
        <f>IF(ISERROR(VLOOKUP($A94,'NDVI real'!$T$8:$U$350,2,FALSE)),"",VLOOKUP($A94,'NDVI real'!$T$8:$U$350,2,FALSE))</f>
        <v>0.25702160467592661</v>
      </c>
      <c r="AX94" s="286">
        <f>IFERROR(VLOOKUP($A94,SWB!$C$15:$BE$244,53,FALSE),"")</f>
        <v>0</v>
      </c>
      <c r="AY94" s="286">
        <f>IFERROR(VLOOKUP($A94,SWB!$C$15:$BE$244,55,FALSE),"")</f>
        <v>0</v>
      </c>
      <c r="AZ94" s="281">
        <f>IF(ISERROR(VLOOKUP($A94,Clima!$V$8:$AI$320,14,FALSE)),-999,VLOOKUP(A94,Clima!$V$8:$AI$219,14,FALSE))</f>
        <v>3.1</v>
      </c>
      <c r="BA94" s="281">
        <f t="shared" si="58"/>
        <v>87.699999999999989</v>
      </c>
      <c r="BB94" s="281">
        <f t="shared" si="59"/>
        <v>3.1</v>
      </c>
      <c r="BC94" s="281">
        <f t="shared" si="60"/>
        <v>87.699999999999989</v>
      </c>
      <c r="BD94" s="284">
        <f t="shared" si="76"/>
        <v>42065</v>
      </c>
    </row>
    <row r="95" spans="1:56" s="275" customFormat="1" ht="12.75">
      <c r="A95" s="273">
        <f t="shared" si="53"/>
        <v>42066</v>
      </c>
      <c r="B95" s="274">
        <f t="shared" si="65"/>
        <v>62</v>
      </c>
      <c r="C95" s="275" t="str">
        <f t="shared" si="66"/>
        <v>Inicial</v>
      </c>
      <c r="D95" s="276">
        <f t="shared" si="67"/>
        <v>2.9</v>
      </c>
      <c r="E95" s="276">
        <f t="shared" si="68"/>
        <v>0.26995555520000003</v>
      </c>
      <c r="F95" s="276"/>
      <c r="G95" s="276">
        <f t="shared" si="69"/>
        <v>0.63897400000000004</v>
      </c>
      <c r="H95" s="276">
        <f t="shared" si="70"/>
        <v>0.78897399999999995</v>
      </c>
      <c r="I95" s="276">
        <f t="shared" si="71"/>
        <v>2.437929</v>
      </c>
      <c r="J95" s="276">
        <f>IFERROR(IF($G$1="Sí",VLOOKUP($A95,CSVAgro,13,FALSE),VLOOKUP($A95,SWB!$C$15:$P$202,14,FALSE)),0)</f>
        <v>0</v>
      </c>
      <c r="K95" s="487">
        <f t="shared" si="72"/>
        <v>0</v>
      </c>
      <c r="L95" s="487">
        <f t="shared" si="38"/>
        <v>0</v>
      </c>
      <c r="M95" s="487">
        <f t="shared" si="39"/>
        <v>0</v>
      </c>
      <c r="N95" s="277">
        <f>IF(ISERROR($G$1="Sí"),VLOOKUP($A95,CSVAgro,16,FALSE),IF(ISERROR(VLOOKUP($A95,Clima!$W$8:$Z$284,2,FALSE)),VLOOKUP($A95,Clima!$E$8:$H$372,2,FALSE),VLOOKUP($A95,Clima!$W$8:$Z$284,2,FALSE)))</f>
        <v>14</v>
      </c>
      <c r="O95" s="276">
        <f t="shared" si="73"/>
        <v>48.746723191294251</v>
      </c>
      <c r="P95" s="276">
        <f t="shared" si="54"/>
        <v>39.799999999999997</v>
      </c>
      <c r="Q95" s="487">
        <f t="shared" si="41"/>
        <v>0</v>
      </c>
      <c r="R95" s="278">
        <f t="shared" si="55"/>
        <v>14</v>
      </c>
      <c r="S95" s="278">
        <f t="shared" si="46"/>
        <v>14</v>
      </c>
      <c r="T95" s="279">
        <f t="shared" si="47"/>
        <v>62</v>
      </c>
      <c r="U95" s="279">
        <f t="shared" si="62"/>
        <v>10</v>
      </c>
      <c r="V95" s="276">
        <f t="shared" si="48"/>
        <v>0</v>
      </c>
      <c r="W95" s="276">
        <f>IF(AND(S95&gt;VLOOKUP(Inputs!$I$2,Extracciones,3),S95&lt;VLOOKUP(Inputs!$I$2,Extracciones,5)),(S95-VLOOKUP(Inputs!$I$2,Extracciones,3))*Inputs!$E$12,0)</f>
        <v>0</v>
      </c>
      <c r="X95" s="278">
        <f>IF(AD95=0,VLOOKUP(R95,Mineral,2)*R95*Inputs!$C$16*Inputs!$E$37,VLOOKUP(R95,Mineral,2)*R95*Inputs!$C$16)</f>
        <v>0.56000000000000005</v>
      </c>
      <c r="Y95" s="278">
        <f>SUM(K95,M95)*Inputs!$O$8*14/(100*62)</f>
        <v>0</v>
      </c>
      <c r="Z95" s="278">
        <f t="shared" si="61"/>
        <v>88.32</v>
      </c>
      <c r="AA95" s="278">
        <f t="shared" si="56"/>
        <v>110.39999999999999</v>
      </c>
      <c r="AB95" s="279">
        <f t="shared" si="74"/>
        <v>0</v>
      </c>
      <c r="AC95" s="278">
        <f t="shared" si="77"/>
        <v>0</v>
      </c>
      <c r="AD95" s="279">
        <f t="shared" si="49"/>
        <v>-4.0697027027027026</v>
      </c>
      <c r="AE95" s="278">
        <f t="shared" si="50"/>
        <v>-44.766729729729718</v>
      </c>
      <c r="AF95" s="278">
        <f t="shared" si="64"/>
        <v>125.27327027027025</v>
      </c>
      <c r="AG95" s="279">
        <f t="shared" si="75"/>
        <v>40</v>
      </c>
      <c r="AH95" s="279">
        <f>AF95*1000000/(Inputs!$C$9*100*Inputs!$C$8*1000*(1-Inputs!$C$10)*(1+Inputs!$C$12))</f>
        <v>25.064679926024457</v>
      </c>
      <c r="AI95" s="279">
        <f>IFERROR(HLOOKUP(A95,Inputs!$C$14:$C$15,2,FALSE),-100)</f>
        <v>-100</v>
      </c>
      <c r="AJ95" s="281">
        <f t="shared" si="44"/>
        <v>0</v>
      </c>
      <c r="AK95" s="282">
        <f t="shared" si="78"/>
        <v>0.56000000000000005</v>
      </c>
      <c r="AL95" s="282">
        <f t="shared" si="79"/>
        <v>0</v>
      </c>
      <c r="AM95" s="282">
        <f t="shared" si="80"/>
        <v>0</v>
      </c>
      <c r="AN95" s="283">
        <f>IFERROR(IF($G$1="Sí",VLOOKUP($A95,CSVAgro,9,FALSE),VLOOKUP($A95,Clima!$E$8:$Q$373,13,FALSE)),0)</f>
        <v>3.5</v>
      </c>
      <c r="AO95" s="281">
        <f t="shared" si="57"/>
        <v>82.500000000000028</v>
      </c>
      <c r="AP95" s="281">
        <f>IFERROR(VLOOKUP($A95,'F TrB'!$C$3:$O$21,3,FALSE),-9999)</f>
        <v>-9999</v>
      </c>
      <c r="AQ95" s="281">
        <f t="shared" si="51"/>
        <v>-999</v>
      </c>
      <c r="AR95" s="281">
        <f>IFERROR(IF(VLOOKUP($A95,'F TrB'!$Q$3:$R$21,2,FALSE)=0,-99999,VLOOKUP($A95,'F TrB'!$Q$3:$R$21,2,FALSE)),-99999)</f>
        <v>-99999</v>
      </c>
      <c r="AS95" s="281">
        <f t="shared" si="52"/>
        <v>-99999</v>
      </c>
      <c r="AT95" s="281" t="str">
        <f>IFERROR(VLOOKUP($A95,'NDVI tipo'!$Q$8:$S$30,2,FALSE),"")</f>
        <v/>
      </c>
      <c r="AU95" s="281">
        <f>IF(ISERROR(VLOOKUP($A95,'NDVI tipo'!$Q$8:$S$50,2,FALSE)),AU94+VLOOKUP($A95,'NDVI tipo'!$Q$8:$S$50,3,TRUE),VLOOKUP($A95,'NDVI tipo'!$Q$8:$S$50,2,FALSE))</f>
        <v>0.28586067272727333</v>
      </c>
      <c r="AV95" s="281">
        <f>IFERROR(VLOOKUP($A95,'NDVI real'!$Q$8:$S$44,2,FALSE),-999)</f>
        <v>0.25691358000000003</v>
      </c>
      <c r="AW95" s="281">
        <f>IF(ISERROR(VLOOKUP($A95,'NDVI real'!$T$8:$U$350,2,FALSE)),"",VLOOKUP($A95,'NDVI real'!$T$8:$U$350,2,FALSE))</f>
        <v>0.25691358000000003</v>
      </c>
      <c r="AX95" s="286">
        <f>IFERROR(VLOOKUP($A95,SWB!$C$15:$BE$244,53,FALSE),"")</f>
        <v>0</v>
      </c>
      <c r="AY95" s="286">
        <f>IFERROR(VLOOKUP($A95,SWB!$C$15:$BE$244,55,FALSE),"")</f>
        <v>0</v>
      </c>
      <c r="AZ95" s="281">
        <f>IF(ISERROR(VLOOKUP($A95,Clima!$V$8:$AI$320,14,FALSE)),-999,VLOOKUP(A95,Clima!$V$8:$AI$219,14,FALSE))</f>
        <v>2.9</v>
      </c>
      <c r="BA95" s="281">
        <f t="shared" si="58"/>
        <v>90.6</v>
      </c>
      <c r="BB95" s="281">
        <f t="shared" si="59"/>
        <v>2.9</v>
      </c>
      <c r="BC95" s="281">
        <f t="shared" si="60"/>
        <v>90.6</v>
      </c>
      <c r="BD95" s="284">
        <f t="shared" si="76"/>
        <v>42066</v>
      </c>
    </row>
    <row r="96" spans="1:56" s="275" customFormat="1" ht="12.75">
      <c r="A96" s="273">
        <f t="shared" si="53"/>
        <v>42067</v>
      </c>
      <c r="B96" s="274">
        <f t="shared" si="65"/>
        <v>63</v>
      </c>
      <c r="C96" s="275" t="str">
        <f t="shared" si="66"/>
        <v>Inicial</v>
      </c>
      <c r="D96" s="276">
        <f t="shared" si="67"/>
        <v>3.6</v>
      </c>
      <c r="E96" s="276">
        <f t="shared" si="68"/>
        <v>0.27500952342857143</v>
      </c>
      <c r="F96" s="276"/>
      <c r="G96" s="276">
        <f t="shared" si="69"/>
        <v>0.47482799999999997</v>
      </c>
      <c r="H96" s="276">
        <f t="shared" si="70"/>
        <v>0.62482800000000005</v>
      </c>
      <c r="I96" s="276">
        <f t="shared" si="71"/>
        <v>1.6870339999999999</v>
      </c>
      <c r="J96" s="276">
        <f>IFERROR(IF($G$1="Sí",VLOOKUP($A96,CSVAgro,13,FALSE),VLOOKUP($A96,SWB!$C$15:$P$202,14,FALSE)),0)</f>
        <v>0</v>
      </c>
      <c r="K96" s="487">
        <f t="shared" si="72"/>
        <v>0</v>
      </c>
      <c r="L96" s="487">
        <f t="shared" si="38"/>
        <v>0</v>
      </c>
      <c r="M96" s="487">
        <f t="shared" si="39"/>
        <v>0</v>
      </c>
      <c r="N96" s="277">
        <f>IF(ISERROR($G$1="Sí"),VLOOKUP($A96,CSVAgro,16,FALSE),IF(ISERROR(VLOOKUP($A96,Clima!$W$8:$Z$284,2,FALSE)),VLOOKUP($A96,Clima!$E$8:$H$372,2,FALSE),VLOOKUP($A96,Clima!$W$8:$Z$284,2,FALSE)))</f>
        <v>10.7</v>
      </c>
      <c r="O96" s="276">
        <f t="shared" si="73"/>
        <v>49.632482227089682</v>
      </c>
      <c r="P96" s="276">
        <f t="shared" si="54"/>
        <v>39.799999999999997</v>
      </c>
      <c r="Q96" s="487">
        <f t="shared" si="41"/>
        <v>0</v>
      </c>
      <c r="R96" s="278">
        <f t="shared" si="55"/>
        <v>10.7</v>
      </c>
      <c r="S96" s="278">
        <f t="shared" si="46"/>
        <v>10.7</v>
      </c>
      <c r="T96" s="279">
        <f t="shared" si="47"/>
        <v>63</v>
      </c>
      <c r="U96" s="279">
        <f t="shared" si="62"/>
        <v>10</v>
      </c>
      <c r="V96" s="276">
        <f t="shared" si="48"/>
        <v>0</v>
      </c>
      <c r="W96" s="276">
        <f>IF(AND(S96&gt;VLOOKUP(Inputs!$I$2,Extracciones,3),S96&lt;VLOOKUP(Inputs!$I$2,Extracciones,5)),(S96-VLOOKUP(Inputs!$I$2,Extracciones,3))*Inputs!$E$12,0)</f>
        <v>0</v>
      </c>
      <c r="X96" s="278">
        <f>IF(AD96=0,VLOOKUP(R96,Mineral,2)*R96*Inputs!$C$16*Inputs!$E$37,VLOOKUP(R96,Mineral,2)*R96*Inputs!$C$16)</f>
        <v>0</v>
      </c>
      <c r="Y96" s="278">
        <f>SUM(K96,M96)*Inputs!$O$8*14/(100*62)</f>
        <v>0</v>
      </c>
      <c r="Z96" s="278">
        <f t="shared" si="61"/>
        <v>0</v>
      </c>
      <c r="AA96" s="278">
        <f t="shared" si="56"/>
        <v>0</v>
      </c>
      <c r="AB96" s="279">
        <f t="shared" si="74"/>
        <v>0</v>
      </c>
      <c r="AC96" s="278">
        <f t="shared" si="77"/>
        <v>0</v>
      </c>
      <c r="AD96" s="279">
        <f t="shared" si="49"/>
        <v>-4.0697027027027026</v>
      </c>
      <c r="AE96" s="278">
        <f t="shared" si="50"/>
        <v>-48.836432432432417</v>
      </c>
      <c r="AF96" s="278">
        <f t="shared" si="64"/>
        <v>121.20356756756755</v>
      </c>
      <c r="AG96" s="279">
        <f t="shared" si="75"/>
        <v>40</v>
      </c>
      <c r="AH96" s="279">
        <f>AF96*1000000/(Inputs!$C$9*100*Inputs!$C$8*1000*(1-Inputs!$C$10)*(1+Inputs!$C$12))</f>
        <v>24.250413678985101</v>
      </c>
      <c r="AI96" s="279">
        <f>IFERROR(HLOOKUP(A96,Inputs!$C$14:$C$15,2,FALSE),-100)</f>
        <v>-100</v>
      </c>
      <c r="AJ96" s="281">
        <f t="shared" si="44"/>
        <v>0</v>
      </c>
      <c r="AK96" s="282">
        <f t="shared" si="78"/>
        <v>0.56000000000000005</v>
      </c>
      <c r="AL96" s="282">
        <f t="shared" si="79"/>
        <v>0</v>
      </c>
      <c r="AM96" s="282">
        <f t="shared" si="80"/>
        <v>0</v>
      </c>
      <c r="AN96" s="283">
        <f>IFERROR(IF($G$1="Sí",VLOOKUP($A96,CSVAgro,9,FALSE),VLOOKUP($A96,Clima!$E$8:$Q$373,13,FALSE)),0)</f>
        <v>2.8</v>
      </c>
      <c r="AO96" s="281">
        <f t="shared" si="57"/>
        <v>85.300000000000026</v>
      </c>
      <c r="AP96" s="281">
        <f>IFERROR(VLOOKUP($A96,'F TrB'!$C$3:$O$21,3,FALSE),-9999)</f>
        <v>-9999</v>
      </c>
      <c r="AQ96" s="281">
        <f t="shared" si="51"/>
        <v>-999</v>
      </c>
      <c r="AR96" s="281">
        <f>IFERROR(IF(VLOOKUP($A96,'F TrB'!$Q$3:$R$21,2,FALSE)=0,-99999,VLOOKUP($A96,'F TrB'!$Q$3:$R$21,2,FALSE)),-99999)</f>
        <v>-99999</v>
      </c>
      <c r="AS96" s="281">
        <f t="shared" si="52"/>
        <v>-99999</v>
      </c>
      <c r="AT96" s="281" t="str">
        <f>IFERROR(VLOOKUP($A96,'NDVI tipo'!$Q$8:$S$30,2,FALSE),"")</f>
        <v/>
      </c>
      <c r="AU96" s="281">
        <f>IF(ISERROR(VLOOKUP($A96,'NDVI tipo'!$Q$8:$S$50,2,FALSE)),AU95+VLOOKUP($A96,'NDVI tipo'!$Q$8:$S$50,3,TRUE),VLOOKUP($A96,'NDVI tipo'!$Q$8:$S$50,2,FALSE))</f>
        <v>0.28737529090909153</v>
      </c>
      <c r="AV96" s="281">
        <f>IFERROR(VLOOKUP($A96,'NDVI real'!$Q$8:$S$44,2,FALSE),-999)</f>
        <v>-999</v>
      </c>
      <c r="AW96" s="281">
        <f>IF(ISERROR(VLOOKUP($A96,'NDVI real'!$T$8:$U$350,2,FALSE)),"",VLOOKUP($A96,'NDVI real'!$T$8:$U$350,2,FALSE))</f>
        <v>0.26042328015873017</v>
      </c>
      <c r="AX96" s="286">
        <f>IFERROR(VLOOKUP($A96,SWB!$C$15:$BE$244,53,FALSE),"")</f>
        <v>0</v>
      </c>
      <c r="AY96" s="286">
        <f>IFERROR(VLOOKUP($A96,SWB!$C$15:$BE$244,55,FALSE),"")</f>
        <v>0</v>
      </c>
      <c r="AZ96" s="281">
        <f>IF(ISERROR(VLOOKUP($A96,Clima!$V$8:$AI$320,14,FALSE)),-999,VLOOKUP(A96,Clima!$V$8:$AI$219,14,FALSE))</f>
        <v>3.6</v>
      </c>
      <c r="BA96" s="281">
        <f t="shared" si="58"/>
        <v>94.199999999999989</v>
      </c>
      <c r="BB96" s="281">
        <f t="shared" si="59"/>
        <v>3.6</v>
      </c>
      <c r="BC96" s="281">
        <f t="shared" si="60"/>
        <v>94.199999999999989</v>
      </c>
      <c r="BD96" s="284">
        <f t="shared" si="76"/>
        <v>42067</v>
      </c>
    </row>
    <row r="97" spans="1:56" s="275" customFormat="1" ht="12.75">
      <c r="A97" s="273">
        <f t="shared" si="53"/>
        <v>42068</v>
      </c>
      <c r="B97" s="274">
        <f t="shared" si="65"/>
        <v>64</v>
      </c>
      <c r="C97" s="275" t="str">
        <f t="shared" si="66"/>
        <v>Inicial</v>
      </c>
      <c r="D97" s="276">
        <f t="shared" si="67"/>
        <v>2.4</v>
      </c>
      <c r="E97" s="276">
        <f t="shared" si="68"/>
        <v>0.28006349165714284</v>
      </c>
      <c r="F97" s="276"/>
      <c r="G97" s="276">
        <f t="shared" si="69"/>
        <v>0.37945800000000002</v>
      </c>
      <c r="H97" s="276">
        <f t="shared" si="70"/>
        <v>0.52945799999999998</v>
      </c>
      <c r="I97" s="276">
        <f t="shared" si="71"/>
        <v>1.636026</v>
      </c>
      <c r="J97" s="276">
        <f>IFERROR(IF($G$1="Sí",VLOOKUP($A97,CSVAgro,13,FALSE),VLOOKUP($A97,SWB!$C$15:$P$202,14,FALSE)),0)</f>
        <v>0</v>
      </c>
      <c r="K97" s="487">
        <f t="shared" si="72"/>
        <v>5</v>
      </c>
      <c r="L97" s="487">
        <f t="shared" si="38"/>
        <v>0</v>
      </c>
      <c r="M97" s="487">
        <f t="shared" si="39"/>
        <v>5</v>
      </c>
      <c r="N97" s="277">
        <f>IF(ISERROR($G$1="Sí"),VLOOKUP($A97,CSVAgro,16,FALSE),IF(ISERROR(VLOOKUP($A97,Clima!$W$8:$Z$284,2,FALSE)),VLOOKUP($A97,Clima!$E$8:$H$372,2,FALSE),VLOOKUP($A97,Clima!$W$8:$Z$284,2,FALSE)))</f>
        <v>4.3</v>
      </c>
      <c r="O97" s="276">
        <f t="shared" si="73"/>
        <v>50.783478619888768</v>
      </c>
      <c r="P97" s="276">
        <f t="shared" si="54"/>
        <v>39.799999999999997</v>
      </c>
      <c r="Q97" s="487">
        <f t="shared" si="41"/>
        <v>0</v>
      </c>
      <c r="R97" s="278">
        <f t="shared" si="55"/>
        <v>4.3</v>
      </c>
      <c r="S97" s="278">
        <f t="shared" si="46"/>
        <v>4.3</v>
      </c>
      <c r="T97" s="279">
        <f t="shared" si="47"/>
        <v>64</v>
      </c>
      <c r="U97" s="279">
        <f t="shared" si="62"/>
        <v>10</v>
      </c>
      <c r="V97" s="276">
        <f t="shared" si="48"/>
        <v>0</v>
      </c>
      <c r="W97" s="276">
        <f>IF(AND(S97&gt;VLOOKUP(Inputs!$I$2,Extracciones,3),S97&lt;VLOOKUP(Inputs!$I$2,Extracciones,5)),(S97-VLOOKUP(Inputs!$I$2,Extracciones,3))*Inputs!$E$12,0)</f>
        <v>0</v>
      </c>
      <c r="X97" s="278">
        <f>IF(AD97=0,VLOOKUP(R97,Mineral,2)*R97*Inputs!$C$16*Inputs!$E$37,VLOOKUP(R97,Mineral,2)*R97*Inputs!$C$16)</f>
        <v>0</v>
      </c>
      <c r="Y97" s="278">
        <f>SUM(K97,M97)*Inputs!$O$8*14/(100*62)</f>
        <v>0.33870967741935482</v>
      </c>
      <c r="Z97" s="278">
        <f t="shared" si="61"/>
        <v>0</v>
      </c>
      <c r="AA97" s="278">
        <f t="shared" si="56"/>
        <v>0</v>
      </c>
      <c r="AB97" s="279">
        <f t="shared" si="74"/>
        <v>0</v>
      </c>
      <c r="AC97" s="278">
        <f t="shared" si="77"/>
        <v>0</v>
      </c>
      <c r="AD97" s="279">
        <f t="shared" si="49"/>
        <v>-4.0697027027027026</v>
      </c>
      <c r="AE97" s="278">
        <f t="shared" si="50"/>
        <v>-52.906135135135116</v>
      </c>
      <c r="AF97" s="278">
        <f t="shared" si="64"/>
        <v>117.47257454228421</v>
      </c>
      <c r="AG97" s="279">
        <f t="shared" si="75"/>
        <v>40</v>
      </c>
      <c r="AH97" s="279">
        <f>AF97*1000000/(Inputs!$C$9*100*Inputs!$C$8*1000*(1-Inputs!$C$10)*(1+Inputs!$C$12))</f>
        <v>23.503916475046861</v>
      </c>
      <c r="AI97" s="279">
        <f>IFERROR(HLOOKUP(A97,Inputs!$C$14:$C$15,2,FALSE),-100)</f>
        <v>-100</v>
      </c>
      <c r="AJ97" s="281">
        <f t="shared" si="44"/>
        <v>0</v>
      </c>
      <c r="AK97" s="282">
        <f t="shared" si="78"/>
        <v>0.56000000000000005</v>
      </c>
      <c r="AL97" s="282">
        <f t="shared" si="79"/>
        <v>0.33870967741935482</v>
      </c>
      <c r="AM97" s="282">
        <f t="shared" si="80"/>
        <v>0</v>
      </c>
      <c r="AN97" s="283">
        <f>IFERROR(IF($G$1="Sí",VLOOKUP($A97,CSVAgro,9,FALSE),VLOOKUP($A97,Clima!$E$8:$Q$373,13,FALSE)),0)</f>
        <v>3.7</v>
      </c>
      <c r="AO97" s="281">
        <f t="shared" si="57"/>
        <v>89.000000000000028</v>
      </c>
      <c r="AP97" s="281">
        <f>IFERROR(VLOOKUP($A97,'F TrB'!$C$3:$O$21,3,FALSE),-9999)</f>
        <v>-9999</v>
      </c>
      <c r="AQ97" s="281">
        <f t="shared" si="51"/>
        <v>-999</v>
      </c>
      <c r="AR97" s="281">
        <f>IFERROR(IF(VLOOKUP($A97,'F TrB'!$Q$3:$R$21,2,FALSE)=0,-99999,VLOOKUP($A97,'F TrB'!$Q$3:$R$21,2,FALSE)),-99999)</f>
        <v>-99999</v>
      </c>
      <c r="AS97" s="281">
        <f t="shared" si="52"/>
        <v>-99999</v>
      </c>
      <c r="AT97" s="281" t="str">
        <f>IFERROR(VLOOKUP($A97,'NDVI tipo'!$Q$8:$S$30,2,FALSE),"")</f>
        <v/>
      </c>
      <c r="AU97" s="281">
        <f>IF(ISERROR(VLOOKUP($A97,'NDVI tipo'!$Q$8:$S$50,2,FALSE)),AU96+VLOOKUP($A97,'NDVI tipo'!$Q$8:$S$50,3,TRUE),VLOOKUP($A97,'NDVI tipo'!$Q$8:$S$50,2,FALSE))</f>
        <v>0.28888990909090972</v>
      </c>
      <c r="AV97" s="281">
        <f>IFERROR(VLOOKUP($A97,'NDVI real'!$Q$8:$S$44,2,FALSE),-999)</f>
        <v>-999</v>
      </c>
      <c r="AW97" s="281">
        <f>IF(ISERROR(VLOOKUP($A97,'NDVI real'!$T$8:$U$350,2,FALSE)),"",VLOOKUP($A97,'NDVI real'!$T$8:$U$350,2,FALSE))</f>
        <v>0.26393298031746032</v>
      </c>
      <c r="AX97" s="286">
        <f>IFERROR(VLOOKUP($A97,SWB!$C$15:$BE$244,53,FALSE),"")</f>
        <v>0</v>
      </c>
      <c r="AY97" s="286">
        <f>IFERROR(VLOOKUP($A97,SWB!$C$15:$BE$244,55,FALSE),"")</f>
        <v>0</v>
      </c>
      <c r="AZ97" s="281">
        <f>IF(ISERROR(VLOOKUP($A97,Clima!$V$8:$AI$320,14,FALSE)),-999,VLOOKUP(A97,Clima!$V$8:$AI$219,14,FALSE))</f>
        <v>2.4</v>
      </c>
      <c r="BA97" s="281">
        <f t="shared" si="58"/>
        <v>96.6</v>
      </c>
      <c r="BB97" s="281">
        <f t="shared" si="59"/>
        <v>2.4</v>
      </c>
      <c r="BC97" s="281">
        <f t="shared" si="60"/>
        <v>96.6</v>
      </c>
      <c r="BD97" s="284">
        <f t="shared" si="76"/>
        <v>42068</v>
      </c>
    </row>
    <row r="98" spans="1:56" s="275" customFormat="1" ht="12.75">
      <c r="A98" s="273">
        <f t="shared" si="53"/>
        <v>42069</v>
      </c>
      <c r="B98" s="274">
        <f t="shared" si="65"/>
        <v>65</v>
      </c>
      <c r="C98" s="275" t="str">
        <f t="shared" si="66"/>
        <v>Inicial</v>
      </c>
      <c r="D98" s="276">
        <f t="shared" si="67"/>
        <v>2.7</v>
      </c>
      <c r="E98" s="276">
        <f t="shared" si="68"/>
        <v>0.28511745988571424</v>
      </c>
      <c r="F98" s="276"/>
      <c r="G98" s="276">
        <f t="shared" si="69"/>
        <v>0.28951300000000002</v>
      </c>
      <c r="H98" s="276">
        <f t="shared" si="70"/>
        <v>0.43951299999999999</v>
      </c>
      <c r="I98" s="276">
        <f t="shared" si="71"/>
        <v>1.29217</v>
      </c>
      <c r="J98" s="276">
        <f>IFERROR(IF($G$1="Sí",VLOOKUP($A98,CSVAgro,13,FALSE),VLOOKUP($A98,SWB!$C$15:$P$202,14,FALSE)),0)</f>
        <v>0</v>
      </c>
      <c r="K98" s="487">
        <f t="shared" si="72"/>
        <v>5</v>
      </c>
      <c r="L98" s="487">
        <f t="shared" si="38"/>
        <v>0</v>
      </c>
      <c r="M98" s="487">
        <f t="shared" si="39"/>
        <v>5</v>
      </c>
      <c r="N98" s="277">
        <f>IF(ISERROR($G$1="Sí"),VLOOKUP($A98,CSVAgro,16,FALSE),IF(ISERROR(VLOOKUP($A98,Clima!$W$8:$Z$284,2,FALSE)),VLOOKUP($A98,Clima!$E$8:$H$372,2,FALSE),VLOOKUP($A98,Clima!$W$8:$Z$284,2,FALSE)))</f>
        <v>5.9</v>
      </c>
      <c r="O98" s="276">
        <f t="shared" si="73"/>
        <v>53.342824916051271</v>
      </c>
      <c r="P98" s="276">
        <f t="shared" si="54"/>
        <v>39.799999999999997</v>
      </c>
      <c r="Q98" s="487">
        <f t="shared" si="41"/>
        <v>5</v>
      </c>
      <c r="R98" s="278">
        <f t="shared" si="55"/>
        <v>5.9</v>
      </c>
      <c r="S98" s="278">
        <f t="shared" si="46"/>
        <v>5.9</v>
      </c>
      <c r="T98" s="279">
        <f t="shared" si="47"/>
        <v>65</v>
      </c>
      <c r="U98" s="279">
        <f t="shared" si="62"/>
        <v>10</v>
      </c>
      <c r="V98" s="276">
        <f t="shared" si="48"/>
        <v>0</v>
      </c>
      <c r="W98" s="276">
        <f>IF(AND(S98&gt;VLOOKUP(Inputs!$I$2,Extracciones,3),S98&lt;VLOOKUP(Inputs!$I$2,Extracciones,5)),(S98-VLOOKUP(Inputs!$I$2,Extracciones,3))*Inputs!$E$12,0)</f>
        <v>0</v>
      </c>
      <c r="X98" s="278">
        <f>IF(AD98=0,VLOOKUP(R98,Mineral,2)*R98*Inputs!$C$16*Inputs!$E$37,VLOOKUP(R98,Mineral,2)*R98*Inputs!$C$16)</f>
        <v>0</v>
      </c>
      <c r="Y98" s="278">
        <f>SUM(K98,M98)*Inputs!$O$8*14/(100*62)</f>
        <v>0.33870967741935482</v>
      </c>
      <c r="Z98" s="278">
        <f t="shared" si="61"/>
        <v>0</v>
      </c>
      <c r="AA98" s="278">
        <f t="shared" si="56"/>
        <v>0</v>
      </c>
      <c r="AB98" s="279">
        <f t="shared" si="74"/>
        <v>0</v>
      </c>
      <c r="AC98" s="278">
        <f t="shared" si="77"/>
        <v>0</v>
      </c>
      <c r="AD98" s="279">
        <f t="shared" si="49"/>
        <v>-4.0697027027027026</v>
      </c>
      <c r="AE98" s="278">
        <f t="shared" si="50"/>
        <v>-56.975837837837815</v>
      </c>
      <c r="AF98" s="278">
        <f t="shared" si="64"/>
        <v>113.74158151700087</v>
      </c>
      <c r="AG98" s="279">
        <f t="shared" si="75"/>
        <v>40</v>
      </c>
      <c r="AH98" s="279">
        <f>AF98*1000000/(Inputs!$C$9*100*Inputs!$C$8*1000*(1-Inputs!$C$10)*(1+Inputs!$C$12))</f>
        <v>22.757419271108617</v>
      </c>
      <c r="AI98" s="279">
        <f>IFERROR(HLOOKUP(A98,Inputs!$C$14:$C$15,2,FALSE),-100)</f>
        <v>-100</v>
      </c>
      <c r="AJ98" s="281">
        <f t="shared" si="44"/>
        <v>0</v>
      </c>
      <c r="AK98" s="282">
        <f t="shared" si="78"/>
        <v>0.56000000000000005</v>
      </c>
      <c r="AL98" s="282">
        <f t="shared" si="79"/>
        <v>0.67741935483870963</v>
      </c>
      <c r="AM98" s="282">
        <f t="shared" si="80"/>
        <v>0</v>
      </c>
      <c r="AN98" s="283">
        <f>IFERROR(IF($G$1="Sí",VLOOKUP($A98,CSVAgro,9,FALSE),VLOOKUP($A98,Clima!$E$8:$Q$373,13,FALSE)),0)</f>
        <v>2.5</v>
      </c>
      <c r="AO98" s="281">
        <f t="shared" si="57"/>
        <v>91.500000000000028</v>
      </c>
      <c r="AP98" s="281">
        <f>IFERROR(VLOOKUP($A98,'F TrB'!$C$3:$O$21,3,FALSE),-9999)</f>
        <v>21</v>
      </c>
      <c r="AQ98" s="281">
        <f t="shared" si="51"/>
        <v>1.4</v>
      </c>
      <c r="AR98" s="281">
        <f>IFERROR(IF(VLOOKUP($A98,'F TrB'!$Q$3:$R$21,2,FALSE)=0,-99999,VLOOKUP($A98,'F TrB'!$Q$3:$R$21,2,FALSE)),-99999)</f>
        <v>-99999</v>
      </c>
      <c r="AS98" s="281">
        <f t="shared" si="52"/>
        <v>-99999</v>
      </c>
      <c r="AT98" s="281" t="str">
        <f>IFERROR(VLOOKUP($A98,'NDVI tipo'!$Q$8:$S$30,2,FALSE),"")</f>
        <v/>
      </c>
      <c r="AU98" s="281">
        <f>IF(ISERROR(VLOOKUP($A98,'NDVI tipo'!$Q$8:$S$50,2,FALSE)),AU97+VLOOKUP($A98,'NDVI tipo'!$Q$8:$S$50,3,TRUE),VLOOKUP($A98,'NDVI tipo'!$Q$8:$S$50,2,FALSE))</f>
        <v>0.29040452727272792</v>
      </c>
      <c r="AV98" s="281">
        <f>IFERROR(VLOOKUP($A98,'NDVI real'!$Q$8:$S$44,2,FALSE),-999)</f>
        <v>-999</v>
      </c>
      <c r="AW98" s="281">
        <f>IF(ISERROR(VLOOKUP($A98,'NDVI real'!$T$8:$U$350,2,FALSE)),"",VLOOKUP($A98,'NDVI real'!$T$8:$U$350,2,FALSE))</f>
        <v>0.26744268047619046</v>
      </c>
      <c r="AX98" s="286">
        <f>IFERROR(VLOOKUP($A98,SWB!$C$15:$BE$244,53,FALSE),"")</f>
        <v>0</v>
      </c>
      <c r="AY98" s="286">
        <f>IFERROR(VLOOKUP($A98,SWB!$C$15:$BE$244,55,FALSE),"")</f>
        <v>0</v>
      </c>
      <c r="AZ98" s="281">
        <f>IF(ISERROR(VLOOKUP($A98,Clima!$V$8:$AI$320,14,FALSE)),-999,VLOOKUP(A98,Clima!$V$8:$AI$219,14,FALSE))</f>
        <v>2.7</v>
      </c>
      <c r="BA98" s="281">
        <f t="shared" si="58"/>
        <v>99.3</v>
      </c>
      <c r="BB98" s="281">
        <f t="shared" si="59"/>
        <v>2.7</v>
      </c>
      <c r="BC98" s="281">
        <f t="shared" si="60"/>
        <v>99.3</v>
      </c>
      <c r="BD98" s="284">
        <f t="shared" si="76"/>
        <v>42069</v>
      </c>
    </row>
    <row r="99" spans="1:56" s="275" customFormat="1" ht="12.75">
      <c r="A99" s="273">
        <f t="shared" si="53"/>
        <v>42070</v>
      </c>
      <c r="B99" s="274">
        <f t="shared" si="65"/>
        <v>66</v>
      </c>
      <c r="C99" s="275" t="str">
        <f t="shared" si="66"/>
        <v>Inicial</v>
      </c>
      <c r="D99" s="276">
        <f t="shared" si="67"/>
        <v>2.7</v>
      </c>
      <c r="E99" s="276">
        <f t="shared" si="68"/>
        <v>0.29017142811428565</v>
      </c>
      <c r="F99" s="276"/>
      <c r="G99" s="276">
        <f t="shared" si="69"/>
        <v>0.23274800000000001</v>
      </c>
      <c r="H99" s="276">
        <f t="shared" si="70"/>
        <v>0.38274799999999998</v>
      </c>
      <c r="I99" s="276">
        <f t="shared" si="71"/>
        <v>1.362582</v>
      </c>
      <c r="J99" s="276">
        <f>IFERROR(IF($G$1="Sí",VLOOKUP($A99,CSVAgro,13,FALSE),VLOOKUP($A99,SWB!$C$15:$P$202,14,FALSE)),0)</f>
        <v>0</v>
      </c>
      <c r="K99" s="487">
        <f t="shared" si="72"/>
        <v>0</v>
      </c>
      <c r="L99" s="487">
        <f t="shared" si="38"/>
        <v>0</v>
      </c>
      <c r="M99" s="487">
        <f t="shared" si="39"/>
        <v>0</v>
      </c>
      <c r="N99" s="277">
        <f>IF(ISERROR($G$1="Sí"),VLOOKUP($A99,CSVAgro,16,FALSE),IF(ISERROR(VLOOKUP($A99,Clima!$W$8:$Z$284,2,FALSE)),VLOOKUP($A99,Clima!$E$8:$H$372,2,FALSE),VLOOKUP($A99,Clima!$W$8:$Z$284,2,FALSE)))</f>
        <v>8.6999999999999993</v>
      </c>
      <c r="O99" s="276">
        <f t="shared" si="73"/>
        <v>55.903737415909603</v>
      </c>
      <c r="P99" s="276">
        <f t="shared" si="54"/>
        <v>39.799999999999997</v>
      </c>
      <c r="Q99" s="487">
        <f t="shared" si="41"/>
        <v>10</v>
      </c>
      <c r="R99" s="278">
        <f t="shared" si="55"/>
        <v>8.6999999999999993</v>
      </c>
      <c r="S99" s="278">
        <f t="shared" si="46"/>
        <v>8.6999999999999993</v>
      </c>
      <c r="T99" s="279">
        <f t="shared" si="47"/>
        <v>66</v>
      </c>
      <c r="U99" s="279">
        <f t="shared" si="62"/>
        <v>10</v>
      </c>
      <c r="V99" s="276">
        <f t="shared" si="48"/>
        <v>0</v>
      </c>
      <c r="W99" s="276">
        <f>IF(AND(S99&gt;VLOOKUP(Inputs!$I$2,Extracciones,3),S99&lt;VLOOKUP(Inputs!$I$2,Extracciones,5)),(S99-VLOOKUP(Inputs!$I$2,Extracciones,3))*Inputs!$E$12,0)</f>
        <v>0</v>
      </c>
      <c r="X99" s="278">
        <f>IF(AD99=0,VLOOKUP(R99,Mineral,2)*R99*Inputs!$C$16*Inputs!$E$37,VLOOKUP(R99,Mineral,2)*R99*Inputs!$C$16)</f>
        <v>0</v>
      </c>
      <c r="Y99" s="278">
        <f>SUM(K99,M99)*Inputs!$O$8*14/(100*62)</f>
        <v>0</v>
      </c>
      <c r="Z99" s="278">
        <f t="shared" si="61"/>
        <v>0</v>
      </c>
      <c r="AA99" s="278">
        <f t="shared" si="56"/>
        <v>0</v>
      </c>
      <c r="AB99" s="279">
        <f t="shared" si="74"/>
        <v>0</v>
      </c>
      <c r="AC99" s="278">
        <f t="shared" si="77"/>
        <v>0</v>
      </c>
      <c r="AD99" s="279">
        <f t="shared" si="49"/>
        <v>-1.3637642124883504</v>
      </c>
      <c r="AE99" s="278">
        <f t="shared" si="50"/>
        <v>-58.339602050326164</v>
      </c>
      <c r="AF99" s="278">
        <f t="shared" si="64"/>
        <v>112.37781730451252</v>
      </c>
      <c r="AG99" s="279">
        <f t="shared" si="75"/>
        <v>40</v>
      </c>
      <c r="AH99" s="279">
        <f>AF99*1000000/(Inputs!$C$9*100*Inputs!$C$8*1000*(1-Inputs!$C$10)*(1+Inputs!$C$12))</f>
        <v>22.484557283816031</v>
      </c>
      <c r="AI99" s="279">
        <f>IFERROR(HLOOKUP(A99,Inputs!$C$14:$C$15,2,FALSE),-100)</f>
        <v>-100</v>
      </c>
      <c r="AJ99" s="281">
        <f t="shared" si="44"/>
        <v>0</v>
      </c>
      <c r="AK99" s="282">
        <f t="shared" si="78"/>
        <v>0.56000000000000005</v>
      </c>
      <c r="AL99" s="282">
        <f t="shared" si="79"/>
        <v>0.67741935483870963</v>
      </c>
      <c r="AM99" s="282">
        <f t="shared" si="80"/>
        <v>0</v>
      </c>
      <c r="AN99" s="283">
        <f>IFERROR(IF($G$1="Sí",VLOOKUP($A99,CSVAgro,9,FALSE),VLOOKUP($A99,Clima!$E$8:$Q$373,13,FALSE)),0)</f>
        <v>2.5</v>
      </c>
      <c r="AO99" s="281">
        <f t="shared" si="57"/>
        <v>94.000000000000028</v>
      </c>
      <c r="AP99" s="281">
        <f>IFERROR(VLOOKUP($A99,'F TrB'!$C$3:$O$21,3,FALSE),-9999)</f>
        <v>-9999</v>
      </c>
      <c r="AQ99" s="281">
        <f t="shared" si="51"/>
        <v>-999</v>
      </c>
      <c r="AR99" s="281">
        <f>IFERROR(IF(VLOOKUP($A99,'F TrB'!$Q$3:$R$21,2,FALSE)=0,-99999,VLOOKUP($A99,'F TrB'!$Q$3:$R$21,2,FALSE)),-99999)</f>
        <v>-99999</v>
      </c>
      <c r="AS99" s="281">
        <f t="shared" si="52"/>
        <v>-99999</v>
      </c>
      <c r="AT99" s="281" t="str">
        <f>IFERROR(VLOOKUP($A99,'NDVI tipo'!$Q$8:$S$30,2,FALSE),"")</f>
        <v/>
      </c>
      <c r="AU99" s="281">
        <f>IF(ISERROR(VLOOKUP($A99,'NDVI tipo'!$Q$8:$S$50,2,FALSE)),AU98+VLOOKUP($A99,'NDVI tipo'!$Q$8:$S$50,3,TRUE),VLOOKUP($A99,'NDVI tipo'!$Q$8:$S$50,2,FALSE))</f>
        <v>0.29191914545454611</v>
      </c>
      <c r="AV99" s="281">
        <f>IFERROR(VLOOKUP($A99,'NDVI real'!$Q$8:$S$44,2,FALSE),-999)</f>
        <v>-999</v>
      </c>
      <c r="AW99" s="281">
        <f>IF(ISERROR(VLOOKUP($A99,'NDVI real'!$T$8:$U$350,2,FALSE)),"",VLOOKUP($A99,'NDVI real'!$T$8:$U$350,2,FALSE))</f>
        <v>0.27095238063492061</v>
      </c>
      <c r="AX99" s="286">
        <f>IFERROR(VLOOKUP($A99,SWB!$C$15:$BE$244,53,FALSE),"")</f>
        <v>0</v>
      </c>
      <c r="AY99" s="286">
        <f>IFERROR(VLOOKUP($A99,SWB!$C$15:$BE$244,55,FALSE),"")</f>
        <v>0</v>
      </c>
      <c r="AZ99" s="281">
        <f>IF(ISERROR(VLOOKUP($A99,Clima!$V$8:$AI$320,14,FALSE)),-999,VLOOKUP(A99,Clima!$V$8:$AI$219,14,FALSE))</f>
        <v>2.7</v>
      </c>
      <c r="BA99" s="281">
        <f t="shared" si="58"/>
        <v>102</v>
      </c>
      <c r="BB99" s="281">
        <f t="shared" si="59"/>
        <v>2.7</v>
      </c>
      <c r="BC99" s="281">
        <f t="shared" si="60"/>
        <v>102</v>
      </c>
      <c r="BD99" s="284">
        <f t="shared" si="76"/>
        <v>42070</v>
      </c>
    </row>
    <row r="100" spans="1:56" s="275" customFormat="1" ht="12.75">
      <c r="A100" s="273">
        <f t="shared" si="53"/>
        <v>42071</v>
      </c>
      <c r="B100" s="274">
        <f t="shared" si="65"/>
        <v>67</v>
      </c>
      <c r="C100" s="275" t="str">
        <f t="shared" si="66"/>
        <v>Inicial</v>
      </c>
      <c r="D100" s="276">
        <f t="shared" si="67"/>
        <v>2.6</v>
      </c>
      <c r="E100" s="276">
        <f t="shared" si="68"/>
        <v>0.29522539634285705</v>
      </c>
      <c r="F100" s="276"/>
      <c r="G100" s="276">
        <f t="shared" si="69"/>
        <v>0.16399</v>
      </c>
      <c r="H100" s="276">
        <f t="shared" si="70"/>
        <v>0.31398999999999999</v>
      </c>
      <c r="I100" s="276">
        <f t="shared" si="71"/>
        <v>0.75671600000000006</v>
      </c>
      <c r="J100" s="276">
        <f>IFERROR(IF($G$1="Sí",VLOOKUP($A100,CSVAgro,13,FALSE),VLOOKUP($A100,SWB!$C$15:$P$202,14,FALSE)),0)</f>
        <v>0</v>
      </c>
      <c r="K100" s="487">
        <f t="shared" si="72"/>
        <v>0</v>
      </c>
      <c r="L100" s="487">
        <f t="shared" si="38"/>
        <v>0</v>
      </c>
      <c r="M100" s="487">
        <f t="shared" si="39"/>
        <v>0</v>
      </c>
      <c r="N100" s="277">
        <f>IF(ISERROR($G$1="Sí"),VLOOKUP($A100,CSVAgro,16,FALSE),IF(ISERROR(VLOOKUP($A100,Clima!$W$8:$Z$284,2,FALSE)),VLOOKUP($A100,Clima!$E$8:$H$372,2,FALSE),VLOOKUP($A100,Clima!$W$8:$Z$284,2,FALSE)))</f>
        <v>8.4</v>
      </c>
      <c r="O100" s="276">
        <f t="shared" si="73"/>
        <v>56.826229749189103</v>
      </c>
      <c r="P100" s="276">
        <f t="shared" si="54"/>
        <v>39.799999999999997</v>
      </c>
      <c r="Q100" s="487">
        <f t="shared" si="41"/>
        <v>10</v>
      </c>
      <c r="R100" s="278">
        <f t="shared" si="55"/>
        <v>8.4</v>
      </c>
      <c r="S100" s="278">
        <f t="shared" si="46"/>
        <v>8.4</v>
      </c>
      <c r="T100" s="279">
        <f t="shared" si="47"/>
        <v>67</v>
      </c>
      <c r="U100" s="279">
        <f t="shared" si="62"/>
        <v>10</v>
      </c>
      <c r="V100" s="276">
        <f t="shared" si="48"/>
        <v>0</v>
      </c>
      <c r="W100" s="276">
        <f>IF(AND(S100&gt;VLOOKUP(Inputs!$I$2,Extracciones,3),S100&lt;VLOOKUP(Inputs!$I$2,Extracciones,5)),(S100-VLOOKUP(Inputs!$I$2,Extracciones,3))*Inputs!$E$12,0)</f>
        <v>0</v>
      </c>
      <c r="X100" s="278">
        <f>IF(AD100=0,VLOOKUP(R100,Mineral,2)*R100*Inputs!$C$16*Inputs!$E$37,VLOOKUP(R100,Mineral,2)*R100*Inputs!$C$16)</f>
        <v>0</v>
      </c>
      <c r="Y100" s="278">
        <f>SUM(K100,M100)*Inputs!$O$8*14/(100*62)</f>
        <v>0</v>
      </c>
      <c r="Z100" s="278">
        <f t="shared" si="61"/>
        <v>0</v>
      </c>
      <c r="AA100" s="278">
        <f t="shared" si="56"/>
        <v>0</v>
      </c>
      <c r="AB100" s="279">
        <f t="shared" si="74"/>
        <v>0</v>
      </c>
      <c r="AC100" s="278">
        <f t="shared" si="77"/>
        <v>0</v>
      </c>
      <c r="AD100" s="279">
        <f t="shared" si="49"/>
        <v>-1.3637642124883504</v>
      </c>
      <c r="AE100" s="278">
        <f t="shared" si="50"/>
        <v>-59.703366262814512</v>
      </c>
      <c r="AF100" s="278">
        <f t="shared" si="64"/>
        <v>111.01405309202417</v>
      </c>
      <c r="AG100" s="279">
        <f t="shared" si="75"/>
        <v>40</v>
      </c>
      <c r="AH100" s="279">
        <f>AF100*1000000/(Inputs!$C$9*100*Inputs!$C$8*1000*(1-Inputs!$C$10)*(1+Inputs!$C$12))</f>
        <v>22.211695296523445</v>
      </c>
      <c r="AI100" s="279">
        <f>IFERROR(HLOOKUP(A100,Inputs!$C$14:$C$15,2,FALSE),-100)</f>
        <v>-100</v>
      </c>
      <c r="AJ100" s="281">
        <f t="shared" si="44"/>
        <v>0</v>
      </c>
      <c r="AK100" s="282">
        <f t="shared" si="78"/>
        <v>0.56000000000000005</v>
      </c>
      <c r="AL100" s="282">
        <f t="shared" si="79"/>
        <v>0.67741935483870963</v>
      </c>
      <c r="AM100" s="282">
        <f t="shared" si="80"/>
        <v>0</v>
      </c>
      <c r="AN100" s="283">
        <f>IFERROR(IF($G$1="Sí",VLOOKUP($A100,CSVAgro,9,FALSE),VLOOKUP($A100,Clima!$E$8:$Q$373,13,FALSE)),0)</f>
        <v>0.9</v>
      </c>
      <c r="AO100" s="281">
        <f t="shared" si="57"/>
        <v>94.900000000000034</v>
      </c>
      <c r="AP100" s="281">
        <f>IFERROR(VLOOKUP($A100,'F TrB'!$C$3:$O$21,3,FALSE),-9999)</f>
        <v>-9999</v>
      </c>
      <c r="AQ100" s="281">
        <f t="shared" si="51"/>
        <v>-999</v>
      </c>
      <c r="AR100" s="281">
        <f>IFERROR(IF(VLOOKUP($A100,'F TrB'!$Q$3:$R$21,2,FALSE)=0,-99999,VLOOKUP($A100,'F TrB'!$Q$3:$R$21,2,FALSE)),-99999)</f>
        <v>-99999</v>
      </c>
      <c r="AS100" s="281">
        <f t="shared" si="52"/>
        <v>-99999</v>
      </c>
      <c r="AT100" s="281" t="str">
        <f>IFERROR(VLOOKUP($A100,'NDVI tipo'!$Q$8:$S$30,2,FALSE),"")</f>
        <v/>
      </c>
      <c r="AU100" s="281">
        <f>IF(ISERROR(VLOOKUP($A100,'NDVI tipo'!$Q$8:$S$50,2,FALSE)),AU99+VLOOKUP($A100,'NDVI tipo'!$Q$8:$S$50,3,TRUE),VLOOKUP($A100,'NDVI tipo'!$Q$8:$S$50,2,FALSE))</f>
        <v>0.29343376363636431</v>
      </c>
      <c r="AV100" s="281">
        <f>IFERROR(VLOOKUP($A100,'NDVI real'!$Q$8:$S$44,2,FALSE),-999)</f>
        <v>-999</v>
      </c>
      <c r="AW100" s="281">
        <f>IF(ISERROR(VLOOKUP($A100,'NDVI real'!$T$8:$U$350,2,FALSE)),"",VLOOKUP($A100,'NDVI real'!$T$8:$U$350,2,FALSE))</f>
        <v>0.27446208079365075</v>
      </c>
      <c r="AX100" s="286">
        <f>IFERROR(VLOOKUP($A100,SWB!$C$15:$BE$244,53,FALSE),"")</f>
        <v>0</v>
      </c>
      <c r="AY100" s="286">
        <f>IFERROR(VLOOKUP($A100,SWB!$C$15:$BE$244,55,FALSE),"")</f>
        <v>0</v>
      </c>
      <c r="AZ100" s="281">
        <f>IF(ISERROR(VLOOKUP($A100,Clima!$V$8:$AI$320,14,FALSE)),-999,VLOOKUP(A100,Clima!$V$8:$AI$219,14,FALSE))</f>
        <v>2.6</v>
      </c>
      <c r="BA100" s="281">
        <f t="shared" si="58"/>
        <v>104.6</v>
      </c>
      <c r="BB100" s="281">
        <f t="shared" si="59"/>
        <v>2.6</v>
      </c>
      <c r="BC100" s="281">
        <f t="shared" si="60"/>
        <v>104.6</v>
      </c>
      <c r="BD100" s="284">
        <f t="shared" si="76"/>
        <v>42071</v>
      </c>
    </row>
    <row r="101" spans="1:56" s="275" customFormat="1" ht="12.75">
      <c r="A101" s="273">
        <f t="shared" si="53"/>
        <v>42072</v>
      </c>
      <c r="B101" s="274">
        <f t="shared" si="65"/>
        <v>68</v>
      </c>
      <c r="C101" s="275" t="str">
        <f t="shared" si="66"/>
        <v>Inicial</v>
      </c>
      <c r="D101" s="276">
        <f t="shared" si="67"/>
        <v>2.4</v>
      </c>
      <c r="E101" s="276">
        <f t="shared" si="68"/>
        <v>0.30027936457142845</v>
      </c>
      <c r="F101" s="276"/>
      <c r="G101" s="276">
        <f t="shared" si="69"/>
        <v>0.13369500000000001</v>
      </c>
      <c r="H101" s="276">
        <f t="shared" si="70"/>
        <v>0.28369499999999997</v>
      </c>
      <c r="I101" s="276">
        <f t="shared" si="71"/>
        <v>0.77448700000000004</v>
      </c>
      <c r="J101" s="276">
        <f>IFERROR(IF($G$1="Sí",VLOOKUP($A101,CSVAgro,13,FALSE),VLOOKUP($A101,SWB!$C$15:$P$202,14,FALSE)),0)</f>
        <v>0</v>
      </c>
      <c r="K101" s="487">
        <f t="shared" si="72"/>
        <v>0</v>
      </c>
      <c r="L101" s="487">
        <f t="shared" si="38"/>
        <v>0</v>
      </c>
      <c r="M101" s="487">
        <f t="shared" si="39"/>
        <v>0</v>
      </c>
      <c r="N101" s="277">
        <f>IF(ISERROR($G$1="Sí"),VLOOKUP($A101,CSVAgro,16,FALSE),IF(ISERROR(VLOOKUP($A101,Clima!$W$8:$Z$284,2,FALSE)),VLOOKUP($A101,Clima!$E$8:$H$372,2,FALSE),VLOOKUP($A101,Clima!$W$8:$Z$284,2,FALSE)))</f>
        <v>10.6</v>
      </c>
      <c r="O101" s="276">
        <f t="shared" si="73"/>
        <v>59.287712860149099</v>
      </c>
      <c r="P101" s="276">
        <f t="shared" si="54"/>
        <v>39.799999999999997</v>
      </c>
      <c r="Q101" s="487">
        <f t="shared" si="41"/>
        <v>10</v>
      </c>
      <c r="R101" s="278">
        <f t="shared" si="55"/>
        <v>10.6</v>
      </c>
      <c r="S101" s="278">
        <f t="shared" si="46"/>
        <v>10.6</v>
      </c>
      <c r="T101" s="279">
        <f t="shared" si="47"/>
        <v>68</v>
      </c>
      <c r="U101" s="279">
        <f t="shared" si="62"/>
        <v>11</v>
      </c>
      <c r="V101" s="276">
        <f t="shared" si="48"/>
        <v>0</v>
      </c>
      <c r="W101" s="276">
        <f>IF(AND(S101&gt;VLOOKUP(Inputs!$I$2,Extracciones,3),S101&lt;VLOOKUP(Inputs!$I$2,Extracciones,5)),(S101-VLOOKUP(Inputs!$I$2,Extracciones,3))*Inputs!$E$12,0)</f>
        <v>0</v>
      </c>
      <c r="X101" s="278">
        <f>IF(AD101=0,VLOOKUP(R101,Mineral,2)*R101*Inputs!$C$16*Inputs!$E$37,VLOOKUP(R101,Mineral,2)*R101*Inputs!$C$16)</f>
        <v>0</v>
      </c>
      <c r="Y101" s="278">
        <f>SUM(K101,M101)*Inputs!$O$8*14/(100*62)</f>
        <v>0</v>
      </c>
      <c r="Z101" s="278">
        <f t="shared" si="61"/>
        <v>0</v>
      </c>
      <c r="AA101" s="278">
        <f t="shared" si="56"/>
        <v>0</v>
      </c>
      <c r="AB101" s="279">
        <f t="shared" si="74"/>
        <v>0</v>
      </c>
      <c r="AC101" s="278">
        <f t="shared" si="77"/>
        <v>0</v>
      </c>
      <c r="AD101" s="279">
        <f t="shared" si="49"/>
        <v>-1.3637642124883504</v>
      </c>
      <c r="AE101" s="278">
        <f t="shared" si="50"/>
        <v>-61.067130475302861</v>
      </c>
      <c r="AF101" s="278">
        <f t="shared" si="64"/>
        <v>109.65028887953582</v>
      </c>
      <c r="AG101" s="279">
        <f t="shared" si="75"/>
        <v>40</v>
      </c>
      <c r="AH101" s="279">
        <f>AF101*1000000/(Inputs!$C$9*100*Inputs!$C$8*1000*(1-Inputs!$C$10)*(1+Inputs!$C$12))</f>
        <v>21.938833309230859</v>
      </c>
      <c r="AI101" s="279">
        <f>IFERROR(HLOOKUP(A101,Inputs!$C$14:$C$15,2,FALSE),-100)</f>
        <v>-100</v>
      </c>
      <c r="AJ101" s="281">
        <f t="shared" si="44"/>
        <v>0</v>
      </c>
      <c r="AK101" s="282">
        <f t="shared" si="78"/>
        <v>0.56000000000000005</v>
      </c>
      <c r="AL101" s="282">
        <f t="shared" si="79"/>
        <v>0.67741935483870963</v>
      </c>
      <c r="AM101" s="282">
        <f t="shared" si="80"/>
        <v>0</v>
      </c>
      <c r="AN101" s="283">
        <f>IFERROR(IF($G$1="Sí",VLOOKUP($A101,CSVAgro,9,FALSE),VLOOKUP($A101,Clima!$E$8:$Q$373,13,FALSE)),0)</f>
        <v>2.4</v>
      </c>
      <c r="AO101" s="281">
        <f t="shared" si="57"/>
        <v>97.30000000000004</v>
      </c>
      <c r="AP101" s="281">
        <f>IFERROR(VLOOKUP($A101,'F TrB'!$C$3:$O$21,3,FALSE),-9999)</f>
        <v>-9999</v>
      </c>
      <c r="AQ101" s="281">
        <f t="shared" si="51"/>
        <v>-999</v>
      </c>
      <c r="AR101" s="281">
        <f>IFERROR(IF(VLOOKUP($A101,'F TrB'!$Q$3:$R$21,2,FALSE)=0,-99999,VLOOKUP($A101,'F TrB'!$Q$3:$R$21,2,FALSE)),-99999)</f>
        <v>-99999</v>
      </c>
      <c r="AS101" s="281">
        <f t="shared" si="52"/>
        <v>-99999</v>
      </c>
      <c r="AT101" s="281" t="str">
        <f>IFERROR(VLOOKUP($A101,'NDVI tipo'!$Q$8:$S$30,2,FALSE),"")</f>
        <v/>
      </c>
      <c r="AU101" s="281">
        <f>IF(ISERROR(VLOOKUP($A101,'NDVI tipo'!$Q$8:$S$50,2,FALSE)),AU100+VLOOKUP($A101,'NDVI tipo'!$Q$8:$S$50,3,TRUE),VLOOKUP($A101,'NDVI tipo'!$Q$8:$S$50,2,FALSE))</f>
        <v>0.2949483818181825</v>
      </c>
      <c r="AV101" s="281">
        <f>IFERROR(VLOOKUP($A101,'NDVI real'!$Q$8:$S$44,2,FALSE),-999)</f>
        <v>-999</v>
      </c>
      <c r="AW101" s="281">
        <f>IF(ISERROR(VLOOKUP($A101,'NDVI real'!$T$8:$U$350,2,FALSE)),"",VLOOKUP($A101,'NDVI real'!$T$8:$U$350,2,FALSE))</f>
        <v>0.2779717809523809</v>
      </c>
      <c r="AX101" s="286">
        <f>IFERROR(VLOOKUP($A101,SWB!$C$15:$BE$244,53,FALSE),"")</f>
        <v>0</v>
      </c>
      <c r="AY101" s="286">
        <f>IFERROR(VLOOKUP($A101,SWB!$C$15:$BE$244,55,FALSE),"")</f>
        <v>0</v>
      </c>
      <c r="AZ101" s="281">
        <f>IF(ISERROR(VLOOKUP($A101,Clima!$V$8:$AI$320,14,FALSE)),-999,VLOOKUP(A101,Clima!$V$8:$AI$219,14,FALSE))</f>
        <v>2.4</v>
      </c>
      <c r="BA101" s="281">
        <f t="shared" si="58"/>
        <v>107</v>
      </c>
      <c r="BB101" s="281">
        <f t="shared" si="59"/>
        <v>2.4</v>
      </c>
      <c r="BC101" s="281">
        <f t="shared" si="60"/>
        <v>107</v>
      </c>
      <c r="BD101" s="284">
        <f t="shared" si="76"/>
        <v>42072</v>
      </c>
    </row>
    <row r="102" spans="1:56" s="275" customFormat="1" ht="12.75">
      <c r="A102" s="273">
        <f t="shared" si="53"/>
        <v>42073</v>
      </c>
      <c r="B102" s="274">
        <f t="shared" si="65"/>
        <v>69</v>
      </c>
      <c r="C102" s="275" t="str">
        <f t="shared" si="66"/>
        <v>Inicial</v>
      </c>
      <c r="D102" s="276">
        <f t="shared" si="67"/>
        <v>2.9</v>
      </c>
      <c r="E102" s="276">
        <f t="shared" si="68"/>
        <v>0.30533333279999986</v>
      </c>
      <c r="F102" s="276"/>
      <c r="G102" s="276">
        <f t="shared" si="69"/>
        <v>0.105818</v>
      </c>
      <c r="H102" s="276">
        <f t="shared" si="70"/>
        <v>0.25581799999999999</v>
      </c>
      <c r="I102" s="276">
        <f t="shared" si="71"/>
        <v>0.70094199999999995</v>
      </c>
      <c r="J102" s="276">
        <f>IFERROR(IF($G$1="Sí",VLOOKUP($A102,CSVAgro,13,FALSE),VLOOKUP($A102,SWB!$C$15:$P$202,14,FALSE)),0)</f>
        <v>0</v>
      </c>
      <c r="K102" s="487">
        <f t="shared" si="72"/>
        <v>0</v>
      </c>
      <c r="L102" s="487">
        <f t="shared" si="38"/>
        <v>0</v>
      </c>
      <c r="M102" s="487">
        <f t="shared" si="39"/>
        <v>0</v>
      </c>
      <c r="N102" s="277">
        <f>IF(ISERROR($G$1="Sí"),VLOOKUP($A102,CSVAgro,16,FALSE),IF(ISERROR(VLOOKUP($A102,Clima!$W$8:$Z$284,2,FALSE)),VLOOKUP($A102,Clima!$E$8:$H$372,2,FALSE),VLOOKUP($A102,Clima!$W$8:$Z$284,2,FALSE)))</f>
        <v>9.9</v>
      </c>
      <c r="O102" s="276">
        <f t="shared" si="73"/>
        <v>60.171609661103965</v>
      </c>
      <c r="P102" s="276">
        <f t="shared" si="54"/>
        <v>39.799999999999997</v>
      </c>
      <c r="Q102" s="487">
        <f t="shared" si="41"/>
        <v>10</v>
      </c>
      <c r="R102" s="278">
        <f t="shared" si="55"/>
        <v>9.9</v>
      </c>
      <c r="S102" s="278">
        <f t="shared" si="46"/>
        <v>9.9</v>
      </c>
      <c r="T102" s="279">
        <f t="shared" si="47"/>
        <v>69</v>
      </c>
      <c r="U102" s="279">
        <f t="shared" si="62"/>
        <v>11</v>
      </c>
      <c r="V102" s="276">
        <f t="shared" si="48"/>
        <v>0</v>
      </c>
      <c r="W102" s="276">
        <f>IF(AND(S102&gt;VLOOKUP(Inputs!$I$2,Extracciones,3),S102&lt;VLOOKUP(Inputs!$I$2,Extracciones,5)),(S102-VLOOKUP(Inputs!$I$2,Extracciones,3))*Inputs!$E$12,0)</f>
        <v>0</v>
      </c>
      <c r="X102" s="278">
        <f>IF(AD102=0,VLOOKUP(R102,Mineral,2)*R102*Inputs!$C$16*Inputs!$E$37,VLOOKUP(R102,Mineral,2)*R102*Inputs!$C$16)</f>
        <v>0</v>
      </c>
      <c r="Y102" s="278">
        <f>SUM(K102,M102)*Inputs!$O$8*14/(100*62)</f>
        <v>0</v>
      </c>
      <c r="Z102" s="278">
        <f t="shared" si="61"/>
        <v>0</v>
      </c>
      <c r="AA102" s="278">
        <f t="shared" si="56"/>
        <v>0</v>
      </c>
      <c r="AB102" s="279">
        <f t="shared" si="74"/>
        <v>0</v>
      </c>
      <c r="AC102" s="278">
        <f t="shared" si="77"/>
        <v>0</v>
      </c>
      <c r="AD102" s="279">
        <f t="shared" si="49"/>
        <v>-1.3637642124883504</v>
      </c>
      <c r="AE102" s="278">
        <f t="shared" si="50"/>
        <v>-62.430894687791209</v>
      </c>
      <c r="AF102" s="278">
        <f t="shared" si="64"/>
        <v>108.28652466704747</v>
      </c>
      <c r="AG102" s="279">
        <f t="shared" si="75"/>
        <v>40</v>
      </c>
      <c r="AH102" s="279">
        <f>AF102*1000000/(Inputs!$C$9*100*Inputs!$C$8*1000*(1-Inputs!$C$10)*(1+Inputs!$C$12))</f>
        <v>21.665971321938269</v>
      </c>
      <c r="AI102" s="279">
        <f>IFERROR(HLOOKUP(A102,Inputs!$C$14:$C$15,2,FALSE),-100)</f>
        <v>-100</v>
      </c>
      <c r="AJ102" s="281">
        <f t="shared" si="44"/>
        <v>0</v>
      </c>
      <c r="AK102" s="282">
        <f t="shared" si="78"/>
        <v>0.56000000000000005</v>
      </c>
      <c r="AL102" s="282">
        <f t="shared" si="79"/>
        <v>0.67741935483870963</v>
      </c>
      <c r="AM102" s="282">
        <f t="shared" si="80"/>
        <v>0</v>
      </c>
      <c r="AN102" s="283">
        <f>IFERROR(IF($G$1="Sí",VLOOKUP($A102,CSVAgro,9,FALSE),VLOOKUP($A102,Clima!$E$8:$Q$373,13,FALSE)),0)</f>
        <v>2.2999999999999998</v>
      </c>
      <c r="AO102" s="281">
        <f t="shared" si="57"/>
        <v>99.600000000000037</v>
      </c>
      <c r="AP102" s="281">
        <f>IFERROR(VLOOKUP($A102,'F TrB'!$C$3:$O$21,3,FALSE),-9999)</f>
        <v>-9999</v>
      </c>
      <c r="AQ102" s="281">
        <f t="shared" si="51"/>
        <v>-999</v>
      </c>
      <c r="AR102" s="281">
        <f>IFERROR(IF(VLOOKUP($A102,'F TrB'!$Q$3:$R$21,2,FALSE)=0,-99999,VLOOKUP($A102,'F TrB'!$Q$3:$R$21,2,FALSE)),-99999)</f>
        <v>-99999</v>
      </c>
      <c r="AS102" s="281">
        <f t="shared" si="52"/>
        <v>-99999</v>
      </c>
      <c r="AT102" s="281">
        <f>IFERROR(VLOOKUP($A102,'NDVI tipo'!$Q$8:$S$30,2,FALSE),"")</f>
        <v>0.29646299999999998</v>
      </c>
      <c r="AU102" s="281">
        <f>IF(ISERROR(VLOOKUP($A102,'NDVI tipo'!$Q$8:$S$50,2,FALSE)),AU101+VLOOKUP($A102,'NDVI tipo'!$Q$8:$S$50,3,TRUE),VLOOKUP($A102,'NDVI tipo'!$Q$8:$S$50,2,FALSE))</f>
        <v>0.29646299999999998</v>
      </c>
      <c r="AV102" s="281">
        <f>IFERROR(VLOOKUP($A102,'NDVI real'!$Q$8:$S$44,2,FALSE),-999)</f>
        <v>0.28148148111111104</v>
      </c>
      <c r="AW102" s="281">
        <f>IF(ISERROR(VLOOKUP($A102,'NDVI real'!$T$8:$U$350,2,FALSE)),"",VLOOKUP($A102,'NDVI real'!$T$8:$U$350,2,FALSE))</f>
        <v>0.28148148111111104</v>
      </c>
      <c r="AX102" s="286">
        <f>IFERROR(VLOOKUP($A102,SWB!$C$15:$BE$244,53,FALSE),"")</f>
        <v>0</v>
      </c>
      <c r="AY102" s="286">
        <f>IFERROR(VLOOKUP($A102,SWB!$C$15:$BE$244,55,FALSE),"")</f>
        <v>0</v>
      </c>
      <c r="AZ102" s="281">
        <f>IF(ISERROR(VLOOKUP($A102,Clima!$V$8:$AI$320,14,FALSE)),-999,VLOOKUP(A102,Clima!$V$8:$AI$219,14,FALSE))</f>
        <v>2.9</v>
      </c>
      <c r="BA102" s="281">
        <f t="shared" si="58"/>
        <v>109.9</v>
      </c>
      <c r="BB102" s="281">
        <f t="shared" si="59"/>
        <v>2.9</v>
      </c>
      <c r="BC102" s="281">
        <f t="shared" si="60"/>
        <v>109.9</v>
      </c>
      <c r="BD102" s="284">
        <f t="shared" si="76"/>
        <v>42073</v>
      </c>
    </row>
    <row r="103" spans="1:56" s="275" customFormat="1" ht="12.75">
      <c r="A103" s="273">
        <f t="shared" si="53"/>
        <v>42074</v>
      </c>
      <c r="B103" s="274">
        <f t="shared" si="65"/>
        <v>70</v>
      </c>
      <c r="C103" s="275" t="str">
        <f t="shared" si="66"/>
        <v>Inicial</v>
      </c>
      <c r="D103" s="276">
        <f t="shared" si="67"/>
        <v>3.9</v>
      </c>
      <c r="E103" s="276">
        <f t="shared" si="68"/>
        <v>0.32415176101463405</v>
      </c>
      <c r="F103" s="276"/>
      <c r="G103" s="276">
        <f t="shared" si="69"/>
        <v>8.2381999999999997E-2</v>
      </c>
      <c r="H103" s="276">
        <f t="shared" si="70"/>
        <v>0.23238200000000001</v>
      </c>
      <c r="I103" s="276">
        <f t="shared" si="71"/>
        <v>0.606518</v>
      </c>
      <c r="J103" s="276">
        <f>IFERROR(IF($G$1="Sí",VLOOKUP($A103,CSVAgro,13,FALSE),VLOOKUP($A103,SWB!$C$15:$P$202,14,FALSE)),0)</f>
        <v>0</v>
      </c>
      <c r="K103" s="487">
        <f t="shared" si="72"/>
        <v>0</v>
      </c>
      <c r="L103" s="487">
        <f t="shared" si="38"/>
        <v>0</v>
      </c>
      <c r="M103" s="487">
        <f t="shared" si="39"/>
        <v>0</v>
      </c>
      <c r="N103" s="277">
        <f>IF(ISERROR($G$1="Sí"),VLOOKUP($A103,CSVAgro,16,FALSE),IF(ISERROR(VLOOKUP($A103,Clima!$W$8:$Z$284,2,FALSE)),VLOOKUP($A103,Clima!$E$8:$H$372,2,FALSE),VLOOKUP($A103,Clima!$W$8:$Z$284,2,FALSE)))</f>
        <v>11</v>
      </c>
      <c r="O103" s="276">
        <f t="shared" si="73"/>
        <v>61.041709881208774</v>
      </c>
      <c r="P103" s="276">
        <f t="shared" si="54"/>
        <v>39.799999999999997</v>
      </c>
      <c r="Q103" s="487">
        <f t="shared" si="41"/>
        <v>10</v>
      </c>
      <c r="R103" s="278">
        <f t="shared" si="55"/>
        <v>11</v>
      </c>
      <c r="S103" s="278">
        <f t="shared" si="46"/>
        <v>11</v>
      </c>
      <c r="T103" s="279">
        <f t="shared" si="47"/>
        <v>70</v>
      </c>
      <c r="U103" s="279">
        <f t="shared" si="62"/>
        <v>11</v>
      </c>
      <c r="V103" s="276">
        <f t="shared" si="48"/>
        <v>0</v>
      </c>
      <c r="W103" s="276">
        <f>IF(AND(S103&gt;VLOOKUP(Inputs!$I$2,Extracciones,3),S103&lt;VLOOKUP(Inputs!$I$2,Extracciones,5)),(S103-VLOOKUP(Inputs!$I$2,Extracciones,3))*Inputs!$E$12,0)</f>
        <v>0</v>
      </c>
      <c r="X103" s="278">
        <f>IF(AD103=0,VLOOKUP(R103,Mineral,2)*R103*Inputs!$C$16*Inputs!$E$37,VLOOKUP(R103,Mineral,2)*R103*Inputs!$C$16)</f>
        <v>0</v>
      </c>
      <c r="Y103" s="278">
        <f>SUM(K103,M103)*Inputs!$O$8*14/(100*62)</f>
        <v>0</v>
      </c>
      <c r="Z103" s="278">
        <f t="shared" si="61"/>
        <v>0</v>
      </c>
      <c r="AA103" s="278">
        <f t="shared" si="56"/>
        <v>0</v>
      </c>
      <c r="AB103" s="279">
        <f t="shared" si="74"/>
        <v>0</v>
      </c>
      <c r="AC103" s="278">
        <f t="shared" si="77"/>
        <v>0</v>
      </c>
      <c r="AD103" s="279">
        <f t="shared" si="49"/>
        <v>-1.3637642124883504</v>
      </c>
      <c r="AE103" s="278">
        <f t="shared" si="50"/>
        <v>-63.794658900279558</v>
      </c>
      <c r="AF103" s="278">
        <f t="shared" si="64"/>
        <v>106.92276045455912</v>
      </c>
      <c r="AG103" s="279">
        <f t="shared" si="75"/>
        <v>40</v>
      </c>
      <c r="AH103" s="279">
        <f>AF103*1000000/(Inputs!$C$9*100*Inputs!$C$8*1000*(1-Inputs!$C$10)*(1+Inputs!$C$12))</f>
        <v>21.393109334645683</v>
      </c>
      <c r="AI103" s="279">
        <f>IFERROR(HLOOKUP(A103,Inputs!$C$14:$C$15,2,FALSE),-100)</f>
        <v>-100</v>
      </c>
      <c r="AJ103" s="281">
        <f t="shared" si="44"/>
        <v>0</v>
      </c>
      <c r="AK103" s="282">
        <f t="shared" si="78"/>
        <v>0.56000000000000005</v>
      </c>
      <c r="AL103" s="282">
        <f t="shared" si="79"/>
        <v>0.67741935483870963</v>
      </c>
      <c r="AM103" s="282">
        <f t="shared" si="80"/>
        <v>0</v>
      </c>
      <c r="AN103" s="283">
        <f>IFERROR(IF($G$1="Sí",VLOOKUP($A103,CSVAgro,9,FALSE),VLOOKUP($A103,Clima!$E$8:$Q$373,13,FALSE)),0)</f>
        <v>2.2000000000000002</v>
      </c>
      <c r="AO103" s="281">
        <f t="shared" si="57"/>
        <v>101.80000000000004</v>
      </c>
      <c r="AP103" s="281">
        <f>IFERROR(VLOOKUP($A103,'F TrB'!$C$3:$O$21,3,FALSE),-9999)</f>
        <v>-9999</v>
      </c>
      <c r="AQ103" s="281">
        <f t="shared" si="51"/>
        <v>-999</v>
      </c>
      <c r="AR103" s="281">
        <f>IFERROR(IF(VLOOKUP($A103,'F TrB'!$Q$3:$R$21,2,FALSE)=0,-99999,VLOOKUP($A103,'F TrB'!$Q$3:$R$21,2,FALSE)),-99999)</f>
        <v>-99999</v>
      </c>
      <c r="AS103" s="281">
        <f t="shared" si="52"/>
        <v>-99999</v>
      </c>
      <c r="AT103" s="281" t="str">
        <f>IFERROR(VLOOKUP($A103,'NDVI tipo'!$Q$8:$S$30,2,FALSE),"")</f>
        <v/>
      </c>
      <c r="AU103" s="281">
        <f>IF(ISERROR(VLOOKUP($A103,'NDVI tipo'!$Q$8:$S$50,2,FALSE)),AU102+VLOOKUP($A103,'NDVI tipo'!$Q$8:$S$50,3,TRUE),VLOOKUP($A103,'NDVI tipo'!$Q$8:$S$50,2,FALSE))</f>
        <v>0.30479202439024389</v>
      </c>
      <c r="AV103" s="281">
        <f>IFERROR(VLOOKUP($A103,'NDVI real'!$Q$8:$S$44,2,FALSE),-999)</f>
        <v>-999</v>
      </c>
      <c r="AW103" s="281">
        <f>IF(ISERROR(VLOOKUP($A103,'NDVI real'!$T$8:$U$350,2,FALSE)),"",VLOOKUP($A103,'NDVI real'!$T$8:$U$350,2,FALSE))</f>
        <v>0.29454983403794033</v>
      </c>
      <c r="AX103" s="286">
        <f>IFERROR(VLOOKUP($A103,SWB!$C$15:$BE$244,53,FALSE),"")</f>
        <v>0</v>
      </c>
      <c r="AY103" s="286">
        <f>IFERROR(VLOOKUP($A103,SWB!$C$15:$BE$244,55,FALSE),"")</f>
        <v>0</v>
      </c>
      <c r="AZ103" s="281">
        <f>IF(ISERROR(VLOOKUP($A103,Clima!$V$8:$AI$320,14,FALSE)),-999,VLOOKUP(A103,Clima!$V$8:$AI$219,14,FALSE))</f>
        <v>3.9</v>
      </c>
      <c r="BA103" s="281">
        <f t="shared" si="58"/>
        <v>113.80000000000001</v>
      </c>
      <c r="BB103" s="281">
        <f t="shared" si="59"/>
        <v>3.9</v>
      </c>
      <c r="BC103" s="281">
        <f t="shared" si="60"/>
        <v>113.80000000000001</v>
      </c>
      <c r="BD103" s="284">
        <f t="shared" si="76"/>
        <v>42074</v>
      </c>
    </row>
    <row r="104" spans="1:56" s="275" customFormat="1" ht="12.75">
      <c r="A104" s="273">
        <f t="shared" si="53"/>
        <v>42075</v>
      </c>
      <c r="B104" s="274">
        <f t="shared" si="65"/>
        <v>71</v>
      </c>
      <c r="C104" s="275" t="str">
        <f t="shared" si="66"/>
        <v>Inicial</v>
      </c>
      <c r="D104" s="276">
        <f t="shared" si="67"/>
        <v>4</v>
      </c>
      <c r="E104" s="276">
        <f t="shared" si="68"/>
        <v>0.34297018922926825</v>
      </c>
      <c r="F104" s="276"/>
      <c r="G104" s="276">
        <f t="shared" si="69"/>
        <v>6.5518999999999994E-2</v>
      </c>
      <c r="H104" s="276">
        <f t="shared" si="70"/>
        <v>0.21551899999999999</v>
      </c>
      <c r="I104" s="276">
        <f t="shared" si="71"/>
        <v>0.52371199999999996</v>
      </c>
      <c r="J104" s="276">
        <f>IFERROR(IF($G$1="Sí",VLOOKUP($A104,CSVAgro,13,FALSE),VLOOKUP($A104,SWB!$C$15:$P$202,14,FALSE)),0)</f>
        <v>0</v>
      </c>
      <c r="K104" s="487">
        <f t="shared" si="72"/>
        <v>0</v>
      </c>
      <c r="L104" s="487">
        <f t="shared" si="38"/>
        <v>0</v>
      </c>
      <c r="M104" s="487">
        <f t="shared" si="39"/>
        <v>0</v>
      </c>
      <c r="N104" s="277">
        <f>IF(ISERROR($G$1="Sí"),VLOOKUP($A104,CSVAgro,16,FALSE),IF(ISERROR(VLOOKUP($A104,Clima!$W$8:$Z$284,2,FALSE)),VLOOKUP($A104,Clima!$E$8:$H$372,2,FALSE),VLOOKUP($A104,Clima!$W$8:$Z$284,2,FALSE)))</f>
        <v>11.1</v>
      </c>
      <c r="O104" s="276">
        <f t="shared" si="73"/>
        <v>62.101590392487893</v>
      </c>
      <c r="P104" s="276">
        <f t="shared" si="54"/>
        <v>39.799999999999997</v>
      </c>
      <c r="Q104" s="487">
        <f t="shared" si="41"/>
        <v>10</v>
      </c>
      <c r="R104" s="278">
        <f t="shared" si="55"/>
        <v>11.1</v>
      </c>
      <c r="S104" s="278">
        <f t="shared" si="46"/>
        <v>11.1</v>
      </c>
      <c r="T104" s="279">
        <f t="shared" si="47"/>
        <v>71</v>
      </c>
      <c r="U104" s="279">
        <f t="shared" si="62"/>
        <v>11</v>
      </c>
      <c r="V104" s="276">
        <f t="shared" si="48"/>
        <v>0</v>
      </c>
      <c r="W104" s="276">
        <f>IF(AND(S104&gt;VLOOKUP(Inputs!$I$2,Extracciones,3),S104&lt;VLOOKUP(Inputs!$I$2,Extracciones,5)),(S104-VLOOKUP(Inputs!$I$2,Extracciones,3))*Inputs!$E$12,0)</f>
        <v>0</v>
      </c>
      <c r="X104" s="278">
        <f>IF(AD104=0,VLOOKUP(R104,Mineral,2)*R104*Inputs!$C$16*Inputs!$E$37,VLOOKUP(R104,Mineral,2)*R104*Inputs!$C$16)</f>
        <v>0</v>
      </c>
      <c r="Y104" s="278">
        <f>SUM(K104,M104)*Inputs!$O$8*14/(100*62)</f>
        <v>0</v>
      </c>
      <c r="Z104" s="278">
        <f t="shared" si="61"/>
        <v>0</v>
      </c>
      <c r="AA104" s="278">
        <f t="shared" si="56"/>
        <v>0</v>
      </c>
      <c r="AB104" s="279">
        <f t="shared" si="74"/>
        <v>0</v>
      </c>
      <c r="AC104" s="278">
        <f t="shared" si="77"/>
        <v>0</v>
      </c>
      <c r="AD104" s="279">
        <f t="shared" si="49"/>
        <v>-1.3637642124883504</v>
      </c>
      <c r="AE104" s="278">
        <f t="shared" si="50"/>
        <v>-65.158423112767906</v>
      </c>
      <c r="AF104" s="278">
        <f t="shared" si="64"/>
        <v>105.55899624207078</v>
      </c>
      <c r="AG104" s="279">
        <f t="shared" si="75"/>
        <v>40</v>
      </c>
      <c r="AH104" s="279">
        <f>AF104*1000000/(Inputs!$C$9*100*Inputs!$C$8*1000*(1-Inputs!$C$10)*(1+Inputs!$C$12))</f>
        <v>21.120247347353097</v>
      </c>
      <c r="AI104" s="279">
        <f>IFERROR(HLOOKUP(A104,Inputs!$C$14:$C$15,2,FALSE),-100)</f>
        <v>-100</v>
      </c>
      <c r="AJ104" s="281">
        <f t="shared" si="44"/>
        <v>0</v>
      </c>
      <c r="AK104" s="282">
        <f t="shared" si="78"/>
        <v>0.56000000000000005</v>
      </c>
      <c r="AL104" s="282">
        <f t="shared" si="79"/>
        <v>0.67741935483870963</v>
      </c>
      <c r="AM104" s="282">
        <f t="shared" si="80"/>
        <v>0</v>
      </c>
      <c r="AN104" s="283">
        <f>IFERROR(IF($G$1="Sí",VLOOKUP($A104,CSVAgro,9,FALSE),VLOOKUP($A104,Clima!$E$8:$Q$373,13,FALSE)),0)</f>
        <v>2.6</v>
      </c>
      <c r="AO104" s="281">
        <f t="shared" si="57"/>
        <v>104.40000000000003</v>
      </c>
      <c r="AP104" s="281">
        <f>IFERROR(VLOOKUP($A104,'F TrB'!$C$3:$O$21,3,FALSE),-9999)</f>
        <v>-9999</v>
      </c>
      <c r="AQ104" s="281">
        <f t="shared" si="51"/>
        <v>-999</v>
      </c>
      <c r="AR104" s="281">
        <f>IFERROR(IF(VLOOKUP($A104,'F TrB'!$Q$3:$R$21,2,FALSE)=0,-99999,VLOOKUP($A104,'F TrB'!$Q$3:$R$21,2,FALSE)),-99999)</f>
        <v>-99999</v>
      </c>
      <c r="AS104" s="281">
        <f t="shared" si="52"/>
        <v>-99999</v>
      </c>
      <c r="AT104" s="281" t="str">
        <f>IFERROR(VLOOKUP($A104,'NDVI tipo'!$Q$8:$S$30,2,FALSE),"")</f>
        <v/>
      </c>
      <c r="AU104" s="281">
        <f>IF(ISERROR(VLOOKUP($A104,'NDVI tipo'!$Q$8:$S$50,2,FALSE)),AU103+VLOOKUP($A104,'NDVI tipo'!$Q$8:$S$50,3,TRUE),VLOOKUP($A104,'NDVI tipo'!$Q$8:$S$50,2,FALSE))</f>
        <v>0.3131210487804878</v>
      </c>
      <c r="AV104" s="281">
        <f>IFERROR(VLOOKUP($A104,'NDVI real'!$Q$8:$S$44,2,FALSE),-999)</f>
        <v>-999</v>
      </c>
      <c r="AW104" s="281">
        <f>IF(ISERROR(VLOOKUP($A104,'NDVI real'!$T$8:$U$350,2,FALSE)),"",VLOOKUP($A104,'NDVI real'!$T$8:$U$350,2,FALSE))</f>
        <v>0.30761818696476961</v>
      </c>
      <c r="AX104" s="286">
        <f>IFERROR(VLOOKUP($A104,SWB!$C$15:$BE$244,53,FALSE),"")</f>
        <v>2.7188437166504056E-2</v>
      </c>
      <c r="AY104" s="286">
        <f>IFERROR(VLOOKUP($A104,SWB!$C$15:$BE$244,55,FALSE),"")</f>
        <v>1.440987169824715</v>
      </c>
      <c r="AZ104" s="281">
        <f>IF(ISERROR(VLOOKUP($A104,Clima!$V$8:$AI$320,14,FALSE)),-999,VLOOKUP(A104,Clima!$V$8:$AI$219,14,FALSE))</f>
        <v>4</v>
      </c>
      <c r="BA104" s="281">
        <f t="shared" si="58"/>
        <v>117.80000000000001</v>
      </c>
      <c r="BB104" s="281">
        <f t="shared" si="59"/>
        <v>4</v>
      </c>
      <c r="BC104" s="281">
        <f t="shared" si="60"/>
        <v>117.80000000000001</v>
      </c>
      <c r="BD104" s="284">
        <f t="shared" si="76"/>
        <v>42075</v>
      </c>
    </row>
    <row r="105" spans="1:56" s="275" customFormat="1" ht="12.75">
      <c r="A105" s="273">
        <f t="shared" si="53"/>
        <v>42076</v>
      </c>
      <c r="B105" s="274">
        <f t="shared" si="65"/>
        <v>72</v>
      </c>
      <c r="C105" s="275" t="str">
        <f t="shared" si="66"/>
        <v>Inicial</v>
      </c>
      <c r="D105" s="276">
        <f t="shared" si="67"/>
        <v>2.9</v>
      </c>
      <c r="E105" s="276">
        <f t="shared" si="68"/>
        <v>0.36178861744390234</v>
      </c>
      <c r="F105" s="276"/>
      <c r="G105" s="276">
        <f t="shared" si="69"/>
        <v>5.4311999999999999E-2</v>
      </c>
      <c r="H105" s="276">
        <f t="shared" si="70"/>
        <v>0.20431199999999999</v>
      </c>
      <c r="I105" s="276">
        <f t="shared" si="71"/>
        <v>0.59454899999999999</v>
      </c>
      <c r="J105" s="276">
        <f>IFERROR(IF($G$1="Sí",VLOOKUP($A105,CSVAgro,13,FALSE),VLOOKUP($A105,SWB!$C$15:$P$202,14,FALSE)),0)</f>
        <v>0</v>
      </c>
      <c r="K105" s="487">
        <f t="shared" si="72"/>
        <v>0</v>
      </c>
      <c r="L105" s="487">
        <f t="shared" si="38"/>
        <v>0</v>
      </c>
      <c r="M105" s="487">
        <f t="shared" si="39"/>
        <v>0</v>
      </c>
      <c r="N105" s="277">
        <f>IF(ISERROR($G$1="Sí"),VLOOKUP($A105,CSVAgro,16,FALSE),IF(ISERROR(VLOOKUP($A105,Clima!$W$8:$Z$284,2,FALSE)),VLOOKUP($A105,Clima!$E$8:$H$372,2,FALSE),VLOOKUP($A105,Clima!$W$8:$Z$284,2,FALSE)))</f>
        <v>9.1999999999999993</v>
      </c>
      <c r="O105" s="276">
        <f t="shared" si="73"/>
        <v>63.066628476187233</v>
      </c>
      <c r="P105" s="276">
        <f t="shared" si="54"/>
        <v>39.799999999999997</v>
      </c>
      <c r="Q105" s="487">
        <f t="shared" si="41"/>
        <v>10</v>
      </c>
      <c r="R105" s="278">
        <f t="shared" si="55"/>
        <v>9.1999999999999993</v>
      </c>
      <c r="S105" s="278">
        <f t="shared" si="46"/>
        <v>9.1999999999999993</v>
      </c>
      <c r="T105" s="279">
        <f t="shared" si="47"/>
        <v>72</v>
      </c>
      <c r="U105" s="279">
        <f t="shared" si="62"/>
        <v>11</v>
      </c>
      <c r="V105" s="276">
        <f t="shared" si="48"/>
        <v>0</v>
      </c>
      <c r="W105" s="276">
        <f>IF(AND(S105&gt;VLOOKUP(Inputs!$I$2,Extracciones,3),S105&lt;VLOOKUP(Inputs!$I$2,Extracciones,5)),(S105-VLOOKUP(Inputs!$I$2,Extracciones,3))*Inputs!$E$12,0)</f>
        <v>0</v>
      </c>
      <c r="X105" s="278">
        <f>IF(AD105=0,VLOOKUP(R105,Mineral,2)*R105*Inputs!$C$16*Inputs!$E$37,VLOOKUP(R105,Mineral,2)*R105*Inputs!$C$16)</f>
        <v>0</v>
      </c>
      <c r="Y105" s="278">
        <f>SUM(K105,M105)*Inputs!$O$8*14/(100*62)</f>
        <v>0</v>
      </c>
      <c r="Z105" s="278">
        <f t="shared" si="61"/>
        <v>0</v>
      </c>
      <c r="AA105" s="278">
        <f t="shared" si="56"/>
        <v>0</v>
      </c>
      <c r="AB105" s="279">
        <f t="shared" si="74"/>
        <v>0</v>
      </c>
      <c r="AC105" s="278">
        <f t="shared" si="77"/>
        <v>0</v>
      </c>
      <c r="AD105" s="279">
        <f t="shared" si="49"/>
        <v>-1.3637642124883504</v>
      </c>
      <c r="AE105" s="278">
        <f t="shared" si="50"/>
        <v>-66.522187325256255</v>
      </c>
      <c r="AF105" s="278">
        <f t="shared" si="64"/>
        <v>104.19523202958243</v>
      </c>
      <c r="AG105" s="279">
        <f t="shared" si="75"/>
        <v>40</v>
      </c>
      <c r="AH105" s="279">
        <f>AF105*1000000/(Inputs!$C$9*100*Inputs!$C$8*1000*(1-Inputs!$C$10)*(1+Inputs!$C$12))</f>
        <v>20.84738536006051</v>
      </c>
      <c r="AI105" s="279">
        <f>IFERROR(HLOOKUP(A105,Inputs!$C$14:$C$15,2,FALSE),-100)</f>
        <v>-100</v>
      </c>
      <c r="AJ105" s="281">
        <f t="shared" si="44"/>
        <v>0</v>
      </c>
      <c r="AK105" s="282">
        <f t="shared" si="78"/>
        <v>0.56000000000000005</v>
      </c>
      <c r="AL105" s="282">
        <f t="shared" si="79"/>
        <v>0.67741935483870963</v>
      </c>
      <c r="AM105" s="282">
        <f t="shared" si="80"/>
        <v>0</v>
      </c>
      <c r="AN105" s="283">
        <f>IFERROR(IF($G$1="Sí",VLOOKUP($A105,CSVAgro,9,FALSE),VLOOKUP($A105,Clima!$E$8:$Q$373,13,FALSE)),0)</f>
        <v>2.2999999999999998</v>
      </c>
      <c r="AO105" s="281">
        <f t="shared" si="57"/>
        <v>106.70000000000003</v>
      </c>
      <c r="AP105" s="281">
        <f>IFERROR(VLOOKUP($A105,'F TrB'!$C$3:$O$21,3,FALSE),-9999)</f>
        <v>-9999</v>
      </c>
      <c r="AQ105" s="281">
        <f t="shared" si="51"/>
        <v>-999</v>
      </c>
      <c r="AR105" s="281">
        <f>IFERROR(IF(VLOOKUP($A105,'F TrB'!$Q$3:$R$21,2,FALSE)=0,-99999,VLOOKUP($A105,'F TrB'!$Q$3:$R$21,2,FALSE)),-99999)</f>
        <v>-99999</v>
      </c>
      <c r="AS105" s="281">
        <f t="shared" si="52"/>
        <v>-99999</v>
      </c>
      <c r="AT105" s="281" t="str">
        <f>IFERROR(VLOOKUP($A105,'NDVI tipo'!$Q$8:$S$30,2,FALSE),"")</f>
        <v/>
      </c>
      <c r="AU105" s="281">
        <f>IF(ISERROR(VLOOKUP($A105,'NDVI tipo'!$Q$8:$S$50,2,FALSE)),AU104+VLOOKUP($A105,'NDVI tipo'!$Q$8:$S$50,3,TRUE),VLOOKUP($A105,'NDVI tipo'!$Q$8:$S$50,2,FALSE))</f>
        <v>0.32145007317073171</v>
      </c>
      <c r="AV105" s="281">
        <f>IFERROR(VLOOKUP($A105,'NDVI real'!$Q$8:$S$44,2,FALSE),-999)</f>
        <v>-999</v>
      </c>
      <c r="AW105" s="281">
        <f>IF(ISERROR(VLOOKUP($A105,'NDVI real'!$T$8:$U$350,2,FALSE)),"",VLOOKUP($A105,'NDVI real'!$T$8:$U$350,2,FALSE))</f>
        <v>0.3206865398915989</v>
      </c>
      <c r="AX105" s="286">
        <f>IFERROR(VLOOKUP($A105,SWB!$C$15:$BE$244,53,FALSE),"")</f>
        <v>5.3043179671544705E-2</v>
      </c>
      <c r="AY105" s="286">
        <f>IFERROR(VLOOKUP($A105,SWB!$C$15:$BE$244,55,FALSE),"")</f>
        <v>1.3703013527671546</v>
      </c>
      <c r="AZ105" s="281">
        <f>IF(ISERROR(VLOOKUP($A105,Clima!$V$8:$AI$320,14,FALSE)),-999,VLOOKUP(A105,Clima!$V$8:$AI$219,14,FALSE))</f>
        <v>2.9</v>
      </c>
      <c r="BA105" s="281">
        <f t="shared" si="58"/>
        <v>120.70000000000002</v>
      </c>
      <c r="BB105" s="281">
        <f t="shared" si="59"/>
        <v>2.9</v>
      </c>
      <c r="BC105" s="281">
        <f t="shared" si="60"/>
        <v>120.70000000000002</v>
      </c>
      <c r="BD105" s="284">
        <f t="shared" si="76"/>
        <v>42076</v>
      </c>
    </row>
    <row r="106" spans="1:56" s="275" customFormat="1" ht="12.75">
      <c r="A106" s="273">
        <f t="shared" si="53"/>
        <v>42077</v>
      </c>
      <c r="B106" s="274">
        <f t="shared" si="65"/>
        <v>73</v>
      </c>
      <c r="C106" s="275" t="str">
        <f t="shared" si="66"/>
        <v>Inicial</v>
      </c>
      <c r="D106" s="276">
        <f t="shared" si="67"/>
        <v>3</v>
      </c>
      <c r="E106" s="276">
        <f t="shared" si="68"/>
        <v>0.38060704565853654</v>
      </c>
      <c r="F106" s="276"/>
      <c r="G106" s="276">
        <f t="shared" si="69"/>
        <v>4.2409000000000002E-2</v>
      </c>
      <c r="H106" s="276">
        <f t="shared" si="70"/>
        <v>0.192409</v>
      </c>
      <c r="I106" s="276">
        <f t="shared" si="71"/>
        <v>0.74847200000000003</v>
      </c>
      <c r="J106" s="276">
        <f>IFERROR(IF($G$1="Sí",VLOOKUP($A106,CSVAgro,13,FALSE),VLOOKUP($A106,SWB!$C$15:$P$202,14,FALSE)),0)</f>
        <v>0</v>
      </c>
      <c r="K106" s="487">
        <f t="shared" si="72"/>
        <v>0</v>
      </c>
      <c r="L106" s="487">
        <f t="shared" si="38"/>
        <v>0</v>
      </c>
      <c r="M106" s="487">
        <f t="shared" si="39"/>
        <v>0</v>
      </c>
      <c r="N106" s="277">
        <f>IF(ISERROR($G$1="Sí"),VLOOKUP($A106,CSVAgro,16,FALSE),IF(ISERROR(VLOOKUP($A106,Clima!$W$8:$Z$284,2,FALSE)),VLOOKUP($A106,Clima!$E$8:$H$372,2,FALSE),VLOOKUP($A106,Clima!$W$8:$Z$284,2,FALSE)))</f>
        <v>7.1</v>
      </c>
      <c r="O106" s="276">
        <f t="shared" si="73"/>
        <v>64.148595780400186</v>
      </c>
      <c r="P106" s="276">
        <f t="shared" si="54"/>
        <v>39.799999999999997</v>
      </c>
      <c r="Q106" s="487">
        <f t="shared" si="41"/>
        <v>10</v>
      </c>
      <c r="R106" s="278">
        <f t="shared" si="55"/>
        <v>7.1</v>
      </c>
      <c r="S106" s="278">
        <f t="shared" si="46"/>
        <v>7.1</v>
      </c>
      <c r="T106" s="279">
        <f t="shared" si="47"/>
        <v>73</v>
      </c>
      <c r="U106" s="279">
        <f t="shared" si="62"/>
        <v>11</v>
      </c>
      <c r="V106" s="276">
        <f t="shared" si="48"/>
        <v>0</v>
      </c>
      <c r="W106" s="276">
        <f>IF(AND(S106&gt;VLOOKUP(Inputs!$I$2,Extracciones,3),S106&lt;VLOOKUP(Inputs!$I$2,Extracciones,5)),(S106-VLOOKUP(Inputs!$I$2,Extracciones,3))*Inputs!$E$12,0)</f>
        <v>0</v>
      </c>
      <c r="X106" s="278">
        <f>IF(AD106=0,VLOOKUP(R106,Mineral,2)*R106*Inputs!$C$16*Inputs!$E$37,VLOOKUP(R106,Mineral,2)*R106*Inputs!$C$16)</f>
        <v>0</v>
      </c>
      <c r="Y106" s="278">
        <f>SUM(K106,M106)*Inputs!$O$8*14/(100*62)</f>
        <v>0</v>
      </c>
      <c r="Z106" s="278">
        <f t="shared" si="61"/>
        <v>0</v>
      </c>
      <c r="AA106" s="278">
        <f t="shared" si="56"/>
        <v>0</v>
      </c>
      <c r="AB106" s="279">
        <f t="shared" si="74"/>
        <v>0</v>
      </c>
      <c r="AC106" s="278">
        <f t="shared" si="77"/>
        <v>0</v>
      </c>
      <c r="AD106" s="279">
        <f t="shared" si="49"/>
        <v>-1.3637642124883504</v>
      </c>
      <c r="AE106" s="278">
        <f t="shared" si="50"/>
        <v>-67.885951537744603</v>
      </c>
      <c r="AF106" s="278">
        <f t="shared" si="64"/>
        <v>102.83146781709408</v>
      </c>
      <c r="AG106" s="279">
        <f t="shared" si="75"/>
        <v>40</v>
      </c>
      <c r="AH106" s="279">
        <f>AF106*1000000/(Inputs!$C$9*100*Inputs!$C$8*1000*(1-Inputs!$C$10)*(1+Inputs!$C$12))</f>
        <v>20.574523372767921</v>
      </c>
      <c r="AI106" s="279">
        <f>IFERROR(HLOOKUP(A106,Inputs!$C$14:$C$15,2,FALSE),-100)</f>
        <v>-100</v>
      </c>
      <c r="AJ106" s="281">
        <f t="shared" si="44"/>
        <v>0</v>
      </c>
      <c r="AK106" s="282">
        <f t="shared" si="78"/>
        <v>0.56000000000000005</v>
      </c>
      <c r="AL106" s="282">
        <f t="shared" si="79"/>
        <v>0.67741935483870963</v>
      </c>
      <c r="AM106" s="282">
        <f t="shared" si="80"/>
        <v>0</v>
      </c>
      <c r="AN106" s="283">
        <f>IFERROR(IF($G$1="Sí",VLOOKUP($A106,CSVAgro,9,FALSE),VLOOKUP($A106,Clima!$E$8:$Q$373,13,FALSE)),0)</f>
        <v>2.5</v>
      </c>
      <c r="AO106" s="281">
        <f t="shared" si="57"/>
        <v>109.20000000000003</v>
      </c>
      <c r="AP106" s="281">
        <f>IFERROR(VLOOKUP($A106,'F TrB'!$C$3:$O$21,3,FALSE),-9999)</f>
        <v>-9999</v>
      </c>
      <c r="AQ106" s="281">
        <f t="shared" si="51"/>
        <v>-999</v>
      </c>
      <c r="AR106" s="281">
        <f>IFERROR(IF(VLOOKUP($A106,'F TrB'!$Q$3:$R$21,2,FALSE)=0,-99999,VLOOKUP($A106,'F TrB'!$Q$3:$R$21,2,FALSE)),-99999)</f>
        <v>22</v>
      </c>
      <c r="AS106" s="281">
        <f t="shared" si="52"/>
        <v>1.4</v>
      </c>
      <c r="AT106" s="281" t="str">
        <f>IFERROR(VLOOKUP($A106,'NDVI tipo'!$Q$8:$S$30,2,FALSE),"")</f>
        <v/>
      </c>
      <c r="AU106" s="281">
        <f>IF(ISERROR(VLOOKUP($A106,'NDVI tipo'!$Q$8:$S$50,2,FALSE)),AU105+VLOOKUP($A106,'NDVI tipo'!$Q$8:$S$50,3,TRUE),VLOOKUP($A106,'NDVI tipo'!$Q$8:$S$50,2,FALSE))</f>
        <v>0.32977909756097562</v>
      </c>
      <c r="AV106" s="281">
        <f>IFERROR(VLOOKUP($A106,'NDVI real'!$Q$8:$S$44,2,FALSE),-999)</f>
        <v>-999</v>
      </c>
      <c r="AW106" s="281">
        <f>IF(ISERROR(VLOOKUP($A106,'NDVI real'!$T$8:$U$350,2,FALSE)),"",VLOOKUP($A106,'NDVI real'!$T$8:$U$350,2,FALSE))</f>
        <v>0.33375489281842818</v>
      </c>
      <c r="AX106" s="286">
        <f>IFERROR(VLOOKUP($A106,SWB!$C$15:$BE$244,53,FALSE),"")</f>
        <v>8.3106413594308925E-2</v>
      </c>
      <c r="AY106" s="286">
        <f>IFERROR(VLOOKUP($A106,SWB!$C$15:$BE$244,55,FALSE),"")</f>
        <v>1.5933513979065035</v>
      </c>
      <c r="AZ106" s="281">
        <f>IF(ISERROR(VLOOKUP($A106,Clima!$V$8:$AI$320,14,FALSE)),-999,VLOOKUP(A106,Clima!$V$8:$AI$219,14,FALSE))</f>
        <v>3</v>
      </c>
      <c r="BA106" s="281">
        <f t="shared" si="58"/>
        <v>123.70000000000002</v>
      </c>
      <c r="BB106" s="281">
        <f t="shared" si="59"/>
        <v>3</v>
      </c>
      <c r="BC106" s="281">
        <f t="shared" si="60"/>
        <v>123.70000000000002</v>
      </c>
      <c r="BD106" s="284">
        <f t="shared" si="76"/>
        <v>42077</v>
      </c>
    </row>
    <row r="107" spans="1:56" s="275" customFormat="1" ht="12.75">
      <c r="A107" s="273">
        <f t="shared" si="53"/>
        <v>42078</v>
      </c>
      <c r="B107" s="274">
        <f t="shared" si="65"/>
        <v>74</v>
      </c>
      <c r="C107" s="275" t="str">
        <f t="shared" si="66"/>
        <v>Inicial</v>
      </c>
      <c r="D107" s="276">
        <f t="shared" si="67"/>
        <v>2.2999999999999998</v>
      </c>
      <c r="E107" s="276">
        <f t="shared" si="68"/>
        <v>0.39942547387317073</v>
      </c>
      <c r="F107" s="276"/>
      <c r="G107" s="276">
        <f t="shared" si="69"/>
        <v>2.9752000000000001E-2</v>
      </c>
      <c r="H107" s="276">
        <f t="shared" si="70"/>
        <v>0.179752</v>
      </c>
      <c r="I107" s="276">
        <f t="shared" si="71"/>
        <v>0.71900900000000001</v>
      </c>
      <c r="J107" s="276">
        <f>IFERROR(IF($G$1="Sí",VLOOKUP($A107,CSVAgro,13,FALSE),VLOOKUP($A107,SWB!$C$15:$P$202,14,FALSE)),0)</f>
        <v>0</v>
      </c>
      <c r="K107" s="487">
        <f t="shared" si="72"/>
        <v>0</v>
      </c>
      <c r="L107" s="487">
        <f t="shared" si="38"/>
        <v>0</v>
      </c>
      <c r="M107" s="487">
        <f t="shared" si="39"/>
        <v>0</v>
      </c>
      <c r="N107" s="277">
        <f>IF(ISERROR($G$1="Sí"),VLOOKUP($A107,CSVAgro,16,FALSE),IF(ISERROR(VLOOKUP($A107,Clima!$W$8:$Z$284,2,FALSE)),VLOOKUP($A107,Clima!$E$8:$H$372,2,FALSE),VLOOKUP($A107,Clima!$W$8:$Z$284,2,FALSE)))</f>
        <v>5.2</v>
      </c>
      <c r="O107" s="276">
        <f t="shared" si="73"/>
        <v>65.085610588386444</v>
      </c>
      <c r="P107" s="276">
        <f t="shared" si="54"/>
        <v>39.799999999999997</v>
      </c>
      <c r="Q107" s="487">
        <f t="shared" si="41"/>
        <v>10</v>
      </c>
      <c r="R107" s="278">
        <f t="shared" si="55"/>
        <v>5.2</v>
      </c>
      <c r="S107" s="278">
        <f t="shared" si="46"/>
        <v>5.2</v>
      </c>
      <c r="T107" s="279">
        <f t="shared" si="47"/>
        <v>74</v>
      </c>
      <c r="U107" s="279">
        <f t="shared" si="62"/>
        <v>11</v>
      </c>
      <c r="V107" s="276">
        <f t="shared" si="48"/>
        <v>0</v>
      </c>
      <c r="W107" s="276">
        <f>IF(AND(S107&gt;VLOOKUP(Inputs!$I$2,Extracciones,3),S107&lt;VLOOKUP(Inputs!$I$2,Extracciones,5)),(S107-VLOOKUP(Inputs!$I$2,Extracciones,3))*Inputs!$E$12,0)</f>
        <v>0</v>
      </c>
      <c r="X107" s="278">
        <f>IF(AD107=0,VLOOKUP(R107,Mineral,2)*R107*Inputs!$C$16*Inputs!$E$37,VLOOKUP(R107,Mineral,2)*R107*Inputs!$C$16)</f>
        <v>0</v>
      </c>
      <c r="Y107" s="278">
        <f>SUM(K107,M107)*Inputs!$O$8*14/(100*62)</f>
        <v>0</v>
      </c>
      <c r="Z107" s="278">
        <f t="shared" si="61"/>
        <v>0</v>
      </c>
      <c r="AA107" s="278">
        <f t="shared" si="56"/>
        <v>0</v>
      </c>
      <c r="AB107" s="279">
        <f t="shared" si="74"/>
        <v>0</v>
      </c>
      <c r="AC107" s="278">
        <f t="shared" si="77"/>
        <v>0</v>
      </c>
      <c r="AD107" s="279">
        <f t="shared" si="49"/>
        <v>-1.3637642124883504</v>
      </c>
      <c r="AE107" s="278">
        <f t="shared" si="50"/>
        <v>-69.249715750232951</v>
      </c>
      <c r="AF107" s="278">
        <f t="shared" si="64"/>
        <v>101.46770360460573</v>
      </c>
      <c r="AG107" s="279">
        <f t="shared" si="75"/>
        <v>40</v>
      </c>
      <c r="AH107" s="279">
        <f>AF107*1000000/(Inputs!$C$9*100*Inputs!$C$8*1000*(1-Inputs!$C$10)*(1+Inputs!$C$12))</f>
        <v>20.301661385475338</v>
      </c>
      <c r="AI107" s="279">
        <f>IFERROR(HLOOKUP(A107,Inputs!$C$14:$C$15,2,FALSE),-100)</f>
        <v>-100</v>
      </c>
      <c r="AJ107" s="281">
        <f t="shared" si="44"/>
        <v>0</v>
      </c>
      <c r="AK107" s="282">
        <f t="shared" si="78"/>
        <v>0.56000000000000005</v>
      </c>
      <c r="AL107" s="282">
        <f t="shared" si="79"/>
        <v>0.67741935483870963</v>
      </c>
      <c r="AM107" s="282">
        <f t="shared" si="80"/>
        <v>0</v>
      </c>
      <c r="AN107" s="283">
        <f>IFERROR(IF($G$1="Sí",VLOOKUP($A107,CSVAgro,9,FALSE),VLOOKUP($A107,Clima!$E$8:$Q$373,13,FALSE)),0)</f>
        <v>2.1</v>
      </c>
      <c r="AO107" s="281">
        <f t="shared" si="57"/>
        <v>111.30000000000003</v>
      </c>
      <c r="AP107" s="281">
        <f>IFERROR(VLOOKUP($A107,'F TrB'!$C$3:$O$21,3,FALSE),-9999)</f>
        <v>-9999</v>
      </c>
      <c r="AQ107" s="281">
        <f t="shared" si="51"/>
        <v>-999</v>
      </c>
      <c r="AR107" s="281">
        <f>IFERROR(IF(VLOOKUP($A107,'F TrB'!$Q$3:$R$21,2,FALSE)=0,-99999,VLOOKUP($A107,'F TrB'!$Q$3:$R$21,2,FALSE)),-99999)</f>
        <v>-99999</v>
      </c>
      <c r="AS107" s="281">
        <f t="shared" si="52"/>
        <v>-99999</v>
      </c>
      <c r="AT107" s="281" t="str">
        <f>IFERROR(VLOOKUP($A107,'NDVI tipo'!$Q$8:$S$30,2,FALSE),"")</f>
        <v/>
      </c>
      <c r="AU107" s="281">
        <f>IF(ISERROR(VLOOKUP($A107,'NDVI tipo'!$Q$8:$S$50,2,FALSE)),AU106+VLOOKUP($A107,'NDVI tipo'!$Q$8:$S$50,3,TRUE),VLOOKUP($A107,'NDVI tipo'!$Q$8:$S$50,2,FALSE))</f>
        <v>0.33810812195121953</v>
      </c>
      <c r="AV107" s="281">
        <f>IFERROR(VLOOKUP($A107,'NDVI real'!$Q$8:$S$44,2,FALSE),-999)</f>
        <v>-999</v>
      </c>
      <c r="AW107" s="281">
        <f>IF(ISERROR(VLOOKUP($A107,'NDVI real'!$T$8:$U$350,2,FALSE)),"",VLOOKUP($A107,'NDVI real'!$T$8:$U$350,2,FALSE))</f>
        <v>0.34682324574525747</v>
      </c>
      <c r="AX107" s="286">
        <f>IFERROR(VLOOKUP($A107,SWB!$C$15:$BE$244,53,FALSE),"")</f>
        <v>0.11000614255821137</v>
      </c>
      <c r="AY107" s="286">
        <f>IFERROR(VLOOKUP($A107,SWB!$C$15:$BE$244,55,FALSE),"")</f>
        <v>1.425685635086829</v>
      </c>
      <c r="AZ107" s="281">
        <f>IF(ISERROR(VLOOKUP($A107,Clima!$V$8:$AI$320,14,FALSE)),-999,VLOOKUP(A107,Clima!$V$8:$AI$219,14,FALSE))</f>
        <v>2.2999999999999998</v>
      </c>
      <c r="BA107" s="281">
        <f t="shared" si="58"/>
        <v>126.00000000000001</v>
      </c>
      <c r="BB107" s="281">
        <f t="shared" si="59"/>
        <v>2.2999999999999998</v>
      </c>
      <c r="BC107" s="281">
        <f t="shared" si="60"/>
        <v>126.00000000000001</v>
      </c>
      <c r="BD107" s="284">
        <f t="shared" si="76"/>
        <v>42078</v>
      </c>
    </row>
    <row r="108" spans="1:56" s="275" customFormat="1" ht="12.75">
      <c r="A108" s="273">
        <f t="shared" si="53"/>
        <v>42079</v>
      </c>
      <c r="B108" s="274">
        <f t="shared" si="65"/>
        <v>75</v>
      </c>
      <c r="C108" s="275" t="str">
        <f t="shared" si="66"/>
        <v>Inicial</v>
      </c>
      <c r="D108" s="276">
        <f t="shared" si="67"/>
        <v>2.6</v>
      </c>
      <c r="E108" s="276">
        <f t="shared" si="68"/>
        <v>0.41824390208780493</v>
      </c>
      <c r="F108" s="276"/>
      <c r="G108" s="276">
        <f t="shared" si="69"/>
        <v>1.9890999999999999E-2</v>
      </c>
      <c r="H108" s="276">
        <f t="shared" si="70"/>
        <v>0.16989099999999999</v>
      </c>
      <c r="I108" s="276">
        <f t="shared" si="71"/>
        <v>0.48758699999999999</v>
      </c>
      <c r="J108" s="276">
        <f>IFERROR(IF($G$1="Sí",VLOOKUP($A108,CSVAgro,13,FALSE),VLOOKUP($A108,SWB!$C$15:$P$202,14,FALSE)),0)</f>
        <v>0</v>
      </c>
      <c r="K108" s="487">
        <f t="shared" si="72"/>
        <v>0</v>
      </c>
      <c r="L108" s="487">
        <f t="shared" si="38"/>
        <v>0</v>
      </c>
      <c r="M108" s="487">
        <f t="shared" si="39"/>
        <v>0</v>
      </c>
      <c r="N108" s="277">
        <f>IF(ISERROR($G$1="Sí"),VLOOKUP($A108,CSVAgro,16,FALSE),IF(ISERROR(VLOOKUP($A108,Clima!$W$8:$Z$284,2,FALSE)),VLOOKUP($A108,Clima!$E$8:$H$372,2,FALSE),VLOOKUP($A108,Clima!$W$8:$Z$284,2,FALSE)))</f>
        <v>6.6</v>
      </c>
      <c r="O108" s="276">
        <f t="shared" si="73"/>
        <v>66.145318359790807</v>
      </c>
      <c r="P108" s="276">
        <f t="shared" si="54"/>
        <v>39.799999999999997</v>
      </c>
      <c r="Q108" s="487">
        <f t="shared" si="41"/>
        <v>10</v>
      </c>
      <c r="R108" s="278">
        <f t="shared" si="55"/>
        <v>6.6</v>
      </c>
      <c r="S108" s="278">
        <f t="shared" si="46"/>
        <v>6.6</v>
      </c>
      <c r="T108" s="279">
        <f t="shared" si="47"/>
        <v>75</v>
      </c>
      <c r="U108" s="279">
        <f t="shared" si="62"/>
        <v>12</v>
      </c>
      <c r="V108" s="276">
        <f t="shared" si="48"/>
        <v>0</v>
      </c>
      <c r="W108" s="276">
        <f>IF(AND(S108&gt;VLOOKUP(Inputs!$I$2,Extracciones,3),S108&lt;VLOOKUP(Inputs!$I$2,Extracciones,5)),(S108-VLOOKUP(Inputs!$I$2,Extracciones,3))*Inputs!$E$12,0)</f>
        <v>0</v>
      </c>
      <c r="X108" s="278">
        <f>IF(AD108=0,VLOOKUP(R108,Mineral,2)*R108*Inputs!$C$16*Inputs!$E$37,VLOOKUP(R108,Mineral,2)*R108*Inputs!$C$16)</f>
        <v>0</v>
      </c>
      <c r="Y108" s="278">
        <f>SUM(K108,M108)*Inputs!$O$8*14/(100*62)</f>
        <v>0</v>
      </c>
      <c r="Z108" s="278">
        <f t="shared" si="61"/>
        <v>0</v>
      </c>
      <c r="AA108" s="278">
        <f t="shared" si="56"/>
        <v>0</v>
      </c>
      <c r="AB108" s="279">
        <f t="shared" si="74"/>
        <v>0</v>
      </c>
      <c r="AC108" s="278">
        <f t="shared" si="77"/>
        <v>0</v>
      </c>
      <c r="AD108" s="279">
        <f t="shared" si="49"/>
        <v>-1.3637642124883504</v>
      </c>
      <c r="AE108" s="278">
        <f t="shared" si="50"/>
        <v>-70.6134799627213</v>
      </c>
      <c r="AF108" s="278">
        <f t="shared" si="64"/>
        <v>100.10393939211738</v>
      </c>
      <c r="AG108" s="279">
        <f t="shared" si="75"/>
        <v>40</v>
      </c>
      <c r="AH108" s="279">
        <f>AF108*1000000/(Inputs!$C$9*100*Inputs!$C$8*1000*(1-Inputs!$C$10)*(1+Inputs!$C$12))</f>
        <v>20.028799398182748</v>
      </c>
      <c r="AI108" s="279">
        <f>IFERROR(HLOOKUP(A108,Inputs!$C$14:$C$15,2,FALSE),-100)</f>
        <v>-100</v>
      </c>
      <c r="AJ108" s="281">
        <f t="shared" si="44"/>
        <v>0</v>
      </c>
      <c r="AK108" s="282">
        <f t="shared" si="78"/>
        <v>0.56000000000000005</v>
      </c>
      <c r="AL108" s="282">
        <f t="shared" si="79"/>
        <v>0.67741935483870963</v>
      </c>
      <c r="AM108" s="282">
        <f t="shared" si="80"/>
        <v>0</v>
      </c>
      <c r="AN108" s="283">
        <f>IFERROR(IF($G$1="Sí",VLOOKUP($A108,CSVAgro,9,FALSE),VLOOKUP($A108,Clima!$E$8:$Q$373,13,FALSE)),0)</f>
        <v>2.2999999999999998</v>
      </c>
      <c r="AO108" s="281">
        <f t="shared" si="57"/>
        <v>113.60000000000002</v>
      </c>
      <c r="AP108" s="281">
        <f>IFERROR(VLOOKUP($A108,'F TrB'!$C$3:$O$21,3,FALSE),-9999)</f>
        <v>-9999</v>
      </c>
      <c r="AQ108" s="281">
        <f t="shared" si="51"/>
        <v>-999</v>
      </c>
      <c r="AR108" s="281">
        <f>IFERROR(IF(VLOOKUP($A108,'F TrB'!$Q$3:$R$21,2,FALSE)=0,-99999,VLOOKUP($A108,'F TrB'!$Q$3:$R$21,2,FALSE)),-99999)</f>
        <v>-99999</v>
      </c>
      <c r="AS108" s="281">
        <f t="shared" si="52"/>
        <v>-99999</v>
      </c>
      <c r="AT108" s="281" t="str">
        <f>IFERROR(VLOOKUP($A108,'NDVI tipo'!$Q$8:$S$30,2,FALSE),"")</f>
        <v/>
      </c>
      <c r="AU108" s="281">
        <f>IF(ISERROR(VLOOKUP($A108,'NDVI tipo'!$Q$8:$S$50,2,FALSE)),AU107+VLOOKUP($A108,'NDVI tipo'!$Q$8:$S$50,3,TRUE),VLOOKUP($A108,'NDVI tipo'!$Q$8:$S$50,2,FALSE))</f>
        <v>0.34643714634146344</v>
      </c>
      <c r="AV108" s="281">
        <f>IFERROR(VLOOKUP($A108,'NDVI real'!$Q$8:$S$44,2,FALSE),-999)</f>
        <v>-999</v>
      </c>
      <c r="AW108" s="281">
        <f>IF(ISERROR(VLOOKUP($A108,'NDVI real'!$T$8:$U$350,2,FALSE)),"",VLOOKUP($A108,'NDVI real'!$T$8:$U$350,2,FALSE))</f>
        <v>0.35989159867208675</v>
      </c>
      <c r="AX108" s="286">
        <f>IFERROR(VLOOKUP($A108,SWB!$C$15:$BE$244,53,FALSE),"")</f>
        <v>0.14127118317495935</v>
      </c>
      <c r="AY108" s="286">
        <f>IFERROR(VLOOKUP($A108,SWB!$C$15:$BE$244,55,FALSE),"")</f>
        <v>1.6570471526876425</v>
      </c>
      <c r="AZ108" s="281">
        <f>IF(ISERROR(VLOOKUP($A108,Clima!$V$8:$AI$320,14,FALSE)),-999,VLOOKUP(A108,Clima!$V$8:$AI$219,14,FALSE))</f>
        <v>2.6</v>
      </c>
      <c r="BA108" s="281">
        <f t="shared" si="58"/>
        <v>128.60000000000002</v>
      </c>
      <c r="BB108" s="281">
        <f t="shared" si="59"/>
        <v>2.6</v>
      </c>
      <c r="BC108" s="281">
        <f t="shared" si="60"/>
        <v>128.60000000000002</v>
      </c>
      <c r="BD108" s="284">
        <f t="shared" si="76"/>
        <v>42079</v>
      </c>
    </row>
    <row r="109" spans="1:56" s="275" customFormat="1" ht="12.75">
      <c r="A109" s="273">
        <f t="shared" si="53"/>
        <v>42080</v>
      </c>
      <c r="B109" s="274">
        <f t="shared" ref="B109:B140" si="81">IFERROR(IF($G$1="Sí",VLOOKUP($A109,CSVAgro,4,FALSE),VLOOKUP($A109,CSVSWB,3))," ")</f>
        <v>76</v>
      </c>
      <c r="C109" s="275" t="str">
        <f t="shared" ref="C109:C140" si="82">IFERROR(IF($G$1="Sí",VLOOKUP($A109,CSVAgro,2,FALSE),VLOOKUP($A109,CSVSWB,2,FALSE))," ")</f>
        <v>Inicial</v>
      </c>
      <c r="D109" s="276">
        <f t="shared" ref="D109:D140" si="83">IFERROR(IF($G$1="Sí",VLOOKUP($A109,CSVAgro,9,FALSE),VLOOKUP($A109,CSVSWB,8,FALSE)),0)</f>
        <v>2.5</v>
      </c>
      <c r="E109" s="276">
        <f t="shared" ref="E109:E140" si="84">IFERROR(IF($G$1="Sí",VLOOKUP($A109,CSVAgro,14,FALSE),VLOOKUP($A109,CSVSWB,13,FALSE)),0)</f>
        <v>0.43706233030243913</v>
      </c>
      <c r="F109" s="276"/>
      <c r="G109" s="276">
        <f t="shared" ref="G109:G140" si="85">IFERROR(IF($G$1="Sí",VLOOKUP($A109,CSVAgro,26,FALSE),VLOOKUP($A109,CSVSWB,26,FALSE)),0)</f>
        <v>1.6001000000000001E-2</v>
      </c>
      <c r="H109" s="276">
        <f t="shared" ref="H109:H140" si="86">IFERROR(IF($G$1="Sí",VLOOKUP($A109,CSVAgro,29,FALSE),VLOOKUP($A109,CSVSWB,29,FALSE)),0)</f>
        <v>0.16600100000000001</v>
      </c>
      <c r="I109" s="276">
        <f t="shared" ref="I109:I140" si="87">IFERROR(IF($G$1="Sí",VLOOKUP($A109,CSVAgro,30,FALSE),VLOOKUP($A109,CSVSWB,30,FALSE)),0)</f>
        <v>0.499664</v>
      </c>
      <c r="J109" s="276">
        <f>IFERROR(IF($G$1="Sí",VLOOKUP($A109,CSVAgro,13,FALSE),VLOOKUP($A109,SWB!$C$15:$P$202,14,FALSE)),0)</f>
        <v>0</v>
      </c>
      <c r="K109" s="487">
        <f t="shared" ref="K109:K140" si="88">IFERROR(IF($G$1="Sí",VLOOKUP($A109,CSVAgro,35,FALSE),VLOOKUP($A109,CSVSWB,35,FALSE)),0)</f>
        <v>0</v>
      </c>
      <c r="L109" s="487">
        <f t="shared" ref="L109:L172" si="89">IFERROR(IF($G$1="Sí",VLOOKUP($A109,CSVAgro,37,FALSE),VLOOKUP($A109,CSVSWB,37,FALSE)),0)</f>
        <v>0</v>
      </c>
      <c r="M109" s="487">
        <f t="shared" ref="M109:M172" si="90">IFERROR(IF($G$1="Sí",VLOOKUP($A109,CSVAgro,36,FALSE),VLOOKUP($A109,CSVSWB,36,FALSE)),0)</f>
        <v>0</v>
      </c>
      <c r="N109" s="277">
        <f>IF(ISERROR($G$1="Sí"),VLOOKUP($A109,CSVAgro,16,FALSE),IF(ISERROR(VLOOKUP($A109,Clima!$W$8:$Z$284,2,FALSE)),VLOOKUP($A109,Clima!$E$8:$H$372,2,FALSE),VLOOKUP($A109,Clima!$W$8:$Z$284,2,FALSE)))</f>
        <v>7.8</v>
      </c>
      <c r="O109" s="276">
        <f t="shared" ref="O109:O140" si="91">IFERROR(IF($G$1="Sí",VLOOKUP($A109,CSVAgro,42,FALSE),VLOOKUP($A109,CSVSWB,42,FALSE)),0)</f>
        <v>67.809222911514425</v>
      </c>
      <c r="P109" s="276">
        <f t="shared" si="54"/>
        <v>39.799999999999997</v>
      </c>
      <c r="Q109" s="487">
        <f t="shared" ref="Q109:Q172" si="92">IFERROR(IF($G$1="Sí",VLOOKUP($A109,CSVAgro,43,FALSE),VLOOKUP($A109,CSVSWB,43,FALSE)),0)</f>
        <v>10</v>
      </c>
      <c r="R109" s="278">
        <f t="shared" si="55"/>
        <v>7.8</v>
      </c>
      <c r="S109" s="278">
        <f t="shared" si="46"/>
        <v>7.8</v>
      </c>
      <c r="T109" s="279">
        <f t="shared" ref="T109:T172" si="93">B109</f>
        <v>76</v>
      </c>
      <c r="U109" s="279">
        <f t="shared" si="62"/>
        <v>12</v>
      </c>
      <c r="V109" s="276">
        <f t="shared" si="48"/>
        <v>0</v>
      </c>
      <c r="W109" s="276">
        <f>IF(AND(S109&gt;VLOOKUP(Inputs!$I$2,Extracciones,3),S109&lt;VLOOKUP(Inputs!$I$2,Extracciones,5)),(S109-VLOOKUP(Inputs!$I$2,Extracciones,3))*Inputs!$E$12,0)</f>
        <v>0</v>
      </c>
      <c r="X109" s="278">
        <f>IF(AD109=0,VLOOKUP(R109,Mineral,2)*R109*Inputs!$C$16*Inputs!$E$37,VLOOKUP(R109,Mineral,2)*R109*Inputs!$C$16)</f>
        <v>0</v>
      </c>
      <c r="Y109" s="278">
        <f>SUM(K109,M109)*Inputs!$O$8*14/(100*62)</f>
        <v>0</v>
      </c>
      <c r="Z109" s="278">
        <f t="shared" si="61"/>
        <v>0</v>
      </c>
      <c r="AA109" s="278">
        <f t="shared" si="56"/>
        <v>0</v>
      </c>
      <c r="AB109" s="279">
        <f t="shared" ref="AB109:AB140" si="94">VLOOKUP(A109,FenoT,11)</f>
        <v>0</v>
      </c>
      <c r="AC109" s="278">
        <f t="shared" si="77"/>
        <v>0</v>
      </c>
      <c r="AD109" s="279">
        <f t="shared" ref="AD109:AD172" si="95">IFERROR(-VLOOKUP(A109,FenoT,9),0)</f>
        <v>-1.3637642124883504</v>
      </c>
      <c r="AE109" s="278">
        <f t="shared" si="50"/>
        <v>-71.977244175209648</v>
      </c>
      <c r="AF109" s="278">
        <f t="shared" si="64"/>
        <v>98.740175179629034</v>
      </c>
      <c r="AG109" s="279">
        <f t="shared" ref="AG109:AG140" si="96">VLOOKUP(A109,FenoT,10)</f>
        <v>40</v>
      </c>
      <c r="AH109" s="279">
        <f>AF109*1000000/(Inputs!$C$9*100*Inputs!$C$8*1000*(1-Inputs!$C$10)*(1+Inputs!$C$12))</f>
        <v>19.755937410890162</v>
      </c>
      <c r="AI109" s="279">
        <f>IFERROR(HLOOKUP(A109,Inputs!$C$14:$C$15,2,FALSE),-100)</f>
        <v>-100</v>
      </c>
      <c r="AJ109" s="281">
        <f>IF(AF109&gt;AG109,0,1)</f>
        <v>0</v>
      </c>
      <c r="AK109" s="282">
        <f t="shared" si="78"/>
        <v>0.56000000000000005</v>
      </c>
      <c r="AL109" s="282">
        <f t="shared" si="79"/>
        <v>0.67741935483870963</v>
      </c>
      <c r="AM109" s="282">
        <f t="shared" si="80"/>
        <v>0</v>
      </c>
      <c r="AN109" s="283">
        <f>IFERROR(IF($G$1="Sí",VLOOKUP($A109,CSVAgro,9,FALSE),VLOOKUP($A109,Clima!$E$8:$Q$373,13,FALSE)),0)</f>
        <v>3.5</v>
      </c>
      <c r="AO109" s="281">
        <f t="shared" si="57"/>
        <v>117.10000000000002</v>
      </c>
      <c r="AP109" s="281">
        <f>IFERROR(VLOOKUP($A109,'F TrB'!$C$3:$O$21,3,FALSE),-9999)</f>
        <v>-9999</v>
      </c>
      <c r="AQ109" s="281">
        <f t="shared" si="51"/>
        <v>-999</v>
      </c>
      <c r="AR109" s="281">
        <f>IFERROR(IF(VLOOKUP($A109,'F TrB'!$Q$3:$R$21,2,FALSE)=0,-99999,VLOOKUP($A109,'F TrB'!$Q$3:$R$21,2,FALSE)),-99999)</f>
        <v>-99999</v>
      </c>
      <c r="AS109" s="281">
        <f t="shared" si="52"/>
        <v>-99999</v>
      </c>
      <c r="AT109" s="281" t="str">
        <f>IFERROR(VLOOKUP($A109,'NDVI tipo'!$Q$8:$S$30,2,FALSE),"")</f>
        <v/>
      </c>
      <c r="AU109" s="281">
        <f>IF(ISERROR(VLOOKUP($A109,'NDVI tipo'!$Q$8:$S$50,2,FALSE)),AU108+VLOOKUP($A109,'NDVI tipo'!$Q$8:$S$50,3,TRUE),VLOOKUP($A109,'NDVI tipo'!$Q$8:$S$50,2,FALSE))</f>
        <v>0.35476617073170735</v>
      </c>
      <c r="AV109" s="281">
        <f>IFERROR(VLOOKUP($A109,'NDVI real'!$Q$8:$S$44,2,FALSE),-999)</f>
        <v>-999</v>
      </c>
      <c r="AW109" s="281">
        <f>IF(ISERROR(VLOOKUP($A109,'NDVI real'!$T$8:$U$350,2,FALSE)),"",VLOOKUP($A109,'NDVI real'!$T$8:$U$350,2,FALSE))</f>
        <v>0.37295995159891604</v>
      </c>
      <c r="AX109" s="286">
        <f>IFERROR(VLOOKUP($A109,SWB!$C$15:$BE$244,53,FALSE),"")</f>
        <v>0.19159277301073172</v>
      </c>
      <c r="AY109" s="286">
        <f>IFERROR(VLOOKUP($A109,SWB!$C$15:$BE$244,55,FALSE),"")</f>
        <v>2.6670442612959357</v>
      </c>
      <c r="AZ109" s="281">
        <f>IF(ISERROR(VLOOKUP($A109,Clima!$V$8:$AI$320,14,FALSE)),-999,VLOOKUP(A109,Clima!$V$8:$AI$219,14,FALSE))</f>
        <v>2.5</v>
      </c>
      <c r="BA109" s="281">
        <f t="shared" si="58"/>
        <v>131.10000000000002</v>
      </c>
      <c r="BB109" s="281">
        <f t="shared" si="59"/>
        <v>2.5</v>
      </c>
      <c r="BC109" s="281">
        <f t="shared" si="60"/>
        <v>131.10000000000002</v>
      </c>
      <c r="BD109" s="284">
        <f t="shared" ref="BD109:BD140" si="97">A109</f>
        <v>42080</v>
      </c>
    </row>
    <row r="110" spans="1:56" s="275" customFormat="1" ht="12.75">
      <c r="A110" s="273">
        <f t="shared" si="53"/>
        <v>42081</v>
      </c>
      <c r="B110" s="274">
        <f t="shared" si="81"/>
        <v>77</v>
      </c>
      <c r="C110" s="275" t="str">
        <f t="shared" si="82"/>
        <v>Inicial</v>
      </c>
      <c r="D110" s="276">
        <f t="shared" si="83"/>
        <v>0.8</v>
      </c>
      <c r="E110" s="276">
        <f t="shared" si="84"/>
        <v>0.45588075851707321</v>
      </c>
      <c r="F110" s="276"/>
      <c r="G110" s="276">
        <f t="shared" si="85"/>
        <v>1.1915E-2</v>
      </c>
      <c r="H110" s="276">
        <f t="shared" si="86"/>
        <v>0.161915</v>
      </c>
      <c r="I110" s="276">
        <f t="shared" si="87"/>
        <v>0.375643</v>
      </c>
      <c r="J110" s="276">
        <f>IFERROR(IF($G$1="Sí",VLOOKUP($A110,CSVAgro,13,FALSE),VLOOKUP($A110,SWB!$C$15:$P$202,14,FALSE)),0)</f>
        <v>11.2</v>
      </c>
      <c r="K110" s="487">
        <f t="shared" si="88"/>
        <v>5</v>
      </c>
      <c r="L110" s="487">
        <f t="shared" si="89"/>
        <v>0</v>
      </c>
      <c r="M110" s="487">
        <f t="shared" si="90"/>
        <v>5</v>
      </c>
      <c r="N110" s="277">
        <f>IF(ISERROR($G$1="Sí"),VLOOKUP($A110,CSVAgro,16,FALSE),IF(ISERROR(VLOOKUP($A110,Clima!$W$8:$Z$284,2,FALSE)),VLOOKUP($A110,Clima!$E$8:$H$372,2,FALSE),VLOOKUP($A110,Clima!$W$8:$Z$284,2,FALSE)))</f>
        <v>6.2</v>
      </c>
      <c r="O110" s="276">
        <f t="shared" si="91"/>
        <v>70.421488042409038</v>
      </c>
      <c r="P110" s="276">
        <f t="shared" si="54"/>
        <v>51</v>
      </c>
      <c r="Q110" s="487">
        <f t="shared" si="92"/>
        <v>10</v>
      </c>
      <c r="R110" s="278">
        <f t="shared" si="55"/>
        <v>6.2</v>
      </c>
      <c r="S110" s="278">
        <f t="shared" ref="S110:S173" si="98">R110</f>
        <v>6.2</v>
      </c>
      <c r="T110" s="279">
        <f t="shared" si="93"/>
        <v>77</v>
      </c>
      <c r="U110" s="279">
        <f t="shared" si="62"/>
        <v>12</v>
      </c>
      <c r="V110" s="276">
        <f t="shared" ref="V110:V173" si="99">MAX(W110-W109,0)</f>
        <v>0</v>
      </c>
      <c r="W110" s="276">
        <f>IF(AND(S110&gt;VLOOKUP(Inputs!$I$2,Extracciones,3),S110&lt;VLOOKUP(Inputs!$I$2,Extracciones,5)),(S110-VLOOKUP(Inputs!$I$2,Extracciones,3))*Inputs!$E$12,0)</f>
        <v>0</v>
      </c>
      <c r="X110" s="278">
        <f>IF(AD110=0,VLOOKUP(R110,Mineral,2)*R110*Inputs!$C$16*Inputs!$E$37,VLOOKUP(R110,Mineral,2)*R110*Inputs!$C$16)</f>
        <v>0</v>
      </c>
      <c r="Y110" s="278">
        <f>SUM(K110,M110)*Inputs!$O$8*14/(100*62)</f>
        <v>0.33870967741935482</v>
      </c>
      <c r="Z110" s="278">
        <f t="shared" si="61"/>
        <v>0</v>
      </c>
      <c r="AA110" s="278">
        <f t="shared" si="56"/>
        <v>0</v>
      </c>
      <c r="AB110" s="279">
        <f t="shared" si="94"/>
        <v>0</v>
      </c>
      <c r="AC110" s="278">
        <f t="shared" si="77"/>
        <v>0</v>
      </c>
      <c r="AD110" s="279">
        <f t="shared" si="95"/>
        <v>-1.3637642124883504</v>
      </c>
      <c r="AE110" s="278">
        <f t="shared" ref="AE110:AE173" si="100">AE109+AD110</f>
        <v>-73.341008387697997</v>
      </c>
      <c r="AF110" s="278">
        <f t="shared" si="64"/>
        <v>97.715120644560045</v>
      </c>
      <c r="AG110" s="279">
        <f t="shared" si="96"/>
        <v>40</v>
      </c>
      <c r="AH110" s="279">
        <f>AF110*1000000/(Inputs!$C$9*100*Inputs!$C$8*1000*(1-Inputs!$C$10)*(1+Inputs!$C$12))</f>
        <v>19.550844466698688</v>
      </c>
      <c r="AI110" s="279">
        <f>IFERROR(HLOOKUP(A110,Inputs!$C$14:$C$15,2,FALSE),-100)</f>
        <v>-100</v>
      </c>
      <c r="AJ110" s="281">
        <f t="shared" ref="AJ110:AJ172" si="101">IF(AF110&gt;AG110,0,1)</f>
        <v>0</v>
      </c>
      <c r="AK110" s="282">
        <f t="shared" si="78"/>
        <v>0.56000000000000005</v>
      </c>
      <c r="AL110" s="282">
        <f t="shared" si="79"/>
        <v>1.0161290322580645</v>
      </c>
      <c r="AM110" s="282">
        <f t="shared" si="80"/>
        <v>0</v>
      </c>
      <c r="AN110" s="283">
        <f>IFERROR(IF($G$1="Sí",VLOOKUP($A110,CSVAgro,9,FALSE),VLOOKUP($A110,Clima!$E$8:$Q$373,13,FALSE)),0)</f>
        <v>2.5</v>
      </c>
      <c r="AO110" s="281">
        <f t="shared" si="57"/>
        <v>119.60000000000002</v>
      </c>
      <c r="AP110" s="281">
        <f>IFERROR(VLOOKUP($A110,'F TrB'!$C$3:$O$21,3,FALSE),-9999)</f>
        <v>-9999</v>
      </c>
      <c r="AQ110" s="281">
        <f t="shared" ref="AQ110:AQ173" si="102">IF(AP110&gt;0,1.4,-999)</f>
        <v>-999</v>
      </c>
      <c r="AR110" s="281">
        <f>IFERROR(IF(VLOOKUP($A110,'F TrB'!$Q$3:$R$21,2,FALSE)=0,-99999,VLOOKUP($A110,'F TrB'!$Q$3:$R$21,2,FALSE)),-99999)</f>
        <v>-99999</v>
      </c>
      <c r="AS110" s="281">
        <f t="shared" ref="AS110:AS173" si="103">IF(AR110&gt;1,1.4,-99999)</f>
        <v>-99999</v>
      </c>
      <c r="AT110" s="281" t="str">
        <f>IFERROR(VLOOKUP($A110,'NDVI tipo'!$Q$8:$S$30,2,FALSE),"")</f>
        <v/>
      </c>
      <c r="AU110" s="281">
        <f>IF(ISERROR(VLOOKUP($A110,'NDVI tipo'!$Q$8:$S$50,2,FALSE)),AU109+VLOOKUP($A110,'NDVI tipo'!$Q$8:$S$50,3,TRUE),VLOOKUP($A110,'NDVI tipo'!$Q$8:$S$50,2,FALSE))</f>
        <v>0.36309519512195126</v>
      </c>
      <c r="AV110" s="281">
        <f>IFERROR(VLOOKUP($A110,'NDVI real'!$Q$8:$S$44,2,FALSE),-999)</f>
        <v>-999</v>
      </c>
      <c r="AW110" s="281">
        <f>IF(ISERROR(VLOOKUP($A110,'NDVI real'!$T$8:$U$350,2,FALSE)),"",VLOOKUP($A110,'NDVI real'!$T$8:$U$350,2,FALSE))</f>
        <v>0.38602830452574532</v>
      </c>
      <c r="AX110" s="286">
        <f>IFERROR(VLOOKUP($A110,SWB!$C$15:$BE$244,53,FALSE),"")</f>
        <v>0.22949701868959352</v>
      </c>
      <c r="AY110" s="286">
        <f>IFERROR(VLOOKUP($A110,SWB!$C$15:$BE$244,55,FALSE),"")</f>
        <v>2.0089250209796763</v>
      </c>
      <c r="AZ110" s="281">
        <f>IF(ISERROR(VLOOKUP($A110,Clima!$V$8:$AI$320,14,FALSE)),-999,VLOOKUP(A110,Clima!$V$8:$AI$219,14,FALSE))</f>
        <v>0.8</v>
      </c>
      <c r="BA110" s="281">
        <f t="shared" si="58"/>
        <v>131.90000000000003</v>
      </c>
      <c r="BB110" s="281">
        <f t="shared" ref="BB110:BB173" si="104">IF(AZ110=-999,VLOOKUP(A110,$A$45:$AN$232,40,FALSE),VLOOKUP(A110,$A$45:$AZ$232,52,FALSE))</f>
        <v>0.8</v>
      </c>
      <c r="BC110" s="281">
        <f t="shared" si="60"/>
        <v>131.90000000000003</v>
      </c>
      <c r="BD110" s="284">
        <f t="shared" si="97"/>
        <v>42081</v>
      </c>
    </row>
    <row r="111" spans="1:56" s="275" customFormat="1" ht="12.75">
      <c r="A111" s="273">
        <f t="shared" ref="A111:A174" si="105">A110+1</f>
        <v>42082</v>
      </c>
      <c r="B111" s="274">
        <f t="shared" si="81"/>
        <v>78</v>
      </c>
      <c r="C111" s="275" t="str">
        <f t="shared" si="82"/>
        <v>Inicial</v>
      </c>
      <c r="D111" s="276">
        <f t="shared" si="83"/>
        <v>1</v>
      </c>
      <c r="E111" s="276">
        <f t="shared" si="84"/>
        <v>0.47469918673170741</v>
      </c>
      <c r="F111" s="276"/>
      <c r="G111" s="276">
        <f t="shared" si="85"/>
        <v>9.7909999999999994E-3</v>
      </c>
      <c r="H111" s="276">
        <f t="shared" si="86"/>
        <v>0.15979099999999999</v>
      </c>
      <c r="I111" s="276">
        <f t="shared" si="87"/>
        <v>0.40906500000000001</v>
      </c>
      <c r="J111" s="276">
        <f>IFERROR(IF($G$1="Sí",VLOOKUP($A111,CSVAgro,13,FALSE),VLOOKUP($A111,SWB!$C$15:$P$202,14,FALSE)),0)</f>
        <v>0.4</v>
      </c>
      <c r="K111" s="487">
        <f t="shared" si="88"/>
        <v>0</v>
      </c>
      <c r="L111" s="487">
        <f t="shared" si="89"/>
        <v>0</v>
      </c>
      <c r="M111" s="487">
        <f t="shared" si="90"/>
        <v>0</v>
      </c>
      <c r="N111" s="277">
        <f>IF(ISERROR($G$1="Sí"),VLOOKUP($A111,CSVAgro,16,FALSE),IF(ISERROR(VLOOKUP($A111,Clima!$W$8:$Z$284,2,FALSE)),VLOOKUP($A111,Clima!$E$8:$H$372,2,FALSE),VLOOKUP($A111,Clima!$W$8:$Z$284,2,FALSE)))</f>
        <v>8.1999999999999993</v>
      </c>
      <c r="O111" s="276">
        <f t="shared" si="91"/>
        <v>72.620689424455136</v>
      </c>
      <c r="P111" s="276">
        <f t="shared" ref="P111:P174" si="106">J111+P110</f>
        <v>51.4</v>
      </c>
      <c r="Q111" s="487">
        <f t="shared" si="92"/>
        <v>15</v>
      </c>
      <c r="R111" s="278">
        <f t="shared" ref="R111:R174" si="107">N111</f>
        <v>8.1999999999999993</v>
      </c>
      <c r="S111" s="278">
        <f t="shared" si="98"/>
        <v>8.1999999999999993</v>
      </c>
      <c r="T111" s="279">
        <f t="shared" si="93"/>
        <v>78</v>
      </c>
      <c r="U111" s="279">
        <f t="shared" si="62"/>
        <v>12</v>
      </c>
      <c r="V111" s="276">
        <f t="shared" si="99"/>
        <v>0</v>
      </c>
      <c r="W111" s="276">
        <f>IF(AND(S111&gt;VLOOKUP(Inputs!$I$2,Extracciones,3),S111&lt;VLOOKUP(Inputs!$I$2,Extracciones,5)),(S111-VLOOKUP(Inputs!$I$2,Extracciones,3))*Inputs!$E$12,0)</f>
        <v>0</v>
      </c>
      <c r="X111" s="278">
        <f>IF(AD111=0,VLOOKUP(R111,Mineral,2)*R111*Inputs!$C$16*Inputs!$E$37,VLOOKUP(R111,Mineral,2)*R111*Inputs!$C$16)</f>
        <v>0</v>
      </c>
      <c r="Y111" s="278">
        <f>SUM(K111,M111)*Inputs!$O$8*14/(100*62)</f>
        <v>0</v>
      </c>
      <c r="Z111" s="278">
        <f t="shared" ref="Z111:Z174" si="108">IFERROR(VLOOKUP(A111,Fertiliza,9,0),0)</f>
        <v>0</v>
      </c>
      <c r="AA111" s="278">
        <f t="shared" ref="AA111:AA174" si="109">IFERROR(Z111/VLOOKUP(A111,Fertiliza,7),0)</f>
        <v>0</v>
      </c>
      <c r="AB111" s="279">
        <f t="shared" si="94"/>
        <v>0</v>
      </c>
      <c r="AC111" s="278">
        <f t="shared" si="77"/>
        <v>0</v>
      </c>
      <c r="AD111" s="279">
        <f t="shared" si="95"/>
        <v>-1.3637642124883504</v>
      </c>
      <c r="AE111" s="278">
        <f t="shared" si="100"/>
        <v>-74.704772600186345</v>
      </c>
      <c r="AF111" s="278">
        <f t="shared" si="64"/>
        <v>96.351356432071697</v>
      </c>
      <c r="AG111" s="279">
        <f t="shared" si="96"/>
        <v>40</v>
      </c>
      <c r="AH111" s="279">
        <f>AF111*1000000/(Inputs!$C$9*100*Inputs!$C$8*1000*(1-Inputs!$C$10)*(1+Inputs!$C$12))</f>
        <v>19.277982479406102</v>
      </c>
      <c r="AI111" s="279">
        <f>IFERROR(HLOOKUP(A111,Inputs!$C$14:$C$15,2,FALSE),-100)</f>
        <v>-100</v>
      </c>
      <c r="AJ111" s="281">
        <f t="shared" si="101"/>
        <v>0</v>
      </c>
      <c r="AK111" s="282">
        <f t="shared" si="78"/>
        <v>0.56000000000000005</v>
      </c>
      <c r="AL111" s="282">
        <f t="shared" si="79"/>
        <v>1.0161290322580645</v>
      </c>
      <c r="AM111" s="282">
        <f t="shared" si="80"/>
        <v>0</v>
      </c>
      <c r="AN111" s="283">
        <f>IFERROR(IF($G$1="Sí",VLOOKUP($A111,CSVAgro,9,FALSE),VLOOKUP($A111,Clima!$E$8:$Q$373,13,FALSE)),0)</f>
        <v>2.1</v>
      </c>
      <c r="AO111" s="281">
        <f t="shared" ref="AO111:AO174" si="110">AN111+AO110</f>
        <v>121.70000000000002</v>
      </c>
      <c r="AP111" s="281">
        <f>IFERROR(VLOOKUP($A111,'F TrB'!$C$3:$O$21,3,FALSE),-9999)</f>
        <v>-9999</v>
      </c>
      <c r="AQ111" s="281">
        <f t="shared" si="102"/>
        <v>-999</v>
      </c>
      <c r="AR111" s="281">
        <f>IFERROR(IF(VLOOKUP($A111,'F TrB'!$Q$3:$R$21,2,FALSE)=0,-99999,VLOOKUP($A111,'F TrB'!$Q$3:$R$21,2,FALSE)),-99999)</f>
        <v>-99999</v>
      </c>
      <c r="AS111" s="281">
        <f t="shared" si="103"/>
        <v>-99999</v>
      </c>
      <c r="AT111" s="281" t="str">
        <f>IFERROR(VLOOKUP($A111,'NDVI tipo'!$Q$8:$S$30,2,FALSE),"")</f>
        <v/>
      </c>
      <c r="AU111" s="281">
        <f>IF(ISERROR(VLOOKUP($A111,'NDVI tipo'!$Q$8:$S$50,2,FALSE)),AU110+VLOOKUP($A111,'NDVI tipo'!$Q$8:$S$50,3,TRUE),VLOOKUP($A111,'NDVI tipo'!$Q$8:$S$50,2,FALSE))</f>
        <v>0.37142421951219518</v>
      </c>
      <c r="AV111" s="281">
        <f>IFERROR(VLOOKUP($A111,'NDVI real'!$Q$8:$S$44,2,FALSE),-999)</f>
        <v>-999</v>
      </c>
      <c r="AW111" s="281">
        <f>IF(ISERROR(VLOOKUP($A111,'NDVI real'!$T$8:$U$350,2,FALSE)),"",VLOOKUP($A111,'NDVI real'!$T$8:$U$350,2,FALSE))</f>
        <v>0.39909665745257461</v>
      </c>
      <c r="AX111" s="286">
        <f>IFERROR(VLOOKUP($A111,SWB!$C$15:$BE$244,53,FALSE),"")</f>
        <v>0.26298319752861793</v>
      </c>
      <c r="AY111" s="286">
        <f>IFERROR(VLOOKUP($A111,SWB!$C$15:$BE$244,55,FALSE),"")</f>
        <v>1.7747674784682932</v>
      </c>
      <c r="AZ111" s="281">
        <f>IF(ISERROR(VLOOKUP($A111,Clima!$V$8:$AI$320,14,FALSE)),-999,VLOOKUP(A111,Clima!$V$8:$AI$219,14,FALSE))</f>
        <v>1</v>
      </c>
      <c r="BA111" s="281">
        <f t="shared" ref="BA111:BA174" si="111">IF(AZ111=-999,-999,AZ111+BA110)</f>
        <v>132.90000000000003</v>
      </c>
      <c r="BB111" s="281">
        <f t="shared" si="104"/>
        <v>1</v>
      </c>
      <c r="BC111" s="281">
        <f t="shared" ref="BC111:BC174" si="112">BB111+BC110</f>
        <v>132.90000000000003</v>
      </c>
      <c r="BD111" s="284">
        <f t="shared" si="97"/>
        <v>42082</v>
      </c>
    </row>
    <row r="112" spans="1:56" s="275" customFormat="1" ht="12.75">
      <c r="A112" s="273">
        <f t="shared" si="105"/>
        <v>42083</v>
      </c>
      <c r="B112" s="274">
        <f t="shared" si="81"/>
        <v>79</v>
      </c>
      <c r="C112" s="275" t="str">
        <f t="shared" si="82"/>
        <v>Inicial</v>
      </c>
      <c r="D112" s="276">
        <f t="shared" si="83"/>
        <v>1.3</v>
      </c>
      <c r="E112" s="276">
        <f t="shared" si="84"/>
        <v>0.49351761494634161</v>
      </c>
      <c r="F112" s="276"/>
      <c r="G112" s="276">
        <f t="shared" si="85"/>
        <v>7.9880000000000003E-3</v>
      </c>
      <c r="H112" s="276">
        <f t="shared" si="86"/>
        <v>0.15798799999999999</v>
      </c>
      <c r="I112" s="276">
        <f t="shared" si="87"/>
        <v>0.40128900000000001</v>
      </c>
      <c r="J112" s="276">
        <f>IFERROR(IF($G$1="Sí",VLOOKUP($A112,CSVAgro,13,FALSE),VLOOKUP($A112,SWB!$C$15:$P$202,14,FALSE)),0)</f>
        <v>3.1</v>
      </c>
      <c r="K112" s="487">
        <f t="shared" si="88"/>
        <v>0</v>
      </c>
      <c r="L112" s="487">
        <f t="shared" si="89"/>
        <v>0</v>
      </c>
      <c r="M112" s="487">
        <f t="shared" si="90"/>
        <v>0</v>
      </c>
      <c r="N112" s="277">
        <f>IF(ISERROR($G$1="Sí"),VLOOKUP($A112,CSVAgro,16,FALSE),IF(ISERROR(VLOOKUP($A112,Clima!$W$8:$Z$284,2,FALSE)),VLOOKUP($A112,Clima!$E$8:$H$372,2,FALSE),VLOOKUP($A112,Clima!$W$8:$Z$284,2,FALSE)))</f>
        <v>8.6</v>
      </c>
      <c r="O112" s="276">
        <f t="shared" si="91"/>
        <v>74.40496089685476</v>
      </c>
      <c r="P112" s="276">
        <f t="shared" si="106"/>
        <v>54.5</v>
      </c>
      <c r="Q112" s="487">
        <f t="shared" si="92"/>
        <v>15</v>
      </c>
      <c r="R112" s="278">
        <f t="shared" si="107"/>
        <v>8.6</v>
      </c>
      <c r="S112" s="278">
        <f t="shared" si="98"/>
        <v>8.6</v>
      </c>
      <c r="T112" s="279">
        <f t="shared" si="93"/>
        <v>79</v>
      </c>
      <c r="U112" s="279">
        <f t="shared" si="62"/>
        <v>12</v>
      </c>
      <c r="V112" s="276">
        <f t="shared" si="99"/>
        <v>0</v>
      </c>
      <c r="W112" s="276">
        <f>IF(AND(S112&gt;VLOOKUP(Inputs!$I$2,Extracciones,3),S112&lt;VLOOKUP(Inputs!$I$2,Extracciones,5)),(S112-VLOOKUP(Inputs!$I$2,Extracciones,3))*Inputs!$E$12,0)</f>
        <v>0</v>
      </c>
      <c r="X112" s="278">
        <f>IF(AD112=0,VLOOKUP(R112,Mineral,2)*R112*Inputs!$C$16*Inputs!$E$37,VLOOKUP(R112,Mineral,2)*R112*Inputs!$C$16)</f>
        <v>0</v>
      </c>
      <c r="Y112" s="278">
        <f>SUM(K112,M112)*Inputs!$O$8*14/(100*62)</f>
        <v>0</v>
      </c>
      <c r="Z112" s="278">
        <f t="shared" si="108"/>
        <v>0</v>
      </c>
      <c r="AA112" s="278">
        <f t="shared" si="109"/>
        <v>0</v>
      </c>
      <c r="AB112" s="279">
        <f t="shared" si="94"/>
        <v>0</v>
      </c>
      <c r="AC112" s="278">
        <f t="shared" si="77"/>
        <v>0</v>
      </c>
      <c r="AD112" s="279">
        <f t="shared" si="95"/>
        <v>-1.3637642124883504</v>
      </c>
      <c r="AE112" s="278">
        <f t="shared" si="100"/>
        <v>-76.068536812674694</v>
      </c>
      <c r="AF112" s="278">
        <f t="shared" si="64"/>
        <v>94.987592219583348</v>
      </c>
      <c r="AG112" s="279">
        <f t="shared" si="96"/>
        <v>40</v>
      </c>
      <c r="AH112" s="279">
        <f>AF112*1000000/(Inputs!$C$9*100*Inputs!$C$8*1000*(1-Inputs!$C$10)*(1+Inputs!$C$12))</f>
        <v>19.005120492113516</v>
      </c>
      <c r="AI112" s="279">
        <f>IFERROR(HLOOKUP(A112,Inputs!$C$14:$C$15,2,FALSE),-100)</f>
        <v>-100</v>
      </c>
      <c r="AJ112" s="281">
        <f t="shared" si="101"/>
        <v>0</v>
      </c>
      <c r="AK112" s="282">
        <f t="shared" si="78"/>
        <v>0.56000000000000005</v>
      </c>
      <c r="AL112" s="282">
        <f t="shared" si="79"/>
        <v>1.0161290322580645</v>
      </c>
      <c r="AM112" s="282">
        <f t="shared" si="80"/>
        <v>0</v>
      </c>
      <c r="AN112" s="283">
        <f>IFERROR(IF($G$1="Sí",VLOOKUP($A112,CSVAgro,9,FALSE),VLOOKUP($A112,Clima!$E$8:$Q$373,13,FALSE)),0)</f>
        <v>1.7</v>
      </c>
      <c r="AO112" s="281">
        <f t="shared" si="110"/>
        <v>123.40000000000002</v>
      </c>
      <c r="AP112" s="281">
        <f>IFERROR(VLOOKUP($A112,'F TrB'!$C$3:$O$21,3,FALSE),-9999)</f>
        <v>-9999</v>
      </c>
      <c r="AQ112" s="281">
        <f t="shared" si="102"/>
        <v>-999</v>
      </c>
      <c r="AR112" s="281">
        <f>IFERROR(IF(VLOOKUP($A112,'F TrB'!$Q$3:$R$21,2,FALSE)=0,-99999,VLOOKUP($A112,'F TrB'!$Q$3:$R$21,2,FALSE)),-99999)</f>
        <v>-99999</v>
      </c>
      <c r="AS112" s="281">
        <f t="shared" si="103"/>
        <v>-99999</v>
      </c>
      <c r="AT112" s="281" t="str">
        <f>IFERROR(VLOOKUP($A112,'NDVI tipo'!$Q$8:$S$30,2,FALSE),"")</f>
        <v/>
      </c>
      <c r="AU112" s="281">
        <f>IF(ISERROR(VLOOKUP($A112,'NDVI tipo'!$Q$8:$S$50,2,FALSE)),AU111+VLOOKUP($A112,'NDVI tipo'!$Q$8:$S$50,3,TRUE),VLOOKUP($A112,'NDVI tipo'!$Q$8:$S$50,2,FALSE))</f>
        <v>0.37975324390243909</v>
      </c>
      <c r="AV112" s="281">
        <f>IFERROR(VLOOKUP($A112,'NDVI real'!$Q$8:$S$44,2,FALSE),-999)</f>
        <v>-999</v>
      </c>
      <c r="AW112" s="281">
        <f>IF(ISERROR(VLOOKUP($A112,'NDVI real'!$T$8:$U$350,2,FALSE)),"",VLOOKUP($A112,'NDVI real'!$T$8:$U$350,2,FALSE))</f>
        <v>0.4121650103794039</v>
      </c>
      <c r="AX112" s="286">
        <f>IFERROR(VLOOKUP($A112,SWB!$C$15:$BE$244,53,FALSE),"")</f>
        <v>0.29142402858731714</v>
      </c>
      <c r="AY112" s="286">
        <f>IFERROR(VLOOKUP($A112,SWB!$C$15:$BE$244,55,FALSE),"")</f>
        <v>1.5073640461110589</v>
      </c>
      <c r="AZ112" s="281">
        <f>IF(ISERROR(VLOOKUP($A112,Clima!$V$8:$AI$320,14,FALSE)),-999,VLOOKUP(A112,Clima!$V$8:$AI$219,14,FALSE))</f>
        <v>1.3</v>
      </c>
      <c r="BA112" s="281">
        <f t="shared" si="111"/>
        <v>134.20000000000005</v>
      </c>
      <c r="BB112" s="281">
        <f t="shared" si="104"/>
        <v>1.3</v>
      </c>
      <c r="BC112" s="281">
        <f t="shared" si="112"/>
        <v>134.20000000000005</v>
      </c>
      <c r="BD112" s="284">
        <f t="shared" si="97"/>
        <v>42083</v>
      </c>
    </row>
    <row r="113" spans="1:56" s="275" customFormat="1" ht="12.75">
      <c r="A113" s="273">
        <f t="shared" si="105"/>
        <v>42084</v>
      </c>
      <c r="B113" s="274">
        <f t="shared" si="81"/>
        <v>80</v>
      </c>
      <c r="C113" s="275" t="str">
        <f t="shared" si="82"/>
        <v>Inicial</v>
      </c>
      <c r="D113" s="276">
        <f t="shared" si="83"/>
        <v>1.3</v>
      </c>
      <c r="E113" s="276">
        <f t="shared" si="84"/>
        <v>0.51233604316097581</v>
      </c>
      <c r="F113" s="276"/>
      <c r="G113" s="276">
        <f t="shared" si="85"/>
        <v>0.59163100000000002</v>
      </c>
      <c r="H113" s="276">
        <f t="shared" si="86"/>
        <v>0.74163100000000004</v>
      </c>
      <c r="I113" s="276">
        <f t="shared" si="87"/>
        <v>0.58588799999999996</v>
      </c>
      <c r="J113" s="276">
        <f>IFERROR(IF($G$1="Sí",VLOOKUP($A113,CSVAgro,13,FALSE),VLOOKUP($A113,SWB!$C$15:$P$202,14,FALSE)),0)</f>
        <v>14.1</v>
      </c>
      <c r="K113" s="487">
        <f t="shared" si="88"/>
        <v>0</v>
      </c>
      <c r="L113" s="487">
        <f t="shared" si="89"/>
        <v>0</v>
      </c>
      <c r="M113" s="487">
        <f t="shared" si="90"/>
        <v>0</v>
      </c>
      <c r="N113" s="277">
        <f>IF(ISERROR($G$1="Sí"),VLOOKUP($A113,CSVAgro,16,FALSE),IF(ISERROR(VLOOKUP($A113,Clima!$W$8:$Z$284,2,FALSE)),VLOOKUP($A113,Clima!$E$8:$H$372,2,FALSE),VLOOKUP($A113,Clima!$W$8:$Z$284,2,FALSE)))</f>
        <v>8.6</v>
      </c>
      <c r="O113" s="276">
        <f t="shared" si="91"/>
        <v>76.824340454160136</v>
      </c>
      <c r="P113" s="276">
        <f t="shared" si="106"/>
        <v>68.599999999999994</v>
      </c>
      <c r="Q113" s="487">
        <f t="shared" si="92"/>
        <v>15</v>
      </c>
      <c r="R113" s="278">
        <f t="shared" si="107"/>
        <v>8.6</v>
      </c>
      <c r="S113" s="278">
        <f t="shared" si="98"/>
        <v>8.6</v>
      </c>
      <c r="T113" s="279">
        <f t="shared" si="93"/>
        <v>80</v>
      </c>
      <c r="U113" s="279">
        <f t="shared" si="62"/>
        <v>12</v>
      </c>
      <c r="V113" s="276">
        <f t="shared" si="99"/>
        <v>0</v>
      </c>
      <c r="W113" s="276">
        <f>IF(AND(S113&gt;VLOOKUP(Inputs!$I$2,Extracciones,3),S113&lt;VLOOKUP(Inputs!$I$2,Extracciones,5)),(S113-VLOOKUP(Inputs!$I$2,Extracciones,3))*Inputs!$E$12,0)</f>
        <v>0</v>
      </c>
      <c r="X113" s="278">
        <f>IF(AD113=0,VLOOKUP(R113,Mineral,2)*R113*Inputs!$C$16*Inputs!$E$37,VLOOKUP(R113,Mineral,2)*R113*Inputs!$C$16)</f>
        <v>0</v>
      </c>
      <c r="Y113" s="278">
        <f>SUM(K113,M113)*Inputs!$O$8*14/(100*62)</f>
        <v>0</v>
      </c>
      <c r="Z113" s="278">
        <f t="shared" si="108"/>
        <v>0</v>
      </c>
      <c r="AA113" s="278">
        <f t="shared" si="109"/>
        <v>0</v>
      </c>
      <c r="AB113" s="279">
        <f t="shared" si="94"/>
        <v>0</v>
      </c>
      <c r="AC113" s="278">
        <f t="shared" si="77"/>
        <v>0</v>
      </c>
      <c r="AD113" s="279">
        <f t="shared" si="95"/>
        <v>-1.3637642124883504</v>
      </c>
      <c r="AE113" s="278">
        <f t="shared" si="100"/>
        <v>-77.432301025163042</v>
      </c>
      <c r="AF113" s="278">
        <f t="shared" si="64"/>
        <v>93.623828007095</v>
      </c>
      <c r="AG113" s="279">
        <f t="shared" si="96"/>
        <v>40</v>
      </c>
      <c r="AH113" s="279">
        <f>AF113*1000000/(Inputs!$C$9*100*Inputs!$C$8*1000*(1-Inputs!$C$10)*(1+Inputs!$C$12))</f>
        <v>18.732258504820926</v>
      </c>
      <c r="AI113" s="279">
        <f>IFERROR(HLOOKUP(A113,Inputs!$C$14:$C$15,2,FALSE),-100)</f>
        <v>-100</v>
      </c>
      <c r="AJ113" s="281">
        <f t="shared" si="101"/>
        <v>0</v>
      </c>
      <c r="AK113" s="282">
        <f t="shared" si="78"/>
        <v>0.56000000000000005</v>
      </c>
      <c r="AL113" s="282">
        <f t="shared" si="79"/>
        <v>1.0161290322580645</v>
      </c>
      <c r="AM113" s="282">
        <f t="shared" si="80"/>
        <v>0</v>
      </c>
      <c r="AN113" s="283">
        <f>IFERROR(IF($G$1="Sí",VLOOKUP($A113,CSVAgro,9,FALSE),VLOOKUP($A113,Clima!$E$8:$Q$373,13,FALSE)),0)</f>
        <v>2.2999999999999998</v>
      </c>
      <c r="AO113" s="281">
        <f t="shared" si="110"/>
        <v>125.70000000000002</v>
      </c>
      <c r="AP113" s="281">
        <f>IFERROR(VLOOKUP($A113,'F TrB'!$C$3:$O$21,3,FALSE),-9999)</f>
        <v>-9999</v>
      </c>
      <c r="AQ113" s="281">
        <f t="shared" si="102"/>
        <v>-999</v>
      </c>
      <c r="AR113" s="281">
        <f>IFERROR(IF(VLOOKUP($A113,'F TrB'!$Q$3:$R$21,2,FALSE)=0,-99999,VLOOKUP($A113,'F TrB'!$Q$3:$R$21,2,FALSE)),-99999)</f>
        <v>-99999</v>
      </c>
      <c r="AS113" s="281">
        <f t="shared" si="103"/>
        <v>-99999</v>
      </c>
      <c r="AT113" s="281" t="str">
        <f>IFERROR(VLOOKUP($A113,'NDVI tipo'!$Q$8:$S$30,2,FALSE),"")</f>
        <v/>
      </c>
      <c r="AU113" s="281">
        <f>IF(ISERROR(VLOOKUP($A113,'NDVI tipo'!$Q$8:$S$50,2,FALSE)),AU112+VLOOKUP($A113,'NDVI tipo'!$Q$8:$S$50,3,TRUE),VLOOKUP($A113,'NDVI tipo'!$Q$8:$S$50,2,FALSE))</f>
        <v>0.388082268292683</v>
      </c>
      <c r="AV113" s="281">
        <f>IFERROR(VLOOKUP($A113,'NDVI real'!$Q$8:$S$44,2,FALSE),-999)</f>
        <v>-999</v>
      </c>
      <c r="AW113" s="281">
        <f>IF(ISERROR(VLOOKUP($A113,'NDVI real'!$T$8:$U$350,2,FALSE)),"",VLOOKUP($A113,'NDVI real'!$T$8:$U$350,2,FALSE))</f>
        <v>0.42523336330623318</v>
      </c>
      <c r="AX113" s="286">
        <f>IFERROR(VLOOKUP($A113,SWB!$C$15:$BE$244,53,FALSE),"")</f>
        <v>0.3317062327235773</v>
      </c>
      <c r="AY113" s="286">
        <f>IFERROR(VLOOKUP($A113,SWB!$C$15:$BE$244,55,FALSE),"")</f>
        <v>2.134956819221788</v>
      </c>
      <c r="AZ113" s="281">
        <f>IF(ISERROR(VLOOKUP($A113,Clima!$V$8:$AI$320,14,FALSE)),-999,VLOOKUP(A113,Clima!$V$8:$AI$219,14,FALSE))</f>
        <v>1.3</v>
      </c>
      <c r="BA113" s="281">
        <f t="shared" si="111"/>
        <v>135.50000000000006</v>
      </c>
      <c r="BB113" s="281">
        <f t="shared" si="104"/>
        <v>1.3</v>
      </c>
      <c r="BC113" s="281">
        <f t="shared" si="112"/>
        <v>135.50000000000006</v>
      </c>
      <c r="BD113" s="284">
        <f t="shared" si="97"/>
        <v>42084</v>
      </c>
    </row>
    <row r="114" spans="1:56" s="275" customFormat="1" ht="12.75">
      <c r="A114" s="273">
        <f t="shared" si="105"/>
        <v>42085</v>
      </c>
      <c r="B114" s="274">
        <f t="shared" si="81"/>
        <v>81</v>
      </c>
      <c r="C114" s="275" t="str">
        <f t="shared" si="82"/>
        <v>Inicial</v>
      </c>
      <c r="D114" s="276">
        <f t="shared" si="83"/>
        <v>1.7</v>
      </c>
      <c r="E114" s="276">
        <f t="shared" si="84"/>
        <v>0.53115447137561</v>
      </c>
      <c r="F114" s="276"/>
      <c r="G114" s="276">
        <f t="shared" si="85"/>
        <v>0.62603900000000001</v>
      </c>
      <c r="H114" s="276">
        <f t="shared" si="86"/>
        <v>0.77603900000000003</v>
      </c>
      <c r="I114" s="276">
        <f t="shared" si="87"/>
        <v>0.74499700000000002</v>
      </c>
      <c r="J114" s="276">
        <f>IFERROR(IF($G$1="Sí",VLOOKUP($A114,CSVAgro,13,FALSE),VLOOKUP($A114,SWB!$C$15:$P$202,14,FALSE)),0)</f>
        <v>2.7</v>
      </c>
      <c r="K114" s="487">
        <f t="shared" si="88"/>
        <v>0</v>
      </c>
      <c r="L114" s="487">
        <f t="shared" si="89"/>
        <v>0.4214226894922537</v>
      </c>
      <c r="M114" s="487">
        <f t="shared" si="90"/>
        <v>0</v>
      </c>
      <c r="N114" s="277">
        <f>IF(ISERROR($G$1="Sí"),VLOOKUP($A114,CSVAgro,16,FALSE),IF(ISERROR(VLOOKUP($A114,Clima!$W$8:$Z$284,2,FALSE)),VLOOKUP($A114,Clima!$E$8:$H$372,2,FALSE),VLOOKUP($A114,Clima!$W$8:$Z$284,2,FALSE)))</f>
        <v>8.6</v>
      </c>
      <c r="O114" s="276">
        <f t="shared" si="91"/>
        <v>77.878577310507737</v>
      </c>
      <c r="P114" s="276">
        <f t="shared" si="106"/>
        <v>71.3</v>
      </c>
      <c r="Q114" s="487">
        <f t="shared" si="92"/>
        <v>15</v>
      </c>
      <c r="R114" s="278">
        <f t="shared" si="107"/>
        <v>8.6</v>
      </c>
      <c r="S114" s="278">
        <f t="shared" si="98"/>
        <v>8.6</v>
      </c>
      <c r="T114" s="279">
        <f t="shared" si="93"/>
        <v>81</v>
      </c>
      <c r="U114" s="279">
        <f t="shared" si="62"/>
        <v>12</v>
      </c>
      <c r="V114" s="276">
        <f t="shared" si="99"/>
        <v>0</v>
      </c>
      <c r="W114" s="276">
        <f>IF(AND(S114&gt;VLOOKUP(Inputs!$I$2,Extracciones,3),S114&lt;VLOOKUP(Inputs!$I$2,Extracciones,5)),(S114-VLOOKUP(Inputs!$I$2,Extracciones,3))*Inputs!$E$12,0)</f>
        <v>0</v>
      </c>
      <c r="X114" s="278">
        <f>IF(AD114=0,VLOOKUP(R114,Mineral,2)*R114*Inputs!$C$16*Inputs!$E$37,VLOOKUP(R114,Mineral,2)*R114*Inputs!$C$16)</f>
        <v>0</v>
      </c>
      <c r="Y114" s="278">
        <f>SUM(K114,M114)*Inputs!$O$8*14/(100*62)</f>
        <v>0</v>
      </c>
      <c r="Z114" s="278">
        <f t="shared" si="108"/>
        <v>0</v>
      </c>
      <c r="AA114" s="278">
        <f t="shared" si="109"/>
        <v>0</v>
      </c>
      <c r="AB114" s="279">
        <f t="shared" si="94"/>
        <v>0</v>
      </c>
      <c r="AC114" s="278">
        <f t="shared" si="77"/>
        <v>-7.8941987593657781E-2</v>
      </c>
      <c r="AD114" s="279">
        <f t="shared" si="95"/>
        <v>-1.3637642124883504</v>
      </c>
      <c r="AE114" s="278">
        <f t="shared" si="100"/>
        <v>-78.796065237651391</v>
      </c>
      <c r="AF114" s="278">
        <f t="shared" si="64"/>
        <v>92.181121807012985</v>
      </c>
      <c r="AG114" s="279">
        <f t="shared" si="96"/>
        <v>40</v>
      </c>
      <c r="AH114" s="279">
        <f>AF114*1000000/(Inputs!$C$9*100*Inputs!$C$8*1000*(1-Inputs!$C$10)*(1+Inputs!$C$12))</f>
        <v>18.443601802123446</v>
      </c>
      <c r="AI114" s="279">
        <f>IFERROR(HLOOKUP(A114,Inputs!$C$14:$C$15,2,FALSE),-100)</f>
        <v>-100</v>
      </c>
      <c r="AJ114" s="281">
        <f t="shared" si="101"/>
        <v>0</v>
      </c>
      <c r="AK114" s="282">
        <f t="shared" si="78"/>
        <v>0.56000000000000005</v>
      </c>
      <c r="AL114" s="282">
        <f t="shared" si="79"/>
        <v>1.0161290322580645</v>
      </c>
      <c r="AM114" s="282">
        <f t="shared" si="80"/>
        <v>-7.8941987593657781E-2</v>
      </c>
      <c r="AN114" s="283">
        <f>IFERROR(IF($G$1="Sí",VLOOKUP($A114,CSVAgro,9,FALSE),VLOOKUP($A114,Clima!$E$8:$Q$373,13,FALSE)),0)</f>
        <v>1</v>
      </c>
      <c r="AO114" s="281">
        <f t="shared" si="110"/>
        <v>126.70000000000002</v>
      </c>
      <c r="AP114" s="281">
        <f>IFERROR(VLOOKUP($A114,'F TrB'!$C$3:$O$21,3,FALSE),-9999)</f>
        <v>-9999</v>
      </c>
      <c r="AQ114" s="281">
        <f t="shared" si="102"/>
        <v>-999</v>
      </c>
      <c r="AR114" s="281">
        <f>IFERROR(IF(VLOOKUP($A114,'F TrB'!$Q$3:$R$21,2,FALSE)=0,-99999,VLOOKUP($A114,'F TrB'!$Q$3:$R$21,2,FALSE)),-99999)</f>
        <v>-99999</v>
      </c>
      <c r="AS114" s="281">
        <f t="shared" si="103"/>
        <v>-99999</v>
      </c>
      <c r="AT114" s="281" t="str">
        <f>IFERROR(VLOOKUP($A114,'NDVI tipo'!$Q$8:$S$30,2,FALSE),"")</f>
        <v/>
      </c>
      <c r="AU114" s="281">
        <f>IF(ISERROR(VLOOKUP($A114,'NDVI tipo'!$Q$8:$S$50,2,FALSE)),AU113+VLOOKUP($A114,'NDVI tipo'!$Q$8:$S$50,3,TRUE),VLOOKUP($A114,'NDVI tipo'!$Q$8:$S$50,2,FALSE))</f>
        <v>0.39641129268292691</v>
      </c>
      <c r="AV114" s="281">
        <f>IFERROR(VLOOKUP($A114,'NDVI real'!$Q$8:$S$44,2,FALSE),-999)</f>
        <v>-999</v>
      </c>
      <c r="AW114" s="281">
        <f>IF(ISERROR(VLOOKUP($A114,'NDVI real'!$T$8:$U$350,2,FALSE)),"",VLOOKUP($A114,'NDVI real'!$T$8:$U$350,2,FALSE))</f>
        <v>0.43830171623306247</v>
      </c>
      <c r="AX114" s="286">
        <f>IFERROR(VLOOKUP($A114,SWB!$C$15:$BE$244,53,FALSE),"")</f>
        <v>0.35000433569756106</v>
      </c>
      <c r="AY114" s="286">
        <f>IFERROR(VLOOKUP($A114,SWB!$C$15:$BE$244,55,FALSE),"")</f>
        <v>0.96979945762113928</v>
      </c>
      <c r="AZ114" s="281">
        <f>IF(ISERROR(VLOOKUP($A114,Clima!$V$8:$AI$320,14,FALSE)),-999,VLOOKUP(A114,Clima!$V$8:$AI$219,14,FALSE))</f>
        <v>1.7</v>
      </c>
      <c r="BA114" s="281">
        <f t="shared" si="111"/>
        <v>137.20000000000005</v>
      </c>
      <c r="BB114" s="281">
        <f t="shared" si="104"/>
        <v>1.7</v>
      </c>
      <c r="BC114" s="281">
        <f t="shared" si="112"/>
        <v>137.20000000000005</v>
      </c>
      <c r="BD114" s="284">
        <f t="shared" si="97"/>
        <v>42085</v>
      </c>
    </row>
    <row r="115" spans="1:56" s="275" customFormat="1" ht="12.75">
      <c r="A115" s="273">
        <f t="shared" si="105"/>
        <v>42086</v>
      </c>
      <c r="B115" s="274">
        <f t="shared" si="81"/>
        <v>82</v>
      </c>
      <c r="C115" s="275" t="str">
        <f t="shared" si="82"/>
        <v>Inicial</v>
      </c>
      <c r="D115" s="276">
        <f t="shared" si="83"/>
        <v>1.9</v>
      </c>
      <c r="E115" s="276">
        <f t="shared" si="84"/>
        <v>0.54997289959024409</v>
      </c>
      <c r="F115" s="276"/>
      <c r="G115" s="276">
        <f t="shared" si="85"/>
        <v>0.80158099999999999</v>
      </c>
      <c r="H115" s="276">
        <f t="shared" si="86"/>
        <v>0.95158100000000001</v>
      </c>
      <c r="I115" s="276">
        <f t="shared" si="87"/>
        <v>1.2560880000000001</v>
      </c>
      <c r="J115" s="276">
        <f>IFERROR(IF($G$1="Sí",VLOOKUP($A115,CSVAgro,13,FALSE),VLOOKUP($A115,SWB!$C$15:$P$202,14,FALSE)),0)</f>
        <v>6.9</v>
      </c>
      <c r="K115" s="487">
        <f t="shared" si="88"/>
        <v>0</v>
      </c>
      <c r="L115" s="487">
        <f t="shared" si="89"/>
        <v>5.5264595754514474</v>
      </c>
      <c r="M115" s="487">
        <f t="shared" si="90"/>
        <v>0</v>
      </c>
      <c r="N115" s="277">
        <f>IF(ISERROR($G$1="Sí"),VLOOKUP($A115,CSVAgro,16,FALSE),IF(ISERROR(VLOOKUP($A115,Clima!$W$8:$Z$284,2,FALSE)),VLOOKUP($A115,Clima!$E$8:$H$372,2,FALSE),VLOOKUP($A115,Clima!$W$8:$Z$284,2,FALSE)))</f>
        <v>9.3000000000000007</v>
      </c>
      <c r="O115" s="276">
        <f t="shared" si="91"/>
        <v>79.252117735056288</v>
      </c>
      <c r="P115" s="276">
        <f t="shared" si="106"/>
        <v>78.2</v>
      </c>
      <c r="Q115" s="487">
        <f t="shared" si="92"/>
        <v>15</v>
      </c>
      <c r="R115" s="278">
        <f t="shared" si="107"/>
        <v>9.3000000000000007</v>
      </c>
      <c r="S115" s="278">
        <f t="shared" si="98"/>
        <v>9.3000000000000007</v>
      </c>
      <c r="T115" s="279">
        <f t="shared" si="93"/>
        <v>82</v>
      </c>
      <c r="U115" s="279">
        <f t="shared" si="62"/>
        <v>13</v>
      </c>
      <c r="V115" s="276">
        <f t="shared" si="99"/>
        <v>0</v>
      </c>
      <c r="W115" s="276">
        <f>IF(AND(S115&gt;VLOOKUP(Inputs!$I$2,Extracciones,3),S115&lt;VLOOKUP(Inputs!$I$2,Extracciones,5)),(S115-VLOOKUP(Inputs!$I$2,Extracciones,3))*Inputs!$E$12,0)</f>
        <v>0</v>
      </c>
      <c r="X115" s="278">
        <f>IF(AD115=0,VLOOKUP(R115,Mineral,2)*R115*Inputs!$C$16*Inputs!$E$37,VLOOKUP(R115,Mineral,2)*R115*Inputs!$C$16)</f>
        <v>0</v>
      </c>
      <c r="Y115" s="278">
        <f>SUM(K115,M115)*Inputs!$O$8*14/(100*62)</f>
        <v>0</v>
      </c>
      <c r="Z115" s="278">
        <f t="shared" si="108"/>
        <v>0</v>
      </c>
      <c r="AA115" s="278">
        <f t="shared" si="109"/>
        <v>0</v>
      </c>
      <c r="AB115" s="279">
        <f t="shared" si="94"/>
        <v>0</v>
      </c>
      <c r="AC115" s="278">
        <f t="shared" si="77"/>
        <v>-1.0192781978515868</v>
      </c>
      <c r="AD115" s="279">
        <f t="shared" si="95"/>
        <v>-1.3637642124883504</v>
      </c>
      <c r="AE115" s="278">
        <f t="shared" si="100"/>
        <v>-80.159829450139739</v>
      </c>
      <c r="AF115" s="278">
        <f t="shared" si="64"/>
        <v>89.798079396673046</v>
      </c>
      <c r="AG115" s="279">
        <f t="shared" si="96"/>
        <v>40</v>
      </c>
      <c r="AH115" s="279">
        <f>AF115*1000000/(Inputs!$C$9*100*Inputs!$C$8*1000*(1-Inputs!$C$10)*(1+Inputs!$C$12))</f>
        <v>17.966802600374759</v>
      </c>
      <c r="AI115" s="279">
        <f>IFERROR(HLOOKUP(A115,Inputs!$C$14:$C$15,2,FALSE),-100)</f>
        <v>-100</v>
      </c>
      <c r="AJ115" s="281">
        <f t="shared" si="101"/>
        <v>0</v>
      </c>
      <c r="AK115" s="282">
        <f t="shared" si="78"/>
        <v>0.56000000000000005</v>
      </c>
      <c r="AL115" s="282">
        <f t="shared" si="79"/>
        <v>1.0161290322580645</v>
      </c>
      <c r="AM115" s="282">
        <f t="shared" si="80"/>
        <v>-1.0982201854452445</v>
      </c>
      <c r="AN115" s="283">
        <f>IFERROR(IF($G$1="Sí",VLOOKUP($A115,CSVAgro,9,FALSE),VLOOKUP($A115,Clima!$E$8:$Q$373,13,FALSE)),0)</f>
        <v>1.3</v>
      </c>
      <c r="AO115" s="281">
        <f t="shared" si="110"/>
        <v>128.00000000000003</v>
      </c>
      <c r="AP115" s="281">
        <f>IFERROR(VLOOKUP($A115,'F TrB'!$C$3:$O$21,3,FALSE),-9999)</f>
        <v>-9999</v>
      </c>
      <c r="AQ115" s="281">
        <f t="shared" si="102"/>
        <v>-999</v>
      </c>
      <c r="AR115" s="281">
        <f>IFERROR(IF(VLOOKUP($A115,'F TrB'!$Q$3:$R$21,2,FALSE)=0,-99999,VLOOKUP($A115,'F TrB'!$Q$3:$R$21,2,FALSE)),-99999)</f>
        <v>-99999</v>
      </c>
      <c r="AS115" s="281">
        <f t="shared" si="103"/>
        <v>-99999</v>
      </c>
      <c r="AT115" s="281" t="str">
        <f>IFERROR(VLOOKUP($A115,'NDVI tipo'!$Q$8:$S$30,2,FALSE),"")</f>
        <v/>
      </c>
      <c r="AU115" s="281">
        <f>IF(ISERROR(VLOOKUP($A115,'NDVI tipo'!$Q$8:$S$50,2,FALSE)),AU114+VLOOKUP($A115,'NDVI tipo'!$Q$8:$S$50,3,TRUE),VLOOKUP($A115,'NDVI tipo'!$Q$8:$S$50,2,FALSE))</f>
        <v>0.40474031707317082</v>
      </c>
      <c r="AV115" s="281">
        <f>IFERROR(VLOOKUP($A115,'NDVI real'!$Q$8:$S$44,2,FALSE),-999)</f>
        <v>-999</v>
      </c>
      <c r="AW115" s="281">
        <f>IF(ISERROR(VLOOKUP($A115,'NDVI real'!$T$8:$U$350,2,FALSE)),"",VLOOKUP($A115,'NDVI real'!$T$8:$U$350,2,FALSE))</f>
        <v>0.45137006915989175</v>
      </c>
      <c r="AX115" s="286">
        <f>IFERROR(VLOOKUP($A115,SWB!$C$15:$BE$244,53,FALSE),"")</f>
        <v>0.37481120109203264</v>
      </c>
      <c r="AY115" s="286">
        <f>IFERROR(VLOOKUP($A115,SWB!$C$15:$BE$244,55,FALSE),"")</f>
        <v>1.3147638659069933</v>
      </c>
      <c r="AZ115" s="281">
        <f>IF(ISERROR(VLOOKUP($A115,Clima!$V$8:$AI$320,14,FALSE)),-999,VLOOKUP(A115,Clima!$V$8:$AI$219,14,FALSE))</f>
        <v>1.9</v>
      </c>
      <c r="BA115" s="281">
        <f t="shared" si="111"/>
        <v>139.10000000000005</v>
      </c>
      <c r="BB115" s="281">
        <f t="shared" si="104"/>
        <v>1.9</v>
      </c>
      <c r="BC115" s="281">
        <f t="shared" si="112"/>
        <v>139.10000000000005</v>
      </c>
      <c r="BD115" s="284">
        <f t="shared" si="97"/>
        <v>42086</v>
      </c>
    </row>
    <row r="116" spans="1:56" s="275" customFormat="1" ht="12.75">
      <c r="A116" s="273">
        <f t="shared" si="105"/>
        <v>42087</v>
      </c>
      <c r="B116" s="274">
        <f t="shared" si="81"/>
        <v>83</v>
      </c>
      <c r="C116" s="275" t="str">
        <f t="shared" si="82"/>
        <v>Inicial</v>
      </c>
      <c r="D116" s="276">
        <f t="shared" si="83"/>
        <v>1.3</v>
      </c>
      <c r="E116" s="276">
        <f t="shared" si="84"/>
        <v>0.56879132780487829</v>
      </c>
      <c r="F116" s="276"/>
      <c r="G116" s="276">
        <f t="shared" si="85"/>
        <v>0.90717700000000001</v>
      </c>
      <c r="H116" s="276">
        <f t="shared" si="86"/>
        <v>1.057177</v>
      </c>
      <c r="I116" s="276">
        <f t="shared" si="87"/>
        <v>1.3320430000000001</v>
      </c>
      <c r="J116" s="276">
        <f>IFERROR(IF($G$1="Sí",VLOOKUP($A116,CSVAgro,13,FALSE),VLOOKUP($A116,SWB!$C$15:$P$202,14,FALSE)),0)</f>
        <v>8</v>
      </c>
      <c r="K116" s="487">
        <f t="shared" si="88"/>
        <v>0</v>
      </c>
      <c r="L116" s="487">
        <f t="shared" si="89"/>
        <v>4.9291834508068089</v>
      </c>
      <c r="M116" s="487">
        <f t="shared" si="90"/>
        <v>0</v>
      </c>
      <c r="N116" s="277">
        <f>IF(ISERROR($G$1="Sí"),VLOOKUP($A116,CSVAgro,16,FALSE),IF(ISERROR(VLOOKUP($A116,Clima!$W$8:$Z$284,2,FALSE)),VLOOKUP($A116,Clima!$E$8:$H$372,2,FALSE),VLOOKUP($A116,Clima!$W$8:$Z$284,2,FALSE)))</f>
        <v>8.1999999999999993</v>
      </c>
      <c r="O116" s="276">
        <f t="shared" si="91"/>
        <v>82.322934284249484</v>
      </c>
      <c r="P116" s="276">
        <f t="shared" si="106"/>
        <v>86.2</v>
      </c>
      <c r="Q116" s="487">
        <f t="shared" si="92"/>
        <v>15</v>
      </c>
      <c r="R116" s="278">
        <f t="shared" si="107"/>
        <v>8.1999999999999993</v>
      </c>
      <c r="S116" s="278">
        <f t="shared" si="98"/>
        <v>8.1999999999999993</v>
      </c>
      <c r="T116" s="279">
        <f t="shared" si="93"/>
        <v>83</v>
      </c>
      <c r="U116" s="279">
        <f t="shared" si="62"/>
        <v>13</v>
      </c>
      <c r="V116" s="276">
        <f t="shared" si="99"/>
        <v>0</v>
      </c>
      <c r="W116" s="276">
        <f>IF(AND(S116&gt;VLOOKUP(Inputs!$I$2,Extracciones,3),S116&lt;VLOOKUP(Inputs!$I$2,Extracciones,5)),(S116-VLOOKUP(Inputs!$I$2,Extracciones,3))*Inputs!$E$12,0)</f>
        <v>0</v>
      </c>
      <c r="X116" s="278">
        <f>IF(AD116=0,VLOOKUP(R116,Mineral,2)*R116*Inputs!$C$16*Inputs!$E$37,VLOOKUP(R116,Mineral,2)*R116*Inputs!$C$16)</f>
        <v>0</v>
      </c>
      <c r="Y116" s="278">
        <f>SUM(K116,M116)*Inputs!$O$8*14/(100*62)</f>
        <v>0</v>
      </c>
      <c r="Z116" s="278">
        <f t="shared" si="108"/>
        <v>0</v>
      </c>
      <c r="AA116" s="278">
        <f t="shared" si="109"/>
        <v>0</v>
      </c>
      <c r="AB116" s="279">
        <f t="shared" si="94"/>
        <v>0</v>
      </c>
      <c r="AC116" s="278">
        <f t="shared" si="77"/>
        <v>-0.88561666041679998</v>
      </c>
      <c r="AD116" s="279">
        <f t="shared" si="95"/>
        <v>-1.3637642124883504</v>
      </c>
      <c r="AE116" s="278">
        <f t="shared" si="100"/>
        <v>-81.523593662628087</v>
      </c>
      <c r="AF116" s="278">
        <f t="shared" si="64"/>
        <v>87.548698523767897</v>
      </c>
      <c r="AG116" s="279">
        <f t="shared" si="96"/>
        <v>40</v>
      </c>
      <c r="AH116" s="279">
        <f>AF116*1000000/(Inputs!$C$9*100*Inputs!$C$8*1000*(1-Inputs!$C$10)*(1+Inputs!$C$12))</f>
        <v>17.516746403314908</v>
      </c>
      <c r="AI116" s="279">
        <f>IFERROR(HLOOKUP(A116,Inputs!$C$14:$C$15,2,FALSE),-100)</f>
        <v>-100</v>
      </c>
      <c r="AJ116" s="281">
        <f t="shared" si="101"/>
        <v>0</v>
      </c>
      <c r="AK116" s="282">
        <f t="shared" si="78"/>
        <v>0.56000000000000005</v>
      </c>
      <c r="AL116" s="282">
        <f t="shared" si="79"/>
        <v>1.0161290322580645</v>
      </c>
      <c r="AM116" s="282">
        <f t="shared" si="80"/>
        <v>-1.9838368458620446</v>
      </c>
      <c r="AN116" s="283">
        <f>IFERROR(IF($G$1="Sí",VLOOKUP($A116,CSVAgro,9,FALSE),VLOOKUP($A116,Clima!$E$8:$Q$373,13,FALSE)),0)</f>
        <v>2.9</v>
      </c>
      <c r="AO116" s="281">
        <f t="shared" si="110"/>
        <v>130.90000000000003</v>
      </c>
      <c r="AP116" s="281">
        <f>IFERROR(VLOOKUP($A116,'F TrB'!$C$3:$O$21,3,FALSE),-9999)</f>
        <v>-9999</v>
      </c>
      <c r="AQ116" s="281">
        <f t="shared" si="102"/>
        <v>-999</v>
      </c>
      <c r="AR116" s="281">
        <f>IFERROR(IF(VLOOKUP($A116,'F TrB'!$Q$3:$R$21,2,FALSE)=0,-99999,VLOOKUP($A116,'F TrB'!$Q$3:$R$21,2,FALSE)),-99999)</f>
        <v>-99999</v>
      </c>
      <c r="AS116" s="281">
        <f t="shared" si="103"/>
        <v>-99999</v>
      </c>
      <c r="AT116" s="281" t="str">
        <f>IFERROR(VLOOKUP($A116,'NDVI tipo'!$Q$8:$S$30,2,FALSE),"")</f>
        <v/>
      </c>
      <c r="AU116" s="281">
        <f>IF(ISERROR(VLOOKUP($A116,'NDVI tipo'!$Q$8:$S$50,2,FALSE)),AU115+VLOOKUP($A116,'NDVI tipo'!$Q$8:$S$50,3,TRUE),VLOOKUP($A116,'NDVI tipo'!$Q$8:$S$50,2,FALSE))</f>
        <v>0.41306934146341473</v>
      </c>
      <c r="AV116" s="281">
        <f>IFERROR(VLOOKUP($A116,'NDVI real'!$Q$8:$S$44,2,FALSE),-999)</f>
        <v>-999</v>
      </c>
      <c r="AW116" s="281">
        <f>IF(ISERROR(VLOOKUP($A116,'NDVI real'!$T$8:$U$350,2,FALSE)),"",VLOOKUP($A116,'NDVI real'!$T$8:$U$350,2,FALSE))</f>
        <v>0.46443842208672104</v>
      </c>
      <c r="AX116" s="286">
        <f>IFERROR(VLOOKUP($A116,SWB!$C$15:$BE$244,53,FALSE),"")</f>
        <v>0.43242348653512208</v>
      </c>
      <c r="AY116" s="286">
        <f>IFERROR(VLOOKUP($A116,SWB!$C$15:$BE$244,55,FALSE),"")</f>
        <v>3.05345112848374</v>
      </c>
      <c r="AZ116" s="281">
        <f>IF(ISERROR(VLOOKUP($A116,Clima!$V$8:$AI$320,14,FALSE)),-999,VLOOKUP(A116,Clima!$V$8:$AI$219,14,FALSE))</f>
        <v>1.3</v>
      </c>
      <c r="BA116" s="281">
        <f t="shared" si="111"/>
        <v>140.40000000000006</v>
      </c>
      <c r="BB116" s="281">
        <f t="shared" si="104"/>
        <v>1.3</v>
      </c>
      <c r="BC116" s="281">
        <f t="shared" si="112"/>
        <v>140.40000000000006</v>
      </c>
      <c r="BD116" s="284">
        <f t="shared" si="97"/>
        <v>42087</v>
      </c>
    </row>
    <row r="117" spans="1:56" s="275" customFormat="1" ht="12.75">
      <c r="A117" s="273">
        <f t="shared" si="105"/>
        <v>42088</v>
      </c>
      <c r="B117" s="274">
        <f t="shared" si="81"/>
        <v>84</v>
      </c>
      <c r="C117" s="275" t="str">
        <f t="shared" si="82"/>
        <v>Inicial</v>
      </c>
      <c r="D117" s="276">
        <f t="shared" si="83"/>
        <v>2.5</v>
      </c>
      <c r="E117" s="276">
        <f t="shared" si="84"/>
        <v>0.58760975601951249</v>
      </c>
      <c r="F117" s="276"/>
      <c r="G117" s="276">
        <f t="shared" si="85"/>
        <v>0.91780300000000004</v>
      </c>
      <c r="H117" s="276">
        <f t="shared" si="86"/>
        <v>1.0678030000000001</v>
      </c>
      <c r="I117" s="276">
        <f t="shared" si="87"/>
        <v>1.8045869999999999</v>
      </c>
      <c r="J117" s="276">
        <f>IFERROR(IF($G$1="Sí",VLOOKUP($A117,CSVAgro,13,FALSE),VLOOKUP($A117,SWB!$C$15:$P$202,14,FALSE)),0)</f>
        <v>2.4</v>
      </c>
      <c r="K117" s="487">
        <f t="shared" si="88"/>
        <v>0</v>
      </c>
      <c r="L117" s="487">
        <f t="shared" si="89"/>
        <v>0</v>
      </c>
      <c r="M117" s="487">
        <f t="shared" si="90"/>
        <v>0</v>
      </c>
      <c r="N117" s="277">
        <f>IF(ISERROR($G$1="Sí"),VLOOKUP($A117,CSVAgro,16,FALSE),IF(ISERROR(VLOOKUP($A117,Clima!$W$8:$Z$284,2,FALSE)),VLOOKUP($A117,Clima!$E$8:$H$372,2,FALSE),VLOOKUP($A117,Clima!$W$8:$Z$284,2,FALSE)))</f>
        <v>5.3</v>
      </c>
      <c r="O117" s="276">
        <f t="shared" si="91"/>
        <v>85.718886154137223</v>
      </c>
      <c r="P117" s="276">
        <f t="shared" si="106"/>
        <v>88.600000000000009</v>
      </c>
      <c r="Q117" s="487">
        <f t="shared" si="92"/>
        <v>15</v>
      </c>
      <c r="R117" s="278">
        <f t="shared" si="107"/>
        <v>5.3</v>
      </c>
      <c r="S117" s="278">
        <f t="shared" si="98"/>
        <v>5.3</v>
      </c>
      <c r="T117" s="279">
        <f t="shared" si="93"/>
        <v>84</v>
      </c>
      <c r="U117" s="279">
        <f t="shared" si="62"/>
        <v>13</v>
      </c>
      <c r="V117" s="276">
        <f t="shared" si="99"/>
        <v>0</v>
      </c>
      <c r="W117" s="276">
        <f>IF(AND(S117&gt;VLOOKUP(Inputs!$I$2,Extracciones,3),S117&lt;VLOOKUP(Inputs!$I$2,Extracciones,5)),(S117-VLOOKUP(Inputs!$I$2,Extracciones,3))*Inputs!$E$12,0)</f>
        <v>0</v>
      </c>
      <c r="X117" s="278">
        <f>IF(AD117=0,VLOOKUP(R117,Mineral,2)*R117*Inputs!$C$16*Inputs!$E$37,VLOOKUP(R117,Mineral,2)*R117*Inputs!$C$16)</f>
        <v>0</v>
      </c>
      <c r="Y117" s="278">
        <f>SUM(K117,M117)*Inputs!$O$8*14/(100*62)</f>
        <v>0</v>
      </c>
      <c r="Z117" s="278">
        <f t="shared" si="108"/>
        <v>0</v>
      </c>
      <c r="AA117" s="278">
        <f t="shared" si="109"/>
        <v>0</v>
      </c>
      <c r="AB117" s="279">
        <f t="shared" si="94"/>
        <v>0</v>
      </c>
      <c r="AC117" s="278">
        <f t="shared" si="77"/>
        <v>0</v>
      </c>
      <c r="AD117" s="279">
        <f t="shared" si="95"/>
        <v>-1.3637642124883504</v>
      </c>
      <c r="AE117" s="278">
        <f t="shared" si="100"/>
        <v>-82.887357875116436</v>
      </c>
      <c r="AF117" s="278">
        <f t="shared" si="64"/>
        <v>86.184934311279548</v>
      </c>
      <c r="AG117" s="279">
        <f t="shared" si="96"/>
        <v>40</v>
      </c>
      <c r="AH117" s="279">
        <f>AF117*1000000/(Inputs!$C$9*100*Inputs!$C$8*1000*(1-Inputs!$C$10)*(1+Inputs!$C$12))</f>
        <v>17.243884416022318</v>
      </c>
      <c r="AI117" s="279">
        <f>IFERROR(HLOOKUP(A117,Inputs!$C$14:$C$15,2,FALSE),-100)</f>
        <v>-100</v>
      </c>
      <c r="AJ117" s="281">
        <f t="shared" si="101"/>
        <v>0</v>
      </c>
      <c r="AK117" s="282">
        <f t="shared" si="78"/>
        <v>0.56000000000000005</v>
      </c>
      <c r="AL117" s="282">
        <f t="shared" si="79"/>
        <v>1.0161290322580645</v>
      </c>
      <c r="AM117" s="282">
        <f t="shared" si="80"/>
        <v>-1.9838368458620446</v>
      </c>
      <c r="AN117" s="283">
        <f>IFERROR(IF($G$1="Sí",VLOOKUP($A117,CSVAgro,9,FALSE),VLOOKUP($A117,Clima!$E$8:$Q$373,13,FALSE)),0)</f>
        <v>3.2</v>
      </c>
      <c r="AO117" s="281">
        <f t="shared" si="110"/>
        <v>134.10000000000002</v>
      </c>
      <c r="AP117" s="281">
        <f>IFERROR(VLOOKUP($A117,'F TrB'!$C$3:$O$21,3,FALSE),-9999)</f>
        <v>-9999</v>
      </c>
      <c r="AQ117" s="281">
        <f t="shared" si="102"/>
        <v>-999</v>
      </c>
      <c r="AR117" s="281">
        <f>IFERROR(IF(VLOOKUP($A117,'F TrB'!$Q$3:$R$21,2,FALSE)=0,-99999,VLOOKUP($A117,'F TrB'!$Q$3:$R$21,2,FALSE)),-99999)</f>
        <v>-99999</v>
      </c>
      <c r="AS117" s="281">
        <f t="shared" si="103"/>
        <v>-99999</v>
      </c>
      <c r="AT117" s="281" t="str">
        <f>IFERROR(VLOOKUP($A117,'NDVI tipo'!$Q$8:$S$30,2,FALSE),"")</f>
        <v/>
      </c>
      <c r="AU117" s="281">
        <f>IF(ISERROR(VLOOKUP($A117,'NDVI tipo'!$Q$8:$S$50,2,FALSE)),AU116+VLOOKUP($A117,'NDVI tipo'!$Q$8:$S$50,3,TRUE),VLOOKUP($A117,'NDVI tipo'!$Q$8:$S$50,2,FALSE))</f>
        <v>0.42139836585365864</v>
      </c>
      <c r="AV117" s="281">
        <f>IFERROR(VLOOKUP($A117,'NDVI real'!$Q$8:$S$44,2,FALSE),-999)</f>
        <v>-999</v>
      </c>
      <c r="AW117" s="281">
        <f>IF(ISERROR(VLOOKUP($A117,'NDVI real'!$T$8:$U$350,2,FALSE)),"",VLOOKUP($A117,'NDVI real'!$T$8:$U$350,2,FALSE))</f>
        <v>0.47750677501355032</v>
      </c>
      <c r="AX117" s="286">
        <f>IFERROR(VLOOKUP($A117,SWB!$C$15:$BE$244,53,FALSE),"")</f>
        <v>0.49850478733772374</v>
      </c>
      <c r="AY117" s="286">
        <f>IFERROR(VLOOKUP($A117,SWB!$C$15:$BE$244,55,FALSE),"")</f>
        <v>3.5023089425378906</v>
      </c>
      <c r="AZ117" s="281">
        <f>IF(ISERROR(VLOOKUP($A117,Clima!$V$8:$AI$320,14,FALSE)),-999,VLOOKUP(A117,Clima!$V$8:$AI$219,14,FALSE))</f>
        <v>2.5</v>
      </c>
      <c r="BA117" s="281">
        <f t="shared" si="111"/>
        <v>142.90000000000006</v>
      </c>
      <c r="BB117" s="281">
        <f t="shared" si="104"/>
        <v>2.5</v>
      </c>
      <c r="BC117" s="281">
        <f t="shared" si="112"/>
        <v>142.90000000000006</v>
      </c>
      <c r="BD117" s="284">
        <f t="shared" si="97"/>
        <v>42088</v>
      </c>
    </row>
    <row r="118" spans="1:56" s="275" customFormat="1" ht="12.75">
      <c r="A118" s="273">
        <f t="shared" si="105"/>
        <v>42089</v>
      </c>
      <c r="B118" s="274">
        <f t="shared" si="81"/>
        <v>85</v>
      </c>
      <c r="C118" s="275" t="str">
        <f t="shared" si="82"/>
        <v>Desarrollo</v>
      </c>
      <c r="D118" s="276">
        <f t="shared" si="83"/>
        <v>2.7</v>
      </c>
      <c r="E118" s="276">
        <f t="shared" si="84"/>
        <v>0.60642818423414668</v>
      </c>
      <c r="F118" s="276"/>
      <c r="G118" s="276">
        <f t="shared" si="85"/>
        <v>0.90193299999999998</v>
      </c>
      <c r="H118" s="276">
        <f t="shared" si="86"/>
        <v>1.074552</v>
      </c>
      <c r="I118" s="276">
        <f t="shared" si="87"/>
        <v>1.987922</v>
      </c>
      <c r="J118" s="276">
        <f>IFERROR(IF($G$1="Sí",VLOOKUP($A118,CSVAgro,13,FALSE),VLOOKUP($A118,SWB!$C$15:$P$202,14,FALSE)),0)</f>
        <v>0</v>
      </c>
      <c r="K118" s="487">
        <f t="shared" si="88"/>
        <v>0</v>
      </c>
      <c r="L118" s="487">
        <f t="shared" si="89"/>
        <v>0</v>
      </c>
      <c r="M118" s="487">
        <f t="shared" si="90"/>
        <v>0</v>
      </c>
      <c r="N118" s="277">
        <f>IF(ISERROR($G$1="Sí"),VLOOKUP($A118,CSVAgro,16,FALSE),IF(ISERROR(VLOOKUP($A118,Clima!$W$8:$Z$284,2,FALSE)),VLOOKUP($A118,Clima!$E$8:$H$372,2,FALSE),VLOOKUP($A118,Clima!$W$8:$Z$284,2,FALSE)))</f>
        <v>6.5</v>
      </c>
      <c r="O118" s="276">
        <f t="shared" si="91"/>
        <v>89.866800029452918</v>
      </c>
      <c r="P118" s="276">
        <f t="shared" si="106"/>
        <v>88.600000000000009</v>
      </c>
      <c r="Q118" s="487">
        <f t="shared" si="92"/>
        <v>15</v>
      </c>
      <c r="R118" s="278">
        <f t="shared" si="107"/>
        <v>6.5</v>
      </c>
      <c r="S118" s="278">
        <f t="shared" si="98"/>
        <v>6.5</v>
      </c>
      <c r="T118" s="279">
        <f t="shared" si="93"/>
        <v>85</v>
      </c>
      <c r="U118" s="279">
        <f t="shared" si="62"/>
        <v>13</v>
      </c>
      <c r="V118" s="276">
        <f t="shared" si="99"/>
        <v>0</v>
      </c>
      <c r="W118" s="276">
        <f>IF(AND(S118&gt;VLOOKUP(Inputs!$I$2,Extracciones,3),S118&lt;VLOOKUP(Inputs!$I$2,Extracciones,5)),(S118-VLOOKUP(Inputs!$I$2,Extracciones,3))*Inputs!$E$12,0)</f>
        <v>0</v>
      </c>
      <c r="X118" s="278">
        <f>IF(AD118=0,VLOOKUP(R118,Mineral,2)*R118*Inputs!$C$16*Inputs!$E$37,VLOOKUP(R118,Mineral,2)*R118*Inputs!$C$16)</f>
        <v>0</v>
      </c>
      <c r="Y118" s="278">
        <f>SUM(K118,M118)*Inputs!$O$8*14/(100*62)</f>
        <v>0</v>
      </c>
      <c r="Z118" s="278">
        <f t="shared" si="108"/>
        <v>0</v>
      </c>
      <c r="AA118" s="278">
        <f t="shared" si="109"/>
        <v>0</v>
      </c>
      <c r="AB118" s="279">
        <f t="shared" si="94"/>
        <v>0</v>
      </c>
      <c r="AC118" s="278">
        <f t="shared" si="77"/>
        <v>0</v>
      </c>
      <c r="AD118" s="279">
        <f t="shared" si="95"/>
        <v>-1.3637642124883504</v>
      </c>
      <c r="AE118" s="278">
        <f t="shared" si="100"/>
        <v>-84.251122087604784</v>
      </c>
      <c r="AF118" s="278">
        <f t="shared" si="64"/>
        <v>84.8211700987912</v>
      </c>
      <c r="AG118" s="279">
        <f t="shared" si="96"/>
        <v>40</v>
      </c>
      <c r="AH118" s="279">
        <f>AF118*1000000/(Inputs!$C$9*100*Inputs!$C$8*1000*(1-Inputs!$C$10)*(1+Inputs!$C$12))</f>
        <v>16.971022428729732</v>
      </c>
      <c r="AI118" s="279">
        <f>IFERROR(HLOOKUP(A118,Inputs!$C$14:$C$15,2,FALSE),-100)</f>
        <v>-100</v>
      </c>
      <c r="AJ118" s="281">
        <f t="shared" si="101"/>
        <v>0</v>
      </c>
      <c r="AK118" s="282">
        <f t="shared" si="78"/>
        <v>0.56000000000000005</v>
      </c>
      <c r="AL118" s="282">
        <f t="shared" si="79"/>
        <v>1.0161290322580645</v>
      </c>
      <c r="AM118" s="282">
        <f t="shared" si="80"/>
        <v>-1.9838368458620446</v>
      </c>
      <c r="AN118" s="283">
        <f>IFERROR(IF($G$1="Sí",VLOOKUP($A118,CSVAgro,9,FALSE),VLOOKUP($A118,Clima!$E$8:$Q$373,13,FALSE)),0)</f>
        <v>3.9</v>
      </c>
      <c r="AO118" s="281">
        <f t="shared" si="110"/>
        <v>138.00000000000003</v>
      </c>
      <c r="AP118" s="281">
        <f>IFERROR(VLOOKUP($A118,'F TrB'!$C$3:$O$21,3,FALSE),-9999)</f>
        <v>-9999</v>
      </c>
      <c r="AQ118" s="281">
        <f t="shared" si="102"/>
        <v>-999</v>
      </c>
      <c r="AR118" s="281">
        <f>IFERROR(IF(VLOOKUP($A118,'F TrB'!$Q$3:$R$21,2,FALSE)=0,-99999,VLOOKUP($A118,'F TrB'!$Q$3:$R$21,2,FALSE)),-99999)</f>
        <v>-99999</v>
      </c>
      <c r="AS118" s="281">
        <f t="shared" si="103"/>
        <v>-99999</v>
      </c>
      <c r="AT118" s="281" t="str">
        <f>IFERROR(VLOOKUP($A118,'NDVI tipo'!$Q$8:$S$30,2,FALSE),"")</f>
        <v/>
      </c>
      <c r="AU118" s="281">
        <f>IF(ISERROR(VLOOKUP($A118,'NDVI tipo'!$Q$8:$S$50,2,FALSE)),AU117+VLOOKUP($A118,'NDVI tipo'!$Q$8:$S$50,3,TRUE),VLOOKUP($A118,'NDVI tipo'!$Q$8:$S$50,2,FALSE))</f>
        <v>0.42972739024390255</v>
      </c>
      <c r="AV118" s="281">
        <f>IFERROR(VLOOKUP($A118,'NDVI real'!$Q$8:$S$44,2,FALSE),-999)</f>
        <v>-999</v>
      </c>
      <c r="AW118" s="281">
        <f>IF(ISERROR(VLOOKUP($A118,'NDVI real'!$T$8:$U$350,2,FALSE)),"",VLOOKUP($A118,'NDVI real'!$T$8:$U$350,2,FALSE))</f>
        <v>0.49057512794037961</v>
      </c>
      <c r="AX118" s="286">
        <f>IFERROR(VLOOKUP($A118,SWB!$C$15:$BE$244,53,FALSE),"")</f>
        <v>0.58209936727577261</v>
      </c>
      <c r="AY118" s="286">
        <f>IFERROR(VLOOKUP($A118,SWB!$C$15:$BE$244,55,FALSE),"")</f>
        <v>4.4305127367165866</v>
      </c>
      <c r="AZ118" s="281">
        <f>IF(ISERROR(VLOOKUP($A118,Clima!$V$8:$AI$320,14,FALSE)),-999,VLOOKUP(A118,Clima!$V$8:$AI$219,14,FALSE))</f>
        <v>2.7</v>
      </c>
      <c r="BA118" s="281">
        <f t="shared" si="111"/>
        <v>145.60000000000005</v>
      </c>
      <c r="BB118" s="281">
        <f t="shared" si="104"/>
        <v>2.7</v>
      </c>
      <c r="BC118" s="281">
        <f t="shared" si="112"/>
        <v>145.60000000000005</v>
      </c>
      <c r="BD118" s="284">
        <f t="shared" si="97"/>
        <v>42089</v>
      </c>
    </row>
    <row r="119" spans="1:56" s="275" customFormat="1" ht="12.75">
      <c r="A119" s="273">
        <f t="shared" si="105"/>
        <v>42090</v>
      </c>
      <c r="B119" s="274">
        <f t="shared" si="81"/>
        <v>86</v>
      </c>
      <c r="C119" s="275" t="str">
        <f t="shared" si="82"/>
        <v>Desarrollo</v>
      </c>
      <c r="D119" s="276">
        <f t="shared" si="83"/>
        <v>3.9</v>
      </c>
      <c r="E119" s="276">
        <f t="shared" si="84"/>
        <v>0.62524661244878077</v>
      </c>
      <c r="F119" s="276"/>
      <c r="G119" s="276">
        <f t="shared" si="85"/>
        <v>0.86276900000000001</v>
      </c>
      <c r="H119" s="276">
        <f t="shared" si="86"/>
        <v>1.0580069999999999</v>
      </c>
      <c r="I119" s="276">
        <f t="shared" si="87"/>
        <v>1.333089</v>
      </c>
      <c r="J119" s="276">
        <f>IFERROR(IF($G$1="Sí",VLOOKUP($A119,CSVAgro,13,FALSE),VLOOKUP($A119,SWB!$C$15:$P$202,14,FALSE)),0)</f>
        <v>0</v>
      </c>
      <c r="K119" s="487">
        <f t="shared" si="88"/>
        <v>0</v>
      </c>
      <c r="L119" s="487">
        <f t="shared" si="89"/>
        <v>0</v>
      </c>
      <c r="M119" s="487">
        <f t="shared" si="90"/>
        <v>0</v>
      </c>
      <c r="N119" s="277">
        <f>IF(ISERROR($G$1="Sí"),VLOOKUP($A119,CSVAgro,16,FALSE),IF(ISERROR(VLOOKUP($A119,Clima!$W$8:$Z$284,2,FALSE)),VLOOKUP($A119,Clima!$E$8:$H$372,2,FALSE),VLOOKUP($A119,Clima!$W$8:$Z$284,2,FALSE)))</f>
        <v>12.7</v>
      </c>
      <c r="O119" s="276">
        <f t="shared" si="91"/>
        <v>92.190776474183721</v>
      </c>
      <c r="P119" s="276">
        <f t="shared" si="106"/>
        <v>88.600000000000009</v>
      </c>
      <c r="Q119" s="487">
        <f t="shared" si="92"/>
        <v>15</v>
      </c>
      <c r="R119" s="278">
        <f t="shared" si="107"/>
        <v>12.7</v>
      </c>
      <c r="S119" s="278">
        <f t="shared" si="98"/>
        <v>12.7</v>
      </c>
      <c r="T119" s="279">
        <f t="shared" si="93"/>
        <v>86</v>
      </c>
      <c r="U119" s="279">
        <f t="shared" si="62"/>
        <v>13</v>
      </c>
      <c r="V119" s="276">
        <f t="shared" si="99"/>
        <v>0</v>
      </c>
      <c r="W119" s="276">
        <f>IF(AND(S119&gt;VLOOKUP(Inputs!$I$2,Extracciones,3),S119&lt;VLOOKUP(Inputs!$I$2,Extracciones,5)),(S119-VLOOKUP(Inputs!$I$2,Extracciones,3))*Inputs!$E$12,0)</f>
        <v>0</v>
      </c>
      <c r="X119" s="278">
        <f>IF(AD119=0,VLOOKUP(R119,Mineral,2)*R119*Inputs!$C$16*Inputs!$E$37,VLOOKUP(R119,Mineral,2)*R119*Inputs!$C$16)</f>
        <v>0</v>
      </c>
      <c r="Y119" s="278">
        <f>SUM(K119,M119)*Inputs!$O$8*14/(100*62)</f>
        <v>0</v>
      </c>
      <c r="Z119" s="278">
        <f t="shared" si="108"/>
        <v>0</v>
      </c>
      <c r="AA119" s="278">
        <f t="shared" si="109"/>
        <v>0</v>
      </c>
      <c r="AB119" s="279">
        <f t="shared" si="94"/>
        <v>0</v>
      </c>
      <c r="AC119" s="278">
        <f t="shared" si="77"/>
        <v>0</v>
      </c>
      <c r="AD119" s="279">
        <f t="shared" si="95"/>
        <v>-1.3637642124883504</v>
      </c>
      <c r="AE119" s="278">
        <f t="shared" si="100"/>
        <v>-85.614886300093133</v>
      </c>
      <c r="AF119" s="278">
        <f t="shared" si="64"/>
        <v>83.457405886302851</v>
      </c>
      <c r="AG119" s="279">
        <f t="shared" si="96"/>
        <v>40</v>
      </c>
      <c r="AH119" s="279">
        <f>AF119*1000000/(Inputs!$C$9*100*Inputs!$C$8*1000*(1-Inputs!$C$10)*(1+Inputs!$C$12))</f>
        <v>16.698160441437146</v>
      </c>
      <c r="AI119" s="279">
        <f>IFERROR(HLOOKUP(A119,Inputs!$C$14:$C$15,2,FALSE),-100)</f>
        <v>-100</v>
      </c>
      <c r="AJ119" s="281">
        <f t="shared" si="101"/>
        <v>0</v>
      </c>
      <c r="AK119" s="282">
        <f t="shared" si="78"/>
        <v>0.56000000000000005</v>
      </c>
      <c r="AL119" s="282">
        <f t="shared" si="79"/>
        <v>1.0161290322580645</v>
      </c>
      <c r="AM119" s="282">
        <f t="shared" si="80"/>
        <v>-1.9838368458620446</v>
      </c>
      <c r="AN119" s="283">
        <f>IFERROR(IF($G$1="Sí",VLOOKUP($A119,CSVAgro,9,FALSE),VLOOKUP($A119,Clima!$E$8:$Q$373,13,FALSE)),0)</f>
        <v>3.5</v>
      </c>
      <c r="AO119" s="281">
        <f t="shared" si="110"/>
        <v>141.50000000000003</v>
      </c>
      <c r="AP119" s="281">
        <f>IFERROR(VLOOKUP($A119,'F TrB'!$C$3:$O$21,3,FALSE),-9999)</f>
        <v>-9999</v>
      </c>
      <c r="AQ119" s="281">
        <f t="shared" si="102"/>
        <v>-999</v>
      </c>
      <c r="AR119" s="281">
        <f>IFERROR(IF(VLOOKUP($A119,'F TrB'!$Q$3:$R$21,2,FALSE)=0,-99999,VLOOKUP($A119,'F TrB'!$Q$3:$R$21,2,FALSE)),-99999)</f>
        <v>-99999</v>
      </c>
      <c r="AS119" s="281">
        <f t="shared" si="103"/>
        <v>-99999</v>
      </c>
      <c r="AT119" s="281" t="str">
        <f>IFERROR(VLOOKUP($A119,'NDVI tipo'!$Q$8:$S$30,2,FALSE),"")</f>
        <v/>
      </c>
      <c r="AU119" s="281">
        <f>IF(ISERROR(VLOOKUP($A119,'NDVI tipo'!$Q$8:$S$50,2,FALSE)),AU118+VLOOKUP($A119,'NDVI tipo'!$Q$8:$S$50,3,TRUE),VLOOKUP($A119,'NDVI tipo'!$Q$8:$S$50,2,FALSE))</f>
        <v>0.43805641463414646</v>
      </c>
      <c r="AV119" s="281">
        <f>IFERROR(VLOOKUP($A119,'NDVI real'!$Q$8:$S$44,2,FALSE),-999)</f>
        <v>-999</v>
      </c>
      <c r="AW119" s="281">
        <f>IF(ISERROR(VLOOKUP($A119,'NDVI real'!$T$8:$U$350,2,FALSE)),"",VLOOKUP($A119,'NDVI real'!$T$8:$U$350,2,FALSE))</f>
        <v>0.50364348086720889</v>
      </c>
      <c r="AX119" s="286">
        <f>IFERROR(VLOOKUP($A119,SWB!$C$15:$BE$244,53,FALSE),"")</f>
        <v>0.65986449825788651</v>
      </c>
      <c r="AY119" s="286">
        <f>IFERROR(VLOOKUP($A119,SWB!$C$15:$BE$244,55,FALSE),"")</f>
        <v>4.1215519420520401</v>
      </c>
      <c r="AZ119" s="281">
        <f>IF(ISERROR(VLOOKUP($A119,Clima!$V$8:$AI$320,14,FALSE)),-999,VLOOKUP(A119,Clima!$V$8:$AI$219,14,FALSE))</f>
        <v>3.9</v>
      </c>
      <c r="BA119" s="281">
        <f t="shared" si="111"/>
        <v>149.50000000000006</v>
      </c>
      <c r="BB119" s="281">
        <f t="shared" si="104"/>
        <v>3.9</v>
      </c>
      <c r="BC119" s="281">
        <f t="shared" si="112"/>
        <v>149.50000000000006</v>
      </c>
      <c r="BD119" s="284">
        <f t="shared" si="97"/>
        <v>42090</v>
      </c>
    </row>
    <row r="120" spans="1:56" s="275" customFormat="1" ht="12.75">
      <c r="A120" s="273">
        <f t="shared" si="105"/>
        <v>42091</v>
      </c>
      <c r="B120" s="274">
        <f t="shared" si="81"/>
        <v>87</v>
      </c>
      <c r="C120" s="275" t="str">
        <f t="shared" si="82"/>
        <v>Desarrollo</v>
      </c>
      <c r="D120" s="276">
        <f t="shared" si="83"/>
        <v>4.9000000000000004</v>
      </c>
      <c r="E120" s="276">
        <f t="shared" si="84"/>
        <v>0.64406504066341497</v>
      </c>
      <c r="F120" s="276"/>
      <c r="G120" s="276">
        <f t="shared" si="85"/>
        <v>0.95596599999999998</v>
      </c>
      <c r="H120" s="276">
        <f t="shared" si="86"/>
        <v>1.1738230000000001</v>
      </c>
      <c r="I120" s="276">
        <f t="shared" si="87"/>
        <v>2.899343</v>
      </c>
      <c r="J120" s="276">
        <f>IFERROR(IF($G$1="Sí",VLOOKUP($A120,CSVAgro,13,FALSE),VLOOKUP($A120,SWB!$C$15:$P$202,14,FALSE)),0)</f>
        <v>0</v>
      </c>
      <c r="K120" s="487">
        <f t="shared" si="88"/>
        <v>0</v>
      </c>
      <c r="L120" s="487">
        <f t="shared" si="89"/>
        <v>0</v>
      </c>
      <c r="M120" s="487">
        <f t="shared" si="90"/>
        <v>0</v>
      </c>
      <c r="N120" s="277">
        <f>IF(ISERROR($G$1="Sí"),VLOOKUP($A120,CSVAgro,16,FALSE),IF(ISERROR(VLOOKUP($A120,Clima!$W$8:$Z$284,2,FALSE)),VLOOKUP($A120,Clima!$E$8:$H$372,2,FALSE),VLOOKUP($A120,Clima!$W$8:$Z$284,2,FALSE)))</f>
        <v>13.6</v>
      </c>
      <c r="O120" s="276">
        <f t="shared" si="91"/>
        <v>94.765332326240227</v>
      </c>
      <c r="P120" s="276">
        <f t="shared" si="106"/>
        <v>88.600000000000009</v>
      </c>
      <c r="Q120" s="487">
        <f t="shared" si="92"/>
        <v>15</v>
      </c>
      <c r="R120" s="278">
        <f t="shared" si="107"/>
        <v>13.6</v>
      </c>
      <c r="S120" s="278">
        <f t="shared" si="98"/>
        <v>13.6</v>
      </c>
      <c r="T120" s="279">
        <f t="shared" si="93"/>
        <v>87</v>
      </c>
      <c r="U120" s="279">
        <f t="shared" si="62"/>
        <v>13</v>
      </c>
      <c r="V120" s="276">
        <f t="shared" si="99"/>
        <v>0</v>
      </c>
      <c r="W120" s="276">
        <f>IF(AND(S120&gt;VLOOKUP(Inputs!$I$2,Extracciones,3),S120&lt;VLOOKUP(Inputs!$I$2,Extracciones,5)),(S120-VLOOKUP(Inputs!$I$2,Extracciones,3))*Inputs!$E$12,0)</f>
        <v>0</v>
      </c>
      <c r="X120" s="278">
        <f>IF(AD120=0,VLOOKUP(R120,Mineral,2)*R120*Inputs!$C$16*Inputs!$E$37,VLOOKUP(R120,Mineral,2)*R120*Inputs!$C$16)</f>
        <v>0.40800000000000003</v>
      </c>
      <c r="Y120" s="278">
        <f>SUM(K120,M120)*Inputs!$O$8*14/(100*62)</f>
        <v>0</v>
      </c>
      <c r="Z120" s="278">
        <f t="shared" si="108"/>
        <v>0</v>
      </c>
      <c r="AA120" s="278">
        <f t="shared" si="109"/>
        <v>0</v>
      </c>
      <c r="AB120" s="279">
        <f t="shared" si="94"/>
        <v>0</v>
      </c>
      <c r="AC120" s="278">
        <f t="shared" si="77"/>
        <v>0</v>
      </c>
      <c r="AD120" s="279">
        <f t="shared" si="95"/>
        <v>-1.3637642124883504</v>
      </c>
      <c r="AE120" s="278">
        <f t="shared" si="100"/>
        <v>-86.978650512581481</v>
      </c>
      <c r="AF120" s="278">
        <f t="shared" si="64"/>
        <v>82.501641673814504</v>
      </c>
      <c r="AG120" s="279">
        <f t="shared" si="96"/>
        <v>40</v>
      </c>
      <c r="AH120" s="279">
        <f>AF120*1000000/(Inputs!$C$9*100*Inputs!$C$8*1000*(1-Inputs!$C$10)*(1+Inputs!$C$12))</f>
        <v>16.506931107205784</v>
      </c>
      <c r="AI120" s="279">
        <f>IFERROR(HLOOKUP(A120,Inputs!$C$14:$C$15,2,FALSE),-100)</f>
        <v>-100</v>
      </c>
      <c r="AJ120" s="281">
        <f t="shared" si="101"/>
        <v>0</v>
      </c>
      <c r="AK120" s="282">
        <f t="shared" si="78"/>
        <v>0.96800000000000008</v>
      </c>
      <c r="AL120" s="282">
        <f t="shared" si="79"/>
        <v>1.0161290322580645</v>
      </c>
      <c r="AM120" s="282">
        <f t="shared" si="80"/>
        <v>-1.9838368458620446</v>
      </c>
      <c r="AN120" s="283">
        <f>IFERROR(IF($G$1="Sí",VLOOKUP($A120,CSVAgro,9,FALSE),VLOOKUP($A120,Clima!$E$8:$Q$373,13,FALSE)),0)</f>
        <v>3.8</v>
      </c>
      <c r="AO120" s="281">
        <f t="shared" si="110"/>
        <v>145.30000000000004</v>
      </c>
      <c r="AP120" s="281">
        <f>IFERROR(VLOOKUP($A120,'F TrB'!$C$3:$O$21,3,FALSE),-9999)</f>
        <v>-9999</v>
      </c>
      <c r="AQ120" s="281">
        <f t="shared" si="102"/>
        <v>-999</v>
      </c>
      <c r="AR120" s="281">
        <f>IFERROR(IF(VLOOKUP($A120,'F TrB'!$Q$3:$R$21,2,FALSE)=0,-99999,VLOOKUP($A120,'F TrB'!$Q$3:$R$21,2,FALSE)),-99999)</f>
        <v>-99999</v>
      </c>
      <c r="AS120" s="281">
        <f t="shared" si="103"/>
        <v>-99999</v>
      </c>
      <c r="AT120" s="281" t="str">
        <f>IFERROR(VLOOKUP($A120,'NDVI tipo'!$Q$8:$S$30,2,FALSE),"")</f>
        <v/>
      </c>
      <c r="AU120" s="281">
        <f>IF(ISERROR(VLOOKUP($A120,'NDVI tipo'!$Q$8:$S$50,2,FALSE)),AU119+VLOOKUP($A120,'NDVI tipo'!$Q$8:$S$50,3,TRUE),VLOOKUP($A120,'NDVI tipo'!$Q$8:$S$50,2,FALSE))</f>
        <v>0.44638543902439037</v>
      </c>
      <c r="AV120" s="281">
        <f>IFERROR(VLOOKUP($A120,'NDVI real'!$Q$8:$S$44,2,FALSE),-999)</f>
        <v>-999</v>
      </c>
      <c r="AW120" s="281">
        <f>IF(ISERROR(VLOOKUP($A120,'NDVI real'!$T$8:$U$350,2,FALSE)),"",VLOOKUP($A120,'NDVI real'!$T$8:$U$350,2,FALSE))</f>
        <v>0.51671183379403818</v>
      </c>
      <c r="AX120" s="286">
        <f>IFERROR(VLOOKUP($A120,SWB!$C$15:$BE$244,53,FALSE),"")</f>
        <v>0.74727479636292715</v>
      </c>
      <c r="AY120" s="286">
        <f>IFERROR(VLOOKUP($A120,SWB!$C$15:$BE$244,55,FALSE),"")</f>
        <v>4.6327457995671466</v>
      </c>
      <c r="AZ120" s="281">
        <f>IF(ISERROR(VLOOKUP($A120,Clima!$V$8:$AI$320,14,FALSE)),-999,VLOOKUP(A120,Clima!$V$8:$AI$219,14,FALSE))</f>
        <v>4.9000000000000004</v>
      </c>
      <c r="BA120" s="281">
        <f t="shared" si="111"/>
        <v>154.40000000000006</v>
      </c>
      <c r="BB120" s="281">
        <f t="shared" si="104"/>
        <v>4.9000000000000004</v>
      </c>
      <c r="BC120" s="281">
        <f t="shared" si="112"/>
        <v>154.40000000000006</v>
      </c>
      <c r="BD120" s="284">
        <f t="shared" si="97"/>
        <v>42091</v>
      </c>
    </row>
    <row r="121" spans="1:56" s="275" customFormat="1" ht="12.75">
      <c r="A121" s="273">
        <f t="shared" si="105"/>
        <v>42092</v>
      </c>
      <c r="B121" s="274">
        <f t="shared" si="81"/>
        <v>88</v>
      </c>
      <c r="C121" s="275" t="str">
        <f t="shared" si="82"/>
        <v>Desarrollo</v>
      </c>
      <c r="D121" s="276">
        <f t="shared" si="83"/>
        <v>4.5</v>
      </c>
      <c r="E121" s="276">
        <f t="shared" si="84"/>
        <v>0.66288346887804916</v>
      </c>
      <c r="F121" s="276"/>
      <c r="G121" s="276">
        <f t="shared" si="85"/>
        <v>0.91923699999999997</v>
      </c>
      <c r="H121" s="276">
        <f t="shared" si="86"/>
        <v>1.1597139999999999</v>
      </c>
      <c r="I121" s="276">
        <f t="shared" si="87"/>
        <v>3.096435</v>
      </c>
      <c r="J121" s="276">
        <f>IFERROR(IF($G$1="Sí",VLOOKUP($A121,CSVAgro,13,FALSE),VLOOKUP($A121,SWB!$C$15:$P$202,14,FALSE)),0)</f>
        <v>0</v>
      </c>
      <c r="K121" s="487">
        <f t="shared" si="88"/>
        <v>0</v>
      </c>
      <c r="L121" s="487">
        <f t="shared" si="89"/>
        <v>0</v>
      </c>
      <c r="M121" s="487">
        <f t="shared" si="90"/>
        <v>0</v>
      </c>
      <c r="N121" s="277">
        <f>IF(ISERROR($G$1="Sí"),VLOOKUP($A121,CSVAgro,16,FALSE),IF(ISERROR(VLOOKUP($A121,Clima!$W$8:$Z$284,2,FALSE)),VLOOKUP($A121,Clima!$E$8:$H$372,2,FALSE),VLOOKUP($A121,Clima!$W$8:$Z$284,2,FALSE)))</f>
        <v>13</v>
      </c>
      <c r="O121" s="276">
        <f t="shared" si="91"/>
        <v>97.047177436972547</v>
      </c>
      <c r="P121" s="276">
        <f t="shared" si="106"/>
        <v>88.600000000000009</v>
      </c>
      <c r="Q121" s="487">
        <f t="shared" si="92"/>
        <v>15</v>
      </c>
      <c r="R121" s="278">
        <f t="shared" si="107"/>
        <v>13</v>
      </c>
      <c r="S121" s="278">
        <f t="shared" si="98"/>
        <v>13</v>
      </c>
      <c r="T121" s="279">
        <f t="shared" si="93"/>
        <v>88</v>
      </c>
      <c r="U121" s="279">
        <f t="shared" si="62"/>
        <v>13</v>
      </c>
      <c r="V121" s="276">
        <f t="shared" si="99"/>
        <v>0</v>
      </c>
      <c r="W121" s="276">
        <f>IF(AND(S121&gt;VLOOKUP(Inputs!$I$2,Extracciones,3),S121&lt;VLOOKUP(Inputs!$I$2,Extracciones,5)),(S121-VLOOKUP(Inputs!$I$2,Extracciones,3))*Inputs!$E$12,0)</f>
        <v>0</v>
      </c>
      <c r="X121" s="278">
        <f>IF(AD121=0,VLOOKUP(R121,Mineral,2)*R121*Inputs!$C$16*Inputs!$E$37,VLOOKUP(R121,Mineral,2)*R121*Inputs!$C$16)</f>
        <v>0.39</v>
      </c>
      <c r="Y121" s="278">
        <f>SUM(K121,M121)*Inputs!$O$8*14/(100*62)</f>
        <v>0</v>
      </c>
      <c r="Z121" s="278">
        <f t="shared" si="108"/>
        <v>0</v>
      </c>
      <c r="AA121" s="278">
        <f t="shared" si="109"/>
        <v>0</v>
      </c>
      <c r="AB121" s="279">
        <f t="shared" si="94"/>
        <v>0</v>
      </c>
      <c r="AC121" s="278">
        <f t="shared" si="77"/>
        <v>0</v>
      </c>
      <c r="AD121" s="279">
        <f t="shared" si="95"/>
        <v>-1.3637642124883504</v>
      </c>
      <c r="AE121" s="278">
        <f t="shared" si="100"/>
        <v>-88.34241472506983</v>
      </c>
      <c r="AF121" s="278">
        <f t="shared" si="64"/>
        <v>81.527877461326156</v>
      </c>
      <c r="AG121" s="279">
        <f t="shared" si="96"/>
        <v>40</v>
      </c>
      <c r="AH121" s="279">
        <f>AF121*1000000/(Inputs!$C$9*100*Inputs!$C$8*1000*(1-Inputs!$C$10)*(1+Inputs!$C$12))</f>
        <v>16.312100332398188</v>
      </c>
      <c r="AI121" s="279">
        <f>IFERROR(HLOOKUP(A121,Inputs!$C$14:$C$15,2,FALSE),-100)</f>
        <v>-100</v>
      </c>
      <c r="AJ121" s="281">
        <f t="shared" si="101"/>
        <v>0</v>
      </c>
      <c r="AK121" s="282">
        <f t="shared" si="78"/>
        <v>1.3580000000000001</v>
      </c>
      <c r="AL121" s="282">
        <f t="shared" si="79"/>
        <v>1.0161290322580645</v>
      </c>
      <c r="AM121" s="282">
        <f t="shared" si="80"/>
        <v>-1.9838368458620446</v>
      </c>
      <c r="AN121" s="283">
        <f>IFERROR(IF($G$1="Sí",VLOOKUP($A121,CSVAgro,9,FALSE),VLOOKUP($A121,Clima!$E$8:$Q$373,13,FALSE)),0)</f>
        <v>3.3</v>
      </c>
      <c r="AO121" s="281">
        <f t="shared" si="110"/>
        <v>148.60000000000005</v>
      </c>
      <c r="AP121" s="281">
        <f>IFERROR(VLOOKUP($A121,'F TrB'!$C$3:$O$21,3,FALSE),-9999)</f>
        <v>-9999</v>
      </c>
      <c r="AQ121" s="281">
        <f t="shared" si="102"/>
        <v>-999</v>
      </c>
      <c r="AR121" s="281">
        <f>IFERROR(IF(VLOOKUP($A121,'F TrB'!$Q$3:$R$21,2,FALSE)=0,-99999,VLOOKUP($A121,'F TrB'!$Q$3:$R$21,2,FALSE)),-99999)</f>
        <v>-99999</v>
      </c>
      <c r="AS121" s="281">
        <f t="shared" si="103"/>
        <v>-99999</v>
      </c>
      <c r="AT121" s="281" t="str">
        <f>IFERROR(VLOOKUP($A121,'NDVI tipo'!$Q$8:$S$30,2,FALSE),"")</f>
        <v/>
      </c>
      <c r="AU121" s="281">
        <f>IF(ISERROR(VLOOKUP($A121,'NDVI tipo'!$Q$8:$S$50,2,FALSE)),AU120+VLOOKUP($A121,'NDVI tipo'!$Q$8:$S$50,3,TRUE),VLOOKUP($A121,'NDVI tipo'!$Q$8:$S$50,2,FALSE))</f>
        <v>0.45471446341463428</v>
      </c>
      <c r="AV121" s="281">
        <f>IFERROR(VLOOKUP($A121,'NDVI real'!$Q$8:$S$44,2,FALSE),-999)</f>
        <v>-999</v>
      </c>
      <c r="AW121" s="281">
        <f>IF(ISERROR(VLOOKUP($A121,'NDVI real'!$T$8:$U$350,2,FALSE)),"",VLOOKUP($A121,'NDVI real'!$T$8:$U$350,2,FALSE))</f>
        <v>0.52978018672086746</v>
      </c>
      <c r="AX121" s="286">
        <f>IFERROR(VLOOKUP($A121,SWB!$C$15:$BE$244,53,FALSE),"")</f>
        <v>0.82577127333365896</v>
      </c>
      <c r="AY121" s="286">
        <f>IFERROR(VLOOKUP($A121,SWB!$C$15:$BE$244,55,FALSE),"")</f>
        <v>4.1603132794487934</v>
      </c>
      <c r="AZ121" s="281">
        <f>IF(ISERROR(VLOOKUP($A121,Clima!$V$8:$AI$320,14,FALSE)),-999,VLOOKUP(A121,Clima!$V$8:$AI$219,14,FALSE))</f>
        <v>4.5</v>
      </c>
      <c r="BA121" s="281">
        <f t="shared" si="111"/>
        <v>158.90000000000006</v>
      </c>
      <c r="BB121" s="281">
        <f t="shared" si="104"/>
        <v>4.5</v>
      </c>
      <c r="BC121" s="281">
        <f t="shared" si="112"/>
        <v>158.90000000000006</v>
      </c>
      <c r="BD121" s="284">
        <f t="shared" si="97"/>
        <v>42092</v>
      </c>
    </row>
    <row r="122" spans="1:56" s="275" customFormat="1" ht="12.75">
      <c r="A122" s="273">
        <f t="shared" si="105"/>
        <v>42093</v>
      </c>
      <c r="B122" s="274">
        <f t="shared" si="81"/>
        <v>89</v>
      </c>
      <c r="C122" s="275" t="str">
        <f t="shared" si="82"/>
        <v>Desarrollo</v>
      </c>
      <c r="D122" s="276">
        <f t="shared" si="83"/>
        <v>4.8</v>
      </c>
      <c r="E122" s="276">
        <f t="shared" si="84"/>
        <v>0.68170189709268336</v>
      </c>
      <c r="F122" s="276"/>
      <c r="G122" s="276">
        <f t="shared" si="85"/>
        <v>0.94000499999999998</v>
      </c>
      <c r="H122" s="276">
        <f t="shared" si="86"/>
        <v>1.2031000000000001</v>
      </c>
      <c r="I122" s="276">
        <f t="shared" si="87"/>
        <v>4.6920890000000002</v>
      </c>
      <c r="J122" s="276">
        <f>IFERROR(IF($G$1="Sí",VLOOKUP($A122,CSVAgro,13,FALSE),VLOOKUP($A122,SWB!$C$15:$P$202,14,FALSE)),0)</f>
        <v>0</v>
      </c>
      <c r="K122" s="487">
        <f t="shared" si="88"/>
        <v>0</v>
      </c>
      <c r="L122" s="487">
        <f t="shared" si="89"/>
        <v>0</v>
      </c>
      <c r="M122" s="487">
        <f t="shared" si="90"/>
        <v>0</v>
      </c>
      <c r="N122" s="277">
        <f>IF(ISERROR($G$1="Sí"),VLOOKUP($A122,CSVAgro,16,FALSE),IF(ISERROR(VLOOKUP($A122,Clima!$W$8:$Z$284,2,FALSE)),VLOOKUP($A122,Clima!$E$8:$H$372,2,FALSE),VLOOKUP($A122,Clima!$W$8:$Z$284,2,FALSE)))</f>
        <v>14.3</v>
      </c>
      <c r="O122" s="276">
        <f t="shared" si="91"/>
        <v>99.378685616318549</v>
      </c>
      <c r="P122" s="276">
        <f t="shared" si="106"/>
        <v>88.600000000000009</v>
      </c>
      <c r="Q122" s="487">
        <f t="shared" si="92"/>
        <v>15</v>
      </c>
      <c r="R122" s="278">
        <f t="shared" si="107"/>
        <v>14.3</v>
      </c>
      <c r="S122" s="278">
        <f t="shared" si="98"/>
        <v>14.3</v>
      </c>
      <c r="T122" s="279">
        <f t="shared" si="93"/>
        <v>89</v>
      </c>
      <c r="U122" s="279">
        <f t="shared" si="62"/>
        <v>14</v>
      </c>
      <c r="V122" s="276">
        <f t="shared" si="99"/>
        <v>0</v>
      </c>
      <c r="W122" s="276">
        <f>IF(AND(S122&gt;VLOOKUP(Inputs!$I$2,Extracciones,3),S122&lt;VLOOKUP(Inputs!$I$2,Extracciones,5)),(S122-VLOOKUP(Inputs!$I$2,Extracciones,3))*Inputs!$E$12,0)</f>
        <v>0</v>
      </c>
      <c r="X122" s="278">
        <f>IF(AD122=0,VLOOKUP(R122,Mineral,2)*R122*Inputs!$C$16*Inputs!$E$37,VLOOKUP(R122,Mineral,2)*R122*Inputs!$C$16)</f>
        <v>0.57200000000000006</v>
      </c>
      <c r="Y122" s="278">
        <f>SUM(K122,M122)*Inputs!$O$8*14/(100*62)</f>
        <v>0</v>
      </c>
      <c r="Z122" s="278">
        <f t="shared" si="108"/>
        <v>0</v>
      </c>
      <c r="AA122" s="278">
        <f t="shared" si="109"/>
        <v>0</v>
      </c>
      <c r="AB122" s="279">
        <f t="shared" si="94"/>
        <v>0</v>
      </c>
      <c r="AC122" s="278">
        <f t="shared" si="77"/>
        <v>0</v>
      </c>
      <c r="AD122" s="279">
        <f t="shared" si="95"/>
        <v>-1.3637642124883504</v>
      </c>
      <c r="AE122" s="278">
        <f t="shared" si="100"/>
        <v>-89.706178937558178</v>
      </c>
      <c r="AF122" s="278">
        <f t="shared" si="64"/>
        <v>80.73611324883781</v>
      </c>
      <c r="AG122" s="279">
        <f t="shared" si="96"/>
        <v>40</v>
      </c>
      <c r="AH122" s="279">
        <f>AF122*1000000/(Inputs!$C$9*100*Inputs!$C$8*1000*(1-Inputs!$C$10)*(1+Inputs!$C$12))</f>
        <v>16.15368412341693</v>
      </c>
      <c r="AI122" s="279">
        <f>IFERROR(HLOOKUP(A122,Inputs!$C$14:$C$15,2,FALSE),-100)</f>
        <v>-100</v>
      </c>
      <c r="AJ122" s="281">
        <f t="shared" si="101"/>
        <v>0</v>
      </c>
      <c r="AK122" s="282">
        <f t="shared" si="78"/>
        <v>1.9300000000000002</v>
      </c>
      <c r="AL122" s="282">
        <f t="shared" si="79"/>
        <v>1.0161290322580645</v>
      </c>
      <c r="AM122" s="282">
        <f t="shared" si="80"/>
        <v>-1.9838368458620446</v>
      </c>
      <c r="AN122" s="283">
        <f>IFERROR(IF($G$1="Sí",VLOOKUP($A122,CSVAgro,9,FALSE),VLOOKUP($A122,Clima!$E$8:$Q$373,13,FALSE)),0)</f>
        <v>3.3</v>
      </c>
      <c r="AO122" s="281">
        <f t="shared" si="110"/>
        <v>151.90000000000006</v>
      </c>
      <c r="AP122" s="281">
        <f>IFERROR(VLOOKUP($A122,'F TrB'!$C$3:$O$21,3,FALSE),-9999)</f>
        <v>-9999</v>
      </c>
      <c r="AQ122" s="281">
        <f t="shared" si="102"/>
        <v>-999</v>
      </c>
      <c r="AR122" s="281">
        <f>IFERROR(IF(VLOOKUP($A122,'F TrB'!$Q$3:$R$21,2,FALSE)=0,-99999,VLOOKUP($A122,'F TrB'!$Q$3:$R$21,2,FALSE)),-99999)</f>
        <v>-99999</v>
      </c>
      <c r="AS122" s="281">
        <f t="shared" si="103"/>
        <v>-99999</v>
      </c>
      <c r="AT122" s="281" t="str">
        <f>IFERROR(VLOOKUP($A122,'NDVI tipo'!$Q$8:$S$30,2,FALSE),"")</f>
        <v/>
      </c>
      <c r="AU122" s="281">
        <f>IF(ISERROR(VLOOKUP($A122,'NDVI tipo'!$Q$8:$S$50,2,FALSE)),AU121+VLOOKUP($A122,'NDVI tipo'!$Q$8:$S$50,3,TRUE),VLOOKUP($A122,'NDVI tipo'!$Q$8:$S$50,2,FALSE))</f>
        <v>0.4630434878048782</v>
      </c>
      <c r="AV122" s="281">
        <f>IFERROR(VLOOKUP($A122,'NDVI real'!$Q$8:$S$44,2,FALSE),-999)</f>
        <v>-999</v>
      </c>
      <c r="AW122" s="281">
        <f>IF(ISERROR(VLOOKUP($A122,'NDVI real'!$T$8:$U$350,2,FALSE)),"",VLOOKUP($A122,'NDVI real'!$T$8:$U$350,2,FALSE))</f>
        <v>0.54284853964769675</v>
      </c>
      <c r="AX122" s="286">
        <f>IFERROR(VLOOKUP($A122,SWB!$C$15:$BE$244,53,FALSE),"")</f>
        <v>0.90685528418390293</v>
      </c>
      <c r="AY122" s="286">
        <f>IFERROR(VLOOKUP($A122,SWB!$C$15:$BE$244,55,FALSE),"")</f>
        <v>4.2974525750629269</v>
      </c>
      <c r="AZ122" s="281">
        <f>IF(ISERROR(VLOOKUP($A122,Clima!$V$8:$AI$320,14,FALSE)),-999,VLOOKUP(A122,Clima!$V$8:$AI$219,14,FALSE))</f>
        <v>4.8</v>
      </c>
      <c r="BA122" s="281">
        <f t="shared" si="111"/>
        <v>163.70000000000007</v>
      </c>
      <c r="BB122" s="281">
        <f t="shared" si="104"/>
        <v>4.8</v>
      </c>
      <c r="BC122" s="281">
        <f t="shared" si="112"/>
        <v>163.70000000000007</v>
      </c>
      <c r="BD122" s="284">
        <f t="shared" si="97"/>
        <v>42093</v>
      </c>
    </row>
    <row r="123" spans="1:56" s="275" customFormat="1" ht="12.75">
      <c r="A123" s="273">
        <f t="shared" si="105"/>
        <v>42094</v>
      </c>
      <c r="B123" s="274">
        <f t="shared" si="81"/>
        <v>90</v>
      </c>
      <c r="C123" s="275" t="str">
        <f t="shared" si="82"/>
        <v>Desarrollo</v>
      </c>
      <c r="D123" s="276">
        <f t="shared" si="83"/>
        <v>4.5999999999999996</v>
      </c>
      <c r="E123" s="276">
        <f t="shared" si="84"/>
        <v>0.70052032530731745</v>
      </c>
      <c r="F123" s="276"/>
      <c r="G123" s="276">
        <f t="shared" si="85"/>
        <v>0.93405700000000003</v>
      </c>
      <c r="H123" s="276">
        <f t="shared" si="86"/>
        <v>1.2197709999999999</v>
      </c>
      <c r="I123" s="276">
        <f t="shared" si="87"/>
        <v>5.9280869999999997</v>
      </c>
      <c r="J123" s="276">
        <f>IFERROR(IF($G$1="Sí",VLOOKUP($A123,CSVAgro,13,FALSE),VLOOKUP($A123,SWB!$C$15:$P$202,14,FALSE)),0)</f>
        <v>0</v>
      </c>
      <c r="K123" s="487">
        <f t="shared" si="88"/>
        <v>0</v>
      </c>
      <c r="L123" s="487">
        <f t="shared" si="89"/>
        <v>0</v>
      </c>
      <c r="M123" s="487">
        <f t="shared" si="90"/>
        <v>0</v>
      </c>
      <c r="N123" s="277">
        <f>IF(ISERROR($G$1="Sí"),VLOOKUP($A123,CSVAgro,16,FALSE),IF(ISERROR(VLOOKUP($A123,Clima!$W$8:$Z$284,2,FALSE)),VLOOKUP($A123,Clima!$E$8:$H$372,2,FALSE),VLOOKUP($A123,Clima!$W$8:$Z$284,2,FALSE)))</f>
        <v>15.4</v>
      </c>
      <c r="O123" s="276">
        <f t="shared" si="91"/>
        <v>102.5557125420019</v>
      </c>
      <c r="P123" s="276">
        <f t="shared" si="106"/>
        <v>88.600000000000009</v>
      </c>
      <c r="Q123" s="487">
        <f t="shared" si="92"/>
        <v>15</v>
      </c>
      <c r="R123" s="278">
        <f t="shared" si="107"/>
        <v>15.4</v>
      </c>
      <c r="S123" s="278">
        <f t="shared" si="98"/>
        <v>15.4</v>
      </c>
      <c r="T123" s="279">
        <f t="shared" si="93"/>
        <v>90</v>
      </c>
      <c r="U123" s="279">
        <f t="shared" si="62"/>
        <v>14</v>
      </c>
      <c r="V123" s="276">
        <f t="shared" si="99"/>
        <v>0</v>
      </c>
      <c r="W123" s="276">
        <f>IF(AND(S123&gt;VLOOKUP(Inputs!$I$2,Extracciones,3),S123&lt;VLOOKUP(Inputs!$I$2,Extracciones,5)),(S123-VLOOKUP(Inputs!$I$2,Extracciones,3))*Inputs!$E$12,0)</f>
        <v>0</v>
      </c>
      <c r="X123" s="278">
        <f>IF(AD123=0,VLOOKUP(R123,Mineral,2)*R123*Inputs!$C$16*Inputs!$E$37,VLOOKUP(R123,Mineral,2)*R123*Inputs!$C$16)</f>
        <v>0.92400000000000004</v>
      </c>
      <c r="Y123" s="278">
        <f>SUM(K123,M123)*Inputs!$O$8*14/(100*62)</f>
        <v>0</v>
      </c>
      <c r="Z123" s="278">
        <f t="shared" si="108"/>
        <v>0</v>
      </c>
      <c r="AA123" s="278">
        <f t="shared" si="109"/>
        <v>0</v>
      </c>
      <c r="AB123" s="279">
        <f t="shared" si="94"/>
        <v>0</v>
      </c>
      <c r="AC123" s="278">
        <f t="shared" si="77"/>
        <v>0</v>
      </c>
      <c r="AD123" s="279">
        <f t="shared" si="95"/>
        <v>-1.3637642124883504</v>
      </c>
      <c r="AE123" s="278">
        <f t="shared" si="100"/>
        <v>-91.069943150046527</v>
      </c>
      <c r="AF123" s="278">
        <f t="shared" si="64"/>
        <v>80.296349036349469</v>
      </c>
      <c r="AG123" s="279">
        <f t="shared" si="96"/>
        <v>40</v>
      </c>
      <c r="AH123" s="279">
        <f>AF123*1000000/(Inputs!$C$9*100*Inputs!$C$8*1000*(1-Inputs!$C$10)*(1+Inputs!$C$12))</f>
        <v>16.065696085704175</v>
      </c>
      <c r="AI123" s="279">
        <f>IFERROR(HLOOKUP(A123,Inputs!$C$14:$C$15,2,FALSE),-100)</f>
        <v>-100</v>
      </c>
      <c r="AJ123" s="281">
        <f t="shared" si="101"/>
        <v>0</v>
      </c>
      <c r="AK123" s="282">
        <f t="shared" si="78"/>
        <v>2.8540000000000001</v>
      </c>
      <c r="AL123" s="282">
        <f t="shared" si="79"/>
        <v>1.0161290322580645</v>
      </c>
      <c r="AM123" s="282">
        <f t="shared" si="80"/>
        <v>-1.9838368458620446</v>
      </c>
      <c r="AN123" s="283">
        <f>IFERROR(IF($G$1="Sí",VLOOKUP($A123,CSVAgro,9,FALSE),VLOOKUP($A123,Clima!$E$8:$Q$373,13,FALSE)),0)</f>
        <v>4.4000000000000004</v>
      </c>
      <c r="AO123" s="281">
        <f t="shared" si="110"/>
        <v>156.30000000000007</v>
      </c>
      <c r="AP123" s="281">
        <f>IFERROR(VLOOKUP($A123,'F TrB'!$C$3:$O$21,3,FALSE),-9999)</f>
        <v>-9999</v>
      </c>
      <c r="AQ123" s="281">
        <f t="shared" si="102"/>
        <v>-999</v>
      </c>
      <c r="AR123" s="281">
        <f>IFERROR(IF(VLOOKUP($A123,'F TrB'!$Q$3:$R$21,2,FALSE)=0,-99999,VLOOKUP($A123,'F TrB'!$Q$3:$R$21,2,FALSE)),-99999)</f>
        <v>-99999</v>
      </c>
      <c r="AS123" s="281">
        <f t="shared" si="103"/>
        <v>-99999</v>
      </c>
      <c r="AT123" s="281" t="str">
        <f>IFERROR(VLOOKUP($A123,'NDVI tipo'!$Q$8:$S$30,2,FALSE),"")</f>
        <v/>
      </c>
      <c r="AU123" s="281">
        <f>IF(ISERROR(VLOOKUP($A123,'NDVI tipo'!$Q$8:$S$50,2,FALSE)),AU122+VLOOKUP($A123,'NDVI tipo'!$Q$8:$S$50,3,TRUE),VLOOKUP($A123,'NDVI tipo'!$Q$8:$S$50,2,FALSE))</f>
        <v>0.47137251219512211</v>
      </c>
      <c r="AV123" s="281">
        <f>IFERROR(VLOOKUP($A123,'NDVI real'!$Q$8:$S$44,2,FALSE),-999)</f>
        <v>-999</v>
      </c>
      <c r="AW123" s="281">
        <f>IF(ISERROR(VLOOKUP($A123,'NDVI real'!$T$8:$U$350,2,FALSE)),"",VLOOKUP($A123,'NDVI real'!$T$8:$U$350,2,FALSE))</f>
        <v>0.55591689257452603</v>
      </c>
      <c r="AX123" s="286">
        <f>IFERROR(VLOOKUP($A123,SWB!$C$15:$BE$244,53,FALSE),"")</f>
        <v>1.0184173438235777</v>
      </c>
      <c r="AY123" s="286">
        <f>IFERROR(VLOOKUP($A123,SWB!$C$15:$BE$244,55,FALSE),"")</f>
        <v>5.9842646275356088</v>
      </c>
      <c r="AZ123" s="281">
        <f>IF(ISERROR(VLOOKUP($A123,Clima!$V$8:$AI$320,14,FALSE)),-999,VLOOKUP(A123,Clima!$V$8:$AI$219,14,FALSE))</f>
        <v>4.5999999999999996</v>
      </c>
      <c r="BA123" s="281">
        <f t="shared" si="111"/>
        <v>168.30000000000007</v>
      </c>
      <c r="BB123" s="281">
        <f t="shared" si="104"/>
        <v>4.5999999999999996</v>
      </c>
      <c r="BC123" s="281">
        <f t="shared" si="112"/>
        <v>168.30000000000007</v>
      </c>
      <c r="BD123" s="284">
        <f t="shared" si="97"/>
        <v>42094</v>
      </c>
    </row>
    <row r="124" spans="1:56" s="275" customFormat="1" ht="12.75">
      <c r="A124" s="273">
        <f t="shared" si="105"/>
        <v>42095</v>
      </c>
      <c r="B124" s="274">
        <f t="shared" si="81"/>
        <v>91</v>
      </c>
      <c r="C124" s="275" t="str">
        <f t="shared" si="82"/>
        <v>Desarrollo</v>
      </c>
      <c r="D124" s="276">
        <f t="shared" si="83"/>
        <v>4.2</v>
      </c>
      <c r="E124" s="276">
        <f t="shared" si="84"/>
        <v>0.71933875352195165</v>
      </c>
      <c r="F124" s="276"/>
      <c r="G124" s="276">
        <f t="shared" si="85"/>
        <v>0.64961999999999998</v>
      </c>
      <c r="H124" s="276">
        <f t="shared" si="86"/>
        <v>0.95795399999999997</v>
      </c>
      <c r="I124" s="276">
        <f t="shared" si="87"/>
        <v>4.3012129999999997</v>
      </c>
      <c r="J124" s="276">
        <f>IFERROR(IF($G$1="Sí",VLOOKUP($A124,CSVAgro,13,FALSE),VLOOKUP($A124,SWB!$C$15:$P$202,14,FALSE)),0)</f>
        <v>0</v>
      </c>
      <c r="K124" s="487">
        <f t="shared" si="88"/>
        <v>0</v>
      </c>
      <c r="L124" s="487">
        <f t="shared" si="89"/>
        <v>0</v>
      </c>
      <c r="M124" s="487">
        <f t="shared" si="90"/>
        <v>0</v>
      </c>
      <c r="N124" s="277">
        <f>IF(ISERROR($G$1="Sí"),VLOOKUP($A124,CSVAgro,16,FALSE),IF(ISERROR(VLOOKUP($A124,Clima!$W$8:$Z$284,2,FALSE)),VLOOKUP($A124,Clima!$E$8:$H$372,2,FALSE),VLOOKUP($A124,Clima!$W$8:$Z$284,2,FALSE)))</f>
        <v>13.4</v>
      </c>
      <c r="O124" s="276">
        <f t="shared" si="91"/>
        <v>104.6203472700376</v>
      </c>
      <c r="P124" s="276">
        <f t="shared" si="106"/>
        <v>88.600000000000009</v>
      </c>
      <c r="Q124" s="487">
        <f t="shared" si="92"/>
        <v>15</v>
      </c>
      <c r="R124" s="278">
        <f t="shared" si="107"/>
        <v>13.4</v>
      </c>
      <c r="S124" s="278">
        <f t="shared" si="98"/>
        <v>13.4</v>
      </c>
      <c r="T124" s="279">
        <f t="shared" si="93"/>
        <v>91</v>
      </c>
      <c r="U124" s="279">
        <f t="shared" si="62"/>
        <v>14</v>
      </c>
      <c r="V124" s="276">
        <f t="shared" si="99"/>
        <v>0</v>
      </c>
      <c r="W124" s="276">
        <f>IF(AND(S124&gt;VLOOKUP(Inputs!$I$2,Extracciones,3),S124&lt;VLOOKUP(Inputs!$I$2,Extracciones,5)),(S124-VLOOKUP(Inputs!$I$2,Extracciones,3))*Inputs!$E$12,0)</f>
        <v>0</v>
      </c>
      <c r="X124" s="278">
        <f>IF(AD124=0,VLOOKUP(R124,Mineral,2)*R124*Inputs!$C$16*Inputs!$E$37,VLOOKUP(R124,Mineral,2)*R124*Inputs!$C$16)</f>
        <v>0.40199999999999997</v>
      </c>
      <c r="Y124" s="278">
        <f>SUM(K124,M124)*Inputs!$O$8*14/(100*62)</f>
        <v>0</v>
      </c>
      <c r="Z124" s="278">
        <f t="shared" si="108"/>
        <v>0</v>
      </c>
      <c r="AA124" s="278">
        <f t="shared" si="109"/>
        <v>0</v>
      </c>
      <c r="AB124" s="279">
        <f t="shared" si="94"/>
        <v>0</v>
      </c>
      <c r="AC124" s="278">
        <f t="shared" si="77"/>
        <v>0</v>
      </c>
      <c r="AD124" s="279">
        <f t="shared" si="95"/>
        <v>-1.3637642124883504</v>
      </c>
      <c r="AE124" s="278">
        <f t="shared" si="100"/>
        <v>-92.433707362534875</v>
      </c>
      <c r="AF124" s="278">
        <f t="shared" si="64"/>
        <v>79.334584823861121</v>
      </c>
      <c r="AG124" s="279">
        <f t="shared" si="96"/>
        <v>40</v>
      </c>
      <c r="AH124" s="279">
        <f>AF124*1000000/(Inputs!$C$9*100*Inputs!$C$8*1000*(1-Inputs!$C$10)*(1+Inputs!$C$12))</f>
        <v>15.873266271280738</v>
      </c>
      <c r="AI124" s="279">
        <f>IFERROR(HLOOKUP(A124,Inputs!$C$14:$C$15,2,FALSE),-100)</f>
        <v>-100</v>
      </c>
      <c r="AJ124" s="281">
        <f t="shared" si="101"/>
        <v>0</v>
      </c>
      <c r="AK124" s="282">
        <f t="shared" si="78"/>
        <v>3.2560000000000002</v>
      </c>
      <c r="AL124" s="282">
        <f t="shared" si="79"/>
        <v>1.0161290322580645</v>
      </c>
      <c r="AM124" s="282">
        <f t="shared" si="80"/>
        <v>-1.9838368458620446</v>
      </c>
      <c r="AN124" s="283">
        <f>IFERROR(IF($G$1="Sí",VLOOKUP($A124,CSVAgro,9,FALSE),VLOOKUP($A124,Clima!$E$8:$Q$373,13,FALSE)),0)</f>
        <v>2.8</v>
      </c>
      <c r="AO124" s="281">
        <f t="shared" si="110"/>
        <v>159.10000000000008</v>
      </c>
      <c r="AP124" s="281">
        <f>IFERROR(VLOOKUP($A124,'F TrB'!$C$3:$O$21,3,FALSE),-9999)</f>
        <v>-9999</v>
      </c>
      <c r="AQ124" s="281">
        <f t="shared" si="102"/>
        <v>-999</v>
      </c>
      <c r="AR124" s="281">
        <f>IFERROR(IF(VLOOKUP($A124,'F TrB'!$Q$3:$R$21,2,FALSE)=0,-99999,VLOOKUP($A124,'F TrB'!$Q$3:$R$21,2,FALSE)),-99999)</f>
        <v>-99999</v>
      </c>
      <c r="AS124" s="281">
        <f t="shared" si="103"/>
        <v>-99999</v>
      </c>
      <c r="AT124" s="281" t="str">
        <f>IFERROR(VLOOKUP($A124,'NDVI tipo'!$Q$8:$S$30,2,FALSE),"")</f>
        <v/>
      </c>
      <c r="AU124" s="281">
        <f>IF(ISERROR(VLOOKUP($A124,'NDVI tipo'!$Q$8:$S$50,2,FALSE)),AU123+VLOOKUP($A124,'NDVI tipo'!$Q$8:$S$50,3,TRUE),VLOOKUP($A124,'NDVI tipo'!$Q$8:$S$50,2,FALSE))</f>
        <v>0.47970153658536602</v>
      </c>
      <c r="AV124" s="281">
        <f>IFERROR(VLOOKUP($A124,'NDVI real'!$Q$8:$S$44,2,FALSE),-999)</f>
        <v>-999</v>
      </c>
      <c r="AW124" s="281">
        <f>IF(ISERROR(VLOOKUP($A124,'NDVI real'!$T$8:$U$350,2,FALSE)),"",VLOOKUP($A124,'NDVI real'!$T$8:$U$350,2,FALSE))</f>
        <v>0.56898524550135532</v>
      </c>
      <c r="AX124" s="286">
        <f>IFERROR(VLOOKUP($A124,SWB!$C$15:$BE$244,53,FALSE),"")</f>
        <v>1.0916068650678055</v>
      </c>
      <c r="AY124" s="286">
        <f>IFERROR(VLOOKUP($A124,SWB!$C$15:$BE$244,55,FALSE),"")</f>
        <v>2.1340894984242311</v>
      </c>
      <c r="AZ124" s="281">
        <f>IF(ISERROR(VLOOKUP($A124,Clima!$V$8:$AI$320,14,FALSE)),-999,VLOOKUP(A124,Clima!$V$8:$AI$219,14,FALSE))</f>
        <v>4.2</v>
      </c>
      <c r="BA124" s="281">
        <f t="shared" si="111"/>
        <v>172.50000000000006</v>
      </c>
      <c r="BB124" s="281">
        <f t="shared" si="104"/>
        <v>4.2</v>
      </c>
      <c r="BC124" s="281">
        <f t="shared" si="112"/>
        <v>172.50000000000006</v>
      </c>
      <c r="BD124" s="284">
        <f t="shared" si="97"/>
        <v>42095</v>
      </c>
    </row>
    <row r="125" spans="1:56" s="275" customFormat="1" ht="12.75">
      <c r="A125" s="273">
        <f t="shared" si="105"/>
        <v>42096</v>
      </c>
      <c r="B125" s="274">
        <f t="shared" si="81"/>
        <v>92</v>
      </c>
      <c r="C125" s="275" t="str">
        <f t="shared" si="82"/>
        <v>Desarrollo</v>
      </c>
      <c r="D125" s="276">
        <f t="shared" si="83"/>
        <v>3.8</v>
      </c>
      <c r="E125" s="276">
        <f t="shared" si="84"/>
        <v>0.73815718173658584</v>
      </c>
      <c r="F125" s="276"/>
      <c r="G125" s="276">
        <f t="shared" si="85"/>
        <v>0.416466</v>
      </c>
      <c r="H125" s="276">
        <f t="shared" si="86"/>
        <v>0.74741800000000003</v>
      </c>
      <c r="I125" s="276">
        <f t="shared" si="87"/>
        <v>3.5651860000000002</v>
      </c>
      <c r="J125" s="276">
        <f>IFERROR(IF($G$1="Sí",VLOOKUP($A125,CSVAgro,13,FALSE),VLOOKUP($A125,SWB!$C$15:$P$202,14,FALSE)),0)</f>
        <v>0</v>
      </c>
      <c r="K125" s="487">
        <f t="shared" si="88"/>
        <v>0</v>
      </c>
      <c r="L125" s="487">
        <f t="shared" si="89"/>
        <v>0</v>
      </c>
      <c r="M125" s="487">
        <f t="shared" si="90"/>
        <v>0</v>
      </c>
      <c r="N125" s="277">
        <f>IF(ISERROR($G$1="Sí"),VLOOKUP($A125,CSVAgro,16,FALSE),IF(ISERROR(VLOOKUP($A125,Clima!$W$8:$Z$284,2,FALSE)),VLOOKUP($A125,Clima!$E$8:$H$372,2,FALSE),VLOOKUP($A125,Clima!$W$8:$Z$284,2,FALSE)))</f>
        <v>12.5</v>
      </c>
      <c r="O125" s="276">
        <f t="shared" si="91"/>
        <v>106.95780431422951</v>
      </c>
      <c r="P125" s="276">
        <f t="shared" si="106"/>
        <v>88.600000000000009</v>
      </c>
      <c r="Q125" s="487">
        <f t="shared" si="92"/>
        <v>15</v>
      </c>
      <c r="R125" s="278">
        <f t="shared" si="107"/>
        <v>12.5</v>
      </c>
      <c r="S125" s="278">
        <f t="shared" si="98"/>
        <v>12.5</v>
      </c>
      <c r="T125" s="279">
        <f t="shared" si="93"/>
        <v>92</v>
      </c>
      <c r="U125" s="279">
        <f t="shared" si="62"/>
        <v>14</v>
      </c>
      <c r="V125" s="276">
        <f t="shared" si="99"/>
        <v>0</v>
      </c>
      <c r="W125" s="276">
        <f>IF(AND(S125&gt;VLOOKUP(Inputs!$I$2,Extracciones,3),S125&lt;VLOOKUP(Inputs!$I$2,Extracciones,5)),(S125-VLOOKUP(Inputs!$I$2,Extracciones,3))*Inputs!$E$12,0)</f>
        <v>0</v>
      </c>
      <c r="X125" s="278">
        <f>IF(AD125=0,VLOOKUP(R125,Mineral,2)*R125*Inputs!$C$16*Inputs!$E$37,VLOOKUP(R125,Mineral,2)*R125*Inputs!$C$16)</f>
        <v>0</v>
      </c>
      <c r="Y125" s="278">
        <f>SUM(K125,M125)*Inputs!$O$8*14/(100*62)</f>
        <v>0</v>
      </c>
      <c r="Z125" s="278">
        <f t="shared" si="108"/>
        <v>0</v>
      </c>
      <c r="AA125" s="278">
        <f t="shared" si="109"/>
        <v>0</v>
      </c>
      <c r="AB125" s="279">
        <f t="shared" si="94"/>
        <v>0</v>
      </c>
      <c r="AC125" s="278">
        <f t="shared" si="77"/>
        <v>0</v>
      </c>
      <c r="AD125" s="279">
        <f t="shared" si="95"/>
        <v>-1.3637642124883504</v>
      </c>
      <c r="AE125" s="278">
        <f t="shared" si="100"/>
        <v>-93.797471575023224</v>
      </c>
      <c r="AF125" s="278">
        <f t="shared" si="64"/>
        <v>77.970820611372773</v>
      </c>
      <c r="AG125" s="279">
        <f t="shared" si="96"/>
        <v>40</v>
      </c>
      <c r="AH125" s="279">
        <f>AF125*1000000/(Inputs!$C$9*100*Inputs!$C$8*1000*(1-Inputs!$C$10)*(1+Inputs!$C$12))</f>
        <v>15.60040428398815</v>
      </c>
      <c r="AI125" s="279">
        <f>IFERROR(HLOOKUP(A125,Inputs!$C$14:$C$15,2,FALSE),-100)</f>
        <v>-100</v>
      </c>
      <c r="AJ125" s="281">
        <f t="shared" si="101"/>
        <v>0</v>
      </c>
      <c r="AK125" s="282">
        <f t="shared" si="78"/>
        <v>3.2560000000000002</v>
      </c>
      <c r="AL125" s="282">
        <f t="shared" si="79"/>
        <v>1.0161290322580645</v>
      </c>
      <c r="AM125" s="282">
        <f t="shared" si="80"/>
        <v>-1.9838368458620446</v>
      </c>
      <c r="AN125" s="283">
        <f>IFERROR(IF($G$1="Sí",VLOOKUP($A125,CSVAgro,9,FALSE),VLOOKUP($A125,Clima!$E$8:$Q$373,13,FALSE)),0)</f>
        <v>3.1</v>
      </c>
      <c r="AO125" s="281">
        <f t="shared" si="110"/>
        <v>162.20000000000007</v>
      </c>
      <c r="AP125" s="281">
        <f>IFERROR(VLOOKUP($A125,'F TrB'!$C$3:$O$21,3,FALSE),-9999)</f>
        <v>-9999</v>
      </c>
      <c r="AQ125" s="281">
        <f t="shared" si="102"/>
        <v>-999</v>
      </c>
      <c r="AR125" s="281">
        <f>IFERROR(IF(VLOOKUP($A125,'F TrB'!$Q$3:$R$21,2,FALSE)=0,-99999,VLOOKUP($A125,'F TrB'!$Q$3:$R$21,2,FALSE)),-99999)</f>
        <v>-99999</v>
      </c>
      <c r="AS125" s="281">
        <f t="shared" si="103"/>
        <v>-99999</v>
      </c>
      <c r="AT125" s="281" t="str">
        <f>IFERROR(VLOOKUP($A125,'NDVI tipo'!$Q$8:$S$30,2,FALSE),"")</f>
        <v/>
      </c>
      <c r="AU125" s="281">
        <f>IF(ISERROR(VLOOKUP($A125,'NDVI tipo'!$Q$8:$S$50,2,FALSE)),AU124+VLOOKUP($A125,'NDVI tipo'!$Q$8:$S$50,3,TRUE),VLOOKUP($A125,'NDVI tipo'!$Q$8:$S$50,2,FALSE))</f>
        <v>0.48803056097560993</v>
      </c>
      <c r="AV125" s="281">
        <f>IFERROR(VLOOKUP($A125,'NDVI real'!$Q$8:$S$44,2,FALSE),-999)</f>
        <v>-999</v>
      </c>
      <c r="AW125" s="281">
        <f>IF(ISERROR(VLOOKUP($A125,'NDVI real'!$T$8:$U$350,2,FALSE)),"",VLOOKUP($A125,'NDVI real'!$T$8:$U$350,2,FALSE))</f>
        <v>0.5820535984281846</v>
      </c>
      <c r="AX125" s="286">
        <f>IFERROR(VLOOKUP($A125,SWB!$C$15:$BE$244,53,FALSE),"")</f>
        <v>1.1750688343754478</v>
      </c>
      <c r="AY125" s="286">
        <f>IFERROR(VLOOKUP($A125,SWB!$C$15:$BE$244,55,FALSE),"")</f>
        <v>2.3578291739259498</v>
      </c>
      <c r="AZ125" s="281">
        <f>IF(ISERROR(VLOOKUP($A125,Clima!$V$8:$AI$320,14,FALSE)),-999,VLOOKUP(A125,Clima!$V$8:$AI$219,14,FALSE))</f>
        <v>3.8</v>
      </c>
      <c r="BA125" s="281">
        <f t="shared" si="111"/>
        <v>176.30000000000007</v>
      </c>
      <c r="BB125" s="281">
        <f t="shared" si="104"/>
        <v>3.8</v>
      </c>
      <c r="BC125" s="281">
        <f t="shared" si="112"/>
        <v>176.30000000000007</v>
      </c>
      <c r="BD125" s="284">
        <f t="shared" si="97"/>
        <v>42096</v>
      </c>
    </row>
    <row r="126" spans="1:56" s="275" customFormat="1" ht="12.75">
      <c r="A126" s="273">
        <f t="shared" si="105"/>
        <v>42097</v>
      </c>
      <c r="B126" s="274">
        <f t="shared" si="81"/>
        <v>93</v>
      </c>
      <c r="C126" s="275" t="str">
        <f t="shared" si="82"/>
        <v>Desarrollo</v>
      </c>
      <c r="D126" s="276">
        <f t="shared" si="83"/>
        <v>3.7</v>
      </c>
      <c r="E126" s="276">
        <f t="shared" si="84"/>
        <v>0.75697560995122004</v>
      </c>
      <c r="F126" s="276"/>
      <c r="G126" s="276">
        <f t="shared" si="85"/>
        <v>0.25150800000000001</v>
      </c>
      <c r="H126" s="276">
        <f t="shared" si="86"/>
        <v>0.60507999999999995</v>
      </c>
      <c r="I126" s="276">
        <f t="shared" si="87"/>
        <v>2.7712659999999998</v>
      </c>
      <c r="J126" s="276">
        <f>IFERROR(IF($G$1="Sí",VLOOKUP($A126,CSVAgro,13,FALSE),VLOOKUP($A126,SWB!$C$15:$P$202,14,FALSE)),0)</f>
        <v>0</v>
      </c>
      <c r="K126" s="487">
        <f t="shared" si="88"/>
        <v>0</v>
      </c>
      <c r="L126" s="487">
        <f t="shared" si="89"/>
        <v>0</v>
      </c>
      <c r="M126" s="487">
        <f t="shared" si="90"/>
        <v>0</v>
      </c>
      <c r="N126" s="277">
        <f>IF(ISERROR($G$1="Sí"),VLOOKUP($A126,CSVAgro,16,FALSE),IF(ISERROR(VLOOKUP($A126,Clima!$W$8:$Z$284,2,FALSE)),VLOOKUP($A126,Clima!$E$8:$H$372,2,FALSE),VLOOKUP($A126,Clima!$W$8:$Z$284,2,FALSE)))</f>
        <v>13.8</v>
      </c>
      <c r="O126" s="276">
        <f t="shared" si="91"/>
        <v>109.50140618773762</v>
      </c>
      <c r="P126" s="276">
        <f t="shared" si="106"/>
        <v>88.600000000000009</v>
      </c>
      <c r="Q126" s="487">
        <f t="shared" si="92"/>
        <v>15</v>
      </c>
      <c r="R126" s="278">
        <f t="shared" si="107"/>
        <v>13.8</v>
      </c>
      <c r="S126" s="278">
        <f t="shared" si="98"/>
        <v>13.8</v>
      </c>
      <c r="T126" s="279">
        <f t="shared" si="93"/>
        <v>93</v>
      </c>
      <c r="U126" s="279">
        <f t="shared" si="62"/>
        <v>14</v>
      </c>
      <c r="V126" s="276">
        <f t="shared" si="99"/>
        <v>0</v>
      </c>
      <c r="W126" s="276">
        <f>IF(AND(S126&gt;VLOOKUP(Inputs!$I$2,Extracciones,3),S126&lt;VLOOKUP(Inputs!$I$2,Extracciones,5)),(S126-VLOOKUP(Inputs!$I$2,Extracciones,3))*Inputs!$E$12,0)</f>
        <v>0</v>
      </c>
      <c r="X126" s="278">
        <f>IF(AD126=0,VLOOKUP(R126,Mineral,2)*R126*Inputs!$C$16*Inputs!$E$37,VLOOKUP(R126,Mineral,2)*R126*Inputs!$C$16)</f>
        <v>0.41399999999999998</v>
      </c>
      <c r="Y126" s="278">
        <f>SUM(K126,M126)*Inputs!$O$8*14/(100*62)</f>
        <v>0</v>
      </c>
      <c r="Z126" s="278">
        <f t="shared" si="108"/>
        <v>0</v>
      </c>
      <c r="AA126" s="278">
        <f t="shared" si="109"/>
        <v>0</v>
      </c>
      <c r="AB126" s="279">
        <f t="shared" si="94"/>
        <v>0</v>
      </c>
      <c r="AC126" s="278">
        <f t="shared" si="77"/>
        <v>0</v>
      </c>
      <c r="AD126" s="279">
        <f t="shared" si="95"/>
        <v>-1.3637642124883504</v>
      </c>
      <c r="AE126" s="278">
        <f t="shared" si="100"/>
        <v>-95.161235787511572</v>
      </c>
      <c r="AF126" s="278">
        <f t="shared" si="64"/>
        <v>77.021056398884426</v>
      </c>
      <c r="AG126" s="279">
        <f t="shared" si="96"/>
        <v>40</v>
      </c>
      <c r="AH126" s="279">
        <f>AF126*1000000/(Inputs!$C$9*100*Inputs!$C$8*1000*(1-Inputs!$C$10)*(1+Inputs!$C$12))</f>
        <v>15.410375429948866</v>
      </c>
      <c r="AI126" s="279">
        <f>IFERROR(HLOOKUP(A126,Inputs!$C$14:$C$15,2,FALSE),-100)</f>
        <v>-100</v>
      </c>
      <c r="AJ126" s="281">
        <f t="shared" si="101"/>
        <v>0</v>
      </c>
      <c r="AK126" s="282">
        <f t="shared" si="78"/>
        <v>3.6700000000000004</v>
      </c>
      <c r="AL126" s="282">
        <f t="shared" si="79"/>
        <v>1.0161290322580645</v>
      </c>
      <c r="AM126" s="282">
        <f t="shared" si="80"/>
        <v>-1.9838368458620446</v>
      </c>
      <c r="AN126" s="283">
        <f>IFERROR(IF($G$1="Sí",VLOOKUP($A126,CSVAgro,9,FALSE),VLOOKUP($A126,Clima!$E$8:$Q$373,13,FALSE)),0)</f>
        <v>3.3</v>
      </c>
      <c r="AO126" s="281">
        <f t="shared" si="110"/>
        <v>165.50000000000009</v>
      </c>
      <c r="AP126" s="281">
        <f>IFERROR(VLOOKUP($A126,'F TrB'!$C$3:$O$21,3,FALSE),-9999)</f>
        <v>-9999</v>
      </c>
      <c r="AQ126" s="281">
        <f t="shared" si="102"/>
        <v>-999</v>
      </c>
      <c r="AR126" s="281">
        <f>IFERROR(IF(VLOOKUP($A126,'F TrB'!$Q$3:$R$21,2,FALSE)=0,-99999,VLOOKUP($A126,'F TrB'!$Q$3:$R$21,2,FALSE)),-99999)</f>
        <v>-99999</v>
      </c>
      <c r="AS126" s="281">
        <f t="shared" si="103"/>
        <v>-99999</v>
      </c>
      <c r="AT126" s="281" t="str">
        <f>IFERROR(VLOOKUP($A126,'NDVI tipo'!$Q$8:$S$30,2,FALSE),"")</f>
        <v/>
      </c>
      <c r="AU126" s="281">
        <f>IF(ISERROR(VLOOKUP($A126,'NDVI tipo'!$Q$8:$S$50,2,FALSE)),AU125+VLOOKUP($A126,'NDVI tipo'!$Q$8:$S$50,3,TRUE),VLOOKUP($A126,'NDVI tipo'!$Q$8:$S$50,2,FALSE))</f>
        <v>0.49635958536585384</v>
      </c>
      <c r="AV126" s="281">
        <f>IFERROR(VLOOKUP($A126,'NDVI real'!$Q$8:$S$44,2,FALSE),-999)</f>
        <v>-999</v>
      </c>
      <c r="AW126" s="281">
        <f>IF(ISERROR(VLOOKUP($A126,'NDVI real'!$T$8:$U$350,2,FALSE)),"",VLOOKUP($A126,'NDVI real'!$T$8:$U$350,2,FALSE))</f>
        <v>0.59512195135501389</v>
      </c>
      <c r="AX126" s="286">
        <f>IFERROR(VLOOKUP($A126,SWB!$C$15:$BE$244,53,FALSE),"")</f>
        <v>1.2665029807437407</v>
      </c>
      <c r="AY126" s="286">
        <f>IFERROR(VLOOKUP($A126,SWB!$C$15:$BE$244,55,FALSE),"")</f>
        <v>2.4995766894896363</v>
      </c>
      <c r="AZ126" s="281">
        <f>IF(ISERROR(VLOOKUP($A126,Clima!$V$8:$AI$320,14,FALSE)),-999,VLOOKUP(A126,Clima!$V$8:$AI$219,14,FALSE))</f>
        <v>3.7</v>
      </c>
      <c r="BA126" s="281">
        <f t="shared" si="111"/>
        <v>180.00000000000006</v>
      </c>
      <c r="BB126" s="281">
        <f t="shared" si="104"/>
        <v>3.7</v>
      </c>
      <c r="BC126" s="281">
        <f t="shared" si="112"/>
        <v>180.00000000000006</v>
      </c>
      <c r="BD126" s="284">
        <f t="shared" si="97"/>
        <v>42097</v>
      </c>
    </row>
    <row r="127" spans="1:56" s="275" customFormat="1" ht="12.75">
      <c r="A127" s="273">
        <f t="shared" si="105"/>
        <v>42098</v>
      </c>
      <c r="B127" s="274">
        <f t="shared" si="81"/>
        <v>94</v>
      </c>
      <c r="C127" s="275" t="str">
        <f t="shared" si="82"/>
        <v>Desarrollo</v>
      </c>
      <c r="D127" s="276">
        <f t="shared" si="83"/>
        <v>3.5</v>
      </c>
      <c r="E127" s="276">
        <f t="shared" si="84"/>
        <v>0.77579403816585413</v>
      </c>
      <c r="F127" s="276"/>
      <c r="G127" s="276">
        <f t="shared" si="85"/>
        <v>0.162969</v>
      </c>
      <c r="H127" s="276">
        <f t="shared" si="86"/>
        <v>0.53915999999999997</v>
      </c>
      <c r="I127" s="276">
        <f t="shared" si="87"/>
        <v>2.2536879999999999</v>
      </c>
      <c r="J127" s="276">
        <f>IFERROR(IF($G$1="Sí",VLOOKUP($A127,CSVAgro,13,FALSE),VLOOKUP($A127,SWB!$C$15:$P$202,14,FALSE)),0)</f>
        <v>0</v>
      </c>
      <c r="K127" s="487">
        <f t="shared" si="88"/>
        <v>0</v>
      </c>
      <c r="L127" s="487">
        <f t="shared" si="89"/>
        <v>0</v>
      </c>
      <c r="M127" s="487">
        <f t="shared" si="90"/>
        <v>0</v>
      </c>
      <c r="N127" s="277">
        <f>IF(ISERROR($G$1="Sí"),VLOOKUP($A127,CSVAgro,16,FALSE),IF(ISERROR(VLOOKUP($A127,Clima!$W$8:$Z$284,2,FALSE)),VLOOKUP($A127,Clima!$E$8:$H$372,2,FALSE),VLOOKUP($A127,Clima!$W$8:$Z$284,2,FALSE)))</f>
        <v>13.6</v>
      </c>
      <c r="O127" s="276">
        <f t="shared" si="91"/>
        <v>112.73113437309624</v>
      </c>
      <c r="P127" s="276">
        <f t="shared" si="106"/>
        <v>88.600000000000009</v>
      </c>
      <c r="Q127" s="487">
        <f t="shared" si="92"/>
        <v>15</v>
      </c>
      <c r="R127" s="278">
        <f t="shared" si="107"/>
        <v>13.6</v>
      </c>
      <c r="S127" s="278">
        <f t="shared" si="98"/>
        <v>13.6</v>
      </c>
      <c r="T127" s="279">
        <f t="shared" si="93"/>
        <v>94</v>
      </c>
      <c r="U127" s="279">
        <f t="shared" si="62"/>
        <v>14</v>
      </c>
      <c r="V127" s="276">
        <f t="shared" si="99"/>
        <v>0</v>
      </c>
      <c r="W127" s="276">
        <f>IF(AND(S127&gt;VLOOKUP(Inputs!$I$2,Extracciones,3),S127&lt;VLOOKUP(Inputs!$I$2,Extracciones,5)),(S127-VLOOKUP(Inputs!$I$2,Extracciones,3))*Inputs!$E$12,0)</f>
        <v>0</v>
      </c>
      <c r="X127" s="278">
        <f>IF(AD127=0,VLOOKUP(R127,Mineral,2)*R127*Inputs!$C$16*Inputs!$E$37,VLOOKUP(R127,Mineral,2)*R127*Inputs!$C$16)</f>
        <v>0.40800000000000003</v>
      </c>
      <c r="Y127" s="278">
        <f>SUM(K127,M127)*Inputs!$O$8*14/(100*62)</f>
        <v>0</v>
      </c>
      <c r="Z127" s="278">
        <f t="shared" si="108"/>
        <v>0</v>
      </c>
      <c r="AA127" s="278">
        <f t="shared" si="109"/>
        <v>0</v>
      </c>
      <c r="AB127" s="279">
        <f t="shared" si="94"/>
        <v>0</v>
      </c>
      <c r="AC127" s="278">
        <f t="shared" si="77"/>
        <v>0</v>
      </c>
      <c r="AD127" s="279">
        <f t="shared" si="95"/>
        <v>-1.3637642124883504</v>
      </c>
      <c r="AE127" s="278">
        <f t="shared" si="100"/>
        <v>-96.52499999999992</v>
      </c>
      <c r="AF127" s="278">
        <f t="shared" si="64"/>
        <v>76.065292186396078</v>
      </c>
      <c r="AG127" s="279">
        <f t="shared" si="96"/>
        <v>40</v>
      </c>
      <c r="AH127" s="279">
        <f>AF127*1000000/(Inputs!$C$9*100*Inputs!$C$8*1000*(1-Inputs!$C$10)*(1+Inputs!$C$12))</f>
        <v>15.219146095717502</v>
      </c>
      <c r="AI127" s="279">
        <f>IFERROR(HLOOKUP(A127,Inputs!$C$14:$C$15,2,FALSE),-100)</f>
        <v>-100</v>
      </c>
      <c r="AJ127" s="281">
        <f t="shared" si="101"/>
        <v>0</v>
      </c>
      <c r="AK127" s="282">
        <f t="shared" si="78"/>
        <v>4.0780000000000003</v>
      </c>
      <c r="AL127" s="282">
        <f t="shared" si="79"/>
        <v>1.0161290322580645</v>
      </c>
      <c r="AM127" s="282">
        <f t="shared" si="80"/>
        <v>-1.9838368458620446</v>
      </c>
      <c r="AN127" s="283">
        <f>IFERROR(IF($G$1="Sí",VLOOKUP($A127,CSVAgro,9,FALSE),VLOOKUP($A127,Clima!$E$8:$Q$373,13,FALSE)),0)</f>
        <v>4.0999999999999996</v>
      </c>
      <c r="AO127" s="281">
        <f t="shared" si="110"/>
        <v>169.60000000000008</v>
      </c>
      <c r="AP127" s="281">
        <f>IFERROR(VLOOKUP($A127,'F TrB'!$C$3:$O$21,3,FALSE),-9999)</f>
        <v>31</v>
      </c>
      <c r="AQ127" s="281">
        <f t="shared" si="102"/>
        <v>1.4</v>
      </c>
      <c r="AR127" s="281">
        <f>IFERROR(IF(VLOOKUP($A127,'F TrB'!$Q$3:$R$21,2,FALSE)=0,-99999,VLOOKUP($A127,'F TrB'!$Q$3:$R$21,2,FALSE)),-99999)</f>
        <v>30</v>
      </c>
      <c r="AS127" s="281">
        <f t="shared" si="103"/>
        <v>1.4</v>
      </c>
      <c r="AT127" s="281" t="str">
        <f>IFERROR(VLOOKUP($A127,'NDVI tipo'!$Q$8:$S$30,2,FALSE),"")</f>
        <v/>
      </c>
      <c r="AU127" s="281">
        <f>IF(ISERROR(VLOOKUP($A127,'NDVI tipo'!$Q$8:$S$50,2,FALSE)),AU126+VLOOKUP($A127,'NDVI tipo'!$Q$8:$S$50,3,TRUE),VLOOKUP($A127,'NDVI tipo'!$Q$8:$S$50,2,FALSE))</f>
        <v>0.50468860975609775</v>
      </c>
      <c r="AV127" s="281">
        <f>IFERROR(VLOOKUP($A127,'NDVI real'!$Q$8:$S$44,2,FALSE),-999)</f>
        <v>-999</v>
      </c>
      <c r="AW127" s="281">
        <f>IF(ISERROR(VLOOKUP($A127,'NDVI real'!$T$8:$U$350,2,FALSE)),"",VLOOKUP($A127,'NDVI real'!$T$8:$U$350,2,FALSE))</f>
        <v>0.60819030428184317</v>
      </c>
      <c r="AX127" s="286">
        <f>IFERROR(VLOOKUP($A127,SWB!$C$15:$BE$244,53,FALSE),"")</f>
        <v>1.3833177955970741</v>
      </c>
      <c r="AY127" s="286">
        <f>IFERROR(VLOOKUP($A127,SWB!$C$15:$BE$244,55,FALSE),"")</f>
        <v>3.0801310267352946</v>
      </c>
      <c r="AZ127" s="281">
        <f>IF(ISERROR(VLOOKUP($A127,Clima!$V$8:$AI$320,14,FALSE)),-999,VLOOKUP(A127,Clima!$V$8:$AI$219,14,FALSE))</f>
        <v>3.5</v>
      </c>
      <c r="BA127" s="281">
        <f t="shared" si="111"/>
        <v>183.50000000000006</v>
      </c>
      <c r="BB127" s="281">
        <f t="shared" si="104"/>
        <v>3.5</v>
      </c>
      <c r="BC127" s="281">
        <f t="shared" si="112"/>
        <v>183.50000000000006</v>
      </c>
      <c r="BD127" s="284">
        <f t="shared" si="97"/>
        <v>42098</v>
      </c>
    </row>
    <row r="128" spans="1:56" s="275" customFormat="1" ht="12.75">
      <c r="A128" s="273">
        <f t="shared" si="105"/>
        <v>42099</v>
      </c>
      <c r="B128" s="274">
        <f t="shared" si="81"/>
        <v>95</v>
      </c>
      <c r="C128" s="275" t="str">
        <f t="shared" si="82"/>
        <v>Desarrollo</v>
      </c>
      <c r="D128" s="276">
        <f t="shared" si="83"/>
        <v>4.4000000000000004</v>
      </c>
      <c r="E128" s="276">
        <f t="shared" si="84"/>
        <v>0.79461246638048832</v>
      </c>
      <c r="F128" s="276"/>
      <c r="G128" s="276">
        <f t="shared" si="85"/>
        <v>0.10806300000000001</v>
      </c>
      <c r="H128" s="276">
        <f t="shared" si="86"/>
        <v>0.50687300000000002</v>
      </c>
      <c r="I128" s="276">
        <f t="shared" si="87"/>
        <v>1.910911</v>
      </c>
      <c r="J128" s="276">
        <f>IFERROR(IF($G$1="Sí",VLOOKUP($A128,CSVAgro,13,FALSE),VLOOKUP($A128,SWB!$C$15:$P$202,14,FALSE)),0)</f>
        <v>0</v>
      </c>
      <c r="K128" s="487">
        <f t="shared" si="88"/>
        <v>0</v>
      </c>
      <c r="L128" s="487">
        <f t="shared" si="89"/>
        <v>0</v>
      </c>
      <c r="M128" s="487">
        <f t="shared" si="90"/>
        <v>0</v>
      </c>
      <c r="N128" s="277">
        <f>IF(ISERROR($G$1="Sí"),VLOOKUP($A128,CSVAgro,16,FALSE),IF(ISERROR(VLOOKUP($A128,Clima!$W$8:$Z$284,2,FALSE)),VLOOKUP($A128,Clima!$E$8:$H$372,2,FALSE),VLOOKUP($A128,Clima!$W$8:$Z$284,2,FALSE)))</f>
        <v>12.5</v>
      </c>
      <c r="O128" s="276">
        <f t="shared" si="91"/>
        <v>113.61629212162806</v>
      </c>
      <c r="P128" s="276">
        <f t="shared" si="106"/>
        <v>88.600000000000009</v>
      </c>
      <c r="Q128" s="487">
        <f t="shared" si="92"/>
        <v>15</v>
      </c>
      <c r="R128" s="278">
        <f t="shared" si="107"/>
        <v>12.5</v>
      </c>
      <c r="S128" s="278">
        <f t="shared" si="98"/>
        <v>12.5</v>
      </c>
      <c r="T128" s="279">
        <f t="shared" si="93"/>
        <v>95</v>
      </c>
      <c r="U128" s="279">
        <f t="shared" si="62"/>
        <v>14</v>
      </c>
      <c r="V128" s="276">
        <f t="shared" si="99"/>
        <v>0</v>
      </c>
      <c r="W128" s="276">
        <f>IF(AND(S128&gt;VLOOKUP(Inputs!$I$2,Extracciones,3),S128&lt;VLOOKUP(Inputs!$I$2,Extracciones,5)),(S128-VLOOKUP(Inputs!$I$2,Extracciones,3))*Inputs!$E$12,0)</f>
        <v>0</v>
      </c>
      <c r="X128" s="278">
        <f>IF(AD128=0,VLOOKUP(R128,Mineral,2)*R128*Inputs!$C$16*Inputs!$E$37,VLOOKUP(R128,Mineral,2)*R128*Inputs!$C$16)</f>
        <v>0</v>
      </c>
      <c r="Y128" s="278">
        <f>SUM(K128,M128)*Inputs!$O$8*14/(100*62)</f>
        <v>0</v>
      </c>
      <c r="Z128" s="278">
        <f t="shared" si="108"/>
        <v>0</v>
      </c>
      <c r="AA128" s="278">
        <f t="shared" si="109"/>
        <v>0</v>
      </c>
      <c r="AB128" s="279">
        <f t="shared" si="94"/>
        <v>0</v>
      </c>
      <c r="AC128" s="278">
        <f t="shared" si="77"/>
        <v>0</v>
      </c>
      <c r="AD128" s="279">
        <f t="shared" si="95"/>
        <v>-3.1263157894736842</v>
      </c>
      <c r="AE128" s="278">
        <f t="shared" si="100"/>
        <v>-99.6513157894736</v>
      </c>
      <c r="AF128" s="278">
        <f t="shared" si="64"/>
        <v>72.938976396922399</v>
      </c>
      <c r="AG128" s="279">
        <f t="shared" si="96"/>
        <v>40</v>
      </c>
      <c r="AH128" s="279">
        <f>AF128*1000000/(Inputs!$C$9*100*Inputs!$C$8*1000*(1-Inputs!$C$10)*(1+Inputs!$C$12))</f>
        <v>14.59363273247747</v>
      </c>
      <c r="AI128" s="279">
        <f>IFERROR(HLOOKUP(A128,Inputs!$C$14:$C$15,2,FALSE),-100)</f>
        <v>-100</v>
      </c>
      <c r="AJ128" s="281">
        <f t="shared" si="101"/>
        <v>0</v>
      </c>
      <c r="AK128" s="282">
        <f t="shared" si="78"/>
        <v>4.0780000000000003</v>
      </c>
      <c r="AL128" s="282">
        <f t="shared" si="79"/>
        <v>1.0161290322580645</v>
      </c>
      <c r="AM128" s="282">
        <f t="shared" si="80"/>
        <v>-1.9838368458620446</v>
      </c>
      <c r="AN128" s="283">
        <f>IFERROR(IF($G$1="Sí",VLOOKUP($A128,CSVAgro,9,FALSE),VLOOKUP($A128,Clima!$E$8:$Q$373,13,FALSE)),0)</f>
        <v>1.1000000000000001</v>
      </c>
      <c r="AO128" s="281">
        <f t="shared" si="110"/>
        <v>170.70000000000007</v>
      </c>
      <c r="AP128" s="281">
        <f>IFERROR(VLOOKUP($A128,'F TrB'!$C$3:$O$21,3,FALSE),-9999)</f>
        <v>-9999</v>
      </c>
      <c r="AQ128" s="281">
        <f t="shared" si="102"/>
        <v>-999</v>
      </c>
      <c r="AR128" s="281">
        <f>IFERROR(IF(VLOOKUP($A128,'F TrB'!$Q$3:$R$21,2,FALSE)=0,-99999,VLOOKUP($A128,'F TrB'!$Q$3:$R$21,2,FALSE)),-99999)</f>
        <v>-99999</v>
      </c>
      <c r="AS128" s="281">
        <f t="shared" si="103"/>
        <v>-99999</v>
      </c>
      <c r="AT128" s="281" t="str">
        <f>IFERROR(VLOOKUP($A128,'NDVI tipo'!$Q$8:$S$30,2,FALSE),"")</f>
        <v/>
      </c>
      <c r="AU128" s="281">
        <f>IF(ISERROR(VLOOKUP($A128,'NDVI tipo'!$Q$8:$S$50,2,FALSE)),AU127+VLOOKUP($A128,'NDVI tipo'!$Q$8:$S$50,3,TRUE),VLOOKUP($A128,'NDVI tipo'!$Q$8:$S$50,2,FALSE))</f>
        <v>0.51301763414634161</v>
      </c>
      <c r="AV128" s="281">
        <f>IFERROR(VLOOKUP($A128,'NDVI real'!$Q$8:$S$44,2,FALSE),-999)</f>
        <v>-999</v>
      </c>
      <c r="AW128" s="281">
        <f>IF(ISERROR(VLOOKUP($A128,'NDVI real'!$T$8:$U$350,2,FALSE)),"",VLOOKUP($A128,'NDVI real'!$T$8:$U$350,2,FALSE))</f>
        <v>0.62125865720867246</v>
      </c>
      <c r="AX128" s="286">
        <f>IFERROR(VLOOKUP($A128,SWB!$C$15:$BE$244,53,FALSE),"")</f>
        <v>1.4155208669728465</v>
      </c>
      <c r="AY128" s="286">
        <f>IFERROR(VLOOKUP($A128,SWB!$C$15:$BE$244,55,FALSE),"")</f>
        <v>0.82867154312206992</v>
      </c>
      <c r="AZ128" s="281">
        <f>IF(ISERROR(VLOOKUP($A128,Clima!$V$8:$AI$320,14,FALSE)),-999,VLOOKUP(A128,Clima!$V$8:$AI$219,14,FALSE))</f>
        <v>4.4000000000000004</v>
      </c>
      <c r="BA128" s="281">
        <f t="shared" si="111"/>
        <v>187.90000000000006</v>
      </c>
      <c r="BB128" s="281">
        <f t="shared" si="104"/>
        <v>4.4000000000000004</v>
      </c>
      <c r="BC128" s="281">
        <f t="shared" si="112"/>
        <v>187.90000000000006</v>
      </c>
      <c r="BD128" s="284">
        <f t="shared" si="97"/>
        <v>42099</v>
      </c>
    </row>
    <row r="129" spans="1:56" s="275" customFormat="1" ht="12.75">
      <c r="A129" s="273">
        <f t="shared" si="105"/>
        <v>42100</v>
      </c>
      <c r="B129" s="274">
        <f t="shared" si="81"/>
        <v>96</v>
      </c>
      <c r="C129" s="275" t="str">
        <f t="shared" si="82"/>
        <v>Desarrollo</v>
      </c>
      <c r="D129" s="276">
        <f t="shared" si="83"/>
        <v>1.7</v>
      </c>
      <c r="E129" s="276">
        <f t="shared" si="84"/>
        <v>0.81343089459512252</v>
      </c>
      <c r="F129" s="276"/>
      <c r="G129" s="276">
        <f t="shared" si="85"/>
        <v>7.7950000000000005E-2</v>
      </c>
      <c r="H129" s="276">
        <f t="shared" si="86"/>
        <v>0.49937900000000002</v>
      </c>
      <c r="I129" s="276">
        <f t="shared" si="87"/>
        <v>1.847701</v>
      </c>
      <c r="J129" s="276">
        <f>IFERROR(IF($G$1="Sí",VLOOKUP($A129,CSVAgro,13,FALSE),VLOOKUP($A129,SWB!$C$15:$P$202,14,FALSE)),0)</f>
        <v>0</v>
      </c>
      <c r="K129" s="487">
        <f t="shared" si="88"/>
        <v>0</v>
      </c>
      <c r="L129" s="487">
        <f t="shared" si="89"/>
        <v>0</v>
      </c>
      <c r="M129" s="487">
        <f t="shared" si="90"/>
        <v>0</v>
      </c>
      <c r="N129" s="277">
        <f>IF(ISERROR($G$1="Sí"),VLOOKUP($A129,CSVAgro,16,FALSE),IF(ISERROR(VLOOKUP($A129,Clima!$W$8:$Z$284,2,FALSE)),VLOOKUP($A129,Clima!$E$8:$H$372,2,FALSE),VLOOKUP($A129,Clima!$W$8:$Z$284,2,FALSE)))</f>
        <v>10.199999999999999</v>
      </c>
      <c r="O129" s="276">
        <f t="shared" si="91"/>
        <v>114.76802516788989</v>
      </c>
      <c r="P129" s="276">
        <f t="shared" si="106"/>
        <v>88.600000000000009</v>
      </c>
      <c r="Q129" s="487">
        <f t="shared" si="92"/>
        <v>15</v>
      </c>
      <c r="R129" s="278">
        <f t="shared" si="107"/>
        <v>10.199999999999999</v>
      </c>
      <c r="S129" s="278">
        <f t="shared" si="98"/>
        <v>10.199999999999999</v>
      </c>
      <c r="T129" s="279">
        <f t="shared" si="93"/>
        <v>96</v>
      </c>
      <c r="U129" s="279">
        <f t="shared" si="62"/>
        <v>15</v>
      </c>
      <c r="V129" s="276">
        <f t="shared" si="99"/>
        <v>0</v>
      </c>
      <c r="W129" s="276">
        <f>IF(AND(S129&gt;VLOOKUP(Inputs!$I$2,Extracciones,3),S129&lt;VLOOKUP(Inputs!$I$2,Extracciones,5)),(S129-VLOOKUP(Inputs!$I$2,Extracciones,3))*Inputs!$E$12,0)</f>
        <v>0</v>
      </c>
      <c r="X129" s="278">
        <f>IF(AD129=0,VLOOKUP(R129,Mineral,2)*R129*Inputs!$C$16*Inputs!$E$37,VLOOKUP(R129,Mineral,2)*R129*Inputs!$C$16)</f>
        <v>0</v>
      </c>
      <c r="Y129" s="278">
        <f>SUM(K129,M129)*Inputs!$O$8*14/(100*62)</f>
        <v>0</v>
      </c>
      <c r="Z129" s="278">
        <f t="shared" si="108"/>
        <v>0</v>
      </c>
      <c r="AA129" s="278">
        <f t="shared" si="109"/>
        <v>0</v>
      </c>
      <c r="AB129" s="279">
        <f t="shared" si="94"/>
        <v>0</v>
      </c>
      <c r="AC129" s="278">
        <f t="shared" si="77"/>
        <v>0</v>
      </c>
      <c r="AD129" s="279">
        <f t="shared" si="95"/>
        <v>-3.1263157894736842</v>
      </c>
      <c r="AE129" s="278">
        <f t="shared" si="100"/>
        <v>-102.77763157894728</v>
      </c>
      <c r="AF129" s="278">
        <f t="shared" si="64"/>
        <v>69.81266060744872</v>
      </c>
      <c r="AG129" s="279">
        <f t="shared" si="96"/>
        <v>40</v>
      </c>
      <c r="AH129" s="279">
        <f>AF129*1000000/(Inputs!$C$9*100*Inputs!$C$8*1000*(1-Inputs!$C$10)*(1+Inputs!$C$12))</f>
        <v>13.96811936923744</v>
      </c>
      <c r="AI129" s="279">
        <f>IFERROR(HLOOKUP(A129,Inputs!$C$14:$C$15,2,FALSE),-100)</f>
        <v>-100</v>
      </c>
      <c r="AJ129" s="281">
        <f t="shared" si="101"/>
        <v>0</v>
      </c>
      <c r="AK129" s="282">
        <f t="shared" si="78"/>
        <v>4.0780000000000003</v>
      </c>
      <c r="AL129" s="282">
        <f t="shared" si="79"/>
        <v>1.0161290322580645</v>
      </c>
      <c r="AM129" s="282">
        <f t="shared" si="80"/>
        <v>-1.9838368458620446</v>
      </c>
      <c r="AN129" s="283">
        <f>IFERROR(IF($G$1="Sí",VLOOKUP($A129,CSVAgro,9,FALSE),VLOOKUP($A129,Clima!$E$8:$Q$373,13,FALSE)),0)</f>
        <v>1.4</v>
      </c>
      <c r="AO129" s="281">
        <f t="shared" si="110"/>
        <v>172.10000000000008</v>
      </c>
      <c r="AP129" s="281">
        <f>IFERROR(VLOOKUP($A129,'F TrB'!$C$3:$O$21,3,FALSE),-9999)</f>
        <v>-9999</v>
      </c>
      <c r="AQ129" s="281">
        <f t="shared" si="102"/>
        <v>-999</v>
      </c>
      <c r="AR129" s="281">
        <f>IFERROR(IF(VLOOKUP($A129,'F TrB'!$Q$3:$R$21,2,FALSE)=0,-99999,VLOOKUP($A129,'F TrB'!$Q$3:$R$21,2,FALSE)),-99999)</f>
        <v>-99999</v>
      </c>
      <c r="AS129" s="281">
        <f t="shared" si="103"/>
        <v>-99999</v>
      </c>
      <c r="AT129" s="281" t="str">
        <f>IFERROR(VLOOKUP($A129,'NDVI tipo'!$Q$8:$S$30,2,FALSE),"")</f>
        <v/>
      </c>
      <c r="AU129" s="281">
        <f>IF(ISERROR(VLOOKUP($A129,'NDVI tipo'!$Q$8:$S$50,2,FALSE)),AU128+VLOOKUP($A129,'NDVI tipo'!$Q$8:$S$50,3,TRUE),VLOOKUP($A129,'NDVI tipo'!$Q$8:$S$50,2,FALSE))</f>
        <v>0.52134665853658546</v>
      </c>
      <c r="AV129" s="281">
        <f>IFERROR(VLOOKUP($A129,'NDVI real'!$Q$8:$S$44,2,FALSE),-999)</f>
        <v>-999</v>
      </c>
      <c r="AW129" s="281">
        <f>IF(ISERROR(VLOOKUP($A129,'NDVI real'!$T$8:$U$350,2,FALSE)),"",VLOOKUP($A129,'NDVI real'!$T$8:$U$350,2,FALSE))</f>
        <v>0.63432701013550175</v>
      </c>
      <c r="AX129" s="286">
        <f>IFERROR(VLOOKUP($A129,SWB!$C$15:$BE$244,53,FALSE),"")</f>
        <v>1.4576043358242288</v>
      </c>
      <c r="AY129" s="286">
        <f>IFERROR(VLOOKUP($A129,SWB!$C$15:$BE$244,55,FALSE),"")</f>
        <v>1.0704637284238459</v>
      </c>
      <c r="AZ129" s="281">
        <f>IF(ISERROR(VLOOKUP($A129,Clima!$V$8:$AI$320,14,FALSE)),-999,VLOOKUP(A129,Clima!$V$8:$AI$219,14,FALSE))</f>
        <v>1.7</v>
      </c>
      <c r="BA129" s="281">
        <f t="shared" si="111"/>
        <v>189.60000000000005</v>
      </c>
      <c r="BB129" s="281">
        <f t="shared" si="104"/>
        <v>1.7</v>
      </c>
      <c r="BC129" s="281">
        <f t="shared" si="112"/>
        <v>189.60000000000005</v>
      </c>
      <c r="BD129" s="284">
        <f t="shared" si="97"/>
        <v>42100</v>
      </c>
    </row>
    <row r="130" spans="1:56" s="275" customFormat="1" ht="12.75">
      <c r="A130" s="273">
        <f t="shared" si="105"/>
        <v>42101</v>
      </c>
      <c r="B130" s="274">
        <f t="shared" si="81"/>
        <v>97</v>
      </c>
      <c r="C130" s="275" t="str">
        <f t="shared" si="82"/>
        <v>Desarrollo</v>
      </c>
      <c r="D130" s="276">
        <f t="shared" si="83"/>
        <v>2.7</v>
      </c>
      <c r="E130" s="276">
        <f t="shared" si="84"/>
        <v>0.83224932280975672</v>
      </c>
      <c r="F130" s="276"/>
      <c r="G130" s="276">
        <f t="shared" si="85"/>
        <v>5.5294000000000003E-2</v>
      </c>
      <c r="H130" s="276">
        <f t="shared" si="86"/>
        <v>0.49934200000000001</v>
      </c>
      <c r="I130" s="276">
        <f t="shared" si="87"/>
        <v>1.7277229999999999</v>
      </c>
      <c r="J130" s="276">
        <f>IFERROR(IF($G$1="Sí",VLOOKUP($A130,CSVAgro,13,FALSE),VLOOKUP($A130,SWB!$C$15:$P$202,14,FALSE)),0)</f>
        <v>0</v>
      </c>
      <c r="K130" s="487">
        <f t="shared" si="88"/>
        <v>0</v>
      </c>
      <c r="L130" s="487">
        <f t="shared" si="89"/>
        <v>0</v>
      </c>
      <c r="M130" s="487">
        <f t="shared" si="90"/>
        <v>0</v>
      </c>
      <c r="N130" s="277">
        <f>IF(ISERROR($G$1="Sí"),VLOOKUP($A130,CSVAgro,16,FALSE),IF(ISERROR(VLOOKUP($A130,Clima!$W$8:$Z$284,2,FALSE)),VLOOKUP($A130,Clima!$E$8:$H$372,2,FALSE),VLOOKUP($A130,Clima!$W$8:$Z$284,2,FALSE)))</f>
        <v>8.6</v>
      </c>
      <c r="O130" s="276">
        <f t="shared" si="91"/>
        <v>117.28989267390675</v>
      </c>
      <c r="P130" s="276">
        <f t="shared" si="106"/>
        <v>88.600000000000009</v>
      </c>
      <c r="Q130" s="487">
        <f t="shared" si="92"/>
        <v>15</v>
      </c>
      <c r="R130" s="278">
        <f t="shared" si="107"/>
        <v>8.6</v>
      </c>
      <c r="S130" s="278">
        <f t="shared" si="98"/>
        <v>8.6</v>
      </c>
      <c r="T130" s="279">
        <f t="shared" si="93"/>
        <v>97</v>
      </c>
      <c r="U130" s="279">
        <f t="shared" si="62"/>
        <v>15</v>
      </c>
      <c r="V130" s="276">
        <f t="shared" si="99"/>
        <v>0</v>
      </c>
      <c r="W130" s="276">
        <f>IF(AND(S130&gt;VLOOKUP(Inputs!$I$2,Extracciones,3),S130&lt;VLOOKUP(Inputs!$I$2,Extracciones,5)),(S130-VLOOKUP(Inputs!$I$2,Extracciones,3))*Inputs!$E$12,0)</f>
        <v>0</v>
      </c>
      <c r="X130" s="278">
        <f>IF(AD130=0,VLOOKUP(R130,Mineral,2)*R130*Inputs!$C$16*Inputs!$E$37,VLOOKUP(R130,Mineral,2)*R130*Inputs!$C$16)</f>
        <v>0</v>
      </c>
      <c r="Y130" s="278">
        <f>SUM(K130,M130)*Inputs!$O$8*14/(100*62)</f>
        <v>0</v>
      </c>
      <c r="Z130" s="278">
        <f t="shared" si="108"/>
        <v>0</v>
      </c>
      <c r="AA130" s="278">
        <f t="shared" si="109"/>
        <v>0</v>
      </c>
      <c r="AB130" s="279">
        <f t="shared" si="94"/>
        <v>0</v>
      </c>
      <c r="AC130" s="278">
        <f t="shared" si="77"/>
        <v>0</v>
      </c>
      <c r="AD130" s="279">
        <f t="shared" si="95"/>
        <v>-3.1263157894736842</v>
      </c>
      <c r="AE130" s="278">
        <f t="shared" si="100"/>
        <v>-105.90394736842096</v>
      </c>
      <c r="AF130" s="278">
        <f t="shared" si="64"/>
        <v>66.686344817975041</v>
      </c>
      <c r="AG130" s="279">
        <f t="shared" si="96"/>
        <v>40</v>
      </c>
      <c r="AH130" s="279">
        <f>AF130*1000000/(Inputs!$C$9*100*Inputs!$C$8*1000*(1-Inputs!$C$10)*(1+Inputs!$C$12))</f>
        <v>13.342606005997407</v>
      </c>
      <c r="AI130" s="279">
        <f>IFERROR(HLOOKUP(A130,Inputs!$C$14:$C$15,2,FALSE),-100)</f>
        <v>-100</v>
      </c>
      <c r="AJ130" s="281">
        <f t="shared" si="101"/>
        <v>0</v>
      </c>
      <c r="AK130" s="282">
        <f t="shared" si="78"/>
        <v>4.0780000000000003</v>
      </c>
      <c r="AL130" s="282">
        <f t="shared" si="79"/>
        <v>1.0161290322580645</v>
      </c>
      <c r="AM130" s="282">
        <f t="shared" si="80"/>
        <v>-1.9838368458620446</v>
      </c>
      <c r="AN130" s="283">
        <f>IFERROR(IF($G$1="Sí",VLOOKUP($A130,CSVAgro,9,FALSE),VLOOKUP($A130,Clima!$E$8:$Q$373,13,FALSE)),0)</f>
        <v>3</v>
      </c>
      <c r="AO130" s="281">
        <f t="shared" si="110"/>
        <v>175.10000000000008</v>
      </c>
      <c r="AP130" s="281">
        <f>IFERROR(VLOOKUP($A130,'F TrB'!$C$3:$O$21,3,FALSE),-9999)</f>
        <v>-9999</v>
      </c>
      <c r="AQ130" s="281">
        <f t="shared" si="102"/>
        <v>-999</v>
      </c>
      <c r="AR130" s="281">
        <f>IFERROR(IF(VLOOKUP($A130,'F TrB'!$Q$3:$R$21,2,FALSE)=0,-99999,VLOOKUP($A130,'F TrB'!$Q$3:$R$21,2,FALSE)),-99999)</f>
        <v>-99999</v>
      </c>
      <c r="AS130" s="281">
        <f t="shared" si="103"/>
        <v>-99999</v>
      </c>
      <c r="AT130" s="281" t="str">
        <f>IFERROR(VLOOKUP($A130,'NDVI tipo'!$Q$8:$S$30,2,FALSE),"")</f>
        <v/>
      </c>
      <c r="AU130" s="281">
        <f>IF(ISERROR(VLOOKUP($A130,'NDVI tipo'!$Q$8:$S$50,2,FALSE)),AU129+VLOOKUP($A130,'NDVI tipo'!$Q$8:$S$50,3,TRUE),VLOOKUP($A130,'NDVI tipo'!$Q$8:$S$50,2,FALSE))</f>
        <v>0.52967568292682932</v>
      </c>
      <c r="AV130" s="281">
        <f>IFERROR(VLOOKUP($A130,'NDVI real'!$Q$8:$S$44,2,FALSE),-999)</f>
        <v>-999</v>
      </c>
      <c r="AW130" s="281">
        <f>IF(ISERROR(VLOOKUP($A130,'NDVI real'!$T$8:$U$350,2,FALSE)),"",VLOOKUP($A130,'NDVI real'!$T$8:$U$350,2,FALSE))</f>
        <v>0.64739536306233103</v>
      </c>
      <c r="AX130" s="286">
        <f>IFERROR(VLOOKUP($A130,SWB!$C$15:$BE$244,53,FALSE),"")</f>
        <v>1.5501355011754483</v>
      </c>
      <c r="AY130" s="286">
        <f>IFERROR(VLOOKUP($A130,SWB!$C$15:$BE$244,55,FALSE),"")</f>
        <v>2.3067086849932537</v>
      </c>
      <c r="AZ130" s="281">
        <f>IF(ISERROR(VLOOKUP($A130,Clima!$V$8:$AI$320,14,FALSE)),-999,VLOOKUP(A130,Clima!$V$8:$AI$219,14,FALSE))</f>
        <v>2.7</v>
      </c>
      <c r="BA130" s="281">
        <f t="shared" si="111"/>
        <v>192.30000000000004</v>
      </c>
      <c r="BB130" s="281">
        <f t="shared" si="104"/>
        <v>2.7</v>
      </c>
      <c r="BC130" s="281">
        <f t="shared" si="112"/>
        <v>192.30000000000004</v>
      </c>
      <c r="BD130" s="284">
        <f t="shared" si="97"/>
        <v>42101</v>
      </c>
    </row>
    <row r="131" spans="1:56" s="275" customFormat="1" ht="12.75">
      <c r="A131" s="273">
        <f t="shared" si="105"/>
        <v>42102</v>
      </c>
      <c r="B131" s="274">
        <f t="shared" si="81"/>
        <v>98</v>
      </c>
      <c r="C131" s="275" t="str">
        <f t="shared" si="82"/>
        <v>Desarrollo</v>
      </c>
      <c r="D131" s="276">
        <f t="shared" si="83"/>
        <v>4</v>
      </c>
      <c r="E131" s="276">
        <f t="shared" si="84"/>
        <v>0.85106775102439081</v>
      </c>
      <c r="F131" s="276"/>
      <c r="G131" s="276">
        <f t="shared" si="85"/>
        <v>4.2050999999999998E-2</v>
      </c>
      <c r="H131" s="276">
        <f t="shared" si="86"/>
        <v>0.50871699999999997</v>
      </c>
      <c r="I131" s="276">
        <f t="shared" si="87"/>
        <v>2.2332689999999999</v>
      </c>
      <c r="J131" s="276">
        <f>IFERROR(IF($G$1="Sí",VLOOKUP($A131,CSVAgro,13,FALSE),VLOOKUP($A131,SWB!$C$15:$P$202,14,FALSE)),0)</f>
        <v>0</v>
      </c>
      <c r="K131" s="487">
        <f t="shared" si="88"/>
        <v>0</v>
      </c>
      <c r="L131" s="487">
        <f t="shared" si="89"/>
        <v>0</v>
      </c>
      <c r="M131" s="487">
        <f t="shared" si="90"/>
        <v>0</v>
      </c>
      <c r="N131" s="277">
        <f>IF(ISERROR($G$1="Sí"),VLOOKUP($A131,CSVAgro,16,FALSE),IF(ISERROR(VLOOKUP($A131,Clima!$W$8:$Z$284,2,FALSE)),VLOOKUP($A131,Clima!$E$8:$H$372,2,FALSE),VLOOKUP($A131,Clima!$W$8:$Z$284,2,FALSE)))</f>
        <v>9</v>
      </c>
      <c r="O131" s="276">
        <f t="shared" si="91"/>
        <v>120.55151435849109</v>
      </c>
      <c r="P131" s="276">
        <f t="shared" si="106"/>
        <v>88.600000000000009</v>
      </c>
      <c r="Q131" s="487">
        <f t="shared" si="92"/>
        <v>15</v>
      </c>
      <c r="R131" s="278">
        <f t="shared" si="107"/>
        <v>9</v>
      </c>
      <c r="S131" s="278">
        <f t="shared" si="98"/>
        <v>9</v>
      </c>
      <c r="T131" s="279">
        <f t="shared" si="93"/>
        <v>98</v>
      </c>
      <c r="U131" s="279">
        <f t="shared" si="62"/>
        <v>15</v>
      </c>
      <c r="V131" s="276">
        <f t="shared" si="99"/>
        <v>0</v>
      </c>
      <c r="W131" s="276">
        <f>IF(AND(S131&gt;VLOOKUP(Inputs!$I$2,Extracciones,3),S131&lt;VLOOKUP(Inputs!$I$2,Extracciones,5)),(S131-VLOOKUP(Inputs!$I$2,Extracciones,3))*Inputs!$E$12,0)</f>
        <v>0</v>
      </c>
      <c r="X131" s="278">
        <f>IF(AD131=0,VLOOKUP(R131,Mineral,2)*R131*Inputs!$C$16*Inputs!$E$37,VLOOKUP(R131,Mineral,2)*R131*Inputs!$C$16)</f>
        <v>0</v>
      </c>
      <c r="Y131" s="278">
        <f>SUM(K131,M131)*Inputs!$O$8*14/(100*62)</f>
        <v>0</v>
      </c>
      <c r="Z131" s="278">
        <f t="shared" si="108"/>
        <v>0</v>
      </c>
      <c r="AA131" s="278">
        <f t="shared" si="109"/>
        <v>0</v>
      </c>
      <c r="AB131" s="279">
        <f t="shared" si="94"/>
        <v>0</v>
      </c>
      <c r="AC131" s="278">
        <f t="shared" si="77"/>
        <v>0</v>
      </c>
      <c r="AD131" s="279">
        <f t="shared" si="95"/>
        <v>-3.1263157894736842</v>
      </c>
      <c r="AE131" s="278">
        <f t="shared" si="100"/>
        <v>-109.03026315789464</v>
      </c>
      <c r="AF131" s="278">
        <f t="shared" si="64"/>
        <v>63.560029028501354</v>
      </c>
      <c r="AG131" s="279">
        <f t="shared" si="96"/>
        <v>40</v>
      </c>
      <c r="AH131" s="279">
        <f>AF131*1000000/(Inputs!$C$9*100*Inputs!$C$8*1000*(1-Inputs!$C$10)*(1+Inputs!$C$12))</f>
        <v>12.717092642757374</v>
      </c>
      <c r="AI131" s="279">
        <f>IFERROR(HLOOKUP(A131,Inputs!$C$14:$C$15,2,FALSE),-100)</f>
        <v>-100</v>
      </c>
      <c r="AJ131" s="281">
        <f t="shared" si="101"/>
        <v>0</v>
      </c>
      <c r="AK131" s="282">
        <f t="shared" si="78"/>
        <v>4.0780000000000003</v>
      </c>
      <c r="AL131" s="282">
        <f t="shared" si="79"/>
        <v>1.0161290322580645</v>
      </c>
      <c r="AM131" s="282">
        <f t="shared" si="80"/>
        <v>-1.9838368458620446</v>
      </c>
      <c r="AN131" s="283">
        <f>IFERROR(IF($G$1="Sí",VLOOKUP($A131,CSVAgro,9,FALSE),VLOOKUP($A131,Clima!$E$8:$Q$373,13,FALSE)),0)</f>
        <v>3.8</v>
      </c>
      <c r="AO131" s="281">
        <f t="shared" si="110"/>
        <v>178.90000000000009</v>
      </c>
      <c r="AP131" s="281">
        <f>IFERROR(VLOOKUP($A131,'F TrB'!$C$3:$O$21,3,FALSE),-9999)</f>
        <v>-9999</v>
      </c>
      <c r="AQ131" s="281">
        <f t="shared" si="102"/>
        <v>-999</v>
      </c>
      <c r="AR131" s="281">
        <f>IFERROR(IF(VLOOKUP($A131,'F TrB'!$Q$3:$R$21,2,FALSE)=0,-99999,VLOOKUP($A131,'F TrB'!$Q$3:$R$21,2,FALSE)),-99999)</f>
        <v>-99999</v>
      </c>
      <c r="AS131" s="281">
        <f t="shared" si="103"/>
        <v>-99999</v>
      </c>
      <c r="AT131" s="281" t="str">
        <f>IFERROR(VLOOKUP($A131,'NDVI tipo'!$Q$8:$S$30,2,FALSE),"")</f>
        <v/>
      </c>
      <c r="AU131" s="281">
        <f>IF(ISERROR(VLOOKUP($A131,'NDVI tipo'!$Q$8:$S$50,2,FALSE)),AU130+VLOOKUP($A131,'NDVI tipo'!$Q$8:$S$50,3,TRUE),VLOOKUP($A131,'NDVI tipo'!$Q$8:$S$50,2,FALSE))</f>
        <v>0.53800470731707317</v>
      </c>
      <c r="AV131" s="281">
        <f>IFERROR(VLOOKUP($A131,'NDVI real'!$Q$8:$S$44,2,FALSE),-999)</f>
        <v>-999</v>
      </c>
      <c r="AW131" s="281">
        <f>IF(ISERROR(VLOOKUP($A131,'NDVI real'!$T$8:$U$350,2,FALSE)),"",VLOOKUP($A131,'NDVI real'!$T$8:$U$350,2,FALSE))</f>
        <v>0.66046371598916032</v>
      </c>
      <c r="AX131" s="286">
        <f>IFERROR(VLOOKUP($A131,SWB!$C$15:$BE$244,53,FALSE),"")</f>
        <v>1.6703212284209767</v>
      </c>
      <c r="AY131" s="286">
        <f>IFERROR(VLOOKUP($A131,SWB!$C$15:$BE$244,55,FALSE),"")</f>
        <v>2.907106213569179</v>
      </c>
      <c r="AZ131" s="281">
        <f>IF(ISERROR(VLOOKUP($A131,Clima!$V$8:$AI$320,14,FALSE)),-999,VLOOKUP(A131,Clima!$V$8:$AI$219,14,FALSE))</f>
        <v>4</v>
      </c>
      <c r="BA131" s="281">
        <f t="shared" si="111"/>
        <v>196.30000000000004</v>
      </c>
      <c r="BB131" s="281">
        <f t="shared" si="104"/>
        <v>4</v>
      </c>
      <c r="BC131" s="281">
        <f t="shared" si="112"/>
        <v>196.30000000000004</v>
      </c>
      <c r="BD131" s="284">
        <f t="shared" si="97"/>
        <v>42102</v>
      </c>
    </row>
    <row r="132" spans="1:56" s="275" customFormat="1" ht="12.75">
      <c r="A132" s="273">
        <f t="shared" si="105"/>
        <v>42103</v>
      </c>
      <c r="B132" s="274">
        <f t="shared" si="81"/>
        <v>99</v>
      </c>
      <c r="C132" s="275" t="str">
        <f t="shared" si="82"/>
        <v>Desarrollo</v>
      </c>
      <c r="D132" s="276">
        <f t="shared" si="83"/>
        <v>1.4</v>
      </c>
      <c r="E132" s="276">
        <f t="shared" si="84"/>
        <v>0.869886179239025</v>
      </c>
      <c r="F132" s="276"/>
      <c r="G132" s="276">
        <f t="shared" si="85"/>
        <v>2.5298000000000001E-2</v>
      </c>
      <c r="H132" s="276">
        <f t="shared" si="86"/>
        <v>0.51458300000000001</v>
      </c>
      <c r="I132" s="276">
        <f t="shared" si="87"/>
        <v>0.85935399999999995</v>
      </c>
      <c r="J132" s="276">
        <f>IFERROR(IF($G$1="Sí",VLOOKUP($A132,CSVAgro,13,FALSE),VLOOKUP($A132,SWB!$C$15:$P$202,14,FALSE)),0)</f>
        <v>1</v>
      </c>
      <c r="K132" s="487">
        <f t="shared" si="88"/>
        <v>5</v>
      </c>
      <c r="L132" s="487">
        <f t="shared" si="89"/>
        <v>0</v>
      </c>
      <c r="M132" s="487">
        <f t="shared" si="90"/>
        <v>5</v>
      </c>
      <c r="N132" s="277">
        <f>IF(ISERROR($G$1="Sí"),VLOOKUP($A132,CSVAgro,16,FALSE),IF(ISERROR(VLOOKUP($A132,Clima!$W$8:$Z$284,2,FALSE)),VLOOKUP($A132,Clima!$E$8:$H$372,2,FALSE),VLOOKUP($A132,Clima!$W$8:$Z$284,2,FALSE)))</f>
        <v>7.7</v>
      </c>
      <c r="O132" s="276">
        <f t="shared" si="91"/>
        <v>123.73574930189433</v>
      </c>
      <c r="P132" s="276">
        <f t="shared" si="106"/>
        <v>89.600000000000009</v>
      </c>
      <c r="Q132" s="487">
        <f t="shared" si="92"/>
        <v>15</v>
      </c>
      <c r="R132" s="278">
        <f t="shared" si="107"/>
        <v>7.7</v>
      </c>
      <c r="S132" s="278">
        <f t="shared" si="98"/>
        <v>7.7</v>
      </c>
      <c r="T132" s="279">
        <f t="shared" si="93"/>
        <v>99</v>
      </c>
      <c r="U132" s="279">
        <f t="shared" si="62"/>
        <v>15</v>
      </c>
      <c r="V132" s="276">
        <f t="shared" si="99"/>
        <v>0</v>
      </c>
      <c r="W132" s="276">
        <f>IF(AND(S132&gt;VLOOKUP(Inputs!$I$2,Extracciones,3),S132&lt;VLOOKUP(Inputs!$I$2,Extracciones,5)),(S132-VLOOKUP(Inputs!$I$2,Extracciones,3))*Inputs!$E$12,0)</f>
        <v>0</v>
      </c>
      <c r="X132" s="278">
        <f>IF(AD132=0,VLOOKUP(R132,Mineral,2)*R132*Inputs!$C$16*Inputs!$E$37,VLOOKUP(R132,Mineral,2)*R132*Inputs!$C$16)</f>
        <v>0</v>
      </c>
      <c r="Y132" s="278">
        <f>SUM(K132,M132)*Inputs!$O$8*14/(100*62)</f>
        <v>0.33870967741935482</v>
      </c>
      <c r="Z132" s="278">
        <f t="shared" si="108"/>
        <v>0</v>
      </c>
      <c r="AA132" s="278">
        <f t="shared" si="109"/>
        <v>0</v>
      </c>
      <c r="AB132" s="279">
        <f t="shared" si="94"/>
        <v>0</v>
      </c>
      <c r="AC132" s="278">
        <f t="shared" si="77"/>
        <v>0</v>
      </c>
      <c r="AD132" s="279">
        <f t="shared" si="95"/>
        <v>-3.1263157894736842</v>
      </c>
      <c r="AE132" s="278">
        <f t="shared" si="100"/>
        <v>-112.15657894736832</v>
      </c>
      <c r="AF132" s="278">
        <f t="shared" si="64"/>
        <v>60.77242291644702</v>
      </c>
      <c r="AG132" s="279">
        <f t="shared" si="96"/>
        <v>40</v>
      </c>
      <c r="AH132" s="279">
        <f>AF132*1000000/(Inputs!$C$9*100*Inputs!$C$8*1000*(1-Inputs!$C$10)*(1+Inputs!$C$12))</f>
        <v>12.159348322618452</v>
      </c>
      <c r="AI132" s="279">
        <f>IFERROR(HLOOKUP(A132,Inputs!$C$14:$C$15,2,FALSE),-100)</f>
        <v>-100</v>
      </c>
      <c r="AJ132" s="281">
        <f t="shared" si="101"/>
        <v>0</v>
      </c>
      <c r="AK132" s="282">
        <f t="shared" si="78"/>
        <v>4.0780000000000003</v>
      </c>
      <c r="AL132" s="282">
        <f t="shared" si="79"/>
        <v>1.3548387096774193</v>
      </c>
      <c r="AM132" s="282">
        <f t="shared" si="80"/>
        <v>-1.9838368458620446</v>
      </c>
      <c r="AN132" s="283">
        <f>IFERROR(IF($G$1="Sí",VLOOKUP($A132,CSVAgro,9,FALSE),VLOOKUP($A132,Clima!$E$8:$Q$373,13,FALSE)),0)</f>
        <v>3.6</v>
      </c>
      <c r="AO132" s="281">
        <f t="shared" si="110"/>
        <v>182.50000000000009</v>
      </c>
      <c r="AP132" s="281">
        <f>IFERROR(VLOOKUP($A132,'F TrB'!$C$3:$O$21,3,FALSE),-9999)</f>
        <v>-9999</v>
      </c>
      <c r="AQ132" s="281">
        <f t="shared" si="102"/>
        <v>-999</v>
      </c>
      <c r="AR132" s="281">
        <f>IFERROR(IF(VLOOKUP($A132,'F TrB'!$Q$3:$R$21,2,FALSE)=0,-99999,VLOOKUP($A132,'F TrB'!$Q$3:$R$21,2,FALSE)),-99999)</f>
        <v>-99999</v>
      </c>
      <c r="AS132" s="281">
        <f t="shared" si="103"/>
        <v>-99999</v>
      </c>
      <c r="AT132" s="281" t="str">
        <f>IFERROR(VLOOKUP($A132,'NDVI tipo'!$Q$8:$S$30,2,FALSE),"")</f>
        <v/>
      </c>
      <c r="AU132" s="281">
        <f>IF(ISERROR(VLOOKUP($A132,'NDVI tipo'!$Q$8:$S$50,2,FALSE)),AU131+VLOOKUP($A132,'NDVI tipo'!$Q$8:$S$50,3,TRUE),VLOOKUP($A132,'NDVI tipo'!$Q$8:$S$50,2,FALSE))</f>
        <v>0.54633373170731703</v>
      </c>
      <c r="AV132" s="281">
        <f>IFERROR(VLOOKUP($A132,'NDVI real'!$Q$8:$S$44,2,FALSE),-999)</f>
        <v>-999</v>
      </c>
      <c r="AW132" s="281">
        <f>IF(ISERROR(VLOOKUP($A132,'NDVI real'!$T$8:$U$350,2,FALSE)),"",VLOOKUP($A132,'NDVI real'!$T$8:$U$350,2,FALSE))</f>
        <v>0.6735320689159896</v>
      </c>
      <c r="AX132" s="286">
        <f>IFERROR(VLOOKUP($A132,SWB!$C$15:$BE$244,53,FALSE),"")</f>
        <v>1.7870041553068305</v>
      </c>
      <c r="AY132" s="286">
        <f>IFERROR(VLOOKUP($A132,SWB!$C$15:$BE$244,55,FALSE),"")</f>
        <v>2.73514232904121</v>
      </c>
      <c r="AZ132" s="281">
        <f>IF(ISERROR(VLOOKUP($A132,Clima!$V$8:$AI$320,14,FALSE)),-999,VLOOKUP(A132,Clima!$V$8:$AI$219,14,FALSE))</f>
        <v>1.4</v>
      </c>
      <c r="BA132" s="281">
        <f t="shared" si="111"/>
        <v>197.70000000000005</v>
      </c>
      <c r="BB132" s="281">
        <f t="shared" si="104"/>
        <v>1.4</v>
      </c>
      <c r="BC132" s="281">
        <f t="shared" si="112"/>
        <v>197.70000000000005</v>
      </c>
      <c r="BD132" s="284">
        <f t="shared" si="97"/>
        <v>42103</v>
      </c>
    </row>
    <row r="133" spans="1:56" s="275" customFormat="1" ht="12.75">
      <c r="A133" s="273">
        <f t="shared" si="105"/>
        <v>42104</v>
      </c>
      <c r="B133" s="274">
        <f t="shared" si="81"/>
        <v>100</v>
      </c>
      <c r="C133" s="275" t="str">
        <f t="shared" si="82"/>
        <v>Desarrollo</v>
      </c>
      <c r="D133" s="276">
        <f t="shared" si="83"/>
        <v>3.5</v>
      </c>
      <c r="E133" s="276">
        <f t="shared" si="84"/>
        <v>0.8887046074536592</v>
      </c>
      <c r="F133" s="276"/>
      <c r="G133" s="276">
        <f t="shared" si="85"/>
        <v>2.3687E-2</v>
      </c>
      <c r="H133" s="276">
        <f t="shared" si="86"/>
        <v>0.53559199999999996</v>
      </c>
      <c r="I133" s="276">
        <f t="shared" si="87"/>
        <v>1.419319</v>
      </c>
      <c r="J133" s="276">
        <f>IFERROR(IF($G$1="Sí",VLOOKUP($A133,CSVAgro,13,FALSE),VLOOKUP($A133,SWB!$C$15:$P$202,14,FALSE)),0)</f>
        <v>0</v>
      </c>
      <c r="K133" s="487">
        <f t="shared" si="88"/>
        <v>5</v>
      </c>
      <c r="L133" s="487">
        <f t="shared" si="89"/>
        <v>0</v>
      </c>
      <c r="M133" s="487">
        <f t="shared" si="90"/>
        <v>5</v>
      </c>
      <c r="N133" s="277">
        <f>IF(ISERROR($G$1="Sí"),VLOOKUP($A133,CSVAgro,16,FALSE),IF(ISERROR(VLOOKUP($A133,Clima!$W$8:$Z$284,2,FALSE)),VLOOKUP($A133,Clima!$E$8:$H$372,2,FALSE),VLOOKUP($A133,Clima!$W$8:$Z$284,2,FALSE)))</f>
        <v>10.5</v>
      </c>
      <c r="O133" s="276">
        <f t="shared" si="91"/>
        <v>127.80041455050042</v>
      </c>
      <c r="P133" s="276">
        <f t="shared" si="106"/>
        <v>89.600000000000009</v>
      </c>
      <c r="Q133" s="487">
        <f t="shared" si="92"/>
        <v>20</v>
      </c>
      <c r="R133" s="278">
        <f t="shared" si="107"/>
        <v>10.5</v>
      </c>
      <c r="S133" s="278">
        <f t="shared" si="98"/>
        <v>10.5</v>
      </c>
      <c r="T133" s="279">
        <f t="shared" si="93"/>
        <v>100</v>
      </c>
      <c r="U133" s="279">
        <f t="shared" si="62"/>
        <v>15</v>
      </c>
      <c r="V133" s="276">
        <f t="shared" si="99"/>
        <v>0</v>
      </c>
      <c r="W133" s="276">
        <f>IF(AND(S133&gt;VLOOKUP(Inputs!$I$2,Extracciones,3),S133&lt;VLOOKUP(Inputs!$I$2,Extracciones,5)),(S133-VLOOKUP(Inputs!$I$2,Extracciones,3))*Inputs!$E$12,0)</f>
        <v>0</v>
      </c>
      <c r="X133" s="278">
        <f>IF(AD133=0,VLOOKUP(R133,Mineral,2)*R133*Inputs!$C$16*Inputs!$E$37,VLOOKUP(R133,Mineral,2)*R133*Inputs!$C$16)</f>
        <v>0</v>
      </c>
      <c r="Y133" s="278">
        <f>SUM(K133,M133)*Inputs!$O$8*14/(100*62)</f>
        <v>0.33870967741935482</v>
      </c>
      <c r="Z133" s="278">
        <f t="shared" si="108"/>
        <v>0</v>
      </c>
      <c r="AA133" s="278">
        <f t="shared" si="109"/>
        <v>0</v>
      </c>
      <c r="AB133" s="279">
        <f t="shared" si="94"/>
        <v>0</v>
      </c>
      <c r="AC133" s="278">
        <f t="shared" si="77"/>
        <v>0</v>
      </c>
      <c r="AD133" s="279">
        <f t="shared" si="95"/>
        <v>-3.1263157894736842</v>
      </c>
      <c r="AE133" s="278">
        <f t="shared" si="100"/>
        <v>-115.282894736842</v>
      </c>
      <c r="AF133" s="278">
        <f t="shared" si="64"/>
        <v>57.984816804392686</v>
      </c>
      <c r="AG133" s="279">
        <f t="shared" si="96"/>
        <v>40</v>
      </c>
      <c r="AH133" s="279">
        <f>AF133*1000000/(Inputs!$C$9*100*Inputs!$C$8*1000*(1-Inputs!$C$10)*(1+Inputs!$C$12))</f>
        <v>11.601604002479529</v>
      </c>
      <c r="AI133" s="279">
        <f>IFERROR(HLOOKUP(A133,Inputs!$C$14:$C$15,2,FALSE),-100)</f>
        <v>-100</v>
      </c>
      <c r="AJ133" s="281">
        <f t="shared" si="101"/>
        <v>0</v>
      </c>
      <c r="AK133" s="282">
        <f t="shared" si="78"/>
        <v>4.0780000000000003</v>
      </c>
      <c r="AL133" s="282">
        <f t="shared" si="79"/>
        <v>1.693548387096774</v>
      </c>
      <c r="AM133" s="282">
        <f t="shared" si="80"/>
        <v>-1.9838368458620446</v>
      </c>
      <c r="AN133" s="283">
        <f>IFERROR(IF($G$1="Sí",VLOOKUP($A133,CSVAgro,9,FALSE),VLOOKUP($A133,Clima!$E$8:$Q$373,13,FALSE)),0)</f>
        <v>3.7</v>
      </c>
      <c r="AO133" s="281">
        <f t="shared" si="110"/>
        <v>186.20000000000007</v>
      </c>
      <c r="AP133" s="281">
        <f>IFERROR(VLOOKUP($A133,'F TrB'!$C$3:$O$21,3,FALSE),-9999)</f>
        <v>-9999</v>
      </c>
      <c r="AQ133" s="281">
        <f t="shared" si="102"/>
        <v>-999</v>
      </c>
      <c r="AR133" s="281">
        <f>IFERROR(IF(VLOOKUP($A133,'F TrB'!$Q$3:$R$21,2,FALSE)=0,-99999,VLOOKUP($A133,'F TrB'!$Q$3:$R$21,2,FALSE)),-99999)</f>
        <v>-99999</v>
      </c>
      <c r="AS133" s="281">
        <f t="shared" si="103"/>
        <v>-99999</v>
      </c>
      <c r="AT133" s="281" t="str">
        <f>IFERROR(VLOOKUP($A133,'NDVI tipo'!$Q$8:$S$30,2,FALSE),"")</f>
        <v/>
      </c>
      <c r="AU133" s="281">
        <f>IF(ISERROR(VLOOKUP($A133,'NDVI tipo'!$Q$8:$S$50,2,FALSE)),AU132+VLOOKUP($A133,'NDVI tipo'!$Q$8:$S$50,3,TRUE),VLOOKUP($A133,'NDVI tipo'!$Q$8:$S$50,2,FALSE))</f>
        <v>0.55466275609756088</v>
      </c>
      <c r="AV133" s="281">
        <f>IFERROR(VLOOKUP($A133,'NDVI real'!$Q$8:$S$44,2,FALSE),-999)</f>
        <v>-999</v>
      </c>
      <c r="AW133" s="281">
        <f>IF(ISERROR(VLOOKUP($A133,'NDVI real'!$T$8:$U$350,2,FALSE)),"",VLOOKUP($A133,'NDVI real'!$T$8:$U$350,2,FALSE))</f>
        <v>0.68660042184281889</v>
      </c>
      <c r="AX133" s="286">
        <f>IFERROR(VLOOKUP($A133,SWB!$C$15:$BE$244,53,FALSE),"")</f>
        <v>1.9098294489559364</v>
      </c>
      <c r="AY133" s="286">
        <f>IFERROR(VLOOKUP($A133,SWB!$C$15:$BE$244,55,FALSE),"")</f>
        <v>2.7951246432750594</v>
      </c>
      <c r="AZ133" s="281">
        <f>IF(ISERROR(VLOOKUP($A133,Clima!$V$8:$AI$320,14,FALSE)),-999,VLOOKUP(A133,Clima!$V$8:$AI$219,14,FALSE))</f>
        <v>3.5</v>
      </c>
      <c r="BA133" s="281">
        <f t="shared" si="111"/>
        <v>201.20000000000005</v>
      </c>
      <c r="BB133" s="281">
        <f t="shared" si="104"/>
        <v>3.5</v>
      </c>
      <c r="BC133" s="281">
        <f t="shared" si="112"/>
        <v>201.20000000000005</v>
      </c>
      <c r="BD133" s="284">
        <f t="shared" si="97"/>
        <v>42104</v>
      </c>
    </row>
    <row r="134" spans="1:56" s="275" customFormat="1" ht="12.75">
      <c r="A134" s="273">
        <f t="shared" si="105"/>
        <v>42105</v>
      </c>
      <c r="B134" s="274">
        <f t="shared" si="81"/>
        <v>101</v>
      </c>
      <c r="C134" s="275" t="str">
        <f t="shared" si="82"/>
        <v>Desarrollo</v>
      </c>
      <c r="D134" s="276">
        <f t="shared" si="83"/>
        <v>1.7</v>
      </c>
      <c r="E134" s="276">
        <f t="shared" si="84"/>
        <v>0.9075230356682934</v>
      </c>
      <c r="F134" s="276"/>
      <c r="G134" s="276">
        <f t="shared" si="85"/>
        <v>1.9838000000000001E-2</v>
      </c>
      <c r="H134" s="276">
        <f t="shared" si="86"/>
        <v>0.55436200000000002</v>
      </c>
      <c r="I134" s="276">
        <f t="shared" si="87"/>
        <v>2.2229899999999998</v>
      </c>
      <c r="J134" s="276">
        <f>IFERROR(IF($G$1="Sí",VLOOKUP($A134,CSVAgro,13,FALSE),VLOOKUP($A134,SWB!$C$15:$P$202,14,FALSE)),0)</f>
        <v>0.6</v>
      </c>
      <c r="K134" s="487">
        <f t="shared" si="88"/>
        <v>5</v>
      </c>
      <c r="L134" s="487">
        <f t="shared" si="89"/>
        <v>0</v>
      </c>
      <c r="M134" s="487">
        <f t="shared" si="90"/>
        <v>5</v>
      </c>
      <c r="N134" s="277">
        <f>IF(ISERROR($G$1="Sí"),VLOOKUP($A134,CSVAgro,16,FALSE),IF(ISERROR(VLOOKUP($A134,Clima!$W$8:$Z$284,2,FALSE)),VLOOKUP($A134,Clima!$E$8:$H$372,2,FALSE),VLOOKUP($A134,Clima!$W$8:$Z$284,2,FALSE)))</f>
        <v>9.6</v>
      </c>
      <c r="O134" s="276">
        <f t="shared" si="91"/>
        <v>131.7636217051674</v>
      </c>
      <c r="P134" s="276">
        <f t="shared" si="106"/>
        <v>90.2</v>
      </c>
      <c r="Q134" s="487">
        <f t="shared" si="92"/>
        <v>25</v>
      </c>
      <c r="R134" s="278">
        <f t="shared" si="107"/>
        <v>9.6</v>
      </c>
      <c r="S134" s="278">
        <f t="shared" si="98"/>
        <v>9.6</v>
      </c>
      <c r="T134" s="279">
        <f t="shared" si="93"/>
        <v>101</v>
      </c>
      <c r="U134" s="279">
        <f t="shared" ref="U134:U197" si="113">IF(_xlfn.ISOWEEKNUM(A134)&lt;40,_xlfn.ISOWEEKNUM(A134),_xlfn.ISOWEEKNUM(A134)-53)</f>
        <v>15</v>
      </c>
      <c r="V134" s="276">
        <f t="shared" si="99"/>
        <v>0</v>
      </c>
      <c r="W134" s="276">
        <f>IF(AND(S134&gt;VLOOKUP(Inputs!$I$2,Extracciones,3),S134&lt;VLOOKUP(Inputs!$I$2,Extracciones,5)),(S134-VLOOKUP(Inputs!$I$2,Extracciones,3))*Inputs!$E$12,0)</f>
        <v>0</v>
      </c>
      <c r="X134" s="278">
        <f>IF(AD134=0,VLOOKUP(R134,Mineral,2)*R134*Inputs!$C$16*Inputs!$E$37,VLOOKUP(R134,Mineral,2)*R134*Inputs!$C$16)</f>
        <v>0</v>
      </c>
      <c r="Y134" s="278">
        <f>SUM(K134,M134)*Inputs!$O$8*14/(100*62)</f>
        <v>0.33870967741935482</v>
      </c>
      <c r="Z134" s="278">
        <f t="shared" si="108"/>
        <v>0</v>
      </c>
      <c r="AA134" s="278">
        <f t="shared" si="109"/>
        <v>0</v>
      </c>
      <c r="AB134" s="279">
        <f t="shared" si="94"/>
        <v>0</v>
      </c>
      <c r="AC134" s="278">
        <f t="shared" si="77"/>
        <v>0</v>
      </c>
      <c r="AD134" s="279">
        <f t="shared" si="95"/>
        <v>-3.1263157894736842</v>
      </c>
      <c r="AE134" s="278">
        <f t="shared" si="100"/>
        <v>-118.40921052631568</v>
      </c>
      <c r="AF134" s="278">
        <f t="shared" si="64"/>
        <v>55.197210692338352</v>
      </c>
      <c r="AG134" s="279">
        <f t="shared" si="96"/>
        <v>40</v>
      </c>
      <c r="AH134" s="279">
        <f>AF134*1000000/(Inputs!$C$9*100*Inputs!$C$8*1000*(1-Inputs!$C$10)*(1+Inputs!$C$12))</f>
        <v>11.043859682340607</v>
      </c>
      <c r="AI134" s="279">
        <f>IFERROR(HLOOKUP(A134,Inputs!$C$14:$C$15,2,FALSE),-100)</f>
        <v>-100</v>
      </c>
      <c r="AJ134" s="281">
        <f t="shared" si="101"/>
        <v>0</v>
      </c>
      <c r="AK134" s="282">
        <f t="shared" si="78"/>
        <v>4.0780000000000003</v>
      </c>
      <c r="AL134" s="282">
        <f t="shared" si="79"/>
        <v>2.032258064516129</v>
      </c>
      <c r="AM134" s="282">
        <f t="shared" si="80"/>
        <v>-1.9838368458620446</v>
      </c>
      <c r="AN134" s="283">
        <f>IFERROR(IF($G$1="Sí",VLOOKUP($A134,CSVAgro,9,FALSE),VLOOKUP($A134,Clima!$E$8:$Q$373,13,FALSE)),0)</f>
        <v>3.6</v>
      </c>
      <c r="AO134" s="281">
        <f t="shared" si="110"/>
        <v>189.80000000000007</v>
      </c>
      <c r="AP134" s="281">
        <f>IFERROR(VLOOKUP($A134,'F TrB'!$C$3:$O$21,3,FALSE),-9999)</f>
        <v>-9999</v>
      </c>
      <c r="AQ134" s="281">
        <f t="shared" si="102"/>
        <v>-999</v>
      </c>
      <c r="AR134" s="281">
        <f>IFERROR(IF(VLOOKUP($A134,'F TrB'!$Q$3:$R$21,2,FALSE)=0,-99999,VLOOKUP($A134,'F TrB'!$Q$3:$R$21,2,FALSE)),-99999)</f>
        <v>-99999</v>
      </c>
      <c r="AS134" s="281">
        <f t="shared" si="103"/>
        <v>-99999</v>
      </c>
      <c r="AT134" s="281" t="str">
        <f>IFERROR(VLOOKUP($A134,'NDVI tipo'!$Q$8:$S$30,2,FALSE),"")</f>
        <v/>
      </c>
      <c r="AU134" s="281">
        <f>IF(ISERROR(VLOOKUP($A134,'NDVI tipo'!$Q$8:$S$50,2,FALSE)),AU133+VLOOKUP($A134,'NDVI tipo'!$Q$8:$S$50,3,TRUE),VLOOKUP($A134,'NDVI tipo'!$Q$8:$S$50,2,FALSE))</f>
        <v>0.56299178048780474</v>
      </c>
      <c r="AV134" s="281">
        <f>IFERROR(VLOOKUP($A134,'NDVI real'!$Q$8:$S$44,2,FALSE),-999)</f>
        <v>-999</v>
      </c>
      <c r="AW134" s="281">
        <f>IF(ISERROR(VLOOKUP($A134,'NDVI real'!$T$8:$U$350,2,FALSE)),"",VLOOKUP($A134,'NDVI real'!$T$8:$U$350,2,FALSE))</f>
        <v>0.69966877476964817</v>
      </c>
      <c r="AX134" s="286">
        <f>IFERROR(VLOOKUP($A134,SWB!$C$15:$BE$244,53,FALSE),"")</f>
        <v>2.0321579043061804</v>
      </c>
      <c r="AY134" s="286">
        <f>IFERROR(VLOOKUP($A134,SWB!$C$15:$BE$244,55,FALSE),"")</f>
        <v>2.7058831815618447</v>
      </c>
      <c r="AZ134" s="281">
        <f>IF(ISERROR(VLOOKUP($A134,Clima!$V$8:$AI$320,14,FALSE)),-999,VLOOKUP(A134,Clima!$V$8:$AI$219,14,FALSE))</f>
        <v>1.7</v>
      </c>
      <c r="BA134" s="281">
        <f t="shared" si="111"/>
        <v>202.90000000000003</v>
      </c>
      <c r="BB134" s="281">
        <f t="shared" si="104"/>
        <v>1.7</v>
      </c>
      <c r="BC134" s="281">
        <f t="shared" si="112"/>
        <v>202.90000000000003</v>
      </c>
      <c r="BD134" s="284">
        <f t="shared" si="97"/>
        <v>42105</v>
      </c>
    </row>
    <row r="135" spans="1:56" s="275" customFormat="1" ht="12.75">
      <c r="A135" s="273">
        <f t="shared" si="105"/>
        <v>42106</v>
      </c>
      <c r="B135" s="274">
        <f t="shared" si="81"/>
        <v>102</v>
      </c>
      <c r="C135" s="275" t="str">
        <f t="shared" si="82"/>
        <v>Desarrollo</v>
      </c>
      <c r="D135" s="276">
        <f t="shared" si="83"/>
        <v>3</v>
      </c>
      <c r="E135" s="276">
        <f t="shared" si="84"/>
        <v>0.9263414638829276</v>
      </c>
      <c r="F135" s="276"/>
      <c r="G135" s="276">
        <f t="shared" si="85"/>
        <v>0.39718900000000001</v>
      </c>
      <c r="H135" s="276">
        <f t="shared" si="86"/>
        <v>0.95433100000000004</v>
      </c>
      <c r="I135" s="276">
        <f t="shared" si="87"/>
        <v>1.3646940000000001</v>
      </c>
      <c r="J135" s="276">
        <f>IFERROR(IF($G$1="Sí",VLOOKUP($A135,CSVAgro,13,FALSE),VLOOKUP($A135,SWB!$C$15:$P$202,14,FALSE)),0)</f>
        <v>0</v>
      </c>
      <c r="K135" s="487">
        <f t="shared" si="88"/>
        <v>0</v>
      </c>
      <c r="L135" s="487">
        <f t="shared" si="89"/>
        <v>0</v>
      </c>
      <c r="M135" s="487">
        <f t="shared" si="90"/>
        <v>0</v>
      </c>
      <c r="N135" s="277">
        <f>IF(ISERROR($G$1="Sí"),VLOOKUP($A135,CSVAgro,16,FALSE),IF(ISERROR(VLOOKUP($A135,Clima!$W$8:$Z$284,2,FALSE)),VLOOKUP($A135,Clima!$E$8:$H$372,2,FALSE),VLOOKUP($A135,Clima!$W$8:$Z$284,2,FALSE)))</f>
        <v>10.3</v>
      </c>
      <c r="O135" s="276">
        <f t="shared" si="91"/>
        <v>135.18361479477824</v>
      </c>
      <c r="P135" s="276">
        <f t="shared" si="106"/>
        <v>90.2</v>
      </c>
      <c r="Q135" s="487">
        <f t="shared" si="92"/>
        <v>30</v>
      </c>
      <c r="R135" s="278">
        <f t="shared" si="107"/>
        <v>10.3</v>
      </c>
      <c r="S135" s="278">
        <f t="shared" si="98"/>
        <v>10.3</v>
      </c>
      <c r="T135" s="279">
        <f t="shared" si="93"/>
        <v>102</v>
      </c>
      <c r="U135" s="279">
        <f t="shared" si="113"/>
        <v>15</v>
      </c>
      <c r="V135" s="276">
        <f t="shared" si="99"/>
        <v>0</v>
      </c>
      <c r="W135" s="276">
        <f>IF(AND(S135&gt;VLOOKUP(Inputs!$I$2,Extracciones,3),S135&lt;VLOOKUP(Inputs!$I$2,Extracciones,5)),(S135-VLOOKUP(Inputs!$I$2,Extracciones,3))*Inputs!$E$12,0)</f>
        <v>0</v>
      </c>
      <c r="X135" s="278">
        <f>IF(AD135=0,VLOOKUP(R135,Mineral,2)*R135*Inputs!$C$16*Inputs!$E$37,VLOOKUP(R135,Mineral,2)*R135*Inputs!$C$16)</f>
        <v>0</v>
      </c>
      <c r="Y135" s="278">
        <f>SUM(K135,M135)*Inputs!$O$8*14/(100*62)</f>
        <v>0</v>
      </c>
      <c r="Z135" s="278">
        <f t="shared" si="108"/>
        <v>0</v>
      </c>
      <c r="AA135" s="278">
        <f t="shared" si="109"/>
        <v>0</v>
      </c>
      <c r="AB135" s="279">
        <f t="shared" si="94"/>
        <v>0</v>
      </c>
      <c r="AC135" s="278">
        <f t="shared" si="77"/>
        <v>0</v>
      </c>
      <c r="AD135" s="279">
        <f t="shared" si="95"/>
        <v>-3.1263157894736842</v>
      </c>
      <c r="AE135" s="278">
        <f t="shared" si="100"/>
        <v>-121.53552631578935</v>
      </c>
      <c r="AF135" s="278">
        <f t="shared" si="64"/>
        <v>52.070894902864666</v>
      </c>
      <c r="AG135" s="279">
        <f t="shared" si="96"/>
        <v>40</v>
      </c>
      <c r="AH135" s="279">
        <f>AF135*1000000/(Inputs!$C$9*100*Inputs!$C$8*1000*(1-Inputs!$C$10)*(1+Inputs!$C$12))</f>
        <v>10.418346319100573</v>
      </c>
      <c r="AI135" s="279">
        <f>IFERROR(HLOOKUP(A135,Inputs!$C$14:$C$15,2,FALSE),-100)</f>
        <v>-100</v>
      </c>
      <c r="AJ135" s="281">
        <f t="shared" si="101"/>
        <v>0</v>
      </c>
      <c r="AK135" s="282">
        <f t="shared" si="78"/>
        <v>4.0780000000000003</v>
      </c>
      <c r="AL135" s="282">
        <f t="shared" si="79"/>
        <v>2.032258064516129</v>
      </c>
      <c r="AM135" s="282">
        <f t="shared" si="80"/>
        <v>-1.9838368458620446</v>
      </c>
      <c r="AN135" s="283">
        <f>IFERROR(IF($G$1="Sí",VLOOKUP($A135,CSVAgro,9,FALSE),VLOOKUP($A135,Clima!$E$8:$Q$373,13,FALSE)),0)</f>
        <v>3.1</v>
      </c>
      <c r="AO135" s="281">
        <f t="shared" si="110"/>
        <v>192.90000000000006</v>
      </c>
      <c r="AP135" s="281">
        <f>IFERROR(VLOOKUP($A135,'F TrB'!$C$3:$O$21,3,FALSE),-9999)</f>
        <v>-9999</v>
      </c>
      <c r="AQ135" s="281">
        <f t="shared" si="102"/>
        <v>-999</v>
      </c>
      <c r="AR135" s="281">
        <f>IFERROR(IF(VLOOKUP($A135,'F TrB'!$Q$3:$R$21,2,FALSE)=0,-99999,VLOOKUP($A135,'F TrB'!$Q$3:$R$21,2,FALSE)),-99999)</f>
        <v>-99999</v>
      </c>
      <c r="AS135" s="281">
        <f t="shared" si="103"/>
        <v>-99999</v>
      </c>
      <c r="AT135" s="281" t="str">
        <f>IFERROR(VLOOKUP($A135,'NDVI tipo'!$Q$8:$S$30,2,FALSE),"")</f>
        <v/>
      </c>
      <c r="AU135" s="281">
        <f>IF(ISERROR(VLOOKUP($A135,'NDVI tipo'!$Q$8:$S$50,2,FALSE)),AU134+VLOOKUP($A135,'NDVI tipo'!$Q$8:$S$50,3,TRUE),VLOOKUP($A135,'NDVI tipo'!$Q$8:$S$50,2,FALSE))</f>
        <v>0.57132080487804859</v>
      </c>
      <c r="AV135" s="281">
        <f>IFERROR(VLOOKUP($A135,'NDVI real'!$Q$8:$S$44,2,FALSE),-999)</f>
        <v>-999</v>
      </c>
      <c r="AW135" s="281">
        <f>IF(ISERROR(VLOOKUP($A135,'NDVI real'!$T$8:$U$350,2,FALSE)),"",VLOOKUP($A135,'NDVI real'!$T$8:$U$350,2,FALSE))</f>
        <v>0.71273712769647746</v>
      </c>
      <c r="AX135" s="286">
        <f>IFERROR(VLOOKUP($A135,SWB!$C$15:$BE$244,53,FALSE),"")</f>
        <v>2.139927010057725</v>
      </c>
      <c r="AY135" s="286">
        <f>IFERROR(VLOOKUP($A135,SWB!$C$15:$BE$244,55,FALSE),"")</f>
        <v>2.3247283975490802</v>
      </c>
      <c r="AZ135" s="281">
        <f>IF(ISERROR(VLOOKUP($A135,Clima!$V$8:$AI$320,14,FALSE)),-999,VLOOKUP(A135,Clima!$V$8:$AI$219,14,FALSE))</f>
        <v>3</v>
      </c>
      <c r="BA135" s="281">
        <f t="shared" si="111"/>
        <v>205.90000000000003</v>
      </c>
      <c r="BB135" s="281">
        <f t="shared" si="104"/>
        <v>3</v>
      </c>
      <c r="BC135" s="281">
        <f t="shared" si="112"/>
        <v>205.90000000000003</v>
      </c>
      <c r="BD135" s="284">
        <f t="shared" si="97"/>
        <v>42106</v>
      </c>
    </row>
    <row r="136" spans="1:56" s="275" customFormat="1" ht="12.75">
      <c r="A136" s="273">
        <f t="shared" si="105"/>
        <v>42107</v>
      </c>
      <c r="B136" s="274">
        <f t="shared" si="81"/>
        <v>103</v>
      </c>
      <c r="C136" s="275" t="str">
        <f t="shared" si="82"/>
        <v>Desarrollo</v>
      </c>
      <c r="D136" s="276">
        <f t="shared" si="83"/>
        <v>3.7</v>
      </c>
      <c r="E136" s="276">
        <f t="shared" si="84"/>
        <v>0.94515989209756179</v>
      </c>
      <c r="F136" s="276"/>
      <c r="G136" s="276">
        <f t="shared" si="85"/>
        <v>0.39149099999999998</v>
      </c>
      <c r="H136" s="276">
        <f t="shared" si="86"/>
        <v>0.97125300000000003</v>
      </c>
      <c r="I136" s="276">
        <f t="shared" si="87"/>
        <v>3.4382359999999998</v>
      </c>
      <c r="J136" s="276">
        <f>IFERROR(IF($G$1="Sí",VLOOKUP($A136,CSVAgro,13,FALSE),VLOOKUP($A136,SWB!$C$15:$P$202,14,FALSE)),0)</f>
        <v>0</v>
      </c>
      <c r="K136" s="487">
        <f t="shared" si="88"/>
        <v>0</v>
      </c>
      <c r="L136" s="487">
        <f t="shared" si="89"/>
        <v>0</v>
      </c>
      <c r="M136" s="487">
        <f t="shared" si="90"/>
        <v>0</v>
      </c>
      <c r="N136" s="277">
        <f>IF(ISERROR($G$1="Sí"),VLOOKUP($A136,CSVAgro,16,FALSE),IF(ISERROR(VLOOKUP($A136,Clima!$W$8:$Z$284,2,FALSE)),VLOOKUP($A136,Clima!$E$8:$H$372,2,FALSE),VLOOKUP($A136,Clima!$W$8:$Z$284,2,FALSE)))</f>
        <v>10.9</v>
      </c>
      <c r="O136" s="276">
        <f t="shared" si="91"/>
        <v>138.72139488531027</v>
      </c>
      <c r="P136" s="276">
        <f t="shared" si="106"/>
        <v>90.2</v>
      </c>
      <c r="Q136" s="487">
        <f t="shared" si="92"/>
        <v>30</v>
      </c>
      <c r="R136" s="278">
        <f t="shared" si="107"/>
        <v>10.9</v>
      </c>
      <c r="S136" s="278">
        <f t="shared" si="98"/>
        <v>10.9</v>
      </c>
      <c r="T136" s="279">
        <f t="shared" si="93"/>
        <v>103</v>
      </c>
      <c r="U136" s="279">
        <f t="shared" si="113"/>
        <v>16</v>
      </c>
      <c r="V136" s="276">
        <f t="shared" si="99"/>
        <v>0</v>
      </c>
      <c r="W136" s="276">
        <f>IF(AND(S136&gt;VLOOKUP(Inputs!$I$2,Extracciones,3),S136&lt;VLOOKUP(Inputs!$I$2,Extracciones,5)),(S136-VLOOKUP(Inputs!$I$2,Extracciones,3))*Inputs!$E$12,0)</f>
        <v>0</v>
      </c>
      <c r="X136" s="278">
        <f>IF(AD136=0,VLOOKUP(R136,Mineral,2)*R136*Inputs!$C$16*Inputs!$E$37,VLOOKUP(R136,Mineral,2)*R136*Inputs!$C$16)</f>
        <v>0</v>
      </c>
      <c r="Y136" s="278">
        <f>SUM(K136,M136)*Inputs!$O$8*14/(100*62)</f>
        <v>0</v>
      </c>
      <c r="Z136" s="278">
        <f t="shared" si="108"/>
        <v>0</v>
      </c>
      <c r="AA136" s="278">
        <f t="shared" si="109"/>
        <v>0</v>
      </c>
      <c r="AB136" s="279">
        <f t="shared" si="94"/>
        <v>0</v>
      </c>
      <c r="AC136" s="278">
        <f t="shared" si="77"/>
        <v>0</v>
      </c>
      <c r="AD136" s="279">
        <f t="shared" si="95"/>
        <v>-3.1263157894736842</v>
      </c>
      <c r="AE136" s="278">
        <f t="shared" si="100"/>
        <v>-124.66184210526303</v>
      </c>
      <c r="AF136" s="278">
        <f t="shared" ref="AF136:AF199" si="114">AF135+SUM(X136:Z136)+SUM(AC136:AD136)</f>
        <v>48.944579113390979</v>
      </c>
      <c r="AG136" s="279">
        <f t="shared" si="96"/>
        <v>40</v>
      </c>
      <c r="AH136" s="279">
        <f>AF136*1000000/(Inputs!$C$9*100*Inputs!$C$8*1000*(1-Inputs!$C$10)*(1+Inputs!$C$12))</f>
        <v>9.7928329558605398</v>
      </c>
      <c r="AI136" s="279">
        <f>IFERROR(HLOOKUP(A136,Inputs!$C$14:$C$15,2,FALSE),-100)</f>
        <v>-100</v>
      </c>
      <c r="AJ136" s="281">
        <f t="shared" si="101"/>
        <v>0</v>
      </c>
      <c r="AK136" s="282">
        <f t="shared" si="78"/>
        <v>4.0780000000000003</v>
      </c>
      <c r="AL136" s="282">
        <f t="shared" si="79"/>
        <v>2.032258064516129</v>
      </c>
      <c r="AM136" s="282">
        <f t="shared" si="80"/>
        <v>-1.9838368458620446</v>
      </c>
      <c r="AN136" s="283">
        <f>IFERROR(IF($G$1="Sí",VLOOKUP($A136,CSVAgro,9,FALSE),VLOOKUP($A136,Clima!$E$8:$Q$373,13,FALSE)),0)</f>
        <v>3.2</v>
      </c>
      <c r="AO136" s="281">
        <f t="shared" si="110"/>
        <v>196.10000000000005</v>
      </c>
      <c r="AP136" s="281">
        <f>IFERROR(VLOOKUP($A136,'F TrB'!$C$3:$O$21,3,FALSE),-9999)</f>
        <v>-9999</v>
      </c>
      <c r="AQ136" s="281">
        <f t="shared" si="102"/>
        <v>-999</v>
      </c>
      <c r="AR136" s="281">
        <f>IFERROR(IF(VLOOKUP($A136,'F TrB'!$Q$3:$R$21,2,FALSE)=0,-99999,VLOOKUP($A136,'F TrB'!$Q$3:$R$21,2,FALSE)),-99999)</f>
        <v>-99999</v>
      </c>
      <c r="AS136" s="281">
        <f t="shared" si="103"/>
        <v>-99999</v>
      </c>
      <c r="AT136" s="281" t="str">
        <f>IFERROR(VLOOKUP($A136,'NDVI tipo'!$Q$8:$S$30,2,FALSE),"")</f>
        <v/>
      </c>
      <c r="AU136" s="281">
        <f>IF(ISERROR(VLOOKUP($A136,'NDVI tipo'!$Q$8:$S$50,2,FALSE)),AU135+VLOOKUP($A136,'NDVI tipo'!$Q$8:$S$50,3,TRUE),VLOOKUP($A136,'NDVI tipo'!$Q$8:$S$50,2,FALSE))</f>
        <v>0.57964982926829245</v>
      </c>
      <c r="AV136" s="281">
        <f>IFERROR(VLOOKUP($A136,'NDVI real'!$Q$8:$S$44,2,FALSE),-999)</f>
        <v>-999</v>
      </c>
      <c r="AW136" s="281">
        <f>IF(ISERROR(VLOOKUP($A136,'NDVI real'!$T$8:$U$350,2,FALSE)),"",VLOOKUP($A136,'NDVI real'!$T$8:$U$350,2,FALSE))</f>
        <v>0.72580548062330674</v>
      </c>
      <c r="AX136" s="286">
        <f>IFERROR(VLOOKUP($A136,SWB!$C$15:$BE$244,53,FALSE),"")</f>
        <v>2.2536816623373999</v>
      </c>
      <c r="AY136" s="286">
        <f>IFERROR(VLOOKUP($A136,SWB!$C$15:$BE$244,55,FALSE),"")</f>
        <v>2.3983706042650965</v>
      </c>
      <c r="AZ136" s="281">
        <f>IF(ISERROR(VLOOKUP($A136,Clima!$V$8:$AI$320,14,FALSE)),-999,VLOOKUP(A136,Clima!$V$8:$AI$219,14,FALSE))</f>
        <v>3.7</v>
      </c>
      <c r="BA136" s="281">
        <f t="shared" si="111"/>
        <v>209.60000000000002</v>
      </c>
      <c r="BB136" s="281">
        <f t="shared" si="104"/>
        <v>3.7</v>
      </c>
      <c r="BC136" s="281">
        <f t="shared" si="112"/>
        <v>209.60000000000002</v>
      </c>
      <c r="BD136" s="284">
        <f t="shared" si="97"/>
        <v>42107</v>
      </c>
    </row>
    <row r="137" spans="1:56" s="275" customFormat="1" ht="12.75">
      <c r="A137" s="273">
        <f t="shared" si="105"/>
        <v>42108</v>
      </c>
      <c r="B137" s="274">
        <f t="shared" si="81"/>
        <v>104</v>
      </c>
      <c r="C137" s="275" t="str">
        <f t="shared" si="82"/>
        <v>Desarrollo</v>
      </c>
      <c r="D137" s="276">
        <f t="shared" si="83"/>
        <v>4.8</v>
      </c>
      <c r="E137" s="276">
        <f t="shared" si="84"/>
        <v>0.96397832031219577</v>
      </c>
      <c r="F137" s="276"/>
      <c r="G137" s="276">
        <f t="shared" si="85"/>
        <v>0.28057300000000002</v>
      </c>
      <c r="H137" s="276">
        <f t="shared" si="86"/>
        <v>0.88295400000000002</v>
      </c>
      <c r="I137" s="276">
        <f t="shared" si="87"/>
        <v>1.53634</v>
      </c>
      <c r="J137" s="276">
        <f>IFERROR(IF($G$1="Sí",VLOOKUP($A137,CSVAgro,13,FALSE),VLOOKUP($A137,SWB!$C$15:$P$202,14,FALSE)),0)</f>
        <v>0</v>
      </c>
      <c r="K137" s="487">
        <f t="shared" si="88"/>
        <v>5</v>
      </c>
      <c r="L137" s="487">
        <f t="shared" si="89"/>
        <v>0</v>
      </c>
      <c r="M137" s="487">
        <f t="shared" si="90"/>
        <v>5</v>
      </c>
      <c r="N137" s="277">
        <f>IF(ISERROR($G$1="Sí"),VLOOKUP($A137,CSVAgro,16,FALSE),IF(ISERROR(VLOOKUP($A137,Clima!$W$8:$Z$284,2,FALSE)),VLOOKUP($A137,Clima!$E$8:$H$372,2,FALSE),VLOOKUP($A137,Clima!$W$8:$Z$284,2,FALSE)))</f>
        <v>11.6</v>
      </c>
      <c r="O137" s="276">
        <f t="shared" si="91"/>
        <v>141.63061770453615</v>
      </c>
      <c r="P137" s="276">
        <f t="shared" si="106"/>
        <v>90.2</v>
      </c>
      <c r="Q137" s="487">
        <f t="shared" si="92"/>
        <v>30</v>
      </c>
      <c r="R137" s="278">
        <f t="shared" si="107"/>
        <v>11.6</v>
      </c>
      <c r="S137" s="278">
        <f t="shared" si="98"/>
        <v>11.6</v>
      </c>
      <c r="T137" s="279">
        <f t="shared" si="93"/>
        <v>104</v>
      </c>
      <c r="U137" s="279">
        <f t="shared" si="113"/>
        <v>16</v>
      </c>
      <c r="V137" s="276">
        <f t="shared" si="99"/>
        <v>0</v>
      </c>
      <c r="W137" s="276">
        <f>IF(AND(S137&gt;VLOOKUP(Inputs!$I$2,Extracciones,3),S137&lt;VLOOKUP(Inputs!$I$2,Extracciones,5)),(S137-VLOOKUP(Inputs!$I$2,Extracciones,3))*Inputs!$E$12,0)</f>
        <v>0</v>
      </c>
      <c r="X137" s="278">
        <f>IF(AD137=0,VLOOKUP(R137,Mineral,2)*R137*Inputs!$C$16*Inputs!$E$37,VLOOKUP(R137,Mineral,2)*R137*Inputs!$C$16)</f>
        <v>0</v>
      </c>
      <c r="Y137" s="278">
        <f>SUM(K137,M137)*Inputs!$O$8*14/(100*62)</f>
        <v>0.33870967741935482</v>
      </c>
      <c r="Z137" s="278">
        <f t="shared" si="108"/>
        <v>0</v>
      </c>
      <c r="AA137" s="278">
        <f t="shared" si="109"/>
        <v>0</v>
      </c>
      <c r="AB137" s="279">
        <f t="shared" si="94"/>
        <v>0</v>
      </c>
      <c r="AC137" s="278">
        <f t="shared" si="77"/>
        <v>0</v>
      </c>
      <c r="AD137" s="279">
        <f t="shared" si="95"/>
        <v>-3.1263157894736842</v>
      </c>
      <c r="AE137" s="278">
        <f t="shared" si="100"/>
        <v>-127.78815789473671</v>
      </c>
      <c r="AF137" s="278">
        <f t="shared" si="114"/>
        <v>46.156973001336645</v>
      </c>
      <c r="AG137" s="279">
        <f t="shared" si="96"/>
        <v>40</v>
      </c>
      <c r="AH137" s="279">
        <f>AF137*1000000/(Inputs!$C$9*100*Inputs!$C$8*1000*(1-Inputs!$C$10)*(1+Inputs!$C$12))</f>
        <v>9.2350886357216169</v>
      </c>
      <c r="AI137" s="279">
        <f>IFERROR(HLOOKUP(A137,Inputs!$C$14:$C$15,2,FALSE),-100)</f>
        <v>-100</v>
      </c>
      <c r="AJ137" s="281">
        <f t="shared" si="101"/>
        <v>0</v>
      </c>
      <c r="AK137" s="282">
        <f t="shared" si="78"/>
        <v>4.0780000000000003</v>
      </c>
      <c r="AL137" s="282">
        <f t="shared" si="79"/>
        <v>2.370967741935484</v>
      </c>
      <c r="AM137" s="282">
        <f t="shared" si="80"/>
        <v>-1.9838368458620446</v>
      </c>
      <c r="AN137" s="283">
        <f>IFERROR(IF($G$1="Sí",VLOOKUP($A137,CSVAgro,9,FALSE),VLOOKUP($A137,Clima!$E$8:$Q$373,13,FALSE)),0)</f>
        <v>2.8</v>
      </c>
      <c r="AO137" s="281">
        <f t="shared" si="110"/>
        <v>198.90000000000006</v>
      </c>
      <c r="AP137" s="281">
        <f>IFERROR(VLOOKUP($A137,'F TrB'!$C$3:$O$21,3,FALSE),-9999)</f>
        <v>-9999</v>
      </c>
      <c r="AQ137" s="281">
        <f t="shared" si="102"/>
        <v>-999</v>
      </c>
      <c r="AR137" s="281">
        <f>IFERROR(IF(VLOOKUP($A137,'F TrB'!$Q$3:$R$21,2,FALSE)=0,-99999,VLOOKUP($A137,'F TrB'!$Q$3:$R$21,2,FALSE)),-99999)</f>
        <v>-99999</v>
      </c>
      <c r="AS137" s="281">
        <f t="shared" si="103"/>
        <v>-99999</v>
      </c>
      <c r="AT137" s="281" t="str">
        <f>IFERROR(VLOOKUP($A137,'NDVI tipo'!$Q$8:$S$30,2,FALSE),"")</f>
        <v/>
      </c>
      <c r="AU137" s="281">
        <f>IF(ISERROR(VLOOKUP($A137,'NDVI tipo'!$Q$8:$S$50,2,FALSE)),AU136+VLOOKUP($A137,'NDVI tipo'!$Q$8:$S$50,3,TRUE),VLOOKUP($A137,'NDVI tipo'!$Q$8:$S$50,2,FALSE))</f>
        <v>0.5879788536585363</v>
      </c>
      <c r="AV137" s="281">
        <f>IFERROR(VLOOKUP($A137,'NDVI real'!$Q$8:$S$44,2,FALSE),-999)</f>
        <v>-999</v>
      </c>
      <c r="AW137" s="281">
        <f>IF(ISERROR(VLOOKUP($A137,'NDVI real'!$T$8:$U$350,2,FALSE)),"",VLOOKUP($A137,'NDVI real'!$T$8:$U$350,2,FALSE))</f>
        <v>0.73887383355013603</v>
      </c>
      <c r="AX137" s="286">
        <f>IFERROR(VLOOKUP($A137,SWB!$C$15:$BE$244,53,FALSE),"")</f>
        <v>2.3554124663738225</v>
      </c>
      <c r="AY137" s="286">
        <f>IFERROR(VLOOKUP($A137,SWB!$C$15:$BE$244,55,FALSE),"")</f>
        <v>2.0999072332227655</v>
      </c>
      <c r="AZ137" s="281">
        <f>IF(ISERROR(VLOOKUP($A137,Clima!$V$8:$AI$320,14,FALSE)),-999,VLOOKUP(A137,Clima!$V$8:$AI$219,14,FALSE))</f>
        <v>4.8</v>
      </c>
      <c r="BA137" s="281">
        <f t="shared" si="111"/>
        <v>214.40000000000003</v>
      </c>
      <c r="BB137" s="281">
        <f t="shared" si="104"/>
        <v>4.8</v>
      </c>
      <c r="BC137" s="281">
        <f t="shared" si="112"/>
        <v>214.40000000000003</v>
      </c>
      <c r="BD137" s="284">
        <f t="shared" si="97"/>
        <v>42108</v>
      </c>
    </row>
    <row r="138" spans="1:56" s="275" customFormat="1" ht="12.75">
      <c r="A138" s="273">
        <f t="shared" si="105"/>
        <v>42109</v>
      </c>
      <c r="B138" s="274">
        <f t="shared" si="81"/>
        <v>105</v>
      </c>
      <c r="C138" s="275" t="str">
        <f t="shared" si="82"/>
        <v>Desarrollo</v>
      </c>
      <c r="D138" s="276">
        <f t="shared" si="83"/>
        <v>2.5</v>
      </c>
      <c r="E138" s="276">
        <f t="shared" si="84"/>
        <v>0.98279674852682997</v>
      </c>
      <c r="F138" s="276"/>
      <c r="G138" s="276">
        <f t="shared" si="85"/>
        <v>0.27090199999999998</v>
      </c>
      <c r="H138" s="276">
        <f t="shared" si="86"/>
        <v>0.89590199999999998</v>
      </c>
      <c r="I138" s="276">
        <f t="shared" si="87"/>
        <v>2.6877059999999999</v>
      </c>
      <c r="J138" s="276">
        <f>IFERROR(IF($G$1="Sí",VLOOKUP($A138,CSVAgro,13,FALSE),VLOOKUP($A138,SWB!$C$15:$P$202,14,FALSE)),0)</f>
        <v>6.5</v>
      </c>
      <c r="K138" s="487">
        <f t="shared" si="88"/>
        <v>5</v>
      </c>
      <c r="L138" s="487">
        <f t="shared" si="89"/>
        <v>0</v>
      </c>
      <c r="M138" s="487">
        <f t="shared" si="90"/>
        <v>5</v>
      </c>
      <c r="N138" s="277">
        <f>IF(ISERROR($G$1="Sí"),VLOOKUP($A138,CSVAgro,16,FALSE),IF(ISERROR(VLOOKUP($A138,Clima!$W$8:$Z$284,2,FALSE)),VLOOKUP($A138,Clima!$E$8:$H$372,2,FALSE),VLOOKUP($A138,Clima!$W$8:$Z$284,2,FALSE)))</f>
        <v>11.7</v>
      </c>
      <c r="O138" s="276">
        <f t="shared" si="91"/>
        <v>146.16978410053338</v>
      </c>
      <c r="P138" s="276">
        <f t="shared" si="106"/>
        <v>96.7</v>
      </c>
      <c r="Q138" s="487">
        <f t="shared" si="92"/>
        <v>35</v>
      </c>
      <c r="R138" s="278">
        <f t="shared" si="107"/>
        <v>11.7</v>
      </c>
      <c r="S138" s="278">
        <f t="shared" si="98"/>
        <v>11.7</v>
      </c>
      <c r="T138" s="279">
        <f t="shared" si="93"/>
        <v>105</v>
      </c>
      <c r="U138" s="279">
        <f t="shared" si="113"/>
        <v>16</v>
      </c>
      <c r="V138" s="276">
        <f t="shared" si="99"/>
        <v>0</v>
      </c>
      <c r="W138" s="276">
        <f>IF(AND(S138&gt;VLOOKUP(Inputs!$I$2,Extracciones,3),S138&lt;VLOOKUP(Inputs!$I$2,Extracciones,5)),(S138-VLOOKUP(Inputs!$I$2,Extracciones,3))*Inputs!$E$12,0)</f>
        <v>0</v>
      </c>
      <c r="X138" s="278">
        <f>IF(AD138=0,VLOOKUP(R138,Mineral,2)*R138*Inputs!$C$16*Inputs!$E$37,VLOOKUP(R138,Mineral,2)*R138*Inputs!$C$16)</f>
        <v>0</v>
      </c>
      <c r="Y138" s="278">
        <f>SUM(K138,M138)*Inputs!$O$8*14/(100*62)</f>
        <v>0.33870967741935482</v>
      </c>
      <c r="Z138" s="278">
        <f t="shared" si="108"/>
        <v>0</v>
      </c>
      <c r="AA138" s="278">
        <f t="shared" si="109"/>
        <v>0</v>
      </c>
      <c r="AB138" s="279">
        <f t="shared" si="94"/>
        <v>0</v>
      </c>
      <c r="AC138" s="278">
        <f t="shared" si="77"/>
        <v>0</v>
      </c>
      <c r="AD138" s="279">
        <f t="shared" si="95"/>
        <v>-3.1263157894736842</v>
      </c>
      <c r="AE138" s="278">
        <f t="shared" si="100"/>
        <v>-130.91447368421041</v>
      </c>
      <c r="AF138" s="278">
        <f t="shared" si="114"/>
        <v>43.369366889282311</v>
      </c>
      <c r="AG138" s="279">
        <f t="shared" si="96"/>
        <v>40</v>
      </c>
      <c r="AH138" s="279">
        <f>AF138*1000000/(Inputs!$C$9*100*Inputs!$C$8*1000*(1-Inputs!$C$10)*(1+Inputs!$C$12))</f>
        <v>8.6773443155826939</v>
      </c>
      <c r="AI138" s="279">
        <f>IFERROR(HLOOKUP(A138,Inputs!$C$14:$C$15,2,FALSE),-100)</f>
        <v>-100</v>
      </c>
      <c r="AJ138" s="281">
        <f t="shared" si="101"/>
        <v>0</v>
      </c>
      <c r="AK138" s="282">
        <f t="shared" si="78"/>
        <v>4.0780000000000003</v>
      </c>
      <c r="AL138" s="282">
        <f t="shared" si="79"/>
        <v>2.709677419354839</v>
      </c>
      <c r="AM138" s="282">
        <f t="shared" si="80"/>
        <v>-1.9838368458620446</v>
      </c>
      <c r="AN138" s="283">
        <f>IFERROR(IF($G$1="Sí",VLOOKUP($A138,CSVAgro,9,FALSE),VLOOKUP($A138,Clima!$E$8:$Q$373,13,FALSE)),0)</f>
        <v>4.0999999999999996</v>
      </c>
      <c r="AO138" s="281">
        <f t="shared" si="110"/>
        <v>203.00000000000006</v>
      </c>
      <c r="AP138" s="281">
        <f>IFERROR(VLOOKUP($A138,'F TrB'!$C$3:$O$21,3,FALSE),-9999)</f>
        <v>-9999</v>
      </c>
      <c r="AQ138" s="281">
        <f t="shared" si="102"/>
        <v>-999</v>
      </c>
      <c r="AR138" s="281">
        <f>IFERROR(IF(VLOOKUP($A138,'F TrB'!$Q$3:$R$21,2,FALSE)=0,-99999,VLOOKUP($A138,'F TrB'!$Q$3:$R$21,2,FALSE)),-99999)</f>
        <v>-99999</v>
      </c>
      <c r="AS138" s="281">
        <f t="shared" si="103"/>
        <v>-99999</v>
      </c>
      <c r="AT138" s="281" t="str">
        <f>IFERROR(VLOOKUP($A138,'NDVI tipo'!$Q$8:$S$30,2,FALSE),"")</f>
        <v/>
      </c>
      <c r="AU138" s="281">
        <f>IF(ISERROR(VLOOKUP($A138,'NDVI tipo'!$Q$8:$S$50,2,FALSE)),AU137+VLOOKUP($A138,'NDVI tipo'!$Q$8:$S$50,3,TRUE),VLOOKUP($A138,'NDVI tipo'!$Q$8:$S$50,2,FALSE))</f>
        <v>0.59630787804878016</v>
      </c>
      <c r="AV138" s="281">
        <f>IFERROR(VLOOKUP($A138,'NDVI real'!$Q$8:$S$44,2,FALSE),-999)</f>
        <v>-999</v>
      </c>
      <c r="AW138" s="281">
        <f>IF(ISERROR(VLOOKUP($A138,'NDVI real'!$T$8:$U$350,2,FALSE)),"",VLOOKUP($A138,'NDVI real'!$T$8:$U$350,2,FALSE))</f>
        <v>0.75194218647696531</v>
      </c>
      <c r="AX138" s="286">
        <f>IFERROR(VLOOKUP($A138,SWB!$C$15:$BE$244,53,FALSE),"")</f>
        <v>2.5075902442471558</v>
      </c>
      <c r="AY138" s="286">
        <f>IFERROR(VLOOKUP($A138,SWB!$C$15:$BE$244,55,FALSE),"")</f>
        <v>3.0678058831929036</v>
      </c>
      <c r="AZ138" s="281">
        <f>IF(ISERROR(VLOOKUP($A138,Clima!$V$8:$AI$320,14,FALSE)),-999,VLOOKUP(A138,Clima!$V$8:$AI$219,14,FALSE))</f>
        <v>2.5</v>
      </c>
      <c r="BA138" s="281">
        <f t="shared" si="111"/>
        <v>216.90000000000003</v>
      </c>
      <c r="BB138" s="281">
        <f t="shared" si="104"/>
        <v>2.5</v>
      </c>
      <c r="BC138" s="281">
        <f t="shared" si="112"/>
        <v>216.90000000000003</v>
      </c>
      <c r="BD138" s="284">
        <f t="shared" si="97"/>
        <v>42109</v>
      </c>
    </row>
    <row r="139" spans="1:56" s="275" customFormat="1" ht="12.75">
      <c r="A139" s="273">
        <f t="shared" si="105"/>
        <v>42110</v>
      </c>
      <c r="B139" s="274">
        <f t="shared" si="81"/>
        <v>106</v>
      </c>
      <c r="C139" s="275" t="str">
        <f t="shared" si="82"/>
        <v>Desarrollo</v>
      </c>
      <c r="D139" s="276">
        <f t="shared" si="83"/>
        <v>2.2999999999999998</v>
      </c>
      <c r="E139" s="276">
        <f t="shared" si="84"/>
        <v>1.0016151767414641</v>
      </c>
      <c r="F139" s="276"/>
      <c r="G139" s="276">
        <f t="shared" si="85"/>
        <v>0.494668</v>
      </c>
      <c r="H139" s="276">
        <f t="shared" si="86"/>
        <v>1.1422870000000001</v>
      </c>
      <c r="I139" s="276">
        <f t="shared" si="87"/>
        <v>4.2036150000000001</v>
      </c>
      <c r="J139" s="276">
        <f>IFERROR(IF($G$1="Sí",VLOOKUP($A139,CSVAgro,13,FALSE),VLOOKUP($A139,SWB!$C$15:$P$202,14,FALSE)),0)</f>
        <v>4.7</v>
      </c>
      <c r="K139" s="487">
        <f t="shared" si="88"/>
        <v>0</v>
      </c>
      <c r="L139" s="487">
        <f t="shared" si="89"/>
        <v>0</v>
      </c>
      <c r="M139" s="487">
        <f t="shared" si="90"/>
        <v>0</v>
      </c>
      <c r="N139" s="277">
        <f>IF(ISERROR($G$1="Sí"),VLOOKUP($A139,CSVAgro,16,FALSE),IF(ISERROR(VLOOKUP($A139,Clima!$W$8:$Z$284,2,FALSE)),VLOOKUP($A139,Clima!$E$8:$H$372,2,FALSE),VLOOKUP($A139,Clima!$W$8:$Z$284,2,FALSE)))</f>
        <v>11.3</v>
      </c>
      <c r="O139" s="276">
        <f t="shared" si="91"/>
        <v>151.32113224938672</v>
      </c>
      <c r="P139" s="276">
        <f t="shared" si="106"/>
        <v>101.4</v>
      </c>
      <c r="Q139" s="487">
        <f t="shared" si="92"/>
        <v>40</v>
      </c>
      <c r="R139" s="278">
        <f t="shared" si="107"/>
        <v>11.3</v>
      </c>
      <c r="S139" s="278">
        <f t="shared" si="98"/>
        <v>11.3</v>
      </c>
      <c r="T139" s="279">
        <f t="shared" si="93"/>
        <v>106</v>
      </c>
      <c r="U139" s="279">
        <f t="shared" si="113"/>
        <v>16</v>
      </c>
      <c r="V139" s="276">
        <f t="shared" si="99"/>
        <v>0</v>
      </c>
      <c r="W139" s="276">
        <f>IF(AND(S139&gt;VLOOKUP(Inputs!$I$2,Extracciones,3),S139&lt;VLOOKUP(Inputs!$I$2,Extracciones,5)),(S139-VLOOKUP(Inputs!$I$2,Extracciones,3))*Inputs!$E$12,0)</f>
        <v>0</v>
      </c>
      <c r="X139" s="278">
        <f>IF(AD139=0,VLOOKUP(R139,Mineral,2)*R139*Inputs!$C$16*Inputs!$E$37,VLOOKUP(R139,Mineral,2)*R139*Inputs!$C$16)</f>
        <v>0</v>
      </c>
      <c r="Y139" s="278">
        <f>SUM(K139,M139)*Inputs!$O$8*14/(100*62)</f>
        <v>0</v>
      </c>
      <c r="Z139" s="278">
        <f t="shared" si="108"/>
        <v>0</v>
      </c>
      <c r="AA139" s="278">
        <f t="shared" si="109"/>
        <v>0</v>
      </c>
      <c r="AB139" s="279">
        <f t="shared" si="94"/>
        <v>0</v>
      </c>
      <c r="AC139" s="278">
        <f t="shared" si="77"/>
        <v>0</v>
      </c>
      <c r="AD139" s="279">
        <f t="shared" si="95"/>
        <v>-3.1263157894736842</v>
      </c>
      <c r="AE139" s="278">
        <f t="shared" si="100"/>
        <v>-134.0407894736841</v>
      </c>
      <c r="AF139" s="278">
        <f t="shared" si="114"/>
        <v>40.243051099808625</v>
      </c>
      <c r="AG139" s="279">
        <f t="shared" si="96"/>
        <v>40</v>
      </c>
      <c r="AH139" s="279">
        <f>AF139*1000000/(Inputs!$C$9*100*Inputs!$C$8*1000*(1-Inputs!$C$10)*(1+Inputs!$C$12))</f>
        <v>8.0518309523426623</v>
      </c>
      <c r="AI139" s="279">
        <f>IFERROR(HLOOKUP(A139,Inputs!$C$14:$C$15,2,FALSE),-100)</f>
        <v>-100</v>
      </c>
      <c r="AJ139" s="281">
        <f t="shared" si="101"/>
        <v>0</v>
      </c>
      <c r="AK139" s="282">
        <f t="shared" si="78"/>
        <v>4.0780000000000003</v>
      </c>
      <c r="AL139" s="282">
        <f t="shared" si="79"/>
        <v>2.709677419354839</v>
      </c>
      <c r="AM139" s="282">
        <f t="shared" si="80"/>
        <v>-1.9838368458620446</v>
      </c>
      <c r="AN139" s="283">
        <f>IFERROR(IF($G$1="Sí",VLOOKUP($A139,CSVAgro,9,FALSE),VLOOKUP($A139,Clima!$E$8:$Q$373,13,FALSE)),0)</f>
        <v>4.7</v>
      </c>
      <c r="AO139" s="281">
        <f t="shared" si="110"/>
        <v>207.70000000000005</v>
      </c>
      <c r="AP139" s="281">
        <f>IFERROR(VLOOKUP($A139,'F TrB'!$C$3:$O$21,3,FALSE),-9999)</f>
        <v>-9999</v>
      </c>
      <c r="AQ139" s="281">
        <f t="shared" si="102"/>
        <v>-999</v>
      </c>
      <c r="AR139" s="281">
        <f>IFERROR(IF(VLOOKUP($A139,'F TrB'!$Q$3:$R$21,2,FALSE)=0,-99999,VLOOKUP($A139,'F TrB'!$Q$3:$R$21,2,FALSE)),-99999)</f>
        <v>-99999</v>
      </c>
      <c r="AS139" s="281">
        <f t="shared" si="103"/>
        <v>-99999</v>
      </c>
      <c r="AT139" s="281" t="str">
        <f>IFERROR(VLOOKUP($A139,'NDVI tipo'!$Q$8:$S$30,2,FALSE),"")</f>
        <v/>
      </c>
      <c r="AU139" s="281">
        <f>IF(ISERROR(VLOOKUP($A139,'NDVI tipo'!$Q$8:$S$50,2,FALSE)),AU138+VLOOKUP($A139,'NDVI tipo'!$Q$8:$S$50,3,TRUE),VLOOKUP($A139,'NDVI tipo'!$Q$8:$S$50,2,FALSE))</f>
        <v>0.60463690243902402</v>
      </c>
      <c r="AV139" s="281">
        <f>IFERROR(VLOOKUP($A139,'NDVI real'!$Q$8:$S$44,2,FALSE),-999)</f>
        <v>-999</v>
      </c>
      <c r="AW139" s="281">
        <f>IF(ISERROR(VLOOKUP($A139,'NDVI real'!$T$8:$U$350,2,FALSE)),"",VLOOKUP($A139,'NDVI real'!$T$8:$U$350,2,FALSE))</f>
        <v>0.7650105394037946</v>
      </c>
      <c r="AX139" s="286">
        <f>IFERROR(VLOOKUP($A139,SWB!$C$15:$BE$244,53,FALSE),"")</f>
        <v>2.6857232163590261</v>
      </c>
      <c r="AY139" s="286">
        <f>IFERROR(VLOOKUP($A139,SWB!$C$15:$BE$244,55,FALSE),"")</f>
        <v>3.4883123767994988</v>
      </c>
      <c r="AZ139" s="281">
        <f>IF(ISERROR(VLOOKUP($A139,Clima!$V$8:$AI$320,14,FALSE)),-999,VLOOKUP(A139,Clima!$V$8:$AI$219,14,FALSE))</f>
        <v>2.2999999999999998</v>
      </c>
      <c r="BA139" s="281">
        <f t="shared" si="111"/>
        <v>219.20000000000005</v>
      </c>
      <c r="BB139" s="281">
        <f t="shared" si="104"/>
        <v>2.2999999999999998</v>
      </c>
      <c r="BC139" s="281">
        <f t="shared" si="112"/>
        <v>219.20000000000005</v>
      </c>
      <c r="BD139" s="284">
        <f t="shared" si="97"/>
        <v>42110</v>
      </c>
    </row>
    <row r="140" spans="1:56" s="275" customFormat="1" ht="12.75">
      <c r="A140" s="273">
        <f t="shared" si="105"/>
        <v>42111</v>
      </c>
      <c r="B140" s="274">
        <f t="shared" si="81"/>
        <v>107</v>
      </c>
      <c r="C140" s="275" t="str">
        <f t="shared" si="82"/>
        <v>Desarrollo</v>
      </c>
      <c r="D140" s="276">
        <f t="shared" si="83"/>
        <v>3.2</v>
      </c>
      <c r="E140" s="276">
        <f t="shared" si="84"/>
        <v>1.0204336049560983</v>
      </c>
      <c r="F140" s="276"/>
      <c r="G140" s="276">
        <f t="shared" si="85"/>
        <v>0.46196300000000001</v>
      </c>
      <c r="H140" s="276">
        <f t="shared" si="86"/>
        <v>1.132201</v>
      </c>
      <c r="I140" s="276">
        <f t="shared" si="87"/>
        <v>5.4119210000000004</v>
      </c>
      <c r="J140" s="276">
        <f>IFERROR(IF($G$1="Sí",VLOOKUP($A140,CSVAgro,13,FALSE),VLOOKUP($A140,SWB!$C$15:$P$202,14,FALSE)),0)</f>
        <v>0</v>
      </c>
      <c r="K140" s="487">
        <f t="shared" si="88"/>
        <v>0</v>
      </c>
      <c r="L140" s="487">
        <f t="shared" si="89"/>
        <v>0</v>
      </c>
      <c r="M140" s="487">
        <f t="shared" si="90"/>
        <v>0</v>
      </c>
      <c r="N140" s="277">
        <f>IF(ISERROR($G$1="Sí"),VLOOKUP($A140,CSVAgro,16,FALSE),IF(ISERROR(VLOOKUP($A140,Clima!$W$8:$Z$284,2,FALSE)),VLOOKUP($A140,Clima!$E$8:$H$372,2,FALSE),VLOOKUP($A140,Clima!$W$8:$Z$284,2,FALSE)))</f>
        <v>12.7</v>
      </c>
      <c r="O140" s="276">
        <f t="shared" si="91"/>
        <v>156.08681065999761</v>
      </c>
      <c r="P140" s="276">
        <f t="shared" si="106"/>
        <v>101.4</v>
      </c>
      <c r="Q140" s="487">
        <f t="shared" si="92"/>
        <v>40</v>
      </c>
      <c r="R140" s="278">
        <f t="shared" si="107"/>
        <v>12.7</v>
      </c>
      <c r="S140" s="278">
        <f t="shared" si="98"/>
        <v>12.7</v>
      </c>
      <c r="T140" s="279">
        <f t="shared" si="93"/>
        <v>107</v>
      </c>
      <c r="U140" s="279">
        <f t="shared" si="113"/>
        <v>16</v>
      </c>
      <c r="V140" s="276">
        <f t="shared" si="99"/>
        <v>0</v>
      </c>
      <c r="W140" s="276">
        <f>IF(AND(S140&gt;VLOOKUP(Inputs!$I$2,Extracciones,3),S140&lt;VLOOKUP(Inputs!$I$2,Extracciones,5)),(S140-VLOOKUP(Inputs!$I$2,Extracciones,3))*Inputs!$E$12,0)</f>
        <v>0</v>
      </c>
      <c r="X140" s="278">
        <f>IF(AD140=0,VLOOKUP(R140,Mineral,2)*R140*Inputs!$C$16*Inputs!$E$37,VLOOKUP(R140,Mineral,2)*R140*Inputs!$C$16)</f>
        <v>0</v>
      </c>
      <c r="Y140" s="278">
        <f>SUM(K140,M140)*Inputs!$O$8*14/(100*62)</f>
        <v>0</v>
      </c>
      <c r="Z140" s="278">
        <f t="shared" si="108"/>
        <v>0</v>
      </c>
      <c r="AA140" s="278">
        <f t="shared" si="109"/>
        <v>0</v>
      </c>
      <c r="AB140" s="279">
        <f t="shared" si="94"/>
        <v>0</v>
      </c>
      <c r="AC140" s="278">
        <f t="shared" si="77"/>
        <v>0</v>
      </c>
      <c r="AD140" s="279">
        <f t="shared" si="95"/>
        <v>-3.1263157894736842</v>
      </c>
      <c r="AE140" s="278">
        <f t="shared" si="100"/>
        <v>-137.16710526315779</v>
      </c>
      <c r="AF140" s="278">
        <f t="shared" si="114"/>
        <v>37.116735310334938</v>
      </c>
      <c r="AG140" s="279">
        <f t="shared" si="96"/>
        <v>40</v>
      </c>
      <c r="AH140" s="279">
        <f>AF140*1000000/(Inputs!$C$9*100*Inputs!$C$8*1000*(1-Inputs!$C$10)*(1+Inputs!$C$12))</f>
        <v>7.4263175891026281</v>
      </c>
      <c r="AI140" s="279">
        <f>IFERROR(HLOOKUP(A140,Inputs!$C$14:$C$15,2,FALSE),-100)</f>
        <v>-100</v>
      </c>
      <c r="AJ140" s="281">
        <f t="shared" si="101"/>
        <v>1</v>
      </c>
      <c r="AK140" s="282">
        <f t="shared" si="78"/>
        <v>4.0780000000000003</v>
      </c>
      <c r="AL140" s="282">
        <f t="shared" si="79"/>
        <v>2.709677419354839</v>
      </c>
      <c r="AM140" s="282">
        <f t="shared" si="80"/>
        <v>-1.9838368458620446</v>
      </c>
      <c r="AN140" s="283">
        <f>IFERROR(IF($G$1="Sí",VLOOKUP($A140,CSVAgro,9,FALSE),VLOOKUP($A140,Clima!$E$8:$Q$373,13,FALSE)),0)</f>
        <v>4.3</v>
      </c>
      <c r="AO140" s="281">
        <f t="shared" si="110"/>
        <v>212.00000000000006</v>
      </c>
      <c r="AP140" s="281">
        <f>IFERROR(VLOOKUP($A140,'F TrB'!$C$3:$O$21,3,FALSE),-9999)</f>
        <v>-9999</v>
      </c>
      <c r="AQ140" s="281">
        <f t="shared" si="102"/>
        <v>-999</v>
      </c>
      <c r="AR140" s="281">
        <f>IFERROR(IF(VLOOKUP($A140,'F TrB'!$Q$3:$R$21,2,FALSE)=0,-99999,VLOOKUP($A140,'F TrB'!$Q$3:$R$21,2,FALSE)),-99999)</f>
        <v>-99999</v>
      </c>
      <c r="AS140" s="281">
        <f t="shared" si="103"/>
        <v>-99999</v>
      </c>
      <c r="AT140" s="281" t="str">
        <f>IFERROR(VLOOKUP($A140,'NDVI tipo'!$Q$8:$S$30,2,FALSE),"")</f>
        <v/>
      </c>
      <c r="AU140" s="281">
        <f>IF(ISERROR(VLOOKUP($A140,'NDVI tipo'!$Q$8:$S$50,2,FALSE)),AU139+VLOOKUP($A140,'NDVI tipo'!$Q$8:$S$50,3,TRUE),VLOOKUP($A140,'NDVI tipo'!$Q$8:$S$50,2,FALSE))</f>
        <v>0.61296592682926787</v>
      </c>
      <c r="AV140" s="281">
        <f>IFERROR(VLOOKUP($A140,'NDVI real'!$Q$8:$S$44,2,FALSE),-999)</f>
        <v>-999</v>
      </c>
      <c r="AW140" s="281">
        <f>IF(ISERROR(VLOOKUP($A140,'NDVI real'!$T$8:$U$350,2,FALSE)),"",VLOOKUP($A140,'NDVI real'!$T$8:$U$350,2,FALSE))</f>
        <v>0.77807889233062388</v>
      </c>
      <c r="AX140" s="286">
        <f>IFERROR(VLOOKUP($A140,SWB!$C$15:$BE$244,53,FALSE),"")</f>
        <v>2.8520675705803269</v>
      </c>
      <c r="AY140" s="286">
        <f>IFERROR(VLOOKUP($A140,SWB!$C$15:$BE$244,55,FALSE),"")</f>
        <v>3.1661988838418722</v>
      </c>
      <c r="AZ140" s="281">
        <f>IF(ISERROR(VLOOKUP($A140,Clima!$V$8:$AI$320,14,FALSE)),-999,VLOOKUP(A140,Clima!$V$8:$AI$219,14,FALSE))</f>
        <v>3.2</v>
      </c>
      <c r="BA140" s="281">
        <f t="shared" si="111"/>
        <v>222.40000000000003</v>
      </c>
      <c r="BB140" s="281">
        <f t="shared" si="104"/>
        <v>3.2</v>
      </c>
      <c r="BC140" s="281">
        <f t="shared" si="112"/>
        <v>222.40000000000003</v>
      </c>
      <c r="BD140" s="284">
        <f t="shared" si="97"/>
        <v>42111</v>
      </c>
    </row>
    <row r="141" spans="1:56" s="275" customFormat="1" ht="12.75">
      <c r="A141" s="273">
        <f t="shared" si="105"/>
        <v>42112</v>
      </c>
      <c r="B141" s="274">
        <f t="shared" ref="B141:B172" si="115">IFERROR(IF($G$1="Sí",VLOOKUP($A141,CSVAgro,4,FALSE),VLOOKUP($A141,CSVSWB,3))," ")</f>
        <v>108</v>
      </c>
      <c r="C141" s="275" t="str">
        <f t="shared" ref="C141:C172" si="116">IFERROR(IF($G$1="Sí",VLOOKUP($A141,CSVAgro,2,FALSE),VLOOKUP($A141,CSVSWB,2,FALSE))," ")</f>
        <v>Desarrollo</v>
      </c>
      <c r="D141" s="276">
        <f t="shared" ref="D141:D172" si="117">IFERROR(IF($G$1="Sí",VLOOKUP($A141,CSVAgro,9,FALSE),VLOOKUP($A141,CSVSWB,8,FALSE)),0)</f>
        <v>4.2</v>
      </c>
      <c r="E141" s="276">
        <f t="shared" ref="E141:E172" si="118">IFERROR(IF($G$1="Sí",VLOOKUP($A141,CSVAgro,14,FALSE),VLOOKUP($A141,CSVSWB,13,FALSE)),0)</f>
        <v>1.0392520331707324</v>
      </c>
      <c r="F141" s="276"/>
      <c r="G141" s="276">
        <f t="shared" ref="G141:G172" si="119">IFERROR(IF($G$1="Sí",VLOOKUP($A141,CSVAgro,26,FALSE),VLOOKUP($A141,CSVSWB,26,FALSE)),0)</f>
        <v>0.40649200000000002</v>
      </c>
      <c r="H141" s="276">
        <f t="shared" ref="H141:H172" si="120">IFERROR(IF($G$1="Sí",VLOOKUP($A141,CSVAgro,29,FALSE),VLOOKUP($A141,CSVSWB,29,FALSE)),0)</f>
        <v>1.0993489999999999</v>
      </c>
      <c r="I141" s="276">
        <f t="shared" ref="I141:I172" si="121">IFERROR(IF($G$1="Sí",VLOOKUP($A141,CSVAgro,30,FALSE),VLOOKUP($A141,CSVSWB,30,FALSE)),0)</f>
        <v>2.748373</v>
      </c>
      <c r="J141" s="276">
        <f>IFERROR(IF($G$1="Sí",VLOOKUP($A141,CSVAgro,13,FALSE),VLOOKUP($A141,SWB!$C$15:$P$202,14,FALSE)),0)</f>
        <v>0</v>
      </c>
      <c r="K141" s="487">
        <f t="shared" ref="K141:K172" si="122">IFERROR(IF($G$1="Sí",VLOOKUP($A141,CSVAgro,35,FALSE),VLOOKUP($A141,CSVSWB,35,FALSE)),0)</f>
        <v>0</v>
      </c>
      <c r="L141" s="487">
        <f t="shared" si="89"/>
        <v>0</v>
      </c>
      <c r="M141" s="487">
        <f t="shared" si="90"/>
        <v>0</v>
      </c>
      <c r="N141" s="277">
        <f>IF(ISERROR($G$1="Sí"),VLOOKUP($A141,CSVAgro,16,FALSE),IF(ISERROR(VLOOKUP($A141,Clima!$W$8:$Z$284,2,FALSE)),VLOOKUP($A141,Clima!$E$8:$H$372,2,FALSE),VLOOKUP($A141,Clima!$W$8:$Z$284,2,FALSE)))</f>
        <v>14.4</v>
      </c>
      <c r="O141" s="276">
        <f t="shared" ref="O141:O172" si="123">IFERROR(IF($G$1="Sí",VLOOKUP($A141,CSVAgro,42,FALSE),VLOOKUP($A141,CSVSWB,42,FALSE)),0)</f>
        <v>159.2150260531773</v>
      </c>
      <c r="P141" s="276">
        <f t="shared" si="106"/>
        <v>101.4</v>
      </c>
      <c r="Q141" s="487">
        <f t="shared" si="92"/>
        <v>40</v>
      </c>
      <c r="R141" s="278">
        <f t="shared" si="107"/>
        <v>14.4</v>
      </c>
      <c r="S141" s="278">
        <f t="shared" si="98"/>
        <v>14.4</v>
      </c>
      <c r="T141" s="279">
        <f t="shared" si="93"/>
        <v>108</v>
      </c>
      <c r="U141" s="279">
        <f t="shared" si="113"/>
        <v>16</v>
      </c>
      <c r="V141" s="276">
        <f t="shared" si="99"/>
        <v>0</v>
      </c>
      <c r="W141" s="276">
        <f>IF(AND(S141&gt;VLOOKUP(Inputs!$I$2,Extracciones,3),S141&lt;VLOOKUP(Inputs!$I$2,Extracciones,5)),(S141-VLOOKUP(Inputs!$I$2,Extracciones,3))*Inputs!$E$12,0)</f>
        <v>0</v>
      </c>
      <c r="X141" s="278">
        <f>IF(AD141=0,VLOOKUP(R141,Mineral,2)*R141*Inputs!$C$16*Inputs!$E$37,VLOOKUP(R141,Mineral,2)*R141*Inputs!$C$16)</f>
        <v>0.57600000000000007</v>
      </c>
      <c r="Y141" s="278">
        <f>SUM(K141,M141)*Inputs!$O$8*14/(100*62)</f>
        <v>0</v>
      </c>
      <c r="Z141" s="278">
        <f t="shared" si="108"/>
        <v>0</v>
      </c>
      <c r="AA141" s="278">
        <f t="shared" si="109"/>
        <v>0</v>
      </c>
      <c r="AB141" s="279">
        <f t="shared" ref="AB141:AB172" si="124">VLOOKUP(A141,FenoT,11)</f>
        <v>0</v>
      </c>
      <c r="AC141" s="278">
        <f t="shared" si="77"/>
        <v>0</v>
      </c>
      <c r="AD141" s="279">
        <f t="shared" si="95"/>
        <v>-3.1263157894736842</v>
      </c>
      <c r="AE141" s="278">
        <f t="shared" si="100"/>
        <v>-140.29342105263149</v>
      </c>
      <c r="AF141" s="278">
        <f t="shared" si="114"/>
        <v>34.566419520861253</v>
      </c>
      <c r="AG141" s="279">
        <f t="shared" ref="AG141:AG172" si="125">VLOOKUP(A141,FenoT,10)</f>
        <v>40</v>
      </c>
      <c r="AH141" s="279">
        <f>AF141*1000000/(Inputs!$C$9*100*Inputs!$C$8*1000*(1-Inputs!$C$10)*(1+Inputs!$C$12))</f>
        <v>6.9160503243019713</v>
      </c>
      <c r="AI141" s="279">
        <f>IFERROR(HLOOKUP(A141,Inputs!$C$14:$C$15,2,FALSE),-100)</f>
        <v>-100</v>
      </c>
      <c r="AJ141" s="281">
        <f t="shared" si="101"/>
        <v>1</v>
      </c>
      <c r="AK141" s="282">
        <f t="shared" si="78"/>
        <v>4.6539999999999999</v>
      </c>
      <c r="AL141" s="282">
        <f t="shared" si="79"/>
        <v>2.709677419354839</v>
      </c>
      <c r="AM141" s="282">
        <f t="shared" si="80"/>
        <v>-1.9838368458620446</v>
      </c>
      <c r="AN141" s="283">
        <f>IFERROR(IF($G$1="Sí",VLOOKUP($A141,CSVAgro,9,FALSE),VLOOKUP($A141,Clima!$E$8:$Q$373,13,FALSE)),0)</f>
        <v>2.8</v>
      </c>
      <c r="AO141" s="281">
        <f t="shared" si="110"/>
        <v>214.80000000000007</v>
      </c>
      <c r="AP141" s="281">
        <f>IFERROR(VLOOKUP($A141,'F TrB'!$C$3:$O$21,3,FALSE),-9999)</f>
        <v>-9999</v>
      </c>
      <c r="AQ141" s="281">
        <f t="shared" si="102"/>
        <v>-999</v>
      </c>
      <c r="AR141" s="281">
        <f>IFERROR(IF(VLOOKUP($A141,'F TrB'!$Q$3:$R$21,2,FALSE)=0,-99999,VLOOKUP($A141,'F TrB'!$Q$3:$R$21,2,FALSE)),-99999)</f>
        <v>-99999</v>
      </c>
      <c r="AS141" s="281">
        <f t="shared" si="103"/>
        <v>-99999</v>
      </c>
      <c r="AT141" s="281" t="str">
        <f>IFERROR(VLOOKUP($A141,'NDVI tipo'!$Q$8:$S$30,2,FALSE),"")</f>
        <v/>
      </c>
      <c r="AU141" s="281">
        <f>IF(ISERROR(VLOOKUP($A141,'NDVI tipo'!$Q$8:$S$50,2,FALSE)),AU140+VLOOKUP($A141,'NDVI tipo'!$Q$8:$S$50,3,TRUE),VLOOKUP($A141,'NDVI tipo'!$Q$8:$S$50,2,FALSE))</f>
        <v>0.62129495121951173</v>
      </c>
      <c r="AV141" s="281">
        <f>IFERROR(VLOOKUP($A141,'NDVI real'!$Q$8:$S$44,2,FALSE),-999)</f>
        <v>-999</v>
      </c>
      <c r="AW141" s="281">
        <f>IF(ISERROR(VLOOKUP($A141,'NDVI real'!$T$8:$U$350,2,FALSE)),"",VLOOKUP($A141,'NDVI real'!$T$8:$U$350,2,FALSE))</f>
        <v>0.79114724525745317</v>
      </c>
      <c r="AX141" s="286">
        <f>IFERROR(VLOOKUP($A141,SWB!$C$15:$BE$244,53,FALSE),"")</f>
        <v>2.9625803077835791</v>
      </c>
      <c r="AY141" s="286">
        <f>IFERROR(VLOOKUP($A141,SWB!$C$15:$BE$244,55,FALSE),"")</f>
        <v>2.0585095686951718</v>
      </c>
      <c r="AZ141" s="281">
        <f>IF(ISERROR(VLOOKUP($A141,Clima!$V$8:$AI$320,14,FALSE)),-999,VLOOKUP(A141,Clima!$V$8:$AI$219,14,FALSE))</f>
        <v>4.2</v>
      </c>
      <c r="BA141" s="281">
        <f t="shared" si="111"/>
        <v>226.60000000000002</v>
      </c>
      <c r="BB141" s="281">
        <f t="shared" si="104"/>
        <v>4.2</v>
      </c>
      <c r="BC141" s="281">
        <f t="shared" si="112"/>
        <v>226.60000000000002</v>
      </c>
      <c r="BD141" s="284">
        <f t="shared" ref="BD141:BD172" si="126">A141</f>
        <v>42112</v>
      </c>
    </row>
    <row r="142" spans="1:56" s="275" customFormat="1" ht="12.75">
      <c r="A142" s="273">
        <f t="shared" si="105"/>
        <v>42113</v>
      </c>
      <c r="B142" s="274">
        <f t="shared" si="115"/>
        <v>109</v>
      </c>
      <c r="C142" s="275" t="str">
        <f t="shared" si="116"/>
        <v>Desarrollo</v>
      </c>
      <c r="D142" s="276">
        <f t="shared" si="117"/>
        <v>3.8</v>
      </c>
      <c r="E142" s="276">
        <f t="shared" si="118"/>
        <v>1.0580704613853666</v>
      </c>
      <c r="F142" s="276"/>
      <c r="G142" s="276">
        <f t="shared" si="119"/>
        <v>0.339592</v>
      </c>
      <c r="H142" s="276">
        <f t="shared" si="120"/>
        <v>1.0550679999999999</v>
      </c>
      <c r="I142" s="276">
        <f t="shared" si="121"/>
        <v>2.4266559999999999</v>
      </c>
      <c r="J142" s="276">
        <f>IFERROR(IF($G$1="Sí",VLOOKUP($A142,CSVAgro,13,FALSE),VLOOKUP($A142,SWB!$C$15:$P$202,14,FALSE)),0)</f>
        <v>0</v>
      </c>
      <c r="K142" s="487">
        <f t="shared" si="122"/>
        <v>5</v>
      </c>
      <c r="L142" s="487">
        <f t="shared" si="89"/>
        <v>0</v>
      </c>
      <c r="M142" s="487">
        <f t="shared" si="90"/>
        <v>5</v>
      </c>
      <c r="N142" s="277">
        <f>IF(ISERROR($G$1="Sí"),VLOOKUP($A142,CSVAgro,16,FALSE),IF(ISERROR(VLOOKUP($A142,Clima!$W$8:$Z$284,2,FALSE)),VLOOKUP($A142,Clima!$E$8:$H$372,2,FALSE),VLOOKUP($A142,Clima!$W$8:$Z$284,2,FALSE)))</f>
        <v>10.1</v>
      </c>
      <c r="O142" s="276">
        <f t="shared" si="123"/>
        <v>163.23447225327661</v>
      </c>
      <c r="P142" s="276">
        <f t="shared" si="106"/>
        <v>101.4</v>
      </c>
      <c r="Q142" s="487">
        <f t="shared" si="92"/>
        <v>40</v>
      </c>
      <c r="R142" s="278">
        <f t="shared" si="107"/>
        <v>10.1</v>
      </c>
      <c r="S142" s="278">
        <f t="shared" si="98"/>
        <v>10.1</v>
      </c>
      <c r="T142" s="279">
        <f t="shared" si="93"/>
        <v>109</v>
      </c>
      <c r="U142" s="279">
        <f t="shared" si="113"/>
        <v>16</v>
      </c>
      <c r="V142" s="276">
        <f t="shared" si="99"/>
        <v>0</v>
      </c>
      <c r="W142" s="276">
        <f>IF(AND(S142&gt;VLOOKUP(Inputs!$I$2,Extracciones,3),S142&lt;VLOOKUP(Inputs!$I$2,Extracciones,5)),(S142-VLOOKUP(Inputs!$I$2,Extracciones,3))*Inputs!$E$12,0)</f>
        <v>0</v>
      </c>
      <c r="X142" s="278">
        <f>IF(AD142=0,VLOOKUP(R142,Mineral,2)*R142*Inputs!$C$16*Inputs!$E$37,VLOOKUP(R142,Mineral,2)*R142*Inputs!$C$16)</f>
        <v>0</v>
      </c>
      <c r="Y142" s="278">
        <f>SUM(K142,M142)*Inputs!$O$8*14/(100*62)</f>
        <v>0.33870967741935482</v>
      </c>
      <c r="Z142" s="278">
        <f t="shared" si="108"/>
        <v>70.38</v>
      </c>
      <c r="AA142" s="278">
        <f t="shared" si="109"/>
        <v>82.8</v>
      </c>
      <c r="AB142" s="279">
        <f t="shared" si="124"/>
        <v>0</v>
      </c>
      <c r="AC142" s="278">
        <f t="shared" si="77"/>
        <v>0</v>
      </c>
      <c r="AD142" s="279">
        <f t="shared" si="95"/>
        <v>-3.1263157894736842</v>
      </c>
      <c r="AE142" s="278">
        <f t="shared" si="100"/>
        <v>-143.41973684210518</v>
      </c>
      <c r="AF142" s="278">
        <f t="shared" si="114"/>
        <v>102.15881340880692</v>
      </c>
      <c r="AG142" s="279">
        <f t="shared" si="125"/>
        <v>40</v>
      </c>
      <c r="AH142" s="279">
        <f>AF142*1000000/(Inputs!$C$9*100*Inputs!$C$8*1000*(1-Inputs!$C$10)*(1+Inputs!$C$12))</f>
        <v>20.439938657224275</v>
      </c>
      <c r="AI142" s="279">
        <f>IFERROR(HLOOKUP(A142,Inputs!$C$14:$C$15,2,FALSE),-100)</f>
        <v>-100</v>
      </c>
      <c r="AJ142" s="281">
        <f t="shared" si="101"/>
        <v>0</v>
      </c>
      <c r="AK142" s="282">
        <f t="shared" si="78"/>
        <v>4.6539999999999999</v>
      </c>
      <c r="AL142" s="282">
        <f t="shared" si="79"/>
        <v>3.0483870967741939</v>
      </c>
      <c r="AM142" s="282">
        <f t="shared" si="80"/>
        <v>-1.9838368458620446</v>
      </c>
      <c r="AN142" s="283">
        <f>IFERROR(IF($G$1="Sí",VLOOKUP($A142,CSVAgro,9,FALSE),VLOOKUP($A142,Clima!$E$8:$Q$373,13,FALSE)),0)</f>
        <v>4.2</v>
      </c>
      <c r="AO142" s="281">
        <f t="shared" si="110"/>
        <v>219.00000000000006</v>
      </c>
      <c r="AP142" s="281">
        <f>IFERROR(VLOOKUP($A142,'F TrB'!$C$3:$O$21,3,FALSE),-9999)</f>
        <v>-9999</v>
      </c>
      <c r="AQ142" s="281">
        <f t="shared" si="102"/>
        <v>-999</v>
      </c>
      <c r="AR142" s="281">
        <f>IFERROR(IF(VLOOKUP($A142,'F TrB'!$Q$3:$R$21,2,FALSE)=0,-99999,VLOOKUP($A142,'F TrB'!$Q$3:$R$21,2,FALSE)),-99999)</f>
        <v>33</v>
      </c>
      <c r="AS142" s="281">
        <f t="shared" si="103"/>
        <v>1.4</v>
      </c>
      <c r="AT142" s="281" t="str">
        <f>IFERROR(VLOOKUP($A142,'NDVI tipo'!$Q$8:$S$30,2,FALSE),"")</f>
        <v/>
      </c>
      <c r="AU142" s="281">
        <f>IF(ISERROR(VLOOKUP($A142,'NDVI tipo'!$Q$8:$S$50,2,FALSE)),AU141+VLOOKUP($A142,'NDVI tipo'!$Q$8:$S$50,3,TRUE),VLOOKUP($A142,'NDVI tipo'!$Q$8:$S$50,2,FALSE))</f>
        <v>0.62962397560975558</v>
      </c>
      <c r="AV142" s="281">
        <f>IFERROR(VLOOKUP($A142,'NDVI real'!$Q$8:$S$44,2,FALSE),-999)</f>
        <v>-999</v>
      </c>
      <c r="AW142" s="281">
        <f>IF(ISERROR(VLOOKUP($A142,'NDVI real'!$T$8:$U$350,2,FALSE)),"",VLOOKUP($A142,'NDVI real'!$T$8:$U$350,2,FALSE))</f>
        <v>0.80421559818428245</v>
      </c>
      <c r="AX142" s="286">
        <f>IFERROR(VLOOKUP($A142,SWB!$C$15:$BE$244,53,FALSE),"")</f>
        <v>3.1316426385260181</v>
      </c>
      <c r="AY142" s="286">
        <f>IFERROR(VLOOKUP($A142,SWB!$C$15:$BE$244,55,FALSE),"")</f>
        <v>3.0845491846248905</v>
      </c>
      <c r="AZ142" s="281">
        <f>IF(ISERROR(VLOOKUP($A142,Clima!$V$8:$AI$320,14,FALSE)),-999,VLOOKUP(A142,Clima!$V$8:$AI$219,14,FALSE))</f>
        <v>3.8</v>
      </c>
      <c r="BA142" s="281">
        <f t="shared" si="111"/>
        <v>230.40000000000003</v>
      </c>
      <c r="BB142" s="281">
        <f t="shared" si="104"/>
        <v>3.8</v>
      </c>
      <c r="BC142" s="281">
        <f t="shared" si="112"/>
        <v>230.40000000000003</v>
      </c>
      <c r="BD142" s="284">
        <f t="shared" si="126"/>
        <v>42113</v>
      </c>
    </row>
    <row r="143" spans="1:56" s="275" customFormat="1" ht="12.75">
      <c r="A143" s="273">
        <f t="shared" si="105"/>
        <v>42114</v>
      </c>
      <c r="B143" s="274">
        <f t="shared" si="115"/>
        <v>110</v>
      </c>
      <c r="C143" s="275" t="str">
        <f t="shared" si="116"/>
        <v>Desarrollo</v>
      </c>
      <c r="D143" s="276">
        <f t="shared" si="117"/>
        <v>4.3</v>
      </c>
      <c r="E143" s="276">
        <f t="shared" si="118"/>
        <v>1.0768888895999997</v>
      </c>
      <c r="F143" s="276"/>
      <c r="G143" s="276">
        <f t="shared" si="119"/>
        <v>0.341391</v>
      </c>
      <c r="H143" s="276">
        <f t="shared" si="120"/>
        <v>1.0794870000000001</v>
      </c>
      <c r="I143" s="276">
        <f t="shared" si="121"/>
        <v>3.4975360000000002</v>
      </c>
      <c r="J143" s="276">
        <f>IFERROR(IF($G$1="Sí",VLOOKUP($A143,CSVAgro,13,FALSE),VLOOKUP($A143,SWB!$C$15:$P$202,14,FALSE)),0)</f>
        <v>0</v>
      </c>
      <c r="K143" s="487">
        <f t="shared" si="122"/>
        <v>5</v>
      </c>
      <c r="L143" s="487">
        <f t="shared" si="89"/>
        <v>0</v>
      </c>
      <c r="M143" s="487">
        <f t="shared" si="90"/>
        <v>5</v>
      </c>
      <c r="N143" s="277">
        <f>IF(ISERROR($G$1="Sí"),VLOOKUP($A143,CSVAgro,16,FALSE),IF(ISERROR(VLOOKUP($A143,Clima!$W$8:$Z$284,2,FALSE)),VLOOKUP($A143,Clima!$E$8:$H$372,2,FALSE),VLOOKUP($A143,Clima!$W$8:$Z$284,2,FALSE)))</f>
        <v>12.1</v>
      </c>
      <c r="O143" s="276">
        <f t="shared" si="123"/>
        <v>166.03918521645994</v>
      </c>
      <c r="P143" s="276">
        <f t="shared" si="106"/>
        <v>101.4</v>
      </c>
      <c r="Q143" s="487">
        <f t="shared" si="92"/>
        <v>45</v>
      </c>
      <c r="R143" s="278">
        <f t="shared" si="107"/>
        <v>12.1</v>
      </c>
      <c r="S143" s="278">
        <f t="shared" si="98"/>
        <v>12.1</v>
      </c>
      <c r="T143" s="279">
        <f t="shared" si="93"/>
        <v>110</v>
      </c>
      <c r="U143" s="279">
        <f t="shared" si="113"/>
        <v>17</v>
      </c>
      <c r="V143" s="276">
        <f t="shared" si="99"/>
        <v>0</v>
      </c>
      <c r="W143" s="276">
        <f>IF(AND(S143&gt;VLOOKUP(Inputs!$I$2,Extracciones,3),S143&lt;VLOOKUP(Inputs!$I$2,Extracciones,5)),(S143-VLOOKUP(Inputs!$I$2,Extracciones,3))*Inputs!$E$12,0)</f>
        <v>0</v>
      </c>
      <c r="X143" s="278">
        <f>IF(AD143=0,VLOOKUP(R143,Mineral,2)*R143*Inputs!$C$16*Inputs!$E$37,VLOOKUP(R143,Mineral,2)*R143*Inputs!$C$16)</f>
        <v>0</v>
      </c>
      <c r="Y143" s="278">
        <f>SUM(K143,M143)*Inputs!$O$8*14/(100*62)</f>
        <v>0.33870967741935482</v>
      </c>
      <c r="Z143" s="278">
        <f t="shared" si="108"/>
        <v>0</v>
      </c>
      <c r="AA143" s="278">
        <f t="shared" si="109"/>
        <v>0</v>
      </c>
      <c r="AB143" s="279">
        <f t="shared" si="124"/>
        <v>0</v>
      </c>
      <c r="AC143" s="278">
        <f t="shared" si="77"/>
        <v>0</v>
      </c>
      <c r="AD143" s="279">
        <f t="shared" si="95"/>
        <v>-3.1263157894736842</v>
      </c>
      <c r="AE143" s="278">
        <f t="shared" si="100"/>
        <v>-146.54605263157887</v>
      </c>
      <c r="AF143" s="278">
        <f t="shared" si="114"/>
        <v>99.371207296752601</v>
      </c>
      <c r="AG143" s="279">
        <f t="shared" si="125"/>
        <v>40</v>
      </c>
      <c r="AH143" s="279">
        <f>AF143*1000000/(Inputs!$C$9*100*Inputs!$C$8*1000*(1-Inputs!$C$10)*(1+Inputs!$C$12))</f>
        <v>19.882194337085355</v>
      </c>
      <c r="AI143" s="279">
        <f>IFERROR(HLOOKUP(A143,Inputs!$C$14:$C$15,2,FALSE),-100)</f>
        <v>-100</v>
      </c>
      <c r="AJ143" s="281">
        <f t="shared" si="101"/>
        <v>0</v>
      </c>
      <c r="AK143" s="282">
        <f t="shared" si="78"/>
        <v>4.6539999999999999</v>
      </c>
      <c r="AL143" s="282">
        <f t="shared" si="79"/>
        <v>3.3870967741935489</v>
      </c>
      <c r="AM143" s="282">
        <f t="shared" si="80"/>
        <v>-1.9838368458620446</v>
      </c>
      <c r="AN143" s="283">
        <f>IFERROR(IF($G$1="Sí",VLOOKUP($A143,CSVAgro,9,FALSE),VLOOKUP($A143,Clima!$E$8:$Q$373,13,FALSE)),0)</f>
        <v>2.5</v>
      </c>
      <c r="AO143" s="281">
        <f t="shared" si="110"/>
        <v>221.50000000000006</v>
      </c>
      <c r="AP143" s="281">
        <f>IFERROR(VLOOKUP($A143,'F TrB'!$C$3:$O$21,3,FALSE),-9999)</f>
        <v>-9999</v>
      </c>
      <c r="AQ143" s="281">
        <f t="shared" si="102"/>
        <v>-999</v>
      </c>
      <c r="AR143" s="281">
        <f>IFERROR(IF(VLOOKUP($A143,'F TrB'!$Q$3:$R$21,2,FALSE)=0,-99999,VLOOKUP($A143,'F TrB'!$Q$3:$R$21,2,FALSE)),-99999)</f>
        <v>-99999</v>
      </c>
      <c r="AS143" s="281">
        <f t="shared" si="103"/>
        <v>-99999</v>
      </c>
      <c r="AT143" s="281">
        <f>IFERROR(VLOOKUP($A143,'NDVI tipo'!$Q$8:$S$30,2,FALSE),"")</f>
        <v>0.63795299999999999</v>
      </c>
      <c r="AU143" s="281">
        <f>IF(ISERROR(VLOOKUP($A143,'NDVI tipo'!$Q$8:$S$50,2,FALSE)),AU142+VLOOKUP($A143,'NDVI tipo'!$Q$8:$S$50,3,TRUE),VLOOKUP($A143,'NDVI tipo'!$Q$8:$S$50,2,FALSE))</f>
        <v>0.63795299999999999</v>
      </c>
      <c r="AV143" s="281">
        <f>IFERROR(VLOOKUP($A143,'NDVI real'!$Q$8:$S$44,2,FALSE),-999)</f>
        <v>0.81728395111111107</v>
      </c>
      <c r="AW143" s="281">
        <f>IF(ISERROR(VLOOKUP($A143,'NDVI real'!$T$8:$U$350,2,FALSE)),"",VLOOKUP($A143,'NDVI real'!$T$8:$U$350,2,FALSE))</f>
        <v>0.81728395111111107</v>
      </c>
      <c r="AX143" s="286">
        <f>IFERROR(VLOOKUP($A143,SWB!$C$15:$BE$244,53,FALSE),"")</f>
        <v>3.234235231192685</v>
      </c>
      <c r="AY143" s="286">
        <f>IFERROR(VLOOKUP($A143,SWB!$C$15:$BE$244,55,FALSE),"")</f>
        <v>1.8359711729217025</v>
      </c>
      <c r="AZ143" s="281">
        <f>IF(ISERROR(VLOOKUP($A143,Clima!$V$8:$AI$320,14,FALSE)),-999,VLOOKUP(A143,Clima!$V$8:$AI$219,14,FALSE))</f>
        <v>4.3</v>
      </c>
      <c r="BA143" s="281">
        <f t="shared" si="111"/>
        <v>234.70000000000005</v>
      </c>
      <c r="BB143" s="281">
        <f t="shared" si="104"/>
        <v>4.3</v>
      </c>
      <c r="BC143" s="281">
        <f t="shared" si="112"/>
        <v>234.70000000000005</v>
      </c>
      <c r="BD143" s="284">
        <f t="shared" si="126"/>
        <v>42114</v>
      </c>
    </row>
    <row r="144" spans="1:56" s="275" customFormat="1" ht="12.75">
      <c r="A144" s="273">
        <f t="shared" si="105"/>
        <v>42115</v>
      </c>
      <c r="B144" s="274">
        <f t="shared" si="115"/>
        <v>111</v>
      </c>
      <c r="C144" s="275" t="str">
        <f t="shared" si="116"/>
        <v>Desarrollo</v>
      </c>
      <c r="D144" s="276">
        <f t="shared" si="117"/>
        <v>4.0999999999999996</v>
      </c>
      <c r="E144" s="276">
        <f t="shared" si="118"/>
        <v>1.0822888894999998</v>
      </c>
      <c r="F144" s="276"/>
      <c r="G144" s="276">
        <f t="shared" si="119"/>
        <v>0.41076499999999999</v>
      </c>
      <c r="H144" s="276">
        <f t="shared" si="120"/>
        <v>1.1714789999999999</v>
      </c>
      <c r="I144" s="276">
        <f t="shared" si="121"/>
        <v>4.873354</v>
      </c>
      <c r="J144" s="276">
        <f>IFERROR(IF($G$1="Sí",VLOOKUP($A144,CSVAgro,13,FALSE),VLOOKUP($A144,SWB!$C$15:$P$202,14,FALSE)),0)</f>
        <v>0.2</v>
      </c>
      <c r="K144" s="487">
        <f t="shared" si="122"/>
        <v>5</v>
      </c>
      <c r="L144" s="487">
        <f t="shared" si="89"/>
        <v>0</v>
      </c>
      <c r="M144" s="487">
        <f t="shared" si="90"/>
        <v>5</v>
      </c>
      <c r="N144" s="277">
        <f>IF(ISERROR($G$1="Sí"),VLOOKUP($A144,CSVAgro,16,FALSE),IF(ISERROR(VLOOKUP($A144,Clima!$W$8:$Z$284,2,FALSE)),VLOOKUP($A144,Clima!$E$8:$H$372,2,FALSE),VLOOKUP($A144,Clima!$W$8:$Z$284,2,FALSE)))</f>
        <v>12.5</v>
      </c>
      <c r="O144" s="276">
        <f t="shared" si="123"/>
        <v>167.61076160082524</v>
      </c>
      <c r="P144" s="276">
        <f t="shared" si="106"/>
        <v>101.60000000000001</v>
      </c>
      <c r="Q144" s="487">
        <f t="shared" si="92"/>
        <v>50</v>
      </c>
      <c r="R144" s="278">
        <f t="shared" si="107"/>
        <v>12.5</v>
      </c>
      <c r="S144" s="278">
        <f t="shared" si="98"/>
        <v>12.5</v>
      </c>
      <c r="T144" s="279">
        <f t="shared" si="93"/>
        <v>111</v>
      </c>
      <c r="U144" s="279">
        <f t="shared" si="113"/>
        <v>17</v>
      </c>
      <c r="V144" s="276">
        <f t="shared" si="99"/>
        <v>0</v>
      </c>
      <c r="W144" s="276">
        <f>IF(AND(S144&gt;VLOOKUP(Inputs!$I$2,Extracciones,3),S144&lt;VLOOKUP(Inputs!$I$2,Extracciones,5)),(S144-VLOOKUP(Inputs!$I$2,Extracciones,3))*Inputs!$E$12,0)</f>
        <v>0</v>
      </c>
      <c r="X144" s="278">
        <f>IF(AD144=0,VLOOKUP(R144,Mineral,2)*R144*Inputs!$C$16*Inputs!$E$37,VLOOKUP(R144,Mineral,2)*R144*Inputs!$C$16)</f>
        <v>0</v>
      </c>
      <c r="Y144" s="278">
        <f>SUM(K144,M144)*Inputs!$O$8*14/(100*62)</f>
        <v>0.33870967741935482</v>
      </c>
      <c r="Z144" s="278">
        <f t="shared" si="108"/>
        <v>0</v>
      </c>
      <c r="AA144" s="278">
        <f t="shared" si="109"/>
        <v>0</v>
      </c>
      <c r="AB144" s="279">
        <f t="shared" si="124"/>
        <v>0</v>
      </c>
      <c r="AC144" s="278">
        <f t="shared" si="77"/>
        <v>0</v>
      </c>
      <c r="AD144" s="279">
        <f t="shared" si="95"/>
        <v>-3.1263157894736842</v>
      </c>
      <c r="AE144" s="278">
        <f t="shared" si="100"/>
        <v>-149.67236842105257</v>
      </c>
      <c r="AF144" s="278">
        <f t="shared" si="114"/>
        <v>96.583601184698281</v>
      </c>
      <c r="AG144" s="279">
        <f t="shared" si="125"/>
        <v>40</v>
      </c>
      <c r="AH144" s="279">
        <f>AF144*1000000/(Inputs!$C$9*100*Inputs!$C$8*1000*(1-Inputs!$C$10)*(1+Inputs!$C$12))</f>
        <v>19.324450016946436</v>
      </c>
      <c r="AI144" s="279">
        <f>IFERROR(HLOOKUP(A144,Inputs!$C$14:$C$15,2,FALSE),-100)</f>
        <v>-100</v>
      </c>
      <c r="AJ144" s="281">
        <f t="shared" si="101"/>
        <v>0</v>
      </c>
      <c r="AK144" s="282">
        <f t="shared" si="78"/>
        <v>4.6539999999999999</v>
      </c>
      <c r="AL144" s="282">
        <f t="shared" si="79"/>
        <v>3.7258064516129039</v>
      </c>
      <c r="AM144" s="282">
        <f t="shared" si="80"/>
        <v>-1.9838368458620446</v>
      </c>
      <c r="AN144" s="283">
        <f>IFERROR(IF($G$1="Sí",VLOOKUP($A144,CSVAgro,9,FALSE),VLOOKUP($A144,Clima!$E$8:$Q$373,13,FALSE)),0)</f>
        <v>1.4</v>
      </c>
      <c r="AO144" s="281">
        <f t="shared" si="110"/>
        <v>222.90000000000006</v>
      </c>
      <c r="AP144" s="281">
        <f>IFERROR(VLOOKUP($A144,'F TrB'!$C$3:$O$21,3,FALSE),-9999)</f>
        <v>-9999</v>
      </c>
      <c r="AQ144" s="281">
        <f t="shared" si="102"/>
        <v>-999</v>
      </c>
      <c r="AR144" s="281">
        <f>IFERROR(IF(VLOOKUP($A144,'F TrB'!$Q$3:$R$21,2,FALSE)=0,-99999,VLOOKUP($A144,'F TrB'!$Q$3:$R$21,2,FALSE)),-99999)</f>
        <v>-99999</v>
      </c>
      <c r="AS144" s="281">
        <f t="shared" si="103"/>
        <v>-99999</v>
      </c>
      <c r="AT144" s="281" t="str">
        <f>IFERROR(VLOOKUP($A144,'NDVI tipo'!$Q$8:$S$30,2,FALSE),"")</f>
        <v/>
      </c>
      <c r="AU144" s="281">
        <f>IF(ISERROR(VLOOKUP($A144,'NDVI tipo'!$Q$8:$S$50,2,FALSE)),AU143+VLOOKUP($A144,'NDVI tipo'!$Q$8:$S$50,3,TRUE),VLOOKUP($A144,'NDVI tipo'!$Q$8:$S$50,2,FALSE))</f>
        <v>0.64827274999999995</v>
      </c>
      <c r="AV144" s="281">
        <f>IFERROR(VLOOKUP($A144,'NDVI real'!$Q$8:$S$44,2,FALSE),-999)</f>
        <v>-999</v>
      </c>
      <c r="AW144" s="281">
        <f>IF(ISERROR(VLOOKUP($A144,'NDVI real'!$T$8:$U$350,2,FALSE)),"",VLOOKUP($A144,'NDVI real'!$T$8:$U$350,2,FALSE))</f>
        <v>0.82103395104166665</v>
      </c>
      <c r="AX144" s="286">
        <f>IFERROR(VLOOKUP($A144,SWB!$C$15:$BE$244,53,FALSE),"")</f>
        <v>3.292002083080185</v>
      </c>
      <c r="AY144" s="286">
        <f>IFERROR(VLOOKUP($A144,SWB!$C$15:$BE$244,55,FALSE),"")</f>
        <v>1.0224558619127322</v>
      </c>
      <c r="AZ144" s="281">
        <f>IF(ISERROR(VLOOKUP($A144,Clima!$V$8:$AI$320,14,FALSE)),-999,VLOOKUP(A144,Clima!$V$8:$AI$219,14,FALSE))</f>
        <v>4.0999999999999996</v>
      </c>
      <c r="BA144" s="281">
        <f t="shared" si="111"/>
        <v>238.80000000000004</v>
      </c>
      <c r="BB144" s="281">
        <f t="shared" si="104"/>
        <v>4.0999999999999996</v>
      </c>
      <c r="BC144" s="281">
        <f t="shared" si="112"/>
        <v>238.80000000000004</v>
      </c>
      <c r="BD144" s="284">
        <f t="shared" si="126"/>
        <v>42115</v>
      </c>
    </row>
    <row r="145" spans="1:56" s="275" customFormat="1" ht="12.75">
      <c r="A145" s="273">
        <f t="shared" si="105"/>
        <v>42116</v>
      </c>
      <c r="B145" s="274">
        <f t="shared" si="115"/>
        <v>112</v>
      </c>
      <c r="C145" s="275" t="str">
        <f t="shared" si="116"/>
        <v>Desarrollo</v>
      </c>
      <c r="D145" s="276">
        <f t="shared" si="117"/>
        <v>4.3</v>
      </c>
      <c r="E145" s="276">
        <f t="shared" si="118"/>
        <v>1.0876888893999999</v>
      </c>
      <c r="F145" s="276"/>
      <c r="G145" s="276">
        <f t="shared" si="119"/>
        <v>0.34629300000000002</v>
      </c>
      <c r="H145" s="276">
        <f t="shared" si="120"/>
        <v>1.129626</v>
      </c>
      <c r="I145" s="276">
        <f t="shared" si="121"/>
        <v>4.3264670000000001</v>
      </c>
      <c r="J145" s="276">
        <f>IFERROR(IF($G$1="Sí",VLOOKUP($A145,CSVAgro,13,FALSE),VLOOKUP($A145,SWB!$C$15:$P$202,14,FALSE)),0)</f>
        <v>2.2000000000000002</v>
      </c>
      <c r="K145" s="487">
        <f t="shared" si="122"/>
        <v>0</v>
      </c>
      <c r="L145" s="487">
        <f t="shared" si="89"/>
        <v>0</v>
      </c>
      <c r="M145" s="487">
        <f t="shared" si="90"/>
        <v>0</v>
      </c>
      <c r="N145" s="277">
        <f>IF(ISERROR($G$1="Sí"),VLOOKUP($A145,CSVAgro,16,FALSE),IF(ISERROR(VLOOKUP($A145,Clima!$W$8:$Z$284,2,FALSE)),VLOOKUP($A145,Clima!$E$8:$H$372,2,FALSE),VLOOKUP($A145,Clima!$W$8:$Z$284,2,FALSE)))</f>
        <v>14</v>
      </c>
      <c r="O145" s="276">
        <f t="shared" si="123"/>
        <v>171.54204537419514</v>
      </c>
      <c r="P145" s="276">
        <f t="shared" si="106"/>
        <v>103.80000000000001</v>
      </c>
      <c r="Q145" s="487">
        <f t="shared" si="92"/>
        <v>55</v>
      </c>
      <c r="R145" s="278">
        <f t="shared" si="107"/>
        <v>14</v>
      </c>
      <c r="S145" s="278">
        <f t="shared" si="98"/>
        <v>14</v>
      </c>
      <c r="T145" s="279">
        <f t="shared" si="93"/>
        <v>112</v>
      </c>
      <c r="U145" s="279">
        <f t="shared" si="113"/>
        <v>17</v>
      </c>
      <c r="V145" s="276">
        <f t="shared" si="99"/>
        <v>0</v>
      </c>
      <c r="W145" s="276">
        <f>IF(AND(S145&gt;VLOOKUP(Inputs!$I$2,Extracciones,3),S145&lt;VLOOKUP(Inputs!$I$2,Extracciones,5)),(S145-VLOOKUP(Inputs!$I$2,Extracciones,3))*Inputs!$E$12,0)</f>
        <v>0</v>
      </c>
      <c r="X145" s="278">
        <f>IF(AD145=0,VLOOKUP(R145,Mineral,2)*R145*Inputs!$C$16*Inputs!$E$37,VLOOKUP(R145,Mineral,2)*R145*Inputs!$C$16)</f>
        <v>0.56000000000000005</v>
      </c>
      <c r="Y145" s="278">
        <f>SUM(K145,M145)*Inputs!$O$8*14/(100*62)</f>
        <v>0</v>
      </c>
      <c r="Z145" s="278">
        <f t="shared" si="108"/>
        <v>0</v>
      </c>
      <c r="AA145" s="278">
        <f t="shared" si="109"/>
        <v>0</v>
      </c>
      <c r="AB145" s="279">
        <f t="shared" si="124"/>
        <v>0</v>
      </c>
      <c r="AC145" s="278">
        <f t="shared" ref="AC145:AC208" si="127">-L145*AH144/100</f>
        <v>0</v>
      </c>
      <c r="AD145" s="279">
        <f t="shared" si="95"/>
        <v>-3.1263157894736842</v>
      </c>
      <c r="AE145" s="278">
        <f t="shared" si="100"/>
        <v>-152.79868421052626</v>
      </c>
      <c r="AF145" s="278">
        <f t="shared" si="114"/>
        <v>94.017285395224604</v>
      </c>
      <c r="AG145" s="279">
        <f t="shared" si="125"/>
        <v>40</v>
      </c>
      <c r="AH145" s="279">
        <f>AF145*1000000/(Inputs!$C$9*100*Inputs!$C$8*1000*(1-Inputs!$C$10)*(1+Inputs!$C$12))</f>
        <v>18.810981471633575</v>
      </c>
      <c r="AI145" s="279">
        <f>IFERROR(HLOOKUP(A145,Inputs!$C$14:$C$15,2,FALSE),-100)</f>
        <v>-100</v>
      </c>
      <c r="AJ145" s="281">
        <f t="shared" si="101"/>
        <v>0</v>
      </c>
      <c r="AK145" s="282">
        <f t="shared" si="78"/>
        <v>5.2140000000000004</v>
      </c>
      <c r="AL145" s="282">
        <f t="shared" si="79"/>
        <v>3.7258064516129039</v>
      </c>
      <c r="AM145" s="282">
        <f t="shared" si="80"/>
        <v>-1.9838368458620446</v>
      </c>
      <c r="AN145" s="283">
        <f>IFERROR(IF($G$1="Sí",VLOOKUP($A145,CSVAgro,9,FALSE),VLOOKUP($A145,Clima!$E$8:$Q$373,13,FALSE)),0)</f>
        <v>3.5</v>
      </c>
      <c r="AO145" s="281">
        <f t="shared" si="110"/>
        <v>226.40000000000006</v>
      </c>
      <c r="AP145" s="281">
        <f>IFERROR(VLOOKUP($A145,'F TrB'!$C$3:$O$21,3,FALSE),-9999)</f>
        <v>-9999</v>
      </c>
      <c r="AQ145" s="281">
        <f t="shared" si="102"/>
        <v>-999</v>
      </c>
      <c r="AR145" s="281">
        <f>IFERROR(IF(VLOOKUP($A145,'F TrB'!$Q$3:$R$21,2,FALSE)=0,-99999,VLOOKUP($A145,'F TrB'!$Q$3:$R$21,2,FALSE)),-99999)</f>
        <v>-99999</v>
      </c>
      <c r="AS145" s="281">
        <f t="shared" si="103"/>
        <v>-99999</v>
      </c>
      <c r="AT145" s="281" t="str">
        <f>IFERROR(VLOOKUP($A145,'NDVI tipo'!$Q$8:$S$30,2,FALSE),"")</f>
        <v/>
      </c>
      <c r="AU145" s="281">
        <f>IF(ISERROR(VLOOKUP($A145,'NDVI tipo'!$Q$8:$S$50,2,FALSE)),AU144+VLOOKUP($A145,'NDVI tipo'!$Q$8:$S$50,3,TRUE),VLOOKUP($A145,'NDVI tipo'!$Q$8:$S$50,2,FALSE))</f>
        <v>0.65859249999999991</v>
      </c>
      <c r="AV145" s="281">
        <f>IFERROR(VLOOKUP($A145,'NDVI real'!$Q$8:$S$44,2,FALSE),-999)</f>
        <v>-999</v>
      </c>
      <c r="AW145" s="281">
        <f>IF(ISERROR(VLOOKUP($A145,'NDVI real'!$T$8:$U$350,2,FALSE)),"",VLOOKUP($A145,'NDVI real'!$T$8:$U$350,2,FALSE))</f>
        <v>0.82478395097222224</v>
      </c>
      <c r="AX145" s="286">
        <f>IFERROR(VLOOKUP($A145,SWB!$C$15:$BE$244,53,FALSE),"")</f>
        <v>3.4372067127843517</v>
      </c>
      <c r="AY145" s="286">
        <f>IFERROR(VLOOKUP($A145,SWB!$C$15:$BE$244,55,FALSE),"")</f>
        <v>2.5356254233574731</v>
      </c>
      <c r="AZ145" s="281">
        <f>IF(ISERROR(VLOOKUP($A145,Clima!$V$8:$AI$320,14,FALSE)),-999,VLOOKUP(A145,Clima!$V$8:$AI$219,14,FALSE))</f>
        <v>4.3</v>
      </c>
      <c r="BA145" s="281">
        <f t="shared" si="111"/>
        <v>243.10000000000005</v>
      </c>
      <c r="BB145" s="281">
        <f t="shared" si="104"/>
        <v>4.3</v>
      </c>
      <c r="BC145" s="281">
        <f t="shared" si="112"/>
        <v>243.10000000000005</v>
      </c>
      <c r="BD145" s="284">
        <f t="shared" si="126"/>
        <v>42116</v>
      </c>
    </row>
    <row r="146" spans="1:56" s="275" customFormat="1" ht="12.75">
      <c r="A146" s="273">
        <f t="shared" si="105"/>
        <v>42117</v>
      </c>
      <c r="B146" s="274">
        <f t="shared" si="115"/>
        <v>113</v>
      </c>
      <c r="C146" s="275" t="str">
        <f t="shared" si="116"/>
        <v>Desarrollo</v>
      </c>
      <c r="D146" s="276">
        <f t="shared" si="117"/>
        <v>4.0999999999999996</v>
      </c>
      <c r="E146" s="276">
        <f t="shared" si="118"/>
        <v>1.0930888892999999</v>
      </c>
      <c r="F146" s="276"/>
      <c r="G146" s="276">
        <f t="shared" si="119"/>
        <v>0.31869700000000001</v>
      </c>
      <c r="H146" s="276">
        <f t="shared" si="120"/>
        <v>1.1246499999999999</v>
      </c>
      <c r="I146" s="276">
        <f t="shared" si="121"/>
        <v>4.7910079999999997</v>
      </c>
      <c r="J146" s="276">
        <f>IFERROR(IF($G$1="Sí",VLOOKUP($A146,CSVAgro,13,FALSE),VLOOKUP($A146,SWB!$C$15:$P$202,14,FALSE)),0)</f>
        <v>0</v>
      </c>
      <c r="K146" s="487">
        <f t="shared" si="122"/>
        <v>0</v>
      </c>
      <c r="L146" s="487">
        <f t="shared" si="89"/>
        <v>0</v>
      </c>
      <c r="M146" s="487">
        <f t="shared" si="90"/>
        <v>0</v>
      </c>
      <c r="N146" s="277">
        <f>IF(ISERROR($G$1="Sí"),VLOOKUP($A146,CSVAgro,16,FALSE),IF(ISERROR(VLOOKUP($A146,Clima!$W$8:$Z$284,2,FALSE)),VLOOKUP($A146,Clima!$E$8:$H$372,2,FALSE),VLOOKUP($A146,Clima!$W$8:$Z$284,2,FALSE)))</f>
        <v>14.3</v>
      </c>
      <c r="O146" s="276">
        <f t="shared" si="123"/>
        <v>174.12699998773829</v>
      </c>
      <c r="P146" s="276">
        <f t="shared" si="106"/>
        <v>103.80000000000001</v>
      </c>
      <c r="Q146" s="487">
        <f t="shared" si="92"/>
        <v>55</v>
      </c>
      <c r="R146" s="278">
        <f t="shared" si="107"/>
        <v>14.3</v>
      </c>
      <c r="S146" s="278">
        <f t="shared" si="98"/>
        <v>14.3</v>
      </c>
      <c r="T146" s="279">
        <f t="shared" si="93"/>
        <v>113</v>
      </c>
      <c r="U146" s="279">
        <f t="shared" si="113"/>
        <v>17</v>
      </c>
      <c r="V146" s="276">
        <f t="shared" si="99"/>
        <v>0</v>
      </c>
      <c r="W146" s="276">
        <f>IF(AND(S146&gt;VLOOKUP(Inputs!$I$2,Extracciones,3),S146&lt;VLOOKUP(Inputs!$I$2,Extracciones,5)),(S146-VLOOKUP(Inputs!$I$2,Extracciones,3))*Inputs!$E$12,0)</f>
        <v>0</v>
      </c>
      <c r="X146" s="278">
        <f>IF(AD146=0,VLOOKUP(R146,Mineral,2)*R146*Inputs!$C$16*Inputs!$E$37,VLOOKUP(R146,Mineral,2)*R146*Inputs!$C$16)</f>
        <v>0.57200000000000006</v>
      </c>
      <c r="Y146" s="278">
        <f>SUM(K146,M146)*Inputs!$O$8*14/(100*62)</f>
        <v>0</v>
      </c>
      <c r="Z146" s="278">
        <f t="shared" si="108"/>
        <v>0</v>
      </c>
      <c r="AA146" s="278">
        <f t="shared" si="109"/>
        <v>0</v>
      </c>
      <c r="AB146" s="279">
        <f t="shared" si="124"/>
        <v>0</v>
      </c>
      <c r="AC146" s="278">
        <f t="shared" si="127"/>
        <v>0</v>
      </c>
      <c r="AD146" s="279">
        <f t="shared" si="95"/>
        <v>-3.1263157894736842</v>
      </c>
      <c r="AE146" s="278">
        <f t="shared" si="100"/>
        <v>-155.92499999999995</v>
      </c>
      <c r="AF146" s="278">
        <f t="shared" si="114"/>
        <v>91.462969605750928</v>
      </c>
      <c r="AG146" s="279">
        <f t="shared" si="125"/>
        <v>40</v>
      </c>
      <c r="AH146" s="279">
        <f>AF146*1000000/(Inputs!$C$9*100*Inputs!$C$8*1000*(1-Inputs!$C$10)*(1+Inputs!$C$12))</f>
        <v>18.299913886704868</v>
      </c>
      <c r="AI146" s="279">
        <f>IFERROR(HLOOKUP(A146,Inputs!$C$14:$C$15,2,FALSE),-100)</f>
        <v>-100</v>
      </c>
      <c r="AJ146" s="281">
        <f t="shared" si="101"/>
        <v>0</v>
      </c>
      <c r="AK146" s="282">
        <f t="shared" si="78"/>
        <v>5.7860000000000005</v>
      </c>
      <c r="AL146" s="282">
        <f t="shared" si="79"/>
        <v>3.7258064516129039</v>
      </c>
      <c r="AM146" s="282">
        <f t="shared" si="80"/>
        <v>-1.9838368458620446</v>
      </c>
      <c r="AN146" s="283">
        <f>IFERROR(IF($G$1="Sí",VLOOKUP($A146,CSVAgro,9,FALSE),VLOOKUP($A146,Clima!$E$8:$Q$373,13,FALSE)),0)</f>
        <v>2.2999999999999998</v>
      </c>
      <c r="AO146" s="281">
        <f t="shared" si="110"/>
        <v>228.70000000000007</v>
      </c>
      <c r="AP146" s="281">
        <f>IFERROR(VLOOKUP($A146,'F TrB'!$C$3:$O$21,3,FALSE),-9999)</f>
        <v>39</v>
      </c>
      <c r="AQ146" s="281">
        <f t="shared" si="102"/>
        <v>1.4</v>
      </c>
      <c r="AR146" s="281">
        <f>IFERROR(IF(VLOOKUP($A146,'F TrB'!$Q$3:$R$21,2,FALSE)=0,-99999,VLOOKUP($A146,'F TrB'!$Q$3:$R$21,2,FALSE)),-99999)</f>
        <v>-99999</v>
      </c>
      <c r="AS146" s="281">
        <f t="shared" si="103"/>
        <v>-99999</v>
      </c>
      <c r="AT146" s="281" t="str">
        <f>IFERROR(VLOOKUP($A146,'NDVI tipo'!$Q$8:$S$30,2,FALSE),"")</f>
        <v/>
      </c>
      <c r="AU146" s="281">
        <f>IF(ISERROR(VLOOKUP($A146,'NDVI tipo'!$Q$8:$S$50,2,FALSE)),AU145+VLOOKUP($A146,'NDVI tipo'!$Q$8:$S$50,3,TRUE),VLOOKUP($A146,'NDVI tipo'!$Q$8:$S$50,2,FALSE))</f>
        <v>0.66891224999999987</v>
      </c>
      <c r="AV146" s="281">
        <f>IFERROR(VLOOKUP($A146,'NDVI real'!$Q$8:$S$44,2,FALSE),-999)</f>
        <v>-999</v>
      </c>
      <c r="AW146" s="281">
        <f>IF(ISERROR(VLOOKUP($A146,'NDVI real'!$T$8:$U$350,2,FALSE)),"",VLOOKUP($A146,'NDVI real'!$T$8:$U$350,2,FALSE))</f>
        <v>0.82853395090277782</v>
      </c>
      <c r="AX146" s="286">
        <f>IFERROR(VLOOKUP($A146,SWB!$C$15:$BE$244,53,FALSE),"")</f>
        <v>3.5331443980089352</v>
      </c>
      <c r="AY146" s="286">
        <f>IFERROR(VLOOKUP($A146,SWB!$C$15:$BE$244,55,FALSE),"")</f>
        <v>1.6493873422338083</v>
      </c>
      <c r="AZ146" s="281">
        <f>IF(ISERROR(VLOOKUP($A146,Clima!$V$8:$AI$320,14,FALSE)),-999,VLOOKUP(A146,Clima!$V$8:$AI$219,14,FALSE))</f>
        <v>4.0999999999999996</v>
      </c>
      <c r="BA146" s="281">
        <f t="shared" si="111"/>
        <v>247.20000000000005</v>
      </c>
      <c r="BB146" s="281">
        <f t="shared" si="104"/>
        <v>4.0999999999999996</v>
      </c>
      <c r="BC146" s="281">
        <f t="shared" si="112"/>
        <v>247.20000000000005</v>
      </c>
      <c r="BD146" s="284">
        <f t="shared" si="126"/>
        <v>42117</v>
      </c>
    </row>
    <row r="147" spans="1:56" s="275" customFormat="1" ht="12.75">
      <c r="A147" s="273">
        <f t="shared" si="105"/>
        <v>42118</v>
      </c>
      <c r="B147" s="274">
        <f t="shared" si="115"/>
        <v>114</v>
      </c>
      <c r="C147" s="275" t="str">
        <f t="shared" si="116"/>
        <v>Desarrollo</v>
      </c>
      <c r="D147" s="276">
        <f t="shared" si="117"/>
        <v>4.2</v>
      </c>
      <c r="E147" s="276">
        <f t="shared" si="118"/>
        <v>1.0984888892</v>
      </c>
      <c r="F147" s="276"/>
      <c r="G147" s="276">
        <f t="shared" si="119"/>
        <v>0.32486399999999999</v>
      </c>
      <c r="H147" s="276">
        <f t="shared" si="120"/>
        <v>1.1534359999999999</v>
      </c>
      <c r="I147" s="276">
        <f t="shared" si="121"/>
        <v>4.740621</v>
      </c>
      <c r="J147" s="276">
        <f>IFERROR(IF($G$1="Sí",VLOOKUP($A147,CSVAgro,13,FALSE),VLOOKUP($A147,SWB!$C$15:$P$202,14,FALSE)),0)</f>
        <v>0</v>
      </c>
      <c r="K147" s="487">
        <f t="shared" si="122"/>
        <v>0</v>
      </c>
      <c r="L147" s="487">
        <f t="shared" si="89"/>
        <v>0</v>
      </c>
      <c r="M147" s="487">
        <f t="shared" si="90"/>
        <v>0</v>
      </c>
      <c r="N147" s="277">
        <f>IF(ISERROR($G$1="Sí"),VLOOKUP($A147,CSVAgro,16,FALSE),IF(ISERROR(VLOOKUP($A147,Clima!$W$8:$Z$284,2,FALSE)),VLOOKUP($A147,Clima!$E$8:$H$372,2,FALSE),VLOOKUP($A147,Clima!$W$8:$Z$284,2,FALSE)))</f>
        <v>15.8</v>
      </c>
      <c r="O147" s="276">
        <f t="shared" si="123"/>
        <v>178.1754256545438</v>
      </c>
      <c r="P147" s="276">
        <f t="shared" si="106"/>
        <v>103.80000000000001</v>
      </c>
      <c r="Q147" s="487">
        <f t="shared" si="92"/>
        <v>55</v>
      </c>
      <c r="R147" s="278">
        <f t="shared" si="107"/>
        <v>15.8</v>
      </c>
      <c r="S147" s="278">
        <f t="shared" si="98"/>
        <v>15.8</v>
      </c>
      <c r="T147" s="279">
        <f t="shared" si="93"/>
        <v>114</v>
      </c>
      <c r="U147" s="279">
        <f t="shared" si="113"/>
        <v>17</v>
      </c>
      <c r="V147" s="276">
        <f t="shared" si="99"/>
        <v>0</v>
      </c>
      <c r="W147" s="276">
        <f>IF(AND(S147&gt;VLOOKUP(Inputs!$I$2,Extracciones,3),S147&lt;VLOOKUP(Inputs!$I$2,Extracciones,5)),(S147-VLOOKUP(Inputs!$I$2,Extracciones,3))*Inputs!$E$12,0)</f>
        <v>0</v>
      </c>
      <c r="X147" s="278">
        <f>IF(AD147=0,VLOOKUP(R147,Mineral,2)*R147*Inputs!$C$16*Inputs!$E$37,VLOOKUP(R147,Mineral,2)*R147*Inputs!$C$16)</f>
        <v>0.94800000000000006</v>
      </c>
      <c r="Y147" s="278">
        <f>SUM(K147,M147)*Inputs!$O$8*14/(100*62)</f>
        <v>0</v>
      </c>
      <c r="Z147" s="278">
        <f t="shared" si="108"/>
        <v>0</v>
      </c>
      <c r="AA147" s="278">
        <f t="shared" si="109"/>
        <v>0</v>
      </c>
      <c r="AB147" s="279">
        <f t="shared" si="124"/>
        <v>0</v>
      </c>
      <c r="AC147" s="278">
        <f t="shared" si="127"/>
        <v>0</v>
      </c>
      <c r="AD147" s="279">
        <f t="shared" si="95"/>
        <v>-1.2295799999999899</v>
      </c>
      <c r="AE147" s="278">
        <f t="shared" si="100"/>
        <v>-157.15457999999995</v>
      </c>
      <c r="AF147" s="278">
        <f t="shared" si="114"/>
        <v>91.181389605750937</v>
      </c>
      <c r="AG147" s="279">
        <f t="shared" si="125"/>
        <v>40</v>
      </c>
      <c r="AH147" s="279">
        <f>AF147*1000000/(Inputs!$C$9*100*Inputs!$C$8*1000*(1-Inputs!$C$10)*(1+Inputs!$C$12))</f>
        <v>18.243575351290701</v>
      </c>
      <c r="AI147" s="279">
        <f>IFERROR(HLOOKUP(A147,Inputs!$C$14:$C$15,2,FALSE),-100)</f>
        <v>-100</v>
      </c>
      <c r="AJ147" s="281">
        <f t="shared" si="101"/>
        <v>0</v>
      </c>
      <c r="AK147" s="282">
        <f t="shared" si="78"/>
        <v>6.7340000000000009</v>
      </c>
      <c r="AL147" s="282">
        <f t="shared" si="79"/>
        <v>3.7258064516129039</v>
      </c>
      <c r="AM147" s="282">
        <f t="shared" si="80"/>
        <v>-1.9838368458620446</v>
      </c>
      <c r="AN147" s="283">
        <f>IFERROR(IF($G$1="Sí",VLOOKUP($A147,CSVAgro,9,FALSE),VLOOKUP($A147,Clima!$E$8:$Q$373,13,FALSE)),0)</f>
        <v>3.6</v>
      </c>
      <c r="AO147" s="281">
        <f t="shared" si="110"/>
        <v>232.30000000000007</v>
      </c>
      <c r="AP147" s="281">
        <f>IFERROR(VLOOKUP($A147,'F TrB'!$C$3:$O$21,3,FALSE),-9999)</f>
        <v>-9999</v>
      </c>
      <c r="AQ147" s="281">
        <f t="shared" si="102"/>
        <v>-999</v>
      </c>
      <c r="AR147" s="281">
        <f>IFERROR(IF(VLOOKUP($A147,'F TrB'!$Q$3:$R$21,2,FALSE)=0,-99999,VLOOKUP($A147,'F TrB'!$Q$3:$R$21,2,FALSE)),-99999)</f>
        <v>-99999</v>
      </c>
      <c r="AS147" s="281">
        <f t="shared" si="103"/>
        <v>-99999</v>
      </c>
      <c r="AT147" s="281" t="str">
        <f>IFERROR(VLOOKUP($A147,'NDVI tipo'!$Q$8:$S$30,2,FALSE),"")</f>
        <v/>
      </c>
      <c r="AU147" s="281">
        <f>IF(ISERROR(VLOOKUP($A147,'NDVI tipo'!$Q$8:$S$50,2,FALSE)),AU146+VLOOKUP($A147,'NDVI tipo'!$Q$8:$S$50,3,TRUE),VLOOKUP($A147,'NDVI tipo'!$Q$8:$S$50,2,FALSE))</f>
        <v>0.67923199999999984</v>
      </c>
      <c r="AV147" s="281">
        <f>IFERROR(VLOOKUP($A147,'NDVI real'!$Q$8:$S$44,2,FALSE),-999)</f>
        <v>-999</v>
      </c>
      <c r="AW147" s="281">
        <f>IF(ISERROR(VLOOKUP($A147,'NDVI real'!$T$8:$U$350,2,FALSE)),"",VLOOKUP($A147,'NDVI real'!$T$8:$U$350,2,FALSE))</f>
        <v>0.8322839508333334</v>
      </c>
      <c r="AX147" s="286">
        <f>IFERROR(VLOOKUP($A147,SWB!$C$15:$BE$244,53,FALSE),"")</f>
        <v>3.6841177313889353</v>
      </c>
      <c r="AY147" s="286">
        <f>IFERROR(VLOOKUP($A147,SWB!$C$15:$BE$244,55,FALSE),"")</f>
        <v>2.5560128791376115</v>
      </c>
      <c r="AZ147" s="281">
        <f>IF(ISERROR(VLOOKUP($A147,Clima!$V$8:$AI$320,14,FALSE)),-999,VLOOKUP(A147,Clima!$V$8:$AI$219,14,FALSE))</f>
        <v>4.2</v>
      </c>
      <c r="BA147" s="281">
        <f t="shared" si="111"/>
        <v>251.40000000000003</v>
      </c>
      <c r="BB147" s="281">
        <f t="shared" si="104"/>
        <v>4.2</v>
      </c>
      <c r="BC147" s="281">
        <f t="shared" si="112"/>
        <v>251.40000000000003</v>
      </c>
      <c r="BD147" s="284">
        <f t="shared" si="126"/>
        <v>42118</v>
      </c>
    </row>
    <row r="148" spans="1:56" s="275" customFormat="1" ht="12.75">
      <c r="A148" s="273">
        <f t="shared" si="105"/>
        <v>42119</v>
      </c>
      <c r="B148" s="274">
        <f t="shared" si="115"/>
        <v>115</v>
      </c>
      <c r="C148" s="275" t="str">
        <f t="shared" si="116"/>
        <v>Desarrollo</v>
      </c>
      <c r="D148" s="276">
        <f t="shared" si="117"/>
        <v>3.2</v>
      </c>
      <c r="E148" s="276">
        <f t="shared" si="118"/>
        <v>1.1038888891</v>
      </c>
      <c r="F148" s="276"/>
      <c r="G148" s="276">
        <f t="shared" si="119"/>
        <v>0.25758599999999998</v>
      </c>
      <c r="H148" s="276">
        <f t="shared" si="120"/>
        <v>1.108776</v>
      </c>
      <c r="I148" s="276">
        <f t="shared" si="121"/>
        <v>4.7788269999999997</v>
      </c>
      <c r="J148" s="276">
        <f>IFERROR(IF($G$1="Sí",VLOOKUP($A148,CSVAgro,13,FALSE),VLOOKUP($A148,SWB!$C$15:$P$202,14,FALSE)),0)</f>
        <v>0.2</v>
      </c>
      <c r="K148" s="487">
        <f t="shared" si="122"/>
        <v>5</v>
      </c>
      <c r="L148" s="487">
        <f t="shared" si="89"/>
        <v>0</v>
      </c>
      <c r="M148" s="487">
        <f t="shared" si="90"/>
        <v>5</v>
      </c>
      <c r="N148" s="277">
        <f>IF(ISERROR($G$1="Sí"),VLOOKUP($A148,CSVAgro,16,FALSE),IF(ISERROR(VLOOKUP($A148,Clima!$W$8:$Z$284,2,FALSE)),VLOOKUP($A148,Clima!$E$8:$H$372,2,FALSE),VLOOKUP($A148,Clima!$W$8:$Z$284,2,FALSE)))</f>
        <v>14.2</v>
      </c>
      <c r="O148" s="276">
        <f t="shared" si="123"/>
        <v>182.12947046627016</v>
      </c>
      <c r="P148" s="276">
        <f t="shared" si="106"/>
        <v>104.00000000000001</v>
      </c>
      <c r="Q148" s="487">
        <f t="shared" si="92"/>
        <v>55</v>
      </c>
      <c r="R148" s="278">
        <f t="shared" si="107"/>
        <v>14.2</v>
      </c>
      <c r="S148" s="278">
        <f t="shared" si="98"/>
        <v>14.2</v>
      </c>
      <c r="T148" s="279">
        <f t="shared" si="93"/>
        <v>115</v>
      </c>
      <c r="U148" s="279">
        <f t="shared" si="113"/>
        <v>17</v>
      </c>
      <c r="V148" s="276">
        <f t="shared" si="99"/>
        <v>0</v>
      </c>
      <c r="W148" s="276">
        <f>IF(AND(S148&gt;VLOOKUP(Inputs!$I$2,Extracciones,3),S148&lt;VLOOKUP(Inputs!$I$2,Extracciones,5)),(S148-VLOOKUP(Inputs!$I$2,Extracciones,3))*Inputs!$E$12,0)</f>
        <v>0</v>
      </c>
      <c r="X148" s="278">
        <f>IF(AD148=0,VLOOKUP(R148,Mineral,2)*R148*Inputs!$C$16*Inputs!$E$37,VLOOKUP(R148,Mineral,2)*R148*Inputs!$C$16)</f>
        <v>0.56799999999999995</v>
      </c>
      <c r="Y148" s="278">
        <f>SUM(K148,M148)*Inputs!$O$8*14/(100*62)</f>
        <v>0.33870967741935482</v>
      </c>
      <c r="Z148" s="278">
        <f t="shared" si="108"/>
        <v>0</v>
      </c>
      <c r="AA148" s="278">
        <f t="shared" si="109"/>
        <v>0</v>
      </c>
      <c r="AB148" s="279">
        <f t="shared" si="124"/>
        <v>0</v>
      </c>
      <c r="AC148" s="278">
        <f t="shared" si="127"/>
        <v>0</v>
      </c>
      <c r="AD148" s="279">
        <f t="shared" si="95"/>
        <v>-1.2295799999999899</v>
      </c>
      <c r="AE148" s="278">
        <f t="shared" si="100"/>
        <v>-158.38415999999995</v>
      </c>
      <c r="AF148" s="278">
        <f t="shared" si="114"/>
        <v>90.85851928317031</v>
      </c>
      <c r="AG148" s="279">
        <f t="shared" si="125"/>
        <v>40</v>
      </c>
      <c r="AH148" s="279">
        <f>AF148*1000000/(Inputs!$C$9*100*Inputs!$C$8*1000*(1-Inputs!$C$10)*(1+Inputs!$C$12))</f>
        <v>18.178975446812789</v>
      </c>
      <c r="AI148" s="279">
        <f>IFERROR(HLOOKUP(A148,Inputs!$C$14:$C$15,2,FALSE),-100)</f>
        <v>-100</v>
      </c>
      <c r="AJ148" s="281">
        <f t="shared" si="101"/>
        <v>0</v>
      </c>
      <c r="AK148" s="282">
        <f t="shared" si="78"/>
        <v>7.3020000000000005</v>
      </c>
      <c r="AL148" s="282">
        <f t="shared" si="79"/>
        <v>4.0645161290322589</v>
      </c>
      <c r="AM148" s="282">
        <f t="shared" si="80"/>
        <v>-1.9838368458620446</v>
      </c>
      <c r="AN148" s="283">
        <f>IFERROR(IF($G$1="Sí",VLOOKUP($A148,CSVAgro,9,FALSE),VLOOKUP($A148,Clima!$E$8:$Q$373,13,FALSE)),0)</f>
        <v>4.3</v>
      </c>
      <c r="AO148" s="281">
        <f t="shared" si="110"/>
        <v>236.60000000000008</v>
      </c>
      <c r="AP148" s="281">
        <f>IFERROR(VLOOKUP($A148,'F TrB'!$C$3:$O$21,3,FALSE),-9999)</f>
        <v>-9999</v>
      </c>
      <c r="AQ148" s="281">
        <f t="shared" si="102"/>
        <v>-999</v>
      </c>
      <c r="AR148" s="281">
        <f>IFERROR(IF(VLOOKUP($A148,'F TrB'!$Q$3:$R$21,2,FALSE)=0,-99999,VLOOKUP($A148,'F TrB'!$Q$3:$R$21,2,FALSE)),-99999)</f>
        <v>-99999</v>
      </c>
      <c r="AS148" s="281">
        <f t="shared" si="103"/>
        <v>-99999</v>
      </c>
      <c r="AT148" s="281" t="str">
        <f>IFERROR(VLOOKUP($A148,'NDVI tipo'!$Q$8:$S$30,2,FALSE),"")</f>
        <v/>
      </c>
      <c r="AU148" s="281">
        <f>IF(ISERROR(VLOOKUP($A148,'NDVI tipo'!$Q$8:$S$50,2,FALSE)),AU147+VLOOKUP($A148,'NDVI tipo'!$Q$8:$S$50,3,TRUE),VLOOKUP($A148,'NDVI tipo'!$Q$8:$S$50,2,FALSE))</f>
        <v>0.6895517499999998</v>
      </c>
      <c r="AV148" s="281">
        <f>IFERROR(VLOOKUP($A148,'NDVI real'!$Q$8:$S$44,2,FALSE),-999)</f>
        <v>-999</v>
      </c>
      <c r="AW148" s="281">
        <f>IF(ISERROR(VLOOKUP($A148,'NDVI real'!$T$8:$U$350,2,FALSE)),"",VLOOKUP($A148,'NDVI real'!$T$8:$U$350,2,FALSE))</f>
        <v>0.83603395076388898</v>
      </c>
      <c r="AX148" s="286">
        <f>IFERROR(VLOOKUP($A148,SWB!$C$15:$BE$244,53,FALSE),"")</f>
        <v>3.8654144906860184</v>
      </c>
      <c r="AY148" s="286">
        <f>IFERROR(VLOOKUP($A148,SWB!$C$15:$BE$244,55,FALSE),"")</f>
        <v>3.0089795183359769</v>
      </c>
      <c r="AZ148" s="281">
        <f>IF(ISERROR(VLOOKUP($A148,Clima!$V$8:$AI$320,14,FALSE)),-999,VLOOKUP(A148,Clima!$V$8:$AI$219,14,FALSE))</f>
        <v>3.2</v>
      </c>
      <c r="BA148" s="281">
        <f t="shared" si="111"/>
        <v>254.60000000000002</v>
      </c>
      <c r="BB148" s="281">
        <f t="shared" si="104"/>
        <v>3.2</v>
      </c>
      <c r="BC148" s="281">
        <f t="shared" si="112"/>
        <v>254.60000000000002</v>
      </c>
      <c r="BD148" s="284">
        <f t="shared" si="126"/>
        <v>42119</v>
      </c>
    </row>
    <row r="149" spans="1:56" s="275" customFormat="1" ht="12.75">
      <c r="A149" s="273">
        <f t="shared" si="105"/>
        <v>42120</v>
      </c>
      <c r="B149" s="274">
        <f t="shared" si="115"/>
        <v>116</v>
      </c>
      <c r="C149" s="275" t="str">
        <f t="shared" si="116"/>
        <v>Desarrollo</v>
      </c>
      <c r="D149" s="276">
        <f t="shared" si="117"/>
        <v>2.7</v>
      </c>
      <c r="E149" s="276">
        <f t="shared" si="118"/>
        <v>1.1092888890000001</v>
      </c>
      <c r="F149" s="276"/>
      <c r="G149" s="276">
        <f t="shared" si="119"/>
        <v>0.24080399999999999</v>
      </c>
      <c r="H149" s="276">
        <f t="shared" si="120"/>
        <v>1.1146130000000001</v>
      </c>
      <c r="I149" s="276">
        <f t="shared" si="121"/>
        <v>4.5476229999999997</v>
      </c>
      <c r="J149" s="276">
        <f>IFERROR(IF($G$1="Sí",VLOOKUP($A149,CSVAgro,13,FALSE),VLOOKUP($A149,SWB!$C$15:$P$202,14,FALSE)),0)</f>
        <v>2.5</v>
      </c>
      <c r="K149" s="487">
        <f t="shared" si="122"/>
        <v>5</v>
      </c>
      <c r="L149" s="487">
        <f t="shared" si="89"/>
        <v>0</v>
      </c>
      <c r="M149" s="487">
        <f t="shared" si="90"/>
        <v>5</v>
      </c>
      <c r="N149" s="277">
        <f>IF(ISERROR($G$1="Sí"),VLOOKUP($A149,CSVAgro,16,FALSE),IF(ISERROR(VLOOKUP($A149,Clima!$W$8:$Z$284,2,FALSE)),VLOOKUP($A149,Clima!$E$8:$H$372,2,FALSE),VLOOKUP($A149,Clima!$W$8:$Z$284,2,FALSE)))</f>
        <v>11.9</v>
      </c>
      <c r="O149" s="276">
        <f t="shared" si="123"/>
        <v>186.71778413046604</v>
      </c>
      <c r="P149" s="276">
        <f t="shared" si="106"/>
        <v>106.50000000000001</v>
      </c>
      <c r="Q149" s="487">
        <f t="shared" si="92"/>
        <v>60</v>
      </c>
      <c r="R149" s="278">
        <f t="shared" si="107"/>
        <v>11.9</v>
      </c>
      <c r="S149" s="278">
        <f t="shared" si="98"/>
        <v>11.9</v>
      </c>
      <c r="T149" s="279">
        <f t="shared" si="93"/>
        <v>116</v>
      </c>
      <c r="U149" s="279">
        <f t="shared" si="113"/>
        <v>17</v>
      </c>
      <c r="V149" s="276">
        <f t="shared" si="99"/>
        <v>0</v>
      </c>
      <c r="W149" s="276">
        <f>IF(AND(S149&gt;VLOOKUP(Inputs!$I$2,Extracciones,3),S149&lt;VLOOKUP(Inputs!$I$2,Extracciones,5)),(S149-VLOOKUP(Inputs!$I$2,Extracciones,3))*Inputs!$E$12,0)</f>
        <v>0</v>
      </c>
      <c r="X149" s="278">
        <f>IF(AD149=0,VLOOKUP(R149,Mineral,2)*R149*Inputs!$C$16*Inputs!$E$37,VLOOKUP(R149,Mineral,2)*R149*Inputs!$C$16)</f>
        <v>0</v>
      </c>
      <c r="Y149" s="278">
        <f>SUM(K149,M149)*Inputs!$O$8*14/(100*62)</f>
        <v>0.33870967741935482</v>
      </c>
      <c r="Z149" s="278">
        <f t="shared" si="108"/>
        <v>0</v>
      </c>
      <c r="AA149" s="278">
        <f t="shared" si="109"/>
        <v>0</v>
      </c>
      <c r="AB149" s="279">
        <f t="shared" si="124"/>
        <v>0</v>
      </c>
      <c r="AC149" s="278">
        <f t="shared" si="127"/>
        <v>0</v>
      </c>
      <c r="AD149" s="279">
        <f t="shared" si="95"/>
        <v>-1.2295799999999899</v>
      </c>
      <c r="AE149" s="278">
        <f t="shared" si="100"/>
        <v>-159.61373999999995</v>
      </c>
      <c r="AF149" s="278">
        <f t="shared" si="114"/>
        <v>89.967648960589685</v>
      </c>
      <c r="AG149" s="279">
        <f t="shared" si="125"/>
        <v>40</v>
      </c>
      <c r="AH149" s="279">
        <f>AF149*1000000/(Inputs!$C$9*100*Inputs!$C$8*1000*(1-Inputs!$C$10)*(1+Inputs!$C$12))</f>
        <v>18.000730084151598</v>
      </c>
      <c r="AI149" s="279">
        <f>IFERROR(HLOOKUP(A149,Inputs!$C$14:$C$15,2,FALSE),-100)</f>
        <v>-100</v>
      </c>
      <c r="AJ149" s="281">
        <f t="shared" si="101"/>
        <v>0</v>
      </c>
      <c r="AK149" s="282">
        <f t="shared" si="78"/>
        <v>7.3020000000000005</v>
      </c>
      <c r="AL149" s="282">
        <f t="shared" si="79"/>
        <v>4.4032258064516139</v>
      </c>
      <c r="AM149" s="282">
        <f t="shared" si="80"/>
        <v>-1.9838368458620446</v>
      </c>
      <c r="AN149" s="283">
        <f>IFERROR(IF($G$1="Sí",VLOOKUP($A149,CSVAgro,9,FALSE),VLOOKUP($A149,Clima!$E$8:$Q$373,13,FALSE)),0)</f>
        <v>4.0999999999999996</v>
      </c>
      <c r="AO149" s="281">
        <f t="shared" si="110"/>
        <v>240.70000000000007</v>
      </c>
      <c r="AP149" s="281">
        <f>IFERROR(VLOOKUP($A149,'F TrB'!$C$3:$O$21,3,FALSE),-9999)</f>
        <v>-9999</v>
      </c>
      <c r="AQ149" s="281">
        <f t="shared" si="102"/>
        <v>-999</v>
      </c>
      <c r="AR149" s="281">
        <f>IFERROR(IF(VLOOKUP($A149,'F TrB'!$Q$3:$R$21,2,FALSE)=0,-99999,VLOOKUP($A149,'F TrB'!$Q$3:$R$21,2,FALSE)),-99999)</f>
        <v>-99999</v>
      </c>
      <c r="AS149" s="281">
        <f t="shared" si="103"/>
        <v>-99999</v>
      </c>
      <c r="AT149" s="281" t="str">
        <f>IFERROR(VLOOKUP($A149,'NDVI tipo'!$Q$8:$S$30,2,FALSE),"")</f>
        <v/>
      </c>
      <c r="AU149" s="281">
        <f>IF(ISERROR(VLOOKUP($A149,'NDVI tipo'!$Q$8:$S$50,2,FALSE)),AU148+VLOOKUP($A149,'NDVI tipo'!$Q$8:$S$50,3,TRUE),VLOOKUP($A149,'NDVI tipo'!$Q$8:$S$50,2,FALSE))</f>
        <v>0.69987149999999976</v>
      </c>
      <c r="AV149" s="281">
        <f>IFERROR(VLOOKUP($A149,'NDVI real'!$Q$8:$S$44,2,FALSE),-999)</f>
        <v>-999</v>
      </c>
      <c r="AW149" s="281">
        <f>IF(ISERROR(VLOOKUP($A149,'NDVI real'!$T$8:$U$350,2,FALSE)),"",VLOOKUP($A149,'NDVI real'!$T$8:$U$350,2,FALSE))</f>
        <v>0.83978395069444456</v>
      </c>
      <c r="AX149" s="286">
        <f>IFERROR(VLOOKUP($A149,SWB!$C$15:$BE$244,53,FALSE),"")</f>
        <v>4.0392013425568516</v>
      </c>
      <c r="AY149" s="286">
        <f>IFERROR(VLOOKUP($A149,SWB!$C$15:$BE$244,55,FALSE),"")</f>
        <v>2.8263058605298994</v>
      </c>
      <c r="AZ149" s="281">
        <f>IF(ISERROR(VLOOKUP($A149,Clima!$V$8:$AI$320,14,FALSE)),-999,VLOOKUP(A149,Clima!$V$8:$AI$219,14,FALSE))</f>
        <v>2.7</v>
      </c>
      <c r="BA149" s="281">
        <f t="shared" si="111"/>
        <v>257.3</v>
      </c>
      <c r="BB149" s="281">
        <f t="shared" si="104"/>
        <v>2.7</v>
      </c>
      <c r="BC149" s="281">
        <f t="shared" si="112"/>
        <v>257.3</v>
      </c>
      <c r="BD149" s="284">
        <f t="shared" si="126"/>
        <v>42120</v>
      </c>
    </row>
    <row r="150" spans="1:56" s="275" customFormat="1" ht="12.75">
      <c r="A150" s="273">
        <f t="shared" si="105"/>
        <v>42121</v>
      </c>
      <c r="B150" s="274">
        <f t="shared" si="115"/>
        <v>117</v>
      </c>
      <c r="C150" s="275" t="str">
        <f t="shared" si="116"/>
        <v>Desarrollo</v>
      </c>
      <c r="D150" s="276">
        <f t="shared" si="117"/>
        <v>3.1</v>
      </c>
      <c r="E150" s="276">
        <f t="shared" si="118"/>
        <v>1.1146888889000002</v>
      </c>
      <c r="F150" s="276"/>
      <c r="G150" s="276">
        <f t="shared" si="119"/>
        <v>0.23019500000000001</v>
      </c>
      <c r="H150" s="276">
        <f t="shared" si="120"/>
        <v>1.1266229999999999</v>
      </c>
      <c r="I150" s="276">
        <f t="shared" si="121"/>
        <v>4.7205519999999996</v>
      </c>
      <c r="J150" s="276">
        <f>IFERROR(IF($G$1="Sí",VLOOKUP($A150,CSVAgro,13,FALSE),VLOOKUP($A150,SWB!$C$15:$P$202,14,FALSE)),0)</f>
        <v>0</v>
      </c>
      <c r="K150" s="487">
        <f t="shared" si="122"/>
        <v>5</v>
      </c>
      <c r="L150" s="487">
        <f t="shared" si="89"/>
        <v>0</v>
      </c>
      <c r="M150" s="487">
        <f t="shared" si="90"/>
        <v>5</v>
      </c>
      <c r="N150" s="277">
        <f>IF(ISERROR($G$1="Sí"),VLOOKUP($A150,CSVAgro,16,FALSE),IF(ISERROR(VLOOKUP($A150,Clima!$W$8:$Z$284,2,FALSE)),VLOOKUP($A150,Clima!$E$8:$H$372,2,FALSE),VLOOKUP($A150,Clima!$W$8:$Z$284,2,FALSE)))</f>
        <v>10.9</v>
      </c>
      <c r="O150" s="276">
        <f t="shared" si="123"/>
        <v>191.74355757064669</v>
      </c>
      <c r="P150" s="276">
        <f t="shared" si="106"/>
        <v>106.50000000000001</v>
      </c>
      <c r="Q150" s="487">
        <f t="shared" si="92"/>
        <v>65</v>
      </c>
      <c r="R150" s="278">
        <f t="shared" si="107"/>
        <v>10.9</v>
      </c>
      <c r="S150" s="278">
        <f t="shared" si="98"/>
        <v>10.9</v>
      </c>
      <c r="T150" s="279">
        <f t="shared" si="93"/>
        <v>117</v>
      </c>
      <c r="U150" s="279">
        <f t="shared" si="113"/>
        <v>18</v>
      </c>
      <c r="V150" s="276">
        <f t="shared" si="99"/>
        <v>0</v>
      </c>
      <c r="W150" s="276">
        <f>IF(AND(S150&gt;VLOOKUP(Inputs!$I$2,Extracciones,3),S150&lt;VLOOKUP(Inputs!$I$2,Extracciones,5)),(S150-VLOOKUP(Inputs!$I$2,Extracciones,3))*Inputs!$E$12,0)</f>
        <v>0</v>
      </c>
      <c r="X150" s="278">
        <f>IF(AD150=0,VLOOKUP(R150,Mineral,2)*R150*Inputs!$C$16*Inputs!$E$37,VLOOKUP(R150,Mineral,2)*R150*Inputs!$C$16)</f>
        <v>0</v>
      </c>
      <c r="Y150" s="278">
        <f>SUM(K150,M150)*Inputs!$O$8*14/(100*62)</f>
        <v>0.33870967741935482</v>
      </c>
      <c r="Z150" s="278">
        <f t="shared" si="108"/>
        <v>0</v>
      </c>
      <c r="AA150" s="278">
        <f t="shared" si="109"/>
        <v>0</v>
      </c>
      <c r="AB150" s="279">
        <f t="shared" si="124"/>
        <v>0</v>
      </c>
      <c r="AC150" s="278">
        <f t="shared" si="127"/>
        <v>0</v>
      </c>
      <c r="AD150" s="279">
        <f t="shared" si="95"/>
        <v>-1.2295799999999899</v>
      </c>
      <c r="AE150" s="278">
        <f t="shared" si="100"/>
        <v>-160.84331999999995</v>
      </c>
      <c r="AF150" s="278">
        <f t="shared" si="114"/>
        <v>89.07677863800906</v>
      </c>
      <c r="AG150" s="279">
        <f t="shared" si="125"/>
        <v>40</v>
      </c>
      <c r="AH150" s="279">
        <f>AF150*1000000/(Inputs!$C$9*100*Inputs!$C$8*1000*(1-Inputs!$C$10)*(1+Inputs!$C$12))</f>
        <v>17.822484721490408</v>
      </c>
      <c r="AI150" s="279">
        <f>IFERROR(HLOOKUP(A150,Inputs!$C$14:$C$15,2,FALSE),-100)</f>
        <v>-100</v>
      </c>
      <c r="AJ150" s="281">
        <f t="shared" si="101"/>
        <v>0</v>
      </c>
      <c r="AK150" s="282">
        <f t="shared" si="78"/>
        <v>7.3020000000000005</v>
      </c>
      <c r="AL150" s="282">
        <f t="shared" si="79"/>
        <v>4.7419354838709689</v>
      </c>
      <c r="AM150" s="282">
        <f t="shared" si="80"/>
        <v>-1.9838368458620446</v>
      </c>
      <c r="AN150" s="283">
        <f>IFERROR(IF($G$1="Sí",VLOOKUP($A150,CSVAgro,9,FALSE),VLOOKUP($A150,Clima!$E$8:$Q$373,13,FALSE)),0)</f>
        <v>4.5</v>
      </c>
      <c r="AO150" s="281">
        <f t="shared" si="110"/>
        <v>245.20000000000007</v>
      </c>
      <c r="AP150" s="281">
        <f>IFERROR(VLOOKUP($A150,'F TrB'!$C$3:$O$21,3,FALSE),-9999)</f>
        <v>-9999</v>
      </c>
      <c r="AQ150" s="281">
        <f t="shared" si="102"/>
        <v>-999</v>
      </c>
      <c r="AR150" s="281">
        <f>IFERROR(IF(VLOOKUP($A150,'F TrB'!$Q$3:$R$21,2,FALSE)=0,-99999,VLOOKUP($A150,'F TrB'!$Q$3:$R$21,2,FALSE)),-99999)</f>
        <v>-99999</v>
      </c>
      <c r="AS150" s="281">
        <f t="shared" si="103"/>
        <v>-99999</v>
      </c>
      <c r="AT150" s="281" t="str">
        <f>IFERROR(VLOOKUP($A150,'NDVI tipo'!$Q$8:$S$30,2,FALSE),"")</f>
        <v/>
      </c>
      <c r="AU150" s="281">
        <f>IF(ISERROR(VLOOKUP($A150,'NDVI tipo'!$Q$8:$S$50,2,FALSE)),AU149+VLOOKUP($A150,'NDVI tipo'!$Q$8:$S$50,3,TRUE),VLOOKUP($A150,'NDVI tipo'!$Q$8:$S$50,2,FALSE))</f>
        <v>0.71019124999999972</v>
      </c>
      <c r="AV150" s="281">
        <f>IFERROR(VLOOKUP($A150,'NDVI real'!$Q$8:$S$44,2,FALSE),-999)</f>
        <v>-999</v>
      </c>
      <c r="AW150" s="281">
        <f>IF(ISERROR(VLOOKUP($A150,'NDVI real'!$T$8:$U$350,2,FALSE)),"",VLOOKUP($A150,'NDVI real'!$T$8:$U$350,2,FALSE))</f>
        <v>0.84353395062500014</v>
      </c>
      <c r="AX150" s="286">
        <f>IFERROR(VLOOKUP($A150,SWB!$C$15:$BE$244,53,FALSE),"")</f>
        <v>4.2309555092256019</v>
      </c>
      <c r="AY150" s="286">
        <f>IFERROR(VLOOKUP($A150,SWB!$C$15:$BE$244,55,FALSE),"")</f>
        <v>3.05683346634477</v>
      </c>
      <c r="AZ150" s="281">
        <f>IF(ISERROR(VLOOKUP($A150,Clima!$V$8:$AI$320,14,FALSE)),-999,VLOOKUP(A150,Clima!$V$8:$AI$219,14,FALSE))</f>
        <v>3.1</v>
      </c>
      <c r="BA150" s="281">
        <f t="shared" si="111"/>
        <v>260.40000000000003</v>
      </c>
      <c r="BB150" s="281">
        <f t="shared" si="104"/>
        <v>3.1</v>
      </c>
      <c r="BC150" s="281">
        <f t="shared" si="112"/>
        <v>260.40000000000003</v>
      </c>
      <c r="BD150" s="284">
        <f t="shared" si="126"/>
        <v>42121</v>
      </c>
    </row>
    <row r="151" spans="1:56" s="275" customFormat="1" ht="12.75">
      <c r="A151" s="273">
        <f t="shared" si="105"/>
        <v>42122</v>
      </c>
      <c r="B151" s="274">
        <f t="shared" si="115"/>
        <v>118</v>
      </c>
      <c r="C151" s="275" t="str">
        <f t="shared" si="116"/>
        <v>Desarrollo</v>
      </c>
      <c r="D151" s="276">
        <f t="shared" si="117"/>
        <v>4.0999999999999996</v>
      </c>
      <c r="E151" s="276">
        <f t="shared" si="118"/>
        <v>1.1200888888</v>
      </c>
      <c r="F151" s="276"/>
      <c r="G151" s="276">
        <f t="shared" si="119"/>
        <v>0.22717300000000001</v>
      </c>
      <c r="H151" s="276">
        <f t="shared" si="120"/>
        <v>1.1462209999999999</v>
      </c>
      <c r="I151" s="276">
        <f t="shared" si="121"/>
        <v>3.6220569999999999</v>
      </c>
      <c r="J151" s="276">
        <f>IFERROR(IF($G$1="Sí",VLOOKUP($A151,CSVAgro,13,FALSE),VLOOKUP($A151,SWB!$C$15:$P$202,14,FALSE)),0)</f>
        <v>0</v>
      </c>
      <c r="K151" s="487">
        <f t="shared" si="122"/>
        <v>5</v>
      </c>
      <c r="L151" s="487">
        <f t="shared" si="89"/>
        <v>0</v>
      </c>
      <c r="M151" s="487">
        <f t="shared" si="90"/>
        <v>5</v>
      </c>
      <c r="N151" s="277">
        <f>IF(ISERROR($G$1="Sí"),VLOOKUP($A151,CSVAgro,16,FALSE),IF(ISERROR(VLOOKUP($A151,Clima!$W$8:$Z$284,2,FALSE)),VLOOKUP($A151,Clima!$E$8:$H$372,2,FALSE),VLOOKUP($A151,Clima!$W$8:$Z$284,2,FALSE)))</f>
        <v>12.5</v>
      </c>
      <c r="O151" s="276">
        <f t="shared" si="123"/>
        <v>195.68889821875626</v>
      </c>
      <c r="P151" s="276">
        <f t="shared" si="106"/>
        <v>106.50000000000001</v>
      </c>
      <c r="Q151" s="487">
        <f t="shared" si="92"/>
        <v>70</v>
      </c>
      <c r="R151" s="278">
        <f t="shared" si="107"/>
        <v>12.5</v>
      </c>
      <c r="S151" s="278">
        <f t="shared" si="98"/>
        <v>12.5</v>
      </c>
      <c r="T151" s="279">
        <f t="shared" si="93"/>
        <v>118</v>
      </c>
      <c r="U151" s="279">
        <f t="shared" si="113"/>
        <v>18</v>
      </c>
      <c r="V151" s="276">
        <f t="shared" si="99"/>
        <v>0</v>
      </c>
      <c r="W151" s="276">
        <f>IF(AND(S151&gt;VLOOKUP(Inputs!$I$2,Extracciones,3),S151&lt;VLOOKUP(Inputs!$I$2,Extracciones,5)),(S151-VLOOKUP(Inputs!$I$2,Extracciones,3))*Inputs!$E$12,0)</f>
        <v>0</v>
      </c>
      <c r="X151" s="278">
        <f>IF(AD151=0,VLOOKUP(R151,Mineral,2)*R151*Inputs!$C$16*Inputs!$E$37,VLOOKUP(R151,Mineral,2)*R151*Inputs!$C$16)</f>
        <v>0</v>
      </c>
      <c r="Y151" s="278">
        <f>SUM(K151,M151)*Inputs!$O$8*14/(100*62)</f>
        <v>0.33870967741935482</v>
      </c>
      <c r="Z151" s="278">
        <f t="shared" si="108"/>
        <v>0</v>
      </c>
      <c r="AA151" s="278">
        <f t="shared" si="109"/>
        <v>0</v>
      </c>
      <c r="AB151" s="279">
        <f t="shared" si="124"/>
        <v>0</v>
      </c>
      <c r="AC151" s="278">
        <f t="shared" si="127"/>
        <v>0</v>
      </c>
      <c r="AD151" s="279">
        <f t="shared" si="95"/>
        <v>-1.2295799999999899</v>
      </c>
      <c r="AE151" s="278">
        <f t="shared" si="100"/>
        <v>-162.07289999999995</v>
      </c>
      <c r="AF151" s="278">
        <f t="shared" si="114"/>
        <v>88.185908315428435</v>
      </c>
      <c r="AG151" s="279">
        <f t="shared" si="125"/>
        <v>40</v>
      </c>
      <c r="AH151" s="279">
        <f>AF151*1000000/(Inputs!$C$9*100*Inputs!$C$8*1000*(1-Inputs!$C$10)*(1+Inputs!$C$12))</f>
        <v>17.644239358829218</v>
      </c>
      <c r="AI151" s="279">
        <f>IFERROR(HLOOKUP(A151,Inputs!$C$14:$C$15,2,FALSE),-100)</f>
        <v>-100</v>
      </c>
      <c r="AJ151" s="281">
        <f t="shared" si="101"/>
        <v>0</v>
      </c>
      <c r="AK151" s="282">
        <f t="shared" si="78"/>
        <v>7.3020000000000005</v>
      </c>
      <c r="AL151" s="282">
        <f t="shared" si="79"/>
        <v>5.0806451612903238</v>
      </c>
      <c r="AM151" s="282">
        <f t="shared" si="80"/>
        <v>-1.9838368458620446</v>
      </c>
      <c r="AN151" s="283">
        <f>IFERROR(IF($G$1="Sí",VLOOKUP($A151,CSVAgro,9,FALSE),VLOOKUP($A151,Clima!$E$8:$Q$373,13,FALSE)),0)</f>
        <v>3.5</v>
      </c>
      <c r="AO151" s="281">
        <f t="shared" si="110"/>
        <v>248.70000000000007</v>
      </c>
      <c r="AP151" s="281">
        <f>IFERROR(VLOOKUP($A151,'F TrB'!$C$3:$O$21,3,FALSE),-9999)</f>
        <v>49</v>
      </c>
      <c r="AQ151" s="281">
        <f t="shared" si="102"/>
        <v>1.4</v>
      </c>
      <c r="AR151" s="281">
        <f>IFERROR(IF(VLOOKUP($A151,'F TrB'!$Q$3:$R$21,2,FALSE)=0,-99999,VLOOKUP($A151,'F TrB'!$Q$3:$R$21,2,FALSE)),-99999)</f>
        <v>-99999</v>
      </c>
      <c r="AS151" s="281">
        <f t="shared" si="103"/>
        <v>-99999</v>
      </c>
      <c r="AT151" s="281" t="str">
        <f>IFERROR(VLOOKUP($A151,'NDVI tipo'!$Q$8:$S$30,2,FALSE),"")</f>
        <v/>
      </c>
      <c r="AU151" s="281">
        <f>IF(ISERROR(VLOOKUP($A151,'NDVI tipo'!$Q$8:$S$50,2,FALSE)),AU150+VLOOKUP($A151,'NDVI tipo'!$Q$8:$S$50,3,TRUE),VLOOKUP($A151,'NDVI tipo'!$Q$8:$S$50,2,FALSE))</f>
        <v>0.72051099999999968</v>
      </c>
      <c r="AV151" s="281">
        <f>IFERROR(VLOOKUP($A151,'NDVI real'!$Q$8:$S$44,2,FALSE),-999)</f>
        <v>-999</v>
      </c>
      <c r="AW151" s="281">
        <f>IF(ISERROR(VLOOKUP($A151,'NDVI real'!$T$8:$U$350,2,FALSE)),"",VLOOKUP($A151,'NDVI real'!$T$8:$U$350,2,FALSE))</f>
        <v>0.84728395055555572</v>
      </c>
      <c r="AX151" s="286">
        <f>IFERROR(VLOOKUP($A151,SWB!$C$15:$BE$244,53,FALSE),"")</f>
        <v>4.3808851388422685</v>
      </c>
      <c r="AY151" s="286">
        <f>IFERROR(VLOOKUP($A151,SWB!$C$15:$BE$244,55,FALSE),"")</f>
        <v>2.3476441397395433</v>
      </c>
      <c r="AZ151" s="281">
        <f>IF(ISERROR(VLOOKUP($A151,Clima!$V$8:$AI$320,14,FALSE)),-999,VLOOKUP(A151,Clima!$V$8:$AI$219,14,FALSE))</f>
        <v>4.0999999999999996</v>
      </c>
      <c r="BA151" s="281">
        <f t="shared" si="111"/>
        <v>264.50000000000006</v>
      </c>
      <c r="BB151" s="281">
        <f t="shared" si="104"/>
        <v>4.0999999999999996</v>
      </c>
      <c r="BC151" s="281">
        <f t="shared" si="112"/>
        <v>264.50000000000006</v>
      </c>
      <c r="BD151" s="284">
        <f t="shared" si="126"/>
        <v>42122</v>
      </c>
    </row>
    <row r="152" spans="1:56" s="275" customFormat="1" ht="12.75">
      <c r="A152" s="273">
        <f t="shared" si="105"/>
        <v>42123</v>
      </c>
      <c r="B152" s="274">
        <f t="shared" si="115"/>
        <v>119</v>
      </c>
      <c r="C152" s="275" t="str">
        <f t="shared" si="116"/>
        <v>Desarrollo</v>
      </c>
      <c r="D152" s="276">
        <f t="shared" si="117"/>
        <v>4.8</v>
      </c>
      <c r="E152" s="276">
        <f t="shared" si="118"/>
        <v>1.1254888887000001</v>
      </c>
      <c r="F152" s="276"/>
      <c r="G152" s="276">
        <f t="shared" si="119"/>
        <v>0.15346199999999999</v>
      </c>
      <c r="H152" s="276">
        <f t="shared" si="120"/>
        <v>1.095129</v>
      </c>
      <c r="I152" s="276">
        <f t="shared" si="121"/>
        <v>3.0006529999999998</v>
      </c>
      <c r="J152" s="276">
        <f>IFERROR(IF($G$1="Sí",VLOOKUP($A152,CSVAgro,13,FALSE),VLOOKUP($A152,SWB!$C$15:$P$202,14,FALSE)),0)</f>
        <v>0</v>
      </c>
      <c r="K152" s="487">
        <f t="shared" si="122"/>
        <v>5</v>
      </c>
      <c r="L152" s="487">
        <f t="shared" si="89"/>
        <v>0</v>
      </c>
      <c r="M152" s="487">
        <f t="shared" si="90"/>
        <v>5</v>
      </c>
      <c r="N152" s="277">
        <f>IF(ISERROR($G$1="Sí"),VLOOKUP($A152,CSVAgro,16,FALSE),IF(ISERROR(VLOOKUP($A152,Clima!$W$8:$Z$284,2,FALSE)),VLOOKUP($A152,Clima!$E$8:$H$372,2,FALSE),VLOOKUP($A152,Clima!$W$8:$Z$284,2,FALSE)))</f>
        <v>14</v>
      </c>
      <c r="O152" s="276">
        <f t="shared" si="123"/>
        <v>200.08774550338717</v>
      </c>
      <c r="P152" s="276">
        <f t="shared" si="106"/>
        <v>106.50000000000001</v>
      </c>
      <c r="Q152" s="487">
        <f t="shared" si="92"/>
        <v>75</v>
      </c>
      <c r="R152" s="278">
        <f t="shared" si="107"/>
        <v>14</v>
      </c>
      <c r="S152" s="278">
        <f t="shared" si="98"/>
        <v>14</v>
      </c>
      <c r="T152" s="279">
        <f t="shared" si="93"/>
        <v>119</v>
      </c>
      <c r="U152" s="279">
        <f t="shared" si="113"/>
        <v>18</v>
      </c>
      <c r="V152" s="276">
        <f t="shared" si="99"/>
        <v>0</v>
      </c>
      <c r="W152" s="276">
        <f>IF(AND(S152&gt;VLOOKUP(Inputs!$I$2,Extracciones,3),S152&lt;VLOOKUP(Inputs!$I$2,Extracciones,5)),(S152-VLOOKUP(Inputs!$I$2,Extracciones,3))*Inputs!$E$12,0)</f>
        <v>0</v>
      </c>
      <c r="X152" s="278">
        <f>IF(AD152=0,VLOOKUP(R152,Mineral,2)*R152*Inputs!$C$16*Inputs!$E$37,VLOOKUP(R152,Mineral,2)*R152*Inputs!$C$16)</f>
        <v>0.56000000000000005</v>
      </c>
      <c r="Y152" s="278">
        <f>SUM(K152,M152)*Inputs!$O$8*14/(100*62)</f>
        <v>0.33870967741935482</v>
      </c>
      <c r="Z152" s="278">
        <f t="shared" si="108"/>
        <v>0</v>
      </c>
      <c r="AA152" s="278">
        <f t="shared" si="109"/>
        <v>0</v>
      </c>
      <c r="AB152" s="279">
        <f t="shared" si="124"/>
        <v>0</v>
      </c>
      <c r="AC152" s="278">
        <f t="shared" si="127"/>
        <v>0</v>
      </c>
      <c r="AD152" s="279">
        <f t="shared" si="95"/>
        <v>-3.2076000000000011</v>
      </c>
      <c r="AE152" s="278">
        <f t="shared" si="100"/>
        <v>-165.28049999999996</v>
      </c>
      <c r="AF152" s="278">
        <f t="shared" si="114"/>
        <v>85.877017992847797</v>
      </c>
      <c r="AG152" s="279">
        <f t="shared" si="125"/>
        <v>40</v>
      </c>
      <c r="AH152" s="279">
        <f>AF152*1000000/(Inputs!$C$9*100*Inputs!$C$8*1000*(1-Inputs!$C$10)*(1+Inputs!$C$12))</f>
        <v>17.182276509173228</v>
      </c>
      <c r="AI152" s="279">
        <f>IFERROR(HLOOKUP(A152,Inputs!$C$14:$C$15,2,FALSE),-100)</f>
        <v>-100</v>
      </c>
      <c r="AJ152" s="281">
        <f t="shared" si="101"/>
        <v>0</v>
      </c>
      <c r="AK152" s="282">
        <f t="shared" si="78"/>
        <v>7.8620000000000001</v>
      </c>
      <c r="AL152" s="282">
        <f t="shared" si="79"/>
        <v>5.4193548387096788</v>
      </c>
      <c r="AM152" s="282">
        <f t="shared" si="80"/>
        <v>-1.9838368458620446</v>
      </c>
      <c r="AN152" s="283">
        <f>IFERROR(IF($G$1="Sí",VLOOKUP($A152,CSVAgro,9,FALSE),VLOOKUP($A152,Clima!$E$8:$Q$373,13,FALSE)),0)</f>
        <v>3.9</v>
      </c>
      <c r="AO152" s="281">
        <f t="shared" si="110"/>
        <v>252.60000000000008</v>
      </c>
      <c r="AP152" s="281">
        <f>IFERROR(VLOOKUP($A152,'F TrB'!$C$3:$O$21,3,FALSE),-9999)</f>
        <v>-9999</v>
      </c>
      <c r="AQ152" s="281">
        <f t="shared" si="102"/>
        <v>-999</v>
      </c>
      <c r="AR152" s="281">
        <f>IFERROR(IF(VLOOKUP($A152,'F TrB'!$Q$3:$R$21,2,FALSE)=0,-99999,VLOOKUP($A152,'F TrB'!$Q$3:$R$21,2,FALSE)),-99999)</f>
        <v>-99999</v>
      </c>
      <c r="AS152" s="281">
        <f t="shared" si="103"/>
        <v>-99999</v>
      </c>
      <c r="AT152" s="281" t="str">
        <f>IFERROR(VLOOKUP($A152,'NDVI tipo'!$Q$8:$S$30,2,FALSE),"")</f>
        <v/>
      </c>
      <c r="AU152" s="281">
        <f>IF(ISERROR(VLOOKUP($A152,'NDVI tipo'!$Q$8:$S$50,2,FALSE)),AU151+VLOOKUP($A152,'NDVI tipo'!$Q$8:$S$50,3,TRUE),VLOOKUP($A152,'NDVI tipo'!$Q$8:$S$50,2,FALSE))</f>
        <v>0.73083074999999964</v>
      </c>
      <c r="AV152" s="281">
        <f>IFERROR(VLOOKUP($A152,'NDVI real'!$Q$8:$S$44,2,FALSE),-999)</f>
        <v>-999</v>
      </c>
      <c r="AW152" s="281">
        <f>IF(ISERROR(VLOOKUP($A152,'NDVI real'!$T$8:$U$350,2,FALSE)),"",VLOOKUP($A152,'NDVI real'!$T$8:$U$350,2,FALSE))</f>
        <v>0.8510339504861113</v>
      </c>
      <c r="AX152" s="286">
        <f>IFERROR(VLOOKUP($A152,SWB!$C$15:$BE$244,53,FALSE),"")</f>
        <v>4.5488270832560183</v>
      </c>
      <c r="AY152" s="286">
        <f>IFERROR(VLOOKUP($A152,SWB!$C$15:$BE$244,55,FALSE),"")</f>
        <v>2.5879064764989579</v>
      </c>
      <c r="AZ152" s="281">
        <f>IF(ISERROR(VLOOKUP($A152,Clima!$V$8:$AI$320,14,FALSE)),-999,VLOOKUP(A152,Clima!$V$8:$AI$219,14,FALSE))</f>
        <v>4.8</v>
      </c>
      <c r="BA152" s="281">
        <f t="shared" si="111"/>
        <v>269.30000000000007</v>
      </c>
      <c r="BB152" s="281">
        <f t="shared" si="104"/>
        <v>4.8</v>
      </c>
      <c r="BC152" s="281">
        <f t="shared" si="112"/>
        <v>269.30000000000007</v>
      </c>
      <c r="BD152" s="284">
        <f t="shared" si="126"/>
        <v>42123</v>
      </c>
    </row>
    <row r="153" spans="1:56" s="275" customFormat="1" ht="12.75">
      <c r="A153" s="273">
        <f t="shared" si="105"/>
        <v>42124</v>
      </c>
      <c r="B153" s="274">
        <f t="shared" si="115"/>
        <v>120</v>
      </c>
      <c r="C153" s="275" t="str">
        <f t="shared" si="116"/>
        <v>Desarrollo</v>
      </c>
      <c r="D153" s="276">
        <f t="shared" si="117"/>
        <v>4.5999999999999996</v>
      </c>
      <c r="E153" s="276">
        <f t="shared" si="118"/>
        <v>1.1308888886000001</v>
      </c>
      <c r="F153" s="276"/>
      <c r="G153" s="276">
        <f t="shared" si="119"/>
        <v>0.174537</v>
      </c>
      <c r="H153" s="276">
        <f t="shared" si="120"/>
        <v>1.138822</v>
      </c>
      <c r="I153" s="276">
        <f t="shared" si="121"/>
        <v>3.5303490000000002</v>
      </c>
      <c r="J153" s="276">
        <f>IFERROR(IF($G$1="Sí",VLOOKUP($A153,CSVAgro,13,FALSE),VLOOKUP($A153,SWB!$C$15:$P$202,14,FALSE)),0)</f>
        <v>0</v>
      </c>
      <c r="K153" s="487">
        <f t="shared" si="122"/>
        <v>5</v>
      </c>
      <c r="L153" s="487">
        <f t="shared" si="89"/>
        <v>0</v>
      </c>
      <c r="M153" s="487">
        <f t="shared" si="90"/>
        <v>5</v>
      </c>
      <c r="N153" s="277">
        <f>IF(ISERROR($G$1="Sí"),VLOOKUP($A153,CSVAgro,16,FALSE),IF(ISERROR(VLOOKUP($A153,Clima!$W$8:$Z$284,2,FALSE)),VLOOKUP($A153,Clima!$E$8:$H$372,2,FALSE),VLOOKUP($A153,Clima!$W$8:$Z$284,2,FALSE)))</f>
        <v>14.4</v>
      </c>
      <c r="O153" s="276">
        <f t="shared" si="123"/>
        <v>202.45776126720085</v>
      </c>
      <c r="P153" s="276">
        <f t="shared" si="106"/>
        <v>106.50000000000001</v>
      </c>
      <c r="Q153" s="487">
        <f t="shared" si="92"/>
        <v>80</v>
      </c>
      <c r="R153" s="278">
        <f t="shared" si="107"/>
        <v>14.4</v>
      </c>
      <c r="S153" s="278">
        <f t="shared" si="98"/>
        <v>14.4</v>
      </c>
      <c r="T153" s="279">
        <f t="shared" si="93"/>
        <v>120</v>
      </c>
      <c r="U153" s="279">
        <f t="shared" si="113"/>
        <v>18</v>
      </c>
      <c r="V153" s="276">
        <f t="shared" si="99"/>
        <v>0</v>
      </c>
      <c r="W153" s="276">
        <f>IF(AND(S153&gt;VLOOKUP(Inputs!$I$2,Extracciones,3),S153&lt;VLOOKUP(Inputs!$I$2,Extracciones,5)),(S153-VLOOKUP(Inputs!$I$2,Extracciones,3))*Inputs!$E$12,0)</f>
        <v>0</v>
      </c>
      <c r="X153" s="278">
        <f>IF(AD153=0,VLOOKUP(R153,Mineral,2)*R153*Inputs!$C$16*Inputs!$E$37,VLOOKUP(R153,Mineral,2)*R153*Inputs!$C$16)</f>
        <v>0.57600000000000007</v>
      </c>
      <c r="Y153" s="278">
        <f>SUM(K153,M153)*Inputs!$O$8*14/(100*62)</f>
        <v>0.33870967741935482</v>
      </c>
      <c r="Z153" s="278">
        <f t="shared" si="108"/>
        <v>0</v>
      </c>
      <c r="AA153" s="278">
        <f t="shared" si="109"/>
        <v>0</v>
      </c>
      <c r="AB153" s="279">
        <f t="shared" si="124"/>
        <v>0</v>
      </c>
      <c r="AC153" s="278">
        <f t="shared" si="127"/>
        <v>0</v>
      </c>
      <c r="AD153" s="279">
        <f t="shared" si="95"/>
        <v>-3.2076000000000011</v>
      </c>
      <c r="AE153" s="278">
        <f t="shared" si="100"/>
        <v>-168.48809999999997</v>
      </c>
      <c r="AF153" s="278">
        <f t="shared" si="114"/>
        <v>83.584127670267151</v>
      </c>
      <c r="AG153" s="279">
        <f t="shared" si="125"/>
        <v>40</v>
      </c>
      <c r="AH153" s="279">
        <f>AF153*1000000/(Inputs!$C$9*100*Inputs!$C$8*1000*(1-Inputs!$C$10)*(1+Inputs!$C$12))</f>
        <v>16.723514940029442</v>
      </c>
      <c r="AI153" s="279">
        <f>IFERROR(HLOOKUP(A153,Inputs!$C$14:$C$15,2,FALSE),-100)</f>
        <v>-100</v>
      </c>
      <c r="AJ153" s="281">
        <f t="shared" si="101"/>
        <v>0</v>
      </c>
      <c r="AK153" s="282">
        <f t="shared" si="78"/>
        <v>8.4380000000000006</v>
      </c>
      <c r="AL153" s="282">
        <f t="shared" si="79"/>
        <v>5.7580645161290338</v>
      </c>
      <c r="AM153" s="282">
        <f t="shared" si="80"/>
        <v>-1.9838368458620446</v>
      </c>
      <c r="AN153" s="283">
        <f>IFERROR(IF($G$1="Sí",VLOOKUP($A153,CSVAgro,9,FALSE),VLOOKUP($A153,Clima!$E$8:$Q$373,13,FALSE)),0)</f>
        <v>2.1</v>
      </c>
      <c r="AO153" s="281">
        <f t="shared" si="110"/>
        <v>254.70000000000007</v>
      </c>
      <c r="AP153" s="281">
        <f>IFERROR(VLOOKUP($A153,'F TrB'!$C$3:$O$21,3,FALSE),-9999)</f>
        <v>-9999</v>
      </c>
      <c r="AQ153" s="281">
        <f t="shared" si="102"/>
        <v>-999</v>
      </c>
      <c r="AR153" s="281">
        <f>IFERROR(IF(VLOOKUP($A153,'F TrB'!$Q$3:$R$21,2,FALSE)=0,-99999,VLOOKUP($A153,'F TrB'!$Q$3:$R$21,2,FALSE)),-99999)</f>
        <v>-99999</v>
      </c>
      <c r="AS153" s="281">
        <f t="shared" si="103"/>
        <v>-99999</v>
      </c>
      <c r="AT153" s="281" t="str">
        <f>IFERROR(VLOOKUP($A153,'NDVI tipo'!$Q$8:$S$30,2,FALSE),"")</f>
        <v/>
      </c>
      <c r="AU153" s="281">
        <f>IF(ISERROR(VLOOKUP($A153,'NDVI tipo'!$Q$8:$S$50,2,FALSE)),AU152+VLOOKUP($A153,'NDVI tipo'!$Q$8:$S$50,3,TRUE),VLOOKUP($A153,'NDVI tipo'!$Q$8:$S$50,2,FALSE))</f>
        <v>0.7411504999999996</v>
      </c>
      <c r="AV153" s="281">
        <f>IFERROR(VLOOKUP($A153,'NDVI real'!$Q$8:$S$44,2,FALSE),-999)</f>
        <v>-999</v>
      </c>
      <c r="AW153" s="281">
        <f>IF(ISERROR(VLOOKUP($A153,'NDVI real'!$T$8:$U$350,2,FALSE)),"",VLOOKUP($A153,'NDVI real'!$T$8:$U$350,2,FALSE))</f>
        <v>0.85478395041666688</v>
      </c>
      <c r="AX153" s="286">
        <f>IFERROR(VLOOKUP($A153,SWB!$C$15:$BE$244,53,FALSE),"")</f>
        <v>4.6397298610085187</v>
      </c>
      <c r="AY153" s="286">
        <f>IFERROR(VLOOKUP($A153,SWB!$C$15:$BE$244,55,FALSE),"")</f>
        <v>1.3831510069638</v>
      </c>
      <c r="AZ153" s="281">
        <f>IF(ISERROR(VLOOKUP($A153,Clima!$V$8:$AI$320,14,FALSE)),-999,VLOOKUP(A153,Clima!$V$8:$AI$219,14,FALSE))</f>
        <v>4.5999999999999996</v>
      </c>
      <c r="BA153" s="281">
        <f t="shared" si="111"/>
        <v>273.90000000000009</v>
      </c>
      <c r="BB153" s="281">
        <f t="shared" si="104"/>
        <v>4.5999999999999996</v>
      </c>
      <c r="BC153" s="281">
        <f t="shared" si="112"/>
        <v>273.90000000000009</v>
      </c>
      <c r="BD153" s="284">
        <f t="shared" si="126"/>
        <v>42124</v>
      </c>
    </row>
    <row r="154" spans="1:56" s="275" customFormat="1" ht="13.5" customHeight="1">
      <c r="A154" s="273">
        <f t="shared" si="105"/>
        <v>42125</v>
      </c>
      <c r="B154" s="274">
        <f t="shared" si="115"/>
        <v>121</v>
      </c>
      <c r="C154" s="275" t="str">
        <f t="shared" si="116"/>
        <v>Desarrollo</v>
      </c>
      <c r="D154" s="276">
        <f t="shared" si="117"/>
        <v>5.4</v>
      </c>
      <c r="E154" s="276">
        <f t="shared" si="118"/>
        <v>1.1362888885000002</v>
      </c>
      <c r="F154" s="276"/>
      <c r="G154" s="276">
        <f t="shared" si="119"/>
        <v>0.123404</v>
      </c>
      <c r="H154" s="276">
        <f t="shared" si="120"/>
        <v>1.110309</v>
      </c>
      <c r="I154" s="276">
        <f t="shared" si="121"/>
        <v>4.5078550000000002</v>
      </c>
      <c r="J154" s="276">
        <f>IFERROR(IF($G$1="Sí",VLOOKUP($A154,CSVAgro,13,FALSE),VLOOKUP($A154,SWB!$C$15:$P$202,14,FALSE)),0)</f>
        <v>0</v>
      </c>
      <c r="K154" s="487">
        <f t="shared" si="122"/>
        <v>5</v>
      </c>
      <c r="L154" s="487">
        <f t="shared" si="89"/>
        <v>0</v>
      </c>
      <c r="M154" s="487">
        <f t="shared" si="90"/>
        <v>5</v>
      </c>
      <c r="N154" s="277">
        <f>IF(ISERROR($G$1="Sí"),VLOOKUP($A154,CSVAgro,16,FALSE),IF(ISERROR(VLOOKUP($A154,Clima!$W$8:$Z$284,2,FALSE)),VLOOKUP($A154,Clima!$E$8:$H$372,2,FALSE),VLOOKUP($A154,Clima!$W$8:$Z$284,2,FALSE)))</f>
        <v>16.899999999999999</v>
      </c>
      <c r="O154" s="276">
        <f t="shared" si="123"/>
        <v>207.08838339659877</v>
      </c>
      <c r="P154" s="276">
        <f t="shared" si="106"/>
        <v>106.50000000000001</v>
      </c>
      <c r="Q154" s="487">
        <f t="shared" si="92"/>
        <v>85</v>
      </c>
      <c r="R154" s="278">
        <f t="shared" si="107"/>
        <v>16.899999999999999</v>
      </c>
      <c r="S154" s="278">
        <f t="shared" si="98"/>
        <v>16.899999999999999</v>
      </c>
      <c r="T154" s="279">
        <f t="shared" si="93"/>
        <v>121</v>
      </c>
      <c r="U154" s="279">
        <f t="shared" si="113"/>
        <v>18</v>
      </c>
      <c r="V154" s="276">
        <f t="shared" si="99"/>
        <v>0</v>
      </c>
      <c r="W154" s="276">
        <f>IF(AND(S154&gt;VLOOKUP(Inputs!$I$2,Extracciones,3),S154&lt;VLOOKUP(Inputs!$I$2,Extracciones,5)),(S154-VLOOKUP(Inputs!$I$2,Extracciones,3))*Inputs!$E$12,0)</f>
        <v>0</v>
      </c>
      <c r="X154" s="278">
        <f>IF(AD154=0,VLOOKUP(R154,Mineral,2)*R154*Inputs!$C$16*Inputs!$E$37,VLOOKUP(R154,Mineral,2)*R154*Inputs!$C$16)</f>
        <v>1.1829999999999998</v>
      </c>
      <c r="Y154" s="278">
        <f>SUM(K154,M154)*Inputs!$O$8*14/(100*62)</f>
        <v>0.33870967741935482</v>
      </c>
      <c r="Z154" s="278">
        <f t="shared" si="108"/>
        <v>0</v>
      </c>
      <c r="AA154" s="278">
        <f t="shared" si="109"/>
        <v>0</v>
      </c>
      <c r="AB154" s="279">
        <f t="shared" si="124"/>
        <v>0</v>
      </c>
      <c r="AC154" s="278">
        <f t="shared" si="127"/>
        <v>0</v>
      </c>
      <c r="AD154" s="279">
        <f t="shared" si="95"/>
        <v>-3.2076000000000011</v>
      </c>
      <c r="AE154" s="278">
        <f t="shared" si="100"/>
        <v>-171.69569999999999</v>
      </c>
      <c r="AF154" s="278">
        <f t="shared" si="114"/>
        <v>81.898237347686504</v>
      </c>
      <c r="AG154" s="279">
        <f t="shared" si="125"/>
        <v>40</v>
      </c>
      <c r="AH154" s="279">
        <f>AF154*1000000/(Inputs!$C$9*100*Inputs!$C$8*1000*(1-Inputs!$C$10)*(1+Inputs!$C$12))</f>
        <v>16.386201950317428</v>
      </c>
      <c r="AI154" s="279">
        <f>IFERROR(HLOOKUP(A154,Inputs!$C$14:$C$15,2,FALSE),-100)</f>
        <v>-100</v>
      </c>
      <c r="AJ154" s="281">
        <f t="shared" si="101"/>
        <v>0</v>
      </c>
      <c r="AK154" s="282">
        <f t="shared" si="78"/>
        <v>9.6210000000000004</v>
      </c>
      <c r="AL154" s="282">
        <f t="shared" si="79"/>
        <v>6.0967741935483888</v>
      </c>
      <c r="AM154" s="282">
        <f t="shared" si="80"/>
        <v>-1.9838368458620446</v>
      </c>
      <c r="AN154" s="283">
        <f>IFERROR(IF($G$1="Sí",VLOOKUP($A154,CSVAgro,9,FALSE),VLOOKUP($A154,Clima!$E$8:$Q$373,13,FALSE)),0)</f>
        <v>4.0999999999999996</v>
      </c>
      <c r="AO154" s="281">
        <f t="shared" si="110"/>
        <v>258.80000000000007</v>
      </c>
      <c r="AP154" s="281">
        <f>IFERROR(VLOOKUP($A154,'F TrB'!$C$3:$O$21,3,FALSE),-9999)</f>
        <v>-9999</v>
      </c>
      <c r="AQ154" s="281">
        <f t="shared" si="102"/>
        <v>-999</v>
      </c>
      <c r="AR154" s="281">
        <f>IFERROR(IF(VLOOKUP($A154,'F TrB'!$Q$3:$R$21,2,FALSE)=0,-99999,VLOOKUP($A154,'F TrB'!$Q$3:$R$21,2,FALSE)),-99999)</f>
        <v>-99999</v>
      </c>
      <c r="AS154" s="281">
        <f t="shared" si="103"/>
        <v>-99999</v>
      </c>
      <c r="AT154" s="281" t="str">
        <f>IFERROR(VLOOKUP($A154,'NDVI tipo'!$Q$8:$S$30,2,FALSE),"")</f>
        <v/>
      </c>
      <c r="AU154" s="281">
        <f>IF(ISERROR(VLOOKUP($A154,'NDVI tipo'!$Q$8:$S$50,2,FALSE)),AU153+VLOOKUP($A154,'NDVI tipo'!$Q$8:$S$50,3,TRUE),VLOOKUP($A154,'NDVI tipo'!$Q$8:$S$50,2,FALSE))</f>
        <v>0.75147024999999956</v>
      </c>
      <c r="AV154" s="281">
        <f>IFERROR(VLOOKUP($A154,'NDVI real'!$Q$8:$S$44,2,FALSE),-999)</f>
        <v>-999</v>
      </c>
      <c r="AW154" s="281">
        <f>IF(ISERROR(VLOOKUP($A154,'NDVI real'!$T$8:$U$350,2,FALSE)),"",VLOOKUP($A154,'NDVI real'!$T$8:$U$350,2,FALSE))</f>
        <v>0.85853395034722246</v>
      </c>
      <c r="AX154" s="286">
        <f>IFERROR(VLOOKUP($A154,SWB!$C$15:$BE$244,53,FALSE),"")</f>
        <v>4.8181292127939352</v>
      </c>
      <c r="AY154" s="286">
        <f>IFERROR(VLOOKUP($A154,SWB!$C$15:$BE$244,55,FALSE),"")</f>
        <v>2.6801092203493226</v>
      </c>
      <c r="AZ154" s="281">
        <f>IF(ISERROR(VLOOKUP($A154,Clima!$V$8:$AI$320,14,FALSE)),-999,VLOOKUP(A154,Clima!$V$8:$AI$219,14,FALSE))</f>
        <v>5.4</v>
      </c>
      <c r="BA154" s="281">
        <f t="shared" si="111"/>
        <v>279.30000000000007</v>
      </c>
      <c r="BB154" s="281">
        <f t="shared" si="104"/>
        <v>5.4</v>
      </c>
      <c r="BC154" s="281">
        <f t="shared" si="112"/>
        <v>279.30000000000007</v>
      </c>
      <c r="BD154" s="284">
        <f t="shared" si="126"/>
        <v>42125</v>
      </c>
    </row>
    <row r="155" spans="1:56" s="275" customFormat="1" ht="12.75">
      <c r="A155" s="273">
        <f t="shared" si="105"/>
        <v>42126</v>
      </c>
      <c r="B155" s="274">
        <f t="shared" si="115"/>
        <v>122</v>
      </c>
      <c r="C155" s="275" t="str">
        <f t="shared" si="116"/>
        <v>Desarrollo</v>
      </c>
      <c r="D155" s="276">
        <f t="shared" si="117"/>
        <v>5.2</v>
      </c>
      <c r="E155" s="276">
        <f t="shared" si="118"/>
        <v>1.1416888884000003</v>
      </c>
      <c r="F155" s="276"/>
      <c r="G155" s="276">
        <f t="shared" si="119"/>
        <v>0.140595</v>
      </c>
      <c r="H155" s="276">
        <f t="shared" si="120"/>
        <v>1.150118</v>
      </c>
      <c r="I155" s="276">
        <f t="shared" si="121"/>
        <v>5.566573</v>
      </c>
      <c r="J155" s="276">
        <f>IFERROR(IF($G$1="Sí",VLOOKUP($A155,CSVAgro,13,FALSE),VLOOKUP($A155,SWB!$C$15:$P$202,14,FALSE)),0)</f>
        <v>0</v>
      </c>
      <c r="K155" s="487">
        <f t="shared" si="122"/>
        <v>5</v>
      </c>
      <c r="L155" s="487">
        <f t="shared" si="89"/>
        <v>0</v>
      </c>
      <c r="M155" s="487">
        <f t="shared" si="90"/>
        <v>5</v>
      </c>
      <c r="N155" s="277">
        <f>IF(ISERROR($G$1="Sí"),VLOOKUP($A155,CSVAgro,16,FALSE),IF(ISERROR(VLOOKUP($A155,Clima!$W$8:$Z$284,2,FALSE)),VLOOKUP($A155,Clima!$E$8:$H$372,2,FALSE),VLOOKUP($A155,Clima!$W$8:$Z$284,2,FALSE)))</f>
        <v>19.7</v>
      </c>
      <c r="O155" s="276">
        <f t="shared" si="123"/>
        <v>211.8363919147771</v>
      </c>
      <c r="P155" s="276">
        <f t="shared" si="106"/>
        <v>106.50000000000001</v>
      </c>
      <c r="Q155" s="487">
        <f t="shared" si="92"/>
        <v>90</v>
      </c>
      <c r="R155" s="278">
        <f t="shared" si="107"/>
        <v>19.7</v>
      </c>
      <c r="S155" s="278">
        <f t="shared" si="98"/>
        <v>19.7</v>
      </c>
      <c r="T155" s="279">
        <f t="shared" si="93"/>
        <v>122</v>
      </c>
      <c r="U155" s="279">
        <f t="shared" si="113"/>
        <v>18</v>
      </c>
      <c r="V155" s="276">
        <f t="shared" si="99"/>
        <v>0</v>
      </c>
      <c r="W155" s="276">
        <f>IF(AND(S155&gt;VLOOKUP(Inputs!$I$2,Extracciones,3),S155&lt;VLOOKUP(Inputs!$I$2,Extracciones,5)),(S155-VLOOKUP(Inputs!$I$2,Extracciones,3))*Inputs!$E$12,0)</f>
        <v>0</v>
      </c>
      <c r="X155" s="278">
        <f>IF(AD155=0,VLOOKUP(R155,Mineral,2)*R155*Inputs!$C$16*Inputs!$E$37,VLOOKUP(R155,Mineral,2)*R155*Inputs!$C$16)</f>
        <v>1.97</v>
      </c>
      <c r="Y155" s="278">
        <f>SUM(K155,M155)*Inputs!$O$8*14/(100*62)</f>
        <v>0.33870967741935482</v>
      </c>
      <c r="Z155" s="278">
        <f t="shared" si="108"/>
        <v>0</v>
      </c>
      <c r="AA155" s="278">
        <f t="shared" si="109"/>
        <v>0</v>
      </c>
      <c r="AB155" s="279">
        <f t="shared" si="124"/>
        <v>0</v>
      </c>
      <c r="AC155" s="278">
        <f t="shared" si="127"/>
        <v>0</v>
      </c>
      <c r="AD155" s="279">
        <f t="shared" si="95"/>
        <v>-3.2076000000000011</v>
      </c>
      <c r="AE155" s="278">
        <f t="shared" si="100"/>
        <v>-174.9033</v>
      </c>
      <c r="AF155" s="278">
        <f t="shared" si="114"/>
        <v>80.999347025105862</v>
      </c>
      <c r="AG155" s="279">
        <f t="shared" si="125"/>
        <v>40</v>
      </c>
      <c r="AH155" s="279">
        <f>AF155*1000000/(Inputs!$C$9*100*Inputs!$C$8*1000*(1-Inputs!$C$10)*(1+Inputs!$C$12))</f>
        <v>16.206351945799494</v>
      </c>
      <c r="AI155" s="279">
        <f>IFERROR(HLOOKUP(A155,Inputs!$C$14:$C$15,2,FALSE),-100)</f>
        <v>-100</v>
      </c>
      <c r="AJ155" s="281">
        <f t="shared" si="101"/>
        <v>0</v>
      </c>
      <c r="AK155" s="282">
        <f t="shared" si="78"/>
        <v>11.591000000000001</v>
      </c>
      <c r="AL155" s="282">
        <f t="shared" si="79"/>
        <v>6.4354838709677438</v>
      </c>
      <c r="AM155" s="282">
        <f t="shared" si="80"/>
        <v>-1.9838368458620446</v>
      </c>
      <c r="AN155" s="283">
        <f>IFERROR(IF($G$1="Sí",VLOOKUP($A155,CSVAgro,9,FALSE),VLOOKUP($A155,Clima!$E$8:$Q$373,13,FALSE)),0)</f>
        <v>4.2</v>
      </c>
      <c r="AO155" s="281">
        <f t="shared" si="110"/>
        <v>263.00000000000006</v>
      </c>
      <c r="AP155" s="281">
        <f>IFERROR(VLOOKUP($A155,'F TrB'!$C$3:$O$21,3,FALSE),-9999)</f>
        <v>51</v>
      </c>
      <c r="AQ155" s="281">
        <f t="shared" si="102"/>
        <v>1.4</v>
      </c>
      <c r="AR155" s="281">
        <f>IFERROR(IF(VLOOKUP($A155,'F TrB'!$Q$3:$R$21,2,FALSE)=0,-99999,VLOOKUP($A155,'F TrB'!$Q$3:$R$21,2,FALSE)),-99999)</f>
        <v>41</v>
      </c>
      <c r="AS155" s="281">
        <f t="shared" si="103"/>
        <v>1.4</v>
      </c>
      <c r="AT155" s="281" t="str">
        <f>IFERROR(VLOOKUP($A155,'NDVI tipo'!$Q$8:$S$30,2,FALSE),"")</f>
        <v/>
      </c>
      <c r="AU155" s="281">
        <f>IF(ISERROR(VLOOKUP($A155,'NDVI tipo'!$Q$8:$S$50,2,FALSE)),AU154+VLOOKUP($A155,'NDVI tipo'!$Q$8:$S$50,3,TRUE),VLOOKUP($A155,'NDVI tipo'!$Q$8:$S$50,2,FALSE))</f>
        <v>0.76178999999999952</v>
      </c>
      <c r="AV155" s="281">
        <f>IFERROR(VLOOKUP($A155,'NDVI real'!$Q$8:$S$44,2,FALSE),-999)</f>
        <v>-999</v>
      </c>
      <c r="AW155" s="281">
        <f>IF(ISERROR(VLOOKUP($A155,'NDVI real'!$T$8:$U$350,2,FALSE)),"",VLOOKUP($A155,'NDVI real'!$T$8:$U$350,2,FALSE))</f>
        <v>0.86228395027777804</v>
      </c>
      <c r="AX155" s="286">
        <f>IFERROR(VLOOKUP($A155,SWB!$C$15:$BE$244,53,FALSE),"")</f>
        <v>5.0018247682639352</v>
      </c>
      <c r="AY155" s="286">
        <f>IFERROR(VLOOKUP($A155,SWB!$C$15:$BE$244,55,FALSE),"")</f>
        <v>2.7142238058011969</v>
      </c>
      <c r="AZ155" s="281">
        <f>IF(ISERROR(VLOOKUP($A155,Clima!$V$8:$AI$320,14,FALSE)),-999,VLOOKUP(A155,Clima!$V$8:$AI$219,14,FALSE))</f>
        <v>5.2</v>
      </c>
      <c r="BA155" s="281">
        <f t="shared" si="111"/>
        <v>284.50000000000006</v>
      </c>
      <c r="BB155" s="281">
        <f t="shared" si="104"/>
        <v>5.2</v>
      </c>
      <c r="BC155" s="281">
        <f t="shared" si="112"/>
        <v>284.50000000000006</v>
      </c>
      <c r="BD155" s="284">
        <f t="shared" si="126"/>
        <v>42126</v>
      </c>
    </row>
    <row r="156" spans="1:56" s="275" customFormat="1" ht="12.75">
      <c r="A156" s="273">
        <f t="shared" si="105"/>
        <v>42127</v>
      </c>
      <c r="B156" s="274">
        <f t="shared" si="115"/>
        <v>123</v>
      </c>
      <c r="C156" s="275" t="str">
        <f t="shared" si="116"/>
        <v>Desarrollo</v>
      </c>
      <c r="D156" s="276">
        <f t="shared" si="117"/>
        <v>4.4000000000000004</v>
      </c>
      <c r="E156" s="276">
        <f t="shared" si="118"/>
        <v>1.1470888883000003</v>
      </c>
      <c r="F156" s="276"/>
      <c r="G156" s="276">
        <f t="shared" si="119"/>
        <v>9.0323000000000001E-2</v>
      </c>
      <c r="H156" s="276">
        <f t="shared" si="120"/>
        <v>1.122466</v>
      </c>
      <c r="I156" s="276">
        <f t="shared" si="121"/>
        <v>5.1633440000000004</v>
      </c>
      <c r="J156" s="276">
        <f>IFERROR(IF($G$1="Sí",VLOOKUP($A156,CSVAgro,13,FALSE),VLOOKUP($A156,SWB!$C$15:$P$202,14,FALSE)),0)</f>
        <v>0</v>
      </c>
      <c r="K156" s="487">
        <f t="shared" si="122"/>
        <v>0</v>
      </c>
      <c r="L156" s="487">
        <f t="shared" si="89"/>
        <v>0</v>
      </c>
      <c r="M156" s="487">
        <f t="shared" si="90"/>
        <v>0</v>
      </c>
      <c r="N156" s="277">
        <f>IF(ISERROR($G$1="Sí"),VLOOKUP($A156,CSVAgro,16,FALSE),IF(ISERROR(VLOOKUP($A156,Clima!$W$8:$Z$284,2,FALSE)),VLOOKUP($A156,Clima!$E$8:$H$372,2,FALSE),VLOOKUP($A156,Clima!$W$8:$Z$284,2,FALSE)))</f>
        <v>19.8</v>
      </c>
      <c r="O156" s="276">
        <f t="shared" si="123"/>
        <v>216.58815793288585</v>
      </c>
      <c r="P156" s="276">
        <f t="shared" si="106"/>
        <v>106.50000000000001</v>
      </c>
      <c r="Q156" s="487">
        <f t="shared" si="92"/>
        <v>95</v>
      </c>
      <c r="R156" s="278">
        <f t="shared" si="107"/>
        <v>19.8</v>
      </c>
      <c r="S156" s="278">
        <f t="shared" si="98"/>
        <v>19.8</v>
      </c>
      <c r="T156" s="279">
        <f t="shared" si="93"/>
        <v>123</v>
      </c>
      <c r="U156" s="279">
        <f t="shared" si="113"/>
        <v>18</v>
      </c>
      <c r="V156" s="276">
        <f t="shared" si="99"/>
        <v>0</v>
      </c>
      <c r="W156" s="276">
        <f>IF(AND(S156&gt;VLOOKUP(Inputs!$I$2,Extracciones,3),S156&lt;VLOOKUP(Inputs!$I$2,Extracciones,5)),(S156-VLOOKUP(Inputs!$I$2,Extracciones,3))*Inputs!$E$12,0)</f>
        <v>0</v>
      </c>
      <c r="X156" s="278">
        <f>IF(AD156=0,VLOOKUP(R156,Mineral,2)*R156*Inputs!$C$16*Inputs!$E$37,VLOOKUP(R156,Mineral,2)*R156*Inputs!$C$16)</f>
        <v>1.9800000000000002</v>
      </c>
      <c r="Y156" s="278">
        <f>SUM(K156,M156)*Inputs!$O$8*14/(100*62)</f>
        <v>0</v>
      </c>
      <c r="Z156" s="278">
        <f t="shared" si="108"/>
        <v>0</v>
      </c>
      <c r="AA156" s="278">
        <f t="shared" si="109"/>
        <v>0</v>
      </c>
      <c r="AB156" s="279">
        <f t="shared" si="124"/>
        <v>0</v>
      </c>
      <c r="AC156" s="278">
        <f t="shared" si="127"/>
        <v>0</v>
      </c>
      <c r="AD156" s="279">
        <f t="shared" si="95"/>
        <v>-3.4214400000000058</v>
      </c>
      <c r="AE156" s="278">
        <f t="shared" si="100"/>
        <v>-178.32474000000002</v>
      </c>
      <c r="AF156" s="278">
        <f t="shared" si="114"/>
        <v>79.557907025105862</v>
      </c>
      <c r="AG156" s="279">
        <f t="shared" si="125"/>
        <v>40</v>
      </c>
      <c r="AH156" s="279">
        <f>AF156*1000000/(Inputs!$C$9*100*Inputs!$C$8*1000*(1-Inputs!$C$10)*(1+Inputs!$C$12))</f>
        <v>15.917948584454955</v>
      </c>
      <c r="AI156" s="279">
        <f>IFERROR(HLOOKUP(A156,Inputs!$C$14:$C$15,2,FALSE),-100)</f>
        <v>-100</v>
      </c>
      <c r="AJ156" s="281">
        <f t="shared" si="101"/>
        <v>0</v>
      </c>
      <c r="AK156" s="282">
        <f t="shared" si="78"/>
        <v>13.571000000000002</v>
      </c>
      <c r="AL156" s="282">
        <f t="shared" si="79"/>
        <v>6.4354838709677438</v>
      </c>
      <c r="AM156" s="282">
        <f t="shared" si="80"/>
        <v>-1.9838368458620446</v>
      </c>
      <c r="AN156" s="283">
        <f>IFERROR(IF($G$1="Sí",VLOOKUP($A156,CSVAgro,9,FALSE),VLOOKUP($A156,Clima!$E$8:$Q$373,13,FALSE)),0)</f>
        <v>4.2</v>
      </c>
      <c r="AO156" s="281">
        <f t="shared" si="110"/>
        <v>267.20000000000005</v>
      </c>
      <c r="AP156" s="281">
        <f>IFERROR(VLOOKUP($A156,'F TrB'!$C$3:$O$21,3,FALSE),-9999)</f>
        <v>-9999</v>
      </c>
      <c r="AQ156" s="281">
        <f t="shared" si="102"/>
        <v>-999</v>
      </c>
      <c r="AR156" s="281">
        <f>IFERROR(IF(VLOOKUP($A156,'F TrB'!$Q$3:$R$21,2,FALSE)=0,-99999,VLOOKUP($A156,'F TrB'!$Q$3:$R$21,2,FALSE)),-99999)</f>
        <v>-99999</v>
      </c>
      <c r="AS156" s="281">
        <f t="shared" si="103"/>
        <v>-99999</v>
      </c>
      <c r="AT156" s="281" t="str">
        <f>IFERROR(VLOOKUP($A156,'NDVI tipo'!$Q$8:$S$30,2,FALSE),"")</f>
        <v/>
      </c>
      <c r="AU156" s="281">
        <f>IF(ISERROR(VLOOKUP($A156,'NDVI tipo'!$Q$8:$S$50,2,FALSE)),AU155+VLOOKUP($A156,'NDVI tipo'!$Q$8:$S$50,3,TRUE),VLOOKUP($A156,'NDVI tipo'!$Q$8:$S$50,2,FALSE))</f>
        <v>0.77210974999999948</v>
      </c>
      <c r="AV156" s="281">
        <f>IFERROR(VLOOKUP($A156,'NDVI real'!$Q$8:$S$44,2,FALSE),-999)</f>
        <v>-999</v>
      </c>
      <c r="AW156" s="281">
        <f>IF(ISERROR(VLOOKUP($A156,'NDVI real'!$T$8:$U$350,2,FALSE)),"",VLOOKUP($A156,'NDVI real'!$T$8:$U$350,2,FALSE))</f>
        <v>0.86603395020833362</v>
      </c>
      <c r="AX156" s="286">
        <f>IFERROR(VLOOKUP($A156,SWB!$C$15:$BE$244,53,FALSE),"")</f>
        <v>5.1864653237164351</v>
      </c>
      <c r="AY156" s="286">
        <f>IFERROR(VLOOKUP($A156,SWB!$C$15:$BE$244,55,FALSE),"")</f>
        <v>2.6841372263959045</v>
      </c>
      <c r="AZ156" s="281">
        <f>IF(ISERROR(VLOOKUP($A156,Clima!$V$8:$AI$320,14,FALSE)),-999,VLOOKUP(A156,Clima!$V$8:$AI$219,14,FALSE))</f>
        <v>4.4000000000000004</v>
      </c>
      <c r="BA156" s="281">
        <f t="shared" si="111"/>
        <v>288.90000000000003</v>
      </c>
      <c r="BB156" s="281">
        <f t="shared" si="104"/>
        <v>4.4000000000000004</v>
      </c>
      <c r="BC156" s="281">
        <f t="shared" si="112"/>
        <v>288.90000000000003</v>
      </c>
      <c r="BD156" s="284">
        <f t="shared" si="126"/>
        <v>42127</v>
      </c>
    </row>
    <row r="157" spans="1:56" s="275" customFormat="1" ht="12.75">
      <c r="A157" s="273">
        <f t="shared" si="105"/>
        <v>42128</v>
      </c>
      <c r="B157" s="274">
        <f t="shared" si="115"/>
        <v>124</v>
      </c>
      <c r="C157" s="275" t="str">
        <f t="shared" si="116"/>
        <v>Desarrollo</v>
      </c>
      <c r="D157" s="276">
        <f t="shared" si="117"/>
        <v>4.5999999999999996</v>
      </c>
      <c r="E157" s="276">
        <f t="shared" si="118"/>
        <v>1.1499999999999999</v>
      </c>
      <c r="F157" s="276"/>
      <c r="G157" s="276">
        <f t="shared" si="119"/>
        <v>0.10234799999999999</v>
      </c>
      <c r="H157" s="276">
        <f t="shared" si="120"/>
        <v>1.1571100000000001</v>
      </c>
      <c r="I157" s="276">
        <f t="shared" si="121"/>
        <v>6.2483950000000004</v>
      </c>
      <c r="J157" s="276">
        <f>IFERROR(IF($G$1="Sí",VLOOKUP($A157,CSVAgro,13,FALSE),VLOOKUP($A157,SWB!$C$15:$P$202,14,FALSE)),0)</f>
        <v>0</v>
      </c>
      <c r="K157" s="487">
        <f t="shared" si="122"/>
        <v>5</v>
      </c>
      <c r="L157" s="487">
        <f t="shared" si="89"/>
        <v>0</v>
      </c>
      <c r="M157" s="487">
        <f t="shared" si="90"/>
        <v>5</v>
      </c>
      <c r="N157" s="277">
        <f>IF(ISERROR($G$1="Sí"),VLOOKUP($A157,CSVAgro,16,FALSE),IF(ISERROR(VLOOKUP($A157,Clima!$W$8:$Z$284,2,FALSE)),VLOOKUP($A157,Clima!$E$8:$H$372,2,FALSE),VLOOKUP($A157,Clima!$W$8:$Z$284,2,FALSE)))</f>
        <v>20.7</v>
      </c>
      <c r="O157" s="276">
        <f t="shared" si="123"/>
        <v>222.24536979964537</v>
      </c>
      <c r="P157" s="276">
        <f t="shared" si="106"/>
        <v>106.50000000000001</v>
      </c>
      <c r="Q157" s="487">
        <f t="shared" si="92"/>
        <v>95</v>
      </c>
      <c r="R157" s="278">
        <f t="shared" si="107"/>
        <v>20.7</v>
      </c>
      <c r="S157" s="278">
        <f t="shared" si="98"/>
        <v>20.7</v>
      </c>
      <c r="T157" s="279">
        <f t="shared" si="93"/>
        <v>124</v>
      </c>
      <c r="U157" s="279">
        <f t="shared" si="113"/>
        <v>19</v>
      </c>
      <c r="V157" s="276">
        <f t="shared" si="99"/>
        <v>0</v>
      </c>
      <c r="W157" s="276">
        <f>IF(AND(S157&gt;VLOOKUP(Inputs!$I$2,Extracciones,3),S157&lt;VLOOKUP(Inputs!$I$2,Extracciones,5)),(S157-VLOOKUP(Inputs!$I$2,Extracciones,3))*Inputs!$E$12,0)</f>
        <v>0</v>
      </c>
      <c r="X157" s="278">
        <f>IF(AD157=0,VLOOKUP(R157,Mineral,2)*R157*Inputs!$C$16*Inputs!$E$37,VLOOKUP(R157,Mineral,2)*R157*Inputs!$C$16)</f>
        <v>2.0699999999999998</v>
      </c>
      <c r="Y157" s="278">
        <f>SUM(K157,M157)*Inputs!$O$8*14/(100*62)</f>
        <v>0.33870967741935482</v>
      </c>
      <c r="Z157" s="278">
        <f t="shared" si="108"/>
        <v>0</v>
      </c>
      <c r="AA157" s="278">
        <f t="shared" si="109"/>
        <v>0</v>
      </c>
      <c r="AB157" s="279">
        <f t="shared" si="124"/>
        <v>0</v>
      </c>
      <c r="AC157" s="278">
        <f t="shared" si="127"/>
        <v>0</v>
      </c>
      <c r="AD157" s="279">
        <f t="shared" si="95"/>
        <v>-3.4214400000000058</v>
      </c>
      <c r="AE157" s="278">
        <f t="shared" si="100"/>
        <v>-181.74618000000004</v>
      </c>
      <c r="AF157" s="278">
        <f t="shared" si="114"/>
        <v>78.545176702525211</v>
      </c>
      <c r="AG157" s="279">
        <f t="shared" si="125"/>
        <v>40</v>
      </c>
      <c r="AH157" s="279">
        <f>AF157*1000000/(Inputs!$C$9*100*Inputs!$C$8*1000*(1-Inputs!$C$10)*(1+Inputs!$C$12))</f>
        <v>15.715321469092681</v>
      </c>
      <c r="AI157" s="279">
        <f>IFERROR(HLOOKUP(A157,Inputs!$C$14:$C$15,2,FALSE),-100)</f>
        <v>-100</v>
      </c>
      <c r="AJ157" s="281">
        <f t="shared" si="101"/>
        <v>0</v>
      </c>
      <c r="AK157" s="282">
        <f t="shared" ref="AK157:AK220" si="128">X157+AK156</f>
        <v>15.641000000000002</v>
      </c>
      <c r="AL157" s="282">
        <f t="shared" ref="AL157:AL220" si="129">Y157+AL156</f>
        <v>6.7741935483870988</v>
      </c>
      <c r="AM157" s="282">
        <f t="shared" ref="AM157:AM220" si="130">AC157+AM156</f>
        <v>-1.9838368458620446</v>
      </c>
      <c r="AN157" s="283">
        <f>IFERROR(IF($G$1="Sí",VLOOKUP($A157,CSVAgro,9,FALSE),VLOOKUP($A157,Clima!$E$8:$Q$373,13,FALSE)),0)</f>
        <v>5.2</v>
      </c>
      <c r="AO157" s="281">
        <f t="shared" si="110"/>
        <v>272.40000000000003</v>
      </c>
      <c r="AP157" s="281">
        <f>IFERROR(VLOOKUP($A157,'F TrB'!$C$3:$O$21,3,FALSE),-9999)</f>
        <v>-9999</v>
      </c>
      <c r="AQ157" s="281">
        <f t="shared" si="102"/>
        <v>-999</v>
      </c>
      <c r="AR157" s="281">
        <f>IFERROR(IF(VLOOKUP($A157,'F TrB'!$Q$3:$R$21,2,FALSE)=0,-99999,VLOOKUP($A157,'F TrB'!$Q$3:$R$21,2,FALSE)),-99999)</f>
        <v>-99999</v>
      </c>
      <c r="AS157" s="281">
        <f t="shared" si="103"/>
        <v>-99999</v>
      </c>
      <c r="AT157" s="281" t="str">
        <f>IFERROR(VLOOKUP($A157,'NDVI tipo'!$Q$8:$S$30,2,FALSE),"")</f>
        <v/>
      </c>
      <c r="AU157" s="281">
        <f>IF(ISERROR(VLOOKUP($A157,'NDVI tipo'!$Q$8:$S$50,2,FALSE)),AU156+VLOOKUP($A157,'NDVI tipo'!$Q$8:$S$50,3,TRUE),VLOOKUP($A157,'NDVI tipo'!$Q$8:$S$50,2,FALSE))</f>
        <v>0.78242949999999944</v>
      </c>
      <c r="AV157" s="281">
        <f>IFERROR(VLOOKUP($A157,'NDVI real'!$Q$8:$S$44,2,FALSE),-999)</f>
        <v>-999</v>
      </c>
      <c r="AW157" s="281">
        <f>IF(ISERROR(VLOOKUP($A157,'NDVI real'!$T$8:$U$350,2,FALSE)),"",VLOOKUP($A157,'NDVI real'!$T$8:$U$350,2,FALSE))</f>
        <v>0.86978395013888921</v>
      </c>
      <c r="AX157" s="286">
        <f>IFERROR(VLOOKUP($A157,SWB!$C$15:$BE$244,53,FALSE),"")</f>
        <v>5.4162379161597682</v>
      </c>
      <c r="AY157" s="286">
        <f>IFERROR(VLOOKUP($A157,SWB!$C$15:$BE$244,55,FALSE),"")</f>
        <v>3.2819275789783831</v>
      </c>
      <c r="AZ157" s="281">
        <f>IF(ISERROR(VLOOKUP($A157,Clima!$V$8:$AI$320,14,FALSE)),-999,VLOOKUP(A157,Clima!$V$8:$AI$219,14,FALSE))</f>
        <v>4.5999999999999996</v>
      </c>
      <c r="BA157" s="281">
        <f t="shared" si="111"/>
        <v>293.50000000000006</v>
      </c>
      <c r="BB157" s="281">
        <f t="shared" si="104"/>
        <v>4.5999999999999996</v>
      </c>
      <c r="BC157" s="281">
        <f t="shared" si="112"/>
        <v>293.50000000000006</v>
      </c>
      <c r="BD157" s="284">
        <f t="shared" si="126"/>
        <v>42128</v>
      </c>
    </row>
    <row r="158" spans="1:56" s="275" customFormat="1" ht="12.75">
      <c r="A158" s="273">
        <f t="shared" si="105"/>
        <v>42129</v>
      </c>
      <c r="B158" s="274">
        <f t="shared" si="115"/>
        <v>125</v>
      </c>
      <c r="C158" s="275" t="str">
        <f t="shared" si="116"/>
        <v>Desarrollo</v>
      </c>
      <c r="D158" s="276">
        <f t="shared" si="117"/>
        <v>4.2</v>
      </c>
      <c r="E158" s="276">
        <f t="shared" si="118"/>
        <v>1.1499999999999999</v>
      </c>
      <c r="F158" s="276"/>
      <c r="G158" s="276">
        <f t="shared" si="119"/>
        <v>0.05</v>
      </c>
      <c r="H158" s="276">
        <f t="shared" si="120"/>
        <v>1.127381</v>
      </c>
      <c r="I158" s="276">
        <f t="shared" si="121"/>
        <v>5.8623810000000001</v>
      </c>
      <c r="J158" s="276">
        <f>IFERROR(IF($G$1="Sí",VLOOKUP($A158,CSVAgro,13,FALSE),VLOOKUP($A158,SWB!$C$15:$P$202,14,FALSE)),0)</f>
        <v>0</v>
      </c>
      <c r="K158" s="487">
        <f t="shared" si="122"/>
        <v>5</v>
      </c>
      <c r="L158" s="487">
        <f t="shared" si="89"/>
        <v>0</v>
      </c>
      <c r="M158" s="487">
        <f t="shared" si="90"/>
        <v>5</v>
      </c>
      <c r="N158" s="277">
        <f>IF(ISERROR($G$1="Sí"),VLOOKUP($A158,CSVAgro,16,FALSE),IF(ISERROR(VLOOKUP($A158,Clima!$W$8:$Z$284,2,FALSE)),VLOOKUP($A158,Clima!$E$8:$H$372,2,FALSE),VLOOKUP($A158,Clima!$W$8:$Z$284,2,FALSE)))</f>
        <v>16.100000000000001</v>
      </c>
      <c r="O158" s="276">
        <f t="shared" si="123"/>
        <v>227.79059110112502</v>
      </c>
      <c r="P158" s="276">
        <f t="shared" si="106"/>
        <v>106.50000000000001</v>
      </c>
      <c r="Q158" s="487">
        <f t="shared" si="92"/>
        <v>100</v>
      </c>
      <c r="R158" s="278">
        <f t="shared" si="107"/>
        <v>16.100000000000001</v>
      </c>
      <c r="S158" s="278">
        <f t="shared" si="98"/>
        <v>16.100000000000001</v>
      </c>
      <c r="T158" s="279">
        <f t="shared" si="93"/>
        <v>125</v>
      </c>
      <c r="U158" s="279">
        <f t="shared" si="113"/>
        <v>19</v>
      </c>
      <c r="V158" s="276">
        <f t="shared" si="99"/>
        <v>0</v>
      </c>
      <c r="W158" s="276">
        <f>IF(AND(S158&gt;VLOOKUP(Inputs!$I$2,Extracciones,3),S158&lt;VLOOKUP(Inputs!$I$2,Extracciones,5)),(S158-VLOOKUP(Inputs!$I$2,Extracciones,3))*Inputs!$E$12,0)</f>
        <v>0</v>
      </c>
      <c r="X158" s="278">
        <f>IF(AD158=0,VLOOKUP(R158,Mineral,2)*R158*Inputs!$C$16*Inputs!$E$37,VLOOKUP(R158,Mineral,2)*R158*Inputs!$C$16)</f>
        <v>1.127</v>
      </c>
      <c r="Y158" s="278">
        <f>SUM(K158,M158)*Inputs!$O$8*14/(100*62)</f>
        <v>0.33870967741935482</v>
      </c>
      <c r="Z158" s="278">
        <f t="shared" si="108"/>
        <v>0</v>
      </c>
      <c r="AA158" s="278">
        <f t="shared" si="109"/>
        <v>0</v>
      </c>
      <c r="AB158" s="279">
        <f t="shared" si="124"/>
        <v>0</v>
      </c>
      <c r="AC158" s="278">
        <f t="shared" si="127"/>
        <v>0</v>
      </c>
      <c r="AD158" s="279">
        <f t="shared" si="95"/>
        <v>-3.4214400000000058</v>
      </c>
      <c r="AE158" s="278">
        <f t="shared" si="100"/>
        <v>-185.16762000000006</v>
      </c>
      <c r="AF158" s="278">
        <f t="shared" si="114"/>
        <v>76.589446379944562</v>
      </c>
      <c r="AG158" s="279">
        <f t="shared" si="125"/>
        <v>40</v>
      </c>
      <c r="AH158" s="279">
        <f>AF158*1000000/(Inputs!$C$9*100*Inputs!$C$8*1000*(1-Inputs!$C$10)*(1+Inputs!$C$12))</f>
        <v>15.32401888354233</v>
      </c>
      <c r="AI158" s="279">
        <f>IFERROR(HLOOKUP(A158,Inputs!$C$14:$C$15,2,FALSE),-100)</f>
        <v>-100</v>
      </c>
      <c r="AJ158" s="281">
        <f t="shared" si="101"/>
        <v>0</v>
      </c>
      <c r="AK158" s="282">
        <f t="shared" si="128"/>
        <v>16.768000000000001</v>
      </c>
      <c r="AL158" s="282">
        <f t="shared" si="129"/>
        <v>7.1129032258064537</v>
      </c>
      <c r="AM158" s="282">
        <f t="shared" si="130"/>
        <v>-1.9838368458620446</v>
      </c>
      <c r="AN158" s="283">
        <f>IFERROR(IF($G$1="Sí",VLOOKUP($A158,CSVAgro,9,FALSE),VLOOKUP($A158,Clima!$E$8:$Q$373,13,FALSE)),0)</f>
        <v>5.3</v>
      </c>
      <c r="AO158" s="281">
        <f t="shared" si="110"/>
        <v>277.70000000000005</v>
      </c>
      <c r="AP158" s="281">
        <f>IFERROR(VLOOKUP($A158,'F TrB'!$C$3:$O$21,3,FALSE),-9999)</f>
        <v>-9999</v>
      </c>
      <c r="AQ158" s="281">
        <f t="shared" si="102"/>
        <v>-999</v>
      </c>
      <c r="AR158" s="281">
        <f>IFERROR(IF(VLOOKUP($A158,'F TrB'!$Q$3:$R$21,2,FALSE)=0,-99999,VLOOKUP($A158,'F TrB'!$Q$3:$R$21,2,FALSE)),-99999)</f>
        <v>-99999</v>
      </c>
      <c r="AS158" s="281">
        <f t="shared" si="103"/>
        <v>-99999</v>
      </c>
      <c r="AT158" s="281" t="str">
        <f>IFERROR(VLOOKUP($A158,'NDVI tipo'!$Q$8:$S$30,2,FALSE),"")</f>
        <v/>
      </c>
      <c r="AU158" s="281">
        <f>IF(ISERROR(VLOOKUP($A158,'NDVI tipo'!$Q$8:$S$50,2,FALSE)),AU157+VLOOKUP($A158,'NDVI tipo'!$Q$8:$S$50,3,TRUE),VLOOKUP($A158,'NDVI tipo'!$Q$8:$S$50,2,FALSE))</f>
        <v>0.79274924999999941</v>
      </c>
      <c r="AV158" s="281">
        <f>IFERROR(VLOOKUP($A158,'NDVI real'!$Q$8:$S$44,2,FALSE),-999)</f>
        <v>-999</v>
      </c>
      <c r="AW158" s="281">
        <f>IF(ISERROR(VLOOKUP($A158,'NDVI real'!$T$8:$U$350,2,FALSE)),"",VLOOKUP($A158,'NDVI real'!$T$8:$U$350,2,FALSE))</f>
        <v>0.87353395006944479</v>
      </c>
      <c r="AX158" s="286">
        <f>IFERROR(VLOOKUP($A158,SWB!$C$15:$BE$244,53,FALSE),"")</f>
        <v>5.6516217122818517</v>
      </c>
      <c r="AY158" s="286">
        <f>IFERROR(VLOOKUP($A158,SWB!$C$15:$BE$244,55,FALSE),"")</f>
        <v>3.2988649870588063</v>
      </c>
      <c r="AZ158" s="281">
        <f>IF(ISERROR(VLOOKUP($A158,Clima!$V$8:$AI$320,14,FALSE)),-999,VLOOKUP(A158,Clima!$V$8:$AI$219,14,FALSE))</f>
        <v>4.2</v>
      </c>
      <c r="BA158" s="281">
        <f t="shared" si="111"/>
        <v>297.70000000000005</v>
      </c>
      <c r="BB158" s="281">
        <f t="shared" si="104"/>
        <v>4.2</v>
      </c>
      <c r="BC158" s="281">
        <f t="shared" si="112"/>
        <v>297.70000000000005</v>
      </c>
      <c r="BD158" s="284">
        <f t="shared" si="126"/>
        <v>42129</v>
      </c>
    </row>
    <row r="159" spans="1:56" s="275" customFormat="1" ht="12.75">
      <c r="A159" s="273">
        <f t="shared" si="105"/>
        <v>42130</v>
      </c>
      <c r="B159" s="274">
        <f t="shared" si="115"/>
        <v>126</v>
      </c>
      <c r="C159" s="275" t="str">
        <f t="shared" si="116"/>
        <v>Mediados</v>
      </c>
      <c r="D159" s="276">
        <f t="shared" si="117"/>
        <v>5</v>
      </c>
      <c r="E159" s="276">
        <f t="shared" si="118"/>
        <v>1.1499999999999999</v>
      </c>
      <c r="F159" s="276"/>
      <c r="G159" s="276">
        <f t="shared" si="119"/>
        <v>0.05</v>
      </c>
      <c r="H159" s="276">
        <f t="shared" si="120"/>
        <v>1.1499999999999999</v>
      </c>
      <c r="I159" s="276">
        <f t="shared" si="121"/>
        <v>5.0599999999999996</v>
      </c>
      <c r="J159" s="276">
        <f>IFERROR(IF($G$1="Sí",VLOOKUP($A159,CSVAgro,13,FALSE),VLOOKUP($A159,SWB!$C$15:$P$202,14,FALSE)),0)</f>
        <v>0</v>
      </c>
      <c r="K159" s="487">
        <f t="shared" si="122"/>
        <v>5</v>
      </c>
      <c r="L159" s="487">
        <f t="shared" si="89"/>
        <v>0</v>
      </c>
      <c r="M159" s="487">
        <f t="shared" si="90"/>
        <v>5</v>
      </c>
      <c r="N159" s="277">
        <f>IF(ISERROR($G$1="Sí"),VLOOKUP($A159,CSVAgro,16,FALSE),IF(ISERROR(VLOOKUP($A159,Clima!$W$8:$Z$284,2,FALSE)),VLOOKUP($A159,Clima!$E$8:$H$372,2,FALSE),VLOOKUP($A159,Clima!$W$8:$Z$284,2,FALSE)))</f>
        <v>14.7</v>
      </c>
      <c r="O159" s="276">
        <f t="shared" si="123"/>
        <v>230.62207906381252</v>
      </c>
      <c r="P159" s="276">
        <f t="shared" si="106"/>
        <v>106.50000000000001</v>
      </c>
      <c r="Q159" s="487">
        <f t="shared" si="92"/>
        <v>105</v>
      </c>
      <c r="R159" s="278">
        <f t="shared" si="107"/>
        <v>14.7</v>
      </c>
      <c r="S159" s="278">
        <f t="shared" si="98"/>
        <v>14.7</v>
      </c>
      <c r="T159" s="279">
        <f t="shared" si="93"/>
        <v>126</v>
      </c>
      <c r="U159" s="279">
        <f t="shared" si="113"/>
        <v>19</v>
      </c>
      <c r="V159" s="276">
        <f t="shared" si="99"/>
        <v>0</v>
      </c>
      <c r="W159" s="276">
        <f>IF(AND(S159&gt;VLOOKUP(Inputs!$I$2,Extracciones,3),S159&lt;VLOOKUP(Inputs!$I$2,Extracciones,5)),(S159-VLOOKUP(Inputs!$I$2,Extracciones,3))*Inputs!$E$12,0)</f>
        <v>0</v>
      </c>
      <c r="X159" s="278">
        <f>IF(AD159=0,VLOOKUP(R159,Mineral,2)*R159*Inputs!$C$16*Inputs!$E$37,VLOOKUP(R159,Mineral,2)*R159*Inputs!$C$16)</f>
        <v>0.58799999999999997</v>
      </c>
      <c r="Y159" s="278">
        <f>SUM(K159,M159)*Inputs!$O$8*14/(100*62)</f>
        <v>0.33870967741935482</v>
      </c>
      <c r="Z159" s="278">
        <f t="shared" si="108"/>
        <v>0</v>
      </c>
      <c r="AA159" s="278">
        <f t="shared" si="109"/>
        <v>0</v>
      </c>
      <c r="AB159" s="279">
        <f t="shared" si="124"/>
        <v>0</v>
      </c>
      <c r="AC159" s="278">
        <f t="shared" si="127"/>
        <v>0</v>
      </c>
      <c r="AD159" s="279">
        <f t="shared" si="95"/>
        <v>-3.4214400000000058</v>
      </c>
      <c r="AE159" s="278">
        <f t="shared" si="100"/>
        <v>-188.58906000000007</v>
      </c>
      <c r="AF159" s="278">
        <f t="shared" si="114"/>
        <v>74.094716057363911</v>
      </c>
      <c r="AG159" s="279">
        <f t="shared" si="125"/>
        <v>40</v>
      </c>
      <c r="AH159" s="279">
        <f>AF159*1000000/(Inputs!$C$9*100*Inputs!$C$8*1000*(1-Inputs!$C$10)*(1+Inputs!$C$12))</f>
        <v>14.824873160737077</v>
      </c>
      <c r="AI159" s="279">
        <f>IFERROR(HLOOKUP(A159,Inputs!$C$14:$C$15,2,FALSE),-100)</f>
        <v>-100</v>
      </c>
      <c r="AJ159" s="281">
        <f t="shared" si="101"/>
        <v>0</v>
      </c>
      <c r="AK159" s="282">
        <f t="shared" si="128"/>
        <v>17.356000000000002</v>
      </c>
      <c r="AL159" s="282">
        <f t="shared" si="129"/>
        <v>7.4516129032258087</v>
      </c>
      <c r="AM159" s="282">
        <f t="shared" si="130"/>
        <v>-1.9838368458620446</v>
      </c>
      <c r="AN159" s="283">
        <f>IFERROR(IF($G$1="Sí",VLOOKUP($A159,CSVAgro,9,FALSE),VLOOKUP($A159,Clima!$E$8:$Q$373,13,FALSE)),0)</f>
        <v>2.5</v>
      </c>
      <c r="AO159" s="281">
        <f t="shared" si="110"/>
        <v>280.20000000000005</v>
      </c>
      <c r="AP159" s="281">
        <f>IFERROR(VLOOKUP($A159,'F TrB'!$C$3:$O$21,3,FALSE),-9999)</f>
        <v>-9999</v>
      </c>
      <c r="AQ159" s="281">
        <f t="shared" si="102"/>
        <v>-999</v>
      </c>
      <c r="AR159" s="281">
        <f>IFERROR(IF(VLOOKUP($A159,'F TrB'!$Q$3:$R$21,2,FALSE)=0,-99999,VLOOKUP($A159,'F TrB'!$Q$3:$R$21,2,FALSE)),-99999)</f>
        <v>-99999</v>
      </c>
      <c r="AS159" s="281">
        <f t="shared" si="103"/>
        <v>-99999</v>
      </c>
      <c r="AT159" s="281">
        <f>IFERROR(VLOOKUP($A159,'NDVI tipo'!$Q$8:$S$30,2,FALSE),"")</f>
        <v>0.80306900000000003</v>
      </c>
      <c r="AU159" s="281">
        <f>IF(ISERROR(VLOOKUP($A159,'NDVI tipo'!$Q$8:$S$50,2,FALSE)),AU158+VLOOKUP($A159,'NDVI tipo'!$Q$8:$S$50,3,TRUE),VLOOKUP($A159,'NDVI tipo'!$Q$8:$S$50,2,FALSE))</f>
        <v>0.80306900000000003</v>
      </c>
      <c r="AV159" s="281">
        <f>IFERROR(VLOOKUP($A159,'NDVI real'!$Q$8:$S$44,2,FALSE),-999)</f>
        <v>0.87728395000000015</v>
      </c>
      <c r="AW159" s="281">
        <f>IF(ISERROR(VLOOKUP($A159,'NDVI real'!$T$8:$U$350,2,FALSE)),"",VLOOKUP($A159,'NDVI real'!$T$8:$U$350,2,FALSE))</f>
        <v>0.87728395000000015</v>
      </c>
      <c r="AX159" s="286">
        <f>IFERROR(VLOOKUP($A159,SWB!$C$15:$BE$244,53,FALSE),"")</f>
        <v>5.7632143047818518</v>
      </c>
      <c r="AY159" s="286">
        <f>IFERROR(VLOOKUP($A159,SWB!$C$15:$BE$244,55,FALSE),"")</f>
        <v>1.5426997824674231</v>
      </c>
      <c r="AZ159" s="281">
        <f>IF(ISERROR(VLOOKUP($A159,Clima!$V$8:$AI$320,14,FALSE)),-999,VLOOKUP(A159,Clima!$V$8:$AI$219,14,FALSE))</f>
        <v>5</v>
      </c>
      <c r="BA159" s="281">
        <f t="shared" si="111"/>
        <v>302.70000000000005</v>
      </c>
      <c r="BB159" s="281">
        <f t="shared" si="104"/>
        <v>5</v>
      </c>
      <c r="BC159" s="281">
        <f t="shared" si="112"/>
        <v>302.70000000000005</v>
      </c>
      <c r="BD159" s="284">
        <f t="shared" si="126"/>
        <v>42130</v>
      </c>
    </row>
    <row r="160" spans="1:56" s="275" customFormat="1" ht="12.75">
      <c r="A160" s="273">
        <f t="shared" si="105"/>
        <v>42131</v>
      </c>
      <c r="B160" s="274">
        <f t="shared" si="115"/>
        <v>127</v>
      </c>
      <c r="C160" s="275" t="str">
        <f t="shared" si="116"/>
        <v>Mediados</v>
      </c>
      <c r="D160" s="276">
        <f t="shared" si="117"/>
        <v>6.2</v>
      </c>
      <c r="E160" s="276">
        <f t="shared" si="118"/>
        <v>1.1499999999999999</v>
      </c>
      <c r="F160" s="276"/>
      <c r="G160" s="276">
        <f t="shared" si="119"/>
        <v>0.05</v>
      </c>
      <c r="H160" s="276">
        <f t="shared" si="120"/>
        <v>1.1499999999999999</v>
      </c>
      <c r="I160" s="276">
        <f t="shared" si="121"/>
        <v>5.29</v>
      </c>
      <c r="J160" s="276">
        <f>IFERROR(IF($G$1="Sí",VLOOKUP($A160,CSVAgro,13,FALSE),VLOOKUP($A160,SWB!$C$15:$P$202,14,FALSE)),0)</f>
        <v>0</v>
      </c>
      <c r="K160" s="487">
        <f t="shared" si="122"/>
        <v>5</v>
      </c>
      <c r="L160" s="487">
        <f t="shared" si="89"/>
        <v>0</v>
      </c>
      <c r="M160" s="487">
        <f t="shared" si="90"/>
        <v>5</v>
      </c>
      <c r="N160" s="277">
        <f>IF(ISERROR($G$1="Sí"),VLOOKUP($A160,CSVAgro,16,FALSE),IF(ISERROR(VLOOKUP($A160,Clima!$W$8:$Z$284,2,FALSE)),VLOOKUP($A160,Clima!$E$8:$H$372,2,FALSE),VLOOKUP($A160,Clima!$W$8:$Z$284,2,FALSE)))</f>
        <v>18.100000000000001</v>
      </c>
      <c r="O160" s="276">
        <f t="shared" si="123"/>
        <v>233.4537667371344</v>
      </c>
      <c r="P160" s="276">
        <f t="shared" si="106"/>
        <v>106.50000000000001</v>
      </c>
      <c r="Q160" s="487">
        <f t="shared" si="92"/>
        <v>110</v>
      </c>
      <c r="R160" s="278">
        <f t="shared" si="107"/>
        <v>18.100000000000001</v>
      </c>
      <c r="S160" s="278">
        <f t="shared" si="98"/>
        <v>18.100000000000001</v>
      </c>
      <c r="T160" s="279">
        <f t="shared" si="93"/>
        <v>127</v>
      </c>
      <c r="U160" s="279">
        <f t="shared" si="113"/>
        <v>19</v>
      </c>
      <c r="V160" s="276">
        <f t="shared" si="99"/>
        <v>0</v>
      </c>
      <c r="W160" s="276">
        <f>IF(AND(S160&gt;VLOOKUP(Inputs!$I$2,Extracciones,3),S160&lt;VLOOKUP(Inputs!$I$2,Extracciones,5)),(S160-VLOOKUP(Inputs!$I$2,Extracciones,3))*Inputs!$E$12,0)</f>
        <v>0</v>
      </c>
      <c r="X160" s="278">
        <f>IF(AD160=0,VLOOKUP(R160,Mineral,2)*R160*Inputs!$C$16*Inputs!$E$37,VLOOKUP(R160,Mineral,2)*R160*Inputs!$C$16)</f>
        <v>1.6290000000000004</v>
      </c>
      <c r="Y160" s="278">
        <f>SUM(K160,M160)*Inputs!$O$8*14/(100*62)</f>
        <v>0.33870967741935482</v>
      </c>
      <c r="Z160" s="278">
        <f t="shared" si="108"/>
        <v>0</v>
      </c>
      <c r="AA160" s="278">
        <f t="shared" si="109"/>
        <v>0</v>
      </c>
      <c r="AB160" s="279">
        <f t="shared" si="124"/>
        <v>0</v>
      </c>
      <c r="AC160" s="278">
        <f t="shared" si="127"/>
        <v>0</v>
      </c>
      <c r="AD160" s="279">
        <f t="shared" si="95"/>
        <v>-3.4214400000000058</v>
      </c>
      <c r="AE160" s="278">
        <f t="shared" si="100"/>
        <v>-192.01050000000009</v>
      </c>
      <c r="AF160" s="278">
        <f t="shared" si="114"/>
        <v>72.640985734783257</v>
      </c>
      <c r="AG160" s="279">
        <f t="shared" si="125"/>
        <v>40</v>
      </c>
      <c r="AH160" s="279">
        <f>AF160*1000000/(Inputs!$C$9*100*Inputs!$C$8*1000*(1-Inputs!$C$10)*(1+Inputs!$C$12))</f>
        <v>14.534010751257155</v>
      </c>
      <c r="AI160" s="279">
        <f>IFERROR(HLOOKUP(A160,Inputs!$C$14:$C$15,2,FALSE),-100)</f>
        <v>-100</v>
      </c>
      <c r="AJ160" s="281">
        <f t="shared" si="101"/>
        <v>0</v>
      </c>
      <c r="AK160" s="282">
        <f t="shared" si="128"/>
        <v>18.985000000000003</v>
      </c>
      <c r="AL160" s="282">
        <f t="shared" si="129"/>
        <v>7.7903225806451637</v>
      </c>
      <c r="AM160" s="282">
        <f t="shared" si="130"/>
        <v>-1.9838368458620446</v>
      </c>
      <c r="AN160" s="283">
        <f>IFERROR(IF($G$1="Sí",VLOOKUP($A160,CSVAgro,9,FALSE),VLOOKUP($A160,Clima!$E$8:$Q$373,13,FALSE)),0)</f>
        <v>2.5</v>
      </c>
      <c r="AO160" s="281">
        <f t="shared" si="110"/>
        <v>282.70000000000005</v>
      </c>
      <c r="AP160" s="281">
        <f>IFERROR(VLOOKUP($A160,'F TrB'!$C$3:$O$21,3,FALSE),-9999)</f>
        <v>55</v>
      </c>
      <c r="AQ160" s="281">
        <f t="shared" si="102"/>
        <v>1.4</v>
      </c>
      <c r="AR160" s="281">
        <f>IFERROR(IF(VLOOKUP($A160,'F TrB'!$Q$3:$R$21,2,FALSE)=0,-99999,VLOOKUP($A160,'F TrB'!$Q$3:$R$21,2,FALSE)),-99999)</f>
        <v>-99999</v>
      </c>
      <c r="AS160" s="281">
        <f t="shared" si="103"/>
        <v>-99999</v>
      </c>
      <c r="AT160" s="281" t="str">
        <f>IFERROR(VLOOKUP($A160,'NDVI tipo'!$Q$8:$S$30,2,FALSE),"")</f>
        <v/>
      </c>
      <c r="AU160" s="281">
        <f>IF(ISERROR(VLOOKUP($A160,'NDVI tipo'!$Q$8:$S$50,2,FALSE)),AU159+VLOOKUP($A160,'NDVI tipo'!$Q$8:$S$50,3,TRUE),VLOOKUP($A160,'NDVI tipo'!$Q$8:$S$50,2,FALSE))</f>
        <v>0.80484800000000001</v>
      </c>
      <c r="AV160" s="281">
        <f>IFERROR(VLOOKUP($A160,'NDVI real'!$Q$8:$S$44,2,FALSE),-999)</f>
        <v>-999</v>
      </c>
      <c r="AW160" s="281">
        <f>IF(ISERROR(VLOOKUP($A160,'NDVI real'!$T$8:$U$350,2,FALSE)),"",VLOOKUP($A160,'NDVI real'!$T$8:$U$350,2,FALSE))</f>
        <v>0.87773148083333352</v>
      </c>
      <c r="AX160" s="286">
        <f>IFERROR(VLOOKUP($A160,SWB!$C$15:$BE$244,53,FALSE),"")</f>
        <v>5.874874026906852</v>
      </c>
      <c r="AY160" s="286">
        <f>IFERROR(VLOOKUP($A160,SWB!$C$15:$BE$244,55,FALSE),"")</f>
        <v>1.5304683036995925</v>
      </c>
      <c r="AZ160" s="281">
        <f>IF(ISERROR(VLOOKUP($A160,Clima!$V$8:$AI$320,14,FALSE)),-999,VLOOKUP(A160,Clima!$V$8:$AI$219,14,FALSE))</f>
        <v>6.2</v>
      </c>
      <c r="BA160" s="281">
        <f t="shared" si="111"/>
        <v>308.90000000000003</v>
      </c>
      <c r="BB160" s="281">
        <f t="shared" si="104"/>
        <v>6.2</v>
      </c>
      <c r="BC160" s="281">
        <f t="shared" si="112"/>
        <v>308.90000000000003</v>
      </c>
      <c r="BD160" s="284">
        <f t="shared" si="126"/>
        <v>42131</v>
      </c>
    </row>
    <row r="161" spans="1:56" s="275" customFormat="1" ht="12.75">
      <c r="A161" s="273">
        <f t="shared" si="105"/>
        <v>42132</v>
      </c>
      <c r="B161" s="274">
        <f t="shared" si="115"/>
        <v>128</v>
      </c>
      <c r="C161" s="275" t="str">
        <f t="shared" si="116"/>
        <v>Mediados</v>
      </c>
      <c r="D161" s="276">
        <f t="shared" si="117"/>
        <v>5.6</v>
      </c>
      <c r="E161" s="276">
        <f t="shared" si="118"/>
        <v>1.1499999999999999</v>
      </c>
      <c r="F161" s="276"/>
      <c r="G161" s="276">
        <f t="shared" si="119"/>
        <v>0.05</v>
      </c>
      <c r="H161" s="276">
        <f t="shared" si="120"/>
        <v>1.1499999999999999</v>
      </c>
      <c r="I161" s="276">
        <f t="shared" si="121"/>
        <v>4.83</v>
      </c>
      <c r="J161" s="276">
        <f>IFERROR(IF($G$1="Sí",VLOOKUP($A161,CSVAgro,13,FALSE),VLOOKUP($A161,SWB!$C$15:$P$202,14,FALSE)),0)</f>
        <v>0</v>
      </c>
      <c r="K161" s="487">
        <f t="shared" si="122"/>
        <v>0</v>
      </c>
      <c r="L161" s="487">
        <f t="shared" si="89"/>
        <v>0</v>
      </c>
      <c r="M161" s="487">
        <f t="shared" si="90"/>
        <v>0</v>
      </c>
      <c r="N161" s="277">
        <f>IF(ISERROR($G$1="Sí"),VLOOKUP($A161,CSVAgro,16,FALSE),IF(ISERROR(VLOOKUP($A161,Clima!$W$8:$Z$284,2,FALSE)),VLOOKUP($A161,Clima!$E$8:$H$372,2,FALSE),VLOOKUP($A161,Clima!$W$8:$Z$284,2,FALSE)))</f>
        <v>16.8</v>
      </c>
      <c r="O161" s="276">
        <f t="shared" si="123"/>
        <v>235.49272565358291</v>
      </c>
      <c r="P161" s="276">
        <f t="shared" si="106"/>
        <v>106.50000000000001</v>
      </c>
      <c r="Q161" s="487">
        <f t="shared" si="92"/>
        <v>115</v>
      </c>
      <c r="R161" s="278">
        <f t="shared" si="107"/>
        <v>16.8</v>
      </c>
      <c r="S161" s="278">
        <f t="shared" si="98"/>
        <v>16.8</v>
      </c>
      <c r="T161" s="279">
        <f t="shared" si="93"/>
        <v>128</v>
      </c>
      <c r="U161" s="279">
        <f t="shared" si="113"/>
        <v>19</v>
      </c>
      <c r="V161" s="276">
        <f t="shared" si="99"/>
        <v>0</v>
      </c>
      <c r="W161" s="276">
        <f>IF(AND(S161&gt;VLOOKUP(Inputs!$I$2,Extracciones,3),S161&lt;VLOOKUP(Inputs!$I$2,Extracciones,5)),(S161-VLOOKUP(Inputs!$I$2,Extracciones,3))*Inputs!$E$12,0)</f>
        <v>0</v>
      </c>
      <c r="X161" s="278">
        <f>IF(AD161=0,VLOOKUP(R161,Mineral,2)*R161*Inputs!$C$16*Inputs!$E$37,VLOOKUP(R161,Mineral,2)*R161*Inputs!$C$16)</f>
        <v>1.1759999999999999</v>
      </c>
      <c r="Y161" s="278">
        <f>SUM(K161,M161)*Inputs!$O$8*14/(100*62)</f>
        <v>0</v>
      </c>
      <c r="Z161" s="278">
        <f t="shared" si="108"/>
        <v>0</v>
      </c>
      <c r="AA161" s="278">
        <f t="shared" si="109"/>
        <v>0</v>
      </c>
      <c r="AB161" s="279">
        <f t="shared" si="124"/>
        <v>0</v>
      </c>
      <c r="AC161" s="278">
        <f t="shared" si="127"/>
        <v>0</v>
      </c>
      <c r="AD161" s="279">
        <f t="shared" si="95"/>
        <v>-4.2768000000000015</v>
      </c>
      <c r="AE161" s="278">
        <f t="shared" si="100"/>
        <v>-196.2873000000001</v>
      </c>
      <c r="AF161" s="278">
        <f t="shared" si="114"/>
        <v>69.54018573478325</v>
      </c>
      <c r="AG161" s="279">
        <f t="shared" si="125"/>
        <v>40</v>
      </c>
      <c r="AH161" s="279">
        <f>AF161*1000000/(Inputs!$C$9*100*Inputs!$C$8*1000*(1-Inputs!$C$10)*(1+Inputs!$C$12))</f>
        <v>13.913602587991846</v>
      </c>
      <c r="AI161" s="279">
        <f>IFERROR(HLOOKUP(A161,Inputs!$C$14:$C$15,2,FALSE),-100)</f>
        <v>-100</v>
      </c>
      <c r="AJ161" s="281">
        <f t="shared" si="101"/>
        <v>0</v>
      </c>
      <c r="AK161" s="282">
        <f t="shared" si="128"/>
        <v>20.161000000000001</v>
      </c>
      <c r="AL161" s="282">
        <f t="shared" si="129"/>
        <v>7.7903225806451637</v>
      </c>
      <c r="AM161" s="282">
        <f t="shared" si="130"/>
        <v>-1.9838368458620446</v>
      </c>
      <c r="AN161" s="283">
        <f>IFERROR(IF($G$1="Sí",VLOOKUP($A161,CSVAgro,9,FALSE),VLOOKUP($A161,Clima!$E$8:$Q$373,13,FALSE)),0)</f>
        <v>1.8</v>
      </c>
      <c r="AO161" s="281">
        <f t="shared" si="110"/>
        <v>284.50000000000006</v>
      </c>
      <c r="AP161" s="281">
        <f>IFERROR(VLOOKUP($A161,'F TrB'!$C$3:$O$21,3,FALSE),-9999)</f>
        <v>-9999</v>
      </c>
      <c r="AQ161" s="281">
        <f t="shared" si="102"/>
        <v>-999</v>
      </c>
      <c r="AR161" s="281">
        <f>IFERROR(IF(VLOOKUP($A161,'F TrB'!$Q$3:$R$21,2,FALSE)=0,-99999,VLOOKUP($A161,'F TrB'!$Q$3:$R$21,2,FALSE)),-99999)</f>
        <v>-99999</v>
      </c>
      <c r="AS161" s="281">
        <f t="shared" si="103"/>
        <v>-99999</v>
      </c>
      <c r="AT161" s="281" t="str">
        <f>IFERROR(VLOOKUP($A161,'NDVI tipo'!$Q$8:$S$30,2,FALSE),"")</f>
        <v/>
      </c>
      <c r="AU161" s="281">
        <f>IF(ISERROR(VLOOKUP($A161,'NDVI tipo'!$Q$8:$S$50,2,FALSE)),AU160+VLOOKUP($A161,'NDVI tipo'!$Q$8:$S$50,3,TRUE),VLOOKUP($A161,'NDVI tipo'!$Q$8:$S$50,2,FALSE))</f>
        <v>0.80662699999999998</v>
      </c>
      <c r="AV161" s="281">
        <f>IFERROR(VLOOKUP($A161,'NDVI real'!$Q$8:$S$44,2,FALSE),-999)</f>
        <v>-999</v>
      </c>
      <c r="AW161" s="281">
        <f>IF(ISERROR(VLOOKUP($A161,'NDVI real'!$T$8:$U$350,2,FALSE)),"",VLOOKUP($A161,'NDVI real'!$T$8:$U$350,2,FALSE))</f>
        <v>0.8781790116666669</v>
      </c>
      <c r="AX161" s="286">
        <f>IFERROR(VLOOKUP($A161,SWB!$C$15:$BE$244,53,FALSE),"")</f>
        <v>5.9553173601668519</v>
      </c>
      <c r="AY161" s="286">
        <f>IFERROR(VLOOKUP($A161,SWB!$C$15:$BE$244,55,FALSE),"")</f>
        <v>1.0946444194866842</v>
      </c>
      <c r="AZ161" s="281">
        <f>IF(ISERROR(VLOOKUP($A161,Clima!$V$8:$AI$320,14,FALSE)),-999,VLOOKUP(A161,Clima!$V$8:$AI$219,14,FALSE))</f>
        <v>5.6</v>
      </c>
      <c r="BA161" s="281">
        <f t="shared" si="111"/>
        <v>314.50000000000006</v>
      </c>
      <c r="BB161" s="281">
        <f t="shared" si="104"/>
        <v>5.6</v>
      </c>
      <c r="BC161" s="281">
        <f t="shared" si="112"/>
        <v>314.50000000000006</v>
      </c>
      <c r="BD161" s="284">
        <f t="shared" si="126"/>
        <v>42132</v>
      </c>
    </row>
    <row r="162" spans="1:56" s="275" customFormat="1" ht="12.75">
      <c r="A162" s="273">
        <f t="shared" si="105"/>
        <v>42133</v>
      </c>
      <c r="B162" s="274">
        <f t="shared" si="115"/>
        <v>129</v>
      </c>
      <c r="C162" s="275" t="str">
        <f t="shared" si="116"/>
        <v>Mediados</v>
      </c>
      <c r="D162" s="276">
        <f t="shared" si="117"/>
        <v>5.4</v>
      </c>
      <c r="E162" s="276">
        <f t="shared" si="118"/>
        <v>1.1499999999999999</v>
      </c>
      <c r="F162" s="276"/>
      <c r="G162" s="276">
        <f t="shared" si="119"/>
        <v>0.05</v>
      </c>
      <c r="H162" s="276">
        <f t="shared" si="120"/>
        <v>1.1499999999999999</v>
      </c>
      <c r="I162" s="276">
        <f t="shared" si="121"/>
        <v>5.8650000000000002</v>
      </c>
      <c r="J162" s="276">
        <f>IFERROR(IF($G$1="Sí",VLOOKUP($A162,CSVAgro,13,FALSE),VLOOKUP($A162,SWB!$C$15:$P$202,14,FALSE)),0)</f>
        <v>0</v>
      </c>
      <c r="K162" s="487">
        <f t="shared" si="122"/>
        <v>0</v>
      </c>
      <c r="L162" s="487">
        <f t="shared" si="89"/>
        <v>0</v>
      </c>
      <c r="M162" s="487">
        <f t="shared" si="90"/>
        <v>0</v>
      </c>
      <c r="N162" s="277">
        <f>IF(ISERROR($G$1="Sí"),VLOOKUP($A162,CSVAgro,16,FALSE),IF(ISERROR(VLOOKUP($A162,Clima!$W$8:$Z$284,2,FALSE)),VLOOKUP($A162,Clima!$E$8:$H$372,2,FALSE),VLOOKUP($A162,Clima!$W$8:$Z$284,2,FALSE)))</f>
        <v>18.600000000000001</v>
      </c>
      <c r="O162" s="276">
        <f t="shared" si="123"/>
        <v>237.75839532925542</v>
      </c>
      <c r="P162" s="276">
        <f t="shared" si="106"/>
        <v>106.50000000000001</v>
      </c>
      <c r="Q162" s="487">
        <f t="shared" si="92"/>
        <v>115</v>
      </c>
      <c r="R162" s="278">
        <f t="shared" si="107"/>
        <v>18.600000000000001</v>
      </c>
      <c r="S162" s="278">
        <f t="shared" si="98"/>
        <v>18.600000000000001</v>
      </c>
      <c r="T162" s="279">
        <f t="shared" si="93"/>
        <v>129</v>
      </c>
      <c r="U162" s="279">
        <f t="shared" si="113"/>
        <v>19</v>
      </c>
      <c r="V162" s="276">
        <f t="shared" si="99"/>
        <v>0</v>
      </c>
      <c r="W162" s="276">
        <f>IF(AND(S162&gt;VLOOKUP(Inputs!$I$2,Extracciones,3),S162&lt;VLOOKUP(Inputs!$I$2,Extracciones,5)),(S162-VLOOKUP(Inputs!$I$2,Extracciones,3))*Inputs!$E$12,0)</f>
        <v>0</v>
      </c>
      <c r="X162" s="278">
        <f>IF(AD162=0,VLOOKUP(R162,Mineral,2)*R162*Inputs!$C$16*Inputs!$E$37,VLOOKUP(R162,Mineral,2)*R162*Inputs!$C$16)</f>
        <v>1.6740000000000004</v>
      </c>
      <c r="Y162" s="278">
        <f>SUM(K162,M162)*Inputs!$O$8*14/(100*62)</f>
        <v>0</v>
      </c>
      <c r="Z162" s="278">
        <f t="shared" si="108"/>
        <v>0</v>
      </c>
      <c r="AA162" s="278">
        <f t="shared" si="109"/>
        <v>0</v>
      </c>
      <c r="AB162" s="279">
        <f t="shared" si="124"/>
        <v>0</v>
      </c>
      <c r="AC162" s="278">
        <f t="shared" si="127"/>
        <v>0</v>
      </c>
      <c r="AD162" s="279">
        <f t="shared" si="95"/>
        <v>-4.2768000000000015</v>
      </c>
      <c r="AE162" s="278">
        <f t="shared" si="100"/>
        <v>-200.56410000000011</v>
      </c>
      <c r="AF162" s="278">
        <f t="shared" si="114"/>
        <v>66.937385734783248</v>
      </c>
      <c r="AG162" s="279">
        <f t="shared" si="125"/>
        <v>40</v>
      </c>
      <c r="AH162" s="279">
        <f>AF162*1000000/(Inputs!$C$9*100*Inputs!$C$8*1000*(1-Inputs!$C$10)*(1+Inputs!$C$12))</f>
        <v>13.392834280668916</v>
      </c>
      <c r="AI162" s="279">
        <f>IFERROR(HLOOKUP(A162,Inputs!$C$14:$C$15,2,FALSE),-100)</f>
        <v>-100</v>
      </c>
      <c r="AJ162" s="281">
        <f t="shared" si="101"/>
        <v>0</v>
      </c>
      <c r="AK162" s="282">
        <f t="shared" si="128"/>
        <v>21.835000000000001</v>
      </c>
      <c r="AL162" s="282">
        <f t="shared" si="129"/>
        <v>7.7903225806451637</v>
      </c>
      <c r="AM162" s="282">
        <f t="shared" si="130"/>
        <v>-1.9838368458620446</v>
      </c>
      <c r="AN162" s="283">
        <f>IFERROR(IF($G$1="Sí",VLOOKUP($A162,CSVAgro,9,FALSE),VLOOKUP($A162,Clima!$E$8:$Q$373,13,FALSE)),0)</f>
        <v>2</v>
      </c>
      <c r="AO162" s="281">
        <f t="shared" si="110"/>
        <v>286.50000000000006</v>
      </c>
      <c r="AP162" s="281">
        <f>IFERROR(VLOOKUP($A162,'F TrB'!$C$3:$O$21,3,FALSE),-9999)</f>
        <v>-9999</v>
      </c>
      <c r="AQ162" s="281">
        <f t="shared" si="102"/>
        <v>-999</v>
      </c>
      <c r="AR162" s="281">
        <f>IFERROR(IF(VLOOKUP($A162,'F TrB'!$Q$3:$R$21,2,FALSE)=0,-99999,VLOOKUP($A162,'F TrB'!$Q$3:$R$21,2,FALSE)),-99999)</f>
        <v>-99999</v>
      </c>
      <c r="AS162" s="281">
        <f t="shared" si="103"/>
        <v>-99999</v>
      </c>
      <c r="AT162" s="281" t="str">
        <f>IFERROR(VLOOKUP($A162,'NDVI tipo'!$Q$8:$S$30,2,FALSE),"")</f>
        <v/>
      </c>
      <c r="AU162" s="281">
        <f>IF(ISERROR(VLOOKUP($A162,'NDVI tipo'!$Q$8:$S$50,2,FALSE)),AU161+VLOOKUP($A162,'NDVI tipo'!$Q$8:$S$50,3,TRUE),VLOOKUP($A162,'NDVI tipo'!$Q$8:$S$50,2,FALSE))</f>
        <v>0.80840599999999996</v>
      </c>
      <c r="AV162" s="281">
        <f>IFERROR(VLOOKUP($A162,'NDVI real'!$Q$8:$S$44,2,FALSE),-999)</f>
        <v>-999</v>
      </c>
      <c r="AW162" s="281">
        <f>IF(ISERROR(VLOOKUP($A162,'NDVI real'!$T$8:$U$350,2,FALSE)),"",VLOOKUP($A162,'NDVI real'!$T$8:$U$350,2,FALSE))</f>
        <v>0.87862654250000027</v>
      </c>
      <c r="AX162" s="286">
        <f>IFERROR(VLOOKUP($A162,SWB!$C$15:$BE$244,53,FALSE),"")</f>
        <v>6.044752545266852</v>
      </c>
      <c r="AY162" s="286">
        <f>IFERROR(VLOOKUP($A162,SWB!$C$15:$BE$244,55,FALSE),"")</f>
        <v>1.2093582811352235</v>
      </c>
      <c r="AZ162" s="281">
        <f>IF(ISERROR(VLOOKUP($A162,Clima!$V$8:$AI$320,14,FALSE)),-999,VLOOKUP(A162,Clima!$V$8:$AI$219,14,FALSE))</f>
        <v>5.4</v>
      </c>
      <c r="BA162" s="281">
        <f t="shared" si="111"/>
        <v>319.90000000000003</v>
      </c>
      <c r="BB162" s="281">
        <f t="shared" si="104"/>
        <v>5.4</v>
      </c>
      <c r="BC162" s="281">
        <f t="shared" si="112"/>
        <v>319.90000000000003</v>
      </c>
      <c r="BD162" s="284">
        <f t="shared" si="126"/>
        <v>42133</v>
      </c>
    </row>
    <row r="163" spans="1:56" s="275" customFormat="1" ht="12.75">
      <c r="A163" s="273">
        <f t="shared" si="105"/>
        <v>42134</v>
      </c>
      <c r="B163" s="274">
        <f t="shared" si="115"/>
        <v>130</v>
      </c>
      <c r="C163" s="275" t="str">
        <f t="shared" si="116"/>
        <v>Mediados</v>
      </c>
      <c r="D163" s="276">
        <f t="shared" si="117"/>
        <v>6.1</v>
      </c>
      <c r="E163" s="276">
        <f t="shared" si="118"/>
        <v>1.1499999999999999</v>
      </c>
      <c r="F163" s="276"/>
      <c r="G163" s="276">
        <f t="shared" si="119"/>
        <v>7.2120000000000004E-2</v>
      </c>
      <c r="H163" s="276">
        <f t="shared" si="120"/>
        <v>1.1721200000000001</v>
      </c>
      <c r="I163" s="276">
        <f t="shared" si="121"/>
        <v>7.2671460000000003</v>
      </c>
      <c r="J163" s="276">
        <f>IFERROR(IF($G$1="Sí",VLOOKUP($A163,CSVAgro,13,FALSE),VLOOKUP($A163,SWB!$C$15:$P$202,14,FALSE)),0)</f>
        <v>0</v>
      </c>
      <c r="K163" s="487">
        <f t="shared" si="122"/>
        <v>0</v>
      </c>
      <c r="L163" s="487">
        <f t="shared" si="89"/>
        <v>0</v>
      </c>
      <c r="M163" s="487">
        <f t="shared" si="90"/>
        <v>0</v>
      </c>
      <c r="N163" s="277">
        <f>IF(ISERROR($G$1="Sí"),VLOOKUP($A163,CSVAgro,16,FALSE),IF(ISERROR(VLOOKUP($A163,Clima!$W$8:$Z$284,2,FALSE)),VLOOKUP($A163,Clima!$E$8:$H$372,2,FALSE),VLOOKUP($A163,Clima!$W$8:$Z$284,2,FALSE)))</f>
        <v>19.5</v>
      </c>
      <c r="O163" s="276">
        <f t="shared" si="123"/>
        <v>240.36409919006243</v>
      </c>
      <c r="P163" s="276">
        <f t="shared" si="106"/>
        <v>106.50000000000001</v>
      </c>
      <c r="Q163" s="487">
        <f t="shared" si="92"/>
        <v>115</v>
      </c>
      <c r="R163" s="278">
        <f t="shared" si="107"/>
        <v>19.5</v>
      </c>
      <c r="S163" s="278">
        <f t="shared" si="98"/>
        <v>19.5</v>
      </c>
      <c r="T163" s="279">
        <f t="shared" si="93"/>
        <v>130</v>
      </c>
      <c r="U163" s="279">
        <f t="shared" si="113"/>
        <v>19</v>
      </c>
      <c r="V163" s="276">
        <f t="shared" si="99"/>
        <v>0</v>
      </c>
      <c r="W163" s="276">
        <f>IF(AND(S163&gt;VLOOKUP(Inputs!$I$2,Extracciones,3),S163&lt;VLOOKUP(Inputs!$I$2,Extracciones,5)),(S163-VLOOKUP(Inputs!$I$2,Extracciones,3))*Inputs!$E$12,0)</f>
        <v>0</v>
      </c>
      <c r="X163" s="278">
        <f>IF(AD163=0,VLOOKUP(R163,Mineral,2)*R163*Inputs!$C$16*Inputs!$E$37,VLOOKUP(R163,Mineral,2)*R163*Inputs!$C$16)</f>
        <v>1.9500000000000002</v>
      </c>
      <c r="Y163" s="278">
        <f>SUM(K163,M163)*Inputs!$O$8*14/(100*62)</f>
        <v>0</v>
      </c>
      <c r="Z163" s="278">
        <f t="shared" si="108"/>
        <v>0</v>
      </c>
      <c r="AA163" s="278">
        <f t="shared" si="109"/>
        <v>0</v>
      </c>
      <c r="AB163" s="279">
        <f t="shared" si="124"/>
        <v>0</v>
      </c>
      <c r="AC163" s="278">
        <f t="shared" si="127"/>
        <v>0</v>
      </c>
      <c r="AD163" s="279">
        <f t="shared" si="95"/>
        <v>-4.2768000000000015</v>
      </c>
      <c r="AE163" s="278">
        <f t="shared" si="100"/>
        <v>-204.84090000000012</v>
      </c>
      <c r="AF163" s="278">
        <f t="shared" si="114"/>
        <v>64.610585734783257</v>
      </c>
      <c r="AG163" s="279">
        <f t="shared" si="125"/>
        <v>40</v>
      </c>
      <c r="AH163" s="279">
        <f>AF163*1000000/(Inputs!$C$9*100*Inputs!$C$8*1000*(1-Inputs!$C$10)*(1+Inputs!$C$12))</f>
        <v>12.927288062181523</v>
      </c>
      <c r="AI163" s="279">
        <f>IFERROR(HLOOKUP(A163,Inputs!$C$14:$C$15,2,FALSE),-100)</f>
        <v>-100</v>
      </c>
      <c r="AJ163" s="281">
        <f t="shared" si="101"/>
        <v>0</v>
      </c>
      <c r="AK163" s="282">
        <f t="shared" si="128"/>
        <v>23.785</v>
      </c>
      <c r="AL163" s="282">
        <f t="shared" si="129"/>
        <v>7.7903225806451637</v>
      </c>
      <c r="AM163" s="282">
        <f t="shared" si="130"/>
        <v>-1.9838368458620446</v>
      </c>
      <c r="AN163" s="283">
        <f>IFERROR(IF($G$1="Sí",VLOOKUP($A163,CSVAgro,9,FALSE),VLOOKUP($A163,Clima!$E$8:$Q$373,13,FALSE)),0)</f>
        <v>2.2999999999999998</v>
      </c>
      <c r="AO163" s="281">
        <f t="shared" si="110"/>
        <v>288.80000000000007</v>
      </c>
      <c r="AP163" s="281">
        <f>IFERROR(VLOOKUP($A163,'F TrB'!$C$3:$O$21,3,FALSE),-9999)</f>
        <v>59</v>
      </c>
      <c r="AQ163" s="281">
        <f t="shared" si="102"/>
        <v>1.4</v>
      </c>
      <c r="AR163" s="281">
        <f>IFERROR(IF(VLOOKUP($A163,'F TrB'!$Q$3:$R$21,2,FALSE)=0,-99999,VLOOKUP($A163,'F TrB'!$Q$3:$R$21,2,FALSE)),-99999)</f>
        <v>-99999</v>
      </c>
      <c r="AS163" s="281">
        <f t="shared" si="103"/>
        <v>-99999</v>
      </c>
      <c r="AT163" s="281" t="str">
        <f>IFERROR(VLOOKUP($A163,'NDVI tipo'!$Q$8:$S$30,2,FALSE),"")</f>
        <v/>
      </c>
      <c r="AU163" s="281">
        <f>IF(ISERROR(VLOOKUP($A163,'NDVI tipo'!$Q$8:$S$50,2,FALSE)),AU162+VLOOKUP($A163,'NDVI tipo'!$Q$8:$S$50,3,TRUE),VLOOKUP($A163,'NDVI tipo'!$Q$8:$S$50,2,FALSE))</f>
        <v>0.81018499999999993</v>
      </c>
      <c r="AV163" s="281">
        <f>IFERROR(VLOOKUP($A163,'NDVI real'!$Q$8:$S$44,2,FALSE),-999)</f>
        <v>-999</v>
      </c>
      <c r="AW163" s="281">
        <f>IF(ISERROR(VLOOKUP($A163,'NDVI real'!$T$8:$U$350,2,FALSE)),"",VLOOKUP($A163,'NDVI real'!$T$8:$U$350,2,FALSE))</f>
        <v>0.87907407333333365</v>
      </c>
      <c r="AX163" s="286">
        <f>IFERROR(VLOOKUP($A163,SWB!$C$15:$BE$244,53,FALSE),"")</f>
        <v>6.1476647673868516</v>
      </c>
      <c r="AY163" s="286">
        <f>IFERROR(VLOOKUP($A163,SWB!$C$15:$BE$244,55,FALSE),"")</f>
        <v>1.3818527963420024</v>
      </c>
      <c r="AZ163" s="281">
        <f>IF(ISERROR(VLOOKUP($A163,Clima!$V$8:$AI$320,14,FALSE)),-999,VLOOKUP(A163,Clima!$V$8:$AI$219,14,FALSE))</f>
        <v>6.1</v>
      </c>
      <c r="BA163" s="281">
        <f t="shared" si="111"/>
        <v>326.00000000000006</v>
      </c>
      <c r="BB163" s="281">
        <f t="shared" si="104"/>
        <v>6.1</v>
      </c>
      <c r="BC163" s="281">
        <f t="shared" si="112"/>
        <v>326.00000000000006</v>
      </c>
      <c r="BD163" s="284">
        <f t="shared" si="126"/>
        <v>42134</v>
      </c>
    </row>
    <row r="164" spans="1:56" s="275" customFormat="1" ht="12.75">
      <c r="A164" s="273">
        <f t="shared" si="105"/>
        <v>42135</v>
      </c>
      <c r="B164" s="274">
        <f t="shared" si="115"/>
        <v>131</v>
      </c>
      <c r="C164" s="275" t="str">
        <f t="shared" si="116"/>
        <v>Mediados</v>
      </c>
      <c r="D164" s="276">
        <f t="shared" si="117"/>
        <v>6.8</v>
      </c>
      <c r="E164" s="276">
        <f t="shared" si="118"/>
        <v>1.1499999999999999</v>
      </c>
      <c r="F164" s="276"/>
      <c r="G164" s="276">
        <f t="shared" si="119"/>
        <v>0.05</v>
      </c>
      <c r="H164" s="276">
        <f t="shared" si="120"/>
        <v>1.1499999999999999</v>
      </c>
      <c r="I164" s="276">
        <f t="shared" si="121"/>
        <v>6.44</v>
      </c>
      <c r="J164" s="276">
        <f>IFERROR(IF($G$1="Sí",VLOOKUP($A164,CSVAgro,13,FALSE),VLOOKUP($A164,SWB!$C$15:$P$202,14,FALSE)),0)</f>
        <v>0</v>
      </c>
      <c r="K164" s="487">
        <f t="shared" si="122"/>
        <v>5</v>
      </c>
      <c r="L164" s="487">
        <f t="shared" si="89"/>
        <v>0</v>
      </c>
      <c r="M164" s="487">
        <f t="shared" si="90"/>
        <v>5</v>
      </c>
      <c r="N164" s="277">
        <f>IF(ISERROR($G$1="Sí"),VLOOKUP($A164,CSVAgro,16,FALSE),IF(ISERROR(VLOOKUP($A164,Clima!$W$8:$Z$284,2,FALSE)),VLOOKUP($A164,Clima!$E$8:$H$372,2,FALSE),VLOOKUP($A164,Clima!$W$8:$Z$284,2,FALSE)))</f>
        <v>19.3</v>
      </c>
      <c r="O164" s="276">
        <f t="shared" si="123"/>
        <v>242.42378549318997</v>
      </c>
      <c r="P164" s="276">
        <f t="shared" si="106"/>
        <v>106.50000000000001</v>
      </c>
      <c r="Q164" s="487">
        <f t="shared" si="92"/>
        <v>115</v>
      </c>
      <c r="R164" s="278">
        <f t="shared" si="107"/>
        <v>19.3</v>
      </c>
      <c r="S164" s="278">
        <f t="shared" si="98"/>
        <v>19.3</v>
      </c>
      <c r="T164" s="279">
        <f t="shared" si="93"/>
        <v>131</v>
      </c>
      <c r="U164" s="279">
        <f t="shared" si="113"/>
        <v>20</v>
      </c>
      <c r="V164" s="276">
        <f t="shared" si="99"/>
        <v>0</v>
      </c>
      <c r="W164" s="276">
        <f>IF(AND(S164&gt;VLOOKUP(Inputs!$I$2,Extracciones,3),S164&lt;VLOOKUP(Inputs!$I$2,Extracciones,5)),(S164-VLOOKUP(Inputs!$I$2,Extracciones,3))*Inputs!$E$12,0)</f>
        <v>0</v>
      </c>
      <c r="X164" s="278">
        <f>IF(AD164=0,VLOOKUP(R164,Mineral,2)*R164*Inputs!$C$16*Inputs!$E$37,VLOOKUP(R164,Mineral,2)*R164*Inputs!$C$16)</f>
        <v>1.9300000000000002</v>
      </c>
      <c r="Y164" s="278">
        <f>SUM(K164,M164)*Inputs!$O$8*14/(100*62)</f>
        <v>0.33870967741935482</v>
      </c>
      <c r="Z164" s="278">
        <f t="shared" si="108"/>
        <v>0</v>
      </c>
      <c r="AA164" s="278">
        <f t="shared" si="109"/>
        <v>0</v>
      </c>
      <c r="AB164" s="279">
        <f t="shared" si="124"/>
        <v>0</v>
      </c>
      <c r="AC164" s="278">
        <f t="shared" si="127"/>
        <v>0</v>
      </c>
      <c r="AD164" s="279">
        <f t="shared" si="95"/>
        <v>-4.8312000000000008</v>
      </c>
      <c r="AE164" s="278">
        <f t="shared" si="100"/>
        <v>-209.67210000000011</v>
      </c>
      <c r="AF164" s="278">
        <f t="shared" si="114"/>
        <v>62.048095412202606</v>
      </c>
      <c r="AG164" s="279">
        <f t="shared" si="125"/>
        <v>40</v>
      </c>
      <c r="AH164" s="279">
        <f>AF164*1000000/(Inputs!$C$9*100*Inputs!$C$8*1000*(1-Inputs!$C$10)*(1+Inputs!$C$12))</f>
        <v>12.414584916407083</v>
      </c>
      <c r="AI164" s="279">
        <f>IFERROR(HLOOKUP(A164,Inputs!$C$14:$C$15,2,FALSE),-100)</f>
        <v>-100</v>
      </c>
      <c r="AJ164" s="281">
        <f t="shared" si="101"/>
        <v>0</v>
      </c>
      <c r="AK164" s="282">
        <f t="shared" si="128"/>
        <v>25.715</v>
      </c>
      <c r="AL164" s="282">
        <f t="shared" si="129"/>
        <v>8.1290322580645178</v>
      </c>
      <c r="AM164" s="282">
        <f t="shared" si="130"/>
        <v>-1.9838368458620446</v>
      </c>
      <c r="AN164" s="283">
        <f>IFERROR(IF($G$1="Sí",VLOOKUP($A164,CSVAgro,9,FALSE),VLOOKUP($A164,Clima!$E$8:$Q$373,13,FALSE)),0)</f>
        <v>1.9</v>
      </c>
      <c r="AO164" s="281">
        <f t="shared" si="110"/>
        <v>290.70000000000005</v>
      </c>
      <c r="AP164" s="281">
        <f>IFERROR(VLOOKUP($A164,'F TrB'!$C$3:$O$21,3,FALSE),-9999)</f>
        <v>-9999</v>
      </c>
      <c r="AQ164" s="281">
        <f t="shared" si="102"/>
        <v>-999</v>
      </c>
      <c r="AR164" s="281">
        <f>IFERROR(IF(VLOOKUP($A164,'F TrB'!$Q$3:$R$21,2,FALSE)=0,-99999,VLOOKUP($A164,'F TrB'!$Q$3:$R$21,2,FALSE)),-99999)</f>
        <v>-99999</v>
      </c>
      <c r="AS164" s="281">
        <f t="shared" si="103"/>
        <v>-99999</v>
      </c>
      <c r="AT164" s="281" t="str">
        <f>IFERROR(VLOOKUP($A164,'NDVI tipo'!$Q$8:$S$30,2,FALSE),"")</f>
        <v/>
      </c>
      <c r="AU164" s="281">
        <f>IF(ISERROR(VLOOKUP($A164,'NDVI tipo'!$Q$8:$S$50,2,FALSE)),AU163+VLOOKUP($A164,'NDVI tipo'!$Q$8:$S$50,3,TRUE),VLOOKUP($A164,'NDVI tipo'!$Q$8:$S$50,2,FALSE))</f>
        <v>0.81196399999999991</v>
      </c>
      <c r="AV164" s="281">
        <f>IFERROR(VLOOKUP($A164,'NDVI real'!$Q$8:$S$44,2,FALSE),-999)</f>
        <v>-999</v>
      </c>
      <c r="AW164" s="281">
        <f>IF(ISERROR(VLOOKUP($A164,'NDVI real'!$T$8:$U$350,2,FALSE)),"",VLOOKUP($A164,'NDVI real'!$T$8:$U$350,2,FALSE))</f>
        <v>0.87952160416666703</v>
      </c>
      <c r="AX164" s="286">
        <f>IFERROR(VLOOKUP($A164,SWB!$C$15:$BE$244,53,FALSE),"")</f>
        <v>6.2327302302618515</v>
      </c>
      <c r="AY164" s="286">
        <f>IFERROR(VLOOKUP($A164,SWB!$C$15:$BE$244,55,FALSE),"")</f>
        <v>1.1345144640052638</v>
      </c>
      <c r="AZ164" s="281">
        <f>IF(ISERROR(VLOOKUP($A164,Clima!$V$8:$AI$320,14,FALSE)),-999,VLOOKUP(A164,Clima!$V$8:$AI$219,14,FALSE))</f>
        <v>6.8</v>
      </c>
      <c r="BA164" s="281">
        <f t="shared" si="111"/>
        <v>332.80000000000007</v>
      </c>
      <c r="BB164" s="281">
        <f t="shared" si="104"/>
        <v>6.8</v>
      </c>
      <c r="BC164" s="281">
        <f t="shared" si="112"/>
        <v>332.80000000000007</v>
      </c>
      <c r="BD164" s="284">
        <f t="shared" si="126"/>
        <v>42135</v>
      </c>
    </row>
    <row r="165" spans="1:56" s="275" customFormat="1" ht="12.75">
      <c r="A165" s="273">
        <f t="shared" si="105"/>
        <v>42136</v>
      </c>
      <c r="B165" s="274">
        <f t="shared" si="115"/>
        <v>132</v>
      </c>
      <c r="C165" s="275" t="str">
        <f t="shared" si="116"/>
        <v>Mediados</v>
      </c>
      <c r="D165" s="276">
        <f t="shared" si="117"/>
        <v>6.2</v>
      </c>
      <c r="E165" s="276">
        <f t="shared" si="118"/>
        <v>1.1499999999999999</v>
      </c>
      <c r="F165" s="276"/>
      <c r="G165" s="276">
        <f t="shared" si="119"/>
        <v>5.0665000000000002E-2</v>
      </c>
      <c r="H165" s="276">
        <f t="shared" si="120"/>
        <v>1.150665</v>
      </c>
      <c r="I165" s="276">
        <f t="shared" si="121"/>
        <v>6.3286579999999999</v>
      </c>
      <c r="J165" s="276">
        <f>IFERROR(IF($G$1="Sí",VLOOKUP($A165,CSVAgro,13,FALSE),VLOOKUP($A165,SWB!$C$15:$P$202,14,FALSE)),0)</f>
        <v>0</v>
      </c>
      <c r="K165" s="487">
        <f t="shared" si="122"/>
        <v>5</v>
      </c>
      <c r="L165" s="487">
        <f t="shared" si="89"/>
        <v>0</v>
      </c>
      <c r="M165" s="487">
        <f t="shared" si="90"/>
        <v>5</v>
      </c>
      <c r="N165" s="277">
        <f>IF(ISERROR($G$1="Sí"),VLOOKUP($A165,CSVAgro,16,FALSE),IF(ISERROR(VLOOKUP($A165,Clima!$W$8:$Z$284,2,FALSE)),VLOOKUP($A165,Clima!$E$8:$H$372,2,FALSE),VLOOKUP($A165,Clima!$W$8:$Z$284,2,FALSE)))</f>
        <v>22.2</v>
      </c>
      <c r="O165" s="276">
        <f t="shared" si="123"/>
        <v>246.88310792281234</v>
      </c>
      <c r="P165" s="276">
        <f t="shared" si="106"/>
        <v>106.50000000000001</v>
      </c>
      <c r="Q165" s="487">
        <f t="shared" si="92"/>
        <v>120</v>
      </c>
      <c r="R165" s="278">
        <f t="shared" si="107"/>
        <v>22.2</v>
      </c>
      <c r="S165" s="278">
        <f t="shared" si="98"/>
        <v>22.2</v>
      </c>
      <c r="T165" s="279">
        <f t="shared" si="93"/>
        <v>132</v>
      </c>
      <c r="U165" s="279">
        <f t="shared" si="113"/>
        <v>20</v>
      </c>
      <c r="V165" s="276">
        <f t="shared" si="99"/>
        <v>0</v>
      </c>
      <c r="W165" s="276">
        <f>IF(AND(S165&gt;VLOOKUP(Inputs!$I$2,Extracciones,3),S165&lt;VLOOKUP(Inputs!$I$2,Extracciones,5)),(S165-VLOOKUP(Inputs!$I$2,Extracciones,3))*Inputs!$E$12,0)</f>
        <v>0</v>
      </c>
      <c r="X165" s="278">
        <f>IF(AD165=0,VLOOKUP(R165,Mineral,2)*R165*Inputs!$C$16*Inputs!$E$37,VLOOKUP(R165,Mineral,2)*R165*Inputs!$C$16)</f>
        <v>2.2200000000000002</v>
      </c>
      <c r="Y165" s="278">
        <f>SUM(K165,M165)*Inputs!$O$8*14/(100*62)</f>
        <v>0.33870967741935482</v>
      </c>
      <c r="Z165" s="278">
        <f t="shared" si="108"/>
        <v>0</v>
      </c>
      <c r="AA165" s="278">
        <f t="shared" si="109"/>
        <v>0</v>
      </c>
      <c r="AB165" s="279">
        <f t="shared" si="124"/>
        <v>0</v>
      </c>
      <c r="AC165" s="278">
        <f t="shared" si="127"/>
        <v>0</v>
      </c>
      <c r="AD165" s="279">
        <f t="shared" si="95"/>
        <v>-4.8312000000000008</v>
      </c>
      <c r="AE165" s="278">
        <f t="shared" si="100"/>
        <v>-214.50330000000011</v>
      </c>
      <c r="AF165" s="278">
        <f t="shared" si="114"/>
        <v>59.775605089621955</v>
      </c>
      <c r="AG165" s="279">
        <f t="shared" si="125"/>
        <v>40</v>
      </c>
      <c r="AH165" s="279">
        <f>AF165*1000000/(Inputs!$C$9*100*Inputs!$C$8*1000*(1-Inputs!$C$10)*(1+Inputs!$C$12))</f>
        <v>11.959904979916358</v>
      </c>
      <c r="AI165" s="279">
        <f>IFERROR(HLOOKUP(A165,Inputs!$C$14:$C$15,2,FALSE),-100)</f>
        <v>-100</v>
      </c>
      <c r="AJ165" s="281">
        <f t="shared" si="101"/>
        <v>0</v>
      </c>
      <c r="AK165" s="282">
        <f t="shared" si="128"/>
        <v>27.934999999999999</v>
      </c>
      <c r="AL165" s="282">
        <f t="shared" si="129"/>
        <v>8.4677419354838719</v>
      </c>
      <c r="AM165" s="282">
        <f t="shared" si="130"/>
        <v>-1.9838368458620446</v>
      </c>
      <c r="AN165" s="283">
        <f>IFERROR(IF($G$1="Sí",VLOOKUP($A165,CSVAgro,9,FALSE),VLOOKUP($A165,Clima!$E$8:$Q$373,13,FALSE)),0)</f>
        <v>4</v>
      </c>
      <c r="AO165" s="281">
        <f t="shared" si="110"/>
        <v>294.70000000000005</v>
      </c>
      <c r="AP165" s="281">
        <f>IFERROR(VLOOKUP($A165,'F TrB'!$C$3:$O$21,3,FALSE),-9999)</f>
        <v>-9999</v>
      </c>
      <c r="AQ165" s="281">
        <f t="shared" si="102"/>
        <v>-999</v>
      </c>
      <c r="AR165" s="281">
        <f>IFERROR(IF(VLOOKUP($A165,'F TrB'!$Q$3:$R$21,2,FALSE)=0,-99999,VLOOKUP($A165,'F TrB'!$Q$3:$R$21,2,FALSE)),-99999)</f>
        <v>-99999</v>
      </c>
      <c r="AS165" s="281">
        <f t="shared" si="103"/>
        <v>-99999</v>
      </c>
      <c r="AT165" s="281" t="str">
        <f>IFERROR(VLOOKUP($A165,'NDVI tipo'!$Q$8:$S$30,2,FALSE),"")</f>
        <v/>
      </c>
      <c r="AU165" s="281">
        <f>IF(ISERROR(VLOOKUP($A165,'NDVI tipo'!$Q$8:$S$50,2,FALSE)),AU164+VLOOKUP($A165,'NDVI tipo'!$Q$8:$S$50,3,TRUE),VLOOKUP($A165,'NDVI tipo'!$Q$8:$S$50,2,FALSE))</f>
        <v>0.81374299999999988</v>
      </c>
      <c r="AV165" s="281">
        <f>IFERROR(VLOOKUP($A165,'NDVI real'!$Q$8:$S$44,2,FALSE),-999)</f>
        <v>-999</v>
      </c>
      <c r="AW165" s="281">
        <f>IF(ISERROR(VLOOKUP($A165,'NDVI real'!$T$8:$U$350,2,FALSE)),"",VLOOKUP($A165,'NDVI real'!$T$8:$U$350,2,FALSE))</f>
        <v>0.8799691350000004</v>
      </c>
      <c r="AX165" s="286">
        <f>IFERROR(VLOOKUP($A165,SWB!$C$15:$BE$244,53,FALSE),"")</f>
        <v>6.4119228226618512</v>
      </c>
      <c r="AY165" s="286">
        <f>IFERROR(VLOOKUP($A165,SWB!$C$15:$BE$244,55,FALSE),"")</f>
        <v>2.367716494807155</v>
      </c>
      <c r="AZ165" s="281">
        <f>IF(ISERROR(VLOOKUP($A165,Clima!$V$8:$AI$320,14,FALSE)),-999,VLOOKUP(A165,Clima!$V$8:$AI$219,14,FALSE))</f>
        <v>6.2</v>
      </c>
      <c r="BA165" s="281">
        <f t="shared" si="111"/>
        <v>339.00000000000006</v>
      </c>
      <c r="BB165" s="281">
        <f t="shared" si="104"/>
        <v>6.2</v>
      </c>
      <c r="BC165" s="281">
        <f t="shared" si="112"/>
        <v>339.00000000000006</v>
      </c>
      <c r="BD165" s="284">
        <f t="shared" si="126"/>
        <v>42136</v>
      </c>
    </row>
    <row r="166" spans="1:56" s="275" customFormat="1" ht="12.75">
      <c r="A166" s="273">
        <f t="shared" si="105"/>
        <v>42137</v>
      </c>
      <c r="B166" s="274">
        <f t="shared" si="115"/>
        <v>133</v>
      </c>
      <c r="C166" s="275" t="str">
        <f t="shared" si="116"/>
        <v>Mediados</v>
      </c>
      <c r="D166" s="276">
        <f t="shared" si="117"/>
        <v>6.2</v>
      </c>
      <c r="E166" s="276">
        <f t="shared" si="118"/>
        <v>1.1499999999999999</v>
      </c>
      <c r="F166" s="276"/>
      <c r="G166" s="276">
        <f t="shared" si="119"/>
        <v>7.0310999999999998E-2</v>
      </c>
      <c r="H166" s="276">
        <f t="shared" si="120"/>
        <v>1.1703110000000001</v>
      </c>
      <c r="I166" s="276">
        <f t="shared" si="121"/>
        <v>7.1388959999999999</v>
      </c>
      <c r="J166" s="276">
        <f>IFERROR(IF($G$1="Sí",VLOOKUP($A166,CSVAgro,13,FALSE),VLOOKUP($A166,SWB!$C$15:$P$202,14,FALSE)),0)</f>
        <v>0</v>
      </c>
      <c r="K166" s="487">
        <f t="shared" si="122"/>
        <v>5</v>
      </c>
      <c r="L166" s="487">
        <f t="shared" si="89"/>
        <v>0</v>
      </c>
      <c r="M166" s="487">
        <f t="shared" si="90"/>
        <v>5</v>
      </c>
      <c r="N166" s="277">
        <f>IF(ISERROR($G$1="Sí"),VLOOKUP($A166,CSVAgro,16,FALSE),IF(ISERROR(VLOOKUP($A166,Clima!$W$8:$Z$284,2,FALSE)),VLOOKUP($A166,Clima!$E$8:$H$372,2,FALSE),VLOOKUP($A166,Clima!$W$8:$Z$284,2,FALSE)))</f>
        <v>24</v>
      </c>
      <c r="O166" s="276">
        <f t="shared" si="123"/>
        <v>250.2825710473661</v>
      </c>
      <c r="P166" s="276">
        <f t="shared" si="106"/>
        <v>106.50000000000001</v>
      </c>
      <c r="Q166" s="487">
        <f t="shared" si="92"/>
        <v>125</v>
      </c>
      <c r="R166" s="278">
        <f t="shared" si="107"/>
        <v>24</v>
      </c>
      <c r="S166" s="278">
        <f t="shared" si="98"/>
        <v>24</v>
      </c>
      <c r="T166" s="279">
        <f t="shared" si="93"/>
        <v>133</v>
      </c>
      <c r="U166" s="279">
        <f t="shared" si="113"/>
        <v>20</v>
      </c>
      <c r="V166" s="276">
        <f t="shared" si="99"/>
        <v>0</v>
      </c>
      <c r="W166" s="276">
        <f>IF(AND(S166&gt;VLOOKUP(Inputs!$I$2,Extracciones,3),S166&lt;VLOOKUP(Inputs!$I$2,Extracciones,5)),(S166-VLOOKUP(Inputs!$I$2,Extracciones,3))*Inputs!$E$12,0)</f>
        <v>0</v>
      </c>
      <c r="X166" s="278">
        <f>IF(AD166=0,VLOOKUP(R166,Mineral,2)*R166*Inputs!$C$16*Inputs!$E$37,VLOOKUP(R166,Mineral,2)*R166*Inputs!$C$16)</f>
        <v>2.4000000000000004</v>
      </c>
      <c r="Y166" s="278">
        <f>SUM(K166,M166)*Inputs!$O$8*14/(100*62)</f>
        <v>0.33870967741935482</v>
      </c>
      <c r="Z166" s="278">
        <f t="shared" si="108"/>
        <v>0</v>
      </c>
      <c r="AA166" s="278">
        <f t="shared" si="109"/>
        <v>0</v>
      </c>
      <c r="AB166" s="279">
        <f t="shared" si="124"/>
        <v>0</v>
      </c>
      <c r="AC166" s="278">
        <f t="shared" si="127"/>
        <v>0</v>
      </c>
      <c r="AD166" s="279">
        <f t="shared" si="95"/>
        <v>-4.8312000000000008</v>
      </c>
      <c r="AE166" s="278">
        <f t="shared" si="100"/>
        <v>-219.33450000000011</v>
      </c>
      <c r="AF166" s="278">
        <f t="shared" si="114"/>
        <v>57.68311476704131</v>
      </c>
      <c r="AG166" s="279">
        <f t="shared" si="125"/>
        <v>40</v>
      </c>
      <c r="AH166" s="279">
        <f>AF166*1000000/(Inputs!$C$9*100*Inputs!$C$8*1000*(1-Inputs!$C$10)*(1+Inputs!$C$12))</f>
        <v>11.541239449187938</v>
      </c>
      <c r="AI166" s="279">
        <f>IFERROR(HLOOKUP(A166,Inputs!$C$14:$C$15,2,FALSE),-100)</f>
        <v>-100</v>
      </c>
      <c r="AJ166" s="281">
        <f t="shared" si="101"/>
        <v>0</v>
      </c>
      <c r="AK166" s="282">
        <f t="shared" si="128"/>
        <v>30.335000000000001</v>
      </c>
      <c r="AL166" s="282">
        <f t="shared" si="129"/>
        <v>8.806451612903226</v>
      </c>
      <c r="AM166" s="282">
        <f t="shared" si="130"/>
        <v>-1.9838368458620446</v>
      </c>
      <c r="AN166" s="283">
        <f>IFERROR(IF($G$1="Sí",VLOOKUP($A166,CSVAgro,9,FALSE),VLOOKUP($A166,Clima!$E$8:$Q$373,13,FALSE)),0)</f>
        <v>3</v>
      </c>
      <c r="AO166" s="281">
        <f t="shared" si="110"/>
        <v>297.70000000000005</v>
      </c>
      <c r="AP166" s="281">
        <f>IFERROR(VLOOKUP($A166,'F TrB'!$C$3:$O$21,3,FALSE),-9999)</f>
        <v>65</v>
      </c>
      <c r="AQ166" s="281">
        <f t="shared" si="102"/>
        <v>1.4</v>
      </c>
      <c r="AR166" s="281">
        <f>IFERROR(IF(VLOOKUP($A166,'F TrB'!$Q$3:$R$21,2,FALSE)=0,-99999,VLOOKUP($A166,'F TrB'!$Q$3:$R$21,2,FALSE)),-99999)</f>
        <v>-99999</v>
      </c>
      <c r="AS166" s="281">
        <f t="shared" si="103"/>
        <v>-99999</v>
      </c>
      <c r="AT166" s="281" t="str">
        <f>IFERROR(VLOOKUP($A166,'NDVI tipo'!$Q$8:$S$30,2,FALSE),"")</f>
        <v/>
      </c>
      <c r="AU166" s="281">
        <f>IF(ISERROR(VLOOKUP($A166,'NDVI tipo'!$Q$8:$S$50,2,FALSE)),AU165+VLOOKUP($A166,'NDVI tipo'!$Q$8:$S$50,3,TRUE),VLOOKUP($A166,'NDVI tipo'!$Q$8:$S$50,2,FALSE))</f>
        <v>0.81552199999999986</v>
      </c>
      <c r="AV166" s="281">
        <f>IFERROR(VLOOKUP($A166,'NDVI real'!$Q$8:$S$44,2,FALSE),-999)</f>
        <v>-999</v>
      </c>
      <c r="AW166" s="281">
        <f>IF(ISERROR(VLOOKUP($A166,'NDVI real'!$T$8:$U$350,2,FALSE)),"",VLOOKUP($A166,'NDVI real'!$T$8:$U$350,2,FALSE))</f>
        <v>0.88041666583333378</v>
      </c>
      <c r="AX166" s="286">
        <f>IFERROR(VLOOKUP($A166,SWB!$C$15:$BE$244,53,FALSE),"")</f>
        <v>6.5463978225118513</v>
      </c>
      <c r="AY166" s="286">
        <f>IFERROR(VLOOKUP($A166,SWB!$C$15:$BE$244,55,FALSE),"")</f>
        <v>1.7576938162355304</v>
      </c>
      <c r="AZ166" s="281">
        <f>IF(ISERROR(VLOOKUP($A166,Clima!$V$8:$AI$320,14,FALSE)),-999,VLOOKUP(A166,Clima!$V$8:$AI$219,14,FALSE))</f>
        <v>6.2</v>
      </c>
      <c r="BA166" s="281">
        <f t="shared" si="111"/>
        <v>345.20000000000005</v>
      </c>
      <c r="BB166" s="281">
        <f t="shared" si="104"/>
        <v>6.2</v>
      </c>
      <c r="BC166" s="281">
        <f t="shared" si="112"/>
        <v>345.20000000000005</v>
      </c>
      <c r="BD166" s="284">
        <f t="shared" si="126"/>
        <v>42137</v>
      </c>
    </row>
    <row r="167" spans="1:56" s="275" customFormat="1" ht="12.75">
      <c r="A167" s="273">
        <f t="shared" si="105"/>
        <v>42138</v>
      </c>
      <c r="B167" s="274">
        <f t="shared" si="115"/>
        <v>134</v>
      </c>
      <c r="C167" s="275" t="str">
        <f t="shared" si="116"/>
        <v>Mediados</v>
      </c>
      <c r="D167" s="276">
        <f t="shared" si="117"/>
        <v>8.5</v>
      </c>
      <c r="E167" s="276">
        <f t="shared" si="118"/>
        <v>1.1499999999999999</v>
      </c>
      <c r="F167" s="276"/>
      <c r="G167" s="276">
        <f t="shared" si="119"/>
        <v>9.2204999999999995E-2</v>
      </c>
      <c r="H167" s="276">
        <f t="shared" si="120"/>
        <v>1.192205</v>
      </c>
      <c r="I167" s="276">
        <f t="shared" si="121"/>
        <v>8.1069960000000005</v>
      </c>
      <c r="J167" s="276">
        <f>IFERROR(IF($G$1="Sí",VLOOKUP($A167,CSVAgro,13,FALSE),VLOOKUP($A167,SWB!$C$15:$P$202,14,FALSE)),0)</f>
        <v>0</v>
      </c>
      <c r="K167" s="487">
        <f t="shared" si="122"/>
        <v>5</v>
      </c>
      <c r="L167" s="487">
        <f t="shared" si="89"/>
        <v>0</v>
      </c>
      <c r="M167" s="487">
        <f t="shared" si="90"/>
        <v>5</v>
      </c>
      <c r="N167" s="277">
        <f>IF(ISERROR($G$1="Sí"),VLOOKUP($A167,CSVAgro,16,FALSE),IF(ISERROR(VLOOKUP($A167,Clima!$W$8:$Z$284,2,FALSE)),VLOOKUP($A167,Clima!$E$8:$H$372,2,FALSE),VLOOKUP($A167,Clima!$W$8:$Z$284,2,FALSE)))</f>
        <v>25.3</v>
      </c>
      <c r="O167" s="276">
        <f t="shared" si="123"/>
        <v>253.34230354694961</v>
      </c>
      <c r="P167" s="276">
        <f t="shared" si="106"/>
        <v>106.50000000000001</v>
      </c>
      <c r="Q167" s="487">
        <f t="shared" si="92"/>
        <v>130</v>
      </c>
      <c r="R167" s="278">
        <f t="shared" si="107"/>
        <v>25.3</v>
      </c>
      <c r="S167" s="278">
        <f t="shared" si="98"/>
        <v>25.3</v>
      </c>
      <c r="T167" s="279">
        <f t="shared" si="93"/>
        <v>134</v>
      </c>
      <c r="U167" s="279">
        <f t="shared" si="113"/>
        <v>20</v>
      </c>
      <c r="V167" s="276">
        <f t="shared" si="99"/>
        <v>0</v>
      </c>
      <c r="W167" s="276">
        <f>IF(AND(S167&gt;VLOOKUP(Inputs!$I$2,Extracciones,3),S167&lt;VLOOKUP(Inputs!$I$2,Extracciones,5)),(S167-VLOOKUP(Inputs!$I$2,Extracciones,3))*Inputs!$E$12,0)</f>
        <v>0</v>
      </c>
      <c r="X167" s="278">
        <f>IF(AD167=0,VLOOKUP(R167,Mineral,2)*R167*Inputs!$C$16*Inputs!$E$37,VLOOKUP(R167,Mineral,2)*R167*Inputs!$C$16)</f>
        <v>2.5300000000000002</v>
      </c>
      <c r="Y167" s="278">
        <f>SUM(K167,M167)*Inputs!$O$8*14/(100*62)</f>
        <v>0.33870967741935482</v>
      </c>
      <c r="Z167" s="278">
        <f t="shared" si="108"/>
        <v>21.76</v>
      </c>
      <c r="AA167" s="278">
        <f t="shared" si="109"/>
        <v>25.6</v>
      </c>
      <c r="AB167" s="279">
        <f t="shared" si="124"/>
        <v>0</v>
      </c>
      <c r="AC167" s="278">
        <f t="shared" si="127"/>
        <v>0</v>
      </c>
      <c r="AD167" s="279">
        <f t="shared" si="95"/>
        <v>-3.3659999999999508</v>
      </c>
      <c r="AE167" s="278">
        <f t="shared" si="100"/>
        <v>-222.70050000000006</v>
      </c>
      <c r="AF167" s="278">
        <f t="shared" si="114"/>
        <v>78.945824444460712</v>
      </c>
      <c r="AG167" s="279">
        <f t="shared" si="125"/>
        <v>25</v>
      </c>
      <c r="AH167" s="279">
        <f>AF167*1000000/(Inputs!$C$9*100*Inputs!$C$8*1000*(1-Inputs!$C$10)*(1+Inputs!$C$12))</f>
        <v>15.79548308212499</v>
      </c>
      <c r="AI167" s="279">
        <f>IFERROR(HLOOKUP(A167,Inputs!$C$14:$C$15,2,FALSE),-100)</f>
        <v>-100</v>
      </c>
      <c r="AJ167" s="281">
        <f t="shared" si="101"/>
        <v>0</v>
      </c>
      <c r="AK167" s="282">
        <f t="shared" si="128"/>
        <v>32.865000000000002</v>
      </c>
      <c r="AL167" s="282">
        <f t="shared" si="129"/>
        <v>9.1451612903225801</v>
      </c>
      <c r="AM167" s="282">
        <f t="shared" si="130"/>
        <v>-1.9838368458620446</v>
      </c>
      <c r="AN167" s="283">
        <f>IFERROR(IF($G$1="Sí",VLOOKUP($A167,CSVAgro,9,FALSE),VLOOKUP($A167,Clima!$E$8:$Q$373,13,FALSE)),0)</f>
        <v>2.7</v>
      </c>
      <c r="AO167" s="281">
        <f t="shared" si="110"/>
        <v>300.40000000000003</v>
      </c>
      <c r="AP167" s="281">
        <f>IFERROR(VLOOKUP($A167,'F TrB'!$C$3:$O$21,3,FALSE),-9999)</f>
        <v>-9999</v>
      </c>
      <c r="AQ167" s="281">
        <f t="shared" si="102"/>
        <v>-999</v>
      </c>
      <c r="AR167" s="281">
        <f>IFERROR(IF(VLOOKUP($A167,'F TrB'!$Q$3:$R$21,2,FALSE)=0,-99999,VLOOKUP($A167,'F TrB'!$Q$3:$R$21,2,FALSE)),-99999)</f>
        <v>-99999</v>
      </c>
      <c r="AS167" s="281">
        <f t="shared" si="103"/>
        <v>-99999</v>
      </c>
      <c r="AT167" s="281" t="str">
        <f>IFERROR(VLOOKUP($A167,'NDVI tipo'!$Q$8:$S$30,2,FALSE),"")</f>
        <v/>
      </c>
      <c r="AU167" s="281">
        <f>IF(ISERROR(VLOOKUP($A167,'NDVI tipo'!$Q$8:$S$50,2,FALSE)),AU166+VLOOKUP($A167,'NDVI tipo'!$Q$8:$S$50,3,TRUE),VLOOKUP($A167,'NDVI tipo'!$Q$8:$S$50,2,FALSE))</f>
        <v>0.81730099999999983</v>
      </c>
      <c r="AV167" s="281">
        <f>IFERROR(VLOOKUP($A167,'NDVI real'!$Q$8:$S$44,2,FALSE),-999)</f>
        <v>-999</v>
      </c>
      <c r="AW167" s="281">
        <f>IF(ISERROR(VLOOKUP($A167,'NDVI real'!$T$8:$U$350,2,FALSE)),"",VLOOKUP($A167,'NDVI real'!$T$8:$U$350,2,FALSE))</f>
        <v>0.88086419666666715</v>
      </c>
      <c r="AX167" s="286">
        <f>IFERROR(VLOOKUP($A167,SWB!$C$15:$BE$244,53,FALSE),"")</f>
        <v>6.6674978223718515</v>
      </c>
      <c r="AY167" s="286">
        <f>IFERROR(VLOOKUP($A167,SWB!$C$15:$BE$244,55,FALSE),"")</f>
        <v>1.5692625510587561</v>
      </c>
      <c r="AZ167" s="281">
        <f>IF(ISERROR(VLOOKUP($A167,Clima!$V$8:$AI$320,14,FALSE)),-999,VLOOKUP(A167,Clima!$V$8:$AI$219,14,FALSE))</f>
        <v>8.5</v>
      </c>
      <c r="BA167" s="281">
        <f t="shared" si="111"/>
        <v>353.70000000000005</v>
      </c>
      <c r="BB167" s="281">
        <f t="shared" si="104"/>
        <v>8.5</v>
      </c>
      <c r="BC167" s="281">
        <f t="shared" si="112"/>
        <v>353.70000000000005</v>
      </c>
      <c r="BD167" s="284">
        <f t="shared" si="126"/>
        <v>42138</v>
      </c>
    </row>
    <row r="168" spans="1:56" s="275" customFormat="1" ht="12.75">
      <c r="A168" s="273">
        <f t="shared" si="105"/>
        <v>42139</v>
      </c>
      <c r="B168" s="274">
        <f t="shared" si="115"/>
        <v>135</v>
      </c>
      <c r="C168" s="275" t="str">
        <f t="shared" si="116"/>
        <v>Mediados</v>
      </c>
      <c r="D168" s="276">
        <f t="shared" si="117"/>
        <v>6.3</v>
      </c>
      <c r="E168" s="276">
        <f t="shared" si="118"/>
        <v>1.1499999999999999</v>
      </c>
      <c r="F168" s="276"/>
      <c r="G168" s="276">
        <f t="shared" si="119"/>
        <v>5.9635000000000001E-2</v>
      </c>
      <c r="H168" s="276">
        <f t="shared" si="120"/>
        <v>1.159635</v>
      </c>
      <c r="I168" s="276">
        <f t="shared" si="121"/>
        <v>7.1317550000000001</v>
      </c>
      <c r="J168" s="276">
        <f>IFERROR(IF($G$1="Sí",VLOOKUP($A168,CSVAgro,13,FALSE),VLOOKUP($A168,SWB!$C$15:$P$202,14,FALSE)),0)</f>
        <v>0</v>
      </c>
      <c r="K168" s="487">
        <f t="shared" si="122"/>
        <v>5</v>
      </c>
      <c r="L168" s="487">
        <f t="shared" si="89"/>
        <v>0</v>
      </c>
      <c r="M168" s="487">
        <f t="shared" si="90"/>
        <v>5</v>
      </c>
      <c r="N168" s="277">
        <f>IF(ISERROR($G$1="Sí"),VLOOKUP($A168,CSVAgro,16,FALSE),IF(ISERROR(VLOOKUP($A168,Clima!$W$8:$Z$284,2,FALSE)),VLOOKUP($A168,Clima!$E$8:$H$372,2,FALSE),VLOOKUP($A168,Clima!$W$8:$Z$284,2,FALSE)))</f>
        <v>16.899999999999999</v>
      </c>
      <c r="O168" s="276">
        <f t="shared" si="123"/>
        <v>257.64889729171284</v>
      </c>
      <c r="P168" s="276">
        <f t="shared" si="106"/>
        <v>106.50000000000001</v>
      </c>
      <c r="Q168" s="487">
        <f t="shared" si="92"/>
        <v>135</v>
      </c>
      <c r="R168" s="278">
        <f t="shared" si="107"/>
        <v>16.899999999999999</v>
      </c>
      <c r="S168" s="278">
        <f t="shared" si="98"/>
        <v>16.899999999999999</v>
      </c>
      <c r="T168" s="279">
        <f t="shared" si="93"/>
        <v>135</v>
      </c>
      <c r="U168" s="279">
        <f t="shared" si="113"/>
        <v>20</v>
      </c>
      <c r="V168" s="276">
        <f t="shared" si="99"/>
        <v>0</v>
      </c>
      <c r="W168" s="276">
        <f>IF(AND(S168&gt;VLOOKUP(Inputs!$I$2,Extracciones,3),S168&lt;VLOOKUP(Inputs!$I$2,Extracciones,5)),(S168-VLOOKUP(Inputs!$I$2,Extracciones,3))*Inputs!$E$12,0)</f>
        <v>0</v>
      </c>
      <c r="X168" s="278">
        <f>IF(AD168=0,VLOOKUP(R168,Mineral,2)*R168*Inputs!$C$16*Inputs!$E$37,VLOOKUP(R168,Mineral,2)*R168*Inputs!$C$16)</f>
        <v>1.1829999999999998</v>
      </c>
      <c r="Y168" s="278">
        <f>SUM(K168,M168)*Inputs!$O$8*14/(100*62)</f>
        <v>0.33870967741935482</v>
      </c>
      <c r="Z168" s="278">
        <f t="shared" si="108"/>
        <v>0</v>
      </c>
      <c r="AA168" s="278">
        <f t="shared" si="109"/>
        <v>0</v>
      </c>
      <c r="AB168" s="279">
        <f t="shared" si="124"/>
        <v>0</v>
      </c>
      <c r="AC168" s="278">
        <f t="shared" si="127"/>
        <v>0</v>
      </c>
      <c r="AD168" s="279">
        <f t="shared" si="95"/>
        <v>-3.3659999999999508</v>
      </c>
      <c r="AE168" s="278">
        <f t="shared" si="100"/>
        <v>-226.06650000000002</v>
      </c>
      <c r="AF168" s="278">
        <f t="shared" si="114"/>
        <v>77.101534121880107</v>
      </c>
      <c r="AG168" s="279">
        <f t="shared" si="125"/>
        <v>25</v>
      </c>
      <c r="AH168" s="279">
        <f>AF168*1000000/(Inputs!$C$9*100*Inputs!$C$8*1000*(1-Inputs!$C$10)*(1+Inputs!$C$12))</f>
        <v>15.426477415342159</v>
      </c>
      <c r="AI168" s="279">
        <f>IFERROR(HLOOKUP(A168,Inputs!$C$14:$C$15,2,FALSE),-100)</f>
        <v>-100</v>
      </c>
      <c r="AJ168" s="281">
        <f t="shared" si="101"/>
        <v>0</v>
      </c>
      <c r="AK168" s="282">
        <f t="shared" si="128"/>
        <v>34.048000000000002</v>
      </c>
      <c r="AL168" s="282">
        <f t="shared" si="129"/>
        <v>9.4838709677419342</v>
      </c>
      <c r="AM168" s="282">
        <f t="shared" si="130"/>
        <v>-1.9838368458620446</v>
      </c>
      <c r="AN168" s="283">
        <f>IFERROR(IF($G$1="Sí",VLOOKUP($A168,CSVAgro,9,FALSE),VLOOKUP($A168,Clima!$E$8:$Q$373,13,FALSE)),0)</f>
        <v>3.8</v>
      </c>
      <c r="AO168" s="281">
        <f t="shared" si="110"/>
        <v>304.20000000000005</v>
      </c>
      <c r="AP168" s="281">
        <f>IFERROR(VLOOKUP($A168,'F TrB'!$C$3:$O$21,3,FALSE),-9999)</f>
        <v>-9999</v>
      </c>
      <c r="AQ168" s="281">
        <f t="shared" si="102"/>
        <v>-999</v>
      </c>
      <c r="AR168" s="281">
        <f>IFERROR(IF(VLOOKUP($A168,'F TrB'!$Q$3:$R$21,2,FALSE)=0,-99999,VLOOKUP($A168,'F TrB'!$Q$3:$R$21,2,FALSE)),-99999)</f>
        <v>-99999</v>
      </c>
      <c r="AS168" s="281">
        <f t="shared" si="103"/>
        <v>-99999</v>
      </c>
      <c r="AT168" s="281" t="str">
        <f>IFERROR(VLOOKUP($A168,'NDVI tipo'!$Q$8:$S$30,2,FALSE),"")</f>
        <v/>
      </c>
      <c r="AU168" s="281">
        <f>IF(ISERROR(VLOOKUP($A168,'NDVI tipo'!$Q$8:$S$50,2,FALSE)),AU167+VLOOKUP($A168,'NDVI tipo'!$Q$8:$S$50,3,TRUE),VLOOKUP($A168,'NDVI tipo'!$Q$8:$S$50,2,FALSE))</f>
        <v>0.81907999999999981</v>
      </c>
      <c r="AV168" s="281">
        <f>IFERROR(VLOOKUP($A168,'NDVI real'!$Q$8:$S$44,2,FALSE),-999)</f>
        <v>-999</v>
      </c>
      <c r="AW168" s="281">
        <f>IF(ISERROR(VLOOKUP($A168,'NDVI real'!$T$8:$U$350,2,FALSE)),"",VLOOKUP($A168,'NDVI real'!$T$8:$U$350,2,FALSE))</f>
        <v>0.88131172750000053</v>
      </c>
      <c r="AX168" s="286">
        <f>IFERROR(VLOOKUP($A168,SWB!$C$15:$BE$244,53,FALSE),"")</f>
        <v>6.8380368962418521</v>
      </c>
      <c r="AY168" s="286">
        <f>IFERROR(VLOOKUP($A168,SWB!$C$15:$BE$244,55,FALSE),"")</f>
        <v>2.1887103282708722</v>
      </c>
      <c r="AZ168" s="281">
        <f>IF(ISERROR(VLOOKUP($A168,Clima!$V$8:$AI$320,14,FALSE)),-999,VLOOKUP(A168,Clima!$V$8:$AI$219,14,FALSE))</f>
        <v>6.3</v>
      </c>
      <c r="BA168" s="281">
        <f t="shared" si="111"/>
        <v>360.00000000000006</v>
      </c>
      <c r="BB168" s="281">
        <f t="shared" si="104"/>
        <v>6.3</v>
      </c>
      <c r="BC168" s="281">
        <f t="shared" si="112"/>
        <v>360.00000000000006</v>
      </c>
      <c r="BD168" s="284">
        <f t="shared" si="126"/>
        <v>42139</v>
      </c>
    </row>
    <row r="169" spans="1:56" s="275" customFormat="1" ht="12.75">
      <c r="A169" s="273">
        <f t="shared" si="105"/>
        <v>42140</v>
      </c>
      <c r="B169" s="274">
        <f t="shared" si="115"/>
        <v>136</v>
      </c>
      <c r="C169" s="275" t="str">
        <f t="shared" si="116"/>
        <v>Mediados</v>
      </c>
      <c r="D169" s="276">
        <f t="shared" si="117"/>
        <v>5.8</v>
      </c>
      <c r="E169" s="276">
        <f t="shared" si="118"/>
        <v>1.1499999999999999</v>
      </c>
      <c r="F169" s="276"/>
      <c r="G169" s="276">
        <f t="shared" si="119"/>
        <v>6.5631999999999996E-2</v>
      </c>
      <c r="H169" s="276">
        <f t="shared" si="120"/>
        <v>1.165632</v>
      </c>
      <c r="I169" s="276">
        <f t="shared" si="121"/>
        <v>7.1919500000000003</v>
      </c>
      <c r="J169" s="276">
        <f>IFERROR(IF($G$1="Sí",VLOOKUP($A169,CSVAgro,13,FALSE),VLOOKUP($A169,SWB!$C$15:$P$202,14,FALSE)),0)</f>
        <v>0</v>
      </c>
      <c r="K169" s="487">
        <f t="shared" si="122"/>
        <v>5</v>
      </c>
      <c r="L169" s="487">
        <f t="shared" si="89"/>
        <v>0</v>
      </c>
      <c r="M169" s="487">
        <f t="shared" si="90"/>
        <v>5</v>
      </c>
      <c r="N169" s="277">
        <f>IF(ISERROR($G$1="Sí"),VLOOKUP($A169,CSVAgro,16,FALSE),IF(ISERROR(VLOOKUP($A169,Clima!$W$8:$Z$284,2,FALSE)),VLOOKUP($A169,Clima!$E$8:$H$372,2,FALSE),VLOOKUP($A169,Clima!$W$8:$Z$284,2,FALSE)))</f>
        <v>16.399999999999999</v>
      </c>
      <c r="O169" s="276">
        <f t="shared" si="123"/>
        <v>262.18247340216283</v>
      </c>
      <c r="P169" s="276">
        <f t="shared" si="106"/>
        <v>106.50000000000001</v>
      </c>
      <c r="Q169" s="487">
        <f t="shared" si="92"/>
        <v>140</v>
      </c>
      <c r="R169" s="278">
        <f t="shared" si="107"/>
        <v>16.399999999999999</v>
      </c>
      <c r="S169" s="278">
        <f t="shared" si="98"/>
        <v>16.399999999999999</v>
      </c>
      <c r="T169" s="279">
        <f t="shared" si="93"/>
        <v>136</v>
      </c>
      <c r="U169" s="279">
        <f t="shared" si="113"/>
        <v>20</v>
      </c>
      <c r="V169" s="276">
        <f t="shared" si="99"/>
        <v>0</v>
      </c>
      <c r="W169" s="276">
        <f>IF(AND(S169&gt;VLOOKUP(Inputs!$I$2,Extracciones,3),S169&lt;VLOOKUP(Inputs!$I$2,Extracciones,5)),(S169-VLOOKUP(Inputs!$I$2,Extracciones,3))*Inputs!$E$12,0)</f>
        <v>0</v>
      </c>
      <c r="X169" s="278">
        <f>IF(AD169=0,VLOOKUP(R169,Mineral,2)*R169*Inputs!$C$16*Inputs!$E$37,VLOOKUP(R169,Mineral,2)*R169*Inputs!$C$16)</f>
        <v>1.1479999999999999</v>
      </c>
      <c r="Y169" s="278">
        <f>SUM(K169,M169)*Inputs!$O$8*14/(100*62)</f>
        <v>0.33870967741935482</v>
      </c>
      <c r="Z169" s="278">
        <f t="shared" si="108"/>
        <v>0</v>
      </c>
      <c r="AA169" s="278">
        <f t="shared" si="109"/>
        <v>0</v>
      </c>
      <c r="AB169" s="279">
        <f t="shared" si="124"/>
        <v>0</v>
      </c>
      <c r="AC169" s="278">
        <f t="shared" si="127"/>
        <v>0</v>
      </c>
      <c r="AD169" s="279">
        <f t="shared" si="95"/>
        <v>-3.3659999999999508</v>
      </c>
      <c r="AE169" s="278">
        <f t="shared" si="100"/>
        <v>-229.43249999999998</v>
      </c>
      <c r="AF169" s="278">
        <f t="shared" si="114"/>
        <v>75.222243799299505</v>
      </c>
      <c r="AG169" s="279">
        <f t="shared" si="125"/>
        <v>25</v>
      </c>
      <c r="AH169" s="279">
        <f>AF169*1000000/(Inputs!$C$9*100*Inputs!$C$8*1000*(1-Inputs!$C$10)*(1+Inputs!$C$12))</f>
        <v>15.050468947438878</v>
      </c>
      <c r="AI169" s="279">
        <f>IFERROR(HLOOKUP(A169,Inputs!$C$14:$C$15,2,FALSE),-100)</f>
        <v>-100</v>
      </c>
      <c r="AJ169" s="281">
        <f t="shared" si="101"/>
        <v>0</v>
      </c>
      <c r="AK169" s="282">
        <f t="shared" si="128"/>
        <v>35.196000000000005</v>
      </c>
      <c r="AL169" s="282">
        <f t="shared" si="129"/>
        <v>9.8225806451612883</v>
      </c>
      <c r="AM169" s="282">
        <f t="shared" si="130"/>
        <v>-1.9838368458620446</v>
      </c>
      <c r="AN169" s="283">
        <f>IFERROR(IF($G$1="Sí",VLOOKUP($A169,CSVAgro,9,FALSE),VLOOKUP($A169,Clima!$E$8:$Q$373,13,FALSE)),0)</f>
        <v>4</v>
      </c>
      <c r="AO169" s="281">
        <f t="shared" si="110"/>
        <v>308.20000000000005</v>
      </c>
      <c r="AP169" s="281">
        <f>IFERROR(VLOOKUP($A169,'F TrB'!$C$3:$O$21,3,FALSE),-9999)</f>
        <v>-9999</v>
      </c>
      <c r="AQ169" s="281">
        <f t="shared" si="102"/>
        <v>-999</v>
      </c>
      <c r="AR169" s="281">
        <f>IFERROR(IF(VLOOKUP($A169,'F TrB'!$Q$3:$R$21,2,FALSE)=0,-99999,VLOOKUP($A169,'F TrB'!$Q$3:$R$21,2,FALSE)),-99999)</f>
        <v>59</v>
      </c>
      <c r="AS169" s="281">
        <f t="shared" si="103"/>
        <v>1.4</v>
      </c>
      <c r="AT169" s="281" t="str">
        <f>IFERROR(VLOOKUP($A169,'NDVI tipo'!$Q$8:$S$30,2,FALSE),"")</f>
        <v/>
      </c>
      <c r="AU169" s="281">
        <f>IF(ISERROR(VLOOKUP($A169,'NDVI tipo'!$Q$8:$S$50,2,FALSE)),AU168+VLOOKUP($A169,'NDVI tipo'!$Q$8:$S$50,3,TRUE),VLOOKUP($A169,'NDVI tipo'!$Q$8:$S$50,2,FALSE))</f>
        <v>0.82085899999999978</v>
      </c>
      <c r="AV169" s="281">
        <f>IFERROR(VLOOKUP($A169,'NDVI real'!$Q$8:$S$44,2,FALSE),-999)</f>
        <v>-999</v>
      </c>
      <c r="AW169" s="281">
        <f>IF(ISERROR(VLOOKUP($A169,'NDVI real'!$T$8:$U$350,2,FALSE)),"",VLOOKUP($A169,'NDVI real'!$T$8:$U$350,2,FALSE))</f>
        <v>0.88175925833333391</v>
      </c>
      <c r="AX169" s="286">
        <f>IFERROR(VLOOKUP($A169,SWB!$C$15:$BE$244,53,FALSE),"")</f>
        <v>7.017659118241852</v>
      </c>
      <c r="AY169" s="286">
        <f>IFERROR(VLOOKUP($A169,SWB!$C$15:$BE$244,55,FALSE),"")</f>
        <v>2.2793516308295523</v>
      </c>
      <c r="AZ169" s="281">
        <f>IF(ISERROR(VLOOKUP($A169,Clima!$V$8:$AI$320,14,FALSE)),-999,VLOOKUP(A169,Clima!$V$8:$AI$219,14,FALSE))</f>
        <v>5.8</v>
      </c>
      <c r="BA169" s="281">
        <f t="shared" si="111"/>
        <v>365.80000000000007</v>
      </c>
      <c r="BB169" s="281">
        <f t="shared" si="104"/>
        <v>5.8</v>
      </c>
      <c r="BC169" s="281">
        <f t="shared" si="112"/>
        <v>365.80000000000007</v>
      </c>
      <c r="BD169" s="284">
        <f t="shared" si="126"/>
        <v>42140</v>
      </c>
    </row>
    <row r="170" spans="1:56" s="275" customFormat="1" ht="12.75">
      <c r="A170" s="273">
        <f t="shared" si="105"/>
        <v>42141</v>
      </c>
      <c r="B170" s="274">
        <f t="shared" si="115"/>
        <v>137</v>
      </c>
      <c r="C170" s="275" t="str">
        <f t="shared" si="116"/>
        <v>Mediados</v>
      </c>
      <c r="D170" s="276">
        <f t="shared" si="117"/>
        <v>6.3</v>
      </c>
      <c r="E170" s="276">
        <f t="shared" si="118"/>
        <v>1.1499999999999999</v>
      </c>
      <c r="F170" s="276"/>
      <c r="G170" s="276">
        <f t="shared" si="119"/>
        <v>0.11061</v>
      </c>
      <c r="H170" s="276">
        <f t="shared" si="120"/>
        <v>1.21061</v>
      </c>
      <c r="I170" s="276">
        <f t="shared" si="121"/>
        <v>10.290187</v>
      </c>
      <c r="J170" s="276">
        <f>IFERROR(IF($G$1="Sí",VLOOKUP($A170,CSVAgro,13,FALSE),VLOOKUP($A170,SWB!$C$15:$P$202,14,FALSE)),0)</f>
        <v>0</v>
      </c>
      <c r="K170" s="487">
        <f t="shared" si="122"/>
        <v>5</v>
      </c>
      <c r="L170" s="487">
        <f t="shared" si="89"/>
        <v>0</v>
      </c>
      <c r="M170" s="487">
        <f t="shared" si="90"/>
        <v>5</v>
      </c>
      <c r="N170" s="277">
        <f>IF(ISERROR($G$1="Sí"),VLOOKUP($A170,CSVAgro,16,FALSE),IF(ISERROR(VLOOKUP($A170,Clima!$W$8:$Z$284,2,FALSE)),VLOOKUP($A170,Clima!$E$8:$H$372,2,FALSE),VLOOKUP($A170,Clima!$W$8:$Z$284,2,FALSE)))</f>
        <v>18.600000000000001</v>
      </c>
      <c r="O170" s="276">
        <f t="shared" si="123"/>
        <v>267.2913690496278</v>
      </c>
      <c r="P170" s="276">
        <f t="shared" si="106"/>
        <v>106.50000000000001</v>
      </c>
      <c r="Q170" s="487">
        <f t="shared" si="92"/>
        <v>145</v>
      </c>
      <c r="R170" s="278">
        <f t="shared" si="107"/>
        <v>18.600000000000001</v>
      </c>
      <c r="S170" s="278">
        <f t="shared" si="98"/>
        <v>18.600000000000001</v>
      </c>
      <c r="T170" s="279">
        <f t="shared" si="93"/>
        <v>137</v>
      </c>
      <c r="U170" s="279">
        <f t="shared" si="113"/>
        <v>20</v>
      </c>
      <c r="V170" s="276">
        <f t="shared" si="99"/>
        <v>0</v>
      </c>
      <c r="W170" s="276">
        <f>IF(AND(S170&gt;VLOOKUP(Inputs!$I$2,Extracciones,3),S170&lt;VLOOKUP(Inputs!$I$2,Extracciones,5)),(S170-VLOOKUP(Inputs!$I$2,Extracciones,3))*Inputs!$E$12,0)</f>
        <v>0</v>
      </c>
      <c r="X170" s="278">
        <f>IF(AD170=0,VLOOKUP(R170,Mineral,2)*R170*Inputs!$C$16*Inputs!$E$37,VLOOKUP(R170,Mineral,2)*R170*Inputs!$C$16)</f>
        <v>1.6740000000000004</v>
      </c>
      <c r="Y170" s="278">
        <f>SUM(K170,M170)*Inputs!$O$8*14/(100*62)</f>
        <v>0.33870967741935482</v>
      </c>
      <c r="Z170" s="278">
        <f t="shared" si="108"/>
        <v>0</v>
      </c>
      <c r="AA170" s="278">
        <f t="shared" si="109"/>
        <v>0</v>
      </c>
      <c r="AB170" s="279">
        <f t="shared" si="124"/>
        <v>0</v>
      </c>
      <c r="AC170" s="278">
        <f t="shared" si="127"/>
        <v>0</v>
      </c>
      <c r="AD170" s="279">
        <f t="shared" si="95"/>
        <v>-3.3659999999999508</v>
      </c>
      <c r="AE170" s="278">
        <f t="shared" si="100"/>
        <v>-232.79849999999993</v>
      </c>
      <c r="AF170" s="278">
        <f t="shared" si="114"/>
        <v>73.8689534767189</v>
      </c>
      <c r="AG170" s="279">
        <f t="shared" si="125"/>
        <v>25</v>
      </c>
      <c r="AH170" s="279">
        <f>AF170*1000000/(Inputs!$C$9*100*Inputs!$C$8*1000*(1-Inputs!$C$10)*(1+Inputs!$C$12))</f>
        <v>14.77970257637433</v>
      </c>
      <c r="AI170" s="279">
        <f>IFERROR(HLOOKUP(A170,Inputs!$C$14:$C$15,2,FALSE),-100)</f>
        <v>-100</v>
      </c>
      <c r="AJ170" s="281">
        <f t="shared" si="101"/>
        <v>0</v>
      </c>
      <c r="AK170" s="282">
        <f t="shared" si="128"/>
        <v>36.870000000000005</v>
      </c>
      <c r="AL170" s="282">
        <f t="shared" si="129"/>
        <v>10.161290322580642</v>
      </c>
      <c r="AM170" s="282">
        <f t="shared" si="130"/>
        <v>-1.9838368458620446</v>
      </c>
      <c r="AN170" s="283">
        <f>IFERROR(IF($G$1="Sí",VLOOKUP($A170,CSVAgro,9,FALSE),VLOOKUP($A170,Clima!$E$8:$Q$373,13,FALSE)),0)</f>
        <v>4.5</v>
      </c>
      <c r="AO170" s="281">
        <f t="shared" si="110"/>
        <v>312.70000000000005</v>
      </c>
      <c r="AP170" s="281">
        <f>IFERROR(VLOOKUP($A170,'F TrB'!$C$3:$O$21,3,FALSE),-9999)</f>
        <v>-9999</v>
      </c>
      <c r="AQ170" s="281">
        <f t="shared" si="102"/>
        <v>-999</v>
      </c>
      <c r="AR170" s="281">
        <f>IFERROR(IF(VLOOKUP($A170,'F TrB'!$Q$3:$R$21,2,FALSE)=0,-99999,VLOOKUP($A170,'F TrB'!$Q$3:$R$21,2,FALSE)),-99999)</f>
        <v>-99999</v>
      </c>
      <c r="AS170" s="281">
        <f t="shared" si="103"/>
        <v>-99999</v>
      </c>
      <c r="AT170" s="281" t="str">
        <f>IFERROR(VLOOKUP($A170,'NDVI tipo'!$Q$8:$S$30,2,FALSE),"")</f>
        <v/>
      </c>
      <c r="AU170" s="281">
        <f>IF(ISERROR(VLOOKUP($A170,'NDVI tipo'!$Q$8:$S$50,2,FALSE)),AU169+VLOOKUP($A170,'NDVI tipo'!$Q$8:$S$50,3,TRUE),VLOOKUP($A170,'NDVI tipo'!$Q$8:$S$50,2,FALSE))</f>
        <v>0.82263799999999976</v>
      </c>
      <c r="AV170" s="281">
        <f>IFERROR(VLOOKUP($A170,'NDVI real'!$Q$8:$S$44,2,FALSE),-999)</f>
        <v>-999</v>
      </c>
      <c r="AW170" s="281">
        <f>IF(ISERROR(VLOOKUP($A170,'NDVI real'!$T$8:$U$350,2,FALSE)),"",VLOOKUP($A170,'NDVI real'!$T$8:$U$350,2,FALSE))</f>
        <v>0.88220678916666728</v>
      </c>
      <c r="AX170" s="286">
        <f>IFERROR(VLOOKUP($A170,SWB!$C$15:$BE$244,53,FALSE),"")</f>
        <v>7.2198549513168517</v>
      </c>
      <c r="AY170" s="286">
        <f>IFERROR(VLOOKUP($A170,SWB!$C$15:$BE$244,55,FALSE),"")</f>
        <v>2.5351685820508862</v>
      </c>
      <c r="AZ170" s="281">
        <f>IF(ISERROR(VLOOKUP($A170,Clima!$V$8:$AI$320,14,FALSE)),-999,VLOOKUP(A170,Clima!$V$8:$AI$219,14,FALSE))</f>
        <v>6.3</v>
      </c>
      <c r="BA170" s="281">
        <f t="shared" si="111"/>
        <v>372.10000000000008</v>
      </c>
      <c r="BB170" s="281">
        <f t="shared" si="104"/>
        <v>6.3</v>
      </c>
      <c r="BC170" s="281">
        <f t="shared" si="112"/>
        <v>372.10000000000008</v>
      </c>
      <c r="BD170" s="284">
        <f t="shared" si="126"/>
        <v>42141</v>
      </c>
    </row>
    <row r="171" spans="1:56" s="275" customFormat="1" ht="12.75">
      <c r="A171" s="273">
        <f t="shared" si="105"/>
        <v>42142</v>
      </c>
      <c r="B171" s="274">
        <f t="shared" si="115"/>
        <v>138</v>
      </c>
      <c r="C171" s="275" t="str">
        <f t="shared" si="116"/>
        <v>Mediados</v>
      </c>
      <c r="D171" s="276">
        <f t="shared" si="117"/>
        <v>6.7</v>
      </c>
      <c r="E171" s="276">
        <f t="shared" si="118"/>
        <v>1.1499999999999999</v>
      </c>
      <c r="F171" s="276"/>
      <c r="G171" s="276">
        <f t="shared" si="119"/>
        <v>9.3678999999999998E-2</v>
      </c>
      <c r="H171" s="276">
        <f t="shared" si="120"/>
        <v>1.1936789999999999</v>
      </c>
      <c r="I171" s="276">
        <f t="shared" si="121"/>
        <v>7.57986</v>
      </c>
      <c r="J171" s="276">
        <f>IFERROR(IF($G$1="Sí",VLOOKUP($A171,CSVAgro,13,FALSE),VLOOKUP($A171,SWB!$C$15:$P$202,14,FALSE)),0)</f>
        <v>0</v>
      </c>
      <c r="K171" s="487">
        <f t="shared" si="122"/>
        <v>5</v>
      </c>
      <c r="L171" s="487">
        <f t="shared" si="89"/>
        <v>0</v>
      </c>
      <c r="M171" s="487">
        <f t="shared" si="90"/>
        <v>5</v>
      </c>
      <c r="N171" s="277">
        <f>IF(ISERROR($G$1="Sí"),VLOOKUP($A171,CSVAgro,16,FALSE),IF(ISERROR(VLOOKUP($A171,Clima!$W$8:$Z$284,2,FALSE)),VLOOKUP($A171,Clima!$E$8:$H$372,2,FALSE),VLOOKUP($A171,Clima!$W$8:$Z$284,2,FALSE)))</f>
        <v>19.5</v>
      </c>
      <c r="O171" s="276">
        <f t="shared" si="123"/>
        <v>272.40058423410778</v>
      </c>
      <c r="P171" s="276">
        <f t="shared" si="106"/>
        <v>106.50000000000001</v>
      </c>
      <c r="Q171" s="487">
        <f t="shared" si="92"/>
        <v>150</v>
      </c>
      <c r="R171" s="278">
        <f t="shared" si="107"/>
        <v>19.5</v>
      </c>
      <c r="S171" s="278">
        <f t="shared" si="98"/>
        <v>19.5</v>
      </c>
      <c r="T171" s="279">
        <f t="shared" si="93"/>
        <v>138</v>
      </c>
      <c r="U171" s="279">
        <f t="shared" si="113"/>
        <v>21</v>
      </c>
      <c r="V171" s="276">
        <f t="shared" si="99"/>
        <v>0</v>
      </c>
      <c r="W171" s="276">
        <f>IF(AND(S171&gt;VLOOKUP(Inputs!$I$2,Extracciones,3),S171&lt;VLOOKUP(Inputs!$I$2,Extracciones,5)),(S171-VLOOKUP(Inputs!$I$2,Extracciones,3))*Inputs!$E$12,0)</f>
        <v>0</v>
      </c>
      <c r="X171" s="278">
        <f>IF(AD171=0,VLOOKUP(R171,Mineral,2)*R171*Inputs!$C$16*Inputs!$E$37,VLOOKUP(R171,Mineral,2)*R171*Inputs!$C$16)</f>
        <v>1.9500000000000002</v>
      </c>
      <c r="Y171" s="278">
        <f>SUM(K171,M171)*Inputs!$O$8*14/(100*62)</f>
        <v>0.33870967741935482</v>
      </c>
      <c r="Z171" s="278">
        <f t="shared" si="108"/>
        <v>0</v>
      </c>
      <c r="AA171" s="278">
        <f t="shared" si="109"/>
        <v>0</v>
      </c>
      <c r="AB171" s="279">
        <f t="shared" si="124"/>
        <v>0</v>
      </c>
      <c r="AC171" s="278">
        <f t="shared" si="127"/>
        <v>0</v>
      </c>
      <c r="AD171" s="279">
        <f t="shared" si="95"/>
        <v>-3.3659999999999508</v>
      </c>
      <c r="AE171" s="278">
        <f t="shared" si="100"/>
        <v>-236.16449999999989</v>
      </c>
      <c r="AF171" s="278">
        <f t="shared" si="114"/>
        <v>72.791663154138291</v>
      </c>
      <c r="AG171" s="279">
        <f t="shared" si="125"/>
        <v>25</v>
      </c>
      <c r="AH171" s="279">
        <f>AF171*1000000/(Inputs!$C$9*100*Inputs!$C$8*1000*(1-Inputs!$C$10)*(1+Inputs!$C$12))</f>
        <v>14.564158294145317</v>
      </c>
      <c r="AI171" s="279">
        <f>IFERROR(HLOOKUP(A171,Inputs!$C$14:$C$15,2,FALSE),-100)</f>
        <v>-100</v>
      </c>
      <c r="AJ171" s="281">
        <f t="shared" si="101"/>
        <v>0</v>
      </c>
      <c r="AK171" s="282">
        <f t="shared" si="128"/>
        <v>38.820000000000007</v>
      </c>
      <c r="AL171" s="282">
        <f t="shared" si="129"/>
        <v>10.499999999999996</v>
      </c>
      <c r="AM171" s="282">
        <f t="shared" si="130"/>
        <v>-1.9838368458620446</v>
      </c>
      <c r="AN171" s="283">
        <f>IFERROR(IF($G$1="Sí",VLOOKUP($A171,CSVAgro,9,FALSE),VLOOKUP($A171,Clima!$E$8:$Q$373,13,FALSE)),0)</f>
        <v>4.5</v>
      </c>
      <c r="AO171" s="281">
        <f t="shared" si="110"/>
        <v>317.20000000000005</v>
      </c>
      <c r="AP171" s="281">
        <f>IFERROR(VLOOKUP($A171,'F TrB'!$C$3:$O$21,3,FALSE),-9999)</f>
        <v>-9999</v>
      </c>
      <c r="AQ171" s="281">
        <f t="shared" si="102"/>
        <v>-999</v>
      </c>
      <c r="AR171" s="281">
        <f>IFERROR(IF(VLOOKUP($A171,'F TrB'!$Q$3:$R$21,2,FALSE)=0,-99999,VLOOKUP($A171,'F TrB'!$Q$3:$R$21,2,FALSE)),-99999)</f>
        <v>-99999</v>
      </c>
      <c r="AS171" s="281">
        <f t="shared" si="103"/>
        <v>-99999</v>
      </c>
      <c r="AT171" s="281" t="str">
        <f>IFERROR(VLOOKUP($A171,'NDVI tipo'!$Q$8:$S$30,2,FALSE),"")</f>
        <v/>
      </c>
      <c r="AU171" s="281">
        <f>IF(ISERROR(VLOOKUP($A171,'NDVI tipo'!$Q$8:$S$50,2,FALSE)),AU170+VLOOKUP($A171,'NDVI tipo'!$Q$8:$S$50,3,TRUE),VLOOKUP($A171,'NDVI tipo'!$Q$8:$S$50,2,FALSE))</f>
        <v>0.82441699999999973</v>
      </c>
      <c r="AV171" s="281">
        <f>IFERROR(VLOOKUP($A171,'NDVI real'!$Q$8:$S$44,2,FALSE),-999)</f>
        <v>-999</v>
      </c>
      <c r="AW171" s="281">
        <f>IF(ISERROR(VLOOKUP($A171,'NDVI real'!$T$8:$U$350,2,FALSE)),"",VLOOKUP($A171,'NDVI real'!$T$8:$U$350,2,FALSE))</f>
        <v>0.88265432000000066</v>
      </c>
      <c r="AX171" s="286">
        <f>IFERROR(VLOOKUP($A171,SWB!$C$15:$BE$244,53,FALSE),"")</f>
        <v>7.4221716177168515</v>
      </c>
      <c r="AY171" s="286">
        <f>IFERROR(VLOOKUP($A171,SWB!$C$15:$BE$244,55,FALSE),"")</f>
        <v>2.5054629330344653</v>
      </c>
      <c r="AZ171" s="281">
        <f>IF(ISERROR(VLOOKUP($A171,Clima!$V$8:$AI$320,14,FALSE)),-999,VLOOKUP(A171,Clima!$V$8:$AI$219,14,FALSE))</f>
        <v>6.7</v>
      </c>
      <c r="BA171" s="281">
        <f t="shared" si="111"/>
        <v>378.80000000000007</v>
      </c>
      <c r="BB171" s="281">
        <f t="shared" si="104"/>
        <v>6.7</v>
      </c>
      <c r="BC171" s="281">
        <f t="shared" si="112"/>
        <v>378.80000000000007</v>
      </c>
      <c r="BD171" s="284">
        <f t="shared" si="126"/>
        <v>42142</v>
      </c>
    </row>
    <row r="172" spans="1:56" s="275" customFormat="1" ht="12.75">
      <c r="A172" s="273">
        <f t="shared" si="105"/>
        <v>42143</v>
      </c>
      <c r="B172" s="274">
        <f t="shared" si="115"/>
        <v>139</v>
      </c>
      <c r="C172" s="275" t="str">
        <f t="shared" si="116"/>
        <v>Mediados</v>
      </c>
      <c r="D172" s="276">
        <f t="shared" si="117"/>
        <v>4.3</v>
      </c>
      <c r="E172" s="276">
        <f t="shared" si="118"/>
        <v>1.1499999999999999</v>
      </c>
      <c r="F172" s="276"/>
      <c r="G172" s="276">
        <f t="shared" si="119"/>
        <v>6.1573999999999997E-2</v>
      </c>
      <c r="H172" s="276">
        <f t="shared" si="120"/>
        <v>1.1615740000000001</v>
      </c>
      <c r="I172" s="276">
        <f t="shared" si="121"/>
        <v>6.7371270000000001</v>
      </c>
      <c r="J172" s="276">
        <f>IFERROR(IF($G$1="Sí",VLOOKUP($A172,CSVAgro,13,FALSE),VLOOKUP($A172,SWB!$C$15:$P$202,14,FALSE)),0)</f>
        <v>17.399999999999999</v>
      </c>
      <c r="K172" s="487">
        <f t="shared" si="122"/>
        <v>5</v>
      </c>
      <c r="L172" s="487">
        <f t="shared" si="89"/>
        <v>0</v>
      </c>
      <c r="M172" s="487">
        <f t="shared" si="90"/>
        <v>5</v>
      </c>
      <c r="N172" s="277">
        <f>IF(ISERROR($G$1="Sí"),VLOOKUP($A172,CSVAgro,16,FALSE),IF(ISERROR(VLOOKUP($A172,Clima!$W$8:$Z$284,2,FALSE)),VLOOKUP($A172,Clima!$E$8:$H$372,2,FALSE),VLOOKUP($A172,Clima!$W$8:$Z$284,2,FALSE)))</f>
        <v>16.899999999999999</v>
      </c>
      <c r="O172" s="276">
        <f t="shared" si="123"/>
        <v>277.85511895560279</v>
      </c>
      <c r="P172" s="276">
        <f t="shared" si="106"/>
        <v>123.9</v>
      </c>
      <c r="Q172" s="487">
        <f t="shared" si="92"/>
        <v>155</v>
      </c>
      <c r="R172" s="278">
        <f t="shared" si="107"/>
        <v>16.899999999999999</v>
      </c>
      <c r="S172" s="278">
        <f t="shared" si="98"/>
        <v>16.899999999999999</v>
      </c>
      <c r="T172" s="279">
        <f t="shared" si="93"/>
        <v>139</v>
      </c>
      <c r="U172" s="279">
        <f t="shared" si="113"/>
        <v>21</v>
      </c>
      <c r="V172" s="276">
        <f t="shared" si="99"/>
        <v>0</v>
      </c>
      <c r="W172" s="276">
        <f>IF(AND(S172&gt;VLOOKUP(Inputs!$I$2,Extracciones,3),S172&lt;VLOOKUP(Inputs!$I$2,Extracciones,5)),(S172-VLOOKUP(Inputs!$I$2,Extracciones,3))*Inputs!$E$12,0)</f>
        <v>0</v>
      </c>
      <c r="X172" s="278">
        <f>IF(AD172=0,VLOOKUP(R172,Mineral,2)*R172*Inputs!$C$16*Inputs!$E$37,VLOOKUP(R172,Mineral,2)*R172*Inputs!$C$16)</f>
        <v>1.1829999999999998</v>
      </c>
      <c r="Y172" s="278">
        <f>SUM(K172,M172)*Inputs!$O$8*14/(100*62)</f>
        <v>0.33870967741935482</v>
      </c>
      <c r="Z172" s="278">
        <f t="shared" si="108"/>
        <v>0</v>
      </c>
      <c r="AA172" s="278">
        <f t="shared" si="109"/>
        <v>0</v>
      </c>
      <c r="AB172" s="279">
        <f t="shared" si="124"/>
        <v>0</v>
      </c>
      <c r="AC172" s="278">
        <f t="shared" si="127"/>
        <v>0</v>
      </c>
      <c r="AD172" s="279">
        <f t="shared" si="95"/>
        <v>-3.3659999999999508</v>
      </c>
      <c r="AE172" s="278">
        <f t="shared" si="100"/>
        <v>-239.53049999999985</v>
      </c>
      <c r="AF172" s="278">
        <f t="shared" si="114"/>
        <v>70.947372831557686</v>
      </c>
      <c r="AG172" s="279">
        <f t="shared" si="125"/>
        <v>25</v>
      </c>
      <c r="AH172" s="279">
        <f>AF172*1000000/(Inputs!$C$9*100*Inputs!$C$8*1000*(1-Inputs!$C$10)*(1+Inputs!$C$12))</f>
        <v>14.195152627362484</v>
      </c>
      <c r="AI172" s="279">
        <f>IFERROR(HLOOKUP(A172,Inputs!$C$14:$C$15,2,FALSE),-100)</f>
        <v>-100</v>
      </c>
      <c r="AJ172" s="281">
        <f t="shared" si="101"/>
        <v>0</v>
      </c>
      <c r="AK172" s="282">
        <f t="shared" si="128"/>
        <v>40.003000000000007</v>
      </c>
      <c r="AL172" s="282">
        <f t="shared" si="129"/>
        <v>10.838709677419351</v>
      </c>
      <c r="AM172" s="282">
        <f t="shared" si="130"/>
        <v>-1.9838368458620446</v>
      </c>
      <c r="AN172" s="283">
        <f>IFERROR(IF($G$1="Sí",VLOOKUP($A172,CSVAgro,9,FALSE),VLOOKUP($A172,Clima!$E$8:$Q$373,13,FALSE)),0)</f>
        <v>4.8</v>
      </c>
      <c r="AO172" s="281">
        <f t="shared" si="110"/>
        <v>322.00000000000006</v>
      </c>
      <c r="AP172" s="281">
        <f>IFERROR(VLOOKUP($A172,'F TrB'!$C$3:$O$21,3,FALSE),-9999)</f>
        <v>71</v>
      </c>
      <c r="AQ172" s="281">
        <f t="shared" si="102"/>
        <v>1.4</v>
      </c>
      <c r="AR172" s="281">
        <f>IFERROR(IF(VLOOKUP($A172,'F TrB'!$Q$3:$R$21,2,FALSE)=0,-99999,VLOOKUP($A172,'F TrB'!$Q$3:$R$21,2,FALSE)),-99999)</f>
        <v>-99999</v>
      </c>
      <c r="AS172" s="281">
        <f t="shared" si="103"/>
        <v>-99999</v>
      </c>
      <c r="AT172" s="281" t="str">
        <f>IFERROR(VLOOKUP($A172,'NDVI tipo'!$Q$8:$S$30,2,FALSE),"")</f>
        <v/>
      </c>
      <c r="AU172" s="281">
        <f>IF(ISERROR(VLOOKUP($A172,'NDVI tipo'!$Q$8:$S$50,2,FALSE)),AU171+VLOOKUP($A172,'NDVI tipo'!$Q$8:$S$50,3,TRUE),VLOOKUP($A172,'NDVI tipo'!$Q$8:$S$50,2,FALSE))</f>
        <v>0.82619599999999971</v>
      </c>
      <c r="AV172" s="281">
        <f>IFERROR(VLOOKUP($A172,'NDVI real'!$Q$8:$S$44,2,FALSE),-999)</f>
        <v>-999</v>
      </c>
      <c r="AW172" s="281">
        <f>IF(ISERROR(VLOOKUP($A172,'NDVI real'!$T$8:$U$350,2,FALSE)),"",VLOOKUP($A172,'NDVI real'!$T$8:$U$350,2,FALSE))</f>
        <v>0.88310185083333403</v>
      </c>
      <c r="AX172" s="286">
        <f>IFERROR(VLOOKUP($A172,SWB!$C$15:$BE$244,53,FALSE),"")</f>
        <v>7.6381049507568521</v>
      </c>
      <c r="AY172" s="286">
        <f>IFERROR(VLOOKUP($A172,SWB!$C$15:$BE$244,55,FALSE),"")</f>
        <v>2.6410112393758993</v>
      </c>
      <c r="AZ172" s="281">
        <f>IF(ISERROR(VLOOKUP($A172,Clima!$V$8:$AI$320,14,FALSE)),-999,VLOOKUP(A172,Clima!$V$8:$AI$219,14,FALSE))</f>
        <v>4.3</v>
      </c>
      <c r="BA172" s="281">
        <f t="shared" si="111"/>
        <v>383.10000000000008</v>
      </c>
      <c r="BB172" s="281">
        <f t="shared" si="104"/>
        <v>4.3</v>
      </c>
      <c r="BC172" s="281">
        <f t="shared" si="112"/>
        <v>383.10000000000008</v>
      </c>
      <c r="BD172" s="284">
        <f t="shared" si="126"/>
        <v>42143</v>
      </c>
    </row>
    <row r="173" spans="1:56" s="275" customFormat="1" ht="12.75">
      <c r="A173" s="273">
        <f t="shared" si="105"/>
        <v>42144</v>
      </c>
      <c r="B173" s="274">
        <f t="shared" ref="B173:B204" si="131">IFERROR(IF($G$1="Sí",VLOOKUP($A173,CSVAgro,4,FALSE),VLOOKUP($A173,CSVSWB,3))," ")</f>
        <v>140</v>
      </c>
      <c r="C173" s="275" t="str">
        <f t="shared" ref="C173:C204" si="132">IFERROR(IF($G$1="Sí",VLOOKUP($A173,CSVAgro,2,FALSE),VLOOKUP($A173,CSVSWB,2,FALSE))," ")</f>
        <v>Mediados</v>
      </c>
      <c r="D173" s="276">
        <f t="shared" ref="D173:D204" si="133">IFERROR(IF($G$1="Sí",VLOOKUP($A173,CSVAgro,9,FALSE),VLOOKUP($A173,CSVSWB,8,FALSE)),0)</f>
        <v>5.2</v>
      </c>
      <c r="E173" s="276">
        <f t="shared" ref="E173:E204" si="134">IFERROR(IF($G$1="Sí",VLOOKUP($A173,CSVAgro,14,FALSE),VLOOKUP($A173,CSVSWB,13,FALSE)),0)</f>
        <v>1.1499999999999999</v>
      </c>
      <c r="F173" s="276"/>
      <c r="G173" s="276">
        <f t="shared" ref="G173:G204" si="135">IFERROR(IF($G$1="Sí",VLOOKUP($A173,CSVAgro,26,FALSE),VLOOKUP($A173,CSVSWB,26,FALSE)),0)</f>
        <v>7.8867000000000007E-2</v>
      </c>
      <c r="H173" s="276">
        <f t="shared" ref="H173:H204" si="136">IFERROR(IF($G$1="Sí",VLOOKUP($A173,CSVAgro,29,FALSE),VLOOKUP($A173,CSVSWB,29,FALSE)),0)</f>
        <v>1.1788670000000001</v>
      </c>
      <c r="I173" s="276">
        <f t="shared" ref="I173:I204" si="137">IFERROR(IF($G$1="Sí",VLOOKUP($A173,CSVAgro,30,FALSE),VLOOKUP($A173,CSVSWB,30,FALSE)),0)</f>
        <v>7.4622279999999996</v>
      </c>
      <c r="J173" s="276">
        <f>IFERROR(IF($G$1="Sí",VLOOKUP($A173,CSVAgro,13,FALSE),VLOOKUP($A173,SWB!$C$15:$P$202,14,FALSE)),0)</f>
        <v>0</v>
      </c>
      <c r="K173" s="487">
        <f t="shared" ref="K173:K204" si="138">IFERROR(IF($G$1="Sí",VLOOKUP($A173,CSVAgro,35,FALSE),VLOOKUP($A173,CSVSWB,35,FALSE)),0)</f>
        <v>0</v>
      </c>
      <c r="L173" s="487">
        <f t="shared" ref="L173:L232" si="139">IFERROR(IF($G$1="Sí",VLOOKUP($A173,CSVAgro,37,FALSE),VLOOKUP($A173,CSVSWB,37,FALSE)),0)</f>
        <v>0</v>
      </c>
      <c r="M173" s="487">
        <f t="shared" ref="M173:M232" si="140">IFERROR(IF($G$1="Sí",VLOOKUP($A173,CSVAgro,36,FALSE),VLOOKUP($A173,CSVSWB,36,FALSE)),0)</f>
        <v>0</v>
      </c>
      <c r="N173" s="277">
        <f>IF(ISERROR($G$1="Sí"),VLOOKUP($A173,CSVAgro,16,FALSE),IF(ISERROR(VLOOKUP($A173,Clima!$W$8:$Z$284,2,FALSE)),VLOOKUP($A173,Clima!$E$8:$H$372,2,FALSE),VLOOKUP($A173,Clima!$W$8:$Z$284,2,FALSE)))</f>
        <v>13.9</v>
      </c>
      <c r="O173" s="276">
        <f t="shared" ref="O173:O204" si="141">IFERROR(IF($G$1="Sí",VLOOKUP($A173,CSVAgro,42,FALSE),VLOOKUP($A173,CSVSWB,42,FALSE)),0)</f>
        <v>284.11497321411281</v>
      </c>
      <c r="P173" s="276">
        <f t="shared" si="106"/>
        <v>123.9</v>
      </c>
      <c r="Q173" s="487">
        <f t="shared" ref="Q173:Q232" si="142">IFERROR(IF($G$1="Sí",VLOOKUP($A173,CSVAgro,43,FALSE),VLOOKUP($A173,CSVSWB,43,FALSE)),0)</f>
        <v>160</v>
      </c>
      <c r="R173" s="278">
        <f t="shared" si="107"/>
        <v>13.9</v>
      </c>
      <c r="S173" s="278">
        <f t="shared" si="98"/>
        <v>13.9</v>
      </c>
      <c r="T173" s="279">
        <f t="shared" ref="T173:T228" si="143">B173</f>
        <v>140</v>
      </c>
      <c r="U173" s="279">
        <f t="shared" si="113"/>
        <v>21</v>
      </c>
      <c r="V173" s="276">
        <f t="shared" si="99"/>
        <v>0</v>
      </c>
      <c r="W173" s="276">
        <f>IF(AND(S173&gt;VLOOKUP(Inputs!$I$2,Extracciones,3),S173&lt;VLOOKUP(Inputs!$I$2,Extracciones,5)),(S173-VLOOKUP(Inputs!$I$2,Extracciones,3))*Inputs!$E$12,0)</f>
        <v>0</v>
      </c>
      <c r="X173" s="278">
        <f>IF(AD173=0,VLOOKUP(R173,Mineral,2)*R173*Inputs!$C$16*Inputs!$E$37,VLOOKUP(R173,Mineral,2)*R173*Inputs!$C$16)</f>
        <v>0.41700000000000004</v>
      </c>
      <c r="Y173" s="278">
        <f>SUM(K173,M173)*Inputs!$O$8*14/(100*62)</f>
        <v>0</v>
      </c>
      <c r="Z173" s="278">
        <f t="shared" si="108"/>
        <v>0</v>
      </c>
      <c r="AA173" s="278">
        <f t="shared" si="109"/>
        <v>0</v>
      </c>
      <c r="AB173" s="279">
        <f t="shared" ref="AB173:AB186" si="144">VLOOKUP(A173,FenoT,11)</f>
        <v>0</v>
      </c>
      <c r="AC173" s="278">
        <f t="shared" si="127"/>
        <v>0</v>
      </c>
      <c r="AD173" s="279">
        <f t="shared" ref="AD173:AD234" si="145">IFERROR(-VLOOKUP(A173,FenoT,9),0)</f>
        <v>-3.4650000000000003</v>
      </c>
      <c r="AE173" s="278">
        <f t="shared" si="100"/>
        <v>-242.99549999999985</v>
      </c>
      <c r="AF173" s="278">
        <f t="shared" si="114"/>
        <v>67.899372831557685</v>
      </c>
      <c r="AG173" s="279">
        <f t="shared" ref="AG173:AG204" si="146">VLOOKUP(A173,FenoT,10)</f>
        <v>25</v>
      </c>
      <c r="AH173" s="279">
        <f>AF173*1000000/(Inputs!$C$9*100*Inputs!$C$8*1000*(1-Inputs!$C$10)*(1+Inputs!$C$12))</f>
        <v>13.585308689787453</v>
      </c>
      <c r="AI173" s="279">
        <f>IFERROR(HLOOKUP(A173,Inputs!$C$14:$C$15,2,FALSE),-100)</f>
        <v>-100</v>
      </c>
      <c r="AJ173" s="281">
        <f t="shared" ref="AJ173:AJ228" si="147">IF(AF173&gt;AG173,0,1)</f>
        <v>0</v>
      </c>
      <c r="AK173" s="282">
        <f t="shared" si="128"/>
        <v>40.420000000000009</v>
      </c>
      <c r="AL173" s="282">
        <f t="shared" si="129"/>
        <v>10.838709677419351</v>
      </c>
      <c r="AM173" s="282">
        <f t="shared" si="130"/>
        <v>-1.9838368458620446</v>
      </c>
      <c r="AN173" s="283">
        <f>IFERROR(IF($G$1="Sí",VLOOKUP($A173,CSVAgro,9,FALSE),VLOOKUP($A173,Clima!$E$8:$Q$373,13,FALSE)),0)</f>
        <v>5.5</v>
      </c>
      <c r="AO173" s="281">
        <f t="shared" si="110"/>
        <v>327.50000000000006</v>
      </c>
      <c r="AP173" s="281">
        <f>IFERROR(VLOOKUP($A173,'F TrB'!$C$3:$O$21,3,FALSE),-9999)</f>
        <v>-9999</v>
      </c>
      <c r="AQ173" s="281">
        <f t="shared" si="102"/>
        <v>-999</v>
      </c>
      <c r="AR173" s="281">
        <f>IFERROR(IF(VLOOKUP($A173,'F TrB'!$Q$3:$R$21,2,FALSE)=0,-99999,VLOOKUP($A173,'F TrB'!$Q$3:$R$21,2,FALSE)),-99999)</f>
        <v>-99999</v>
      </c>
      <c r="AS173" s="281">
        <f t="shared" si="103"/>
        <v>-99999</v>
      </c>
      <c r="AT173" s="281" t="str">
        <f>IFERROR(VLOOKUP($A173,'NDVI tipo'!$Q$8:$S$30,2,FALSE),"")</f>
        <v/>
      </c>
      <c r="AU173" s="281">
        <f>IF(ISERROR(VLOOKUP($A173,'NDVI tipo'!$Q$8:$S$50,2,FALSE)),AU172+VLOOKUP($A173,'NDVI tipo'!$Q$8:$S$50,3,TRUE),VLOOKUP($A173,'NDVI tipo'!$Q$8:$S$50,2,FALSE))</f>
        <v>0.82797499999999968</v>
      </c>
      <c r="AV173" s="281">
        <f>IFERROR(VLOOKUP($A173,'NDVI real'!$Q$8:$S$44,2,FALSE),-999)</f>
        <v>-999</v>
      </c>
      <c r="AW173" s="281">
        <f>IF(ISERROR(VLOOKUP($A173,'NDVI real'!$T$8:$U$350,2,FALSE)),"",VLOOKUP($A173,'NDVI real'!$T$8:$U$350,2,FALSE))</f>
        <v>0.88354938166666741</v>
      </c>
      <c r="AX173" s="286">
        <f>IFERROR(VLOOKUP($A173,SWB!$C$15:$BE$244,53,FALSE),"")</f>
        <v>7.8856762467068524</v>
      </c>
      <c r="AY173" s="286">
        <f>IFERROR(VLOOKUP($A173,SWB!$C$15:$BE$244,55,FALSE),"")</f>
        <v>2.9876819475317689</v>
      </c>
      <c r="AZ173" s="281">
        <f>IF(ISERROR(VLOOKUP($A173,Clima!$V$8:$AI$320,14,FALSE)),-999,VLOOKUP(A173,Clima!$V$8:$AI$219,14,FALSE))</f>
        <v>5.2</v>
      </c>
      <c r="BA173" s="281">
        <f>IF(AZ173=-999,-999,AZ173+BA172)</f>
        <v>388.30000000000007</v>
      </c>
      <c r="BB173" s="281">
        <f t="shared" si="104"/>
        <v>5.2</v>
      </c>
      <c r="BC173" s="281">
        <f t="shared" si="112"/>
        <v>388.30000000000007</v>
      </c>
      <c r="BD173" s="284">
        <f t="shared" ref="BD173:BD204" si="148">A173</f>
        <v>42144</v>
      </c>
    </row>
    <row r="174" spans="1:56" s="275" customFormat="1" ht="12.75">
      <c r="A174" s="273">
        <f t="shared" si="105"/>
        <v>42145</v>
      </c>
      <c r="B174" s="274">
        <f t="shared" si="131"/>
        <v>141</v>
      </c>
      <c r="C174" s="275" t="str">
        <f t="shared" si="132"/>
        <v>Mediados</v>
      </c>
      <c r="D174" s="276">
        <f t="shared" si="133"/>
        <v>4.9000000000000004</v>
      </c>
      <c r="E174" s="276">
        <f t="shared" si="134"/>
        <v>1.1499999999999999</v>
      </c>
      <c r="F174" s="276"/>
      <c r="G174" s="276">
        <f t="shared" si="135"/>
        <v>8.1917000000000004E-2</v>
      </c>
      <c r="H174" s="276">
        <f t="shared" si="136"/>
        <v>1.1819170000000001</v>
      </c>
      <c r="I174" s="276">
        <f t="shared" si="137"/>
        <v>7.8952070000000001</v>
      </c>
      <c r="J174" s="276">
        <f>IFERROR(IF($G$1="Sí",VLOOKUP($A174,CSVAgro,13,FALSE),VLOOKUP($A174,SWB!$C$15:$P$202,14,FALSE)),0)</f>
        <v>0</v>
      </c>
      <c r="K174" s="487">
        <f t="shared" si="138"/>
        <v>0</v>
      </c>
      <c r="L174" s="487">
        <f t="shared" si="139"/>
        <v>0</v>
      </c>
      <c r="M174" s="487">
        <f t="shared" si="140"/>
        <v>0</v>
      </c>
      <c r="N174" s="277">
        <f>IF(ISERROR($G$1="Sí"),VLOOKUP($A174,CSVAgro,16,FALSE),IF(ISERROR(VLOOKUP($A174,Clima!$W$8:$Z$284,2,FALSE)),VLOOKUP($A174,Clima!$E$8:$H$372,2,FALSE),VLOOKUP($A174,Clima!$W$8:$Z$284,2,FALSE)))</f>
        <v>13.8</v>
      </c>
      <c r="O174" s="276">
        <f t="shared" si="141"/>
        <v>290.14514700963781</v>
      </c>
      <c r="P174" s="276">
        <f t="shared" si="106"/>
        <v>123.9</v>
      </c>
      <c r="Q174" s="487">
        <f t="shared" si="142"/>
        <v>160</v>
      </c>
      <c r="R174" s="278">
        <f t="shared" si="107"/>
        <v>13.8</v>
      </c>
      <c r="S174" s="278">
        <f t="shared" ref="S174:S228" si="149">R174</f>
        <v>13.8</v>
      </c>
      <c r="T174" s="279">
        <f t="shared" si="143"/>
        <v>141</v>
      </c>
      <c r="U174" s="279">
        <f t="shared" si="113"/>
        <v>21</v>
      </c>
      <c r="V174" s="276">
        <f t="shared" ref="V174:V228" si="150">MAX(W174-W173,0)</f>
        <v>0</v>
      </c>
      <c r="W174" s="276">
        <f>IF(AND(S174&gt;VLOOKUP(Inputs!$I$2,Extracciones,3),S174&lt;VLOOKUP(Inputs!$I$2,Extracciones,5)),(S174-VLOOKUP(Inputs!$I$2,Extracciones,3))*Inputs!$E$12,0)</f>
        <v>0</v>
      </c>
      <c r="X174" s="278">
        <f>IF(AD174=0,VLOOKUP(R174,Mineral,2)*R174*Inputs!$C$16*Inputs!$E$37,VLOOKUP(R174,Mineral,2)*R174*Inputs!$C$16)</f>
        <v>0.41399999999999998</v>
      </c>
      <c r="Y174" s="278">
        <f>SUM(K174,M174)*Inputs!$O$8*14/(100*62)</f>
        <v>0</v>
      </c>
      <c r="Z174" s="278">
        <f t="shared" si="108"/>
        <v>0</v>
      </c>
      <c r="AA174" s="278">
        <f t="shared" si="109"/>
        <v>0</v>
      </c>
      <c r="AB174" s="279">
        <f t="shared" si="144"/>
        <v>0</v>
      </c>
      <c r="AC174" s="278">
        <f t="shared" si="127"/>
        <v>0</v>
      </c>
      <c r="AD174" s="279">
        <f t="shared" si="145"/>
        <v>-3.4650000000000003</v>
      </c>
      <c r="AE174" s="278">
        <f t="shared" ref="AE174:AE228" si="151">AE173+AD174</f>
        <v>-246.46049999999985</v>
      </c>
      <c r="AF174" s="278">
        <f t="shared" si="114"/>
        <v>64.848372831557683</v>
      </c>
      <c r="AG174" s="279">
        <f t="shared" si="146"/>
        <v>25</v>
      </c>
      <c r="AH174" s="279">
        <f>AF174*1000000/(Inputs!$C$9*100*Inputs!$C$8*1000*(1-Inputs!$C$10)*(1+Inputs!$C$12))</f>
        <v>12.974864512116383</v>
      </c>
      <c r="AI174" s="279">
        <f>IFERROR(HLOOKUP(A174,Inputs!$C$14:$C$15,2,FALSE),-100)</f>
        <v>-100</v>
      </c>
      <c r="AJ174" s="281">
        <f t="shared" si="147"/>
        <v>0</v>
      </c>
      <c r="AK174" s="282">
        <f t="shared" si="128"/>
        <v>40.83400000000001</v>
      </c>
      <c r="AL174" s="282">
        <f t="shared" si="129"/>
        <v>10.838709677419351</v>
      </c>
      <c r="AM174" s="282">
        <f t="shared" si="130"/>
        <v>-1.9838368458620446</v>
      </c>
      <c r="AN174" s="283">
        <f>IFERROR(IF($G$1="Sí",VLOOKUP($A174,CSVAgro,9,FALSE),VLOOKUP($A174,Clima!$E$8:$Q$373,13,FALSE)),0)</f>
        <v>5.3</v>
      </c>
      <c r="AO174" s="281">
        <f t="shared" si="110"/>
        <v>332.80000000000007</v>
      </c>
      <c r="AP174" s="281">
        <f>IFERROR(VLOOKUP($A174,'F TrB'!$C$3:$O$21,3,FALSE),-9999)</f>
        <v>-9999</v>
      </c>
      <c r="AQ174" s="281">
        <f t="shared" ref="AQ174:AQ228" si="152">IF(AP174&gt;0,1.4,-999)</f>
        <v>-999</v>
      </c>
      <c r="AR174" s="281">
        <f>IFERROR(IF(VLOOKUP($A174,'F TrB'!$Q$3:$R$21,2,FALSE)=0,-99999,VLOOKUP($A174,'F TrB'!$Q$3:$R$21,2,FALSE)),-99999)</f>
        <v>-99999</v>
      </c>
      <c r="AS174" s="281">
        <f t="shared" ref="AS174:AS228" si="153">IF(AR174&gt;1,1.4,-99999)</f>
        <v>-99999</v>
      </c>
      <c r="AT174" s="281" t="str">
        <f>IFERROR(VLOOKUP($A174,'NDVI tipo'!$Q$8:$S$30,2,FALSE),"")</f>
        <v/>
      </c>
      <c r="AU174" s="281">
        <f>IF(ISERROR(VLOOKUP($A174,'NDVI tipo'!$Q$8:$S$50,2,FALSE)),AU173+VLOOKUP($A174,'NDVI tipo'!$Q$8:$S$50,3,TRUE),VLOOKUP($A174,'NDVI tipo'!$Q$8:$S$50,2,FALSE))</f>
        <v>0.82975399999999966</v>
      </c>
      <c r="AV174" s="281">
        <f>IFERROR(VLOOKUP($A174,'NDVI real'!$Q$8:$S$44,2,FALSE),-999)</f>
        <v>-999</v>
      </c>
      <c r="AW174" s="281">
        <f>IF(ISERROR(VLOOKUP($A174,'NDVI real'!$T$8:$U$350,2,FALSE)),"",VLOOKUP($A174,'NDVI real'!$T$8:$U$350,2,FALSE))</f>
        <v>0.88399691250000079</v>
      </c>
      <c r="AX174" s="286">
        <f>IFERROR(VLOOKUP($A174,SWB!$C$15:$BE$244,53,FALSE),"")</f>
        <v>8.124387264881852</v>
      </c>
      <c r="AY174" s="286">
        <f>IFERROR(VLOOKUP($A174,SWB!$C$15:$BE$244,55,FALSE),"")</f>
        <v>2.8417392834475663</v>
      </c>
      <c r="AZ174" s="281">
        <f>IF(ISERROR(VLOOKUP($A174,Clima!$V$8:$AI$320,14,FALSE)),-999,VLOOKUP(A174,Clima!$V$8:$AI$219,14,FALSE))</f>
        <v>4.9000000000000004</v>
      </c>
      <c r="BA174" s="281">
        <f t="shared" si="111"/>
        <v>393.20000000000005</v>
      </c>
      <c r="BB174" s="281">
        <f t="shared" ref="BB174:BB232" si="154">IF(AZ174=-999,VLOOKUP(A174,$A$45:$AN$232,40,FALSE),VLOOKUP(A174,$A$45:$AZ$232,52,FALSE))</f>
        <v>4.9000000000000004</v>
      </c>
      <c r="BC174" s="281">
        <f t="shared" si="112"/>
        <v>393.20000000000005</v>
      </c>
      <c r="BD174" s="284">
        <f t="shared" si="148"/>
        <v>42145</v>
      </c>
    </row>
    <row r="175" spans="1:56" s="275" customFormat="1" ht="12.75">
      <c r="A175" s="273">
        <f t="shared" ref="A175:A232" si="155">A174+1</f>
        <v>42146</v>
      </c>
      <c r="B175" s="274">
        <f t="shared" si="131"/>
        <v>142</v>
      </c>
      <c r="C175" s="275" t="str">
        <f t="shared" si="132"/>
        <v>Mediados</v>
      </c>
      <c r="D175" s="276">
        <f t="shared" si="133"/>
        <v>5</v>
      </c>
      <c r="E175" s="276">
        <f t="shared" si="134"/>
        <v>1.1499999999999999</v>
      </c>
      <c r="F175" s="276"/>
      <c r="G175" s="276">
        <f t="shared" si="135"/>
        <v>0.05</v>
      </c>
      <c r="H175" s="276">
        <f t="shared" si="136"/>
        <v>1.1499999999999999</v>
      </c>
      <c r="I175" s="276">
        <f t="shared" si="137"/>
        <v>4.9909999999999997</v>
      </c>
      <c r="J175" s="276">
        <f>IFERROR(IF($G$1="Sí",VLOOKUP($A175,CSVAgro,13,FALSE),VLOOKUP($A175,SWB!$C$15:$P$202,14,FALSE)),0)</f>
        <v>0</v>
      </c>
      <c r="K175" s="487">
        <f t="shared" si="138"/>
        <v>0</v>
      </c>
      <c r="L175" s="487">
        <f t="shared" si="139"/>
        <v>0</v>
      </c>
      <c r="M175" s="487">
        <f t="shared" si="140"/>
        <v>0</v>
      </c>
      <c r="N175" s="277">
        <f>IF(ISERROR($G$1="Sí"),VLOOKUP($A175,CSVAgro,16,FALSE),IF(ISERROR(VLOOKUP($A175,Clima!$W$8:$Z$284,2,FALSE)),VLOOKUP($A175,Clima!$E$8:$H$372,2,FALSE),VLOOKUP($A175,Clima!$W$8:$Z$284,2,FALSE)))</f>
        <v>14.9</v>
      </c>
      <c r="O175" s="276">
        <f t="shared" si="141"/>
        <v>296.7506403421778</v>
      </c>
      <c r="P175" s="276">
        <f t="shared" ref="P175:P232" si="156">J175+P174</f>
        <v>123.9</v>
      </c>
      <c r="Q175" s="487">
        <f t="shared" si="142"/>
        <v>160</v>
      </c>
      <c r="R175" s="278">
        <f t="shared" ref="R175:R228" si="157">N175</f>
        <v>14.9</v>
      </c>
      <c r="S175" s="278">
        <f t="shared" si="149"/>
        <v>14.9</v>
      </c>
      <c r="T175" s="279">
        <f t="shared" si="143"/>
        <v>142</v>
      </c>
      <c r="U175" s="279">
        <f t="shared" si="113"/>
        <v>21</v>
      </c>
      <c r="V175" s="276">
        <f t="shared" si="150"/>
        <v>0</v>
      </c>
      <c r="W175" s="276">
        <f>IF(AND(S175&gt;VLOOKUP(Inputs!$I$2,Extracciones,3),S175&lt;VLOOKUP(Inputs!$I$2,Extracciones,5)),(S175-VLOOKUP(Inputs!$I$2,Extracciones,3))*Inputs!$E$12,0)</f>
        <v>0</v>
      </c>
      <c r="X175" s="278">
        <f>IF(AD175=0,VLOOKUP(R175,Mineral,2)*R175*Inputs!$C$16*Inputs!$E$37,VLOOKUP(R175,Mineral,2)*R175*Inputs!$C$16)</f>
        <v>0.59600000000000009</v>
      </c>
      <c r="Y175" s="278">
        <f>SUM(K175,M175)*Inputs!$O$8*14/(100*62)</f>
        <v>0</v>
      </c>
      <c r="Z175" s="278">
        <f t="shared" ref="Z175:Z233" si="158">IFERROR(VLOOKUP(A175,Fertiliza,9,0),0)</f>
        <v>0</v>
      </c>
      <c r="AA175" s="278">
        <f t="shared" ref="AA175:AA233" si="159">IFERROR(Z175/VLOOKUP(A175,Fertiliza,7),0)</f>
        <v>0</v>
      </c>
      <c r="AB175" s="279">
        <f t="shared" si="144"/>
        <v>0</v>
      </c>
      <c r="AC175" s="278">
        <f t="shared" si="127"/>
        <v>0</v>
      </c>
      <c r="AD175" s="279">
        <f t="shared" si="145"/>
        <v>-3.4650000000000003</v>
      </c>
      <c r="AE175" s="278">
        <f t="shared" si="151"/>
        <v>-249.92549999999986</v>
      </c>
      <c r="AF175" s="278">
        <f t="shared" si="114"/>
        <v>61.979372831557683</v>
      </c>
      <c r="AG175" s="279">
        <f t="shared" si="146"/>
        <v>25</v>
      </c>
      <c r="AH175" s="279">
        <f>AF175*1000000/(Inputs!$C$9*100*Inputs!$C$8*1000*(1-Inputs!$C$10)*(1+Inputs!$C$12))</f>
        <v>12.400834900271645</v>
      </c>
      <c r="AI175" s="279">
        <f>IFERROR(HLOOKUP(A175,Inputs!$C$14:$C$15,2,FALSE),-100)</f>
        <v>-100</v>
      </c>
      <c r="AJ175" s="281">
        <f t="shared" si="147"/>
        <v>0</v>
      </c>
      <c r="AK175" s="282">
        <f t="shared" si="128"/>
        <v>41.430000000000007</v>
      </c>
      <c r="AL175" s="282">
        <f t="shared" si="129"/>
        <v>10.838709677419351</v>
      </c>
      <c r="AM175" s="282">
        <f t="shared" si="130"/>
        <v>-1.9838368458620446</v>
      </c>
      <c r="AN175" s="283">
        <f>IFERROR(IF($G$1="Sí",VLOOKUP($A175,CSVAgro,9,FALSE),VLOOKUP($A175,Clima!$E$8:$Q$373,13,FALSE)),0)</f>
        <v>5.8</v>
      </c>
      <c r="AO175" s="281">
        <f t="shared" ref="AO175:AO228" si="160">AN175+AO174</f>
        <v>338.60000000000008</v>
      </c>
      <c r="AP175" s="281">
        <f>IFERROR(VLOOKUP($A175,'F TrB'!$C$3:$O$21,3,FALSE),-9999)</f>
        <v>-9999</v>
      </c>
      <c r="AQ175" s="281">
        <f t="shared" si="152"/>
        <v>-999</v>
      </c>
      <c r="AR175" s="281">
        <f>IFERROR(IF(VLOOKUP($A175,'F TrB'!$Q$3:$R$21,2,FALSE)=0,-99999,VLOOKUP($A175,'F TrB'!$Q$3:$R$21,2,FALSE)),-99999)</f>
        <v>-99999</v>
      </c>
      <c r="AS175" s="281">
        <f t="shared" si="153"/>
        <v>-99999</v>
      </c>
      <c r="AT175" s="281">
        <f>IFERROR(VLOOKUP($A175,'NDVI tipo'!$Q$8:$S$30,2,FALSE),"")</f>
        <v>0.83153299999999997</v>
      </c>
      <c r="AU175" s="281">
        <f>IF(ISERROR(VLOOKUP($A175,'NDVI tipo'!$Q$8:$S$50,2,FALSE)),AU174+VLOOKUP($A175,'NDVI tipo'!$Q$8:$S$50,3,TRUE),VLOOKUP($A175,'NDVI tipo'!$Q$8:$S$50,2,FALSE))</f>
        <v>0.83153299999999997</v>
      </c>
      <c r="AV175" s="281">
        <f>IFERROR(VLOOKUP($A175,'NDVI real'!$Q$8:$S$44,2,FALSE),-999)</f>
        <v>0.88444444333333339</v>
      </c>
      <c r="AW175" s="281">
        <f>IF(ISERROR(VLOOKUP($A175,'NDVI real'!$T$8:$U$350,2,FALSE)),"",VLOOKUP($A175,'NDVI real'!$T$8:$U$350,2,FALSE))</f>
        <v>0.88444444333333339</v>
      </c>
      <c r="AX175" s="286">
        <f>IFERROR(VLOOKUP($A175,SWB!$C$15:$BE$244,53,FALSE),"")</f>
        <v>8.385773931161852</v>
      </c>
      <c r="AY175" s="286">
        <f>IFERROR(VLOOKUP($A175,SWB!$C$15:$BE$244,55,FALSE),"")</f>
        <v>3.0696732717316024</v>
      </c>
      <c r="AZ175" s="281">
        <f>IF(ISERROR(VLOOKUP($A175,Clima!$V$8:$AI$320,14,FALSE)),-999,VLOOKUP(A175,Clima!$V$8:$AI$219,14,FALSE))</f>
        <v>5</v>
      </c>
      <c r="BA175" s="281">
        <f t="shared" ref="BA175:BA228" si="161">IF(AZ175=-999,-999,AZ175+BA174)</f>
        <v>398.20000000000005</v>
      </c>
      <c r="BB175" s="281">
        <f t="shared" si="154"/>
        <v>5</v>
      </c>
      <c r="BC175" s="281">
        <f t="shared" ref="BC175:BC228" si="162">BB175+BC174</f>
        <v>398.20000000000005</v>
      </c>
      <c r="BD175" s="284">
        <f t="shared" si="148"/>
        <v>42146</v>
      </c>
    </row>
    <row r="176" spans="1:56" s="275" customFormat="1" ht="12.75">
      <c r="A176" s="273">
        <f t="shared" si="155"/>
        <v>42147</v>
      </c>
      <c r="B176" s="274">
        <f t="shared" si="131"/>
        <v>143</v>
      </c>
      <c r="C176" s="275" t="str">
        <f t="shared" si="132"/>
        <v>Mediados</v>
      </c>
      <c r="D176" s="276">
        <f t="shared" si="133"/>
        <v>5.2</v>
      </c>
      <c r="E176" s="276">
        <f t="shared" si="134"/>
        <v>1.1499999999999999</v>
      </c>
      <c r="F176" s="276"/>
      <c r="G176" s="276">
        <f t="shared" si="135"/>
        <v>5.6869000000000003E-2</v>
      </c>
      <c r="H176" s="276">
        <f t="shared" si="136"/>
        <v>1.1568689999999999</v>
      </c>
      <c r="I176" s="276">
        <f t="shared" si="137"/>
        <v>6.0504249999999997</v>
      </c>
      <c r="J176" s="276">
        <f>IFERROR(IF($G$1="Sí",VLOOKUP($A176,CSVAgro,13,FALSE),VLOOKUP($A176,SWB!$C$15:$P$202,14,FALSE)),0)</f>
        <v>0</v>
      </c>
      <c r="K176" s="487">
        <f t="shared" si="138"/>
        <v>0</v>
      </c>
      <c r="L176" s="487">
        <f t="shared" si="139"/>
        <v>0</v>
      </c>
      <c r="M176" s="487">
        <f t="shared" si="140"/>
        <v>0</v>
      </c>
      <c r="N176" s="277">
        <f>IF(ISERROR($G$1="Sí"),VLOOKUP($A176,CSVAgro,16,FALSE),IF(ISERROR(VLOOKUP($A176,Clima!$W$8:$Z$284,2,FALSE)),VLOOKUP($A176,Clima!$E$8:$H$372,2,FALSE),VLOOKUP($A176,Clima!$W$8:$Z$284,2,FALSE)))</f>
        <v>15.4</v>
      </c>
      <c r="O176" s="276">
        <f t="shared" si="141"/>
        <v>302.6661336747178</v>
      </c>
      <c r="P176" s="276">
        <f t="shared" si="156"/>
        <v>123.9</v>
      </c>
      <c r="Q176" s="487">
        <f t="shared" si="142"/>
        <v>160</v>
      </c>
      <c r="R176" s="278">
        <f t="shared" si="157"/>
        <v>15.4</v>
      </c>
      <c r="S176" s="278">
        <f t="shared" si="149"/>
        <v>15.4</v>
      </c>
      <c r="T176" s="279">
        <f t="shared" si="143"/>
        <v>143</v>
      </c>
      <c r="U176" s="279">
        <f t="shared" si="113"/>
        <v>21</v>
      </c>
      <c r="V176" s="276">
        <f t="shared" si="150"/>
        <v>0</v>
      </c>
      <c r="W176" s="276">
        <f>IF(AND(S176&gt;VLOOKUP(Inputs!$I$2,Extracciones,3),S176&lt;VLOOKUP(Inputs!$I$2,Extracciones,5)),(S176-VLOOKUP(Inputs!$I$2,Extracciones,3))*Inputs!$E$12,0)</f>
        <v>0</v>
      </c>
      <c r="X176" s="278">
        <f>IF(AD176=0,VLOOKUP(R176,Mineral,2)*R176*Inputs!$C$16*Inputs!$E$37,VLOOKUP(R176,Mineral,2)*R176*Inputs!$C$16)</f>
        <v>0.92400000000000004</v>
      </c>
      <c r="Y176" s="278">
        <f>SUM(K176,M176)*Inputs!$O$8*14/(100*62)</f>
        <v>0</v>
      </c>
      <c r="Z176" s="278" t="str">
        <f t="shared" si="158"/>
        <v/>
      </c>
      <c r="AA176" s="278">
        <f t="shared" si="159"/>
        <v>0</v>
      </c>
      <c r="AB176" s="279">
        <f t="shared" si="144"/>
        <v>0</v>
      </c>
      <c r="AC176" s="278">
        <f t="shared" si="127"/>
        <v>0</v>
      </c>
      <c r="AD176" s="279">
        <f t="shared" si="145"/>
        <v>-3.4650000000000003</v>
      </c>
      <c r="AE176" s="278">
        <f t="shared" si="151"/>
        <v>-253.39049999999986</v>
      </c>
      <c r="AF176" s="278">
        <f t="shared" si="114"/>
        <v>59.438372831557679</v>
      </c>
      <c r="AG176" s="279">
        <f t="shared" si="146"/>
        <v>25</v>
      </c>
      <c r="AH176" s="279">
        <f>AF176*1000000/(Inputs!$C$9*100*Inputs!$C$8*1000*(1-Inputs!$C$10)*(1+Inputs!$C$12))</f>
        <v>11.892431538927106</v>
      </c>
      <c r="AI176" s="279">
        <f>IFERROR(HLOOKUP(A176,Inputs!$C$14:$C$15,2,FALSE),-100)</f>
        <v>-100</v>
      </c>
      <c r="AJ176" s="281">
        <f t="shared" si="147"/>
        <v>0</v>
      </c>
      <c r="AK176" s="282">
        <f t="shared" si="128"/>
        <v>42.354000000000006</v>
      </c>
      <c r="AL176" s="282">
        <f t="shared" si="129"/>
        <v>10.838709677419351</v>
      </c>
      <c r="AM176" s="282">
        <f t="shared" si="130"/>
        <v>-1.9838368458620446</v>
      </c>
      <c r="AN176" s="283">
        <f>IFERROR(IF($G$1="Sí",VLOOKUP($A176,CSVAgro,9,FALSE),VLOOKUP($A176,Clima!$E$8:$Q$373,13,FALSE)),0)</f>
        <v>5.2</v>
      </c>
      <c r="AO176" s="281">
        <f t="shared" si="160"/>
        <v>343.80000000000007</v>
      </c>
      <c r="AP176" s="281">
        <f>IFERROR(VLOOKUP($A176,'F TrB'!$C$3:$O$21,3,FALSE),-9999)</f>
        <v>-9999</v>
      </c>
      <c r="AQ176" s="281">
        <f t="shared" si="152"/>
        <v>-999</v>
      </c>
      <c r="AR176" s="281">
        <f>IFERROR(IF(VLOOKUP($A176,'F TrB'!$Q$3:$R$21,2,FALSE)=0,-99999,VLOOKUP($A176,'F TrB'!$Q$3:$R$21,2,FALSE)),-99999)</f>
        <v>65</v>
      </c>
      <c r="AS176" s="281">
        <f t="shared" si="153"/>
        <v>1.4</v>
      </c>
      <c r="AT176" s="281" t="str">
        <f>IFERROR(VLOOKUP($A176,'NDVI tipo'!$Q$8:$S$30,2,FALSE),"")</f>
        <v/>
      </c>
      <c r="AU176" s="281">
        <f>IF(ISERROR(VLOOKUP($A176,'NDVI tipo'!$Q$8:$S$50,2,FALSE)),AU175+VLOOKUP($A176,'NDVI tipo'!$Q$8:$S$50,3,TRUE),VLOOKUP($A176,'NDVI tipo'!$Q$8:$S$50,2,FALSE))</f>
        <v>0.82379837499999997</v>
      </c>
      <c r="AV176" s="281">
        <f>IFERROR(VLOOKUP($A176,'NDVI real'!$Q$8:$S$44,2,FALSE),-999)</f>
        <v>-999</v>
      </c>
      <c r="AW176" s="281">
        <f>IF(ISERROR(VLOOKUP($A176,'NDVI real'!$T$8:$U$350,2,FALSE)),"",VLOOKUP($A176,'NDVI real'!$T$8:$U$350,2,FALSE))</f>
        <v>0.8806867273611112</v>
      </c>
      <c r="AX176" s="286">
        <f>IFERROR(VLOOKUP($A176,SWB!$C$15:$BE$244,53,FALSE),"")</f>
        <v>8.6189481900985179</v>
      </c>
      <c r="AY176" s="286">
        <f>IFERROR(VLOOKUP($A176,SWB!$C$15:$BE$244,55,FALSE),"")</f>
        <v>2.7028427715890189</v>
      </c>
      <c r="AZ176" s="281">
        <f>IF(ISERROR(VLOOKUP($A176,Clima!$V$8:$AI$320,14,FALSE)),-999,VLOOKUP(A176,Clima!$V$8:$AI$219,14,FALSE))</f>
        <v>5.2</v>
      </c>
      <c r="BA176" s="281">
        <f t="shared" si="161"/>
        <v>403.40000000000003</v>
      </c>
      <c r="BB176" s="281">
        <f t="shared" si="154"/>
        <v>5.2</v>
      </c>
      <c r="BC176" s="281">
        <f t="shared" si="162"/>
        <v>403.40000000000003</v>
      </c>
      <c r="BD176" s="284">
        <f t="shared" si="148"/>
        <v>42147</v>
      </c>
    </row>
    <row r="177" spans="1:56" s="275" customFormat="1" ht="12.75">
      <c r="A177" s="273">
        <f t="shared" si="155"/>
        <v>42148</v>
      </c>
      <c r="B177" s="274">
        <f t="shared" si="131"/>
        <v>144</v>
      </c>
      <c r="C177" s="275" t="str">
        <f t="shared" si="132"/>
        <v>Mediados</v>
      </c>
      <c r="D177" s="276">
        <f t="shared" si="133"/>
        <v>4.9000000000000004</v>
      </c>
      <c r="E177" s="276">
        <f t="shared" si="134"/>
        <v>1.1499999999999999</v>
      </c>
      <c r="F177" s="276"/>
      <c r="G177" s="276">
        <f t="shared" si="135"/>
        <v>0.05</v>
      </c>
      <c r="H177" s="276">
        <f t="shared" si="136"/>
        <v>1.1499999999999999</v>
      </c>
      <c r="I177" s="276">
        <f t="shared" si="137"/>
        <v>5.6695000000000002</v>
      </c>
      <c r="J177" s="276">
        <f>IFERROR(IF($G$1="Sí",VLOOKUP($A177,CSVAgro,13,FALSE),VLOOKUP($A177,SWB!$C$15:$P$202,14,FALSE)),0)</f>
        <v>0</v>
      </c>
      <c r="K177" s="487">
        <f t="shared" si="138"/>
        <v>5</v>
      </c>
      <c r="L177" s="487">
        <f t="shared" si="139"/>
        <v>0</v>
      </c>
      <c r="M177" s="487">
        <f t="shared" si="140"/>
        <v>5</v>
      </c>
      <c r="N177" s="277">
        <f>IF(ISERROR($G$1="Sí"),VLOOKUP($A177,CSVAgro,16,FALSE),IF(ISERROR(VLOOKUP($A177,Clima!$W$8:$Z$284,2,FALSE)),VLOOKUP($A177,Clima!$E$8:$H$372,2,FALSE),VLOOKUP($A177,Clima!$W$8:$Z$284,2,FALSE)))</f>
        <v>15.4</v>
      </c>
      <c r="O177" s="276">
        <f t="shared" si="141"/>
        <v>307.16638971405314</v>
      </c>
      <c r="P177" s="276">
        <f t="shared" si="156"/>
        <v>123.9</v>
      </c>
      <c r="Q177" s="487">
        <f t="shared" si="142"/>
        <v>160</v>
      </c>
      <c r="R177" s="278">
        <f t="shared" si="157"/>
        <v>15.4</v>
      </c>
      <c r="S177" s="278">
        <f t="shared" si="149"/>
        <v>15.4</v>
      </c>
      <c r="T177" s="279">
        <f t="shared" si="143"/>
        <v>144</v>
      </c>
      <c r="U177" s="279">
        <f t="shared" si="113"/>
        <v>21</v>
      </c>
      <c r="V177" s="276">
        <f t="shared" si="150"/>
        <v>0</v>
      </c>
      <c r="W177" s="276">
        <f>IF(AND(S177&gt;VLOOKUP(Inputs!$I$2,Extracciones,3),S177&lt;VLOOKUP(Inputs!$I$2,Extracciones,5)),(S177-VLOOKUP(Inputs!$I$2,Extracciones,3))*Inputs!$E$12,0)</f>
        <v>0</v>
      </c>
      <c r="X177" s="278">
        <f>IF(AD177=0,VLOOKUP(R177,Mineral,2)*R177*Inputs!$C$16*Inputs!$E$37,VLOOKUP(R177,Mineral,2)*R177*Inputs!$C$16)</f>
        <v>0.92400000000000004</v>
      </c>
      <c r="Y177" s="278">
        <f>SUM(K177,M177)*Inputs!$O$8*14/(100*62)</f>
        <v>0.33870967741935482</v>
      </c>
      <c r="Z177" s="278">
        <f t="shared" si="158"/>
        <v>0</v>
      </c>
      <c r="AA177" s="278">
        <f t="shared" si="159"/>
        <v>0</v>
      </c>
      <c r="AB177" s="279">
        <f t="shared" si="144"/>
        <v>0</v>
      </c>
      <c r="AC177" s="278">
        <f t="shared" si="127"/>
        <v>0</v>
      </c>
      <c r="AD177" s="279">
        <f t="shared" si="145"/>
        <v>-3.4650000000000003</v>
      </c>
      <c r="AE177" s="278">
        <f t="shared" si="151"/>
        <v>-256.85549999999984</v>
      </c>
      <c r="AF177" s="278">
        <f t="shared" si="114"/>
        <v>57.236082508977027</v>
      </c>
      <c r="AG177" s="279">
        <f t="shared" si="146"/>
        <v>25</v>
      </c>
      <c r="AH177" s="279">
        <f>AF177*1000000/(Inputs!$C$9*100*Inputs!$C$8*1000*(1-Inputs!$C$10)*(1+Inputs!$C$12))</f>
        <v>11.451797220683678</v>
      </c>
      <c r="AI177" s="279">
        <f>IFERROR(HLOOKUP(A177,Inputs!$C$14:$C$15,2,FALSE),-100)</f>
        <v>-100</v>
      </c>
      <c r="AJ177" s="281">
        <f t="shared" si="147"/>
        <v>0</v>
      </c>
      <c r="AK177" s="282">
        <f t="shared" si="128"/>
        <v>43.278000000000006</v>
      </c>
      <c r="AL177" s="282">
        <f t="shared" si="129"/>
        <v>11.177419354838705</v>
      </c>
      <c r="AM177" s="282">
        <f t="shared" si="130"/>
        <v>-1.9838368458620446</v>
      </c>
      <c r="AN177" s="283">
        <f>IFERROR(IF($G$1="Sí",VLOOKUP($A177,CSVAgro,9,FALSE),VLOOKUP($A177,Clima!$E$8:$Q$373,13,FALSE)),0)</f>
        <v>5</v>
      </c>
      <c r="AO177" s="281">
        <f t="shared" si="160"/>
        <v>348.80000000000007</v>
      </c>
      <c r="AP177" s="281">
        <f>IFERROR(VLOOKUP($A177,'F TrB'!$C$3:$O$21,3,FALSE),-9999)</f>
        <v>-9999</v>
      </c>
      <c r="AQ177" s="281">
        <f t="shared" si="152"/>
        <v>-999</v>
      </c>
      <c r="AR177" s="281">
        <f>IFERROR(IF(VLOOKUP($A177,'F TrB'!$Q$3:$R$21,2,FALSE)=0,-99999,VLOOKUP($A177,'F TrB'!$Q$3:$R$21,2,FALSE)),-99999)</f>
        <v>-99999</v>
      </c>
      <c r="AS177" s="281">
        <f t="shared" si="153"/>
        <v>-99999</v>
      </c>
      <c r="AT177" s="281" t="str">
        <f>IFERROR(VLOOKUP($A177,'NDVI tipo'!$Q$8:$S$30,2,FALSE),"")</f>
        <v/>
      </c>
      <c r="AU177" s="281">
        <f>IF(ISERROR(VLOOKUP($A177,'NDVI tipo'!$Q$8:$S$50,2,FALSE)),AU176+VLOOKUP($A177,'NDVI tipo'!$Q$8:$S$50,3,TRUE),VLOOKUP($A177,'NDVI tipo'!$Q$8:$S$50,2,FALSE))</f>
        <v>0.81606374999999998</v>
      </c>
      <c r="AV177" s="281">
        <f>IFERROR(VLOOKUP($A177,'NDVI real'!$Q$8:$S$44,2,FALSE),-999)</f>
        <v>-999</v>
      </c>
      <c r="AW177" s="281">
        <f>IF(ISERROR(VLOOKUP($A177,'NDVI real'!$T$8:$U$350,2,FALSE)),"",VLOOKUP($A177,'NDVI real'!$T$8:$U$350,2,FALSE))</f>
        <v>0.87692901138888901</v>
      </c>
      <c r="AX177" s="286">
        <f>IFERROR(VLOOKUP($A177,SWB!$C$15:$BE$244,53,FALSE),"")</f>
        <v>8.8420268935151842</v>
      </c>
      <c r="AY177" s="286">
        <f>IFERROR(VLOOKUP($A177,SWB!$C$15:$BE$244,55,FALSE),"")</f>
        <v>2.5557278612815253</v>
      </c>
      <c r="AZ177" s="281">
        <f>IF(ISERROR(VLOOKUP($A177,Clima!$V$8:$AI$320,14,FALSE)),-999,VLOOKUP(A177,Clima!$V$8:$AI$219,14,FALSE))</f>
        <v>4.9000000000000004</v>
      </c>
      <c r="BA177" s="281">
        <f t="shared" si="161"/>
        <v>408.3</v>
      </c>
      <c r="BB177" s="281">
        <f t="shared" si="154"/>
        <v>4.9000000000000004</v>
      </c>
      <c r="BC177" s="281">
        <f t="shared" si="162"/>
        <v>408.3</v>
      </c>
      <c r="BD177" s="284">
        <f t="shared" si="148"/>
        <v>42148</v>
      </c>
    </row>
    <row r="178" spans="1:56" s="275" customFormat="1" ht="12.75">
      <c r="A178" s="273">
        <f t="shared" si="155"/>
        <v>42149</v>
      </c>
      <c r="B178" s="274">
        <f t="shared" si="131"/>
        <v>145</v>
      </c>
      <c r="C178" s="275" t="str">
        <f t="shared" si="132"/>
        <v>Mediados</v>
      </c>
      <c r="D178" s="276">
        <f t="shared" si="133"/>
        <v>4.4000000000000004</v>
      </c>
      <c r="E178" s="276">
        <f t="shared" si="134"/>
        <v>1.1499999999999999</v>
      </c>
      <c r="F178" s="276"/>
      <c r="G178" s="276">
        <f t="shared" si="135"/>
        <v>9.2574000000000004E-2</v>
      </c>
      <c r="H178" s="276">
        <f t="shared" si="136"/>
        <v>1.192574</v>
      </c>
      <c r="I178" s="276">
        <f t="shared" si="137"/>
        <v>5.9986480000000002</v>
      </c>
      <c r="J178" s="276">
        <f>IFERROR(IF($G$1="Sí",VLOOKUP($A178,CSVAgro,13,FALSE),VLOOKUP($A178,SWB!$C$15:$P$202,14,FALSE)),0)</f>
        <v>0</v>
      </c>
      <c r="K178" s="487">
        <f t="shared" si="138"/>
        <v>5</v>
      </c>
      <c r="L178" s="487">
        <f t="shared" si="139"/>
        <v>0</v>
      </c>
      <c r="M178" s="487">
        <f t="shared" si="140"/>
        <v>5</v>
      </c>
      <c r="N178" s="277">
        <f>IF(ISERROR($G$1="Sí"),VLOOKUP($A178,CSVAgro,16,FALSE),IF(ISERROR(VLOOKUP($A178,Clima!$W$8:$Z$284,2,FALSE)),VLOOKUP($A178,Clima!$E$8:$H$372,2,FALSE),VLOOKUP($A178,Clima!$W$8:$Z$284,2,FALSE)))</f>
        <v>16.399999999999999</v>
      </c>
      <c r="O178" s="276">
        <f t="shared" si="141"/>
        <v>312.3153643631407</v>
      </c>
      <c r="P178" s="276">
        <f t="shared" si="156"/>
        <v>123.9</v>
      </c>
      <c r="Q178" s="487">
        <f t="shared" si="142"/>
        <v>165</v>
      </c>
      <c r="R178" s="278">
        <f t="shared" si="157"/>
        <v>16.399999999999999</v>
      </c>
      <c r="S178" s="278">
        <f t="shared" si="149"/>
        <v>16.399999999999999</v>
      </c>
      <c r="T178" s="279">
        <f t="shared" si="143"/>
        <v>145</v>
      </c>
      <c r="U178" s="279">
        <f t="shared" si="113"/>
        <v>22</v>
      </c>
      <c r="V178" s="276">
        <f t="shared" si="150"/>
        <v>0</v>
      </c>
      <c r="W178" s="276">
        <f>IF(AND(S178&gt;VLOOKUP(Inputs!$I$2,Extracciones,3),S178&lt;VLOOKUP(Inputs!$I$2,Extracciones,5)),(S178-VLOOKUP(Inputs!$I$2,Extracciones,3))*Inputs!$E$12,0)</f>
        <v>0</v>
      </c>
      <c r="X178" s="278">
        <f>IF(AD178=0,VLOOKUP(R178,Mineral,2)*R178*Inputs!$C$16*Inputs!$E$37,VLOOKUP(R178,Mineral,2)*R178*Inputs!$C$16)</f>
        <v>1.1479999999999999</v>
      </c>
      <c r="Y178" s="278">
        <f>SUM(K178,M178)*Inputs!$O$8*14/(100*62)</f>
        <v>0.33870967741935482</v>
      </c>
      <c r="Z178" s="278">
        <f t="shared" si="158"/>
        <v>0</v>
      </c>
      <c r="AA178" s="278">
        <f t="shared" si="159"/>
        <v>0</v>
      </c>
      <c r="AB178" s="279">
        <f t="shared" si="144"/>
        <v>0</v>
      </c>
      <c r="AC178" s="278">
        <f t="shared" si="127"/>
        <v>0</v>
      </c>
      <c r="AD178" s="279">
        <f t="shared" si="145"/>
        <v>-3.4650000000000003</v>
      </c>
      <c r="AE178" s="278">
        <f t="shared" si="151"/>
        <v>-260.32049999999981</v>
      </c>
      <c r="AF178" s="278">
        <f t="shared" si="114"/>
        <v>55.257792186396379</v>
      </c>
      <c r="AG178" s="279">
        <f t="shared" si="146"/>
        <v>25</v>
      </c>
      <c r="AH178" s="279">
        <f>AF178*1000000/(Inputs!$C$9*100*Inputs!$C$8*1000*(1-Inputs!$C$10)*(1+Inputs!$C$12))</f>
        <v>11.055980829611121</v>
      </c>
      <c r="AI178" s="279">
        <f>IFERROR(HLOOKUP(A178,Inputs!$C$14:$C$15,2,FALSE),-100)</f>
        <v>-100</v>
      </c>
      <c r="AJ178" s="281">
        <f t="shared" si="147"/>
        <v>0</v>
      </c>
      <c r="AK178" s="282">
        <f t="shared" si="128"/>
        <v>44.426000000000009</v>
      </c>
      <c r="AL178" s="282">
        <f t="shared" si="129"/>
        <v>11.516129032258059</v>
      </c>
      <c r="AM178" s="282">
        <f t="shared" si="130"/>
        <v>-1.9838368458620446</v>
      </c>
      <c r="AN178" s="283">
        <f>IFERROR(IF($G$1="Sí",VLOOKUP($A178,CSVAgro,9,FALSE),VLOOKUP($A178,Clima!$E$8:$Q$373,13,FALSE)),0)</f>
        <v>5.9</v>
      </c>
      <c r="AO178" s="281">
        <f t="shared" si="160"/>
        <v>354.70000000000005</v>
      </c>
      <c r="AP178" s="281">
        <f>IFERROR(VLOOKUP($A178,'F TrB'!$C$3:$O$21,3,FALSE),-9999)</f>
        <v>75</v>
      </c>
      <c r="AQ178" s="281">
        <f t="shared" si="152"/>
        <v>1.4</v>
      </c>
      <c r="AR178" s="281">
        <f>IFERROR(IF(VLOOKUP($A178,'F TrB'!$Q$3:$R$21,2,FALSE)=0,-99999,VLOOKUP($A178,'F TrB'!$Q$3:$R$21,2,FALSE)),-99999)</f>
        <v>-99999</v>
      </c>
      <c r="AS178" s="281">
        <f t="shared" si="153"/>
        <v>-99999</v>
      </c>
      <c r="AT178" s="281" t="str">
        <f>IFERROR(VLOOKUP($A178,'NDVI tipo'!$Q$8:$S$30,2,FALSE),"")</f>
        <v/>
      </c>
      <c r="AU178" s="281">
        <f>IF(ISERROR(VLOOKUP($A178,'NDVI tipo'!$Q$8:$S$50,2,FALSE)),AU177+VLOOKUP($A178,'NDVI tipo'!$Q$8:$S$50,3,TRUE),VLOOKUP($A178,'NDVI tipo'!$Q$8:$S$50,2,FALSE))</f>
        <v>0.80832912499999998</v>
      </c>
      <c r="AV178" s="281">
        <f>IFERROR(VLOOKUP($A178,'NDVI real'!$Q$8:$S$44,2,FALSE),-999)</f>
        <v>-999</v>
      </c>
      <c r="AW178" s="281">
        <f>IF(ISERROR(VLOOKUP($A178,'NDVI real'!$T$8:$U$350,2,FALSE)),"",VLOOKUP($A178,'NDVI real'!$T$8:$U$350,2,FALSE))</f>
        <v>0.87317129541666683</v>
      </c>
      <c r="AX178" s="286">
        <f>IFERROR(VLOOKUP($A178,SWB!$C$15:$BE$244,53,FALSE),"")</f>
        <v>9.1039295320926836</v>
      </c>
      <c r="AY178" s="286">
        <f>IFERROR(VLOOKUP($A178,SWB!$C$15:$BE$244,55,FALSE),"")</f>
        <v>2.9644197516428505</v>
      </c>
      <c r="AZ178" s="281">
        <f>IF(ISERROR(VLOOKUP($A178,Clima!$V$8:$AI$320,14,FALSE)),-999,VLOOKUP(A178,Clima!$V$8:$AI$219,14,FALSE))</f>
        <v>4.4000000000000004</v>
      </c>
      <c r="BA178" s="281">
        <f t="shared" si="161"/>
        <v>412.7</v>
      </c>
      <c r="BB178" s="281">
        <f t="shared" si="154"/>
        <v>4.4000000000000004</v>
      </c>
      <c r="BC178" s="281">
        <f t="shared" si="162"/>
        <v>412.7</v>
      </c>
      <c r="BD178" s="284">
        <f t="shared" si="148"/>
        <v>42149</v>
      </c>
    </row>
    <row r="179" spans="1:56" s="275" customFormat="1" ht="12.75">
      <c r="A179" s="273">
        <f t="shared" si="155"/>
        <v>42150</v>
      </c>
      <c r="B179" s="274">
        <f t="shared" si="131"/>
        <v>146</v>
      </c>
      <c r="C179" s="275" t="str">
        <f t="shared" si="132"/>
        <v>Mediados</v>
      </c>
      <c r="D179" s="276">
        <f t="shared" si="133"/>
        <v>5.9</v>
      </c>
      <c r="E179" s="276">
        <f t="shared" si="134"/>
        <v>1.1499999999999999</v>
      </c>
      <c r="F179" s="276"/>
      <c r="G179" s="276">
        <f t="shared" si="135"/>
        <v>0.05</v>
      </c>
      <c r="H179" s="276">
        <f t="shared" si="136"/>
        <v>1.1499999999999999</v>
      </c>
      <c r="I179" s="276">
        <f t="shared" si="137"/>
        <v>5.9225000000000003</v>
      </c>
      <c r="J179" s="276">
        <f>IFERROR(IF($G$1="Sí",VLOOKUP($A179,CSVAgro,13,FALSE),VLOOKUP($A179,SWB!$C$15:$P$202,14,FALSE)),0)</f>
        <v>0</v>
      </c>
      <c r="K179" s="487">
        <f t="shared" si="138"/>
        <v>5</v>
      </c>
      <c r="L179" s="487">
        <f t="shared" si="139"/>
        <v>0</v>
      </c>
      <c r="M179" s="487">
        <f t="shared" si="140"/>
        <v>5</v>
      </c>
      <c r="N179" s="277">
        <f>IF(ISERROR($G$1="Sí"),VLOOKUP($A179,CSVAgro,16,FALSE),IF(ISERROR(VLOOKUP($A179,Clima!$W$8:$Z$284,2,FALSE)),VLOOKUP($A179,Clima!$E$8:$H$372,2,FALSE),VLOOKUP($A179,Clima!$W$8:$Z$284,2,FALSE)))</f>
        <v>17.899999999999999</v>
      </c>
      <c r="O179" s="276">
        <f t="shared" si="141"/>
        <v>317.20456052533297</v>
      </c>
      <c r="P179" s="276">
        <f t="shared" si="156"/>
        <v>123.9</v>
      </c>
      <c r="Q179" s="487">
        <f t="shared" si="142"/>
        <v>170</v>
      </c>
      <c r="R179" s="278">
        <f t="shared" si="157"/>
        <v>17.899999999999999</v>
      </c>
      <c r="S179" s="278">
        <f t="shared" si="149"/>
        <v>17.899999999999999</v>
      </c>
      <c r="T179" s="279">
        <f t="shared" si="143"/>
        <v>146</v>
      </c>
      <c r="U179" s="279">
        <f t="shared" si="113"/>
        <v>22</v>
      </c>
      <c r="V179" s="276">
        <f t="shared" si="150"/>
        <v>0</v>
      </c>
      <c r="W179" s="276">
        <f>IF(AND(S179&gt;VLOOKUP(Inputs!$I$2,Extracciones,3),S179&lt;VLOOKUP(Inputs!$I$2,Extracciones,5)),(S179-VLOOKUP(Inputs!$I$2,Extracciones,3))*Inputs!$E$12,0)</f>
        <v>0</v>
      </c>
      <c r="X179" s="278">
        <f>IF(AD179=0,VLOOKUP(R179,Mineral,2)*R179*Inputs!$C$16*Inputs!$E$37,VLOOKUP(R179,Mineral,2)*R179*Inputs!$C$16)</f>
        <v>1.4320000000000002</v>
      </c>
      <c r="Y179" s="278">
        <f>SUM(K179,M179)*Inputs!$O$8*14/(100*62)</f>
        <v>0.33870967741935482</v>
      </c>
      <c r="Z179" s="278">
        <f t="shared" si="158"/>
        <v>0</v>
      </c>
      <c r="AA179" s="278">
        <f t="shared" si="159"/>
        <v>0</v>
      </c>
      <c r="AB179" s="279">
        <f t="shared" si="144"/>
        <v>0</v>
      </c>
      <c r="AC179" s="278">
        <f t="shared" si="127"/>
        <v>0</v>
      </c>
      <c r="AD179" s="279">
        <f t="shared" si="145"/>
        <v>-4.7519999999999998</v>
      </c>
      <c r="AE179" s="278">
        <f t="shared" si="151"/>
        <v>-265.07249999999982</v>
      </c>
      <c r="AF179" s="278">
        <f t="shared" si="114"/>
        <v>52.276501863815731</v>
      </c>
      <c r="AG179" s="279">
        <f t="shared" si="146"/>
        <v>25</v>
      </c>
      <c r="AH179" s="279">
        <f>AF179*1000000/(Inputs!$C$9*100*Inputs!$C$8*1000*(1-Inputs!$C$10)*(1+Inputs!$C$12))</f>
        <v>10.459484166429718</v>
      </c>
      <c r="AI179" s="279">
        <f>IFERROR(HLOOKUP(A179,Inputs!$C$14:$C$15,2,FALSE),-100)</f>
        <v>-100</v>
      </c>
      <c r="AJ179" s="281">
        <f t="shared" si="147"/>
        <v>0</v>
      </c>
      <c r="AK179" s="282">
        <f t="shared" si="128"/>
        <v>45.858000000000011</v>
      </c>
      <c r="AL179" s="282">
        <f t="shared" si="129"/>
        <v>11.854838709677413</v>
      </c>
      <c r="AM179" s="282">
        <f t="shared" si="130"/>
        <v>-1.9838368458620446</v>
      </c>
      <c r="AN179" s="283">
        <f>IFERROR(IF($G$1="Sí",VLOOKUP($A179,CSVAgro,9,FALSE),VLOOKUP($A179,Clima!$E$8:$Q$373,13,FALSE)),0)</f>
        <v>5.5</v>
      </c>
      <c r="AO179" s="281">
        <f t="shared" si="160"/>
        <v>360.20000000000005</v>
      </c>
      <c r="AP179" s="281">
        <f>IFERROR(VLOOKUP($A179,'F TrB'!$C$3:$O$21,3,FALSE),-9999)</f>
        <v>-9999</v>
      </c>
      <c r="AQ179" s="281">
        <f t="shared" si="152"/>
        <v>-999</v>
      </c>
      <c r="AR179" s="281">
        <f>IFERROR(IF(VLOOKUP($A179,'F TrB'!$Q$3:$R$21,2,FALSE)=0,-99999,VLOOKUP($A179,'F TrB'!$Q$3:$R$21,2,FALSE)),-99999)</f>
        <v>-99999</v>
      </c>
      <c r="AS179" s="281">
        <f t="shared" si="153"/>
        <v>-99999</v>
      </c>
      <c r="AT179" s="281" t="str">
        <f>IFERROR(VLOOKUP($A179,'NDVI tipo'!$Q$8:$S$30,2,FALSE),"")</f>
        <v/>
      </c>
      <c r="AU179" s="281">
        <f>IF(ISERROR(VLOOKUP($A179,'NDVI tipo'!$Q$8:$S$50,2,FALSE)),AU178+VLOOKUP($A179,'NDVI tipo'!$Q$8:$S$50,3,TRUE),VLOOKUP($A179,'NDVI tipo'!$Q$8:$S$50,2,FALSE))</f>
        <v>0.80059449999999999</v>
      </c>
      <c r="AV179" s="281">
        <f>IFERROR(VLOOKUP($A179,'NDVI real'!$Q$8:$S$44,2,FALSE),-999)</f>
        <v>-999</v>
      </c>
      <c r="AW179" s="281">
        <f>IF(ISERROR(VLOOKUP($A179,'NDVI real'!$T$8:$U$350,2,FALSE)),"",VLOOKUP($A179,'NDVI real'!$T$8:$U$350,2,FALSE))</f>
        <v>0.86941357944444464</v>
      </c>
      <c r="AX179" s="286">
        <f>IFERROR(VLOOKUP($A179,SWB!$C$15:$BE$244,53,FALSE),"")</f>
        <v>9.3468360133093498</v>
      </c>
      <c r="AY179" s="286">
        <f>IFERROR(VLOOKUP($A179,SWB!$C$15:$BE$244,55,FALSE),"")</f>
        <v>2.7158887603259529</v>
      </c>
      <c r="AZ179" s="281">
        <f>IF(ISERROR(VLOOKUP($A179,Clima!$V$8:$AI$320,14,FALSE)),-999,VLOOKUP(A179,Clima!$V$8:$AI$219,14,FALSE))</f>
        <v>5.9</v>
      </c>
      <c r="BA179" s="281">
        <f t="shared" si="161"/>
        <v>418.59999999999997</v>
      </c>
      <c r="BB179" s="281">
        <f t="shared" si="154"/>
        <v>5.9</v>
      </c>
      <c r="BC179" s="281">
        <f t="shared" si="162"/>
        <v>418.59999999999997</v>
      </c>
      <c r="BD179" s="284">
        <f t="shared" si="148"/>
        <v>42150</v>
      </c>
    </row>
    <row r="180" spans="1:56" s="275" customFormat="1" ht="12.75">
      <c r="A180" s="273">
        <f t="shared" si="155"/>
        <v>42151</v>
      </c>
      <c r="B180" s="274">
        <f t="shared" si="131"/>
        <v>147</v>
      </c>
      <c r="C180" s="275" t="str">
        <f t="shared" si="132"/>
        <v>Mediados</v>
      </c>
      <c r="D180" s="276">
        <f t="shared" si="133"/>
        <v>5.9</v>
      </c>
      <c r="E180" s="276">
        <f t="shared" si="134"/>
        <v>1.1465444434000003</v>
      </c>
      <c r="F180" s="276"/>
      <c r="G180" s="276">
        <f t="shared" si="135"/>
        <v>5.0872000000000001E-2</v>
      </c>
      <c r="H180" s="276">
        <f t="shared" si="136"/>
        <v>1.1508719999999999</v>
      </c>
      <c r="I180" s="276">
        <f t="shared" si="137"/>
        <v>5.627764</v>
      </c>
      <c r="J180" s="276">
        <f>IFERROR(IF($G$1="Sí",VLOOKUP($A180,CSVAgro,13,FALSE),VLOOKUP($A180,SWB!$C$15:$P$202,14,FALSE)),0)</f>
        <v>0</v>
      </c>
      <c r="K180" s="487">
        <f t="shared" si="138"/>
        <v>5</v>
      </c>
      <c r="L180" s="487">
        <f t="shared" si="139"/>
        <v>0</v>
      </c>
      <c r="M180" s="487">
        <f t="shared" si="140"/>
        <v>5</v>
      </c>
      <c r="N180" s="277">
        <f>IF(ISERROR($G$1="Sí"),VLOOKUP($A180,CSVAgro,16,FALSE),IF(ISERROR(VLOOKUP($A180,Clima!$W$8:$Z$284,2,FALSE)),VLOOKUP($A180,Clima!$E$8:$H$372,2,FALSE),VLOOKUP($A180,Clima!$W$8:$Z$284,2,FALSE)))</f>
        <v>18.399999999999999</v>
      </c>
      <c r="O180" s="276">
        <f t="shared" si="141"/>
        <v>322.12752313029409</v>
      </c>
      <c r="P180" s="276">
        <f t="shared" si="156"/>
        <v>123.9</v>
      </c>
      <c r="Q180" s="487">
        <f t="shared" si="142"/>
        <v>175</v>
      </c>
      <c r="R180" s="278">
        <f t="shared" si="157"/>
        <v>18.399999999999999</v>
      </c>
      <c r="S180" s="278">
        <f t="shared" si="149"/>
        <v>18.399999999999999</v>
      </c>
      <c r="T180" s="279">
        <f t="shared" si="143"/>
        <v>147</v>
      </c>
      <c r="U180" s="279">
        <f t="shared" si="113"/>
        <v>22</v>
      </c>
      <c r="V180" s="276">
        <f t="shared" si="150"/>
        <v>0</v>
      </c>
      <c r="W180" s="276">
        <f>IF(AND(S180&gt;VLOOKUP(Inputs!$I$2,Extracciones,3),S180&lt;VLOOKUP(Inputs!$I$2,Extracciones,5)),(S180-VLOOKUP(Inputs!$I$2,Extracciones,3))*Inputs!$E$12,0)</f>
        <v>0</v>
      </c>
      <c r="X180" s="278">
        <f>IF(AD180=0,VLOOKUP(R180,Mineral,2)*R180*Inputs!$C$16*Inputs!$E$37,VLOOKUP(R180,Mineral,2)*R180*Inputs!$C$16)</f>
        <v>1.6559999999999999</v>
      </c>
      <c r="Y180" s="278">
        <f>SUM(K180,M180)*Inputs!$O$8*14/(100*62)</f>
        <v>0.33870967741935482</v>
      </c>
      <c r="Z180" s="278">
        <f t="shared" si="158"/>
        <v>0</v>
      </c>
      <c r="AA180" s="278">
        <f t="shared" si="159"/>
        <v>0</v>
      </c>
      <c r="AB180" s="279">
        <f t="shared" si="144"/>
        <v>0</v>
      </c>
      <c r="AC180" s="278">
        <f t="shared" si="127"/>
        <v>0</v>
      </c>
      <c r="AD180" s="279">
        <f t="shared" si="145"/>
        <v>-4.7519999999999998</v>
      </c>
      <c r="AE180" s="278">
        <f t="shared" si="151"/>
        <v>-269.82449999999983</v>
      </c>
      <c r="AF180" s="278">
        <f t="shared" si="114"/>
        <v>49.519211541235087</v>
      </c>
      <c r="AG180" s="279">
        <f t="shared" si="146"/>
        <v>25</v>
      </c>
      <c r="AH180" s="279">
        <f>AF180*1000000/(Inputs!$C$9*100*Inputs!$C$8*1000*(1-Inputs!$C$10)*(1+Inputs!$C$12))</f>
        <v>9.9078054304191863</v>
      </c>
      <c r="AI180" s="279">
        <f>IFERROR(HLOOKUP(A180,Inputs!$C$14:$C$15,2,FALSE),-100)</f>
        <v>-100</v>
      </c>
      <c r="AJ180" s="281">
        <f t="shared" si="147"/>
        <v>0</v>
      </c>
      <c r="AK180" s="282">
        <f t="shared" si="128"/>
        <v>47.51400000000001</v>
      </c>
      <c r="AL180" s="282">
        <f t="shared" si="129"/>
        <v>12.193548387096767</v>
      </c>
      <c r="AM180" s="282">
        <f t="shared" si="130"/>
        <v>-1.9838368458620446</v>
      </c>
      <c r="AN180" s="283">
        <f>IFERROR(IF($G$1="Sí",VLOOKUP($A180,CSVAgro,9,FALSE),VLOOKUP($A180,Clima!$E$8:$Q$373,13,FALSE)),0)</f>
        <v>5.5</v>
      </c>
      <c r="AO180" s="281">
        <f t="shared" si="160"/>
        <v>365.70000000000005</v>
      </c>
      <c r="AP180" s="281">
        <f>IFERROR(VLOOKUP($A180,'F TrB'!$C$3:$O$21,3,FALSE),-9999)</f>
        <v>-9999</v>
      </c>
      <c r="AQ180" s="281">
        <f t="shared" si="152"/>
        <v>-999</v>
      </c>
      <c r="AR180" s="281">
        <f>IFERROR(IF(VLOOKUP($A180,'F TrB'!$Q$3:$R$21,2,FALSE)=0,-99999,VLOOKUP($A180,'F TrB'!$Q$3:$R$21,2,FALSE)),-99999)</f>
        <v>-99999</v>
      </c>
      <c r="AS180" s="281">
        <f t="shared" si="153"/>
        <v>-99999</v>
      </c>
      <c r="AT180" s="281" t="str">
        <f>IFERROR(VLOOKUP($A180,'NDVI tipo'!$Q$8:$S$30,2,FALSE),"")</f>
        <v/>
      </c>
      <c r="AU180" s="281">
        <f>IF(ISERROR(VLOOKUP($A180,'NDVI tipo'!$Q$8:$S$50,2,FALSE)),AU179+VLOOKUP($A180,'NDVI tipo'!$Q$8:$S$50,3,TRUE),VLOOKUP($A180,'NDVI tipo'!$Q$8:$S$50,2,FALSE))</f>
        <v>0.79285987499999999</v>
      </c>
      <c r="AV180" s="281">
        <f>IFERROR(VLOOKUP($A180,'NDVI real'!$Q$8:$S$44,2,FALSE),-999)</f>
        <v>-999</v>
      </c>
      <c r="AW180" s="281">
        <f>IF(ISERROR(VLOOKUP($A180,'NDVI real'!$T$8:$U$350,2,FALSE)),"",VLOOKUP($A180,'NDVI real'!$T$8:$U$350,2,FALSE))</f>
        <v>0.86565586347222245</v>
      </c>
      <c r="AX180" s="286">
        <f>IFERROR(VLOOKUP($A180,SWB!$C$15:$BE$244,53,FALSE),"")</f>
        <v>9.5885024482551824</v>
      </c>
      <c r="AY180" s="286">
        <f>IFERROR(VLOOKUP($A180,SWB!$C$15:$BE$244,55,FALSE),"")</f>
        <v>2.6712368151319765</v>
      </c>
      <c r="AZ180" s="281">
        <f>IF(ISERROR(VLOOKUP($A180,Clima!$V$8:$AI$320,14,FALSE)),-999,VLOOKUP(A180,Clima!$V$8:$AI$219,14,FALSE))</f>
        <v>5.9</v>
      </c>
      <c r="BA180" s="281">
        <f t="shared" si="161"/>
        <v>424.49999999999994</v>
      </c>
      <c r="BB180" s="281">
        <f t="shared" si="154"/>
        <v>5.9</v>
      </c>
      <c r="BC180" s="281">
        <f t="shared" si="162"/>
        <v>424.49999999999994</v>
      </c>
      <c r="BD180" s="284">
        <f t="shared" si="148"/>
        <v>42151</v>
      </c>
    </row>
    <row r="181" spans="1:56" s="275" customFormat="1" ht="12.75">
      <c r="A181" s="273">
        <f t="shared" si="155"/>
        <v>42152</v>
      </c>
      <c r="B181" s="274">
        <f t="shared" si="131"/>
        <v>148</v>
      </c>
      <c r="C181" s="275" t="str">
        <f t="shared" si="132"/>
        <v>Mediados</v>
      </c>
      <c r="D181" s="276">
        <f t="shared" si="133"/>
        <v>6.3</v>
      </c>
      <c r="E181" s="276">
        <f t="shared" si="134"/>
        <v>1.1411333324000001</v>
      </c>
      <c r="F181" s="276"/>
      <c r="G181" s="276">
        <f t="shared" si="135"/>
        <v>0.05</v>
      </c>
      <c r="H181" s="276">
        <f t="shared" si="136"/>
        <v>1.1499999999999999</v>
      </c>
      <c r="I181" s="276">
        <f t="shared" si="137"/>
        <v>5.0140000000000002</v>
      </c>
      <c r="J181" s="276">
        <f>IFERROR(IF($G$1="Sí",VLOOKUP($A181,CSVAgro,13,FALSE),VLOOKUP($A181,SWB!$C$15:$P$202,14,FALSE)),0)</f>
        <v>0</v>
      </c>
      <c r="K181" s="487">
        <f t="shared" si="138"/>
        <v>5</v>
      </c>
      <c r="L181" s="487">
        <f t="shared" si="139"/>
        <v>0</v>
      </c>
      <c r="M181" s="487">
        <f t="shared" si="140"/>
        <v>5</v>
      </c>
      <c r="N181" s="277">
        <f>IF(ISERROR($G$1="Sí"),VLOOKUP($A181,CSVAgro,16,FALSE),IF(ISERROR(VLOOKUP($A181,Clima!$W$8:$Z$284,2,FALSE)),VLOOKUP($A181,Clima!$E$8:$H$372,2,FALSE),VLOOKUP($A181,Clima!$W$8:$Z$284,2,FALSE)))</f>
        <v>18.8</v>
      </c>
      <c r="O181" s="276">
        <f t="shared" si="141"/>
        <v>327.53112908480364</v>
      </c>
      <c r="P181" s="276">
        <f t="shared" si="156"/>
        <v>123.9</v>
      </c>
      <c r="Q181" s="487">
        <f t="shared" si="142"/>
        <v>180</v>
      </c>
      <c r="R181" s="278">
        <f t="shared" si="157"/>
        <v>18.8</v>
      </c>
      <c r="S181" s="278">
        <f t="shared" si="149"/>
        <v>18.8</v>
      </c>
      <c r="T181" s="279">
        <f t="shared" si="143"/>
        <v>148</v>
      </c>
      <c r="U181" s="279">
        <f t="shared" si="113"/>
        <v>22</v>
      </c>
      <c r="V181" s="276">
        <f t="shared" si="150"/>
        <v>0</v>
      </c>
      <c r="W181" s="276">
        <f>IF(AND(S181&gt;VLOOKUP(Inputs!$I$2,Extracciones,3),S181&lt;VLOOKUP(Inputs!$I$2,Extracciones,5)),(S181-VLOOKUP(Inputs!$I$2,Extracciones,3))*Inputs!$E$12,0)</f>
        <v>0</v>
      </c>
      <c r="X181" s="278">
        <f>IF(AD181=0,VLOOKUP(R181,Mineral,2)*R181*Inputs!$C$16*Inputs!$E$37,VLOOKUP(R181,Mineral,2)*R181*Inputs!$C$16)</f>
        <v>1.6920000000000002</v>
      </c>
      <c r="Y181" s="278">
        <f>SUM(K181,M181)*Inputs!$O$8*14/(100*62)</f>
        <v>0.33870967741935482</v>
      </c>
      <c r="Z181" s="278">
        <f t="shared" si="158"/>
        <v>0</v>
      </c>
      <c r="AA181" s="278">
        <f t="shared" si="159"/>
        <v>0</v>
      </c>
      <c r="AB181" s="279">
        <f t="shared" si="144"/>
        <v>0</v>
      </c>
      <c r="AC181" s="278">
        <f t="shared" si="127"/>
        <v>0</v>
      </c>
      <c r="AD181" s="279">
        <f t="shared" si="145"/>
        <v>-4.7519999999999998</v>
      </c>
      <c r="AE181" s="278">
        <f t="shared" si="151"/>
        <v>-274.57649999999984</v>
      </c>
      <c r="AF181" s="278">
        <f t="shared" si="114"/>
        <v>46.797921218654437</v>
      </c>
      <c r="AG181" s="279">
        <f t="shared" si="146"/>
        <v>25</v>
      </c>
      <c r="AH181" s="279">
        <f>AF181*1000000/(Inputs!$C$9*100*Inputs!$C$8*1000*(1-Inputs!$C$10)*(1+Inputs!$C$12))</f>
        <v>9.3633295755611119</v>
      </c>
      <c r="AI181" s="279">
        <f>IFERROR(HLOOKUP(A181,Inputs!$C$14:$C$15,2,FALSE),-100)</f>
        <v>-100</v>
      </c>
      <c r="AJ181" s="281">
        <f t="shared" si="147"/>
        <v>0</v>
      </c>
      <c r="AK181" s="282">
        <f t="shared" si="128"/>
        <v>49.20600000000001</v>
      </c>
      <c r="AL181" s="282">
        <f t="shared" si="129"/>
        <v>12.532258064516121</v>
      </c>
      <c r="AM181" s="282">
        <f t="shared" si="130"/>
        <v>-1.9838368458620446</v>
      </c>
      <c r="AN181" s="283">
        <f>IFERROR(IF($G$1="Sí",VLOOKUP($A181,CSVAgro,9,FALSE),VLOOKUP($A181,Clima!$E$8:$Q$373,13,FALSE)),0)</f>
        <v>6.4</v>
      </c>
      <c r="AO181" s="281">
        <f t="shared" si="160"/>
        <v>372.1</v>
      </c>
      <c r="AP181" s="281">
        <f>IFERROR(VLOOKUP($A181,'F TrB'!$C$3:$O$21,3,FALSE),-9999)</f>
        <v>-9999</v>
      </c>
      <c r="AQ181" s="281">
        <f t="shared" si="152"/>
        <v>-999</v>
      </c>
      <c r="AR181" s="281">
        <f>IFERROR(IF(VLOOKUP($A181,'F TrB'!$Q$3:$R$21,2,FALSE)=0,-99999,VLOOKUP($A181,'F TrB'!$Q$3:$R$21,2,FALSE)),-99999)</f>
        <v>-99999</v>
      </c>
      <c r="AS181" s="281">
        <f t="shared" si="153"/>
        <v>-99999</v>
      </c>
      <c r="AT181" s="281" t="str">
        <f>IFERROR(VLOOKUP($A181,'NDVI tipo'!$Q$8:$S$30,2,FALSE),"")</f>
        <v/>
      </c>
      <c r="AU181" s="281">
        <f>IF(ISERROR(VLOOKUP($A181,'NDVI tipo'!$Q$8:$S$50,2,FALSE)),AU180+VLOOKUP($A181,'NDVI tipo'!$Q$8:$S$50,3,TRUE),VLOOKUP($A181,'NDVI tipo'!$Q$8:$S$50,2,FALSE))</f>
        <v>0.78512525</v>
      </c>
      <c r="AV181" s="281">
        <f>IFERROR(VLOOKUP($A181,'NDVI real'!$Q$8:$S$44,2,FALSE),-999)</f>
        <v>-999</v>
      </c>
      <c r="AW181" s="281">
        <f>IF(ISERROR(VLOOKUP($A181,'NDVI real'!$T$8:$U$350,2,FALSE)),"",VLOOKUP($A181,'NDVI real'!$T$8:$U$350,2,FALSE))</f>
        <v>0.86189814750000027</v>
      </c>
      <c r="AX181" s="286">
        <f>IFERROR(VLOOKUP($A181,SWB!$C$15:$BE$244,53,FALSE),"")</f>
        <v>9.868271336895182</v>
      </c>
      <c r="AY181" s="286">
        <f>IFERROR(VLOOKUP($A181,SWB!$C$15:$BE$244,55,FALSE),"")</f>
        <v>3.0555042292934615</v>
      </c>
      <c r="AZ181" s="281">
        <f>IF(ISERROR(VLOOKUP($A181,Clima!$V$8:$AI$320,14,FALSE)),-999,VLOOKUP(A181,Clima!$V$8:$AI$219,14,FALSE))</f>
        <v>6.3</v>
      </c>
      <c r="BA181" s="281">
        <f t="shared" si="161"/>
        <v>430.79999999999995</v>
      </c>
      <c r="BB181" s="281">
        <f t="shared" si="154"/>
        <v>6.3</v>
      </c>
      <c r="BC181" s="281">
        <f t="shared" si="162"/>
        <v>430.79999999999995</v>
      </c>
      <c r="BD181" s="284">
        <f t="shared" si="148"/>
        <v>42152</v>
      </c>
    </row>
    <row r="182" spans="1:56" s="275" customFormat="1" ht="12.75">
      <c r="A182" s="273">
        <f t="shared" si="155"/>
        <v>42153</v>
      </c>
      <c r="B182" s="274">
        <f t="shared" si="131"/>
        <v>149</v>
      </c>
      <c r="C182" s="275" t="str">
        <f t="shared" si="132"/>
        <v>Mediados</v>
      </c>
      <c r="D182" s="276">
        <f t="shared" si="133"/>
        <v>5.7</v>
      </c>
      <c r="E182" s="276">
        <f t="shared" si="134"/>
        <v>1.1357222214000002</v>
      </c>
      <c r="F182" s="276"/>
      <c r="G182" s="276">
        <f t="shared" si="135"/>
        <v>6.5503000000000006E-2</v>
      </c>
      <c r="H182" s="276">
        <f t="shared" si="136"/>
        <v>1.165503</v>
      </c>
      <c r="I182" s="276">
        <f t="shared" si="137"/>
        <v>6.8881209999999999</v>
      </c>
      <c r="J182" s="276">
        <f>IFERROR(IF($G$1="Sí",VLOOKUP($A182,CSVAgro,13,FALSE),VLOOKUP($A182,SWB!$C$15:$P$202,14,FALSE)),0)</f>
        <v>3.9</v>
      </c>
      <c r="K182" s="487">
        <f t="shared" si="138"/>
        <v>5</v>
      </c>
      <c r="L182" s="487">
        <f t="shared" si="139"/>
        <v>0</v>
      </c>
      <c r="M182" s="487">
        <f t="shared" si="140"/>
        <v>5</v>
      </c>
      <c r="N182" s="277">
        <f>IF(ISERROR($G$1="Sí"),VLOOKUP($A182,CSVAgro,16,FALSE),IF(ISERROR(VLOOKUP($A182,Clima!$W$8:$Z$284,2,FALSE)),VLOOKUP($A182,Clima!$E$8:$H$372,2,FALSE),VLOOKUP($A182,Clima!$W$8:$Z$284,2,FALSE)))</f>
        <v>19.5</v>
      </c>
      <c r="O182" s="276">
        <f t="shared" si="141"/>
        <v>333.66614273022515</v>
      </c>
      <c r="P182" s="276">
        <f t="shared" si="156"/>
        <v>127.80000000000001</v>
      </c>
      <c r="Q182" s="487">
        <f t="shared" si="142"/>
        <v>185</v>
      </c>
      <c r="R182" s="278">
        <f t="shared" si="157"/>
        <v>19.5</v>
      </c>
      <c r="S182" s="278">
        <f t="shared" si="149"/>
        <v>19.5</v>
      </c>
      <c r="T182" s="279">
        <f t="shared" si="143"/>
        <v>149</v>
      </c>
      <c r="U182" s="279">
        <f t="shared" si="113"/>
        <v>22</v>
      </c>
      <c r="V182" s="276">
        <f t="shared" si="150"/>
        <v>0</v>
      </c>
      <c r="W182" s="276">
        <f>IF(AND(S182&gt;VLOOKUP(Inputs!$I$2,Extracciones,3),S182&lt;VLOOKUP(Inputs!$I$2,Extracciones,5)),(S182-VLOOKUP(Inputs!$I$2,Extracciones,3))*Inputs!$E$12,0)</f>
        <v>0</v>
      </c>
      <c r="X182" s="278">
        <f>IF(AD182=0,VLOOKUP(R182,Mineral,2)*R182*Inputs!$C$16*Inputs!$E$37,VLOOKUP(R182,Mineral,2)*R182*Inputs!$C$16)</f>
        <v>1.9500000000000002</v>
      </c>
      <c r="Y182" s="278">
        <f>SUM(K182,M182)*Inputs!$O$8*14/(100*62)</f>
        <v>0.33870967741935482</v>
      </c>
      <c r="Z182" s="278">
        <f t="shared" si="158"/>
        <v>0</v>
      </c>
      <c r="AA182" s="278">
        <f t="shared" si="159"/>
        <v>0</v>
      </c>
      <c r="AB182" s="279">
        <f t="shared" si="144"/>
        <v>0</v>
      </c>
      <c r="AC182" s="278">
        <f t="shared" si="127"/>
        <v>0</v>
      </c>
      <c r="AD182" s="279">
        <f t="shared" si="145"/>
        <v>-4.7519999999999998</v>
      </c>
      <c r="AE182" s="278">
        <f t="shared" si="151"/>
        <v>-279.32849999999985</v>
      </c>
      <c r="AF182" s="278">
        <f t="shared" si="114"/>
        <v>44.33463089607379</v>
      </c>
      <c r="AG182" s="279">
        <f t="shared" si="146"/>
        <v>25</v>
      </c>
      <c r="AH182" s="279">
        <f>AF182*1000000/(Inputs!$C$9*100*Inputs!$C$8*1000*(1-Inputs!$C$10)*(1+Inputs!$C$12))</f>
        <v>8.8704743689623431</v>
      </c>
      <c r="AI182" s="279">
        <f>IFERROR(HLOOKUP(A182,Inputs!$C$14:$C$15,2,FALSE),-100)</f>
        <v>-100</v>
      </c>
      <c r="AJ182" s="281">
        <f t="shared" si="147"/>
        <v>0</v>
      </c>
      <c r="AK182" s="282">
        <f t="shared" si="128"/>
        <v>51.156000000000013</v>
      </c>
      <c r="AL182" s="282">
        <f t="shared" si="129"/>
        <v>12.870967741935475</v>
      </c>
      <c r="AM182" s="282">
        <f t="shared" si="130"/>
        <v>-1.9838368458620446</v>
      </c>
      <c r="AN182" s="283">
        <f>IFERROR(IF($G$1="Sí",VLOOKUP($A182,CSVAgro,9,FALSE),VLOOKUP($A182,Clima!$E$8:$Q$373,13,FALSE)),0)</f>
        <v>5.7</v>
      </c>
      <c r="AO182" s="281">
        <f t="shared" si="160"/>
        <v>377.8</v>
      </c>
      <c r="AP182" s="281">
        <f>IFERROR(VLOOKUP($A182,'F TrB'!$C$3:$O$21,3,FALSE),-9999)</f>
        <v>-9999</v>
      </c>
      <c r="AQ182" s="281">
        <f t="shared" si="152"/>
        <v>-999</v>
      </c>
      <c r="AR182" s="281">
        <f>IFERROR(IF(VLOOKUP($A182,'F TrB'!$Q$3:$R$21,2,FALSE)=0,-99999,VLOOKUP($A182,'F TrB'!$Q$3:$R$21,2,FALSE)),-99999)</f>
        <v>-99999</v>
      </c>
      <c r="AS182" s="281">
        <f t="shared" si="153"/>
        <v>-99999</v>
      </c>
      <c r="AT182" s="281" t="str">
        <f>IFERROR(VLOOKUP($A182,'NDVI tipo'!$Q$8:$S$30,2,FALSE),"")</f>
        <v/>
      </c>
      <c r="AU182" s="281">
        <f>IF(ISERROR(VLOOKUP($A182,'NDVI tipo'!$Q$8:$S$50,2,FALSE)),AU181+VLOOKUP($A182,'NDVI tipo'!$Q$8:$S$50,3,TRUE),VLOOKUP($A182,'NDVI tipo'!$Q$8:$S$50,2,FALSE))</f>
        <v>0.777390625</v>
      </c>
      <c r="AV182" s="281">
        <f>IFERROR(VLOOKUP($A182,'NDVI real'!$Q$8:$S$44,2,FALSE),-999)</f>
        <v>-999</v>
      </c>
      <c r="AW182" s="281">
        <f>IF(ISERROR(VLOOKUP($A182,'NDVI real'!$T$8:$U$350,2,FALSE)),"",VLOOKUP($A182,'NDVI real'!$T$8:$U$350,2,FALSE))</f>
        <v>0.85814043152777808</v>
      </c>
      <c r="AX182" s="286">
        <f>IFERROR(VLOOKUP($A182,SWB!$C$15:$BE$244,53,FALSE),"")</f>
        <v>10.116155364477683</v>
      </c>
      <c r="AY182" s="286">
        <f>IFERROR(VLOOKUP($A182,SWB!$C$15:$BE$244,55,FALSE),"")</f>
        <v>2.6754272891820392</v>
      </c>
      <c r="AZ182" s="281">
        <f>IF(ISERROR(VLOOKUP($A182,Clima!$V$8:$AI$320,14,FALSE)),-999,VLOOKUP(A182,Clima!$V$8:$AI$219,14,FALSE))</f>
        <v>5.7</v>
      </c>
      <c r="BA182" s="281">
        <f t="shared" si="161"/>
        <v>436.49999999999994</v>
      </c>
      <c r="BB182" s="281">
        <f t="shared" si="154"/>
        <v>5.7</v>
      </c>
      <c r="BC182" s="281">
        <f t="shared" si="162"/>
        <v>436.49999999999994</v>
      </c>
      <c r="BD182" s="284">
        <f t="shared" si="148"/>
        <v>42153</v>
      </c>
    </row>
    <row r="183" spans="1:56" s="275" customFormat="1" ht="12.75">
      <c r="A183" s="273">
        <f t="shared" si="155"/>
        <v>42154</v>
      </c>
      <c r="B183" s="274">
        <f t="shared" si="131"/>
        <v>150</v>
      </c>
      <c r="C183" s="275" t="str">
        <f t="shared" si="132"/>
        <v>Mediados</v>
      </c>
      <c r="D183" s="276">
        <f t="shared" si="133"/>
        <v>4.4000000000000004</v>
      </c>
      <c r="E183" s="276">
        <f t="shared" si="134"/>
        <v>1.1303111104000003</v>
      </c>
      <c r="F183" s="276"/>
      <c r="G183" s="276">
        <f t="shared" si="135"/>
        <v>0.05</v>
      </c>
      <c r="H183" s="276">
        <f t="shared" si="136"/>
        <v>1.1499999999999999</v>
      </c>
      <c r="I183" s="276">
        <f t="shared" si="137"/>
        <v>6.7850000000000001</v>
      </c>
      <c r="J183" s="276">
        <f>IFERROR(IF($G$1="Sí",VLOOKUP($A183,CSVAgro,13,FALSE),VLOOKUP($A183,SWB!$C$15:$P$202,14,FALSE)),0)</f>
        <v>7.3</v>
      </c>
      <c r="K183" s="487">
        <f t="shared" si="138"/>
        <v>5</v>
      </c>
      <c r="L183" s="487">
        <f t="shared" si="139"/>
        <v>0</v>
      </c>
      <c r="M183" s="487">
        <f t="shared" si="140"/>
        <v>5</v>
      </c>
      <c r="N183" s="277">
        <f>IF(ISERROR($G$1="Sí"),VLOOKUP($A183,CSVAgro,16,FALSE),IF(ISERROR(VLOOKUP($A183,Clima!$W$8:$Z$284,2,FALSE)),VLOOKUP($A183,Clima!$E$8:$H$372,2,FALSE),VLOOKUP($A183,Clima!$W$8:$Z$284,2,FALSE)))</f>
        <v>18.600000000000001</v>
      </c>
      <c r="O183" s="276">
        <f t="shared" si="141"/>
        <v>339.10588495108516</v>
      </c>
      <c r="P183" s="276">
        <f t="shared" si="156"/>
        <v>135.10000000000002</v>
      </c>
      <c r="Q183" s="487">
        <f t="shared" si="142"/>
        <v>190</v>
      </c>
      <c r="R183" s="278">
        <f t="shared" si="157"/>
        <v>18.600000000000001</v>
      </c>
      <c r="S183" s="278">
        <f t="shared" si="149"/>
        <v>18.600000000000001</v>
      </c>
      <c r="T183" s="279">
        <f t="shared" si="143"/>
        <v>150</v>
      </c>
      <c r="U183" s="279">
        <f t="shared" si="113"/>
        <v>22</v>
      </c>
      <c r="V183" s="276">
        <f t="shared" si="150"/>
        <v>0</v>
      </c>
      <c r="W183" s="276">
        <f>IF(AND(S183&gt;VLOOKUP(Inputs!$I$2,Extracciones,3),S183&lt;VLOOKUP(Inputs!$I$2,Extracciones,5)),(S183-VLOOKUP(Inputs!$I$2,Extracciones,3))*Inputs!$E$12,0)</f>
        <v>0</v>
      </c>
      <c r="X183" s="278">
        <f>IF(AD183=0,VLOOKUP(R183,Mineral,2)*R183*Inputs!$C$16*Inputs!$E$37,VLOOKUP(R183,Mineral,2)*R183*Inputs!$C$16)</f>
        <v>1.6740000000000004</v>
      </c>
      <c r="Y183" s="278">
        <f>SUM(K183,M183)*Inputs!$O$8*14/(100*62)</f>
        <v>0.33870967741935482</v>
      </c>
      <c r="Z183" s="278">
        <f t="shared" si="158"/>
        <v>0</v>
      </c>
      <c r="AA183" s="278">
        <f t="shared" si="159"/>
        <v>0</v>
      </c>
      <c r="AB183" s="279">
        <f t="shared" si="144"/>
        <v>0</v>
      </c>
      <c r="AC183" s="278">
        <f t="shared" si="127"/>
        <v>0</v>
      </c>
      <c r="AD183" s="279">
        <f t="shared" si="145"/>
        <v>-4.7519999999999998</v>
      </c>
      <c r="AE183" s="278">
        <f t="shared" si="151"/>
        <v>-284.08049999999986</v>
      </c>
      <c r="AF183" s="278">
        <f t="shared" si="114"/>
        <v>41.595340573493139</v>
      </c>
      <c r="AG183" s="279">
        <f t="shared" si="146"/>
        <v>25</v>
      </c>
      <c r="AH183" s="279">
        <f>AF183*1000000/(Inputs!$C$9*100*Inputs!$C$8*1000*(1-Inputs!$C$10)*(1+Inputs!$C$12))</f>
        <v>8.3223970735280393</v>
      </c>
      <c r="AI183" s="279">
        <f>IFERROR(HLOOKUP(A183,Inputs!$C$14:$C$15,2,FALSE),-100)</f>
        <v>-100</v>
      </c>
      <c r="AJ183" s="281">
        <f t="shared" si="147"/>
        <v>0</v>
      </c>
      <c r="AK183" s="282">
        <f t="shared" si="128"/>
        <v>52.830000000000013</v>
      </c>
      <c r="AL183" s="282">
        <f t="shared" si="129"/>
        <v>13.209677419354829</v>
      </c>
      <c r="AM183" s="282">
        <f t="shared" si="130"/>
        <v>-1.9838368458620446</v>
      </c>
      <c r="AN183" s="283">
        <f>IFERROR(IF($G$1="Sí",VLOOKUP($A183,CSVAgro,9,FALSE),VLOOKUP($A183,Clima!$E$8:$Q$373,13,FALSE)),0)</f>
        <v>4.8</v>
      </c>
      <c r="AO183" s="281">
        <f t="shared" si="160"/>
        <v>382.6</v>
      </c>
      <c r="AP183" s="281">
        <f>IFERROR(VLOOKUP($A183,'F TrB'!$C$3:$O$21,3,FALSE),-9999)</f>
        <v>83</v>
      </c>
      <c r="AQ183" s="281">
        <f t="shared" si="152"/>
        <v>1.4</v>
      </c>
      <c r="AR183" s="281">
        <f>IFERROR(IF(VLOOKUP($A183,'F TrB'!$Q$3:$R$21,2,FALSE)=0,-99999,VLOOKUP($A183,'F TrB'!$Q$3:$R$21,2,FALSE)),-99999)</f>
        <v>-99999</v>
      </c>
      <c r="AS183" s="281">
        <f t="shared" si="153"/>
        <v>-99999</v>
      </c>
      <c r="AT183" s="281" t="str">
        <f>IFERROR(VLOOKUP($A183,'NDVI tipo'!$Q$8:$S$30,2,FALSE),"")</f>
        <v/>
      </c>
      <c r="AU183" s="281">
        <f>IF(ISERROR(VLOOKUP($A183,'NDVI tipo'!$Q$8:$S$50,2,FALSE)),AU182+VLOOKUP($A183,'NDVI tipo'!$Q$8:$S$50,3,TRUE),VLOOKUP($A183,'NDVI tipo'!$Q$8:$S$50,2,FALSE))</f>
        <v>0.76965600000000001</v>
      </c>
      <c r="AV183" s="281">
        <f>IFERROR(VLOOKUP($A183,'NDVI real'!$Q$8:$S$44,2,FALSE),-999)</f>
        <v>-999</v>
      </c>
      <c r="AW183" s="281">
        <f>IF(ISERROR(VLOOKUP($A183,'NDVI real'!$T$8:$U$350,2,FALSE)),"",VLOOKUP($A183,'NDVI real'!$T$8:$U$350,2,FALSE))</f>
        <v>0.85438271555555589</v>
      </c>
      <c r="AX183" s="286">
        <f>IFERROR(VLOOKUP($A183,SWB!$C$15:$BE$244,53,FALSE),"")</f>
        <v>10.323817586557682</v>
      </c>
      <c r="AY183" s="286">
        <f>IFERROR(VLOOKUP($A183,SWB!$C$15:$BE$244,55,FALSE),"")</f>
        <v>2.2190812194595253</v>
      </c>
      <c r="AZ183" s="281">
        <f>IF(ISERROR(VLOOKUP($A183,Clima!$V$8:$AI$320,14,FALSE)),-999,VLOOKUP(A183,Clima!$V$8:$AI$219,14,FALSE))</f>
        <v>4.4000000000000004</v>
      </c>
      <c r="BA183" s="281">
        <f t="shared" si="161"/>
        <v>440.89999999999992</v>
      </c>
      <c r="BB183" s="281">
        <f t="shared" si="154"/>
        <v>4.4000000000000004</v>
      </c>
      <c r="BC183" s="281">
        <f t="shared" si="162"/>
        <v>440.89999999999992</v>
      </c>
      <c r="BD183" s="284">
        <f t="shared" si="148"/>
        <v>42154</v>
      </c>
    </row>
    <row r="184" spans="1:56" s="275" customFormat="1" ht="12.75">
      <c r="A184" s="273">
        <f t="shared" si="155"/>
        <v>42155</v>
      </c>
      <c r="B184" s="274">
        <f t="shared" si="131"/>
        <v>151</v>
      </c>
      <c r="C184" s="275" t="str">
        <f t="shared" si="132"/>
        <v>Mediados</v>
      </c>
      <c r="D184" s="276">
        <f t="shared" si="133"/>
        <v>4.8</v>
      </c>
      <c r="E184" s="276">
        <f t="shared" si="134"/>
        <v>1.1248999994000004</v>
      </c>
      <c r="F184" s="276"/>
      <c r="G184" s="276">
        <f t="shared" si="135"/>
        <v>6.2556E-2</v>
      </c>
      <c r="H184" s="276">
        <f t="shared" si="136"/>
        <v>1.1625559999999999</v>
      </c>
      <c r="I184" s="276">
        <f t="shared" si="137"/>
        <v>7.2659739999999999</v>
      </c>
      <c r="J184" s="276">
        <f>IFERROR(IF($G$1="Sí",VLOOKUP($A184,CSVAgro,13,FALSE),VLOOKUP($A184,SWB!$C$15:$P$202,14,FALSE)),0)</f>
        <v>1.8</v>
      </c>
      <c r="K184" s="487">
        <f t="shared" si="138"/>
        <v>0</v>
      </c>
      <c r="L184" s="487">
        <f t="shared" si="139"/>
        <v>0</v>
      </c>
      <c r="M184" s="487">
        <f t="shared" si="140"/>
        <v>0</v>
      </c>
      <c r="N184" s="277">
        <f>IF(ISERROR($G$1="Sí"),VLOOKUP($A184,CSVAgro,16,FALSE),IF(ISERROR(VLOOKUP($A184,Clima!$W$8:$Z$284,2,FALSE)),VLOOKUP($A184,Clima!$E$8:$H$372,2,FALSE),VLOOKUP($A184,Clima!$W$8:$Z$284,2,FALSE)))</f>
        <v>17.5</v>
      </c>
      <c r="O184" s="276">
        <f t="shared" si="141"/>
        <v>344.99125828290516</v>
      </c>
      <c r="P184" s="276">
        <f t="shared" si="156"/>
        <v>136.90000000000003</v>
      </c>
      <c r="Q184" s="487">
        <f t="shared" si="142"/>
        <v>195</v>
      </c>
      <c r="R184" s="278">
        <f t="shared" si="157"/>
        <v>17.5</v>
      </c>
      <c r="S184" s="278">
        <f t="shared" si="149"/>
        <v>17.5</v>
      </c>
      <c r="T184" s="279">
        <f t="shared" si="143"/>
        <v>151</v>
      </c>
      <c r="U184" s="279">
        <f t="shared" si="113"/>
        <v>22</v>
      </c>
      <c r="V184" s="276">
        <f t="shared" si="150"/>
        <v>0</v>
      </c>
      <c r="W184" s="276">
        <f>IF(AND(S184&gt;VLOOKUP(Inputs!$I$2,Extracciones,3),S184&lt;VLOOKUP(Inputs!$I$2,Extracciones,5)),(S184-VLOOKUP(Inputs!$I$2,Extracciones,3))*Inputs!$E$12,0)</f>
        <v>0</v>
      </c>
      <c r="X184" s="278">
        <f>IF(AD184=0,VLOOKUP(R184,Mineral,2)*R184*Inputs!$C$16*Inputs!$E$37,VLOOKUP(R184,Mineral,2)*R184*Inputs!$C$16)</f>
        <v>1.4000000000000001</v>
      </c>
      <c r="Y184" s="278">
        <f>SUM(K184,M184)*Inputs!$O$8*14/(100*62)</f>
        <v>0</v>
      </c>
      <c r="Z184" s="278">
        <f t="shared" si="158"/>
        <v>0</v>
      </c>
      <c r="AA184" s="278">
        <f t="shared" si="159"/>
        <v>0</v>
      </c>
      <c r="AB184" s="279">
        <f t="shared" si="144"/>
        <v>0</v>
      </c>
      <c r="AC184" s="278">
        <f t="shared" si="127"/>
        <v>0</v>
      </c>
      <c r="AD184" s="279">
        <f t="shared" si="145"/>
        <v>-1.1314285714285715</v>
      </c>
      <c r="AE184" s="278">
        <f t="shared" si="151"/>
        <v>-285.21192857142842</v>
      </c>
      <c r="AF184" s="278">
        <f t="shared" si="114"/>
        <v>41.863912002064566</v>
      </c>
      <c r="AG184" s="279">
        <f t="shared" si="146"/>
        <v>25</v>
      </c>
      <c r="AH184" s="279">
        <f>AF184*1000000/(Inputs!$C$9*100*Inputs!$C$8*1000*(1-Inputs!$C$10)*(1+Inputs!$C$12))</f>
        <v>8.3761328535543349</v>
      </c>
      <c r="AI184" s="279">
        <f>IFERROR(HLOOKUP(A184,Inputs!$C$14:$C$15,2,FALSE),-100)</f>
        <v>-100</v>
      </c>
      <c r="AJ184" s="281">
        <f t="shared" si="147"/>
        <v>0</v>
      </c>
      <c r="AK184" s="282">
        <f t="shared" si="128"/>
        <v>54.230000000000011</v>
      </c>
      <c r="AL184" s="282">
        <f t="shared" si="129"/>
        <v>13.209677419354829</v>
      </c>
      <c r="AM184" s="282">
        <f t="shared" si="130"/>
        <v>-1.9838368458620446</v>
      </c>
      <c r="AN184" s="283">
        <f>IFERROR(IF($G$1="Sí",VLOOKUP($A184,CSVAgro,9,FALSE),VLOOKUP($A184,Clima!$E$8:$Q$373,13,FALSE)),0)</f>
        <v>5.2</v>
      </c>
      <c r="AO184" s="281">
        <f t="shared" si="160"/>
        <v>387.8</v>
      </c>
      <c r="AP184" s="281">
        <f>IFERROR(VLOOKUP($A184,'F TrB'!$C$3:$O$21,3,FALSE),-9999)</f>
        <v>-9999</v>
      </c>
      <c r="AQ184" s="281">
        <f t="shared" si="152"/>
        <v>-999</v>
      </c>
      <c r="AR184" s="281">
        <f>IFERROR(IF(VLOOKUP($A184,'F TrB'!$Q$3:$R$21,2,FALSE)=0,-99999,VLOOKUP($A184,'F TrB'!$Q$3:$R$21,2,FALSE)),-99999)</f>
        <v>-99999</v>
      </c>
      <c r="AS184" s="281">
        <f t="shared" si="153"/>
        <v>-99999</v>
      </c>
      <c r="AT184" s="281" t="str">
        <f>IFERROR(VLOOKUP($A184,'NDVI tipo'!$Q$8:$S$30,2,FALSE),"")</f>
        <v/>
      </c>
      <c r="AU184" s="281">
        <f>IF(ISERROR(VLOOKUP($A184,'NDVI tipo'!$Q$8:$S$50,2,FALSE)),AU183+VLOOKUP($A184,'NDVI tipo'!$Q$8:$S$50,3,TRUE),VLOOKUP($A184,'NDVI tipo'!$Q$8:$S$50,2,FALSE))</f>
        <v>0.76192137500000001</v>
      </c>
      <c r="AV184" s="281">
        <f>IFERROR(VLOOKUP($A184,'NDVI real'!$Q$8:$S$44,2,FALSE),-999)</f>
        <v>-999</v>
      </c>
      <c r="AW184" s="281">
        <f>IF(ISERROR(VLOOKUP($A184,'NDVI real'!$T$8:$U$350,2,FALSE)),"",VLOOKUP($A184,'NDVI real'!$T$8:$U$350,2,FALSE))</f>
        <v>0.85062499958333371</v>
      </c>
      <c r="AX184" s="286">
        <f>IFERROR(VLOOKUP($A184,SWB!$C$15:$BE$244,53,FALSE),"")</f>
        <v>10.547612586427682</v>
      </c>
      <c r="AY184" s="286">
        <f>IFERROR(VLOOKUP($A184,SWB!$C$15:$BE$244,55,FALSE),"")</f>
        <v>2.3695007256635847</v>
      </c>
      <c r="AZ184" s="281">
        <f>IF(ISERROR(VLOOKUP($A184,Clima!$V$8:$AI$320,14,FALSE)),-999,VLOOKUP(A184,Clima!$V$8:$AI$219,14,FALSE))</f>
        <v>4.8</v>
      </c>
      <c r="BA184" s="281">
        <f t="shared" si="161"/>
        <v>445.69999999999993</v>
      </c>
      <c r="BB184" s="281">
        <f t="shared" si="154"/>
        <v>4.8</v>
      </c>
      <c r="BC184" s="281">
        <f t="shared" si="162"/>
        <v>445.69999999999993</v>
      </c>
      <c r="BD184" s="284">
        <f t="shared" si="148"/>
        <v>42155</v>
      </c>
    </row>
    <row r="185" spans="1:56" s="275" customFormat="1" ht="12.75">
      <c r="A185" s="273">
        <f t="shared" si="155"/>
        <v>42156</v>
      </c>
      <c r="B185" s="274">
        <f t="shared" si="131"/>
        <v>152</v>
      </c>
      <c r="C185" s="275" t="str">
        <f t="shared" si="132"/>
        <v>Mediados</v>
      </c>
      <c r="D185" s="276">
        <f t="shared" si="133"/>
        <v>5.5</v>
      </c>
      <c r="E185" s="276">
        <f t="shared" si="134"/>
        <v>1.1194888884000005</v>
      </c>
      <c r="F185" s="276"/>
      <c r="G185" s="276">
        <f t="shared" si="135"/>
        <v>5.4283999999999999E-2</v>
      </c>
      <c r="H185" s="276">
        <f t="shared" si="136"/>
        <v>1.1542840000000001</v>
      </c>
      <c r="I185" s="276">
        <f t="shared" si="137"/>
        <v>6.567876</v>
      </c>
      <c r="J185" s="276">
        <f>IFERROR(IF($G$1="Sí",VLOOKUP($A185,CSVAgro,13,FALSE),VLOOKUP($A185,SWB!$C$15:$P$202,14,FALSE)),0)</f>
        <v>0</v>
      </c>
      <c r="K185" s="487">
        <f t="shared" si="138"/>
        <v>0</v>
      </c>
      <c r="L185" s="487">
        <f t="shared" si="139"/>
        <v>0</v>
      </c>
      <c r="M185" s="487">
        <f t="shared" si="140"/>
        <v>0</v>
      </c>
      <c r="N185" s="277">
        <f>IF(ISERROR($G$1="Sí"),VLOOKUP($A185,CSVAgro,16,FALSE),IF(ISERROR(VLOOKUP($A185,Clima!$W$8:$Z$284,2,FALSE)),VLOOKUP($A185,Clima!$E$8:$H$372,2,FALSE),VLOOKUP($A185,Clima!$W$8:$Z$284,2,FALSE)))</f>
        <v>19.5</v>
      </c>
      <c r="O185" s="276">
        <f t="shared" si="141"/>
        <v>351.20598494804517</v>
      </c>
      <c r="P185" s="276">
        <f t="shared" si="156"/>
        <v>136.90000000000003</v>
      </c>
      <c r="Q185" s="487">
        <f t="shared" si="142"/>
        <v>195</v>
      </c>
      <c r="R185" s="278">
        <f t="shared" si="157"/>
        <v>19.5</v>
      </c>
      <c r="S185" s="278">
        <f t="shared" si="149"/>
        <v>19.5</v>
      </c>
      <c r="T185" s="279">
        <f t="shared" si="143"/>
        <v>152</v>
      </c>
      <c r="U185" s="279">
        <f t="shared" si="113"/>
        <v>23</v>
      </c>
      <c r="V185" s="276">
        <f t="shared" si="150"/>
        <v>0</v>
      </c>
      <c r="W185" s="276">
        <f>IF(AND(S185&gt;VLOOKUP(Inputs!$I$2,Extracciones,3),S185&lt;VLOOKUP(Inputs!$I$2,Extracciones,5)),(S185-VLOOKUP(Inputs!$I$2,Extracciones,3))*Inputs!$E$12,0)</f>
        <v>0</v>
      </c>
      <c r="X185" s="278">
        <f>IF(AD185=0,VLOOKUP(R185,Mineral,2)*R185*Inputs!$C$16*Inputs!$E$37,VLOOKUP(R185,Mineral,2)*R185*Inputs!$C$16)</f>
        <v>1.9500000000000002</v>
      </c>
      <c r="Y185" s="278">
        <f>SUM(K185,M185)*Inputs!$O$8*14/(100*62)</f>
        <v>0</v>
      </c>
      <c r="Z185" s="278">
        <f t="shared" si="158"/>
        <v>0</v>
      </c>
      <c r="AA185" s="278">
        <f t="shared" si="159"/>
        <v>0</v>
      </c>
      <c r="AB185" s="279">
        <f t="shared" si="144"/>
        <v>0</v>
      </c>
      <c r="AC185" s="278">
        <f t="shared" si="127"/>
        <v>0</v>
      </c>
      <c r="AD185" s="279">
        <f t="shared" si="145"/>
        <v>-1.1314285714285715</v>
      </c>
      <c r="AE185" s="278">
        <f t="shared" si="151"/>
        <v>-286.34335714285697</v>
      </c>
      <c r="AF185" s="278">
        <f t="shared" si="114"/>
        <v>42.682483430635997</v>
      </c>
      <c r="AG185" s="279">
        <f t="shared" si="146"/>
        <v>25</v>
      </c>
      <c r="AH185" s="279">
        <f>AF185*1000000/(Inputs!$C$9*100*Inputs!$C$8*1000*(1-Inputs!$C$10)*(1+Inputs!$C$12))</f>
        <v>8.5399126511876737</v>
      </c>
      <c r="AI185" s="279">
        <f>IFERROR(HLOOKUP(A185,Inputs!$C$14:$C$15,2,FALSE),-100)</f>
        <v>-100</v>
      </c>
      <c r="AJ185" s="281">
        <f t="shared" si="147"/>
        <v>0</v>
      </c>
      <c r="AK185" s="282">
        <f t="shared" si="128"/>
        <v>56.180000000000014</v>
      </c>
      <c r="AL185" s="282">
        <f t="shared" si="129"/>
        <v>13.209677419354829</v>
      </c>
      <c r="AM185" s="282">
        <f t="shared" si="130"/>
        <v>-1.9838368458620446</v>
      </c>
      <c r="AN185" s="283">
        <f>IFERROR(IF($G$1="Sí",VLOOKUP($A185,CSVAgro,9,FALSE),VLOOKUP($A185,Clima!$E$8:$Q$373,13,FALSE)),0)</f>
        <v>5.5</v>
      </c>
      <c r="AO185" s="281">
        <f t="shared" si="160"/>
        <v>393.3</v>
      </c>
      <c r="AP185" s="281">
        <f>IFERROR(VLOOKUP($A185,'F TrB'!$C$3:$O$21,3,FALSE),-9999)</f>
        <v>-9999</v>
      </c>
      <c r="AQ185" s="281">
        <f t="shared" si="152"/>
        <v>-999</v>
      </c>
      <c r="AR185" s="281">
        <f>IFERROR(IF(VLOOKUP($A185,'F TrB'!$Q$3:$R$21,2,FALSE)=0,-99999,VLOOKUP($A185,'F TrB'!$Q$3:$R$21,2,FALSE)),-99999)</f>
        <v>-99999</v>
      </c>
      <c r="AS185" s="281">
        <f t="shared" si="153"/>
        <v>-99999</v>
      </c>
      <c r="AT185" s="281" t="str">
        <f>IFERROR(VLOOKUP($A185,'NDVI tipo'!$Q$8:$S$30,2,FALSE),"")</f>
        <v/>
      </c>
      <c r="AU185" s="281">
        <f>IF(ISERROR(VLOOKUP($A185,'NDVI tipo'!$Q$8:$S$50,2,FALSE)),AU184+VLOOKUP($A185,'NDVI tipo'!$Q$8:$S$50,3,TRUE),VLOOKUP($A185,'NDVI tipo'!$Q$8:$S$50,2,FALSE))</f>
        <v>0.75418675000000002</v>
      </c>
      <c r="AV185" s="281">
        <f>IFERROR(VLOOKUP($A185,'NDVI real'!$Q$8:$S$44,2,FALSE),-999)</f>
        <v>-999</v>
      </c>
      <c r="AW185" s="281">
        <f>IF(ISERROR(VLOOKUP($A185,'NDVI real'!$T$8:$U$350,2,FALSE)),"",VLOOKUP($A185,'NDVI real'!$T$8:$U$350,2,FALSE))</f>
        <v>0.84686728361111152</v>
      </c>
      <c r="AX185" s="286">
        <f>IFERROR(VLOOKUP($A185,SWB!$C$15:$BE$244,53,FALSE),"")</f>
        <v>10.783078790019349</v>
      </c>
      <c r="AY185" s="286">
        <f>IFERROR(VLOOKUP($A185,SWB!$C$15:$BE$244,55,FALSE),"")</f>
        <v>2.4692056539578289</v>
      </c>
      <c r="AZ185" s="281">
        <f>IF(ISERROR(VLOOKUP($A185,Clima!$V$8:$AI$320,14,FALSE)),-999,VLOOKUP(A185,Clima!$V$8:$AI$219,14,FALSE))</f>
        <v>5.5</v>
      </c>
      <c r="BA185" s="281">
        <f t="shared" si="161"/>
        <v>451.19999999999993</v>
      </c>
      <c r="BB185" s="281">
        <f t="shared" si="154"/>
        <v>5.5</v>
      </c>
      <c r="BC185" s="281">
        <f t="shared" si="162"/>
        <v>451.19999999999993</v>
      </c>
      <c r="BD185" s="284">
        <f t="shared" si="148"/>
        <v>42156</v>
      </c>
    </row>
    <row r="186" spans="1:56" s="275" customFormat="1" ht="12.75">
      <c r="A186" s="273">
        <f t="shared" si="155"/>
        <v>42157</v>
      </c>
      <c r="B186" s="274">
        <f t="shared" si="131"/>
        <v>153</v>
      </c>
      <c r="C186" s="275" t="str">
        <f t="shared" si="132"/>
        <v>Mediados</v>
      </c>
      <c r="D186" s="276">
        <f t="shared" si="133"/>
        <v>6.1</v>
      </c>
      <c r="E186" s="276">
        <f t="shared" si="134"/>
        <v>1.1140777774000006</v>
      </c>
      <c r="F186" s="276"/>
      <c r="G186" s="276">
        <f t="shared" si="135"/>
        <v>0.05</v>
      </c>
      <c r="H186" s="276">
        <f t="shared" si="136"/>
        <v>1.1499999999999999</v>
      </c>
      <c r="I186" s="276">
        <f t="shared" si="137"/>
        <v>5.0830000000000002</v>
      </c>
      <c r="J186" s="276">
        <f>IFERROR(IF($G$1="Sí",VLOOKUP($A186,CSVAgro,13,FALSE),VLOOKUP($A186,SWB!$C$15:$P$202,14,FALSE)),0)</f>
        <v>0</v>
      </c>
      <c r="K186" s="487">
        <f t="shared" si="138"/>
        <v>5</v>
      </c>
      <c r="L186" s="487">
        <f t="shared" si="139"/>
        <v>0</v>
      </c>
      <c r="M186" s="487">
        <f t="shared" si="140"/>
        <v>5</v>
      </c>
      <c r="N186" s="277">
        <f>IF(ISERROR($G$1="Sí"),VLOOKUP($A186,CSVAgro,16,FALSE),IF(ISERROR(VLOOKUP($A186,Clima!$W$8:$Z$284,2,FALSE)),VLOOKUP($A186,Clima!$E$8:$H$372,2,FALSE),VLOOKUP($A186,Clima!$W$8:$Z$284,2,FALSE)))</f>
        <v>20.7</v>
      </c>
      <c r="O186" s="276">
        <f t="shared" si="141"/>
        <v>356.03176336967505</v>
      </c>
      <c r="P186" s="276">
        <f t="shared" si="156"/>
        <v>136.90000000000003</v>
      </c>
      <c r="Q186" s="487">
        <f t="shared" si="142"/>
        <v>195</v>
      </c>
      <c r="R186" s="278">
        <f t="shared" si="157"/>
        <v>20.7</v>
      </c>
      <c r="S186" s="278">
        <f t="shared" si="149"/>
        <v>20.7</v>
      </c>
      <c r="T186" s="279">
        <f t="shared" si="143"/>
        <v>153</v>
      </c>
      <c r="U186" s="279">
        <f t="shared" si="113"/>
        <v>23</v>
      </c>
      <c r="V186" s="276">
        <f t="shared" si="150"/>
        <v>0</v>
      </c>
      <c r="W186" s="276">
        <f>IF(AND(S186&gt;VLOOKUP(Inputs!$I$2,Extracciones,3),S186&lt;VLOOKUP(Inputs!$I$2,Extracciones,5)),(S186-VLOOKUP(Inputs!$I$2,Extracciones,3))*Inputs!$E$12,0)</f>
        <v>0</v>
      </c>
      <c r="X186" s="278">
        <f>IF(AD186=0,VLOOKUP(R186,Mineral,2)*R186*Inputs!$C$16*Inputs!$E$37,VLOOKUP(R186,Mineral,2)*R186*Inputs!$C$16)</f>
        <v>2.0699999999999998</v>
      </c>
      <c r="Y186" s="278">
        <f>SUM(K186,M186)*Inputs!$O$8*14/(100*62)</f>
        <v>0.33870967741935482</v>
      </c>
      <c r="Z186" s="278">
        <f t="shared" si="158"/>
        <v>0</v>
      </c>
      <c r="AA186" s="278">
        <f t="shared" si="159"/>
        <v>0</v>
      </c>
      <c r="AB186" s="279">
        <f t="shared" si="144"/>
        <v>0</v>
      </c>
      <c r="AC186" s="278">
        <f t="shared" si="127"/>
        <v>0</v>
      </c>
      <c r="AD186" s="279">
        <f t="shared" si="145"/>
        <v>-1.1314285714285715</v>
      </c>
      <c r="AE186" s="278">
        <f t="shared" si="151"/>
        <v>-287.47478571428553</v>
      </c>
      <c r="AF186" s="278">
        <f t="shared" si="114"/>
        <v>43.959764536626778</v>
      </c>
      <c r="AG186" s="279">
        <f t="shared" si="146"/>
        <v>25</v>
      </c>
      <c r="AH186" s="279">
        <f>AF186*1000000/(Inputs!$C$9*100*Inputs!$C$8*1000*(1-Inputs!$C$10)*(1+Inputs!$C$12))</f>
        <v>8.795471095763661</v>
      </c>
      <c r="AI186" s="279">
        <f>IFERROR(HLOOKUP(A186,Inputs!$C$14:$C$15,2,FALSE),-100)</f>
        <v>-100</v>
      </c>
      <c r="AJ186" s="281">
        <f t="shared" si="147"/>
        <v>0</v>
      </c>
      <c r="AK186" s="282">
        <f t="shared" si="128"/>
        <v>58.250000000000014</v>
      </c>
      <c r="AL186" s="282">
        <f t="shared" si="129"/>
        <v>13.548387096774183</v>
      </c>
      <c r="AM186" s="282">
        <f t="shared" si="130"/>
        <v>-1.9838368458620446</v>
      </c>
      <c r="AN186" s="283">
        <f>IFERROR(IF($G$1="Sí",VLOOKUP($A186,CSVAgro,9,FALSE),VLOOKUP($A186,Clima!$E$8:$Q$373,13,FALSE)),0)</f>
        <v>5.9</v>
      </c>
      <c r="AO186" s="281">
        <f t="shared" si="160"/>
        <v>399.2</v>
      </c>
      <c r="AP186" s="281">
        <f>IFERROR(VLOOKUP($A186,'F TrB'!$C$3:$O$21,3,FALSE),-9999)</f>
        <v>-9999</v>
      </c>
      <c r="AQ186" s="281">
        <f t="shared" si="152"/>
        <v>-999</v>
      </c>
      <c r="AR186" s="281">
        <f>IFERROR(IF(VLOOKUP($A186,'F TrB'!$Q$3:$R$21,2,FALSE)=0,-99999,VLOOKUP($A186,'F TrB'!$Q$3:$R$21,2,FALSE)),-99999)</f>
        <v>-99999</v>
      </c>
      <c r="AS186" s="281">
        <f t="shared" si="153"/>
        <v>-99999</v>
      </c>
      <c r="AT186" s="281" t="str">
        <f>IFERROR(VLOOKUP($A186,'NDVI tipo'!$Q$8:$S$30,2,FALSE),"")</f>
        <v/>
      </c>
      <c r="AU186" s="281">
        <f>IF(ISERROR(VLOOKUP($A186,'NDVI tipo'!$Q$8:$S$50,2,FALSE)),AU185+VLOOKUP($A186,'NDVI tipo'!$Q$8:$S$50,3,TRUE),VLOOKUP($A186,'NDVI tipo'!$Q$8:$S$50,2,FALSE))</f>
        <v>0.74645212500000002</v>
      </c>
      <c r="AV186" s="281">
        <f>IFERROR(VLOOKUP($A186,'NDVI real'!$Q$8:$S$44,2,FALSE),-999)</f>
        <v>-999</v>
      </c>
      <c r="AW186" s="281">
        <f>IF(ISERROR(VLOOKUP($A186,'NDVI real'!$T$8:$U$350,2,FALSE)),"",VLOOKUP($A186,'NDVI real'!$T$8:$U$350,2,FALSE))</f>
        <v>0.84310956763888933</v>
      </c>
      <c r="AX186" s="286">
        <f>IFERROR(VLOOKUP($A186,SWB!$C$15:$BE$244,53,FALSE),"")</f>
        <v>11.034339576963516</v>
      </c>
      <c r="AY186" s="286">
        <f>IFERROR(VLOOKUP($A186,SWB!$C$15:$BE$244,55,FALSE),"")</f>
        <v>2.6086930957145853</v>
      </c>
      <c r="AZ186" s="281">
        <f>IF(ISERROR(VLOOKUP($A186,Clima!$V$8:$AI$320,14,FALSE)),-999,VLOOKUP(A186,Clima!$V$8:$AI$219,14,FALSE))</f>
        <v>6.1</v>
      </c>
      <c r="BA186" s="281">
        <f t="shared" si="161"/>
        <v>457.29999999999995</v>
      </c>
      <c r="BB186" s="281">
        <f t="shared" si="154"/>
        <v>6.1</v>
      </c>
      <c r="BC186" s="281">
        <f t="shared" si="162"/>
        <v>457.29999999999995</v>
      </c>
      <c r="BD186" s="284">
        <f t="shared" si="148"/>
        <v>42157</v>
      </c>
    </row>
    <row r="187" spans="1:56" s="275" customFormat="1" ht="12.75">
      <c r="A187" s="273">
        <f t="shared" si="155"/>
        <v>42158</v>
      </c>
      <c r="B187" s="274">
        <f t="shared" si="131"/>
        <v>154</v>
      </c>
      <c r="C187" s="275" t="str">
        <f t="shared" si="132"/>
        <v>Mediados</v>
      </c>
      <c r="D187" s="276">
        <f t="shared" si="133"/>
        <v>6.6</v>
      </c>
      <c r="E187" s="276">
        <f t="shared" si="134"/>
        <v>1.1086666664000007</v>
      </c>
      <c r="F187" s="276"/>
      <c r="G187" s="276">
        <f t="shared" si="135"/>
        <v>0.05</v>
      </c>
      <c r="H187" s="276">
        <f t="shared" si="136"/>
        <v>1.1499999999999999</v>
      </c>
      <c r="I187" s="276">
        <f t="shared" si="137"/>
        <v>5.5315000000000003</v>
      </c>
      <c r="J187" s="276">
        <f>IFERROR(IF($G$1="Sí",VLOOKUP($A187,CSVAgro,13,FALSE),VLOOKUP($A187,SWB!$C$15:$P$202,14,FALSE)),0)</f>
        <v>0</v>
      </c>
      <c r="K187" s="487">
        <f t="shared" si="138"/>
        <v>5</v>
      </c>
      <c r="L187" s="487">
        <f t="shared" si="139"/>
        <v>0</v>
      </c>
      <c r="M187" s="487">
        <f t="shared" si="140"/>
        <v>5</v>
      </c>
      <c r="N187" s="277">
        <f>IF(ISERROR($G$1="Sí"),VLOOKUP($A187,CSVAgro,16,FALSE),IF(ISERROR(VLOOKUP($A187,Clima!$W$8:$Z$284,2,FALSE)),VLOOKUP($A187,Clima!$E$8:$H$372,2,FALSE),VLOOKUP($A187,Clima!$W$8:$Z$284,2,FALSE)))</f>
        <v>21.3</v>
      </c>
      <c r="O187" s="276">
        <f t="shared" si="141"/>
        <v>360.86651487085368</v>
      </c>
      <c r="P187" s="276">
        <f t="shared" si="156"/>
        <v>136.90000000000003</v>
      </c>
      <c r="Q187" s="487">
        <f t="shared" si="142"/>
        <v>200</v>
      </c>
      <c r="R187" s="278">
        <f t="shared" si="157"/>
        <v>21.3</v>
      </c>
      <c r="S187" s="278">
        <f t="shared" si="149"/>
        <v>21.3</v>
      </c>
      <c r="T187" s="279">
        <f t="shared" si="143"/>
        <v>154</v>
      </c>
      <c r="U187" s="279">
        <f t="shared" si="113"/>
        <v>23</v>
      </c>
      <c r="V187" s="276">
        <f t="shared" si="150"/>
        <v>0</v>
      </c>
      <c r="W187" s="276">
        <f>IF(AND(S187&gt;VLOOKUP(Inputs!$I$2,Extracciones,3),S187&lt;VLOOKUP(Inputs!$I$2,Extracciones,5)),(S187-VLOOKUP(Inputs!$I$2,Extracciones,3))*Inputs!$E$12,0)</f>
        <v>0</v>
      </c>
      <c r="X187" s="278">
        <f>IF(AD187=0,VLOOKUP(R187,Mineral,2)*R187*Inputs!$C$16*Inputs!$E$37,VLOOKUP(R187,Mineral,2)*R187*Inputs!$C$16)</f>
        <v>2.1300000000000003</v>
      </c>
      <c r="Y187" s="278">
        <f>SUM(K187,M187)*Inputs!$O$8*14/(100*62)</f>
        <v>0.33870967741935482</v>
      </c>
      <c r="Z187" s="278">
        <f t="shared" si="158"/>
        <v>0</v>
      </c>
      <c r="AA187" s="278">
        <f t="shared" si="159"/>
        <v>0</v>
      </c>
      <c r="AB187" s="279"/>
      <c r="AC187" s="278">
        <f t="shared" si="127"/>
        <v>0</v>
      </c>
      <c r="AD187" s="279">
        <f>IFERROR(-VLOOKUP(A187,FenoT,9),0)</f>
        <v>-1.1314285714285715</v>
      </c>
      <c r="AE187" s="278">
        <f t="shared" si="151"/>
        <v>-288.60621428571409</v>
      </c>
      <c r="AF187" s="278">
        <f t="shared" si="114"/>
        <v>45.297045642617562</v>
      </c>
      <c r="AG187" s="279">
        <f t="shared" si="146"/>
        <v>25</v>
      </c>
      <c r="AH187" s="279">
        <f>AF187*1000000/(Inputs!$C$9*100*Inputs!$C$8*1000*(1-Inputs!$C$10)*(1+Inputs!$C$12))</f>
        <v>9.0630343422604156</v>
      </c>
      <c r="AI187" s="279">
        <f>IFERROR(HLOOKUP(A187,Inputs!$C$14:$C$15,2,FALSE),-100)</f>
        <v>-100</v>
      </c>
      <c r="AJ187" s="281">
        <f t="shared" si="147"/>
        <v>0</v>
      </c>
      <c r="AK187" s="282">
        <f t="shared" si="128"/>
        <v>60.380000000000017</v>
      </c>
      <c r="AL187" s="282">
        <f t="shared" si="129"/>
        <v>13.887096774193537</v>
      </c>
      <c r="AM187" s="282">
        <f t="shared" si="130"/>
        <v>-1.9838368458620446</v>
      </c>
      <c r="AN187" s="283">
        <f>IFERROR(IF($G$1="Sí",VLOOKUP($A187,CSVAgro,9,FALSE),VLOOKUP($A187,Clima!$E$8:$Q$373,13,FALSE)),0)</f>
        <v>5.8</v>
      </c>
      <c r="AO187" s="281">
        <f t="shared" si="160"/>
        <v>405</v>
      </c>
      <c r="AP187" s="281">
        <f>IFERROR(VLOOKUP($A187,'F TrB'!$C$3:$O$21,3,FALSE),-9999)</f>
        <v>-9999</v>
      </c>
      <c r="AQ187" s="281">
        <f t="shared" si="152"/>
        <v>-999</v>
      </c>
      <c r="AR187" s="281">
        <f>IFERROR(IF(VLOOKUP($A187,'F TrB'!$Q$3:$R$21,2,FALSE)=0,-99999,VLOOKUP($A187,'F TrB'!$Q$3:$R$21,2,FALSE)),-99999)</f>
        <v>-99999</v>
      </c>
      <c r="AS187" s="281">
        <f t="shared" si="153"/>
        <v>-99999</v>
      </c>
      <c r="AT187" s="281" t="str">
        <f>IFERROR(VLOOKUP($A187,'NDVI tipo'!$Q$8:$S$30,2,FALSE),"")</f>
        <v/>
      </c>
      <c r="AU187" s="281">
        <f>IF(ISERROR(VLOOKUP($A187,'NDVI tipo'!$Q$8:$S$50,2,FALSE)),AU186+VLOOKUP($A187,'NDVI tipo'!$Q$8:$S$50,3,TRUE),VLOOKUP($A187,'NDVI tipo'!$Q$8:$S$50,2,FALSE))</f>
        <v>0.73871750000000003</v>
      </c>
      <c r="AV187" s="281">
        <f>IFERROR(VLOOKUP($A187,'NDVI real'!$Q$8:$S$44,2,FALSE),-999)</f>
        <v>-999</v>
      </c>
      <c r="AW187" s="281">
        <f>IF(ISERROR(VLOOKUP($A187,'NDVI real'!$T$8:$U$350,2,FALSE)),"",VLOOKUP($A187,'NDVI real'!$T$8:$U$350,2,FALSE))</f>
        <v>0.83935185166666715</v>
      </c>
      <c r="AX187" s="286">
        <f>IFERROR(VLOOKUP($A187,SWB!$C$15:$BE$244,53,FALSE),"")</f>
        <v>11.280034021343516</v>
      </c>
      <c r="AY187" s="286">
        <f>IFERROR(VLOOKUP($A187,SWB!$C$15:$BE$244,55,FALSE),"")</f>
        <v>2.5256300213180225</v>
      </c>
      <c r="AZ187" s="281">
        <f>IF(ISERROR(VLOOKUP($A187,Clima!$V$8:$AI$320,14,FALSE)),-999,VLOOKUP(A187,Clima!$V$8:$AI$219,14,FALSE))</f>
        <v>6.6</v>
      </c>
      <c r="BA187" s="281">
        <f t="shared" si="161"/>
        <v>463.9</v>
      </c>
      <c r="BB187" s="281">
        <f t="shared" si="154"/>
        <v>6.6</v>
      </c>
      <c r="BC187" s="281">
        <f t="shared" si="162"/>
        <v>463.9</v>
      </c>
      <c r="BD187" s="284">
        <f t="shared" si="148"/>
        <v>42158</v>
      </c>
    </row>
    <row r="188" spans="1:56" s="275" customFormat="1" ht="12.75">
      <c r="A188" s="273">
        <f t="shared" si="155"/>
        <v>42159</v>
      </c>
      <c r="B188" s="274">
        <f t="shared" si="131"/>
        <v>155</v>
      </c>
      <c r="C188" s="275" t="str">
        <f t="shared" si="132"/>
        <v>Mediados</v>
      </c>
      <c r="D188" s="276">
        <f t="shared" si="133"/>
        <v>6.8</v>
      </c>
      <c r="E188" s="276">
        <f t="shared" si="134"/>
        <v>1.1032555554000005</v>
      </c>
      <c r="F188" s="276"/>
      <c r="G188" s="276">
        <f t="shared" si="135"/>
        <v>0.05</v>
      </c>
      <c r="H188" s="276">
        <f t="shared" si="136"/>
        <v>1.1499999999999999</v>
      </c>
      <c r="I188" s="276">
        <f t="shared" si="137"/>
        <v>6.3594999999999997</v>
      </c>
      <c r="J188" s="276">
        <f>IFERROR(IF($G$1="Sí",VLOOKUP($A188,CSVAgro,13,FALSE),VLOOKUP($A188,SWB!$C$15:$P$202,14,FALSE)),0)</f>
        <v>0</v>
      </c>
      <c r="K188" s="487">
        <f t="shared" si="138"/>
        <v>5</v>
      </c>
      <c r="L188" s="487">
        <f t="shared" si="139"/>
        <v>0</v>
      </c>
      <c r="M188" s="487">
        <f t="shared" si="140"/>
        <v>5</v>
      </c>
      <c r="N188" s="277">
        <f>IF(ISERROR($G$1="Sí"),VLOOKUP($A188,CSVAgro,16,FALSE),IF(ISERROR(VLOOKUP($A188,Clima!$W$8:$Z$284,2,FALSE)),VLOOKUP($A188,Clima!$E$8:$H$372,2,FALSE),VLOOKUP($A188,Clima!$W$8:$Z$284,2,FALSE)))</f>
        <v>19.600000000000001</v>
      </c>
      <c r="O188" s="276">
        <f t="shared" si="141"/>
        <v>365.70402348332391</v>
      </c>
      <c r="P188" s="276">
        <f t="shared" si="156"/>
        <v>136.90000000000003</v>
      </c>
      <c r="Q188" s="487">
        <f t="shared" si="142"/>
        <v>205</v>
      </c>
      <c r="R188" s="278">
        <f t="shared" si="157"/>
        <v>19.600000000000001</v>
      </c>
      <c r="S188" s="278">
        <f t="shared" si="149"/>
        <v>19.600000000000001</v>
      </c>
      <c r="T188" s="279">
        <f t="shared" si="143"/>
        <v>155</v>
      </c>
      <c r="U188" s="279">
        <f t="shared" si="113"/>
        <v>23</v>
      </c>
      <c r="V188" s="276">
        <f t="shared" si="150"/>
        <v>0</v>
      </c>
      <c r="W188" s="276">
        <f>IF(AND(S188&gt;VLOOKUP(Inputs!$I$2,Extracciones,3),S188&lt;VLOOKUP(Inputs!$I$2,Extracciones,5)),(S188-VLOOKUP(Inputs!$I$2,Extracciones,3))*Inputs!$E$12,0)</f>
        <v>0</v>
      </c>
      <c r="X188" s="278">
        <f>IF(AD188=0,VLOOKUP(R188,Mineral,2)*R188*Inputs!$C$16*Inputs!$E$37,VLOOKUP(R188,Mineral,2)*R188*Inputs!$C$16)</f>
        <v>1.9600000000000002</v>
      </c>
      <c r="Y188" s="278">
        <f>SUM(K188,M188)*Inputs!$O$8*14/(100*62)</f>
        <v>0.33870967741935482</v>
      </c>
      <c r="Z188" s="278">
        <f t="shared" si="158"/>
        <v>0</v>
      </c>
      <c r="AA188" s="278">
        <f t="shared" si="159"/>
        <v>0</v>
      </c>
      <c r="AB188" s="279"/>
      <c r="AC188" s="278">
        <f t="shared" si="127"/>
        <v>0</v>
      </c>
      <c r="AD188" s="279">
        <f t="shared" si="145"/>
        <v>-1.1314285714285715</v>
      </c>
      <c r="AE188" s="278">
        <f t="shared" si="151"/>
        <v>-289.73764285714265</v>
      </c>
      <c r="AF188" s="278">
        <f t="shared" si="114"/>
        <v>46.464326748608343</v>
      </c>
      <c r="AG188" s="279">
        <f t="shared" si="146"/>
        <v>25</v>
      </c>
      <c r="AH188" s="279">
        <f>AF188*1000000/(Inputs!$C$9*100*Inputs!$C$8*1000*(1-Inputs!$C$10)*(1+Inputs!$C$12))</f>
        <v>9.2965839833149939</v>
      </c>
      <c r="AI188" s="279">
        <f>IFERROR(HLOOKUP(A188,Inputs!$C$14:$C$15,2,FALSE),-100)</f>
        <v>-100</v>
      </c>
      <c r="AJ188" s="281">
        <f t="shared" si="147"/>
        <v>0</v>
      </c>
      <c r="AK188" s="282">
        <f t="shared" si="128"/>
        <v>62.340000000000018</v>
      </c>
      <c r="AL188" s="282">
        <f t="shared" si="129"/>
        <v>14.225806451612891</v>
      </c>
      <c r="AM188" s="282">
        <f t="shared" si="130"/>
        <v>-1.9838368458620446</v>
      </c>
      <c r="AN188" s="283">
        <f>IFERROR(IF($G$1="Sí",VLOOKUP($A188,CSVAgro,9,FALSE),VLOOKUP($A188,Clima!$E$8:$Q$373,13,FALSE)),0)</f>
        <v>5.7</v>
      </c>
      <c r="AO188" s="281">
        <f t="shared" si="160"/>
        <v>410.7</v>
      </c>
      <c r="AP188" s="281">
        <f>IFERROR(VLOOKUP($A188,'F TrB'!$C$3:$O$21,3,FALSE),-9999)</f>
        <v>-9999</v>
      </c>
      <c r="AQ188" s="281">
        <f t="shared" si="152"/>
        <v>-999</v>
      </c>
      <c r="AR188" s="281">
        <f>IFERROR(IF(VLOOKUP($A188,'F TrB'!$Q$3:$R$21,2,FALSE)=0,-99999,VLOOKUP($A188,'F TrB'!$Q$3:$R$21,2,FALSE)),-99999)</f>
        <v>-99999</v>
      </c>
      <c r="AS188" s="281">
        <f t="shared" si="153"/>
        <v>-99999</v>
      </c>
      <c r="AT188" s="281" t="str">
        <f>IFERROR(VLOOKUP($A188,'NDVI tipo'!$Q$8:$S$30,2,FALSE),"")</f>
        <v/>
      </c>
      <c r="AU188" s="281">
        <f>IF(ISERROR(VLOOKUP($A188,'NDVI tipo'!$Q$8:$S$50,2,FALSE)),AU187+VLOOKUP($A188,'NDVI tipo'!$Q$8:$S$50,3,TRUE),VLOOKUP($A188,'NDVI tipo'!$Q$8:$S$50,2,FALSE))</f>
        <v>0.73098287500000003</v>
      </c>
      <c r="AV188" s="281">
        <f>IFERROR(VLOOKUP($A188,'NDVI real'!$Q$8:$S$44,2,FALSE),-999)</f>
        <v>-999</v>
      </c>
      <c r="AW188" s="281">
        <f>IF(ISERROR(VLOOKUP($A188,'NDVI real'!$T$8:$U$350,2,FALSE)),"",VLOOKUP($A188,'NDVI real'!$T$8:$U$350,2,FALSE))</f>
        <v>0.83559413569444496</v>
      </c>
      <c r="AX188" s="286">
        <f>IFERROR(VLOOKUP($A188,SWB!$C$15:$BE$244,53,FALSE),"")</f>
        <v>11.520207215751016</v>
      </c>
      <c r="AY188" s="286">
        <f>IFERROR(VLOOKUP($A188,SWB!$C$15:$BE$244,55,FALSE),"")</f>
        <v>2.4454774321971513</v>
      </c>
      <c r="AZ188" s="281">
        <f>IF(ISERROR(VLOOKUP($A188,Clima!$V$8:$AI$320,14,FALSE)),-999,VLOOKUP(A188,Clima!$V$8:$AI$219,14,FALSE))</f>
        <v>6.8</v>
      </c>
      <c r="BA188" s="281">
        <f t="shared" si="161"/>
        <v>470.7</v>
      </c>
      <c r="BB188" s="281">
        <f t="shared" si="154"/>
        <v>6.8</v>
      </c>
      <c r="BC188" s="281">
        <f t="shared" si="162"/>
        <v>470.7</v>
      </c>
      <c r="BD188" s="284">
        <f t="shared" si="148"/>
        <v>42159</v>
      </c>
    </row>
    <row r="189" spans="1:56" s="275" customFormat="1" ht="12.75">
      <c r="A189" s="273">
        <f t="shared" si="155"/>
        <v>42160</v>
      </c>
      <c r="B189" s="274">
        <f t="shared" si="131"/>
        <v>156</v>
      </c>
      <c r="C189" s="275" t="str">
        <f t="shared" si="132"/>
        <v>Final</v>
      </c>
      <c r="D189" s="276">
        <f t="shared" si="133"/>
        <v>6.5</v>
      </c>
      <c r="E189" s="276">
        <f t="shared" si="134"/>
        <v>1.0978444444000006</v>
      </c>
      <c r="F189" s="276"/>
      <c r="G189" s="276">
        <f t="shared" si="135"/>
        <v>0.10173699999999999</v>
      </c>
      <c r="H189" s="276">
        <f t="shared" si="136"/>
        <v>1.1489590000000001</v>
      </c>
      <c r="I189" s="276">
        <f t="shared" si="137"/>
        <v>6.9971610000000002</v>
      </c>
      <c r="J189" s="276">
        <f>IFERROR(IF($G$1="Sí",VLOOKUP($A189,CSVAgro,13,FALSE),VLOOKUP($A189,SWB!$C$15:$P$202,14,FALSE)),0)</f>
        <v>0</v>
      </c>
      <c r="K189" s="487">
        <f t="shared" si="138"/>
        <v>5</v>
      </c>
      <c r="L189" s="487">
        <f t="shared" si="139"/>
        <v>0</v>
      </c>
      <c r="M189" s="487">
        <f t="shared" si="140"/>
        <v>5</v>
      </c>
      <c r="N189" s="277">
        <f>IF(ISERROR($G$1="Sí"),VLOOKUP($A189,CSVAgro,16,FALSE),IF(ISERROR(VLOOKUP($A189,Clima!$W$8:$Z$284,2,FALSE)),VLOOKUP($A189,Clima!$E$8:$H$372,2,FALSE),VLOOKUP($A189,Clima!$W$8:$Z$284,2,FALSE)))</f>
        <v>19.7</v>
      </c>
      <c r="O189" s="276">
        <f t="shared" si="141"/>
        <v>370.43455412647415</v>
      </c>
      <c r="P189" s="276">
        <f t="shared" si="156"/>
        <v>136.90000000000003</v>
      </c>
      <c r="Q189" s="487">
        <f t="shared" si="142"/>
        <v>210</v>
      </c>
      <c r="R189" s="278">
        <f t="shared" si="157"/>
        <v>19.7</v>
      </c>
      <c r="S189" s="278">
        <f t="shared" si="149"/>
        <v>19.7</v>
      </c>
      <c r="T189" s="279">
        <f t="shared" si="143"/>
        <v>156</v>
      </c>
      <c r="U189" s="279">
        <f t="shared" si="113"/>
        <v>23</v>
      </c>
      <c r="V189" s="276">
        <f t="shared" si="150"/>
        <v>0</v>
      </c>
      <c r="W189" s="276">
        <f>IF(AND(S189&gt;VLOOKUP(Inputs!$I$2,Extracciones,3),S189&lt;VLOOKUP(Inputs!$I$2,Extracciones,5)),(S189-VLOOKUP(Inputs!$I$2,Extracciones,3))*Inputs!$E$12,0)</f>
        <v>0</v>
      </c>
      <c r="X189" s="278">
        <f>IF(AD189=0,VLOOKUP(R189,Mineral,2)*R189*Inputs!$C$16*Inputs!$E$37,VLOOKUP(R189,Mineral,2)*R189*Inputs!$C$16)</f>
        <v>1.97</v>
      </c>
      <c r="Y189" s="278">
        <f>SUM(K189,M189)*Inputs!$O$8*14/(100*62)</f>
        <v>0.33870967741935482</v>
      </c>
      <c r="Z189" s="278">
        <f t="shared" si="158"/>
        <v>0</v>
      </c>
      <c r="AA189" s="278">
        <f t="shared" si="159"/>
        <v>0</v>
      </c>
      <c r="AB189" s="279"/>
      <c r="AC189" s="278">
        <f t="shared" si="127"/>
        <v>0</v>
      </c>
      <c r="AD189" s="279">
        <f t="shared" si="145"/>
        <v>-1.1314285714285715</v>
      </c>
      <c r="AE189" s="278">
        <f t="shared" si="151"/>
        <v>-290.8690714285712</v>
      </c>
      <c r="AF189" s="278">
        <f t="shared" si="114"/>
        <v>47.64160785459913</v>
      </c>
      <c r="AG189" s="279">
        <f t="shared" si="146"/>
        <v>25</v>
      </c>
      <c r="AH189" s="279">
        <f>AF189*1000000/(Inputs!$C$9*100*Inputs!$C$8*1000*(1-Inputs!$C$10)*(1+Inputs!$C$12))</f>
        <v>9.5321344246897031</v>
      </c>
      <c r="AI189" s="279">
        <f>IFERROR(HLOOKUP(A189,Inputs!$C$14:$C$15,2,FALSE),-100)</f>
        <v>-100</v>
      </c>
      <c r="AJ189" s="281">
        <f t="shared" si="147"/>
        <v>0</v>
      </c>
      <c r="AK189" s="282">
        <f t="shared" si="128"/>
        <v>64.310000000000016</v>
      </c>
      <c r="AL189" s="282">
        <f t="shared" si="129"/>
        <v>14.564516129032246</v>
      </c>
      <c r="AM189" s="282">
        <f t="shared" si="130"/>
        <v>-1.9838368458620446</v>
      </c>
      <c r="AN189" s="283">
        <f>IFERROR(IF($G$1="Sí",VLOOKUP($A189,CSVAgro,9,FALSE),VLOOKUP($A189,Clima!$E$8:$Q$373,13,FALSE)),0)</f>
        <v>5.4</v>
      </c>
      <c r="AO189" s="281">
        <f t="shared" si="160"/>
        <v>416.09999999999997</v>
      </c>
      <c r="AP189" s="281">
        <f>IFERROR(VLOOKUP($A189,'F TrB'!$C$3:$O$21,3,FALSE),-9999)</f>
        <v>-9999</v>
      </c>
      <c r="AQ189" s="281">
        <f t="shared" si="152"/>
        <v>-999</v>
      </c>
      <c r="AR189" s="281">
        <f>IFERROR(IF(VLOOKUP($A189,'F TrB'!$Q$3:$R$21,2,FALSE)=0,-99999,VLOOKUP($A189,'F TrB'!$Q$3:$R$21,2,FALSE)),-99999)</f>
        <v>-99999</v>
      </c>
      <c r="AS189" s="281">
        <f t="shared" si="153"/>
        <v>-99999</v>
      </c>
      <c r="AT189" s="281" t="str">
        <f>IFERROR(VLOOKUP($A189,'NDVI tipo'!$Q$8:$S$30,2,FALSE),"")</f>
        <v/>
      </c>
      <c r="AU189" s="281">
        <f>IF(ISERROR(VLOOKUP($A189,'NDVI tipo'!$Q$8:$S$50,2,FALSE)),AU188+VLOOKUP($A189,'NDVI tipo'!$Q$8:$S$50,3,TRUE),VLOOKUP($A189,'NDVI tipo'!$Q$8:$S$50,2,FALSE))</f>
        <v>0.72324825000000004</v>
      </c>
      <c r="AV189" s="281">
        <f>IFERROR(VLOOKUP($A189,'NDVI real'!$Q$8:$S$44,2,FALSE),-999)</f>
        <v>-999</v>
      </c>
      <c r="AW189" s="281">
        <f>IF(ISERROR(VLOOKUP($A189,'NDVI real'!$T$8:$U$350,2,FALSE)),"",VLOOKUP($A189,'NDVI real'!$T$8:$U$350,2,FALSE))</f>
        <v>0.83183641972222278</v>
      </c>
      <c r="AX189" s="286">
        <f>IFERROR(VLOOKUP($A189,SWB!$C$15:$BE$244,53,FALSE),"")</f>
        <v>11.746522215741017</v>
      </c>
      <c r="AY189" s="286">
        <f>IFERROR(VLOOKUP($A189,SWB!$C$15:$BE$244,55,FALSE),"")</f>
        <v>2.2838307899727965</v>
      </c>
      <c r="AZ189" s="281">
        <f>IF(ISERROR(VLOOKUP($A189,Clima!$V$8:$AI$320,14,FALSE)),-999,VLOOKUP(A189,Clima!$V$8:$AI$219,14,FALSE))</f>
        <v>6.5</v>
      </c>
      <c r="BA189" s="281">
        <f t="shared" si="161"/>
        <v>477.2</v>
      </c>
      <c r="BB189" s="281">
        <f t="shared" si="154"/>
        <v>6.5</v>
      </c>
      <c r="BC189" s="281">
        <f t="shared" si="162"/>
        <v>477.2</v>
      </c>
      <c r="BD189" s="284">
        <f t="shared" si="148"/>
        <v>42160</v>
      </c>
    </row>
    <row r="190" spans="1:56" s="275" customFormat="1" ht="12.75">
      <c r="A190" s="273">
        <f t="shared" si="155"/>
        <v>42161</v>
      </c>
      <c r="B190" s="274">
        <f t="shared" si="131"/>
        <v>157</v>
      </c>
      <c r="C190" s="275" t="str">
        <f t="shared" si="132"/>
        <v>Final</v>
      </c>
      <c r="D190" s="276">
        <f t="shared" si="133"/>
        <v>6.7</v>
      </c>
      <c r="E190" s="276">
        <f t="shared" si="134"/>
        <v>1.0924333334000007</v>
      </c>
      <c r="F190" s="276"/>
      <c r="G190" s="276">
        <f t="shared" si="135"/>
        <v>0.170154</v>
      </c>
      <c r="H190" s="276">
        <f t="shared" si="136"/>
        <v>1.164598</v>
      </c>
      <c r="I190" s="276">
        <f t="shared" si="137"/>
        <v>7.721285</v>
      </c>
      <c r="J190" s="276">
        <f>IFERROR(IF($G$1="Sí",VLOOKUP($A190,CSVAgro,13,FALSE),VLOOKUP($A190,SWB!$C$15:$P$202,14,FALSE)),0)</f>
        <v>0</v>
      </c>
      <c r="K190" s="487">
        <f t="shared" si="138"/>
        <v>5</v>
      </c>
      <c r="L190" s="487">
        <f t="shared" si="139"/>
        <v>0</v>
      </c>
      <c r="M190" s="487">
        <f t="shared" si="140"/>
        <v>5</v>
      </c>
      <c r="N190" s="277">
        <f>IF(ISERROR($G$1="Sí"),VLOOKUP($A190,CSVAgro,16,FALSE),IF(ISERROR(VLOOKUP($A190,Clima!$W$8:$Z$284,2,FALSE)),VLOOKUP($A190,Clima!$E$8:$H$372,2,FALSE),VLOOKUP($A190,Clima!$W$8:$Z$284,2,FALSE)))</f>
        <v>20.7</v>
      </c>
      <c r="O190" s="276">
        <f t="shared" si="141"/>
        <v>375.35021236309609</v>
      </c>
      <c r="P190" s="276">
        <f t="shared" si="156"/>
        <v>136.90000000000003</v>
      </c>
      <c r="Q190" s="487">
        <f t="shared" si="142"/>
        <v>215</v>
      </c>
      <c r="R190" s="278">
        <f t="shared" si="157"/>
        <v>20.7</v>
      </c>
      <c r="S190" s="278">
        <f t="shared" si="149"/>
        <v>20.7</v>
      </c>
      <c r="T190" s="279">
        <f t="shared" si="143"/>
        <v>157</v>
      </c>
      <c r="U190" s="279">
        <f t="shared" si="113"/>
        <v>23</v>
      </c>
      <c r="V190" s="276">
        <f t="shared" si="150"/>
        <v>0</v>
      </c>
      <c r="W190" s="276">
        <f>IF(AND(S190&gt;VLOOKUP(Inputs!$I$2,Extracciones,3),S190&lt;VLOOKUP(Inputs!$I$2,Extracciones,5)),(S190-VLOOKUP(Inputs!$I$2,Extracciones,3))*Inputs!$E$12,0)</f>
        <v>0</v>
      </c>
      <c r="X190" s="278">
        <f>IF(AD190=0,VLOOKUP(R190,Mineral,2)*R190*Inputs!$C$16*Inputs!$E$37,VLOOKUP(R190,Mineral,2)*R190*Inputs!$C$16)</f>
        <v>2.0699999999999998</v>
      </c>
      <c r="Y190" s="278">
        <f>SUM(K190,M190)*Inputs!$O$8*14/(100*62)</f>
        <v>0.33870967741935482</v>
      </c>
      <c r="Z190" s="278">
        <f t="shared" si="158"/>
        <v>0</v>
      </c>
      <c r="AA190" s="278">
        <f t="shared" si="159"/>
        <v>0</v>
      </c>
      <c r="AB190" s="279"/>
      <c r="AC190" s="278">
        <f t="shared" si="127"/>
        <v>0</v>
      </c>
      <c r="AD190" s="279">
        <f t="shared" si="145"/>
        <v>-1.1314285714285715</v>
      </c>
      <c r="AE190" s="278">
        <f t="shared" si="151"/>
        <v>-292.00049999999976</v>
      </c>
      <c r="AF190" s="278">
        <f t="shared" si="114"/>
        <v>48.918888960589911</v>
      </c>
      <c r="AG190" s="279">
        <f t="shared" si="146"/>
        <v>25</v>
      </c>
      <c r="AH190" s="279">
        <f>AF190*1000000/(Inputs!$C$9*100*Inputs!$C$8*1000*(1-Inputs!$C$10)*(1+Inputs!$C$12))</f>
        <v>9.7876928692656886</v>
      </c>
      <c r="AI190" s="279">
        <f>IFERROR(HLOOKUP(A190,Inputs!$C$14:$C$15,2,FALSE),-100)</f>
        <v>-100</v>
      </c>
      <c r="AJ190" s="281">
        <f t="shared" si="147"/>
        <v>0</v>
      </c>
      <c r="AK190" s="282">
        <f t="shared" si="128"/>
        <v>66.38000000000001</v>
      </c>
      <c r="AL190" s="282">
        <f t="shared" si="129"/>
        <v>14.9032258064516</v>
      </c>
      <c r="AM190" s="282">
        <f t="shared" si="130"/>
        <v>-1.9838368458620446</v>
      </c>
      <c r="AN190" s="283">
        <f>IFERROR(IF($G$1="Sí",VLOOKUP($A190,CSVAgro,9,FALSE),VLOOKUP($A190,Clima!$E$8:$Q$373,13,FALSE)),0)</f>
        <v>5.6</v>
      </c>
      <c r="AO190" s="281">
        <f t="shared" si="160"/>
        <v>421.7</v>
      </c>
      <c r="AP190" s="281">
        <f>IFERROR(VLOOKUP($A190,'F TrB'!$C$3:$O$21,3,FALSE),-9999)</f>
        <v>-9999</v>
      </c>
      <c r="AQ190" s="281">
        <f t="shared" si="152"/>
        <v>-999</v>
      </c>
      <c r="AR190" s="281">
        <f>IFERROR(IF(VLOOKUP($A190,'F TrB'!$Q$3:$R$21,2,FALSE)=0,-99999,VLOOKUP($A190,'F TrB'!$Q$3:$R$21,2,FALSE)),-99999)</f>
        <v>-99999</v>
      </c>
      <c r="AS190" s="281">
        <f t="shared" si="153"/>
        <v>-99999</v>
      </c>
      <c r="AT190" s="281" t="str">
        <f>IFERROR(VLOOKUP($A190,'NDVI tipo'!$Q$8:$S$30,2,FALSE),"")</f>
        <v/>
      </c>
      <c r="AU190" s="281">
        <f>IF(ISERROR(VLOOKUP($A190,'NDVI tipo'!$Q$8:$S$50,2,FALSE)),AU189+VLOOKUP($A190,'NDVI tipo'!$Q$8:$S$50,3,TRUE),VLOOKUP($A190,'NDVI tipo'!$Q$8:$S$50,2,FALSE))</f>
        <v>0.71551362500000004</v>
      </c>
      <c r="AV190" s="281">
        <f>IFERROR(VLOOKUP($A190,'NDVI real'!$Q$8:$S$44,2,FALSE),-999)</f>
        <v>-999</v>
      </c>
      <c r="AW190" s="281">
        <f>IF(ISERROR(VLOOKUP($A190,'NDVI real'!$T$8:$U$350,2,FALSE)),"",VLOOKUP($A190,'NDVI real'!$T$8:$U$350,2,FALSE))</f>
        <v>0.82807870375000059</v>
      </c>
      <c r="AX190" s="286">
        <f>IFERROR(VLOOKUP($A190,SWB!$C$15:$BE$244,53,FALSE),"")</f>
        <v>11.979956660201017</v>
      </c>
      <c r="AY190" s="286">
        <f>IFERROR(VLOOKUP($A190,SWB!$C$15:$BE$244,55,FALSE),"")</f>
        <v>2.3353906051630133</v>
      </c>
      <c r="AZ190" s="281">
        <f>IF(ISERROR(VLOOKUP($A190,Clima!$V$8:$AI$320,14,FALSE)),-999,VLOOKUP(A190,Clima!$V$8:$AI$219,14,FALSE))</f>
        <v>6.7</v>
      </c>
      <c r="BA190" s="281">
        <f t="shared" si="161"/>
        <v>483.9</v>
      </c>
      <c r="BB190" s="281">
        <f t="shared" si="154"/>
        <v>6.7</v>
      </c>
      <c r="BC190" s="281">
        <f t="shared" si="162"/>
        <v>483.9</v>
      </c>
      <c r="BD190" s="284">
        <f t="shared" si="148"/>
        <v>42161</v>
      </c>
    </row>
    <row r="191" spans="1:56" s="275" customFormat="1" ht="12.75">
      <c r="A191" s="273">
        <f t="shared" si="155"/>
        <v>42162</v>
      </c>
      <c r="B191" s="274">
        <f t="shared" si="131"/>
        <v>158</v>
      </c>
      <c r="C191" s="275" t="str">
        <f t="shared" si="132"/>
        <v>Final</v>
      </c>
      <c r="D191" s="276">
        <f t="shared" si="133"/>
        <v>6.7</v>
      </c>
      <c r="E191" s="276">
        <f t="shared" si="134"/>
        <v>1.0870222223999999</v>
      </c>
      <c r="F191" s="276"/>
      <c r="G191" s="276">
        <f t="shared" si="135"/>
        <v>0.244671</v>
      </c>
      <c r="H191" s="276">
        <f t="shared" si="136"/>
        <v>1.1863379999999999</v>
      </c>
      <c r="I191" s="276">
        <f t="shared" si="137"/>
        <v>8.0077780000000001</v>
      </c>
      <c r="J191" s="276">
        <f>IFERROR(IF($G$1="Sí",VLOOKUP($A191,CSVAgro,13,FALSE),VLOOKUP($A191,SWB!$C$15:$P$202,14,FALSE)),0)</f>
        <v>0</v>
      </c>
      <c r="K191" s="487">
        <f t="shared" si="138"/>
        <v>5</v>
      </c>
      <c r="L191" s="487">
        <f t="shared" si="139"/>
        <v>0</v>
      </c>
      <c r="M191" s="487">
        <f t="shared" si="140"/>
        <v>5</v>
      </c>
      <c r="N191" s="277">
        <f>IF(ISERROR($G$1="Sí"),VLOOKUP($A191,CSVAgro,16,FALSE),IF(ISERROR(VLOOKUP($A191,Clima!$W$8:$Z$284,2,FALSE)),VLOOKUP($A191,Clima!$E$8:$H$372,2,FALSE),VLOOKUP($A191,Clima!$W$8:$Z$284,2,FALSE)))</f>
        <v>20.100000000000001</v>
      </c>
      <c r="O191" s="276">
        <f t="shared" si="141"/>
        <v>380.49542706448995</v>
      </c>
      <c r="P191" s="276">
        <f t="shared" si="156"/>
        <v>136.90000000000003</v>
      </c>
      <c r="Q191" s="487">
        <f t="shared" si="142"/>
        <v>220</v>
      </c>
      <c r="R191" s="278">
        <f t="shared" si="157"/>
        <v>20.100000000000001</v>
      </c>
      <c r="S191" s="278">
        <f t="shared" si="149"/>
        <v>20.100000000000001</v>
      </c>
      <c r="T191" s="279">
        <f t="shared" si="143"/>
        <v>158</v>
      </c>
      <c r="U191" s="279">
        <f t="shared" si="113"/>
        <v>23</v>
      </c>
      <c r="V191" s="276">
        <f t="shared" si="150"/>
        <v>0</v>
      </c>
      <c r="W191" s="276">
        <f>IF(AND(S191&gt;VLOOKUP(Inputs!$I$2,Extracciones,3),S191&lt;VLOOKUP(Inputs!$I$2,Extracciones,5)),(S191-VLOOKUP(Inputs!$I$2,Extracciones,3))*Inputs!$E$12,0)</f>
        <v>0</v>
      </c>
      <c r="X191" s="278">
        <f>IF(AD191=0,VLOOKUP(R191,Mineral,2)*R191*Inputs!$C$16*Inputs!$E$37,VLOOKUP(R191,Mineral,2)*R191*Inputs!$C$16)</f>
        <v>2.0100000000000002</v>
      </c>
      <c r="Y191" s="278">
        <f>SUM(K191,M191)*Inputs!$O$8*14/(100*62)</f>
        <v>0.33870967741935482</v>
      </c>
      <c r="Z191" s="278">
        <f t="shared" si="158"/>
        <v>0</v>
      </c>
      <c r="AA191" s="278">
        <f t="shared" si="159"/>
        <v>0</v>
      </c>
      <c r="AB191" s="279"/>
      <c r="AC191" s="278">
        <f t="shared" si="127"/>
        <v>0</v>
      </c>
      <c r="AD191" s="279">
        <f t="shared" si="145"/>
        <v>-1.1314285714285715</v>
      </c>
      <c r="AE191" s="278">
        <f t="shared" si="151"/>
        <v>-293.13192857142832</v>
      </c>
      <c r="AF191" s="278">
        <f t="shared" si="114"/>
        <v>50.136170066580696</v>
      </c>
      <c r="AG191" s="279">
        <f t="shared" si="146"/>
        <v>25</v>
      </c>
      <c r="AH191" s="279">
        <f>AF191*1000000/(Inputs!$C$9*100*Inputs!$C$8*1000*(1-Inputs!$C$10)*(1+Inputs!$C$12))</f>
        <v>10.031246511920909</v>
      </c>
      <c r="AI191" s="279">
        <f>IFERROR(HLOOKUP(A191,Inputs!$C$14:$C$15,2,FALSE),-100)</f>
        <v>-100</v>
      </c>
      <c r="AJ191" s="281">
        <f t="shared" si="147"/>
        <v>0</v>
      </c>
      <c r="AK191" s="282">
        <f t="shared" si="128"/>
        <v>68.390000000000015</v>
      </c>
      <c r="AL191" s="282">
        <f t="shared" si="129"/>
        <v>15.241935483870954</v>
      </c>
      <c r="AM191" s="282">
        <f t="shared" si="130"/>
        <v>-1.9838368458620446</v>
      </c>
      <c r="AN191" s="283">
        <f>IFERROR(IF($G$1="Sí",VLOOKUP($A191,CSVAgro,9,FALSE),VLOOKUP($A191,Clima!$E$8:$Q$373,13,FALSE)),0)</f>
        <v>6</v>
      </c>
      <c r="AO191" s="281">
        <f t="shared" si="160"/>
        <v>427.7</v>
      </c>
      <c r="AP191" s="281">
        <f>IFERROR(VLOOKUP($A191,'F TrB'!$C$3:$O$21,3,FALSE),-9999)</f>
        <v>-9999</v>
      </c>
      <c r="AQ191" s="281">
        <f t="shared" si="152"/>
        <v>-999</v>
      </c>
      <c r="AR191" s="281">
        <f>IFERROR(IF(VLOOKUP($A191,'F TrB'!$Q$3:$R$21,2,FALSE)=0,-99999,VLOOKUP($A191,'F TrB'!$Q$3:$R$21,2,FALSE)),-99999)</f>
        <v>-99999</v>
      </c>
      <c r="AS191" s="281">
        <f t="shared" si="153"/>
        <v>-99999</v>
      </c>
      <c r="AT191" s="281">
        <f>IFERROR(VLOOKUP($A191,'NDVI tipo'!$Q$8:$S$30,2,FALSE),"")</f>
        <v>0.70777900000000005</v>
      </c>
      <c r="AU191" s="281">
        <f>IF(ISERROR(VLOOKUP($A191,'NDVI tipo'!$Q$8:$S$50,2,FALSE)),AU190+VLOOKUP($A191,'NDVI tipo'!$Q$8:$S$50,3,TRUE),VLOOKUP($A191,'NDVI tipo'!$Q$8:$S$50,2,FALSE))</f>
        <v>0.70777900000000005</v>
      </c>
      <c r="AV191" s="281">
        <f>IFERROR(VLOOKUP($A191,'NDVI real'!$Q$8:$S$44,2,FALSE),-999)</f>
        <v>0.82432098777777774</v>
      </c>
      <c r="AW191" s="281">
        <f>IF(ISERROR(VLOOKUP($A191,'NDVI real'!$T$8:$U$350,2,FALSE)),"",VLOOKUP($A191,'NDVI real'!$T$8:$U$350,2,FALSE))</f>
        <v>0.82432098777777774</v>
      </c>
      <c r="AX191" s="286">
        <f>IFERROR(VLOOKUP($A191,SWB!$C$15:$BE$244,53,FALSE),"")</f>
        <v>12.228712215801018</v>
      </c>
      <c r="AY191" s="286">
        <f>IFERROR(VLOOKUP($A191,SWB!$C$15:$BE$244,55,FALSE),"")</f>
        <v>2.46663992583197</v>
      </c>
      <c r="AZ191" s="281">
        <f>IF(ISERROR(VLOOKUP($A191,Clima!$V$8:$AI$320,14,FALSE)),-999,VLOOKUP(A191,Clima!$V$8:$AI$219,14,FALSE))</f>
        <v>6.7</v>
      </c>
      <c r="BA191" s="281">
        <f t="shared" si="161"/>
        <v>490.59999999999997</v>
      </c>
      <c r="BB191" s="281">
        <f t="shared" si="154"/>
        <v>6.7</v>
      </c>
      <c r="BC191" s="281">
        <f t="shared" si="162"/>
        <v>490.59999999999997</v>
      </c>
      <c r="BD191" s="284">
        <f t="shared" si="148"/>
        <v>42162</v>
      </c>
    </row>
    <row r="192" spans="1:56" s="275" customFormat="1" ht="12.75">
      <c r="A192" s="273">
        <f t="shared" si="155"/>
        <v>42163</v>
      </c>
      <c r="B192" s="274">
        <f t="shared" si="131"/>
        <v>159</v>
      </c>
      <c r="C192" s="275" t="str">
        <f t="shared" si="132"/>
        <v>Final</v>
      </c>
      <c r="D192" s="276">
        <f t="shared" si="133"/>
        <v>6.3</v>
      </c>
      <c r="E192" s="276">
        <f t="shared" si="134"/>
        <v>1.0460333333999998</v>
      </c>
      <c r="F192" s="276"/>
      <c r="G192" s="276">
        <f t="shared" si="135"/>
        <v>0.286333</v>
      </c>
      <c r="H192" s="276">
        <f t="shared" si="136"/>
        <v>1.175222</v>
      </c>
      <c r="I192" s="276">
        <f t="shared" si="137"/>
        <v>7.6389440000000004</v>
      </c>
      <c r="J192" s="276">
        <f>IFERROR(IF($G$1="Sí",VLOOKUP($A192,CSVAgro,13,FALSE),VLOOKUP($A192,SWB!$C$15:$P$202,14,FALSE)),0)</f>
        <v>0</v>
      </c>
      <c r="K192" s="487">
        <f t="shared" si="138"/>
        <v>5</v>
      </c>
      <c r="L192" s="487">
        <f t="shared" si="139"/>
        <v>0</v>
      </c>
      <c r="M192" s="487">
        <f t="shared" si="140"/>
        <v>5</v>
      </c>
      <c r="N192" s="277">
        <f>IF(ISERROR($G$1="Sí"),VLOOKUP($A192,CSVAgro,16,FALSE),IF(ISERROR(VLOOKUP($A192,Clima!$W$8:$Z$284,2,FALSE)),VLOOKUP($A192,Clima!$E$8:$H$372,2,FALSE),VLOOKUP($A192,Clima!$W$8:$Z$284,2,FALSE)))</f>
        <v>20.5</v>
      </c>
      <c r="O192" s="276">
        <f t="shared" si="141"/>
        <v>385.86761554520712</v>
      </c>
      <c r="P192" s="276">
        <f t="shared" si="156"/>
        <v>136.90000000000003</v>
      </c>
      <c r="Q192" s="487">
        <f t="shared" si="142"/>
        <v>225</v>
      </c>
      <c r="R192" s="278">
        <f t="shared" si="157"/>
        <v>20.5</v>
      </c>
      <c r="S192" s="278">
        <f t="shared" si="149"/>
        <v>20.5</v>
      </c>
      <c r="T192" s="279">
        <f t="shared" si="143"/>
        <v>159</v>
      </c>
      <c r="U192" s="279">
        <f t="shared" si="113"/>
        <v>24</v>
      </c>
      <c r="V192" s="276">
        <f t="shared" si="150"/>
        <v>0</v>
      </c>
      <c r="W192" s="276">
        <f>IF(AND(S192&gt;VLOOKUP(Inputs!$I$2,Extracciones,3),S192&lt;VLOOKUP(Inputs!$I$2,Extracciones,5)),(S192-VLOOKUP(Inputs!$I$2,Extracciones,3))*Inputs!$E$12,0)</f>
        <v>0</v>
      </c>
      <c r="X192" s="278">
        <f>IF(AD192=0,VLOOKUP(R192,Mineral,2)*R192*Inputs!$C$16*Inputs!$E$37,VLOOKUP(R192,Mineral,2)*R192*Inputs!$C$16)</f>
        <v>2.0500000000000003</v>
      </c>
      <c r="Y192" s="278">
        <f>SUM(K192,M192)*Inputs!$O$8*14/(100*62)</f>
        <v>0.33870967741935482</v>
      </c>
      <c r="Z192" s="278">
        <f t="shared" si="158"/>
        <v>0</v>
      </c>
      <c r="AA192" s="278">
        <f t="shared" si="159"/>
        <v>0</v>
      </c>
      <c r="AB192" s="279"/>
      <c r="AC192" s="278">
        <f t="shared" si="127"/>
        <v>0</v>
      </c>
      <c r="AD192" s="279">
        <f t="shared" si="145"/>
        <v>-1.1314285714285715</v>
      </c>
      <c r="AE192" s="278">
        <f t="shared" si="151"/>
        <v>-294.26335714285688</v>
      </c>
      <c r="AF192" s="278">
        <f t="shared" si="114"/>
        <v>51.393451172571481</v>
      </c>
      <c r="AG192" s="279">
        <f t="shared" si="146"/>
        <v>25</v>
      </c>
      <c r="AH192" s="279">
        <f>AF192*1000000/(Inputs!$C$9*100*Inputs!$C$8*1000*(1-Inputs!$C$10)*(1+Inputs!$C$12))</f>
        <v>10.282803355856638</v>
      </c>
      <c r="AI192" s="279">
        <f>IFERROR(HLOOKUP(A192,Inputs!$C$14:$C$15,2,FALSE),-100)</f>
        <v>-100</v>
      </c>
      <c r="AJ192" s="281">
        <f t="shared" si="147"/>
        <v>0</v>
      </c>
      <c r="AK192" s="282">
        <f t="shared" si="128"/>
        <v>70.440000000000012</v>
      </c>
      <c r="AL192" s="282">
        <f t="shared" si="129"/>
        <v>15.580645161290308</v>
      </c>
      <c r="AM192" s="282">
        <f t="shared" si="130"/>
        <v>-1.9838368458620446</v>
      </c>
      <c r="AN192" s="283">
        <f>IFERROR(IF($G$1="Sí",VLOOKUP($A192,CSVAgro,9,FALSE),VLOOKUP($A192,Clima!$E$8:$Q$373,13,FALSE)),0)</f>
        <v>6.6</v>
      </c>
      <c r="AO192" s="281">
        <f t="shared" si="160"/>
        <v>434.3</v>
      </c>
      <c r="AP192" s="281">
        <f>IFERROR(VLOOKUP($A192,'F TrB'!$C$3:$O$21,3,FALSE),-9999)</f>
        <v>-9999</v>
      </c>
      <c r="AQ192" s="281">
        <f t="shared" si="152"/>
        <v>-999</v>
      </c>
      <c r="AR192" s="281">
        <f>IFERROR(IF(VLOOKUP($A192,'F TrB'!$Q$3:$R$21,2,FALSE)=0,-99999,VLOOKUP($A192,'F TrB'!$Q$3:$R$21,2,FALSE)),-99999)</f>
        <v>-99999</v>
      </c>
      <c r="AS192" s="281">
        <f t="shared" si="153"/>
        <v>-99999</v>
      </c>
      <c r="AT192" s="281" t="str">
        <f>IFERROR(VLOOKUP($A192,'NDVI tipo'!$Q$8:$S$30,2,FALSE),"")</f>
        <v/>
      </c>
      <c r="AU192" s="281">
        <f>IF(ISERROR(VLOOKUP($A192,'NDVI tipo'!$Q$8:$S$50,2,FALSE)),AU191+VLOOKUP($A192,'NDVI tipo'!$Q$8:$S$50,3,TRUE),VLOOKUP($A192,'NDVI tipo'!$Q$8:$S$50,2,FALSE))</f>
        <v>0.68194566666666667</v>
      </c>
      <c r="AV192" s="281">
        <f>IFERROR(VLOOKUP($A192,'NDVI real'!$Q$8:$S$44,2,FALSE),-999)</f>
        <v>-999</v>
      </c>
      <c r="AW192" s="281">
        <f>IF(ISERROR(VLOOKUP($A192,'NDVI real'!$T$8:$U$350,2,FALSE)),"",VLOOKUP($A192,'NDVI real'!$T$8:$U$350,2,FALSE))</f>
        <v>0.79585648152777777</v>
      </c>
      <c r="AX192" s="286">
        <f>IFERROR(VLOOKUP($A192,SWB!$C$15:$BE$244,53,FALSE),"")</f>
        <v>12.491071382486018</v>
      </c>
      <c r="AY192" s="286">
        <f>IFERROR(VLOOKUP($A192,SWB!$C$15:$BE$244,55,FALSE),"")</f>
        <v>2.5776202621848938</v>
      </c>
      <c r="AZ192" s="281">
        <f>IF(ISERROR(VLOOKUP($A192,Clima!$V$8:$AI$320,14,FALSE)),-999,VLOOKUP(A192,Clima!$V$8:$AI$219,14,FALSE))</f>
        <v>6.3</v>
      </c>
      <c r="BA192" s="281">
        <f t="shared" si="161"/>
        <v>496.9</v>
      </c>
      <c r="BB192" s="281">
        <f t="shared" si="154"/>
        <v>6.3</v>
      </c>
      <c r="BC192" s="281">
        <f t="shared" si="162"/>
        <v>496.9</v>
      </c>
      <c r="BD192" s="284">
        <f t="shared" si="148"/>
        <v>42163</v>
      </c>
    </row>
    <row r="193" spans="1:56" s="275" customFormat="1" ht="12.75">
      <c r="A193" s="273">
        <f t="shared" si="155"/>
        <v>42164</v>
      </c>
      <c r="B193" s="274">
        <f t="shared" si="131"/>
        <v>160</v>
      </c>
      <c r="C193" s="275" t="str">
        <f t="shared" si="132"/>
        <v>Final</v>
      </c>
      <c r="D193" s="276">
        <f t="shared" si="133"/>
        <v>6.1</v>
      </c>
      <c r="E193" s="276">
        <f t="shared" si="134"/>
        <v>1.0050444444</v>
      </c>
      <c r="F193" s="276"/>
      <c r="G193" s="276">
        <f t="shared" si="135"/>
        <v>0.33706900000000001</v>
      </c>
      <c r="H193" s="276">
        <f t="shared" si="136"/>
        <v>1.1731799999999999</v>
      </c>
      <c r="I193" s="276">
        <f t="shared" si="137"/>
        <v>7.8133790000000003</v>
      </c>
      <c r="J193" s="276">
        <f>IFERROR(IF($G$1="Sí",VLOOKUP($A193,CSVAgro,13,FALSE),VLOOKUP($A193,SWB!$C$15:$P$202,14,FALSE)),0)</f>
        <v>5.7</v>
      </c>
      <c r="K193" s="487">
        <f t="shared" si="138"/>
        <v>5</v>
      </c>
      <c r="L193" s="487">
        <f t="shared" si="139"/>
        <v>0</v>
      </c>
      <c r="M193" s="487">
        <f t="shared" si="140"/>
        <v>5</v>
      </c>
      <c r="N193" s="277">
        <f>IF(ISERROR($G$1="Sí"),VLOOKUP($A193,CSVAgro,16,FALSE),IF(ISERROR(VLOOKUP($A193,Clima!$W$8:$Z$284,2,FALSE)),VLOOKUP($A193,Clima!$E$8:$H$372,2,FALSE),VLOOKUP($A193,Clima!$W$8:$Z$284,2,FALSE)))</f>
        <v>21.4</v>
      </c>
      <c r="O193" s="276">
        <f t="shared" si="141"/>
        <v>393.24832902219589</v>
      </c>
      <c r="P193" s="276">
        <f t="shared" si="156"/>
        <v>142.60000000000002</v>
      </c>
      <c r="Q193" s="487">
        <f t="shared" si="142"/>
        <v>230</v>
      </c>
      <c r="R193" s="278">
        <f t="shared" si="157"/>
        <v>21.4</v>
      </c>
      <c r="S193" s="278">
        <f t="shared" si="149"/>
        <v>21.4</v>
      </c>
      <c r="T193" s="279">
        <f t="shared" si="143"/>
        <v>160</v>
      </c>
      <c r="U193" s="279">
        <f t="shared" si="113"/>
        <v>24</v>
      </c>
      <c r="V193" s="276">
        <f t="shared" si="150"/>
        <v>0</v>
      </c>
      <c r="W193" s="276">
        <f>IF(AND(S193&gt;VLOOKUP(Inputs!$I$2,Extracciones,3),S193&lt;VLOOKUP(Inputs!$I$2,Extracciones,5)),(S193-VLOOKUP(Inputs!$I$2,Extracciones,3))*Inputs!$E$12,0)</f>
        <v>0</v>
      </c>
      <c r="X193" s="278">
        <f>IF(AD193=0,VLOOKUP(R193,Mineral,2)*R193*Inputs!$C$16*Inputs!$E$37,VLOOKUP(R193,Mineral,2)*R193*Inputs!$C$16)</f>
        <v>2.14</v>
      </c>
      <c r="Y193" s="278">
        <f>SUM(K193,M193)*Inputs!$O$8*14/(100*62)</f>
        <v>0.33870967741935482</v>
      </c>
      <c r="Z193" s="278">
        <f t="shared" si="158"/>
        <v>0</v>
      </c>
      <c r="AA193" s="278">
        <f t="shared" si="159"/>
        <v>0</v>
      </c>
      <c r="AB193" s="279"/>
      <c r="AC193" s="278">
        <f t="shared" si="127"/>
        <v>0</v>
      </c>
      <c r="AD193" s="279">
        <f t="shared" si="145"/>
        <v>-1.1314285714285715</v>
      </c>
      <c r="AE193" s="278">
        <f t="shared" si="151"/>
        <v>-295.39478571428543</v>
      </c>
      <c r="AF193" s="278">
        <f t="shared" si="114"/>
        <v>52.740732278562263</v>
      </c>
      <c r="AG193" s="279">
        <f t="shared" si="146"/>
        <v>25</v>
      </c>
      <c r="AH193" s="279">
        <f>AF193*1000000/(Inputs!$C$9*100*Inputs!$C$8*1000*(1-Inputs!$C$10)*(1+Inputs!$C$12))</f>
        <v>10.552367402673521</v>
      </c>
      <c r="AI193" s="279">
        <f>IFERROR(HLOOKUP(A193,Inputs!$C$14:$C$15,2,FALSE),-100)</f>
        <v>-100</v>
      </c>
      <c r="AJ193" s="281">
        <f t="shared" si="147"/>
        <v>0</v>
      </c>
      <c r="AK193" s="282">
        <f t="shared" si="128"/>
        <v>72.580000000000013</v>
      </c>
      <c r="AL193" s="282">
        <f t="shared" si="129"/>
        <v>15.919354838709662</v>
      </c>
      <c r="AM193" s="282">
        <f t="shared" si="130"/>
        <v>-1.9838368458620446</v>
      </c>
      <c r="AN193" s="283">
        <f>IFERROR(IF($G$1="Sí",VLOOKUP($A193,CSVAgro,9,FALSE),VLOOKUP($A193,Clima!$E$8:$Q$373,13,FALSE)),0)</f>
        <v>7.1</v>
      </c>
      <c r="AO193" s="281">
        <f t="shared" si="160"/>
        <v>441.40000000000003</v>
      </c>
      <c r="AP193" s="281">
        <f>IFERROR(VLOOKUP($A193,'F TrB'!$C$3:$O$21,3,FALSE),-9999)</f>
        <v>-9999</v>
      </c>
      <c r="AQ193" s="281">
        <f t="shared" si="152"/>
        <v>-999</v>
      </c>
      <c r="AR193" s="281">
        <f>IFERROR(IF(VLOOKUP($A193,'F TrB'!$Q$3:$R$21,2,FALSE)=0,-99999,VLOOKUP($A193,'F TrB'!$Q$3:$R$21,2,FALSE)),-99999)</f>
        <v>-99999</v>
      </c>
      <c r="AS193" s="281">
        <f t="shared" si="153"/>
        <v>-99999</v>
      </c>
      <c r="AT193" s="281" t="str">
        <f>IFERROR(VLOOKUP($A193,'NDVI tipo'!$Q$8:$S$30,2,FALSE),"")</f>
        <v/>
      </c>
      <c r="AU193" s="281">
        <f>IF(ISERROR(VLOOKUP($A193,'NDVI tipo'!$Q$8:$S$50,2,FALSE)),AU192+VLOOKUP($A193,'NDVI tipo'!$Q$8:$S$50,3,TRUE),VLOOKUP($A193,'NDVI tipo'!$Q$8:$S$50,2,FALSE))</f>
        <v>0.6561123333333333</v>
      </c>
      <c r="AV193" s="281">
        <f>IFERROR(VLOOKUP($A193,'NDVI real'!$Q$8:$S$44,2,FALSE),-999)</f>
        <v>-999</v>
      </c>
      <c r="AW193" s="281">
        <f>IF(ISERROR(VLOOKUP($A193,'NDVI real'!$T$8:$U$350,2,FALSE)),"",VLOOKUP($A193,'NDVI real'!$T$8:$U$350,2,FALSE))</f>
        <v>0.7673919752777778</v>
      </c>
      <c r="AX193" s="286">
        <f>IFERROR(VLOOKUP($A193,SWB!$C$15:$BE$244,53,FALSE),"")</f>
        <v>12.761180363954351</v>
      </c>
      <c r="AY193" s="286">
        <f>IFERROR(VLOOKUP($A193,SWB!$C$15:$BE$244,55,FALSE),"")</f>
        <v>2.6288807975122666</v>
      </c>
      <c r="AZ193" s="281">
        <f>IF(ISERROR(VLOOKUP($A193,Clima!$V$8:$AI$320,14,FALSE)),-999,VLOOKUP(A193,Clima!$V$8:$AI$219,14,FALSE))</f>
        <v>6.1</v>
      </c>
      <c r="BA193" s="281">
        <f t="shared" si="161"/>
        <v>503</v>
      </c>
      <c r="BB193" s="281">
        <f t="shared" si="154"/>
        <v>6.1</v>
      </c>
      <c r="BC193" s="281">
        <f t="shared" si="162"/>
        <v>503</v>
      </c>
      <c r="BD193" s="284">
        <f t="shared" si="148"/>
        <v>42164</v>
      </c>
    </row>
    <row r="194" spans="1:56" s="275" customFormat="1" ht="12.75">
      <c r="A194" s="273">
        <f t="shared" si="155"/>
        <v>42165</v>
      </c>
      <c r="B194" s="274">
        <f t="shared" si="131"/>
        <v>161</v>
      </c>
      <c r="C194" s="275" t="str">
        <f t="shared" si="132"/>
        <v>Final</v>
      </c>
      <c r="D194" s="276">
        <f t="shared" si="133"/>
        <v>4.7</v>
      </c>
      <c r="E194" s="276">
        <f t="shared" si="134"/>
        <v>0.96405555539999999</v>
      </c>
      <c r="F194" s="276"/>
      <c r="G194" s="276">
        <f t="shared" si="135"/>
        <v>0.38837300000000002</v>
      </c>
      <c r="H194" s="276">
        <f t="shared" si="136"/>
        <v>1.1717070000000001</v>
      </c>
      <c r="I194" s="276">
        <f t="shared" si="137"/>
        <v>7.8387180000000001</v>
      </c>
      <c r="J194" s="276">
        <f>IFERROR(IF($G$1="Sí",VLOOKUP($A194,CSVAgro,13,FALSE),VLOOKUP($A194,SWB!$C$15:$P$202,14,FALSE)),0)</f>
        <v>1</v>
      </c>
      <c r="K194" s="487">
        <f t="shared" si="138"/>
        <v>5</v>
      </c>
      <c r="L194" s="487">
        <f t="shared" si="139"/>
        <v>0</v>
      </c>
      <c r="M194" s="487">
        <f t="shared" si="140"/>
        <v>5</v>
      </c>
      <c r="N194" s="277">
        <f>IF(ISERROR($G$1="Sí"),VLOOKUP($A194,CSVAgro,16,FALSE),IF(ISERROR(VLOOKUP($A194,Clima!$W$8:$Z$284,2,FALSE)),VLOOKUP($A194,Clima!$E$8:$H$372,2,FALSE),VLOOKUP($A194,Clima!$W$8:$Z$284,2,FALSE)))</f>
        <v>19.7</v>
      </c>
      <c r="O194" s="276">
        <f t="shared" si="141"/>
        <v>399.99146920792731</v>
      </c>
      <c r="P194" s="276">
        <f t="shared" si="156"/>
        <v>143.60000000000002</v>
      </c>
      <c r="Q194" s="487">
        <f t="shared" si="142"/>
        <v>235</v>
      </c>
      <c r="R194" s="278">
        <f t="shared" si="157"/>
        <v>19.7</v>
      </c>
      <c r="S194" s="278">
        <f t="shared" si="149"/>
        <v>19.7</v>
      </c>
      <c r="T194" s="279">
        <f t="shared" si="143"/>
        <v>161</v>
      </c>
      <c r="U194" s="279">
        <f t="shared" si="113"/>
        <v>24</v>
      </c>
      <c r="V194" s="276">
        <f t="shared" si="150"/>
        <v>0</v>
      </c>
      <c r="W194" s="276">
        <f>IF(AND(S194&gt;VLOOKUP(Inputs!$I$2,Extracciones,3),S194&lt;VLOOKUP(Inputs!$I$2,Extracciones,5)),(S194-VLOOKUP(Inputs!$I$2,Extracciones,3))*Inputs!$E$12,0)</f>
        <v>0</v>
      </c>
      <c r="X194" s="278">
        <f>IF(AD194=0,VLOOKUP(R194,Mineral,2)*R194*Inputs!$C$16*Inputs!$E$37,VLOOKUP(R194,Mineral,2)*R194*Inputs!$C$16)</f>
        <v>1.97</v>
      </c>
      <c r="Y194" s="278">
        <f>SUM(K194,M194)*Inputs!$O$8*14/(100*62)</f>
        <v>0.33870967741935482</v>
      </c>
      <c r="Z194" s="278">
        <f t="shared" si="158"/>
        <v>0</v>
      </c>
      <c r="AA194" s="278">
        <f t="shared" si="159"/>
        <v>0</v>
      </c>
      <c r="AB194" s="279"/>
      <c r="AC194" s="278">
        <f t="shared" si="127"/>
        <v>0</v>
      </c>
      <c r="AD194" s="279">
        <f t="shared" si="145"/>
        <v>-1.1314285714285715</v>
      </c>
      <c r="AE194" s="278">
        <f t="shared" si="151"/>
        <v>-296.52621428571399</v>
      </c>
      <c r="AF194" s="278">
        <f t="shared" si="114"/>
        <v>53.918013384553049</v>
      </c>
      <c r="AG194" s="279">
        <f t="shared" si="146"/>
        <v>25</v>
      </c>
      <c r="AH194" s="279">
        <f>AF194*1000000/(Inputs!$C$9*100*Inputs!$C$8*1000*(1-Inputs!$C$10)*(1+Inputs!$C$12))</f>
        <v>10.787917844048231</v>
      </c>
      <c r="AI194" s="279">
        <f>IFERROR(HLOOKUP(A194,Inputs!$C$14:$C$15,2,FALSE),-100)</f>
        <v>-100</v>
      </c>
      <c r="AJ194" s="281">
        <f t="shared" si="147"/>
        <v>0</v>
      </c>
      <c r="AK194" s="282">
        <f t="shared" si="128"/>
        <v>74.550000000000011</v>
      </c>
      <c r="AL194" s="282">
        <f t="shared" si="129"/>
        <v>16.258064516129018</v>
      </c>
      <c r="AM194" s="282">
        <f t="shared" si="130"/>
        <v>-1.9838368458620446</v>
      </c>
      <c r="AN194" s="283">
        <f>IFERROR(IF($G$1="Sí",VLOOKUP($A194,CSVAgro,9,FALSE),VLOOKUP($A194,Clima!$E$8:$Q$373,13,FALSE)),0)</f>
        <v>6.9</v>
      </c>
      <c r="AO194" s="281">
        <f t="shared" si="160"/>
        <v>448.3</v>
      </c>
      <c r="AP194" s="281">
        <f>IFERROR(VLOOKUP($A194,'F TrB'!$C$3:$O$21,3,FALSE),-9999)</f>
        <v>-9999</v>
      </c>
      <c r="AQ194" s="281">
        <f t="shared" si="152"/>
        <v>-999</v>
      </c>
      <c r="AR194" s="281">
        <f>IFERROR(IF(VLOOKUP($A194,'F TrB'!$Q$3:$R$21,2,FALSE)=0,-99999,VLOOKUP($A194,'F TrB'!$Q$3:$R$21,2,FALSE)),-99999)</f>
        <v>83</v>
      </c>
      <c r="AS194" s="281">
        <f t="shared" si="153"/>
        <v>1.4</v>
      </c>
      <c r="AT194" s="281" t="str">
        <f>IFERROR(VLOOKUP($A194,'NDVI tipo'!$Q$8:$S$30,2,FALSE),"")</f>
        <v/>
      </c>
      <c r="AU194" s="281">
        <f>IF(ISERROR(VLOOKUP($A194,'NDVI tipo'!$Q$8:$S$50,2,FALSE)),AU193+VLOOKUP($A194,'NDVI tipo'!$Q$8:$S$50,3,TRUE),VLOOKUP($A194,'NDVI tipo'!$Q$8:$S$50,2,FALSE))</f>
        <v>0.63027899999999992</v>
      </c>
      <c r="AV194" s="281">
        <f>IFERROR(VLOOKUP($A194,'NDVI real'!$Q$8:$S$44,2,FALSE),-999)</f>
        <v>-999</v>
      </c>
      <c r="AW194" s="281">
        <f>IF(ISERROR(VLOOKUP($A194,'NDVI real'!$T$8:$U$350,2,FALSE)),"",VLOOKUP($A194,'NDVI real'!$T$8:$U$350,2,FALSE))</f>
        <v>0.73892746902777784</v>
      </c>
      <c r="AX194" s="286">
        <f>IFERROR(VLOOKUP($A194,SWB!$C$15:$BE$244,53,FALSE),"")</f>
        <v>13.011896336131851</v>
      </c>
      <c r="AY194" s="286">
        <f>IFERROR(VLOOKUP($A194,SWB!$C$15:$BE$244,55,FALSE),"")</f>
        <v>-0.33200991928640633</v>
      </c>
      <c r="AZ194" s="281">
        <f>IF(ISERROR(VLOOKUP($A194,Clima!$V$8:$AI$320,14,FALSE)),-999,VLOOKUP(A194,Clima!$V$8:$AI$219,14,FALSE))</f>
        <v>4.7</v>
      </c>
      <c r="BA194" s="281">
        <f t="shared" si="161"/>
        <v>507.7</v>
      </c>
      <c r="BB194" s="281">
        <f t="shared" si="154"/>
        <v>4.7</v>
      </c>
      <c r="BC194" s="281">
        <f t="shared" si="162"/>
        <v>507.7</v>
      </c>
      <c r="BD194" s="284">
        <f t="shared" si="148"/>
        <v>42165</v>
      </c>
    </row>
    <row r="195" spans="1:56" s="275" customFormat="1" ht="12.75">
      <c r="A195" s="273">
        <f t="shared" si="155"/>
        <v>42166</v>
      </c>
      <c r="B195" s="274">
        <f t="shared" si="131"/>
        <v>162</v>
      </c>
      <c r="C195" s="275" t="str">
        <f t="shared" si="132"/>
        <v>Final</v>
      </c>
      <c r="D195" s="276">
        <f t="shared" si="133"/>
        <v>3.9</v>
      </c>
      <c r="E195" s="276">
        <f t="shared" si="134"/>
        <v>0.92306666640000012</v>
      </c>
      <c r="F195" s="276"/>
      <c r="G195" s="276">
        <f t="shared" si="135"/>
        <v>0.41874</v>
      </c>
      <c r="H195" s="276">
        <f t="shared" si="136"/>
        <v>1.149295</v>
      </c>
      <c r="I195" s="276">
        <f t="shared" si="137"/>
        <v>7.20608</v>
      </c>
      <c r="J195" s="276">
        <f>IFERROR(IF($G$1="Sí",VLOOKUP($A195,CSVAgro,13,FALSE),VLOOKUP($A195,SWB!$C$15:$P$202,14,FALSE)),0)</f>
        <v>23.3</v>
      </c>
      <c r="K195" s="487">
        <f t="shared" si="138"/>
        <v>5</v>
      </c>
      <c r="L195" s="487">
        <f t="shared" si="139"/>
        <v>0</v>
      </c>
      <c r="M195" s="487">
        <f t="shared" si="140"/>
        <v>5</v>
      </c>
      <c r="N195" s="277">
        <f>IF(ISERROR($G$1="Sí"),VLOOKUP($A195,CSVAgro,16,FALSE),IF(ISERROR(VLOOKUP($A195,Clima!$W$8:$Z$284,2,FALSE)),VLOOKUP($A195,Clima!$E$8:$H$372,2,FALSE),VLOOKUP($A195,Clima!$W$8:$Z$284,2,FALSE)))</f>
        <v>17.3</v>
      </c>
      <c r="O195" s="276">
        <f t="shared" si="141"/>
        <v>407.6653892062273</v>
      </c>
      <c r="P195" s="276">
        <f t="shared" si="156"/>
        <v>166.90000000000003</v>
      </c>
      <c r="Q195" s="487">
        <f t="shared" si="142"/>
        <v>240</v>
      </c>
      <c r="R195" s="278">
        <f t="shared" si="157"/>
        <v>17.3</v>
      </c>
      <c r="S195" s="278">
        <f t="shared" si="149"/>
        <v>17.3</v>
      </c>
      <c r="T195" s="279">
        <f t="shared" si="143"/>
        <v>162</v>
      </c>
      <c r="U195" s="279">
        <f t="shared" si="113"/>
        <v>24</v>
      </c>
      <c r="V195" s="276">
        <f t="shared" si="150"/>
        <v>0</v>
      </c>
      <c r="W195" s="276">
        <f>IF(AND(S195&gt;VLOOKUP(Inputs!$I$2,Extracciones,3),S195&lt;VLOOKUP(Inputs!$I$2,Extracciones,5)),(S195-VLOOKUP(Inputs!$I$2,Extracciones,3))*Inputs!$E$12,0)</f>
        <v>0</v>
      </c>
      <c r="X195" s="278">
        <f>IF(AD195=0,VLOOKUP(R195,Mineral,2)*R195*Inputs!$C$16*Inputs!$E$37,VLOOKUP(R195,Mineral,2)*R195*Inputs!$C$16)</f>
        <v>1.3840000000000003</v>
      </c>
      <c r="Y195" s="278">
        <f>SUM(K195,M195)*Inputs!$O$8*14/(100*62)</f>
        <v>0.33870967741935482</v>
      </c>
      <c r="Z195" s="278">
        <f t="shared" si="158"/>
        <v>0</v>
      </c>
      <c r="AA195" s="278">
        <f t="shared" si="159"/>
        <v>0</v>
      </c>
      <c r="AB195" s="279"/>
      <c r="AC195" s="278">
        <f t="shared" si="127"/>
        <v>0</v>
      </c>
      <c r="AD195" s="279">
        <f t="shared" si="145"/>
        <v>-1.1314285714285715</v>
      </c>
      <c r="AE195" s="278">
        <f t="shared" si="151"/>
        <v>-297.65764285714255</v>
      </c>
      <c r="AF195" s="278">
        <f t="shared" si="114"/>
        <v>54.50929449054383</v>
      </c>
      <c r="AG195" s="279">
        <f t="shared" si="146"/>
        <v>25</v>
      </c>
      <c r="AH195" s="279">
        <f>AF195*1000000/(Inputs!$C$9*100*Inputs!$C$8*1000*(1-Inputs!$C$10)*(1+Inputs!$C$12))</f>
        <v>10.906221386663431</v>
      </c>
      <c r="AI195" s="279">
        <f>IFERROR(HLOOKUP(A195,Inputs!$C$14:$C$15,2,FALSE),-100)</f>
        <v>-100</v>
      </c>
      <c r="AJ195" s="281">
        <f t="shared" si="147"/>
        <v>0</v>
      </c>
      <c r="AK195" s="282">
        <f t="shared" si="128"/>
        <v>75.934000000000012</v>
      </c>
      <c r="AL195" s="282">
        <f t="shared" si="129"/>
        <v>16.596774193548374</v>
      </c>
      <c r="AM195" s="282">
        <f t="shared" si="130"/>
        <v>-1.9838368458620446</v>
      </c>
      <c r="AN195" s="283">
        <f>IFERROR(IF($G$1="Sí",VLOOKUP($A195,CSVAgro,9,FALSE),VLOOKUP($A195,Clima!$E$8:$Q$373,13,FALSE)),0)</f>
        <v>7.4</v>
      </c>
      <c r="AO195" s="281">
        <f t="shared" si="160"/>
        <v>455.7</v>
      </c>
      <c r="AP195" s="281">
        <f>IFERROR(VLOOKUP($A195,'F TrB'!$C$3:$O$21,3,FALSE),-9999)</f>
        <v>-9999</v>
      </c>
      <c r="AQ195" s="281">
        <f t="shared" si="152"/>
        <v>-999</v>
      </c>
      <c r="AR195" s="281">
        <f>IFERROR(IF(VLOOKUP($A195,'F TrB'!$Q$3:$R$21,2,FALSE)=0,-99999,VLOOKUP($A195,'F TrB'!$Q$3:$R$21,2,FALSE)),-99999)</f>
        <v>-99999</v>
      </c>
      <c r="AS195" s="281">
        <f t="shared" si="153"/>
        <v>-99999</v>
      </c>
      <c r="AT195" s="281" t="str">
        <f>IFERROR(VLOOKUP($A195,'NDVI tipo'!$Q$8:$S$30,2,FALSE),"")</f>
        <v/>
      </c>
      <c r="AU195" s="281">
        <f>IF(ISERROR(VLOOKUP($A195,'NDVI tipo'!$Q$8:$S$50,2,FALSE)),AU194+VLOOKUP($A195,'NDVI tipo'!$Q$8:$S$50,3,TRUE),VLOOKUP($A195,'NDVI tipo'!$Q$8:$S$50,2,FALSE))</f>
        <v>0.60444566666666655</v>
      </c>
      <c r="AV195" s="281">
        <f>IFERROR(VLOOKUP($A195,'NDVI real'!$Q$8:$S$44,2,FALSE),-999)</f>
        <v>-999</v>
      </c>
      <c r="AW195" s="281">
        <f>IF(ISERROR(VLOOKUP($A195,'NDVI real'!$T$8:$U$350,2,FALSE)),"",VLOOKUP($A195,'NDVI real'!$T$8:$U$350,2,FALSE))</f>
        <v>0.71046296277777787</v>
      </c>
      <c r="AX195" s="286">
        <f>IFERROR(VLOOKUP($A195,SWB!$C$15:$BE$244,53,FALSE),"")</f>
        <v>13.268141891605184</v>
      </c>
      <c r="AY195" s="286">
        <f>IFERROR(VLOOKUP($A195,SWB!$C$15:$BE$244,55,FALSE),"")</f>
        <v>4.3561744430466263</v>
      </c>
      <c r="AZ195" s="281">
        <f>IF(ISERROR(VLOOKUP($A195,Clima!$V$8:$AI$320,14,FALSE)),-999,VLOOKUP(A195,Clima!$V$8:$AI$219,14,FALSE))</f>
        <v>3.9</v>
      </c>
      <c r="BA195" s="281">
        <f t="shared" si="161"/>
        <v>511.59999999999997</v>
      </c>
      <c r="BB195" s="281">
        <f t="shared" si="154"/>
        <v>3.9</v>
      </c>
      <c r="BC195" s="281">
        <f t="shared" si="162"/>
        <v>511.59999999999997</v>
      </c>
      <c r="BD195" s="284">
        <f t="shared" si="148"/>
        <v>42166</v>
      </c>
    </row>
    <row r="196" spans="1:56" s="275" customFormat="1" ht="12.75">
      <c r="A196" s="273">
        <f t="shared" si="155"/>
        <v>42167</v>
      </c>
      <c r="B196" s="274">
        <f t="shared" si="131"/>
        <v>163</v>
      </c>
      <c r="C196" s="275" t="str">
        <f t="shared" si="132"/>
        <v>Final</v>
      </c>
      <c r="D196" s="276">
        <f t="shared" si="133"/>
        <v>4.4000000000000004</v>
      </c>
      <c r="E196" s="276">
        <f t="shared" si="134"/>
        <v>0.88207777740000015</v>
      </c>
      <c r="F196" s="276"/>
      <c r="G196" s="276">
        <f t="shared" si="135"/>
        <v>0.48035800000000001</v>
      </c>
      <c r="H196" s="276">
        <f t="shared" si="136"/>
        <v>1.1581360000000001</v>
      </c>
      <c r="I196" s="276">
        <f t="shared" si="137"/>
        <v>7.0530460000000001</v>
      </c>
      <c r="J196" s="276">
        <f>IFERROR(IF($G$1="Sí",VLOOKUP($A196,CSVAgro,13,FALSE),VLOOKUP($A196,SWB!$C$15:$P$202,14,FALSE)),0)</f>
        <v>0</v>
      </c>
      <c r="K196" s="487">
        <f t="shared" si="138"/>
        <v>0</v>
      </c>
      <c r="L196" s="487">
        <f t="shared" si="139"/>
        <v>0</v>
      </c>
      <c r="M196" s="487">
        <f t="shared" si="140"/>
        <v>0</v>
      </c>
      <c r="N196" s="277">
        <f>IF(ISERROR($G$1="Sí"),VLOOKUP($A196,CSVAgro,16,FALSE),IF(ISERROR(VLOOKUP($A196,Clima!$W$8:$Z$284,2,FALSE)),VLOOKUP($A196,Clima!$E$8:$H$372,2,FALSE),VLOOKUP($A196,Clima!$W$8:$Z$284,2,FALSE)))</f>
        <v>17.600000000000001</v>
      </c>
      <c r="O196" s="276">
        <f t="shared" si="141"/>
        <v>413.89007612321109</v>
      </c>
      <c r="P196" s="276">
        <f t="shared" si="156"/>
        <v>166.90000000000003</v>
      </c>
      <c r="Q196" s="487">
        <f t="shared" si="142"/>
        <v>245</v>
      </c>
      <c r="R196" s="278">
        <f t="shared" si="157"/>
        <v>17.600000000000001</v>
      </c>
      <c r="S196" s="278">
        <f t="shared" si="149"/>
        <v>17.600000000000001</v>
      </c>
      <c r="T196" s="279">
        <f t="shared" si="143"/>
        <v>163</v>
      </c>
      <c r="U196" s="279">
        <f t="shared" si="113"/>
        <v>24</v>
      </c>
      <c r="V196" s="276">
        <f t="shared" si="150"/>
        <v>0</v>
      </c>
      <c r="W196" s="276">
        <f>IF(AND(S196&gt;VLOOKUP(Inputs!$I$2,Extracciones,3),S196&lt;VLOOKUP(Inputs!$I$2,Extracciones,5)),(S196-VLOOKUP(Inputs!$I$2,Extracciones,3))*Inputs!$E$12,0)</f>
        <v>0</v>
      </c>
      <c r="X196" s="278">
        <f>IF(AD196=0,VLOOKUP(R196,Mineral,2)*R196*Inputs!$C$16*Inputs!$E$37,VLOOKUP(R196,Mineral,2)*R196*Inputs!$C$16)</f>
        <v>1.4080000000000004</v>
      </c>
      <c r="Y196" s="278">
        <f>SUM(K196,M196)*Inputs!$O$8*14/(100*62)</f>
        <v>0</v>
      </c>
      <c r="Z196" s="278">
        <f t="shared" si="158"/>
        <v>0</v>
      </c>
      <c r="AA196" s="278">
        <f t="shared" si="159"/>
        <v>0</v>
      </c>
      <c r="AB196" s="279"/>
      <c r="AC196" s="278">
        <f t="shared" si="127"/>
        <v>0</v>
      </c>
      <c r="AD196" s="279">
        <f t="shared" si="145"/>
        <v>-1.1314285714285715</v>
      </c>
      <c r="AE196" s="278">
        <f t="shared" si="151"/>
        <v>-298.78907142857111</v>
      </c>
      <c r="AF196" s="278">
        <f t="shared" si="114"/>
        <v>54.78586591911526</v>
      </c>
      <c r="AG196" s="279">
        <f t="shared" si="146"/>
        <v>25</v>
      </c>
      <c r="AH196" s="279">
        <f>AF196*1000000/(Inputs!$C$9*100*Inputs!$C$8*1000*(1-Inputs!$C$10)*(1+Inputs!$C$12))</f>
        <v>10.96155780694583</v>
      </c>
      <c r="AI196" s="279">
        <f>IFERROR(HLOOKUP(A196,Inputs!$C$14:$C$15,2,FALSE),-100)</f>
        <v>-100</v>
      </c>
      <c r="AJ196" s="281">
        <f t="shared" si="147"/>
        <v>0</v>
      </c>
      <c r="AK196" s="282">
        <f t="shared" si="128"/>
        <v>77.342000000000013</v>
      </c>
      <c r="AL196" s="282">
        <f t="shared" si="129"/>
        <v>16.596774193548374</v>
      </c>
      <c r="AM196" s="282">
        <f t="shared" si="130"/>
        <v>-1.9838368458620446</v>
      </c>
      <c r="AN196" s="283">
        <f>IFERROR(IF($G$1="Sí",VLOOKUP($A196,CSVAgro,9,FALSE),VLOOKUP($A196,Clima!$E$8:$Q$373,13,FALSE)),0)</f>
        <v>6.2</v>
      </c>
      <c r="AO196" s="281">
        <f t="shared" si="160"/>
        <v>461.9</v>
      </c>
      <c r="AP196" s="281">
        <f>IFERROR(VLOOKUP($A196,'F TrB'!$C$3:$O$21,3,FALSE),-9999)</f>
        <v>-9999</v>
      </c>
      <c r="AQ196" s="281">
        <f t="shared" si="152"/>
        <v>-999</v>
      </c>
      <c r="AR196" s="281">
        <f>IFERROR(IF(VLOOKUP($A196,'F TrB'!$Q$3:$R$21,2,FALSE)=0,-99999,VLOOKUP($A196,'F TrB'!$Q$3:$R$21,2,FALSE)),-99999)</f>
        <v>-99999</v>
      </c>
      <c r="AS196" s="281">
        <f t="shared" si="153"/>
        <v>-99999</v>
      </c>
      <c r="AT196" s="281" t="str">
        <f>IFERROR(VLOOKUP($A196,'NDVI tipo'!$Q$8:$S$30,2,FALSE),"")</f>
        <v/>
      </c>
      <c r="AU196" s="281">
        <f>IF(ISERROR(VLOOKUP($A196,'NDVI tipo'!$Q$8:$S$50,2,FALSE)),AU195+VLOOKUP($A196,'NDVI tipo'!$Q$8:$S$50,3,TRUE),VLOOKUP($A196,'NDVI tipo'!$Q$8:$S$50,2,FALSE))</f>
        <v>0.57861233333333317</v>
      </c>
      <c r="AV196" s="281">
        <f>IFERROR(VLOOKUP($A196,'NDVI real'!$Q$8:$S$44,2,FALSE),-999)</f>
        <v>-999</v>
      </c>
      <c r="AW196" s="281">
        <f>IF(ISERROR(VLOOKUP($A196,'NDVI real'!$T$8:$U$350,2,FALSE)),"",VLOOKUP($A196,'NDVI real'!$T$8:$U$350,2,FALSE))</f>
        <v>0.68199845652777791</v>
      </c>
      <c r="AX196" s="286">
        <f>IFERROR(VLOOKUP($A196,SWB!$C$15:$BE$244,53,FALSE),"")</f>
        <v>13.472245317433519</v>
      </c>
      <c r="AY196" s="286">
        <f>IFERROR(VLOOKUP($A196,SWB!$C$15:$BE$244,55,FALSE),"")</f>
        <v>3.469758239081699</v>
      </c>
      <c r="AZ196" s="281">
        <f>IF(ISERROR(VLOOKUP($A196,Clima!$V$8:$AI$320,14,FALSE)),-999,VLOOKUP(A196,Clima!$V$8:$AI$219,14,FALSE))</f>
        <v>4.4000000000000004</v>
      </c>
      <c r="BA196" s="281">
        <f t="shared" si="161"/>
        <v>516</v>
      </c>
      <c r="BB196" s="281">
        <f t="shared" si="154"/>
        <v>4.4000000000000004</v>
      </c>
      <c r="BC196" s="281">
        <f t="shared" si="162"/>
        <v>516</v>
      </c>
      <c r="BD196" s="284">
        <f t="shared" si="148"/>
        <v>42167</v>
      </c>
    </row>
    <row r="197" spans="1:56" s="275" customFormat="1" ht="12.75">
      <c r="A197" s="273">
        <f t="shared" si="155"/>
        <v>42168</v>
      </c>
      <c r="B197" s="274">
        <f t="shared" si="131"/>
        <v>164</v>
      </c>
      <c r="C197" s="275" t="str">
        <f t="shared" si="132"/>
        <v>Final</v>
      </c>
      <c r="D197" s="276">
        <f t="shared" si="133"/>
        <v>5.3</v>
      </c>
      <c r="E197" s="276">
        <f t="shared" si="134"/>
        <v>0.84108888840000018</v>
      </c>
      <c r="F197" s="276"/>
      <c r="G197" s="276">
        <f t="shared" si="135"/>
        <v>0.50798399999999999</v>
      </c>
      <c r="H197" s="276">
        <f t="shared" si="136"/>
        <v>1.132984</v>
      </c>
      <c r="I197" s="276">
        <f t="shared" si="137"/>
        <v>5.3703440000000002</v>
      </c>
      <c r="J197" s="276">
        <f>IFERROR(IF($G$1="Sí",VLOOKUP($A197,CSVAgro,13,FALSE),VLOOKUP($A197,SWB!$C$15:$P$202,14,FALSE)),0)</f>
        <v>0</v>
      </c>
      <c r="K197" s="487">
        <f t="shared" si="138"/>
        <v>0</v>
      </c>
      <c r="L197" s="487">
        <f t="shared" si="139"/>
        <v>0</v>
      </c>
      <c r="M197" s="487">
        <f t="shared" si="140"/>
        <v>0</v>
      </c>
      <c r="N197" s="277">
        <f>IF(ISERROR($G$1="Sí"),VLOOKUP($A197,CSVAgro,16,FALSE),IF(ISERROR(VLOOKUP($A197,Clima!$W$8:$Z$284,2,FALSE)),VLOOKUP($A197,Clima!$E$8:$H$372,2,FALSE),VLOOKUP($A197,Clima!$W$8:$Z$284,2,FALSE)))</f>
        <v>17.5</v>
      </c>
      <c r="O197" s="276">
        <f t="shared" si="141"/>
        <v>419.27304500897111</v>
      </c>
      <c r="P197" s="276">
        <f t="shared" si="156"/>
        <v>166.90000000000003</v>
      </c>
      <c r="Q197" s="487">
        <f t="shared" si="142"/>
        <v>245</v>
      </c>
      <c r="R197" s="278">
        <f t="shared" si="157"/>
        <v>17.5</v>
      </c>
      <c r="S197" s="278">
        <f t="shared" si="149"/>
        <v>17.5</v>
      </c>
      <c r="T197" s="279">
        <f t="shared" si="143"/>
        <v>164</v>
      </c>
      <c r="U197" s="279">
        <f t="shared" si="113"/>
        <v>24</v>
      </c>
      <c r="V197" s="276">
        <f t="shared" si="150"/>
        <v>0</v>
      </c>
      <c r="W197" s="276">
        <f>IF(AND(S197&gt;VLOOKUP(Inputs!$I$2,Extracciones,3),S197&lt;VLOOKUP(Inputs!$I$2,Extracciones,5)),(S197-VLOOKUP(Inputs!$I$2,Extracciones,3))*Inputs!$E$12,0)</f>
        <v>0</v>
      </c>
      <c r="X197" s="278">
        <f>IF(AD197=0,VLOOKUP(R197,Mineral,2)*R197*Inputs!$C$16*Inputs!$E$37,VLOOKUP(R197,Mineral,2)*R197*Inputs!$C$16)</f>
        <v>1.4000000000000001</v>
      </c>
      <c r="Y197" s="278">
        <f>SUM(K197,M197)*Inputs!$O$8*14/(100*62)</f>
        <v>0</v>
      </c>
      <c r="Z197" s="278">
        <f t="shared" si="158"/>
        <v>0</v>
      </c>
      <c r="AA197" s="278">
        <f t="shared" si="159"/>
        <v>0</v>
      </c>
      <c r="AB197" s="279"/>
      <c r="AC197" s="278">
        <f t="shared" si="127"/>
        <v>0</v>
      </c>
      <c r="AD197" s="279">
        <f t="shared" si="145"/>
        <v>-1.1314285714285715</v>
      </c>
      <c r="AE197" s="278">
        <f t="shared" si="151"/>
        <v>-299.92049999999966</v>
      </c>
      <c r="AF197" s="278">
        <f t="shared" si="114"/>
        <v>55.054437347686687</v>
      </c>
      <c r="AG197" s="279">
        <f t="shared" si="146"/>
        <v>25</v>
      </c>
      <c r="AH197" s="279">
        <f>AF197*1000000/(Inputs!$C$9*100*Inputs!$C$8*1000*(1-Inputs!$C$10)*(1+Inputs!$C$12))</f>
        <v>11.015293586972126</v>
      </c>
      <c r="AI197" s="279">
        <f>IFERROR(HLOOKUP(A197,Inputs!$C$14:$C$15,2,FALSE),-100)</f>
        <v>-100</v>
      </c>
      <c r="AJ197" s="281">
        <f t="shared" si="147"/>
        <v>0</v>
      </c>
      <c r="AK197" s="282">
        <f t="shared" si="128"/>
        <v>78.742000000000019</v>
      </c>
      <c r="AL197" s="282">
        <f t="shared" si="129"/>
        <v>16.596774193548374</v>
      </c>
      <c r="AM197" s="282">
        <f t="shared" si="130"/>
        <v>-1.9838368458620446</v>
      </c>
      <c r="AN197" s="283">
        <f>IFERROR(IF($G$1="Sí",VLOOKUP($A197,CSVAgro,9,FALSE),VLOOKUP($A197,Clima!$E$8:$Q$373,13,FALSE)),0)</f>
        <v>6.4</v>
      </c>
      <c r="AO197" s="281">
        <f t="shared" si="160"/>
        <v>468.29999999999995</v>
      </c>
      <c r="AP197" s="281">
        <f>IFERROR(VLOOKUP($A197,'F TrB'!$C$3:$O$21,3,FALSE),-9999)</f>
        <v>-9999</v>
      </c>
      <c r="AQ197" s="281">
        <f t="shared" si="152"/>
        <v>-999</v>
      </c>
      <c r="AR197" s="281">
        <f>IFERROR(IF(VLOOKUP($A197,'F TrB'!$Q$3:$R$21,2,FALSE)=0,-99999,VLOOKUP($A197,'F TrB'!$Q$3:$R$21,2,FALSE)),-99999)</f>
        <v>-99999</v>
      </c>
      <c r="AS197" s="281">
        <f t="shared" si="153"/>
        <v>-99999</v>
      </c>
      <c r="AT197" s="281" t="str">
        <f>IFERROR(VLOOKUP($A197,'NDVI tipo'!$Q$8:$S$30,2,FALSE),"")</f>
        <v/>
      </c>
      <c r="AU197" s="281">
        <f>IF(ISERROR(VLOOKUP($A197,'NDVI tipo'!$Q$8:$S$50,2,FALSE)),AU196+VLOOKUP($A197,'NDVI tipo'!$Q$8:$S$50,3,TRUE),VLOOKUP($A197,'NDVI tipo'!$Q$8:$S$50,2,FALSE))</f>
        <v>0.5527789999999998</v>
      </c>
      <c r="AV197" s="281">
        <f>IFERROR(VLOOKUP($A197,'NDVI real'!$Q$8:$S$44,2,FALSE),-999)</f>
        <v>-999</v>
      </c>
      <c r="AW197" s="281">
        <f>IF(ISERROR(VLOOKUP($A197,'NDVI real'!$T$8:$U$350,2,FALSE)),"",VLOOKUP($A197,'NDVI real'!$T$8:$U$350,2,FALSE))</f>
        <v>0.65353395027777794</v>
      </c>
      <c r="AX197" s="286">
        <f>IFERROR(VLOOKUP($A197,SWB!$C$15:$BE$244,53,FALSE),"")</f>
        <v>13.672002354340185</v>
      </c>
      <c r="AY197" s="286">
        <f>IFERROR(VLOOKUP($A197,SWB!$C$15:$BE$244,55,FALSE),"")</f>
        <v>3.3958696274133331</v>
      </c>
      <c r="AZ197" s="281">
        <f>IF(ISERROR(VLOOKUP($A197,Clima!$V$8:$AI$320,14,FALSE)),-999,VLOOKUP(A197,Clima!$V$8:$AI$219,14,FALSE))</f>
        <v>5.3</v>
      </c>
      <c r="BA197" s="281">
        <f t="shared" si="161"/>
        <v>521.29999999999995</v>
      </c>
      <c r="BB197" s="281">
        <f t="shared" si="154"/>
        <v>5.3</v>
      </c>
      <c r="BC197" s="281">
        <f t="shared" si="162"/>
        <v>521.29999999999995</v>
      </c>
      <c r="BD197" s="284">
        <f t="shared" si="148"/>
        <v>42168</v>
      </c>
    </row>
    <row r="198" spans="1:56" s="275" customFormat="1" ht="12.75">
      <c r="A198" s="273">
        <f t="shared" si="155"/>
        <v>42169</v>
      </c>
      <c r="B198" s="274">
        <f t="shared" si="131"/>
        <v>165</v>
      </c>
      <c r="C198" s="275" t="str">
        <f t="shared" si="132"/>
        <v>Final</v>
      </c>
      <c r="D198" s="276">
        <f t="shared" si="133"/>
        <v>5.0999999999999996</v>
      </c>
      <c r="E198" s="276">
        <f t="shared" si="134"/>
        <v>0.80009999940000032</v>
      </c>
      <c r="F198" s="276"/>
      <c r="G198" s="276">
        <f t="shared" si="135"/>
        <v>0.51593900000000004</v>
      </c>
      <c r="H198" s="276">
        <f t="shared" si="136"/>
        <v>1.0881609999999999</v>
      </c>
      <c r="I198" s="276">
        <f t="shared" si="137"/>
        <v>4.2329460000000001</v>
      </c>
      <c r="J198" s="276">
        <f>IFERROR(IF($G$1="Sí",VLOOKUP($A198,CSVAgro,13,FALSE),VLOOKUP($A198,SWB!$C$15:$P$202,14,FALSE)),0)</f>
        <v>0</v>
      </c>
      <c r="K198" s="487">
        <f t="shared" si="138"/>
        <v>0</v>
      </c>
      <c r="L198" s="487">
        <f t="shared" si="139"/>
        <v>0</v>
      </c>
      <c r="M198" s="487">
        <f t="shared" si="140"/>
        <v>0</v>
      </c>
      <c r="N198" s="277">
        <f>IF(ISERROR($G$1="Sí"),VLOOKUP($A198,CSVAgro,16,FALSE),IF(ISERROR(VLOOKUP($A198,Clima!$W$8:$Z$284,2,FALSE)),VLOOKUP($A198,Clima!$E$8:$H$372,2,FALSE),VLOOKUP($A198,Clima!$W$8:$Z$284,2,FALSE)))</f>
        <v>16</v>
      </c>
      <c r="O198" s="276">
        <f t="shared" si="141"/>
        <v>425.83386500405112</v>
      </c>
      <c r="P198" s="276">
        <f t="shared" si="156"/>
        <v>166.90000000000003</v>
      </c>
      <c r="Q198" s="487">
        <f t="shared" si="142"/>
        <v>245</v>
      </c>
      <c r="R198" s="278">
        <f t="shared" si="157"/>
        <v>16</v>
      </c>
      <c r="S198" s="278">
        <f t="shared" si="149"/>
        <v>16</v>
      </c>
      <c r="T198" s="279">
        <f t="shared" si="143"/>
        <v>165</v>
      </c>
      <c r="U198" s="279">
        <f t="shared" ref="U198:U228" si="163">IF(_xlfn.ISOWEEKNUM(A198)&lt;40,_xlfn.ISOWEEKNUM(A198),_xlfn.ISOWEEKNUM(A198)-53)</f>
        <v>24</v>
      </c>
      <c r="V198" s="276">
        <f t="shared" si="150"/>
        <v>0</v>
      </c>
      <c r="W198" s="276">
        <f>IF(AND(S198&gt;VLOOKUP(Inputs!$I$2,Extracciones,3),S198&lt;VLOOKUP(Inputs!$I$2,Extracciones,5)),(S198-VLOOKUP(Inputs!$I$2,Extracciones,3))*Inputs!$E$12,0)</f>
        <v>0</v>
      </c>
      <c r="X198" s="278">
        <f>IF(AD198=0,VLOOKUP(R198,Mineral,2)*R198*Inputs!$C$16*Inputs!$E$37,VLOOKUP(R198,Mineral,2)*R198*Inputs!$C$16)</f>
        <v>1.1199999999999999</v>
      </c>
      <c r="Y198" s="278">
        <f>SUM(K198,M198)*Inputs!$O$8*14/(100*62)</f>
        <v>0</v>
      </c>
      <c r="Z198" s="278">
        <f t="shared" si="158"/>
        <v>0</v>
      </c>
      <c r="AA198" s="278">
        <f t="shared" si="159"/>
        <v>0</v>
      </c>
      <c r="AB198" s="279"/>
      <c r="AC198" s="278">
        <f t="shared" si="127"/>
        <v>0</v>
      </c>
      <c r="AD198" s="279">
        <f t="shared" si="145"/>
        <v>-1.1314285714285715</v>
      </c>
      <c r="AE198" s="278">
        <f t="shared" si="151"/>
        <v>-301.05192857142822</v>
      </c>
      <c r="AF198" s="278">
        <f t="shared" si="114"/>
        <v>55.043008776258112</v>
      </c>
      <c r="AG198" s="279">
        <f t="shared" si="146"/>
        <v>25</v>
      </c>
      <c r="AH198" s="279">
        <f>AF198*1000000/(Inputs!$C$9*100*Inputs!$C$8*1000*(1-Inputs!$C$10)*(1+Inputs!$C$12))</f>
        <v>11.013006958034836</v>
      </c>
      <c r="AI198" s="279">
        <f>IFERROR(HLOOKUP(A198,Inputs!$C$14:$C$15,2,FALSE),-100)</f>
        <v>-100</v>
      </c>
      <c r="AJ198" s="281">
        <f t="shared" si="147"/>
        <v>0</v>
      </c>
      <c r="AK198" s="282">
        <f t="shared" si="128"/>
        <v>79.862000000000023</v>
      </c>
      <c r="AL198" s="282">
        <f t="shared" si="129"/>
        <v>16.596774193548374</v>
      </c>
      <c r="AM198" s="282">
        <f t="shared" si="130"/>
        <v>-1.9838368458620446</v>
      </c>
      <c r="AN198" s="283">
        <f>IFERROR(IF($G$1="Sí",VLOOKUP($A198,CSVAgro,9,FALSE),VLOOKUP($A198,Clima!$E$8:$Q$373,13,FALSE)),0)</f>
        <v>8.1999999999999993</v>
      </c>
      <c r="AO198" s="281">
        <f t="shared" si="160"/>
        <v>476.49999999999994</v>
      </c>
      <c r="AP198" s="281">
        <f>IFERROR(VLOOKUP($A198,'F TrB'!$C$3:$O$21,3,FALSE),-9999)</f>
        <v>-9999</v>
      </c>
      <c r="AQ198" s="281">
        <f t="shared" si="152"/>
        <v>-999</v>
      </c>
      <c r="AR198" s="281">
        <f>IFERROR(IF(VLOOKUP($A198,'F TrB'!$Q$3:$R$21,2,FALSE)=0,-99999,VLOOKUP($A198,'F TrB'!$Q$3:$R$21,2,FALSE)),-99999)</f>
        <v>-99999</v>
      </c>
      <c r="AS198" s="281">
        <f t="shared" si="153"/>
        <v>-99999</v>
      </c>
      <c r="AT198" s="281" t="str">
        <f>IFERROR(VLOOKUP($A198,'NDVI tipo'!$Q$8:$S$30,2,FALSE),"")</f>
        <v/>
      </c>
      <c r="AU198" s="281">
        <f>IF(ISERROR(VLOOKUP($A198,'NDVI tipo'!$Q$8:$S$50,2,FALSE)),AU197+VLOOKUP($A198,'NDVI tipo'!$Q$8:$S$50,3,TRUE),VLOOKUP($A198,'NDVI tipo'!$Q$8:$S$50,2,FALSE))</f>
        <v>0.52694566666666642</v>
      </c>
      <c r="AV198" s="281">
        <f>IFERROR(VLOOKUP($A198,'NDVI real'!$Q$8:$S$44,2,FALSE),-999)</f>
        <v>-999</v>
      </c>
      <c r="AW198" s="281">
        <f>IF(ISERROR(VLOOKUP($A198,'NDVI real'!$T$8:$U$350,2,FALSE)),"",VLOOKUP($A198,'NDVI real'!$T$8:$U$350,2,FALSE))</f>
        <v>0.62506944402777798</v>
      </c>
      <c r="AX198" s="286">
        <f>IFERROR(VLOOKUP($A198,SWB!$C$15:$BE$244,53,FALSE),"")</f>
        <v>13.913936520801851</v>
      </c>
      <c r="AY198" s="286">
        <f>IFERROR(VLOOKUP($A198,SWB!$C$15:$BE$244,55,FALSE),"")</f>
        <v>4.1128808298483079</v>
      </c>
      <c r="AZ198" s="281">
        <f>IF(ISERROR(VLOOKUP($A198,Clima!$V$8:$AI$320,14,FALSE)),-999,VLOOKUP(A198,Clima!$V$8:$AI$219,14,FALSE))</f>
        <v>5.0999999999999996</v>
      </c>
      <c r="BA198" s="281">
        <f t="shared" si="161"/>
        <v>526.4</v>
      </c>
      <c r="BB198" s="281">
        <f t="shared" si="154"/>
        <v>5.0999999999999996</v>
      </c>
      <c r="BC198" s="281">
        <f t="shared" si="162"/>
        <v>526.4</v>
      </c>
      <c r="BD198" s="284">
        <f t="shared" si="148"/>
        <v>42169</v>
      </c>
    </row>
    <row r="199" spans="1:56" s="275" customFormat="1" ht="12.75">
      <c r="A199" s="273">
        <f t="shared" si="155"/>
        <v>42170</v>
      </c>
      <c r="B199" s="274">
        <f t="shared" si="131"/>
        <v>166</v>
      </c>
      <c r="C199" s="275" t="str">
        <f t="shared" si="132"/>
        <v>Final</v>
      </c>
      <c r="D199" s="276">
        <f t="shared" si="133"/>
        <v>2.7</v>
      </c>
      <c r="E199" s="276">
        <f t="shared" si="134"/>
        <v>0.75911111040000034</v>
      </c>
      <c r="F199" s="276"/>
      <c r="G199" s="276">
        <f t="shared" si="135"/>
        <v>0.59916700000000001</v>
      </c>
      <c r="H199" s="276">
        <f t="shared" si="136"/>
        <v>1.1186119999999999</v>
      </c>
      <c r="I199" s="276">
        <f t="shared" si="137"/>
        <v>4.8659610000000004</v>
      </c>
      <c r="J199" s="276">
        <f>IFERROR(IF($G$1="Sí",VLOOKUP($A199,CSVAgro,13,FALSE),VLOOKUP($A199,SWB!$C$15:$P$202,14,FALSE)),0)</f>
        <v>3.3</v>
      </c>
      <c r="K199" s="487">
        <f t="shared" si="138"/>
        <v>5</v>
      </c>
      <c r="L199" s="487">
        <f t="shared" si="139"/>
        <v>0</v>
      </c>
      <c r="M199" s="487">
        <f t="shared" si="140"/>
        <v>5</v>
      </c>
      <c r="N199" s="277">
        <f>IF(ISERROR($G$1="Sí"),VLOOKUP($A199,CSVAgro,16,FALSE),IF(ISERROR(VLOOKUP($A199,Clima!$W$8:$Z$284,2,FALSE)),VLOOKUP($A199,Clima!$E$8:$H$372,2,FALSE),VLOOKUP($A199,Clima!$W$8:$Z$284,2,FALSE)))</f>
        <v>14</v>
      </c>
      <c r="O199" s="276">
        <f t="shared" si="141"/>
        <v>432.30091909891701</v>
      </c>
      <c r="P199" s="276">
        <f t="shared" si="156"/>
        <v>170.20000000000005</v>
      </c>
      <c r="Q199" s="487">
        <f t="shared" si="142"/>
        <v>245</v>
      </c>
      <c r="R199" s="278">
        <f t="shared" si="157"/>
        <v>14</v>
      </c>
      <c r="S199" s="278">
        <f t="shared" si="149"/>
        <v>14</v>
      </c>
      <c r="T199" s="279">
        <f t="shared" si="143"/>
        <v>166</v>
      </c>
      <c r="U199" s="279">
        <f t="shared" si="163"/>
        <v>25</v>
      </c>
      <c r="V199" s="276">
        <f t="shared" si="150"/>
        <v>0</v>
      </c>
      <c r="W199" s="276">
        <f>IF(AND(S199&gt;VLOOKUP(Inputs!$I$2,Extracciones,3),S199&lt;VLOOKUP(Inputs!$I$2,Extracciones,5)),(S199-VLOOKUP(Inputs!$I$2,Extracciones,3))*Inputs!$E$12,0)</f>
        <v>0</v>
      </c>
      <c r="X199" s="278">
        <f>IF(AD199=0,VLOOKUP(R199,Mineral,2)*R199*Inputs!$C$16*Inputs!$E$37,VLOOKUP(R199,Mineral,2)*R199*Inputs!$C$16)</f>
        <v>0.56000000000000005</v>
      </c>
      <c r="Y199" s="278">
        <f>SUM(K199,M199)*Inputs!$O$8*14/(100*62)</f>
        <v>0.33870967741935482</v>
      </c>
      <c r="Z199" s="278">
        <f t="shared" si="158"/>
        <v>0</v>
      </c>
      <c r="AA199" s="278">
        <f t="shared" si="159"/>
        <v>0</v>
      </c>
      <c r="AB199" s="279"/>
      <c r="AC199" s="278">
        <f t="shared" si="127"/>
        <v>0</v>
      </c>
      <c r="AD199" s="279">
        <f t="shared" si="145"/>
        <v>-1.1314285714285715</v>
      </c>
      <c r="AE199" s="278">
        <f t="shared" si="151"/>
        <v>-302.18335714285678</v>
      </c>
      <c r="AF199" s="278">
        <f t="shared" si="114"/>
        <v>54.810289882248895</v>
      </c>
      <c r="AG199" s="279">
        <f t="shared" si="146"/>
        <v>25</v>
      </c>
      <c r="AH199" s="279">
        <f>AF199*1000000/(Inputs!$C$9*100*Inputs!$C$8*1000*(1-Inputs!$C$10)*(1+Inputs!$C$12))</f>
        <v>10.966444554271487</v>
      </c>
      <c r="AI199" s="279">
        <f>IFERROR(HLOOKUP(A199,Inputs!$C$14:$C$15,2,FALSE),-100)</f>
        <v>-100</v>
      </c>
      <c r="AJ199" s="281">
        <f t="shared" si="147"/>
        <v>0</v>
      </c>
      <c r="AK199" s="282">
        <f t="shared" si="128"/>
        <v>80.422000000000025</v>
      </c>
      <c r="AL199" s="282">
        <f t="shared" si="129"/>
        <v>16.93548387096773</v>
      </c>
      <c r="AM199" s="282">
        <f t="shared" si="130"/>
        <v>-1.9838368458620446</v>
      </c>
      <c r="AN199" s="283">
        <f>IFERROR(IF($G$1="Sí",VLOOKUP($A199,CSVAgro,9,FALSE),VLOOKUP($A199,Clima!$E$8:$Q$373,13,FALSE)),0)</f>
        <v>8.3000000000000007</v>
      </c>
      <c r="AO199" s="281">
        <f t="shared" si="160"/>
        <v>484.79999999999995</v>
      </c>
      <c r="AP199" s="281">
        <f>IFERROR(VLOOKUP($A199,'F TrB'!$C$3:$O$21,3,FALSE),-9999)</f>
        <v>-9999</v>
      </c>
      <c r="AQ199" s="281">
        <f t="shared" si="152"/>
        <v>-999</v>
      </c>
      <c r="AR199" s="281">
        <f>IFERROR(IF(VLOOKUP($A199,'F TrB'!$Q$3:$R$21,2,FALSE)=0,-99999,VLOOKUP($A199,'F TrB'!$Q$3:$R$21,2,FALSE)),-99999)</f>
        <v>-99999</v>
      </c>
      <c r="AS199" s="281">
        <f t="shared" si="153"/>
        <v>-99999</v>
      </c>
      <c r="AT199" s="281" t="str">
        <f>IFERROR(VLOOKUP($A199,'NDVI tipo'!$Q$8:$S$30,2,FALSE),"")</f>
        <v/>
      </c>
      <c r="AU199" s="281">
        <f>IF(ISERROR(VLOOKUP($A199,'NDVI tipo'!$Q$8:$S$50,2,FALSE)),AU198+VLOOKUP($A199,'NDVI tipo'!$Q$8:$S$50,3,TRUE),VLOOKUP($A199,'NDVI tipo'!$Q$8:$S$50,2,FALSE))</f>
        <v>0.50111233333333305</v>
      </c>
      <c r="AV199" s="281">
        <f>IFERROR(VLOOKUP($A199,'NDVI real'!$Q$8:$S$44,2,FALSE),-999)</f>
        <v>-999</v>
      </c>
      <c r="AW199" s="281">
        <f>IF(ISERROR(VLOOKUP($A199,'NDVI real'!$T$8:$U$350,2,FALSE)),"",VLOOKUP($A199,'NDVI real'!$T$8:$U$350,2,FALSE))</f>
        <v>0.59660493777777801</v>
      </c>
      <c r="AX199" s="286">
        <f>IFERROR(VLOOKUP($A199,SWB!$C$15:$BE$244,53,FALSE),"")</f>
        <v>14.144645779815184</v>
      </c>
      <c r="AY199" s="286">
        <f>IFERROR(VLOOKUP($A199,SWB!$C$15:$BE$244,55,FALSE),"")</f>
        <v>3.9220574032266597</v>
      </c>
      <c r="AZ199" s="281">
        <f>IF(ISERROR(VLOOKUP($A199,Clima!$V$8:$AI$320,14,FALSE)),-999,VLOOKUP(A199,Clima!$V$8:$AI$219,14,FALSE))</f>
        <v>2.7</v>
      </c>
      <c r="BA199" s="281">
        <f t="shared" si="161"/>
        <v>529.1</v>
      </c>
      <c r="BB199" s="281">
        <f t="shared" si="154"/>
        <v>2.7</v>
      </c>
      <c r="BC199" s="281">
        <f t="shared" si="162"/>
        <v>529.1</v>
      </c>
      <c r="BD199" s="284">
        <f t="shared" si="148"/>
        <v>42170</v>
      </c>
    </row>
    <row r="200" spans="1:56" s="275" customFormat="1" ht="12.75">
      <c r="A200" s="273">
        <f t="shared" si="155"/>
        <v>42171</v>
      </c>
      <c r="B200" s="274">
        <f t="shared" si="131"/>
        <v>167</v>
      </c>
      <c r="C200" s="275" t="str">
        <f t="shared" si="132"/>
        <v>Final</v>
      </c>
      <c r="D200" s="276">
        <f t="shared" si="133"/>
        <v>4.5999999999999996</v>
      </c>
      <c r="E200" s="276">
        <f t="shared" si="134"/>
        <v>0.71812222140000037</v>
      </c>
      <c r="F200" s="276"/>
      <c r="G200" s="276">
        <f t="shared" si="135"/>
        <v>0.68642800000000004</v>
      </c>
      <c r="H200" s="276">
        <f t="shared" si="136"/>
        <v>1.153095</v>
      </c>
      <c r="I200" s="276">
        <f t="shared" si="137"/>
        <v>6.1229339999999999</v>
      </c>
      <c r="J200" s="276">
        <f>IFERROR(IF($G$1="Sí",VLOOKUP($A200,CSVAgro,13,FALSE),VLOOKUP($A200,SWB!$C$15:$P$202,14,FALSE)),0)</f>
        <v>0</v>
      </c>
      <c r="K200" s="487">
        <f t="shared" si="138"/>
        <v>5</v>
      </c>
      <c r="L200" s="487">
        <f t="shared" si="139"/>
        <v>0</v>
      </c>
      <c r="M200" s="487">
        <f t="shared" si="140"/>
        <v>5</v>
      </c>
      <c r="N200" s="277">
        <f>IF(ISERROR($G$1="Sí"),VLOOKUP($A200,CSVAgro,16,FALSE),IF(ISERROR(VLOOKUP($A200,Clima!$W$8:$Z$284,2,FALSE)),VLOOKUP($A200,Clima!$E$8:$H$372,2,FALSE),VLOOKUP($A200,Clima!$W$8:$Z$284,2,FALSE)))</f>
        <v>16.399999999999999</v>
      </c>
      <c r="O200" s="276">
        <f t="shared" si="141"/>
        <v>438.34910777350461</v>
      </c>
      <c r="P200" s="276">
        <f t="shared" si="156"/>
        <v>170.20000000000005</v>
      </c>
      <c r="Q200" s="487">
        <f t="shared" si="142"/>
        <v>250</v>
      </c>
      <c r="R200" s="278">
        <f t="shared" si="157"/>
        <v>16.399999999999999</v>
      </c>
      <c r="S200" s="278">
        <f t="shared" si="149"/>
        <v>16.399999999999999</v>
      </c>
      <c r="T200" s="279">
        <f t="shared" si="143"/>
        <v>167</v>
      </c>
      <c r="U200" s="279">
        <f t="shared" si="163"/>
        <v>25</v>
      </c>
      <c r="V200" s="276">
        <f t="shared" si="150"/>
        <v>0</v>
      </c>
      <c r="W200" s="276">
        <f>IF(AND(S200&gt;VLOOKUP(Inputs!$I$2,Extracciones,3),S200&lt;VLOOKUP(Inputs!$I$2,Extracciones,5)),(S200-VLOOKUP(Inputs!$I$2,Extracciones,3))*Inputs!$E$12,0)</f>
        <v>0</v>
      </c>
      <c r="X200" s="278">
        <f>IF(AD200=0,VLOOKUP(R200,Mineral,2)*R200*Inputs!$C$16*Inputs!$E$37,VLOOKUP(R200,Mineral,2)*R200*Inputs!$C$16)</f>
        <v>1.1479999999999999</v>
      </c>
      <c r="Y200" s="278">
        <f>SUM(K200,M200)*Inputs!$O$8*14/(100*62)</f>
        <v>0.33870967741935482</v>
      </c>
      <c r="Z200" s="278">
        <f t="shared" si="158"/>
        <v>0</v>
      </c>
      <c r="AA200" s="278">
        <f t="shared" si="159"/>
        <v>0</v>
      </c>
      <c r="AB200" s="279"/>
      <c r="AC200" s="278">
        <f t="shared" si="127"/>
        <v>0</v>
      </c>
      <c r="AD200" s="279">
        <f t="shared" si="145"/>
        <v>-1.1314285714285715</v>
      </c>
      <c r="AE200" s="278">
        <f t="shared" si="151"/>
        <v>-303.31478571428534</v>
      </c>
      <c r="AF200" s="278">
        <f t="shared" ref="AF200:AF228" si="164">AF199+SUM(X200:Z200)+SUM(AC200:AD200)</f>
        <v>55.165570988239679</v>
      </c>
      <c r="AG200" s="279">
        <f t="shared" si="146"/>
        <v>25</v>
      </c>
      <c r="AH200" s="279">
        <f>AF200*1000000/(Inputs!$C$9*100*Inputs!$C$8*1000*(1-Inputs!$C$10)*(1+Inputs!$C$12))</f>
        <v>11.037529209331668</v>
      </c>
      <c r="AI200" s="279">
        <f>IFERROR(HLOOKUP(A200,Inputs!$C$14:$C$15,2,FALSE),-100)</f>
        <v>-100</v>
      </c>
      <c r="AJ200" s="281">
        <f t="shared" si="147"/>
        <v>0</v>
      </c>
      <c r="AK200" s="282">
        <f t="shared" si="128"/>
        <v>81.570000000000022</v>
      </c>
      <c r="AL200" s="282">
        <f t="shared" si="129"/>
        <v>17.274193548387085</v>
      </c>
      <c r="AM200" s="282">
        <f t="shared" si="130"/>
        <v>-1.9838368458620446</v>
      </c>
      <c r="AN200" s="283">
        <f>IFERROR(IF($G$1="Sí",VLOOKUP($A200,CSVAgro,9,FALSE),VLOOKUP($A200,Clima!$E$8:$Q$373,13,FALSE)),0)</f>
        <v>7.2</v>
      </c>
      <c r="AO200" s="281">
        <f t="shared" si="160"/>
        <v>491.99999999999994</v>
      </c>
      <c r="AP200" s="281">
        <f>IFERROR(VLOOKUP($A200,'F TrB'!$C$3:$O$21,3,FALSE),-9999)</f>
        <v>-9999</v>
      </c>
      <c r="AQ200" s="281">
        <f t="shared" si="152"/>
        <v>-999</v>
      </c>
      <c r="AR200" s="281">
        <f>IFERROR(IF(VLOOKUP($A200,'F TrB'!$Q$3:$R$21,2,FALSE)=0,-99999,VLOOKUP($A200,'F TrB'!$Q$3:$R$21,2,FALSE)),-99999)</f>
        <v>-99999</v>
      </c>
      <c r="AS200" s="281">
        <f t="shared" si="153"/>
        <v>-99999</v>
      </c>
      <c r="AT200" s="281" t="str">
        <f>IFERROR(VLOOKUP($A200,'NDVI tipo'!$Q$8:$S$30,2,FALSE),"")</f>
        <v/>
      </c>
      <c r="AU200" s="281">
        <f>IF(ISERROR(VLOOKUP($A200,'NDVI tipo'!$Q$8:$S$50,2,FALSE)),AU199+VLOOKUP($A200,'NDVI tipo'!$Q$8:$S$50,3,TRUE),VLOOKUP($A200,'NDVI tipo'!$Q$8:$S$50,2,FALSE))</f>
        <v>0.47527899999999973</v>
      </c>
      <c r="AV200" s="281">
        <f>IFERROR(VLOOKUP($A200,'NDVI real'!$Q$8:$S$44,2,FALSE),-999)</f>
        <v>-999</v>
      </c>
      <c r="AW200" s="281">
        <f>IF(ISERROR(VLOOKUP($A200,'NDVI real'!$T$8:$U$350,2,FALSE)),"",VLOOKUP($A200,'NDVI real'!$T$8:$U$350,2,FALSE))</f>
        <v>0.56814043152777804</v>
      </c>
      <c r="AX200" s="286">
        <f>IFERROR(VLOOKUP($A200,SWB!$C$15:$BE$244,53,FALSE),"")</f>
        <v>14.332482446235185</v>
      </c>
      <c r="AY200" s="286">
        <f>IFERROR(VLOOKUP($A200,SWB!$C$15:$BE$244,55,FALSE),"")</f>
        <v>3.1932233291400109</v>
      </c>
      <c r="AZ200" s="281">
        <f>IF(ISERROR(VLOOKUP($A200,Clima!$V$8:$AI$320,14,FALSE)),-999,VLOOKUP(A200,Clima!$V$8:$AI$219,14,FALSE))</f>
        <v>4.5999999999999996</v>
      </c>
      <c r="BA200" s="281">
        <f t="shared" si="161"/>
        <v>533.70000000000005</v>
      </c>
      <c r="BB200" s="281">
        <f t="shared" si="154"/>
        <v>4.5999999999999996</v>
      </c>
      <c r="BC200" s="281">
        <f t="shared" si="162"/>
        <v>533.70000000000005</v>
      </c>
      <c r="BD200" s="284">
        <f t="shared" si="148"/>
        <v>42171</v>
      </c>
    </row>
    <row r="201" spans="1:56" s="275" customFormat="1" ht="12.75">
      <c r="A201" s="273">
        <f t="shared" si="155"/>
        <v>42172</v>
      </c>
      <c r="B201" s="274">
        <f t="shared" si="131"/>
        <v>168</v>
      </c>
      <c r="C201" s="275" t="str">
        <f t="shared" si="132"/>
        <v>Final</v>
      </c>
      <c r="D201" s="276">
        <f t="shared" si="133"/>
        <v>5.7</v>
      </c>
      <c r="E201" s="276">
        <f t="shared" si="134"/>
        <v>0.6771333324000004</v>
      </c>
      <c r="F201" s="276"/>
      <c r="G201" s="276">
        <f t="shared" si="135"/>
        <v>0.72767700000000002</v>
      </c>
      <c r="H201" s="276">
        <f t="shared" si="136"/>
        <v>1.1415660000000001</v>
      </c>
      <c r="I201" s="276">
        <f t="shared" si="137"/>
        <v>5.799156</v>
      </c>
      <c r="J201" s="276">
        <f>IFERROR(IF($G$1="Sí",VLOOKUP($A201,CSVAgro,13,FALSE),VLOOKUP($A201,SWB!$C$15:$P$202,14,FALSE)),0)</f>
        <v>0</v>
      </c>
      <c r="K201" s="487">
        <f t="shared" si="138"/>
        <v>5</v>
      </c>
      <c r="L201" s="487">
        <f t="shared" si="139"/>
        <v>0</v>
      </c>
      <c r="M201" s="487">
        <f t="shared" si="140"/>
        <v>5</v>
      </c>
      <c r="N201" s="277">
        <f>IF(ISERROR($G$1="Sí"),VLOOKUP($A201,CSVAgro,16,FALSE),IF(ISERROR(VLOOKUP($A201,Clima!$W$8:$Z$284,2,FALSE)),VLOOKUP($A201,Clima!$E$8:$H$372,2,FALSE),VLOOKUP($A201,Clima!$W$8:$Z$284,2,FALSE)))</f>
        <v>19.399999999999999</v>
      </c>
      <c r="O201" s="276">
        <f t="shared" si="141"/>
        <v>442.23488876929264</v>
      </c>
      <c r="P201" s="276">
        <f t="shared" si="156"/>
        <v>170.20000000000005</v>
      </c>
      <c r="Q201" s="487">
        <f t="shared" si="142"/>
        <v>255</v>
      </c>
      <c r="R201" s="278">
        <f t="shared" si="157"/>
        <v>19.399999999999999</v>
      </c>
      <c r="S201" s="278">
        <f t="shared" si="149"/>
        <v>19.399999999999999</v>
      </c>
      <c r="T201" s="279">
        <f t="shared" si="143"/>
        <v>168</v>
      </c>
      <c r="U201" s="279">
        <f t="shared" si="163"/>
        <v>25</v>
      </c>
      <c r="V201" s="276">
        <f t="shared" si="150"/>
        <v>0</v>
      </c>
      <c r="W201" s="276">
        <f>IF(AND(S201&gt;VLOOKUP(Inputs!$I$2,Extracciones,3),S201&lt;VLOOKUP(Inputs!$I$2,Extracciones,5)),(S201-VLOOKUP(Inputs!$I$2,Extracciones,3))*Inputs!$E$12,0)</f>
        <v>0</v>
      </c>
      <c r="X201" s="278">
        <f>IF(AD201=0,VLOOKUP(R201,Mineral,2)*R201*Inputs!$C$16*Inputs!$E$37,VLOOKUP(R201,Mineral,2)*R201*Inputs!$C$16)</f>
        <v>1.94</v>
      </c>
      <c r="Y201" s="278">
        <f>SUM(K201,M201)*Inputs!$O$8*14/(100*62)</f>
        <v>0.33870967741935482</v>
      </c>
      <c r="Z201" s="278">
        <f t="shared" si="158"/>
        <v>0</v>
      </c>
      <c r="AA201" s="278">
        <f t="shared" si="159"/>
        <v>0</v>
      </c>
      <c r="AB201" s="279"/>
      <c r="AC201" s="278">
        <f t="shared" si="127"/>
        <v>0</v>
      </c>
      <c r="AD201" s="279">
        <f t="shared" si="145"/>
        <v>-1.1314285714285715</v>
      </c>
      <c r="AE201" s="278">
        <f t="shared" si="151"/>
        <v>-304.44621428571389</v>
      </c>
      <c r="AF201" s="278">
        <f t="shared" si="164"/>
        <v>56.312852094230465</v>
      </c>
      <c r="AG201" s="279">
        <f t="shared" si="146"/>
        <v>25</v>
      </c>
      <c r="AH201" s="279">
        <f>AF201*1000000/(Inputs!$C$9*100*Inputs!$C$8*1000*(1-Inputs!$C$10)*(1+Inputs!$C$12))</f>
        <v>11.267077249745991</v>
      </c>
      <c r="AI201" s="279">
        <f>IFERROR(HLOOKUP(A201,Inputs!$C$14:$C$15,2,FALSE),-100)</f>
        <v>-100</v>
      </c>
      <c r="AJ201" s="281">
        <f t="shared" si="147"/>
        <v>0</v>
      </c>
      <c r="AK201" s="282">
        <f t="shared" si="128"/>
        <v>83.510000000000019</v>
      </c>
      <c r="AL201" s="282">
        <f t="shared" si="129"/>
        <v>17.612903225806441</v>
      </c>
      <c r="AM201" s="282">
        <f t="shared" si="130"/>
        <v>-1.9838368458620446</v>
      </c>
      <c r="AN201" s="283">
        <f>IFERROR(IF($G$1="Sí",VLOOKUP($A201,CSVAgro,9,FALSE),VLOOKUP($A201,Clima!$E$8:$Q$373,13,FALSE)),0)</f>
        <v>5.5</v>
      </c>
      <c r="AO201" s="281">
        <f t="shared" si="160"/>
        <v>497.49999999999994</v>
      </c>
      <c r="AP201" s="281">
        <f>IFERROR(VLOOKUP($A201,'F TrB'!$C$3:$O$21,3,FALSE),-9999)</f>
        <v>-9999</v>
      </c>
      <c r="AQ201" s="281">
        <f t="shared" si="152"/>
        <v>-999</v>
      </c>
      <c r="AR201" s="281">
        <f>IFERROR(IF(VLOOKUP($A201,'F TrB'!$Q$3:$R$21,2,FALSE)=0,-99999,VLOOKUP($A201,'F TrB'!$Q$3:$R$21,2,FALSE)),-99999)</f>
        <v>-99999</v>
      </c>
      <c r="AS201" s="281">
        <f t="shared" si="153"/>
        <v>-99999</v>
      </c>
      <c r="AT201" s="281" t="str">
        <f>IFERROR(VLOOKUP($A201,'NDVI tipo'!$Q$8:$S$30,2,FALSE),"")</f>
        <v/>
      </c>
      <c r="AU201" s="281">
        <f>IF(ISERROR(VLOOKUP($A201,'NDVI tipo'!$Q$8:$S$50,2,FALSE)),AU200+VLOOKUP($A201,'NDVI tipo'!$Q$8:$S$50,3,TRUE),VLOOKUP($A201,'NDVI tipo'!$Q$8:$S$50,2,FALSE))</f>
        <v>0.44944566666666641</v>
      </c>
      <c r="AV201" s="281">
        <f>IFERROR(VLOOKUP($A201,'NDVI real'!$Q$8:$S$44,2,FALSE),-999)</f>
        <v>-999</v>
      </c>
      <c r="AW201" s="281">
        <f>IF(ISERROR(VLOOKUP($A201,'NDVI real'!$T$8:$U$350,2,FALSE)),"",VLOOKUP($A201,'NDVI real'!$T$8:$U$350,2,FALSE))</f>
        <v>0.53967592527777808</v>
      </c>
      <c r="AX201" s="286">
        <f>IFERROR(VLOOKUP($A201,SWB!$C$15:$BE$244,53,FALSE),"")</f>
        <v>14.466575501576852</v>
      </c>
      <c r="AY201" s="286">
        <f>IFERROR(VLOOKUP($A201,SWB!$C$15:$BE$244,55,FALSE),"")</f>
        <v>2.279581940808356</v>
      </c>
      <c r="AZ201" s="281">
        <f>IF(ISERROR(VLOOKUP($A201,Clima!$V$8:$AI$320,14,FALSE)),-999,VLOOKUP(A201,Clima!$V$8:$AI$219,14,FALSE))</f>
        <v>5.7</v>
      </c>
      <c r="BA201" s="281">
        <f t="shared" si="161"/>
        <v>539.40000000000009</v>
      </c>
      <c r="BB201" s="281">
        <f t="shared" si="154"/>
        <v>5.7</v>
      </c>
      <c r="BC201" s="281">
        <f t="shared" si="162"/>
        <v>539.40000000000009</v>
      </c>
      <c r="BD201" s="284">
        <f t="shared" si="148"/>
        <v>42172</v>
      </c>
    </row>
    <row r="202" spans="1:56" s="275" customFormat="1" ht="12.75">
      <c r="A202" s="273">
        <f t="shared" si="155"/>
        <v>42173</v>
      </c>
      <c r="B202" s="274">
        <f t="shared" si="131"/>
        <v>169</v>
      </c>
      <c r="C202" s="275" t="str">
        <f t="shared" si="132"/>
        <v>Final</v>
      </c>
      <c r="D202" s="276">
        <f t="shared" si="133"/>
        <v>5.8</v>
      </c>
      <c r="E202" s="276">
        <f t="shared" si="134"/>
        <v>0.63614444340000043</v>
      </c>
      <c r="F202" s="276"/>
      <c r="G202" s="276">
        <f t="shared" si="135"/>
        <v>0.71055800000000002</v>
      </c>
      <c r="H202" s="276">
        <f t="shared" si="136"/>
        <v>1.071669</v>
      </c>
      <c r="I202" s="276">
        <f t="shared" si="137"/>
        <v>2.8827889999999998</v>
      </c>
      <c r="J202" s="276">
        <f>IFERROR(IF($G$1="Sí",VLOOKUP($A202,CSVAgro,13,FALSE),VLOOKUP($A202,SWB!$C$15:$P$202,14,FALSE)),0)</f>
        <v>0</v>
      </c>
      <c r="K202" s="487">
        <f t="shared" si="138"/>
        <v>5</v>
      </c>
      <c r="L202" s="487">
        <f t="shared" si="139"/>
        <v>0</v>
      </c>
      <c r="M202" s="487">
        <f t="shared" si="140"/>
        <v>5</v>
      </c>
      <c r="N202" s="277">
        <f>IF(ISERROR($G$1="Sí"),VLOOKUP($A202,CSVAgro,16,FALSE),IF(ISERROR(VLOOKUP($A202,Clima!$W$8:$Z$284,2,FALSE)),VLOOKUP($A202,Clima!$E$8:$H$372,2,FALSE),VLOOKUP($A202,Clima!$W$8:$Z$284,2,FALSE)))</f>
        <v>20.5</v>
      </c>
      <c r="O202" s="276">
        <f t="shared" si="141"/>
        <v>446.40415511671375</v>
      </c>
      <c r="P202" s="276">
        <f t="shared" si="156"/>
        <v>170.20000000000005</v>
      </c>
      <c r="Q202" s="487">
        <f t="shared" si="142"/>
        <v>260</v>
      </c>
      <c r="R202" s="278">
        <f t="shared" si="157"/>
        <v>20.5</v>
      </c>
      <c r="S202" s="278">
        <f t="shared" si="149"/>
        <v>20.5</v>
      </c>
      <c r="T202" s="279">
        <f t="shared" si="143"/>
        <v>169</v>
      </c>
      <c r="U202" s="279">
        <f t="shared" si="163"/>
        <v>25</v>
      </c>
      <c r="V202" s="276">
        <f t="shared" si="150"/>
        <v>0</v>
      </c>
      <c r="W202" s="276">
        <f>IF(AND(S202&gt;VLOOKUP(Inputs!$I$2,Extracciones,3),S202&lt;VLOOKUP(Inputs!$I$2,Extracciones,5)),(S202-VLOOKUP(Inputs!$I$2,Extracciones,3))*Inputs!$E$12,0)</f>
        <v>0</v>
      </c>
      <c r="X202" s="278">
        <f>IF(AD202=0,VLOOKUP(R202,Mineral,2)*R202*Inputs!$C$16*Inputs!$E$37,VLOOKUP(R202,Mineral,2)*R202*Inputs!$C$16)</f>
        <v>2.0500000000000003</v>
      </c>
      <c r="Y202" s="278">
        <f>SUM(K202,M202)*Inputs!$O$8*14/(100*62)</f>
        <v>0.33870967741935482</v>
      </c>
      <c r="Z202" s="278">
        <f t="shared" si="158"/>
        <v>0</v>
      </c>
      <c r="AA202" s="278">
        <f t="shared" si="159"/>
        <v>0</v>
      </c>
      <c r="AB202" s="279"/>
      <c r="AC202" s="278">
        <f t="shared" si="127"/>
        <v>0</v>
      </c>
      <c r="AD202" s="279">
        <f t="shared" si="145"/>
        <v>-1.1314285714285715</v>
      </c>
      <c r="AE202" s="278">
        <f t="shared" si="151"/>
        <v>-305.57764285714245</v>
      </c>
      <c r="AF202" s="278">
        <f t="shared" si="164"/>
        <v>57.57013320022125</v>
      </c>
      <c r="AG202" s="279">
        <f t="shared" si="146"/>
        <v>25</v>
      </c>
      <c r="AH202" s="279">
        <f>AF202*1000000/(Inputs!$C$9*100*Inputs!$C$8*1000*(1-Inputs!$C$10)*(1+Inputs!$C$12))</f>
        <v>11.518634093681722</v>
      </c>
      <c r="AI202" s="279">
        <f>IFERROR(HLOOKUP(A202,Inputs!$C$14:$C$15,2,FALSE),-100)</f>
        <v>-100</v>
      </c>
      <c r="AJ202" s="281">
        <f t="shared" si="147"/>
        <v>0</v>
      </c>
      <c r="AK202" s="282">
        <f t="shared" si="128"/>
        <v>85.560000000000016</v>
      </c>
      <c r="AL202" s="282">
        <f t="shared" si="129"/>
        <v>17.951612903225797</v>
      </c>
      <c r="AM202" s="282">
        <f t="shared" si="130"/>
        <v>-1.9838368458620446</v>
      </c>
      <c r="AN202" s="283">
        <f>IFERROR(IF($G$1="Sí",VLOOKUP($A202,CSVAgro,9,FALSE),VLOOKUP($A202,Clima!$E$8:$Q$373,13,FALSE)),0)</f>
        <v>5.5</v>
      </c>
      <c r="AO202" s="281">
        <f t="shared" si="160"/>
        <v>502.99999999999994</v>
      </c>
      <c r="AP202" s="281">
        <f>IFERROR(VLOOKUP($A202,'F TrB'!$C$3:$O$21,3,FALSE),-9999)</f>
        <v>-9999</v>
      </c>
      <c r="AQ202" s="281">
        <f t="shared" si="152"/>
        <v>-999</v>
      </c>
      <c r="AR202" s="281">
        <f>IFERROR(IF(VLOOKUP($A202,'F TrB'!$Q$3:$R$21,2,FALSE)=0,-99999,VLOOKUP($A202,'F TrB'!$Q$3:$R$21,2,FALSE)),-99999)</f>
        <v>-99999</v>
      </c>
      <c r="AS202" s="281">
        <f t="shared" si="153"/>
        <v>-99999</v>
      </c>
      <c r="AT202" s="281" t="str">
        <f>IFERROR(VLOOKUP($A202,'NDVI tipo'!$Q$8:$S$30,2,FALSE),"")</f>
        <v/>
      </c>
      <c r="AU202" s="281">
        <f>IF(ISERROR(VLOOKUP($A202,'NDVI tipo'!$Q$8:$S$50,2,FALSE)),AU201+VLOOKUP($A202,'NDVI tipo'!$Q$8:$S$50,3,TRUE),VLOOKUP($A202,'NDVI tipo'!$Q$8:$S$50,2,FALSE))</f>
        <v>0.42361233333333309</v>
      </c>
      <c r="AV202" s="281">
        <f>IFERROR(VLOOKUP($A202,'NDVI real'!$Q$8:$S$44,2,FALSE),-999)</f>
        <v>-999</v>
      </c>
      <c r="AW202" s="281">
        <f>IF(ISERROR(VLOOKUP($A202,'NDVI real'!$T$8:$U$350,2,FALSE)),"",VLOOKUP($A202,'NDVI real'!$T$8:$U$350,2,FALSE))</f>
        <v>0.51121141902777811</v>
      </c>
      <c r="AX202" s="286">
        <f>IFERROR(VLOOKUP($A202,SWB!$C$15:$BE$244,53,FALSE),"")</f>
        <v>14.591275269856018</v>
      </c>
      <c r="AY202" s="286">
        <f>IFERROR(VLOOKUP($A202,SWB!$C$15:$BE$244,55,FALSE),"")</f>
        <v>2.1198960607458162</v>
      </c>
      <c r="AZ202" s="281">
        <f>IF(ISERROR(VLOOKUP($A202,Clima!$V$8:$AI$320,14,FALSE)),-999,VLOOKUP(A202,Clima!$V$8:$AI$219,14,FALSE))</f>
        <v>5.8</v>
      </c>
      <c r="BA202" s="281">
        <f t="shared" si="161"/>
        <v>545.20000000000005</v>
      </c>
      <c r="BB202" s="281">
        <f t="shared" si="154"/>
        <v>5.8</v>
      </c>
      <c r="BC202" s="281">
        <f t="shared" si="162"/>
        <v>545.20000000000005</v>
      </c>
      <c r="BD202" s="284">
        <f t="shared" si="148"/>
        <v>42173</v>
      </c>
    </row>
    <row r="203" spans="1:56" s="275" customFormat="1" ht="12.75">
      <c r="A203" s="273">
        <f t="shared" si="155"/>
        <v>42174</v>
      </c>
      <c r="B203" s="274">
        <f t="shared" si="131"/>
        <v>170</v>
      </c>
      <c r="C203" s="275" t="str">
        <f t="shared" si="132"/>
        <v>Final</v>
      </c>
      <c r="D203" s="276">
        <f t="shared" si="133"/>
        <v>6.3</v>
      </c>
      <c r="E203" s="276">
        <f t="shared" si="134"/>
        <v>0.59515555440000045</v>
      </c>
      <c r="F203" s="276"/>
      <c r="G203" s="276">
        <f t="shared" si="135"/>
        <v>0.81413000000000002</v>
      </c>
      <c r="H203" s="276">
        <f t="shared" si="136"/>
        <v>1.122463</v>
      </c>
      <c r="I203" s="276">
        <f t="shared" si="137"/>
        <v>5.1521059999999999</v>
      </c>
      <c r="J203" s="276">
        <f>IFERROR(IF($G$1="Sí",VLOOKUP($A203,CSVAgro,13,FALSE),VLOOKUP($A203,SWB!$C$15:$P$202,14,FALSE)),0)</f>
        <v>0</v>
      </c>
      <c r="K203" s="487">
        <f t="shared" si="138"/>
        <v>5</v>
      </c>
      <c r="L203" s="487">
        <f t="shared" si="139"/>
        <v>0</v>
      </c>
      <c r="M203" s="487">
        <f t="shared" si="140"/>
        <v>5</v>
      </c>
      <c r="N203" s="277">
        <f>IF(ISERROR($G$1="Sí"),VLOOKUP($A203,CSVAgro,16,FALSE),IF(ISERROR(VLOOKUP($A203,Clima!$W$8:$Z$284,2,FALSE)),VLOOKUP($A203,Clima!$E$8:$H$372,2,FALSE),VLOOKUP($A203,Clima!$W$8:$Z$284,2,FALSE)))</f>
        <v>22.4</v>
      </c>
      <c r="O203" s="276">
        <f t="shared" si="141"/>
        <v>450.45702277362284</v>
      </c>
      <c r="P203" s="276">
        <f t="shared" si="156"/>
        <v>170.20000000000005</v>
      </c>
      <c r="Q203" s="487">
        <f t="shared" si="142"/>
        <v>265</v>
      </c>
      <c r="R203" s="278">
        <f t="shared" si="157"/>
        <v>22.4</v>
      </c>
      <c r="S203" s="278">
        <f t="shared" si="149"/>
        <v>22.4</v>
      </c>
      <c r="T203" s="279">
        <f t="shared" si="143"/>
        <v>170</v>
      </c>
      <c r="U203" s="279">
        <f t="shared" si="163"/>
        <v>25</v>
      </c>
      <c r="V203" s="276">
        <f t="shared" si="150"/>
        <v>0</v>
      </c>
      <c r="W203" s="276">
        <f>IF(AND(S203&gt;VLOOKUP(Inputs!$I$2,Extracciones,3),S203&lt;VLOOKUP(Inputs!$I$2,Extracciones,5)),(S203-VLOOKUP(Inputs!$I$2,Extracciones,3))*Inputs!$E$12,0)</f>
        <v>0</v>
      </c>
      <c r="X203" s="278">
        <f>IF(AD203=0,VLOOKUP(R203,Mineral,2)*R203*Inputs!$C$16*Inputs!$E$37,VLOOKUP(R203,Mineral,2)*R203*Inputs!$C$16)</f>
        <v>2.2399999999999998</v>
      </c>
      <c r="Y203" s="278">
        <f>SUM(K203,M203)*Inputs!$O$8*14/(100*62)</f>
        <v>0.33870967741935482</v>
      </c>
      <c r="Z203" s="278">
        <f t="shared" si="158"/>
        <v>0</v>
      </c>
      <c r="AA203" s="278">
        <f t="shared" si="159"/>
        <v>0</v>
      </c>
      <c r="AB203" s="279"/>
      <c r="AC203" s="278">
        <f t="shared" si="127"/>
        <v>0</v>
      </c>
      <c r="AD203" s="279">
        <f t="shared" si="145"/>
        <v>-1.1314285714285715</v>
      </c>
      <c r="AE203" s="278">
        <f t="shared" si="151"/>
        <v>-306.70907142857101</v>
      </c>
      <c r="AF203" s="278">
        <f t="shared" si="164"/>
        <v>59.017414306212032</v>
      </c>
      <c r="AG203" s="279">
        <f t="shared" si="146"/>
        <v>25</v>
      </c>
      <c r="AH203" s="279">
        <f>AF203*1000000/(Inputs!$C$9*100*Inputs!$C$8*1000*(1-Inputs!$C$10)*(1+Inputs!$C$12))</f>
        <v>11.808206143699886</v>
      </c>
      <c r="AI203" s="279">
        <f>IFERROR(HLOOKUP(A203,Inputs!$C$14:$C$15,2,FALSE),-100)</f>
        <v>-100</v>
      </c>
      <c r="AJ203" s="281">
        <f t="shared" si="147"/>
        <v>0</v>
      </c>
      <c r="AK203" s="282">
        <f t="shared" si="128"/>
        <v>87.800000000000011</v>
      </c>
      <c r="AL203" s="282">
        <f t="shared" si="129"/>
        <v>18.290322580645153</v>
      </c>
      <c r="AM203" s="282">
        <f t="shared" si="130"/>
        <v>-1.9838368458620446</v>
      </c>
      <c r="AN203" s="283">
        <f>IFERROR(IF($G$1="Sí",VLOOKUP($A203,CSVAgro,9,FALSE),VLOOKUP($A203,Clima!$E$8:$Q$373,13,FALSE)),0)</f>
        <v>6</v>
      </c>
      <c r="AO203" s="281">
        <f t="shared" si="160"/>
        <v>508.99999999999994</v>
      </c>
      <c r="AP203" s="281">
        <f>IFERROR(VLOOKUP($A203,'F TrB'!$C$3:$O$21,3,FALSE),-9999)</f>
        <v>-9999</v>
      </c>
      <c r="AQ203" s="281">
        <f t="shared" si="152"/>
        <v>-999</v>
      </c>
      <c r="AR203" s="281">
        <f>IFERROR(IF(VLOOKUP($A203,'F TrB'!$Q$3:$R$21,2,FALSE)=0,-99999,VLOOKUP($A203,'F TrB'!$Q$3:$R$21,2,FALSE)),-99999)</f>
        <v>-99999</v>
      </c>
      <c r="AS203" s="281">
        <f t="shared" si="153"/>
        <v>-99999</v>
      </c>
      <c r="AT203" s="281" t="str">
        <f>IFERROR(VLOOKUP($A203,'NDVI tipo'!$Q$8:$S$30,2,FALSE),"")</f>
        <v/>
      </c>
      <c r="AU203" s="281">
        <f>IF(ISERROR(VLOOKUP($A203,'NDVI tipo'!$Q$8:$S$50,2,FALSE)),AU202+VLOOKUP($A203,'NDVI tipo'!$Q$8:$S$50,3,TRUE),VLOOKUP($A203,'NDVI tipo'!$Q$8:$S$50,2,FALSE))</f>
        <v>0.39777899999999977</v>
      </c>
      <c r="AV203" s="281">
        <f>IFERROR(VLOOKUP($A203,'NDVI real'!$Q$8:$S$44,2,FALSE),-999)</f>
        <v>-999</v>
      </c>
      <c r="AW203" s="281">
        <f>IF(ISERROR(VLOOKUP($A203,'NDVI real'!$T$8:$U$350,2,FALSE)),"",VLOOKUP($A203,'NDVI real'!$T$8:$U$350,2,FALSE))</f>
        <v>0.48274691277777809</v>
      </c>
      <c r="AX203" s="286">
        <f>IFERROR(VLOOKUP($A203,SWB!$C$15:$BE$244,53,FALSE),"")</f>
        <v>14.717064158456019</v>
      </c>
      <c r="AY203" s="286">
        <f>IFERROR(VLOOKUP($A203,SWB!$C$15:$BE$244,55,FALSE),"")</f>
        <v>2.1384111061999818</v>
      </c>
      <c r="AZ203" s="281">
        <f>IF(ISERROR(VLOOKUP($A203,Clima!$V$8:$AI$320,14,FALSE)),-999,VLOOKUP(A203,Clima!$V$8:$AI$219,14,FALSE))</f>
        <v>6.3</v>
      </c>
      <c r="BA203" s="281">
        <f t="shared" si="161"/>
        <v>551.5</v>
      </c>
      <c r="BB203" s="281">
        <f t="shared" si="154"/>
        <v>6.3</v>
      </c>
      <c r="BC203" s="281">
        <f t="shared" si="162"/>
        <v>551.5</v>
      </c>
      <c r="BD203" s="284">
        <f t="shared" si="148"/>
        <v>42174</v>
      </c>
    </row>
    <row r="204" spans="1:56" s="275" customFormat="1" ht="12.75">
      <c r="A204" s="273">
        <f t="shared" si="155"/>
        <v>42175</v>
      </c>
      <c r="B204" s="274">
        <f t="shared" si="131"/>
        <v>171</v>
      </c>
      <c r="C204" s="275" t="str">
        <f t="shared" si="132"/>
        <v>Final</v>
      </c>
      <c r="D204" s="276">
        <f t="shared" si="133"/>
        <v>6.9</v>
      </c>
      <c r="E204" s="276">
        <f t="shared" si="134"/>
        <v>0.55416666540000037</v>
      </c>
      <c r="F204" s="276"/>
      <c r="G204" s="276">
        <f t="shared" si="135"/>
        <v>0.879884</v>
      </c>
      <c r="H204" s="276">
        <f t="shared" si="136"/>
        <v>1.13544</v>
      </c>
      <c r="I204" s="276">
        <f t="shared" si="137"/>
        <v>6.4720060000000004</v>
      </c>
      <c r="J204" s="276">
        <f>IFERROR(IF($G$1="Sí",VLOOKUP($A204,CSVAgro,13,FALSE),VLOOKUP($A204,SWB!$C$15:$P$202,14,FALSE)),0)</f>
        <v>0</v>
      </c>
      <c r="K204" s="487">
        <f t="shared" si="138"/>
        <v>0</v>
      </c>
      <c r="L204" s="487">
        <f t="shared" si="139"/>
        <v>0</v>
      </c>
      <c r="M204" s="487">
        <f t="shared" si="140"/>
        <v>0</v>
      </c>
      <c r="N204" s="277">
        <f>IF(ISERROR($G$1="Sí"),VLOOKUP($A204,CSVAgro,16,FALSE),IF(ISERROR(VLOOKUP($A204,Clima!$W$8:$Z$284,2,FALSE)),VLOOKUP($A204,Clima!$E$8:$H$372,2,FALSE),VLOOKUP($A204,Clima!$W$8:$Z$284,2,FALSE)))</f>
        <v>23.1</v>
      </c>
      <c r="O204" s="276">
        <f t="shared" si="141"/>
        <v>454.85148199084779</v>
      </c>
      <c r="P204" s="276">
        <f t="shared" si="156"/>
        <v>170.20000000000005</v>
      </c>
      <c r="Q204" s="487">
        <f t="shared" si="142"/>
        <v>270</v>
      </c>
      <c r="R204" s="278">
        <f t="shared" si="157"/>
        <v>23.1</v>
      </c>
      <c r="S204" s="278">
        <f t="shared" si="149"/>
        <v>23.1</v>
      </c>
      <c r="T204" s="279">
        <f t="shared" si="143"/>
        <v>171</v>
      </c>
      <c r="U204" s="279">
        <f t="shared" si="163"/>
        <v>25</v>
      </c>
      <c r="V204" s="276">
        <f t="shared" si="150"/>
        <v>0</v>
      </c>
      <c r="W204" s="276">
        <f>IF(AND(S204&gt;VLOOKUP(Inputs!$I$2,Extracciones,3),S204&lt;VLOOKUP(Inputs!$I$2,Extracciones,5)),(S204-VLOOKUP(Inputs!$I$2,Extracciones,3))*Inputs!$E$12,0)</f>
        <v>0</v>
      </c>
      <c r="X204" s="278">
        <f>IF(AD204=0,VLOOKUP(R204,Mineral,2)*R204*Inputs!$C$16*Inputs!$E$37,VLOOKUP(R204,Mineral,2)*R204*Inputs!$C$16)</f>
        <v>2.31</v>
      </c>
      <c r="Y204" s="278">
        <f>SUM(K204,M204)*Inputs!$O$8*14/(100*62)</f>
        <v>0</v>
      </c>
      <c r="Z204" s="278">
        <f t="shared" si="158"/>
        <v>0</v>
      </c>
      <c r="AA204" s="278">
        <f t="shared" si="159"/>
        <v>0</v>
      </c>
      <c r="AB204" s="279"/>
      <c r="AC204" s="278">
        <f t="shared" si="127"/>
        <v>0</v>
      </c>
      <c r="AD204" s="279">
        <f t="shared" si="145"/>
        <v>-1.1314285714285715</v>
      </c>
      <c r="AE204" s="278">
        <f t="shared" si="151"/>
        <v>-307.84049999999957</v>
      </c>
      <c r="AF204" s="278">
        <f t="shared" si="164"/>
        <v>60.195985734783463</v>
      </c>
      <c r="AG204" s="279">
        <f t="shared" si="146"/>
        <v>25</v>
      </c>
      <c r="AH204" s="279">
        <f>AF204*1000000/(Inputs!$C$9*100*Inputs!$C$8*1000*(1-Inputs!$C$10)*(1+Inputs!$C$12))</f>
        <v>12.044014752857835</v>
      </c>
      <c r="AI204" s="279">
        <f>IFERROR(HLOOKUP(A204,Inputs!$C$14:$C$15,2,FALSE),-100)</f>
        <v>-100</v>
      </c>
      <c r="AJ204" s="281">
        <f t="shared" si="147"/>
        <v>0</v>
      </c>
      <c r="AK204" s="282">
        <f t="shared" si="128"/>
        <v>90.110000000000014</v>
      </c>
      <c r="AL204" s="282">
        <f t="shared" si="129"/>
        <v>18.290322580645153</v>
      </c>
      <c r="AM204" s="282">
        <f t="shared" si="130"/>
        <v>-1.9838368458620446</v>
      </c>
      <c r="AN204" s="283">
        <f>IFERROR(IF($G$1="Sí",VLOOKUP($A204,CSVAgro,9,FALSE),VLOOKUP($A204,Clima!$E$8:$Q$373,13,FALSE)),0)</f>
        <v>6.5</v>
      </c>
      <c r="AO204" s="281">
        <f t="shared" si="160"/>
        <v>515.5</v>
      </c>
      <c r="AP204" s="281">
        <f>IFERROR(VLOOKUP($A204,'F TrB'!$C$3:$O$21,3,FALSE),-9999)</f>
        <v>85</v>
      </c>
      <c r="AQ204" s="281">
        <f t="shared" si="152"/>
        <v>1.4</v>
      </c>
      <c r="AR204" s="281">
        <f>IFERROR(IF(VLOOKUP($A204,'F TrB'!$Q$3:$R$21,2,FALSE)=0,-99999,VLOOKUP($A204,'F TrB'!$Q$3:$R$21,2,FALSE)),-99999)</f>
        <v>83</v>
      </c>
      <c r="AS204" s="281">
        <f t="shared" si="153"/>
        <v>1.4</v>
      </c>
      <c r="AT204" s="281" t="str">
        <f>IFERROR(VLOOKUP($A204,'NDVI tipo'!$Q$8:$S$30,2,FALSE),"")</f>
        <v/>
      </c>
      <c r="AU204" s="281">
        <f>IF(ISERROR(VLOOKUP($A204,'NDVI tipo'!$Q$8:$S$50,2,FALSE)),AU203+VLOOKUP($A204,'NDVI tipo'!$Q$8:$S$50,3,TRUE),VLOOKUP($A204,'NDVI tipo'!$Q$8:$S$50,2,FALSE))</f>
        <v>0.37194566666666645</v>
      </c>
      <c r="AV204" s="281">
        <f>IFERROR(VLOOKUP($A204,'NDVI real'!$Q$8:$S$44,2,FALSE),-999)</f>
        <v>-999</v>
      </c>
      <c r="AW204" s="281">
        <f>IF(ISERROR(VLOOKUP($A204,'NDVI real'!$T$8:$U$350,2,FALSE)),"",VLOOKUP($A204,'NDVI real'!$T$8:$U$350,2,FALSE))</f>
        <v>0.45428240652777807</v>
      </c>
      <c r="AX204" s="286">
        <f>IFERROR(VLOOKUP($A204,SWB!$C$15:$BE$244,53,FALSE),"")</f>
        <v>14.842234297001852</v>
      </c>
      <c r="AY204" s="286">
        <f>IFERROR(VLOOKUP($A204,SWB!$C$15:$BE$244,55,FALSE),"")</f>
        <v>2.1278923552792151</v>
      </c>
      <c r="AZ204" s="281">
        <f>IF(ISERROR(VLOOKUP($A204,Clima!$V$8:$AI$320,14,FALSE)),-999,VLOOKUP(A204,Clima!$V$8:$AI$219,14,FALSE))</f>
        <v>6.9</v>
      </c>
      <c r="BA204" s="281">
        <f t="shared" si="161"/>
        <v>558.4</v>
      </c>
      <c r="BB204" s="281">
        <f t="shared" si="154"/>
        <v>6.9</v>
      </c>
      <c r="BC204" s="281">
        <f t="shared" si="162"/>
        <v>558.4</v>
      </c>
      <c r="BD204" s="284">
        <f t="shared" si="148"/>
        <v>42175</v>
      </c>
    </row>
    <row r="205" spans="1:56" s="275" customFormat="1" ht="12.75">
      <c r="A205" s="273">
        <f t="shared" si="155"/>
        <v>42176</v>
      </c>
      <c r="B205" s="274">
        <f t="shared" ref="B205:B232" si="165">IFERROR(IF($G$1="Sí",VLOOKUP($A205,CSVAgro,4,FALSE),VLOOKUP($A205,CSVSWB,3))," ")</f>
        <v>172</v>
      </c>
      <c r="C205" s="275" t="str">
        <f t="shared" ref="C205:C232" si="166">IFERROR(IF($G$1="Sí",VLOOKUP($A205,CSVAgro,2,FALSE),VLOOKUP($A205,CSVSWB,2,FALSE))," ")</f>
        <v>Final</v>
      </c>
      <c r="D205" s="276">
        <f t="shared" ref="D205:D232" si="167">IFERROR(IF($G$1="Sí",VLOOKUP($A205,CSVAgro,9,FALSE),VLOOKUP($A205,CSVSWB,8,FALSE)),0)</f>
        <v>7.1</v>
      </c>
      <c r="E205" s="276">
        <f t="shared" ref="E205:E232" si="168">IFERROR(IF($G$1="Sí",VLOOKUP($A205,CSVAgro,14,FALSE),VLOOKUP($A205,CSVSWB,13,FALSE)),0)</f>
        <v>0.5131777764000004</v>
      </c>
      <c r="F205" s="276"/>
      <c r="G205" s="276">
        <f t="shared" ref="G205:G232" si="169">IFERROR(IF($G$1="Sí",VLOOKUP($A205,CSVAgro,26,FALSE),VLOOKUP($A205,CSVSWB,26,FALSE)),0)</f>
        <v>0.93506599999999995</v>
      </c>
      <c r="H205" s="276">
        <f t="shared" ref="H205:H232" si="170">IFERROR(IF($G$1="Sí",VLOOKUP($A205,CSVAgro,29,FALSE),VLOOKUP($A205,CSVSWB,29,FALSE)),0)</f>
        <v>1.1378440000000001</v>
      </c>
      <c r="I205" s="276">
        <f t="shared" ref="I205:I232" si="171">IFERROR(IF($G$1="Sí",VLOOKUP($A205,CSVAgro,30,FALSE),VLOOKUP($A205,CSVSWB,30,FALSE)),0)</f>
        <v>6.633629</v>
      </c>
      <c r="J205" s="276">
        <f>IFERROR(IF($G$1="Sí",VLOOKUP($A205,CSVAgro,13,FALSE),VLOOKUP($A205,SWB!$C$15:$P$202,14,FALSE)),0)</f>
        <v>0</v>
      </c>
      <c r="K205" s="487">
        <f t="shared" ref="K205:K232" si="172">IFERROR(IF($G$1="Sí",VLOOKUP($A205,CSVAgro,35,FALSE),VLOOKUP($A205,CSVSWB,35,FALSE)),0)</f>
        <v>0</v>
      </c>
      <c r="L205" s="487">
        <f t="shared" si="139"/>
        <v>0</v>
      </c>
      <c r="M205" s="487">
        <f t="shared" si="140"/>
        <v>0</v>
      </c>
      <c r="N205" s="277">
        <f>IF(ISERROR($G$1="Sí"),VLOOKUP($A205,CSVAgro,16,FALSE),IF(ISERROR(VLOOKUP($A205,Clima!$W$8:$Z$284,2,FALSE)),VLOOKUP($A205,Clima!$E$8:$H$372,2,FALSE),VLOOKUP($A205,Clima!$W$8:$Z$284,2,FALSE)))</f>
        <v>23.7</v>
      </c>
      <c r="O205" s="276">
        <f t="shared" ref="O205:O232" si="173">IFERROR(IF($G$1="Sí",VLOOKUP($A205,CSVAgro,42,FALSE),VLOOKUP($A205,CSVSWB,42,FALSE)),0)</f>
        <v>458.0331842045278</v>
      </c>
      <c r="P205" s="276">
        <f t="shared" si="156"/>
        <v>170.20000000000005</v>
      </c>
      <c r="Q205" s="487">
        <f t="shared" si="142"/>
        <v>270</v>
      </c>
      <c r="R205" s="278">
        <f t="shared" si="157"/>
        <v>23.7</v>
      </c>
      <c r="S205" s="278">
        <f t="shared" si="149"/>
        <v>23.7</v>
      </c>
      <c r="T205" s="279">
        <f t="shared" si="143"/>
        <v>172</v>
      </c>
      <c r="U205" s="279">
        <f t="shared" si="163"/>
        <v>25</v>
      </c>
      <c r="V205" s="276">
        <f t="shared" si="150"/>
        <v>0</v>
      </c>
      <c r="W205" s="276">
        <f>IF(AND(S205&gt;VLOOKUP(Inputs!$I$2,Extracciones,3),S205&lt;VLOOKUP(Inputs!$I$2,Extracciones,5)),(S205-VLOOKUP(Inputs!$I$2,Extracciones,3))*Inputs!$E$12,0)</f>
        <v>0</v>
      </c>
      <c r="X205" s="278">
        <f>IF(AD205=0,VLOOKUP(R205,Mineral,2)*R205*Inputs!$C$16*Inputs!$E$37,VLOOKUP(R205,Mineral,2)*R205*Inputs!$C$16)</f>
        <v>2.37</v>
      </c>
      <c r="Y205" s="278">
        <f>SUM(K205,M205)*Inputs!$O$8*14/(100*62)</f>
        <v>0</v>
      </c>
      <c r="Z205" s="278">
        <f t="shared" si="158"/>
        <v>0</v>
      </c>
      <c r="AA205" s="278">
        <f t="shared" si="159"/>
        <v>0</v>
      </c>
      <c r="AB205" s="279"/>
      <c r="AC205" s="278">
        <f t="shared" si="127"/>
        <v>0</v>
      </c>
      <c r="AD205" s="279">
        <f t="shared" si="145"/>
        <v>-5.94</v>
      </c>
      <c r="AE205" s="278">
        <f t="shared" si="151"/>
        <v>-313.78049999999956</v>
      </c>
      <c r="AF205" s="278">
        <f t="shared" si="164"/>
        <v>56.625985734783463</v>
      </c>
      <c r="AG205" s="279">
        <f t="shared" ref="AG205:AG228" si="174">VLOOKUP(A205,FenoT,10)</f>
        <v>0</v>
      </c>
      <c r="AH205" s="279">
        <f>AF205*1000000/(Inputs!$C$9*100*Inputs!$C$8*1000*(1-Inputs!$C$10)*(1+Inputs!$C$12))</f>
        <v>11.329729038572122</v>
      </c>
      <c r="AI205" s="279">
        <f>IFERROR(HLOOKUP(A205,Inputs!$C$14:$C$15,2,FALSE),-100)</f>
        <v>-100</v>
      </c>
      <c r="AJ205" s="281">
        <f t="shared" si="147"/>
        <v>0</v>
      </c>
      <c r="AK205" s="282">
        <f t="shared" si="128"/>
        <v>92.480000000000018</v>
      </c>
      <c r="AL205" s="282">
        <f t="shared" si="129"/>
        <v>18.290322580645153</v>
      </c>
      <c r="AM205" s="282">
        <f t="shared" si="130"/>
        <v>-1.9838368458620446</v>
      </c>
      <c r="AN205" s="283">
        <f>IFERROR(IF($G$1="Sí",VLOOKUP($A205,CSVAgro,9,FALSE),VLOOKUP($A205,Clima!$E$8:$Q$373,13,FALSE)),0)</f>
        <v>6.2</v>
      </c>
      <c r="AO205" s="281">
        <f t="shared" si="160"/>
        <v>521.70000000000005</v>
      </c>
      <c r="AP205" s="281">
        <f>IFERROR(VLOOKUP($A205,'F TrB'!$C$3:$O$21,3,FALSE),-9999)</f>
        <v>-9999</v>
      </c>
      <c r="AQ205" s="281">
        <f t="shared" si="152"/>
        <v>-999</v>
      </c>
      <c r="AR205" s="281">
        <f>IFERROR(IF(VLOOKUP($A205,'F TrB'!$Q$3:$R$21,2,FALSE)=0,-99999,VLOOKUP($A205,'F TrB'!$Q$3:$R$21,2,FALSE)),-99999)</f>
        <v>-99999</v>
      </c>
      <c r="AS205" s="281">
        <f t="shared" si="153"/>
        <v>-99999</v>
      </c>
      <c r="AT205" s="281" t="str">
        <f>IFERROR(VLOOKUP($A205,'NDVI tipo'!$Q$8:$S$30,2,FALSE),"")</f>
        <v/>
      </c>
      <c r="AU205" s="281">
        <f>IF(ISERROR(VLOOKUP($A205,'NDVI tipo'!$Q$8:$S$50,2,FALSE)),AU204+VLOOKUP($A205,'NDVI tipo'!$Q$8:$S$50,3,TRUE),VLOOKUP($A205,'NDVI tipo'!$Q$8:$S$50,2,FALSE))</f>
        <v>0.34611233333333313</v>
      </c>
      <c r="AV205" s="281">
        <f>IFERROR(VLOOKUP($A205,'NDVI real'!$Q$8:$S$44,2,FALSE),-999)</f>
        <v>-999</v>
      </c>
      <c r="AW205" s="281">
        <f>IF(ISERROR(VLOOKUP($A205,'NDVI real'!$T$8:$U$350,2,FALSE)),"",VLOOKUP($A205,'NDVI real'!$T$8:$U$350,2,FALSE))</f>
        <v>0.42581790027777805</v>
      </c>
      <c r="AX205" s="286">
        <f>IFERROR(VLOOKUP($A205,SWB!$C$15:$BE$244,53,FALSE),"")</f>
        <v>14.842234297001852</v>
      </c>
      <c r="AY205" s="286">
        <f>IFERROR(VLOOKUP($A205,SWB!$C$15:$BE$244,55,FALSE),"")</f>
        <v>0</v>
      </c>
      <c r="AZ205" s="281">
        <f>IF(ISERROR(VLOOKUP($A205,Clima!$V$8:$AI$320,14,FALSE)),-999,VLOOKUP(A205,Clima!$V$8:$AI$219,14,FALSE))</f>
        <v>7.1</v>
      </c>
      <c r="BA205" s="281">
        <f t="shared" si="161"/>
        <v>565.5</v>
      </c>
      <c r="BB205" s="281">
        <f t="shared" si="154"/>
        <v>7.1</v>
      </c>
      <c r="BC205" s="281">
        <f t="shared" si="162"/>
        <v>565.5</v>
      </c>
      <c r="BD205" s="284">
        <f t="shared" ref="BD205:BD228" si="175">A205</f>
        <v>42176</v>
      </c>
    </row>
    <row r="206" spans="1:56" s="275" customFormat="1" ht="12.75">
      <c r="A206" s="273">
        <f t="shared" si="155"/>
        <v>42177</v>
      </c>
      <c r="B206" s="274">
        <f t="shared" si="165"/>
        <v>173</v>
      </c>
      <c r="C206" s="275" t="str">
        <f t="shared" si="166"/>
        <v>Final</v>
      </c>
      <c r="D206" s="276">
        <f t="shared" si="167"/>
        <v>6.2</v>
      </c>
      <c r="E206" s="276">
        <f t="shared" si="168"/>
        <v>0.47218888740000031</v>
      </c>
      <c r="F206" s="276"/>
      <c r="G206" s="276">
        <f t="shared" si="169"/>
        <v>0.99676200000000004</v>
      </c>
      <c r="H206" s="276">
        <f t="shared" si="170"/>
        <v>1.1467620000000001</v>
      </c>
      <c r="I206" s="276">
        <f t="shared" si="171"/>
        <v>7.1901970000000004</v>
      </c>
      <c r="J206" s="276">
        <f>IFERROR(IF($G$1="Sí",VLOOKUP($A206,CSVAgro,13,FALSE),VLOOKUP($A206,SWB!$C$15:$P$202,14,FALSE)),0)</f>
        <v>2.9</v>
      </c>
      <c r="K206" s="487">
        <f t="shared" si="172"/>
        <v>0</v>
      </c>
      <c r="L206" s="487">
        <f t="shared" si="139"/>
        <v>0</v>
      </c>
      <c r="M206" s="487">
        <f t="shared" si="140"/>
        <v>0</v>
      </c>
      <c r="N206" s="277">
        <f>IF(ISERROR($G$1="Sí"),VLOOKUP($A206,CSVAgro,16,FALSE),IF(ISERROR(VLOOKUP($A206,Clima!$W$8:$Z$284,2,FALSE)),VLOOKUP($A206,Clima!$E$8:$H$372,2,FALSE),VLOOKUP($A206,Clima!$W$8:$Z$284,2,FALSE)))</f>
        <v>23.6</v>
      </c>
      <c r="O206" s="276">
        <f t="shared" si="173"/>
        <v>461.43708099174739</v>
      </c>
      <c r="P206" s="276">
        <f t="shared" si="156"/>
        <v>173.10000000000005</v>
      </c>
      <c r="Q206" s="487">
        <f t="shared" si="142"/>
        <v>270</v>
      </c>
      <c r="R206" s="278">
        <f t="shared" si="157"/>
        <v>23.6</v>
      </c>
      <c r="S206" s="278">
        <f t="shared" si="149"/>
        <v>23.6</v>
      </c>
      <c r="T206" s="279">
        <f t="shared" si="143"/>
        <v>173</v>
      </c>
      <c r="U206" s="279">
        <f t="shared" si="163"/>
        <v>26</v>
      </c>
      <c r="V206" s="276">
        <f t="shared" si="150"/>
        <v>0</v>
      </c>
      <c r="W206" s="276">
        <f>IF(AND(S206&gt;VLOOKUP(Inputs!$I$2,Extracciones,3),S206&lt;VLOOKUP(Inputs!$I$2,Extracciones,5)),(S206-VLOOKUP(Inputs!$I$2,Extracciones,3))*Inputs!$E$12,0)</f>
        <v>0</v>
      </c>
      <c r="X206" s="278">
        <f>IF(AD206=0,VLOOKUP(R206,Mineral,2)*R206*Inputs!$C$16*Inputs!$E$37,VLOOKUP(R206,Mineral,2)*R206*Inputs!$C$16)</f>
        <v>2.3600000000000003</v>
      </c>
      <c r="Y206" s="278">
        <f>SUM(K206,M206)*Inputs!$O$8*14/(100*62)</f>
        <v>0</v>
      </c>
      <c r="Z206" s="278">
        <f t="shared" si="158"/>
        <v>0</v>
      </c>
      <c r="AA206" s="278">
        <f t="shared" si="159"/>
        <v>0</v>
      </c>
      <c r="AB206" s="279"/>
      <c r="AC206" s="278">
        <f t="shared" si="127"/>
        <v>0</v>
      </c>
      <c r="AD206" s="279">
        <f t="shared" si="145"/>
        <v>-5.94</v>
      </c>
      <c r="AE206" s="278">
        <f t="shared" si="151"/>
        <v>-319.72049999999956</v>
      </c>
      <c r="AF206" s="278">
        <f t="shared" si="164"/>
        <v>53.045985734783464</v>
      </c>
      <c r="AG206" s="279">
        <f t="shared" si="174"/>
        <v>0</v>
      </c>
      <c r="AH206" s="279">
        <f>AF206*1000000/(Inputs!$C$9*100*Inputs!$C$8*1000*(1-Inputs!$C$10)*(1+Inputs!$C$12))</f>
        <v>10.613442523966279</v>
      </c>
      <c r="AI206" s="279">
        <f>IFERROR(HLOOKUP(A206,Inputs!$C$14:$C$15,2,FALSE),-100)</f>
        <v>-100</v>
      </c>
      <c r="AJ206" s="281">
        <f t="shared" si="147"/>
        <v>0</v>
      </c>
      <c r="AK206" s="282">
        <f t="shared" si="128"/>
        <v>94.840000000000018</v>
      </c>
      <c r="AL206" s="282">
        <f t="shared" si="129"/>
        <v>18.290322580645153</v>
      </c>
      <c r="AM206" s="282">
        <f t="shared" si="130"/>
        <v>-1.9838368458620446</v>
      </c>
      <c r="AN206" s="283">
        <f>IFERROR(IF($G$1="Sí",VLOOKUP($A206,CSVAgro,9,FALSE),VLOOKUP($A206,Clima!$E$8:$Q$373,13,FALSE)),0)</f>
        <v>7.2</v>
      </c>
      <c r="AO206" s="281">
        <f t="shared" si="160"/>
        <v>528.90000000000009</v>
      </c>
      <c r="AP206" s="281">
        <f>IFERROR(VLOOKUP($A206,'F TrB'!$C$3:$O$21,3,FALSE),-9999)</f>
        <v>87</v>
      </c>
      <c r="AQ206" s="281">
        <f t="shared" si="152"/>
        <v>1.4</v>
      </c>
      <c r="AR206" s="281">
        <f>IFERROR(IF(VLOOKUP($A206,'F TrB'!$Q$3:$R$21,2,FALSE)=0,-99999,VLOOKUP($A206,'F TrB'!$Q$3:$R$21,2,FALSE)),-99999)</f>
        <v>-99999</v>
      </c>
      <c r="AS206" s="281">
        <f t="shared" si="153"/>
        <v>-99999</v>
      </c>
      <c r="AT206" s="281">
        <f>IFERROR(VLOOKUP($A206,'NDVI tipo'!$Q$8:$S$30,2,FALSE),"")</f>
        <v>0.32027899999999998</v>
      </c>
      <c r="AU206" s="281">
        <f>IF(ISERROR(VLOOKUP($A206,'NDVI tipo'!$Q$8:$S$50,2,FALSE)),AU205+VLOOKUP($A206,'NDVI tipo'!$Q$8:$S$50,3,TRUE),VLOOKUP($A206,'NDVI tipo'!$Q$8:$S$50,2,FALSE))</f>
        <v>0.32027899999999998</v>
      </c>
      <c r="AV206" s="281">
        <f>IFERROR(VLOOKUP($A206,'NDVI real'!$Q$8:$S$44,2,FALSE),-999)</f>
        <v>-999</v>
      </c>
      <c r="AW206" s="281">
        <f>IF(ISERROR(VLOOKUP($A206,'NDVI real'!$T$8:$U$350,2,FALSE)),"",VLOOKUP($A206,'NDVI real'!$T$8:$U$350,2,FALSE))</f>
        <v>0.39735339402777803</v>
      </c>
      <c r="AX206" s="286">
        <f>IFERROR(VLOOKUP($A206,SWB!$C$15:$BE$244,53,FALSE),"")</f>
        <v>14.842234297001852</v>
      </c>
      <c r="AY206" s="286">
        <f>IFERROR(VLOOKUP($A206,SWB!$C$15:$BE$244,55,FALSE),"")</f>
        <v>0</v>
      </c>
      <c r="AZ206" s="281">
        <f>IF(ISERROR(VLOOKUP($A206,Clima!$V$8:$AI$320,14,FALSE)),-999,VLOOKUP(A206,Clima!$V$8:$AI$219,14,FALSE))</f>
        <v>6.2</v>
      </c>
      <c r="BA206" s="281">
        <f t="shared" si="161"/>
        <v>571.70000000000005</v>
      </c>
      <c r="BB206" s="281">
        <f t="shared" si="154"/>
        <v>6.2</v>
      </c>
      <c r="BC206" s="281">
        <f t="shared" si="162"/>
        <v>571.70000000000005</v>
      </c>
      <c r="BD206" s="284">
        <f t="shared" si="175"/>
        <v>42177</v>
      </c>
    </row>
    <row r="207" spans="1:56" s="275" customFormat="1" ht="12.75">
      <c r="A207" s="273">
        <f t="shared" si="155"/>
        <v>42178</v>
      </c>
      <c r="B207" s="274">
        <f t="shared" si="165"/>
        <v>174</v>
      </c>
      <c r="C207" s="275" t="str">
        <f t="shared" si="166"/>
        <v>Final</v>
      </c>
      <c r="D207" s="276">
        <f t="shared" si="167"/>
        <v>7.1</v>
      </c>
      <c r="E207" s="276">
        <f t="shared" si="168"/>
        <v>0.43119999840000001</v>
      </c>
      <c r="F207" s="276"/>
      <c r="G207" s="276">
        <f t="shared" si="169"/>
        <v>1.0065850000000001</v>
      </c>
      <c r="H207" s="276">
        <f t="shared" si="170"/>
        <v>1.156585</v>
      </c>
      <c r="I207" s="276">
        <f t="shared" si="171"/>
        <v>7.9457370000000003</v>
      </c>
      <c r="J207" s="276">
        <f>IFERROR(IF($G$1="Sí",VLOOKUP($A207,CSVAgro,13,FALSE),VLOOKUP($A207,SWB!$C$15:$P$202,14,FALSE)),0)</f>
        <v>0</v>
      </c>
      <c r="K207" s="487">
        <f t="shared" si="172"/>
        <v>0</v>
      </c>
      <c r="L207" s="487">
        <f t="shared" si="139"/>
        <v>0</v>
      </c>
      <c r="M207" s="487">
        <f t="shared" si="140"/>
        <v>0</v>
      </c>
      <c r="N207" s="277">
        <f>IF(ISERROR($G$1="Sí"),VLOOKUP($A207,CSVAgro,16,FALSE),IF(ISERROR(VLOOKUP($A207,Clima!$W$8:$Z$284,2,FALSE)),VLOOKUP($A207,Clima!$E$8:$H$372,2,FALSE),VLOOKUP($A207,Clima!$W$8:$Z$284,2,FALSE)))</f>
        <v>22.3</v>
      </c>
      <c r="O207" s="276">
        <f t="shared" si="173"/>
        <v>464.48148384175443</v>
      </c>
      <c r="P207" s="276">
        <f t="shared" si="156"/>
        <v>173.10000000000005</v>
      </c>
      <c r="Q207" s="487">
        <f t="shared" si="142"/>
        <v>270</v>
      </c>
      <c r="R207" s="278">
        <f t="shared" si="157"/>
        <v>22.3</v>
      </c>
      <c r="S207" s="278">
        <f t="shared" si="149"/>
        <v>22.3</v>
      </c>
      <c r="T207" s="279">
        <f t="shared" si="143"/>
        <v>174</v>
      </c>
      <c r="U207" s="279">
        <f t="shared" si="163"/>
        <v>26</v>
      </c>
      <c r="V207" s="276">
        <f t="shared" si="150"/>
        <v>0</v>
      </c>
      <c r="W207" s="276">
        <f>IF(AND(S207&gt;VLOOKUP(Inputs!$I$2,Extracciones,3),S207&lt;VLOOKUP(Inputs!$I$2,Extracciones,5)),(S207-VLOOKUP(Inputs!$I$2,Extracciones,3))*Inputs!$E$12,0)</f>
        <v>0</v>
      </c>
      <c r="X207" s="278">
        <f>IF(AD207=0,VLOOKUP(R207,Mineral,2)*R207*Inputs!$C$16*Inputs!$E$37,VLOOKUP(R207,Mineral,2)*R207*Inputs!$C$16)</f>
        <v>2.23</v>
      </c>
      <c r="Y207" s="278">
        <f>SUM(K207,M207)*Inputs!$O$8*14/(100*62)</f>
        <v>0</v>
      </c>
      <c r="Z207" s="278">
        <f t="shared" si="158"/>
        <v>0</v>
      </c>
      <c r="AA207" s="278">
        <f t="shared" si="159"/>
        <v>0</v>
      </c>
      <c r="AB207" s="279"/>
      <c r="AC207" s="278">
        <f t="shared" si="127"/>
        <v>0</v>
      </c>
      <c r="AD207" s="279">
        <f t="shared" si="145"/>
        <v>-5.94</v>
      </c>
      <c r="AE207" s="278">
        <f t="shared" si="151"/>
        <v>-325.66049999999956</v>
      </c>
      <c r="AF207" s="278">
        <f t="shared" si="164"/>
        <v>49.335985734783463</v>
      </c>
      <c r="AG207" s="279">
        <f t="shared" si="174"/>
        <v>0</v>
      </c>
      <c r="AH207" s="279">
        <f>AF207*1000000/(Inputs!$C$9*100*Inputs!$C$8*1000*(1-Inputs!$C$10)*(1+Inputs!$C$12))</f>
        <v>9.8711456051987714</v>
      </c>
      <c r="AI207" s="279">
        <f>IFERROR(HLOOKUP(A207,Inputs!$C$14:$C$15,2,FALSE),-100)</f>
        <v>-100</v>
      </c>
      <c r="AJ207" s="281">
        <f t="shared" si="147"/>
        <v>0</v>
      </c>
      <c r="AK207" s="282">
        <f t="shared" si="128"/>
        <v>97.070000000000022</v>
      </c>
      <c r="AL207" s="282">
        <f t="shared" si="129"/>
        <v>18.290322580645153</v>
      </c>
      <c r="AM207" s="282">
        <f t="shared" si="130"/>
        <v>-1.9838368458620446</v>
      </c>
      <c r="AN207" s="283">
        <f>IFERROR(IF($G$1="Sí",VLOOKUP($A207,CSVAgro,9,FALSE),VLOOKUP($A207,Clima!$E$8:$Q$373,13,FALSE)),0)</f>
        <v>7.6</v>
      </c>
      <c r="AO207" s="281">
        <f t="shared" si="160"/>
        <v>536.50000000000011</v>
      </c>
      <c r="AP207" s="281">
        <f>IFERROR(VLOOKUP($A207,'F TrB'!$C$3:$O$21,3,FALSE),-9999)</f>
        <v>-9999</v>
      </c>
      <c r="AQ207" s="281">
        <f t="shared" si="152"/>
        <v>-999</v>
      </c>
      <c r="AR207" s="281">
        <f>IFERROR(IF(VLOOKUP($A207,'F TrB'!$Q$3:$R$21,2,FALSE)=0,-99999,VLOOKUP($A207,'F TrB'!$Q$3:$R$21,2,FALSE)),-99999)</f>
        <v>-99999</v>
      </c>
      <c r="AS207" s="281">
        <f t="shared" si="153"/>
        <v>-99999</v>
      </c>
      <c r="AT207" s="281" t="str">
        <f>IFERROR(VLOOKUP($A207,'NDVI tipo'!$Q$8:$S$30,2,FALSE),"")</f>
        <v/>
      </c>
      <c r="AU207" s="281">
        <f>IF(ISERROR(VLOOKUP($A207,'NDVI tipo'!$Q$8:$S$50,2,FALSE)),AU206+VLOOKUP($A207,'NDVI tipo'!$Q$8:$S$50,3,TRUE),VLOOKUP($A207,'NDVI tipo'!$Q$8:$S$50,2,FALSE))</f>
        <v>0.32013199999999997</v>
      </c>
      <c r="AV207" s="281">
        <f>IFERROR(VLOOKUP($A207,'NDVI real'!$Q$8:$S$44,2,FALSE),-999)</f>
        <v>0.36888888777777779</v>
      </c>
      <c r="AW207" s="281">
        <f>IF(ISERROR(VLOOKUP($A207,'NDVI real'!$T$8:$U$350,2,FALSE)),"",VLOOKUP($A207,'NDVI real'!$T$8:$U$350,2,FALSE))</f>
        <v>0.36888888777777779</v>
      </c>
      <c r="AX207" s="286">
        <f>IFERROR(VLOOKUP($A207,SWB!$C$15:$BE$244,53,FALSE),"")</f>
        <v>14.842234297001852</v>
      </c>
      <c r="AY207" s="286">
        <f>IFERROR(VLOOKUP($A207,SWB!$C$15:$BE$244,55,FALSE),"")</f>
        <v>0</v>
      </c>
      <c r="AZ207" s="281">
        <f>IF(ISERROR(VLOOKUP($A207,Clima!$V$8:$AI$320,14,FALSE)),-999,VLOOKUP(A207,Clima!$V$8:$AI$219,14,FALSE))</f>
        <v>7.1</v>
      </c>
      <c r="BA207" s="281">
        <f t="shared" si="161"/>
        <v>578.80000000000007</v>
      </c>
      <c r="BB207" s="281">
        <f t="shared" si="154"/>
        <v>7.1</v>
      </c>
      <c r="BC207" s="281">
        <f t="shared" si="162"/>
        <v>578.80000000000007</v>
      </c>
      <c r="BD207" s="284">
        <f t="shared" si="175"/>
        <v>42178</v>
      </c>
    </row>
    <row r="208" spans="1:56" s="275" customFormat="1" ht="12.75">
      <c r="A208" s="273">
        <f t="shared" si="155"/>
        <v>42179</v>
      </c>
      <c r="B208" s="274">
        <f t="shared" si="165"/>
        <v>175</v>
      </c>
      <c r="C208" s="275" t="str">
        <f t="shared" si="166"/>
        <v>-</v>
      </c>
      <c r="D208" s="276">
        <f t="shared" si="167"/>
        <v>5.9</v>
      </c>
      <c r="E208" s="276">
        <f t="shared" si="168"/>
        <v>0.42543491931428579</v>
      </c>
      <c r="F208" s="276"/>
      <c r="G208" s="276">
        <f t="shared" si="169"/>
        <v>1.011393</v>
      </c>
      <c r="H208" s="276">
        <f t="shared" si="170"/>
        <v>1.1613929999999999</v>
      </c>
      <c r="I208" s="276">
        <f t="shared" si="171"/>
        <v>8.2575020000000006</v>
      </c>
      <c r="J208" s="276">
        <f>IFERROR(IF($G$1="Sí",VLOOKUP($A208,CSVAgro,13,FALSE),VLOOKUP($A208,SWB!$C$15:$P$202,14,FALSE)),0)</f>
        <v>1.4</v>
      </c>
      <c r="K208" s="487">
        <f t="shared" si="172"/>
        <v>0</v>
      </c>
      <c r="L208" s="487">
        <f t="shared" si="139"/>
        <v>0</v>
      </c>
      <c r="M208" s="487">
        <f t="shared" si="140"/>
        <v>0</v>
      </c>
      <c r="N208" s="277">
        <f>IF(ISERROR($G$1="Sí"),VLOOKUP($A208,CSVAgro,16,FALSE),IF(ISERROR(VLOOKUP($A208,Clima!$W$8:$Z$284,2,FALSE)),VLOOKUP($A208,Clima!$E$8:$H$372,2,FALSE),VLOOKUP($A208,Clima!$W$8:$Z$284,2,FALSE)))</f>
        <v>20.2</v>
      </c>
      <c r="O208" s="276">
        <f t="shared" si="173"/>
        <v>467.41034885603801</v>
      </c>
      <c r="P208" s="276">
        <f t="shared" si="156"/>
        <v>174.50000000000006</v>
      </c>
      <c r="Q208" s="487">
        <f t="shared" si="142"/>
        <v>270</v>
      </c>
      <c r="R208" s="278">
        <f t="shared" si="157"/>
        <v>20.2</v>
      </c>
      <c r="S208" s="278">
        <f t="shared" si="149"/>
        <v>20.2</v>
      </c>
      <c r="T208" s="279">
        <f t="shared" si="143"/>
        <v>175</v>
      </c>
      <c r="U208" s="279">
        <f t="shared" si="163"/>
        <v>26</v>
      </c>
      <c r="V208" s="276">
        <f t="shared" si="150"/>
        <v>0</v>
      </c>
      <c r="W208" s="276">
        <f>IF(AND(S208&gt;VLOOKUP(Inputs!$I$2,Extracciones,3),S208&lt;VLOOKUP(Inputs!$I$2,Extracciones,5)),(S208-VLOOKUP(Inputs!$I$2,Extracciones,3))*Inputs!$E$12,0)</f>
        <v>0</v>
      </c>
      <c r="X208" s="278">
        <f>IF(AD208=0,VLOOKUP(R208,Mineral,2)*R208*Inputs!$C$16*Inputs!$E$37,VLOOKUP(R208,Mineral,2)*R208*Inputs!$C$16)</f>
        <v>0.20200000000000001</v>
      </c>
      <c r="Y208" s="278">
        <f>SUM(K208,M208)*Inputs!$O$8*14/(100*62)</f>
        <v>0</v>
      </c>
      <c r="Z208" s="278">
        <f t="shared" si="158"/>
        <v>0</v>
      </c>
      <c r="AA208" s="278">
        <f t="shared" si="159"/>
        <v>0</v>
      </c>
      <c r="AB208" s="279"/>
      <c r="AC208" s="278">
        <f t="shared" si="127"/>
        <v>0</v>
      </c>
      <c r="AD208" s="279">
        <f t="shared" si="145"/>
        <v>0</v>
      </c>
      <c r="AE208" s="278">
        <f t="shared" si="151"/>
        <v>-325.66049999999956</v>
      </c>
      <c r="AF208" s="278">
        <f t="shared" si="164"/>
        <v>49.537985734783462</v>
      </c>
      <c r="AG208" s="279">
        <f t="shared" si="174"/>
        <v>0</v>
      </c>
      <c r="AH208" s="279">
        <f>AF208*1000000/(Inputs!$C$9*100*Inputs!$C$8*1000*(1-Inputs!$C$10)*(1+Inputs!$C$12))</f>
        <v>9.9115617716653581</v>
      </c>
      <c r="AI208" s="279">
        <f>IFERROR(HLOOKUP(A208,Inputs!$C$14:$C$15,2,FALSE),-100)</f>
        <v>-100</v>
      </c>
      <c r="AJ208" s="281">
        <f t="shared" si="147"/>
        <v>0</v>
      </c>
      <c r="AK208" s="282">
        <f t="shared" si="128"/>
        <v>97.27200000000002</v>
      </c>
      <c r="AL208" s="282">
        <f t="shared" si="129"/>
        <v>18.290322580645153</v>
      </c>
      <c r="AM208" s="282">
        <f t="shared" si="130"/>
        <v>-1.9838368458620446</v>
      </c>
      <c r="AN208" s="283">
        <f>IFERROR(IF($G$1="Sí",VLOOKUP($A208,CSVAgro,9,FALSE),VLOOKUP($A208,Clima!$E$8:$Q$373,13,FALSE)),0)</f>
        <v>7.4</v>
      </c>
      <c r="AO208" s="281">
        <f t="shared" si="160"/>
        <v>543.90000000000009</v>
      </c>
      <c r="AP208" s="281">
        <f>IFERROR(VLOOKUP($A208,'F TrB'!$C$3:$O$21,3,FALSE),-9999)</f>
        <v>-9999</v>
      </c>
      <c r="AQ208" s="281">
        <f t="shared" si="152"/>
        <v>-999</v>
      </c>
      <c r="AR208" s="281">
        <f>IFERROR(IF(VLOOKUP($A208,'F TrB'!$Q$3:$R$21,2,FALSE)=0,-99999,VLOOKUP($A208,'F TrB'!$Q$3:$R$21,2,FALSE)),-99999)</f>
        <v>-99999</v>
      </c>
      <c r="AS208" s="281">
        <f t="shared" si="153"/>
        <v>-99999</v>
      </c>
      <c r="AT208" s="281" t="str">
        <f>IFERROR(VLOOKUP($A208,'NDVI tipo'!$Q$8:$S$30,2,FALSE),"")</f>
        <v/>
      </c>
      <c r="AU208" s="281">
        <f>IF(ISERROR(VLOOKUP($A208,'NDVI tipo'!$Q$8:$S$50,2,FALSE)),AU207+VLOOKUP($A208,'NDVI tipo'!$Q$8:$S$50,3,TRUE),VLOOKUP($A208,'NDVI tipo'!$Q$8:$S$50,2,FALSE))</f>
        <v>0.31998499999999996</v>
      </c>
      <c r="AV208" s="281">
        <f>IFERROR(VLOOKUP($A208,'NDVI real'!$Q$8:$S$44,2,FALSE),-999)</f>
        <v>-999</v>
      </c>
      <c r="AW208" s="281">
        <f>IF(ISERROR(VLOOKUP($A208,'NDVI real'!$T$8:$U$350,2,FALSE)),"",VLOOKUP($A208,'NDVI real'!$T$8:$U$350,2,FALSE))</f>
        <v>0.36488536063492066</v>
      </c>
      <c r="AX208" s="286">
        <f>IFERROR(VLOOKUP($A208,SWB!$C$15:$BE$244,53,FALSE),"")</f>
        <v>14.842234297001852</v>
      </c>
      <c r="AY208" s="286">
        <f>IFERROR(VLOOKUP($A208,SWB!$C$15:$BE$244,55,FALSE),"")</f>
        <v>0</v>
      </c>
      <c r="AZ208" s="281">
        <f>IF(ISERROR(VLOOKUP($A208,Clima!$V$8:$AI$320,14,FALSE)),-999,VLOOKUP(A208,Clima!$V$8:$AI$219,14,FALSE))</f>
        <v>5.9</v>
      </c>
      <c r="BA208" s="281">
        <f t="shared" si="161"/>
        <v>584.70000000000005</v>
      </c>
      <c r="BB208" s="281">
        <f t="shared" si="154"/>
        <v>5.9</v>
      </c>
      <c r="BC208" s="281">
        <f t="shared" si="162"/>
        <v>584.70000000000005</v>
      </c>
      <c r="BD208" s="284">
        <f t="shared" si="175"/>
        <v>42179</v>
      </c>
    </row>
    <row r="209" spans="1:56" s="275" customFormat="1" ht="12.75">
      <c r="A209" s="273">
        <f t="shared" si="155"/>
        <v>42180</v>
      </c>
      <c r="B209" s="274">
        <f t="shared" si="165"/>
        <v>176</v>
      </c>
      <c r="C209" s="275" t="str">
        <f t="shared" si="166"/>
        <v>-</v>
      </c>
      <c r="D209" s="276">
        <f t="shared" si="167"/>
        <v>6.5</v>
      </c>
      <c r="E209" s="276">
        <f t="shared" si="168"/>
        <v>0.41966984022857146</v>
      </c>
      <c r="F209" s="276"/>
      <c r="G209" s="276">
        <f t="shared" si="169"/>
        <v>1.0012859999999999</v>
      </c>
      <c r="H209" s="276">
        <f t="shared" si="170"/>
        <v>1.151286</v>
      </c>
      <c r="I209" s="276">
        <f t="shared" si="171"/>
        <v>7.1609959999999999</v>
      </c>
      <c r="J209" s="276">
        <f>IFERROR(IF($G$1="Sí",VLOOKUP($A209,CSVAgro,13,FALSE),VLOOKUP($A209,SWB!$C$15:$P$202,14,FALSE)),0)</f>
        <v>0</v>
      </c>
      <c r="K209" s="487">
        <f t="shared" si="172"/>
        <v>0</v>
      </c>
      <c r="L209" s="487">
        <f t="shared" si="139"/>
        <v>0</v>
      </c>
      <c r="M209" s="487">
        <f t="shared" si="140"/>
        <v>0</v>
      </c>
      <c r="N209" s="277">
        <f>IF(ISERROR($G$1="Sí"),VLOOKUP($A209,CSVAgro,16,FALSE),IF(ISERROR(VLOOKUP($A209,Clima!$W$8:$Z$284,2,FALSE)),VLOOKUP($A209,Clima!$E$8:$H$372,2,FALSE),VLOOKUP($A209,Clima!$W$8:$Z$284,2,FALSE)))</f>
        <v>22.4</v>
      </c>
      <c r="O209" s="276">
        <f t="shared" si="173"/>
        <v>469.64443150825042</v>
      </c>
      <c r="P209" s="276">
        <f t="shared" si="156"/>
        <v>174.50000000000006</v>
      </c>
      <c r="Q209" s="487">
        <f t="shared" si="142"/>
        <v>270</v>
      </c>
      <c r="R209" s="278">
        <f t="shared" si="157"/>
        <v>22.4</v>
      </c>
      <c r="S209" s="278">
        <f t="shared" si="149"/>
        <v>22.4</v>
      </c>
      <c r="T209" s="279">
        <f t="shared" si="143"/>
        <v>176</v>
      </c>
      <c r="U209" s="279">
        <f t="shared" si="163"/>
        <v>26</v>
      </c>
      <c r="V209" s="276">
        <f t="shared" si="150"/>
        <v>0</v>
      </c>
      <c r="W209" s="276">
        <f>IF(AND(S209&gt;VLOOKUP(Inputs!$I$2,Extracciones,3),S209&lt;VLOOKUP(Inputs!$I$2,Extracciones,5)),(S209-VLOOKUP(Inputs!$I$2,Extracciones,3))*Inputs!$E$12,0)</f>
        <v>0</v>
      </c>
      <c r="X209" s="278">
        <f>IF(AD209=0,VLOOKUP(R209,Mineral,2)*R209*Inputs!$C$16*Inputs!$E$37,VLOOKUP(R209,Mineral,2)*R209*Inputs!$C$16)</f>
        <v>0.22399999999999998</v>
      </c>
      <c r="Y209" s="278">
        <f>SUM(K209,M209)*Inputs!$O$8*14/(100*62)</f>
        <v>0</v>
      </c>
      <c r="Z209" s="278">
        <f t="shared" si="158"/>
        <v>0</v>
      </c>
      <c r="AA209" s="278">
        <f t="shared" si="159"/>
        <v>0</v>
      </c>
      <c r="AB209" s="279"/>
      <c r="AC209" s="278">
        <f t="shared" ref="AC209:AC228" si="176">-L209*AH208/100</f>
        <v>0</v>
      </c>
      <c r="AD209" s="279">
        <f t="shared" si="145"/>
        <v>0</v>
      </c>
      <c r="AE209" s="278">
        <f t="shared" si="151"/>
        <v>-325.66049999999956</v>
      </c>
      <c r="AF209" s="278">
        <f t="shared" si="164"/>
        <v>49.761985734783458</v>
      </c>
      <c r="AG209" s="279">
        <f t="shared" si="174"/>
        <v>0</v>
      </c>
      <c r="AH209" s="279">
        <f>AF209*1000000/(Inputs!$C$9*100*Inputs!$C$8*1000*(1-Inputs!$C$10)*(1+Inputs!$C$12))</f>
        <v>9.9563796988362263</v>
      </c>
      <c r="AI209" s="279">
        <f>IFERROR(HLOOKUP(A209,Inputs!$C$14:$C$15,2,FALSE),-100)</f>
        <v>-100</v>
      </c>
      <c r="AJ209" s="281">
        <f t="shared" si="147"/>
        <v>0</v>
      </c>
      <c r="AK209" s="282">
        <f t="shared" si="128"/>
        <v>97.496000000000024</v>
      </c>
      <c r="AL209" s="282">
        <f t="shared" si="129"/>
        <v>18.290322580645153</v>
      </c>
      <c r="AM209" s="282">
        <f t="shared" si="130"/>
        <v>-1.9838368458620446</v>
      </c>
      <c r="AN209" s="283">
        <f>IFERROR(IF($G$1="Sí",VLOOKUP($A209,CSVAgro,9,FALSE),VLOOKUP($A209,Clima!$E$8:$Q$373,13,FALSE)),0)</f>
        <v>7.4</v>
      </c>
      <c r="AO209" s="281">
        <f t="shared" si="160"/>
        <v>551.30000000000007</v>
      </c>
      <c r="AP209" s="281">
        <f>IFERROR(VLOOKUP($A209,'F TrB'!$C$3:$O$21,3,FALSE),-9999)</f>
        <v>-9999</v>
      </c>
      <c r="AQ209" s="281">
        <f t="shared" si="152"/>
        <v>-999</v>
      </c>
      <c r="AR209" s="281">
        <f>IFERROR(IF(VLOOKUP($A209,'F TrB'!$Q$3:$R$21,2,FALSE)=0,-99999,VLOOKUP($A209,'F TrB'!$Q$3:$R$21,2,FALSE)),-99999)</f>
        <v>-99999</v>
      </c>
      <c r="AS209" s="281">
        <f t="shared" si="153"/>
        <v>-99999</v>
      </c>
      <c r="AT209" s="281" t="str">
        <f>IFERROR(VLOOKUP($A209,'NDVI tipo'!$Q$8:$S$30,2,FALSE),"")</f>
        <v/>
      </c>
      <c r="AU209" s="281">
        <f>IF(ISERROR(VLOOKUP($A209,'NDVI tipo'!$Q$8:$S$50,2,FALSE)),AU208+VLOOKUP($A209,'NDVI tipo'!$Q$8:$S$50,3,TRUE),VLOOKUP($A209,'NDVI tipo'!$Q$8:$S$50,2,FALSE))</f>
        <v>0.31983799999999996</v>
      </c>
      <c r="AV209" s="281">
        <f>IFERROR(VLOOKUP($A209,'NDVI real'!$Q$8:$S$44,2,FALSE),-999)</f>
        <v>-999</v>
      </c>
      <c r="AW209" s="281">
        <f>IF(ISERROR(VLOOKUP($A209,'NDVI real'!$T$8:$U$350,2,FALSE)),"",VLOOKUP($A209,'NDVI real'!$T$8:$U$350,2,FALSE))</f>
        <v>0.36088183349206354</v>
      </c>
      <c r="AX209" s="286">
        <f>IFERROR(VLOOKUP($A209,SWB!$C$15:$BE$244,53,FALSE),"")</f>
        <v>14.842234297001852</v>
      </c>
      <c r="AY209" s="286">
        <f>IFERROR(VLOOKUP($A209,SWB!$C$15:$BE$244,55,FALSE),"")</f>
        <v>0</v>
      </c>
      <c r="AZ209" s="281">
        <f>IF(ISERROR(VLOOKUP($A209,Clima!$V$8:$AI$320,14,FALSE)),-999,VLOOKUP(A209,Clima!$V$8:$AI$219,14,FALSE))</f>
        <v>6.5</v>
      </c>
      <c r="BA209" s="281">
        <f t="shared" si="161"/>
        <v>591.20000000000005</v>
      </c>
      <c r="BB209" s="281">
        <f t="shared" si="154"/>
        <v>6.5</v>
      </c>
      <c r="BC209" s="281">
        <f t="shared" si="162"/>
        <v>591.20000000000005</v>
      </c>
      <c r="BD209" s="284">
        <f t="shared" si="175"/>
        <v>42180</v>
      </c>
    </row>
    <row r="210" spans="1:56" s="275" customFormat="1" ht="12.75">
      <c r="A210" s="273">
        <f t="shared" si="155"/>
        <v>42181</v>
      </c>
      <c r="B210" s="274">
        <f t="shared" si="165"/>
        <v>177</v>
      </c>
      <c r="C210" s="275" t="str">
        <f t="shared" si="166"/>
        <v>-</v>
      </c>
      <c r="D210" s="276">
        <f t="shared" si="167"/>
        <v>6.6</v>
      </c>
      <c r="E210" s="276">
        <f t="shared" si="168"/>
        <v>0.41390476114285724</v>
      </c>
      <c r="F210" s="276"/>
      <c r="G210" s="276">
        <f t="shared" si="169"/>
        <v>1.0303150000000001</v>
      </c>
      <c r="H210" s="276">
        <f t="shared" si="170"/>
        <v>1.180315</v>
      </c>
      <c r="I210" s="276">
        <f t="shared" si="171"/>
        <v>8.321218</v>
      </c>
      <c r="J210" s="276">
        <f>IFERROR(IF($G$1="Sí",VLOOKUP($A210,CSVAgro,13,FALSE),VLOOKUP($A210,SWB!$C$15:$P$202,14,FALSE)),0)</f>
        <v>0</v>
      </c>
      <c r="K210" s="487">
        <f t="shared" si="172"/>
        <v>0</v>
      </c>
      <c r="L210" s="487">
        <f t="shared" si="139"/>
        <v>0</v>
      </c>
      <c r="M210" s="487">
        <f t="shared" si="140"/>
        <v>0</v>
      </c>
      <c r="N210" s="277">
        <f>IF(ISERROR($G$1="Sí"),VLOOKUP($A210,CSVAgro,16,FALSE),IF(ISERROR(VLOOKUP($A210,Clima!$W$8:$Z$284,2,FALSE)),VLOOKUP($A210,Clima!$E$8:$H$372,2,FALSE),VLOOKUP($A210,Clima!$W$8:$Z$284,2,FALSE)))</f>
        <v>24.7</v>
      </c>
      <c r="O210" s="276">
        <f t="shared" si="173"/>
        <v>471.44921761353152</v>
      </c>
      <c r="P210" s="276">
        <f t="shared" si="156"/>
        <v>174.50000000000006</v>
      </c>
      <c r="Q210" s="487">
        <f t="shared" si="142"/>
        <v>270</v>
      </c>
      <c r="R210" s="278">
        <f t="shared" si="157"/>
        <v>24.7</v>
      </c>
      <c r="S210" s="278">
        <f t="shared" si="149"/>
        <v>24.7</v>
      </c>
      <c r="T210" s="279">
        <f t="shared" si="143"/>
        <v>177</v>
      </c>
      <c r="U210" s="279">
        <f t="shared" si="163"/>
        <v>26</v>
      </c>
      <c r="V210" s="276">
        <f t="shared" si="150"/>
        <v>0</v>
      </c>
      <c r="W210" s="276">
        <f>IF(AND(S210&gt;VLOOKUP(Inputs!$I$2,Extracciones,3),S210&lt;VLOOKUP(Inputs!$I$2,Extracciones,5)),(S210-VLOOKUP(Inputs!$I$2,Extracciones,3))*Inputs!$E$12,0)</f>
        <v>0</v>
      </c>
      <c r="X210" s="278">
        <f>IF(AD210=0,VLOOKUP(R210,Mineral,2)*R210*Inputs!$C$16*Inputs!$E$37,VLOOKUP(R210,Mineral,2)*R210*Inputs!$C$16)</f>
        <v>0.24700000000000003</v>
      </c>
      <c r="Y210" s="278">
        <f>SUM(K210,M210)*Inputs!$O$8*14/(100*62)</f>
        <v>0</v>
      </c>
      <c r="Z210" s="278">
        <f t="shared" si="158"/>
        <v>0</v>
      </c>
      <c r="AA210" s="278">
        <f t="shared" si="159"/>
        <v>0</v>
      </c>
      <c r="AB210" s="279"/>
      <c r="AC210" s="278">
        <f t="shared" si="176"/>
        <v>0</v>
      </c>
      <c r="AD210" s="279">
        <f t="shared" si="145"/>
        <v>0</v>
      </c>
      <c r="AE210" s="278">
        <f t="shared" si="151"/>
        <v>-325.66049999999956</v>
      </c>
      <c r="AF210" s="278">
        <f t="shared" si="164"/>
        <v>50.008985734783458</v>
      </c>
      <c r="AG210" s="279">
        <f t="shared" si="174"/>
        <v>0</v>
      </c>
      <c r="AH210" s="279">
        <f>AF210*1000000/(Inputs!$C$9*100*Inputs!$C$8*1000*(1-Inputs!$C$10)*(1+Inputs!$C$12))</f>
        <v>10.005799466743388</v>
      </c>
      <c r="AI210" s="279">
        <f>IFERROR(HLOOKUP(A210,Inputs!$C$14:$C$15,2,FALSE),-100)</f>
        <v>-100</v>
      </c>
      <c r="AJ210" s="281">
        <f t="shared" si="147"/>
        <v>0</v>
      </c>
      <c r="AK210" s="282">
        <f t="shared" si="128"/>
        <v>97.743000000000023</v>
      </c>
      <c r="AL210" s="282">
        <f t="shared" si="129"/>
        <v>18.290322580645153</v>
      </c>
      <c r="AM210" s="282">
        <f t="shared" si="130"/>
        <v>-1.9838368458620446</v>
      </c>
      <c r="AN210" s="283">
        <f>IFERROR(IF($G$1="Sí",VLOOKUP($A210,CSVAgro,9,FALSE),VLOOKUP($A210,Clima!$E$8:$Q$373,13,FALSE)),0)</f>
        <v>7</v>
      </c>
      <c r="AO210" s="281">
        <f t="shared" si="160"/>
        <v>558.30000000000007</v>
      </c>
      <c r="AP210" s="281">
        <f>IFERROR(VLOOKUP($A210,'F TrB'!$C$3:$O$21,3,FALSE),-9999)</f>
        <v>-9999</v>
      </c>
      <c r="AQ210" s="281">
        <f t="shared" si="152"/>
        <v>-999</v>
      </c>
      <c r="AR210" s="281">
        <f>IFERROR(IF(VLOOKUP($A210,'F TrB'!$Q$3:$R$21,2,FALSE)=0,-99999,VLOOKUP($A210,'F TrB'!$Q$3:$R$21,2,FALSE)),-99999)</f>
        <v>-99999</v>
      </c>
      <c r="AS210" s="281">
        <f t="shared" si="153"/>
        <v>-99999</v>
      </c>
      <c r="AT210" s="281" t="str">
        <f>IFERROR(VLOOKUP($A210,'NDVI tipo'!$Q$8:$S$30,2,FALSE),"")</f>
        <v/>
      </c>
      <c r="AU210" s="281">
        <f>IF(ISERROR(VLOOKUP($A210,'NDVI tipo'!$Q$8:$S$50,2,FALSE)),AU209+VLOOKUP($A210,'NDVI tipo'!$Q$8:$S$50,3,TRUE),VLOOKUP($A210,'NDVI tipo'!$Q$8:$S$50,2,FALSE))</f>
        <v>0.31969099999999995</v>
      </c>
      <c r="AV210" s="281">
        <f>IFERROR(VLOOKUP($A210,'NDVI real'!$Q$8:$S$44,2,FALSE),-999)</f>
        <v>-999</v>
      </c>
      <c r="AW210" s="281">
        <f>IF(ISERROR(VLOOKUP($A210,'NDVI real'!$T$8:$U$350,2,FALSE)),"",VLOOKUP($A210,'NDVI real'!$T$8:$U$350,2,FALSE))</f>
        <v>0.35687830634920642</v>
      </c>
      <c r="AX210" s="286">
        <f>IFERROR(VLOOKUP($A210,SWB!$C$15:$BE$244,53,FALSE),"")</f>
        <v>14.842234297001852</v>
      </c>
      <c r="AY210" s="286">
        <f>IFERROR(VLOOKUP($A210,SWB!$C$15:$BE$244,55,FALSE),"")</f>
        <v>0</v>
      </c>
      <c r="AZ210" s="281">
        <f>IF(ISERROR(VLOOKUP($A210,Clima!$V$8:$AI$320,14,FALSE)),-999,VLOOKUP(A210,Clima!$V$8:$AI$219,14,FALSE))</f>
        <v>6.6</v>
      </c>
      <c r="BA210" s="281">
        <f t="shared" si="161"/>
        <v>597.80000000000007</v>
      </c>
      <c r="BB210" s="281">
        <f t="shared" si="154"/>
        <v>6.6</v>
      </c>
      <c r="BC210" s="281">
        <f t="shared" si="162"/>
        <v>597.80000000000007</v>
      </c>
      <c r="BD210" s="284">
        <f t="shared" si="175"/>
        <v>42181</v>
      </c>
    </row>
    <row r="211" spans="1:56" s="275" customFormat="1" ht="12.75">
      <c r="A211" s="273">
        <f t="shared" si="155"/>
        <v>42182</v>
      </c>
      <c r="B211" s="274">
        <f t="shared" si="165"/>
        <v>178</v>
      </c>
      <c r="C211" s="275" t="str">
        <f t="shared" si="166"/>
        <v>-</v>
      </c>
      <c r="D211" s="276">
        <f t="shared" si="167"/>
        <v>6.8</v>
      </c>
      <c r="E211" s="276">
        <f t="shared" si="168"/>
        <v>0.40813968205714302</v>
      </c>
      <c r="F211" s="276"/>
      <c r="G211" s="276">
        <f t="shared" si="169"/>
        <v>0.81211199999999995</v>
      </c>
      <c r="H211" s="276">
        <f t="shared" si="170"/>
        <v>0.96211199999999997</v>
      </c>
      <c r="I211" s="276">
        <f t="shared" si="171"/>
        <v>5.6379739999999998</v>
      </c>
      <c r="J211" s="276">
        <f>IFERROR(IF($G$1="Sí",VLOOKUP($A211,CSVAgro,13,FALSE),VLOOKUP($A211,SWB!$C$15:$P$202,14,FALSE)),0)</f>
        <v>0</v>
      </c>
      <c r="K211" s="487">
        <f t="shared" si="172"/>
        <v>0</v>
      </c>
      <c r="L211" s="487">
        <f t="shared" si="139"/>
        <v>0</v>
      </c>
      <c r="M211" s="487">
        <f t="shared" si="140"/>
        <v>0</v>
      </c>
      <c r="N211" s="277">
        <f>IF(ISERROR($G$1="Sí"),VLOOKUP($A211,CSVAgro,16,FALSE),IF(ISERROR(VLOOKUP($A211,Clima!$W$8:$Z$284,2,FALSE)),VLOOKUP($A211,Clima!$E$8:$H$372,2,FALSE),VLOOKUP($A211,Clima!$W$8:$Z$284,2,FALSE)))</f>
        <v>26.3</v>
      </c>
      <c r="O211" s="276">
        <f t="shared" si="173"/>
        <v>473.03743231590465</v>
      </c>
      <c r="P211" s="276">
        <f t="shared" si="156"/>
        <v>174.50000000000006</v>
      </c>
      <c r="Q211" s="487">
        <f t="shared" si="142"/>
        <v>270</v>
      </c>
      <c r="R211" s="278">
        <f t="shared" si="157"/>
        <v>26.3</v>
      </c>
      <c r="S211" s="278">
        <f t="shared" si="149"/>
        <v>26.3</v>
      </c>
      <c r="T211" s="279">
        <f t="shared" si="143"/>
        <v>178</v>
      </c>
      <c r="U211" s="279">
        <f t="shared" si="163"/>
        <v>26</v>
      </c>
      <c r="V211" s="276">
        <f t="shared" si="150"/>
        <v>0</v>
      </c>
      <c r="W211" s="276">
        <f>IF(AND(S211&gt;VLOOKUP(Inputs!$I$2,Extracciones,3),S211&lt;VLOOKUP(Inputs!$I$2,Extracciones,5)),(S211-VLOOKUP(Inputs!$I$2,Extracciones,3))*Inputs!$E$12,0)</f>
        <v>0</v>
      </c>
      <c r="X211" s="278">
        <f>IF(AD211=0,VLOOKUP(R211,Mineral,2)*R211*Inputs!$C$16*Inputs!$E$37,VLOOKUP(R211,Mineral,2)*R211*Inputs!$C$16)</f>
        <v>0.26300000000000007</v>
      </c>
      <c r="Y211" s="278">
        <f>SUM(K211,M211)*Inputs!$O$8*14/(100*62)</f>
        <v>0</v>
      </c>
      <c r="Z211" s="278">
        <f t="shared" si="158"/>
        <v>0</v>
      </c>
      <c r="AA211" s="278">
        <f t="shared" si="159"/>
        <v>0</v>
      </c>
      <c r="AB211" s="279"/>
      <c r="AC211" s="278">
        <f t="shared" si="176"/>
        <v>0</v>
      </c>
      <c r="AD211" s="279">
        <f t="shared" si="145"/>
        <v>0</v>
      </c>
      <c r="AE211" s="278">
        <f t="shared" si="151"/>
        <v>-325.66049999999956</v>
      </c>
      <c r="AF211" s="278">
        <f t="shared" si="164"/>
        <v>50.271985734783456</v>
      </c>
      <c r="AG211" s="279">
        <f t="shared" si="174"/>
        <v>0</v>
      </c>
      <c r="AH211" s="279">
        <f>AF211*1000000/(Inputs!$C$9*100*Inputs!$C$8*1000*(1-Inputs!$C$10)*(1+Inputs!$C$12))</f>
        <v>10.058420515162757</v>
      </c>
      <c r="AI211" s="279">
        <f>IFERROR(HLOOKUP(A211,Inputs!$C$14:$C$15,2,FALSE),-100)</f>
        <v>-100</v>
      </c>
      <c r="AJ211" s="281">
        <f t="shared" si="147"/>
        <v>0</v>
      </c>
      <c r="AK211" s="282">
        <f t="shared" si="128"/>
        <v>98.006000000000029</v>
      </c>
      <c r="AL211" s="282">
        <f t="shared" si="129"/>
        <v>18.290322580645153</v>
      </c>
      <c r="AM211" s="282">
        <f t="shared" si="130"/>
        <v>-1.9838368458620446</v>
      </c>
      <c r="AN211" s="283">
        <f>IFERROR(IF($G$1="Sí",VLOOKUP($A211,CSVAgro,9,FALSE),VLOOKUP($A211,Clima!$E$8:$Q$373,13,FALSE)),0)</f>
        <v>7.3</v>
      </c>
      <c r="AO211" s="281">
        <f t="shared" si="160"/>
        <v>565.6</v>
      </c>
      <c r="AP211" s="281" t="str">
        <f>IFERROR(VLOOKUP($A211,'F TrB'!$C$3:$O$21,3,FALSE),-9999)</f>
        <v>87-97</v>
      </c>
      <c r="AQ211" s="281">
        <f t="shared" si="152"/>
        <v>1.4</v>
      </c>
      <c r="AR211" s="281">
        <f>IFERROR(IF(VLOOKUP($A211,'F TrB'!$Q$3:$R$21,2,FALSE)=0,-99999,VLOOKUP($A211,'F TrB'!$Q$3:$R$21,2,FALSE)),-99999)</f>
        <v>-99999</v>
      </c>
      <c r="AS211" s="281">
        <f t="shared" si="153"/>
        <v>-99999</v>
      </c>
      <c r="AT211" s="281" t="str">
        <f>IFERROR(VLOOKUP($A211,'NDVI tipo'!$Q$8:$S$30,2,FALSE),"")</f>
        <v/>
      </c>
      <c r="AU211" s="281">
        <f>IF(ISERROR(VLOOKUP($A211,'NDVI tipo'!$Q$8:$S$50,2,FALSE)),AU210+VLOOKUP($A211,'NDVI tipo'!$Q$8:$S$50,3,TRUE),VLOOKUP($A211,'NDVI tipo'!$Q$8:$S$50,2,FALSE))</f>
        <v>0.31954399999999994</v>
      </c>
      <c r="AV211" s="281">
        <f>IFERROR(VLOOKUP($A211,'NDVI real'!$Q$8:$S$44,2,FALSE),-999)</f>
        <v>-999</v>
      </c>
      <c r="AW211" s="281">
        <f>IF(ISERROR(VLOOKUP($A211,'NDVI real'!$T$8:$U$350,2,FALSE)),"",VLOOKUP($A211,'NDVI real'!$T$8:$U$350,2,FALSE))</f>
        <v>0.3528747792063493</v>
      </c>
      <c r="AX211" s="286">
        <f>IFERROR(VLOOKUP($A211,SWB!$C$15:$BE$244,53,FALSE),"")</f>
        <v>14.842234297001852</v>
      </c>
      <c r="AY211" s="286">
        <f>IFERROR(VLOOKUP($A211,SWB!$C$15:$BE$244,55,FALSE),"")</f>
        <v>0</v>
      </c>
      <c r="AZ211" s="281">
        <f>IF(ISERROR(VLOOKUP($A211,Clima!$V$8:$AI$320,14,FALSE)),-999,VLOOKUP(A211,Clima!$V$8:$AI$219,14,FALSE))</f>
        <v>6.8</v>
      </c>
      <c r="BA211" s="281">
        <f t="shared" si="161"/>
        <v>604.6</v>
      </c>
      <c r="BB211" s="281">
        <f t="shared" si="154"/>
        <v>6.8</v>
      </c>
      <c r="BC211" s="281">
        <f t="shared" si="162"/>
        <v>604.6</v>
      </c>
      <c r="BD211" s="284">
        <f t="shared" si="175"/>
        <v>42182</v>
      </c>
    </row>
    <row r="212" spans="1:56" s="275" customFormat="1" ht="12.75">
      <c r="A212" s="273">
        <f t="shared" si="155"/>
        <v>42183</v>
      </c>
      <c r="B212" s="274">
        <f t="shared" si="165"/>
        <v>179</v>
      </c>
      <c r="C212" s="275" t="str">
        <f t="shared" si="166"/>
        <v>-</v>
      </c>
      <c r="D212" s="276">
        <f t="shared" si="167"/>
        <v>7</v>
      </c>
      <c r="E212" s="276">
        <f t="shared" si="168"/>
        <v>0.40237460297142869</v>
      </c>
      <c r="F212" s="276"/>
      <c r="G212" s="276">
        <f t="shared" si="169"/>
        <v>0.78769199999999995</v>
      </c>
      <c r="H212" s="276">
        <f t="shared" si="170"/>
        <v>0.93769199999999997</v>
      </c>
      <c r="I212" s="276">
        <f t="shared" si="171"/>
        <v>6.057493</v>
      </c>
      <c r="J212" s="276">
        <f>IFERROR(IF($G$1="Sí",VLOOKUP($A212,CSVAgro,13,FALSE),VLOOKUP($A212,SWB!$C$15:$P$202,14,FALSE)),0)</f>
        <v>0</v>
      </c>
      <c r="K212" s="487">
        <f t="shared" si="172"/>
        <v>0</v>
      </c>
      <c r="L212" s="487">
        <f t="shared" si="139"/>
        <v>0</v>
      </c>
      <c r="M212" s="487">
        <f t="shared" si="140"/>
        <v>0</v>
      </c>
      <c r="N212" s="277">
        <f>IF(ISERROR($G$1="Sí"),VLOOKUP($A212,CSVAgro,16,FALSE),IF(ISERROR(VLOOKUP($A212,Clima!$W$8:$Z$284,2,FALSE)),VLOOKUP($A212,Clima!$E$8:$H$372,2,FALSE),VLOOKUP($A212,Clima!$W$8:$Z$284,2,FALSE)))</f>
        <v>27.9</v>
      </c>
      <c r="O212" s="276">
        <f t="shared" si="173"/>
        <v>474.34768201920264</v>
      </c>
      <c r="P212" s="276">
        <f t="shared" si="156"/>
        <v>174.50000000000006</v>
      </c>
      <c r="Q212" s="487">
        <f t="shared" si="142"/>
        <v>270</v>
      </c>
      <c r="R212" s="278">
        <f t="shared" si="157"/>
        <v>27.9</v>
      </c>
      <c r="S212" s="278">
        <f t="shared" si="149"/>
        <v>27.9</v>
      </c>
      <c r="T212" s="279">
        <f t="shared" si="143"/>
        <v>179</v>
      </c>
      <c r="U212" s="279">
        <f t="shared" si="163"/>
        <v>26</v>
      </c>
      <c r="V212" s="276">
        <f t="shared" si="150"/>
        <v>0</v>
      </c>
      <c r="W212" s="276">
        <f>IF(AND(S212&gt;VLOOKUP(Inputs!$I$2,Extracciones,3),S212&lt;VLOOKUP(Inputs!$I$2,Extracciones,5)),(S212-VLOOKUP(Inputs!$I$2,Extracciones,3))*Inputs!$E$12,0)</f>
        <v>0</v>
      </c>
      <c r="X212" s="278">
        <f>IF(AD212=0,VLOOKUP(R212,Mineral,2)*R212*Inputs!$C$16*Inputs!$E$37,VLOOKUP(R212,Mineral,2)*R212*Inputs!$C$16)</f>
        <v>0.27900000000000003</v>
      </c>
      <c r="Y212" s="278">
        <f>SUM(K212,M212)*Inputs!$O$8*14/(100*62)</f>
        <v>0</v>
      </c>
      <c r="Z212" s="278">
        <f t="shared" si="158"/>
        <v>0</v>
      </c>
      <c r="AA212" s="278">
        <f t="shared" si="159"/>
        <v>0</v>
      </c>
      <c r="AB212" s="279"/>
      <c r="AC212" s="278">
        <f t="shared" si="176"/>
        <v>0</v>
      </c>
      <c r="AD212" s="279">
        <f t="shared" si="145"/>
        <v>0</v>
      </c>
      <c r="AE212" s="278">
        <f t="shared" si="151"/>
        <v>-325.66049999999956</v>
      </c>
      <c r="AF212" s="278">
        <f t="shared" si="164"/>
        <v>50.55098573478346</v>
      </c>
      <c r="AG212" s="279">
        <f t="shared" si="174"/>
        <v>0</v>
      </c>
      <c r="AH212" s="279">
        <f>AF212*1000000/(Inputs!$C$9*100*Inputs!$C$8*1000*(1-Inputs!$C$10)*(1+Inputs!$C$12))</f>
        <v>10.114242844094329</v>
      </c>
      <c r="AI212" s="279">
        <f>IFERROR(HLOOKUP(A212,Inputs!$C$14:$C$15,2,FALSE),-100)</f>
        <v>-100</v>
      </c>
      <c r="AJ212" s="281">
        <f t="shared" si="147"/>
        <v>0</v>
      </c>
      <c r="AK212" s="282">
        <f t="shared" si="128"/>
        <v>98.285000000000025</v>
      </c>
      <c r="AL212" s="282">
        <f t="shared" si="129"/>
        <v>18.290322580645153</v>
      </c>
      <c r="AM212" s="282">
        <f t="shared" si="130"/>
        <v>-1.9838368458620446</v>
      </c>
      <c r="AN212" s="283">
        <f>IFERROR(IF($G$1="Sí",VLOOKUP($A212,CSVAgro,9,FALSE),VLOOKUP($A212,Clima!$E$8:$Q$373,13,FALSE)),0)</f>
        <v>7</v>
      </c>
      <c r="AO212" s="281">
        <f t="shared" si="160"/>
        <v>572.6</v>
      </c>
      <c r="AP212" s="281">
        <f>IFERROR(VLOOKUP($A212,'F TrB'!$C$3:$O$21,3,FALSE),-9999)</f>
        <v>-9999</v>
      </c>
      <c r="AQ212" s="281">
        <f t="shared" si="152"/>
        <v>-999</v>
      </c>
      <c r="AR212" s="281">
        <f>IFERROR(IF(VLOOKUP($A212,'F TrB'!$Q$3:$R$21,2,FALSE)=0,-99999,VLOOKUP($A212,'F TrB'!$Q$3:$R$21,2,FALSE)),-99999)</f>
        <v>-99999</v>
      </c>
      <c r="AS212" s="281">
        <f t="shared" si="153"/>
        <v>-99999</v>
      </c>
      <c r="AT212" s="281" t="str">
        <f>IFERROR(VLOOKUP($A212,'NDVI tipo'!$Q$8:$S$30,2,FALSE),"")</f>
        <v/>
      </c>
      <c r="AU212" s="281">
        <f>IF(ISERROR(VLOOKUP($A212,'NDVI tipo'!$Q$8:$S$50,2,FALSE)),AU211+VLOOKUP($A212,'NDVI tipo'!$Q$8:$S$50,3,TRUE),VLOOKUP($A212,'NDVI tipo'!$Q$8:$S$50,2,FALSE))</f>
        <v>0.31939699999999993</v>
      </c>
      <c r="AV212" s="281">
        <f>IFERROR(VLOOKUP($A212,'NDVI real'!$Q$8:$S$44,2,FALSE),-999)</f>
        <v>-999</v>
      </c>
      <c r="AW212" s="281">
        <f>IF(ISERROR(VLOOKUP($A212,'NDVI real'!$T$8:$U$350,2,FALSE)),"",VLOOKUP($A212,'NDVI real'!$T$8:$U$350,2,FALSE))</f>
        <v>0.34887125206349218</v>
      </c>
      <c r="AX212" s="286">
        <f>IFERROR(VLOOKUP($A212,SWB!$C$15:$BE$244,53,FALSE),"")</f>
        <v>14.842234297001852</v>
      </c>
      <c r="AY212" s="286">
        <f>IFERROR(VLOOKUP($A212,SWB!$C$15:$BE$244,55,FALSE),"")</f>
        <v>0</v>
      </c>
      <c r="AZ212" s="281">
        <f>IF(ISERROR(VLOOKUP($A212,Clima!$V$8:$AI$320,14,FALSE)),-999,VLOOKUP(A212,Clima!$V$8:$AI$219,14,FALSE))</f>
        <v>7</v>
      </c>
      <c r="BA212" s="281">
        <f t="shared" si="161"/>
        <v>611.6</v>
      </c>
      <c r="BB212" s="281">
        <f t="shared" si="154"/>
        <v>7</v>
      </c>
      <c r="BC212" s="281">
        <f t="shared" si="162"/>
        <v>611.6</v>
      </c>
      <c r="BD212" s="284">
        <f t="shared" si="175"/>
        <v>42183</v>
      </c>
    </row>
    <row r="213" spans="1:56" s="275" customFormat="1" ht="12.75">
      <c r="A213" s="273">
        <f t="shared" si="155"/>
        <v>42184</v>
      </c>
      <c r="B213" s="274">
        <f t="shared" si="165"/>
        <v>180</v>
      </c>
      <c r="C213" s="275" t="str">
        <f t="shared" si="166"/>
        <v>-</v>
      </c>
      <c r="D213" s="276">
        <f t="shared" si="167"/>
        <v>8</v>
      </c>
      <c r="E213" s="276">
        <f t="shared" si="168"/>
        <v>0.39660952388571447</v>
      </c>
      <c r="F213" s="276"/>
      <c r="G213" s="276">
        <f t="shared" si="169"/>
        <v>0.75096300000000005</v>
      </c>
      <c r="H213" s="276">
        <f t="shared" si="170"/>
        <v>0.90096299999999996</v>
      </c>
      <c r="I213" s="276">
        <f t="shared" si="171"/>
        <v>5.9823959999999996</v>
      </c>
      <c r="J213" s="276">
        <f>IFERROR(IF($G$1="Sí",VLOOKUP($A213,CSVAgro,13,FALSE),VLOOKUP($A213,SWB!$C$15:$P$202,14,FALSE)),0)</f>
        <v>0</v>
      </c>
      <c r="K213" s="487">
        <f t="shared" si="172"/>
        <v>0</v>
      </c>
      <c r="L213" s="487">
        <f t="shared" si="139"/>
        <v>0</v>
      </c>
      <c r="M213" s="487">
        <f t="shared" si="140"/>
        <v>0</v>
      </c>
      <c r="N213" s="277">
        <f>IF(ISERROR($G$1="Sí"),VLOOKUP($A213,CSVAgro,16,FALSE),IF(ISERROR(VLOOKUP($A213,Clima!$W$8:$Z$284,2,FALSE)),VLOOKUP($A213,Clima!$E$8:$H$372,2,FALSE),VLOOKUP($A213,Clima!$W$8:$Z$284,2,FALSE)))</f>
        <v>27.1</v>
      </c>
      <c r="O213" s="276">
        <f t="shared" si="173"/>
        <v>475.30528132365203</v>
      </c>
      <c r="P213" s="276">
        <f t="shared" si="156"/>
        <v>174.50000000000006</v>
      </c>
      <c r="Q213" s="487">
        <f t="shared" si="142"/>
        <v>270</v>
      </c>
      <c r="R213" s="278">
        <f t="shared" si="157"/>
        <v>27.1</v>
      </c>
      <c r="S213" s="278">
        <f t="shared" si="149"/>
        <v>27.1</v>
      </c>
      <c r="T213" s="279">
        <f t="shared" si="143"/>
        <v>180</v>
      </c>
      <c r="U213" s="279">
        <f t="shared" si="163"/>
        <v>27</v>
      </c>
      <c r="V213" s="276">
        <f t="shared" si="150"/>
        <v>0</v>
      </c>
      <c r="W213" s="276">
        <f>IF(AND(S213&gt;VLOOKUP(Inputs!$I$2,Extracciones,3),S213&lt;VLOOKUP(Inputs!$I$2,Extracciones,5)),(S213-VLOOKUP(Inputs!$I$2,Extracciones,3))*Inputs!$E$12,0)</f>
        <v>0</v>
      </c>
      <c r="X213" s="278">
        <f>IF(AD213=0,VLOOKUP(R213,Mineral,2)*R213*Inputs!$C$16*Inputs!$E$37,VLOOKUP(R213,Mineral,2)*R213*Inputs!$C$16)</f>
        <v>0.27100000000000007</v>
      </c>
      <c r="Y213" s="278">
        <f>SUM(K213,M213)*Inputs!$O$8*14/(100*62)</f>
        <v>0</v>
      </c>
      <c r="Z213" s="278">
        <f t="shared" si="158"/>
        <v>0</v>
      </c>
      <c r="AA213" s="278">
        <f t="shared" si="159"/>
        <v>0</v>
      </c>
      <c r="AB213" s="279"/>
      <c r="AC213" s="278">
        <f t="shared" si="176"/>
        <v>0</v>
      </c>
      <c r="AD213" s="279">
        <f t="shared" si="145"/>
        <v>0</v>
      </c>
      <c r="AE213" s="278">
        <f t="shared" si="151"/>
        <v>-325.66049999999956</v>
      </c>
      <c r="AF213" s="278">
        <f t="shared" si="164"/>
        <v>50.82198573478346</v>
      </c>
      <c r="AG213" s="279">
        <f t="shared" si="174"/>
        <v>0</v>
      </c>
      <c r="AH213" s="279">
        <f>AF213*1000000/(Inputs!$C$9*100*Inputs!$C$8*1000*(1-Inputs!$C$10)*(1+Inputs!$C$12))</f>
        <v>10.1684645327698</v>
      </c>
      <c r="AI213" s="279">
        <f>IFERROR(HLOOKUP(A213,Inputs!$C$14:$C$15,2,FALSE),-100)</f>
        <v>-100</v>
      </c>
      <c r="AJ213" s="281">
        <f t="shared" si="147"/>
        <v>0</v>
      </c>
      <c r="AK213" s="282">
        <f t="shared" si="128"/>
        <v>98.556000000000026</v>
      </c>
      <c r="AL213" s="282">
        <f t="shared" si="129"/>
        <v>18.290322580645153</v>
      </c>
      <c r="AM213" s="282">
        <f t="shared" si="130"/>
        <v>-1.9838368458620446</v>
      </c>
      <c r="AN213" s="283">
        <f>IFERROR(IF($G$1="Sí",VLOOKUP($A213,CSVAgro,9,FALSE),VLOOKUP($A213,Clima!$E$8:$Q$373,13,FALSE)),0)</f>
        <v>5.6</v>
      </c>
      <c r="AO213" s="281">
        <f t="shared" si="160"/>
        <v>578.20000000000005</v>
      </c>
      <c r="AP213" s="281">
        <f>IFERROR(VLOOKUP($A213,'F TrB'!$C$3:$O$21,3,FALSE),-9999)</f>
        <v>-9999</v>
      </c>
      <c r="AQ213" s="281">
        <f t="shared" si="152"/>
        <v>-999</v>
      </c>
      <c r="AR213" s="281">
        <f>IFERROR(IF(VLOOKUP($A213,'F TrB'!$Q$3:$R$21,2,FALSE)=0,-99999,VLOOKUP($A213,'F TrB'!$Q$3:$R$21,2,FALSE)),-99999)</f>
        <v>-99999</v>
      </c>
      <c r="AS213" s="281">
        <f t="shared" si="153"/>
        <v>-99999</v>
      </c>
      <c r="AT213" s="281" t="str">
        <f>IFERROR(VLOOKUP($A213,'NDVI tipo'!$Q$8:$S$30,2,FALSE),"")</f>
        <v/>
      </c>
      <c r="AU213" s="281">
        <f>IF(ISERROR(VLOOKUP($A213,'NDVI tipo'!$Q$8:$S$50,2,FALSE)),AU212+VLOOKUP($A213,'NDVI tipo'!$Q$8:$S$50,3,TRUE),VLOOKUP($A213,'NDVI tipo'!$Q$8:$S$50,2,FALSE))</f>
        <v>0.31924999999999992</v>
      </c>
      <c r="AV213" s="281">
        <f>IFERROR(VLOOKUP($A213,'NDVI real'!$Q$8:$S$44,2,FALSE),-999)</f>
        <v>-999</v>
      </c>
      <c r="AW213" s="281">
        <f>IF(ISERROR(VLOOKUP($A213,'NDVI real'!$T$8:$U$350,2,FALSE)),"",VLOOKUP($A213,'NDVI real'!$T$8:$U$350,2,FALSE))</f>
        <v>0.34486772492063505</v>
      </c>
      <c r="AX213" s="286">
        <f>IFERROR(VLOOKUP($A213,SWB!$C$15:$BE$244,53,FALSE),"")</f>
        <v>14.842234297001852</v>
      </c>
      <c r="AY213" s="286">
        <f>IFERROR(VLOOKUP($A213,SWB!$C$15:$BE$244,55,FALSE),"")</f>
        <v>0</v>
      </c>
      <c r="AZ213" s="281">
        <f>IF(ISERROR(VLOOKUP($A213,Clima!$V$8:$AI$320,14,FALSE)),-999,VLOOKUP(A213,Clima!$V$8:$AI$219,14,FALSE))</f>
        <v>8</v>
      </c>
      <c r="BA213" s="281">
        <f t="shared" si="161"/>
        <v>619.6</v>
      </c>
      <c r="BB213" s="281">
        <f t="shared" si="154"/>
        <v>8</v>
      </c>
      <c r="BC213" s="281">
        <f t="shared" si="162"/>
        <v>619.6</v>
      </c>
      <c r="BD213" s="284">
        <f t="shared" si="175"/>
        <v>42184</v>
      </c>
    </row>
    <row r="214" spans="1:56" s="275" customFormat="1" ht="12.75">
      <c r="A214" s="273">
        <f t="shared" si="155"/>
        <v>42185</v>
      </c>
      <c r="B214" s="274">
        <f t="shared" si="165"/>
        <v>181</v>
      </c>
      <c r="C214" s="275" t="str">
        <f t="shared" si="166"/>
        <v>-</v>
      </c>
      <c r="D214" s="276">
        <f t="shared" si="167"/>
        <v>9</v>
      </c>
      <c r="E214" s="276">
        <f t="shared" si="168"/>
        <v>0.39084444479999991</v>
      </c>
      <c r="F214" s="276"/>
      <c r="G214" s="276">
        <f t="shared" si="169"/>
        <v>0.70718999999999999</v>
      </c>
      <c r="H214" s="276">
        <f t="shared" si="170"/>
        <v>0.85719000000000001</v>
      </c>
      <c r="I214" s="276">
        <f t="shared" si="171"/>
        <v>5.7946039999999996</v>
      </c>
      <c r="J214" s="276">
        <f>IFERROR(IF($G$1="Sí",VLOOKUP($A214,CSVAgro,13,FALSE),VLOOKUP($A214,SWB!$C$15:$P$202,14,FALSE)),0)</f>
        <v>0</v>
      </c>
      <c r="K214" s="487">
        <f t="shared" si="172"/>
        <v>0</v>
      </c>
      <c r="L214" s="487">
        <f t="shared" si="139"/>
        <v>0</v>
      </c>
      <c r="M214" s="487">
        <f t="shared" si="140"/>
        <v>0</v>
      </c>
      <c r="N214" s="277">
        <f>IF(ISERROR($G$1="Sí"),VLOOKUP($A214,CSVAgro,16,FALSE),IF(ISERROR(VLOOKUP($A214,Clima!$W$8:$Z$284,2,FALSE)),VLOOKUP($A214,Clima!$E$8:$H$372,2,FALSE),VLOOKUP($A214,Clima!$W$8:$Z$284,2,FALSE)))</f>
        <v>26.9</v>
      </c>
      <c r="O214" s="276">
        <f t="shared" si="173"/>
        <v>476.14139152082788</v>
      </c>
      <c r="P214" s="276">
        <f t="shared" si="156"/>
        <v>174.50000000000006</v>
      </c>
      <c r="Q214" s="487">
        <f t="shared" si="142"/>
        <v>270</v>
      </c>
      <c r="R214" s="278">
        <f t="shared" si="157"/>
        <v>26.9</v>
      </c>
      <c r="S214" s="278">
        <f t="shared" si="149"/>
        <v>26.9</v>
      </c>
      <c r="T214" s="279">
        <f t="shared" si="143"/>
        <v>181</v>
      </c>
      <c r="U214" s="279">
        <f t="shared" si="163"/>
        <v>27</v>
      </c>
      <c r="V214" s="276">
        <f t="shared" si="150"/>
        <v>0</v>
      </c>
      <c r="W214" s="276">
        <f>IF(AND(S214&gt;VLOOKUP(Inputs!$I$2,Extracciones,3),S214&lt;VLOOKUP(Inputs!$I$2,Extracciones,5)),(S214-VLOOKUP(Inputs!$I$2,Extracciones,3))*Inputs!$E$12,0)</f>
        <v>0</v>
      </c>
      <c r="X214" s="278">
        <f>IF(AD214=0,VLOOKUP(R214,Mineral,2)*R214*Inputs!$C$16*Inputs!$E$37,VLOOKUP(R214,Mineral,2)*R214*Inputs!$C$16)</f>
        <v>0.26900000000000002</v>
      </c>
      <c r="Y214" s="278">
        <f>SUM(K214,M214)*Inputs!$O$8*14/(100*62)</f>
        <v>0</v>
      </c>
      <c r="Z214" s="278">
        <f t="shared" si="158"/>
        <v>0</v>
      </c>
      <c r="AA214" s="278">
        <f t="shared" si="159"/>
        <v>0</v>
      </c>
      <c r="AB214" s="279"/>
      <c r="AC214" s="278">
        <f t="shared" si="176"/>
        <v>0</v>
      </c>
      <c r="AD214" s="279">
        <f t="shared" si="145"/>
        <v>0</v>
      </c>
      <c r="AE214" s="278">
        <f t="shared" si="151"/>
        <v>-325.66049999999956</v>
      </c>
      <c r="AF214" s="278">
        <f t="shared" si="164"/>
        <v>51.090985734783459</v>
      </c>
      <c r="AG214" s="279">
        <f t="shared" si="174"/>
        <v>0</v>
      </c>
      <c r="AH214" s="279">
        <f>AF214*1000000/(Inputs!$C$9*100*Inputs!$C$8*1000*(1-Inputs!$C$10)*(1+Inputs!$C$12))</f>
        <v>10.222286061381244</v>
      </c>
      <c r="AI214" s="279">
        <f>IFERROR(HLOOKUP(A214,Inputs!$C$14:$C$15,2,FALSE),-100)</f>
        <v>-100</v>
      </c>
      <c r="AJ214" s="281">
        <f t="shared" si="147"/>
        <v>0</v>
      </c>
      <c r="AK214" s="282">
        <f t="shared" si="128"/>
        <v>98.825000000000031</v>
      </c>
      <c r="AL214" s="282">
        <f t="shared" si="129"/>
        <v>18.290322580645153</v>
      </c>
      <c r="AM214" s="282">
        <f t="shared" si="130"/>
        <v>-1.9838368458620446</v>
      </c>
      <c r="AN214" s="283">
        <f>IFERROR(IF($G$1="Sí",VLOOKUP($A214,CSVAgro,9,FALSE),VLOOKUP($A214,Clima!$E$8:$Q$373,13,FALSE)),0)</f>
        <v>5.5</v>
      </c>
      <c r="AO214" s="281">
        <f t="shared" si="160"/>
        <v>583.70000000000005</v>
      </c>
      <c r="AP214" s="281">
        <f>IFERROR(VLOOKUP($A214,'F TrB'!$C$3:$O$21,3,FALSE),-9999)</f>
        <v>-9999</v>
      </c>
      <c r="AQ214" s="281">
        <f t="shared" si="152"/>
        <v>-999</v>
      </c>
      <c r="AR214" s="281">
        <f>IFERROR(IF(VLOOKUP($A214,'F TrB'!$Q$3:$R$21,2,FALSE)=0,-99999,VLOOKUP($A214,'F TrB'!$Q$3:$R$21,2,FALSE)),-99999)</f>
        <v>-99999</v>
      </c>
      <c r="AS214" s="281">
        <f t="shared" si="153"/>
        <v>-99999</v>
      </c>
      <c r="AT214" s="281">
        <f>IFERROR(VLOOKUP($A214,'NDVI tipo'!$Q$8:$S$30,2,FALSE),"")</f>
        <v>0.31910300000000003</v>
      </c>
      <c r="AU214" s="281">
        <f>IF(ISERROR(VLOOKUP($A214,'NDVI tipo'!$Q$8:$S$50,2,FALSE)),AU213+VLOOKUP($A214,'NDVI tipo'!$Q$8:$S$50,3,TRUE),VLOOKUP($A214,'NDVI tipo'!$Q$8:$S$50,2,FALSE))</f>
        <v>0.31910300000000003</v>
      </c>
      <c r="AV214" s="281">
        <f>IFERROR(VLOOKUP($A214,'NDVI real'!$Q$8:$S$44,2,FALSE),-999)</f>
        <v>0.34086419777777777</v>
      </c>
      <c r="AW214" s="281">
        <f>IF(ISERROR(VLOOKUP($A214,'NDVI real'!$T$8:$U$350,2,FALSE)),"",VLOOKUP($A214,'NDVI real'!$T$8:$U$350,2,FALSE))</f>
        <v>0.34086419777777777</v>
      </c>
      <c r="AX214" s="286">
        <f>IFERROR(VLOOKUP($A214,SWB!$C$15:$BE$244,53,FALSE),"")</f>
        <v>14.842234297001852</v>
      </c>
      <c r="AY214" s="286">
        <f>IFERROR(VLOOKUP($A214,SWB!$C$15:$BE$244,55,FALSE),"")</f>
        <v>0</v>
      </c>
      <c r="AZ214" s="281">
        <f>IF(ISERROR(VLOOKUP($A214,Clima!$V$8:$AI$320,14,FALSE)),-999,VLOOKUP(A214,Clima!$V$8:$AI$219,14,FALSE))</f>
        <v>9</v>
      </c>
      <c r="BA214" s="281">
        <f t="shared" si="161"/>
        <v>628.6</v>
      </c>
      <c r="BB214" s="281">
        <f t="shared" si="154"/>
        <v>9</v>
      </c>
      <c r="BC214" s="281">
        <f t="shared" si="162"/>
        <v>628.6</v>
      </c>
      <c r="BD214" s="284">
        <f t="shared" si="175"/>
        <v>42185</v>
      </c>
    </row>
    <row r="215" spans="1:56" s="275" customFormat="1" ht="12.75">
      <c r="A215" s="273">
        <f t="shared" si="155"/>
        <v>42186</v>
      </c>
      <c r="B215" s="274">
        <f t="shared" si="165"/>
        <v>182</v>
      </c>
      <c r="C215" s="275" t="str">
        <f t="shared" si="166"/>
        <v>-</v>
      </c>
      <c r="D215" s="276">
        <f t="shared" si="167"/>
        <v>8</v>
      </c>
      <c r="E215" s="276">
        <f t="shared" si="168"/>
        <v>0.38474074097777777</v>
      </c>
      <c r="F215" s="276"/>
      <c r="G215" s="276">
        <f t="shared" si="169"/>
        <v>0.68488700000000002</v>
      </c>
      <c r="H215" s="276">
        <f t="shared" si="170"/>
        <v>0.83488700000000005</v>
      </c>
      <c r="I215" s="276">
        <f t="shared" si="171"/>
        <v>5.8108139999999997</v>
      </c>
      <c r="J215" s="276">
        <f>IFERROR(IF($G$1="Sí",VLOOKUP($A215,CSVAgro,13,FALSE),VLOOKUP($A215,SWB!$C$15:$P$202,14,FALSE)),0)</f>
        <v>0</v>
      </c>
      <c r="K215" s="487">
        <f t="shared" si="172"/>
        <v>0</v>
      </c>
      <c r="L215" s="487">
        <f t="shared" si="139"/>
        <v>0</v>
      </c>
      <c r="M215" s="487">
        <f t="shared" si="140"/>
        <v>0</v>
      </c>
      <c r="N215" s="277">
        <f>IF(ISERROR($G$1="Sí"),VLOOKUP($A215,CSVAgro,16,FALSE),IF(ISERROR(VLOOKUP($A215,Clima!$W$8:$Z$284,2,FALSE)),VLOOKUP($A215,Clima!$E$8:$H$372,2,FALSE),VLOOKUP($A215,Clima!$W$8:$Z$284,2,FALSE)))</f>
        <v>25.7</v>
      </c>
      <c r="O215" s="276">
        <f t="shared" si="173"/>
        <v>477.04086065711653</v>
      </c>
      <c r="P215" s="276">
        <f t="shared" si="156"/>
        <v>174.50000000000006</v>
      </c>
      <c r="Q215" s="487">
        <f t="shared" si="142"/>
        <v>270</v>
      </c>
      <c r="R215" s="278">
        <f t="shared" si="157"/>
        <v>25.7</v>
      </c>
      <c r="S215" s="278">
        <f t="shared" si="149"/>
        <v>25.7</v>
      </c>
      <c r="T215" s="279">
        <f t="shared" si="143"/>
        <v>182</v>
      </c>
      <c r="U215" s="279">
        <f t="shared" si="163"/>
        <v>27</v>
      </c>
      <c r="V215" s="276">
        <f t="shared" si="150"/>
        <v>0</v>
      </c>
      <c r="W215" s="276">
        <f>IF(AND(S215&gt;VLOOKUP(Inputs!$I$2,Extracciones,3),S215&lt;VLOOKUP(Inputs!$I$2,Extracciones,5)),(S215-VLOOKUP(Inputs!$I$2,Extracciones,3))*Inputs!$E$12,0)</f>
        <v>0</v>
      </c>
      <c r="X215" s="278">
        <f>IF(AD215=0,VLOOKUP(R215,Mineral,2)*R215*Inputs!$C$16*Inputs!$E$37,VLOOKUP(R215,Mineral,2)*R215*Inputs!$C$16)</f>
        <v>0.25700000000000006</v>
      </c>
      <c r="Y215" s="278">
        <f>SUM(K215,M215)*Inputs!$O$8*14/(100*62)</f>
        <v>0</v>
      </c>
      <c r="Z215" s="278">
        <f t="shared" si="158"/>
        <v>0</v>
      </c>
      <c r="AA215" s="278">
        <f t="shared" si="159"/>
        <v>0</v>
      </c>
      <c r="AB215" s="279"/>
      <c r="AC215" s="278">
        <f t="shared" si="176"/>
        <v>0</v>
      </c>
      <c r="AD215" s="279">
        <f t="shared" si="145"/>
        <v>0</v>
      </c>
      <c r="AE215" s="278">
        <f t="shared" si="151"/>
        <v>-325.66049999999956</v>
      </c>
      <c r="AF215" s="278">
        <f t="shared" si="164"/>
        <v>51.347985734783457</v>
      </c>
      <c r="AG215" s="279">
        <f t="shared" si="174"/>
        <v>0</v>
      </c>
      <c r="AH215" s="279">
        <f>AF215*1000000/(Inputs!$C$9*100*Inputs!$C$8*1000*(1-Inputs!$C$10)*(1+Inputs!$C$12))</f>
        <v>10.273706629608535</v>
      </c>
      <c r="AI215" s="279">
        <f>IFERROR(HLOOKUP(A215,Inputs!$C$14:$C$15,2,FALSE),-100)</f>
        <v>-100</v>
      </c>
      <c r="AJ215" s="281">
        <f t="shared" si="147"/>
        <v>0</v>
      </c>
      <c r="AK215" s="282">
        <f t="shared" si="128"/>
        <v>99.082000000000036</v>
      </c>
      <c r="AL215" s="282">
        <f t="shared" si="129"/>
        <v>18.290322580645153</v>
      </c>
      <c r="AM215" s="282">
        <f t="shared" si="130"/>
        <v>-1.9838368458620446</v>
      </c>
      <c r="AN215" s="283">
        <f>IFERROR(IF($G$1="Sí",VLOOKUP($A215,CSVAgro,9,FALSE),VLOOKUP($A215,Clima!$E$8:$Q$373,13,FALSE)),0)</f>
        <v>7.4</v>
      </c>
      <c r="AO215" s="281">
        <f t="shared" si="160"/>
        <v>591.1</v>
      </c>
      <c r="AP215" s="281">
        <f>IFERROR(VLOOKUP($A215,'F TrB'!$C$3:$O$21,3,FALSE),-9999)</f>
        <v>-9999</v>
      </c>
      <c r="AQ215" s="281">
        <f t="shared" si="152"/>
        <v>-999</v>
      </c>
      <c r="AR215" s="281">
        <f>IFERROR(IF(VLOOKUP($A215,'F TrB'!$Q$3:$R$21,2,FALSE)=0,-99999,VLOOKUP($A215,'F TrB'!$Q$3:$R$21,2,FALSE)),-99999)</f>
        <v>-99999</v>
      </c>
      <c r="AS215" s="281">
        <f t="shared" si="153"/>
        <v>-99999</v>
      </c>
      <c r="AT215" s="281" t="str">
        <f>IFERROR(VLOOKUP($A215,'NDVI tipo'!$Q$8:$S$30,2,FALSE),"")</f>
        <v/>
      </c>
      <c r="AU215" s="281">
        <f>IF(ISERROR(VLOOKUP($A215,'NDVI tipo'!$Q$8:$S$50,2,FALSE)),AU214+VLOOKUP($A215,'NDVI tipo'!$Q$8:$S$50,3,TRUE),VLOOKUP($A215,'NDVI tipo'!$Q$8:$S$50,2,FALSE))</f>
        <v>0.31748211111111113</v>
      </c>
      <c r="AV215" s="281">
        <f>IFERROR(VLOOKUP($A215,'NDVI real'!$Q$8:$S$44,2,FALSE),-999)</f>
        <v>-999</v>
      </c>
      <c r="AW215" s="281">
        <f>IF(ISERROR(VLOOKUP($A215,'NDVI real'!$T$8:$U$350,2,FALSE)),"",VLOOKUP($A215,'NDVI real'!$T$8:$U$350,2,FALSE))</f>
        <v>0.33662551456790124</v>
      </c>
      <c r="AX215" s="286">
        <f>IFERROR(VLOOKUP($A215,SWB!$C$15:$BE$244,53,FALSE),"")</f>
        <v>14.842234297001852</v>
      </c>
      <c r="AY215" s="286">
        <f>IFERROR(VLOOKUP($A215,SWB!$C$15:$BE$244,55,FALSE),"")</f>
        <v>0</v>
      </c>
      <c r="AZ215" s="281">
        <f>IF(ISERROR(VLOOKUP($A215,Clima!$V$8:$AI$320,14,FALSE)),-999,VLOOKUP(A215,Clima!$V$8:$AI$219,14,FALSE))</f>
        <v>8</v>
      </c>
      <c r="BA215" s="281">
        <f t="shared" si="161"/>
        <v>636.6</v>
      </c>
      <c r="BB215" s="281">
        <f t="shared" si="154"/>
        <v>8</v>
      </c>
      <c r="BC215" s="281">
        <f t="shared" si="162"/>
        <v>636.6</v>
      </c>
      <c r="BD215" s="284">
        <f t="shared" si="175"/>
        <v>42186</v>
      </c>
    </row>
    <row r="216" spans="1:56" s="275" customFormat="1" ht="12.75">
      <c r="A216" s="273">
        <f t="shared" si="155"/>
        <v>42187</v>
      </c>
      <c r="B216" s="274">
        <f t="shared" si="165"/>
        <v>183</v>
      </c>
      <c r="C216" s="275" t="str">
        <f t="shared" si="166"/>
        <v>-</v>
      </c>
      <c r="D216" s="276">
        <f t="shared" si="167"/>
        <v>6.9</v>
      </c>
      <c r="E216" s="276">
        <f t="shared" si="168"/>
        <v>0.37863703715555552</v>
      </c>
      <c r="F216" s="276"/>
      <c r="G216" s="276">
        <f t="shared" si="169"/>
        <v>0.67276599999999998</v>
      </c>
      <c r="H216" s="276">
        <f t="shared" si="170"/>
        <v>0.822766</v>
      </c>
      <c r="I216" s="276">
        <f t="shared" si="171"/>
        <v>6.6232670000000002</v>
      </c>
      <c r="J216" s="276">
        <f>IFERROR(IF($G$1="Sí",VLOOKUP($A216,CSVAgro,13,FALSE),VLOOKUP($A216,SWB!$C$15:$P$202,14,FALSE)),0)</f>
        <v>0</v>
      </c>
      <c r="K216" s="487">
        <f t="shared" si="172"/>
        <v>0</v>
      </c>
      <c r="L216" s="487">
        <f t="shared" si="139"/>
        <v>0</v>
      </c>
      <c r="M216" s="487">
        <f t="shared" si="140"/>
        <v>0</v>
      </c>
      <c r="N216" s="277">
        <f>IF(ISERROR($G$1="Sí"),VLOOKUP($A216,CSVAgro,16,FALSE),IF(ISERROR(VLOOKUP($A216,Clima!$W$8:$Z$284,2,FALSE)),VLOOKUP($A216,Clima!$E$8:$H$372,2,FALSE),VLOOKUP($A216,Clima!$W$8:$Z$284,2,FALSE)))</f>
        <v>24.3</v>
      </c>
      <c r="O216" s="276">
        <f t="shared" si="173"/>
        <v>477.72351634151448</v>
      </c>
      <c r="P216" s="276">
        <f t="shared" si="156"/>
        <v>174.50000000000006</v>
      </c>
      <c r="Q216" s="487">
        <f t="shared" si="142"/>
        <v>270</v>
      </c>
      <c r="R216" s="278">
        <f t="shared" si="157"/>
        <v>24.3</v>
      </c>
      <c r="S216" s="278">
        <f t="shared" si="149"/>
        <v>24.3</v>
      </c>
      <c r="T216" s="279">
        <f t="shared" si="143"/>
        <v>183</v>
      </c>
      <c r="U216" s="279">
        <f t="shared" si="163"/>
        <v>27</v>
      </c>
      <c r="V216" s="276">
        <f t="shared" si="150"/>
        <v>0</v>
      </c>
      <c r="W216" s="276">
        <f>IF(AND(S216&gt;VLOOKUP(Inputs!$I$2,Extracciones,3),S216&lt;VLOOKUP(Inputs!$I$2,Extracciones,5)),(S216-VLOOKUP(Inputs!$I$2,Extracciones,3))*Inputs!$E$12,0)</f>
        <v>0</v>
      </c>
      <c r="X216" s="278">
        <f>IF(AD216=0,VLOOKUP(R216,Mineral,2)*R216*Inputs!$C$16*Inputs!$E$37,VLOOKUP(R216,Mineral,2)*R216*Inputs!$C$16)</f>
        <v>0.24300000000000002</v>
      </c>
      <c r="Y216" s="278">
        <f>SUM(K216,M216)*Inputs!$O$8*14/(100*62)</f>
        <v>0</v>
      </c>
      <c r="Z216" s="278">
        <f t="shared" si="158"/>
        <v>0</v>
      </c>
      <c r="AA216" s="278">
        <f t="shared" si="159"/>
        <v>0</v>
      </c>
      <c r="AB216" s="279"/>
      <c r="AC216" s="278">
        <f t="shared" si="176"/>
        <v>0</v>
      </c>
      <c r="AD216" s="279">
        <f t="shared" si="145"/>
        <v>0</v>
      </c>
      <c r="AE216" s="278">
        <f t="shared" si="151"/>
        <v>-325.66049999999956</v>
      </c>
      <c r="AF216" s="278">
        <f t="shared" si="164"/>
        <v>51.590985734783459</v>
      </c>
      <c r="AG216" s="279">
        <f t="shared" si="174"/>
        <v>0</v>
      </c>
      <c r="AH216" s="279">
        <f>AF216*1000000/(Inputs!$C$9*100*Inputs!$C$8*1000*(1-Inputs!$C$10)*(1+Inputs!$C$12))</f>
        <v>10.322326077387647</v>
      </c>
      <c r="AI216" s="279">
        <f>IFERROR(HLOOKUP(A216,Inputs!$C$14:$C$15,2,FALSE),-100)</f>
        <v>-100</v>
      </c>
      <c r="AJ216" s="281">
        <f t="shared" si="147"/>
        <v>0</v>
      </c>
      <c r="AK216" s="282">
        <f t="shared" si="128"/>
        <v>99.325000000000031</v>
      </c>
      <c r="AL216" s="282">
        <f t="shared" si="129"/>
        <v>18.290322580645153</v>
      </c>
      <c r="AM216" s="282">
        <f t="shared" si="130"/>
        <v>-1.9838368458620446</v>
      </c>
      <c r="AN216" s="283">
        <f>IFERROR(IF($G$1="Sí",VLOOKUP($A216,CSVAgro,9,FALSE),VLOOKUP($A216,Clima!$E$8:$Q$373,13,FALSE)),0)</f>
        <v>6</v>
      </c>
      <c r="AO216" s="281">
        <f t="shared" si="160"/>
        <v>597.1</v>
      </c>
      <c r="AP216" s="281">
        <f>IFERROR(VLOOKUP($A216,'F TrB'!$C$3:$O$21,3,FALSE),-9999)</f>
        <v>-9999</v>
      </c>
      <c r="AQ216" s="281">
        <f t="shared" si="152"/>
        <v>-999</v>
      </c>
      <c r="AR216" s="281">
        <f>IFERROR(IF(VLOOKUP($A216,'F TrB'!$Q$3:$R$21,2,FALSE)=0,-99999,VLOOKUP($A216,'F TrB'!$Q$3:$R$21,2,FALSE)),-99999)</f>
        <v>-99999</v>
      </c>
      <c r="AS216" s="281">
        <f t="shared" si="153"/>
        <v>-99999</v>
      </c>
      <c r="AT216" s="281" t="str">
        <f>IFERROR(VLOOKUP($A216,'NDVI tipo'!$Q$8:$S$30,2,FALSE),"")</f>
        <v/>
      </c>
      <c r="AU216" s="281">
        <f>IF(ISERROR(VLOOKUP($A216,'NDVI tipo'!$Q$8:$S$50,2,FALSE)),AU215+VLOOKUP($A216,'NDVI tipo'!$Q$8:$S$50,3,TRUE),VLOOKUP($A216,'NDVI tipo'!$Q$8:$S$50,2,FALSE))</f>
        <v>0.31586122222222224</v>
      </c>
      <c r="AV216" s="281">
        <f>IFERROR(VLOOKUP($A216,'NDVI real'!$Q$8:$S$44,2,FALSE),-999)</f>
        <v>-999</v>
      </c>
      <c r="AW216" s="281">
        <f>IF(ISERROR(VLOOKUP($A216,'NDVI real'!$T$8:$U$350,2,FALSE)),"",VLOOKUP($A216,'NDVI real'!$T$8:$U$350,2,FALSE))</f>
        <v>0.33238683135802471</v>
      </c>
      <c r="AX216" s="286">
        <f>IFERROR(VLOOKUP($A216,SWB!$C$15:$BE$244,53,FALSE),"")</f>
        <v>14.842234297001852</v>
      </c>
      <c r="AY216" s="286">
        <f>IFERROR(VLOOKUP($A216,SWB!$C$15:$BE$244,55,FALSE),"")</f>
        <v>0</v>
      </c>
      <c r="AZ216" s="281">
        <f>IF(ISERROR(VLOOKUP($A216,Clima!$V$8:$AI$320,14,FALSE)),-999,VLOOKUP(A216,Clima!$V$8:$AI$219,14,FALSE))</f>
        <v>6.9</v>
      </c>
      <c r="BA216" s="281">
        <f t="shared" si="161"/>
        <v>643.5</v>
      </c>
      <c r="BB216" s="281">
        <f t="shared" si="154"/>
        <v>6.9</v>
      </c>
      <c r="BC216" s="281">
        <f t="shared" si="162"/>
        <v>643.5</v>
      </c>
      <c r="BD216" s="284">
        <f t="shared" si="175"/>
        <v>42187</v>
      </c>
    </row>
    <row r="217" spans="1:56" s="275" customFormat="1" ht="12.75">
      <c r="A217" s="273">
        <f t="shared" si="155"/>
        <v>42188</v>
      </c>
      <c r="B217" s="274">
        <f t="shared" si="165"/>
        <v>184</v>
      </c>
      <c r="C217" s="275" t="str">
        <f t="shared" si="166"/>
        <v>-</v>
      </c>
      <c r="D217" s="276">
        <f t="shared" si="167"/>
        <v>7.6</v>
      </c>
      <c r="E217" s="276">
        <f t="shared" si="168"/>
        <v>0.37253333333333338</v>
      </c>
      <c r="F217" s="276"/>
      <c r="G217" s="276">
        <f t="shared" si="169"/>
        <v>0.28347899999999998</v>
      </c>
      <c r="H217" s="276">
        <f t="shared" si="170"/>
        <v>0.433479</v>
      </c>
      <c r="I217" s="276">
        <f t="shared" si="171"/>
        <v>3.9013149999999999</v>
      </c>
      <c r="J217" s="276">
        <f>IFERROR(IF($G$1="Sí",VLOOKUP($A217,CSVAgro,13,FALSE),VLOOKUP($A217,SWB!$C$15:$P$202,14,FALSE)),0)</f>
        <v>0</v>
      </c>
      <c r="K217" s="487">
        <f t="shared" si="172"/>
        <v>0</v>
      </c>
      <c r="L217" s="487">
        <f t="shared" si="139"/>
        <v>0</v>
      </c>
      <c r="M217" s="487">
        <f t="shared" si="140"/>
        <v>0</v>
      </c>
      <c r="N217" s="277">
        <f>IF(ISERROR($G$1="Sí"),VLOOKUP($A217,CSVAgro,16,FALSE),IF(ISERROR(VLOOKUP($A217,Clima!$W$8:$Z$284,2,FALSE)),VLOOKUP($A217,Clima!$E$8:$H$372,2,FALSE),VLOOKUP($A217,Clima!$W$8:$Z$284,2,FALSE)))</f>
        <v>25</v>
      </c>
      <c r="O217" s="276">
        <f t="shared" si="173"/>
        <v>478.37579864642123</v>
      </c>
      <c r="P217" s="276">
        <f t="shared" si="156"/>
        <v>174.50000000000006</v>
      </c>
      <c r="Q217" s="487">
        <f t="shared" si="142"/>
        <v>270</v>
      </c>
      <c r="R217" s="278">
        <f t="shared" si="157"/>
        <v>25</v>
      </c>
      <c r="S217" s="278">
        <f t="shared" si="149"/>
        <v>25</v>
      </c>
      <c r="T217" s="279">
        <f t="shared" si="143"/>
        <v>184</v>
      </c>
      <c r="U217" s="279">
        <f t="shared" si="163"/>
        <v>27</v>
      </c>
      <c r="V217" s="276">
        <f t="shared" si="150"/>
        <v>0</v>
      </c>
      <c r="W217" s="276">
        <f>IF(AND(S217&gt;VLOOKUP(Inputs!$I$2,Extracciones,3),S217&lt;VLOOKUP(Inputs!$I$2,Extracciones,5)),(S217-VLOOKUP(Inputs!$I$2,Extracciones,3))*Inputs!$E$12,0)</f>
        <v>0</v>
      </c>
      <c r="X217" s="278">
        <f>IF(AD217=0,VLOOKUP(R217,Mineral,2)*R217*Inputs!$C$16*Inputs!$E$37,VLOOKUP(R217,Mineral,2)*R217*Inputs!$C$16)</f>
        <v>0.25</v>
      </c>
      <c r="Y217" s="278">
        <f>SUM(K217,M217)*Inputs!$O$8*14/(100*62)</f>
        <v>0</v>
      </c>
      <c r="Z217" s="278">
        <f t="shared" si="158"/>
        <v>0</v>
      </c>
      <c r="AA217" s="278">
        <f t="shared" si="159"/>
        <v>0</v>
      </c>
      <c r="AB217" s="279"/>
      <c r="AC217" s="278">
        <f t="shared" si="176"/>
        <v>0</v>
      </c>
      <c r="AD217" s="279">
        <f t="shared" si="145"/>
        <v>0</v>
      </c>
      <c r="AE217" s="278">
        <f t="shared" si="151"/>
        <v>-325.66049999999956</v>
      </c>
      <c r="AF217" s="278">
        <f t="shared" si="164"/>
        <v>51.840985734783459</v>
      </c>
      <c r="AG217" s="279">
        <f t="shared" si="174"/>
        <v>0</v>
      </c>
      <c r="AH217" s="279">
        <f>AF217*1000000/(Inputs!$C$9*100*Inputs!$C$8*1000*(1-Inputs!$C$10)*(1+Inputs!$C$12))</f>
        <v>10.372346085390847</v>
      </c>
      <c r="AI217" s="279">
        <f>IFERROR(HLOOKUP(A217,Inputs!$C$14:$C$15,2,FALSE),-100)</f>
        <v>-100</v>
      </c>
      <c r="AJ217" s="281">
        <f t="shared" si="147"/>
        <v>0</v>
      </c>
      <c r="AK217" s="282">
        <f t="shared" si="128"/>
        <v>99.575000000000031</v>
      </c>
      <c r="AL217" s="282">
        <f t="shared" si="129"/>
        <v>18.290322580645153</v>
      </c>
      <c r="AM217" s="282">
        <f t="shared" si="130"/>
        <v>-1.9838368458620446</v>
      </c>
      <c r="AN217" s="283">
        <f>IFERROR(IF($G$1="Sí",VLOOKUP($A217,CSVAgro,9,FALSE),VLOOKUP($A217,Clima!$E$8:$Q$373,13,FALSE)),0)</f>
        <v>6.9</v>
      </c>
      <c r="AO217" s="281">
        <f t="shared" si="160"/>
        <v>604</v>
      </c>
      <c r="AP217" s="281">
        <f>IFERROR(VLOOKUP($A217,'F TrB'!$C$3:$O$21,3,FALSE),-9999)</f>
        <v>-9999</v>
      </c>
      <c r="AQ217" s="281">
        <f t="shared" si="152"/>
        <v>-999</v>
      </c>
      <c r="AR217" s="281">
        <f>IFERROR(IF(VLOOKUP($A217,'F TrB'!$Q$3:$R$21,2,FALSE)=0,-99999,VLOOKUP($A217,'F TrB'!$Q$3:$R$21,2,FALSE)),-99999)</f>
        <v>-99999</v>
      </c>
      <c r="AS217" s="281">
        <f t="shared" si="153"/>
        <v>-99999</v>
      </c>
      <c r="AT217" s="281" t="str">
        <f>IFERROR(VLOOKUP($A217,'NDVI tipo'!$Q$8:$S$30,2,FALSE),"")</f>
        <v/>
      </c>
      <c r="AU217" s="281">
        <f>IF(ISERROR(VLOOKUP($A217,'NDVI tipo'!$Q$8:$S$50,2,FALSE)),AU216+VLOOKUP($A217,'NDVI tipo'!$Q$8:$S$50,3,TRUE),VLOOKUP($A217,'NDVI tipo'!$Q$8:$S$50,2,FALSE))</f>
        <v>0.31424033333333334</v>
      </c>
      <c r="AV217" s="281">
        <f>IFERROR(VLOOKUP($A217,'NDVI real'!$Q$8:$S$44,2,FALSE),-999)</f>
        <v>-999</v>
      </c>
      <c r="AW217" s="281">
        <f>IF(ISERROR(VLOOKUP($A217,'NDVI real'!$T$8:$U$350,2,FALSE)),"",VLOOKUP($A217,'NDVI real'!$T$8:$U$350,2,FALSE))</f>
        <v>0.32814814814814819</v>
      </c>
      <c r="AX217" s="286">
        <f>IFERROR(VLOOKUP($A217,SWB!$C$15:$BE$244,53,FALSE),"")</f>
        <v>14.842234297001852</v>
      </c>
      <c r="AY217" s="286">
        <f>IFERROR(VLOOKUP($A217,SWB!$C$15:$BE$244,55,FALSE),"")</f>
        <v>0</v>
      </c>
      <c r="AZ217" s="281">
        <f>IF(ISERROR(VLOOKUP($A217,Clima!$V$8:$AI$320,14,FALSE)),-999,VLOOKUP(A217,Clima!$V$8:$AI$219,14,FALSE))</f>
        <v>7.6</v>
      </c>
      <c r="BA217" s="281">
        <f t="shared" si="161"/>
        <v>651.1</v>
      </c>
      <c r="BB217" s="281">
        <f t="shared" si="154"/>
        <v>7.6</v>
      </c>
      <c r="BC217" s="281">
        <f t="shared" si="162"/>
        <v>651.1</v>
      </c>
      <c r="BD217" s="284">
        <f t="shared" si="175"/>
        <v>42188</v>
      </c>
    </row>
    <row r="218" spans="1:56" s="275" customFormat="1" ht="12.75">
      <c r="A218" s="273">
        <f t="shared" si="155"/>
        <v>42189</v>
      </c>
      <c r="B218" s="274">
        <f t="shared" si="165"/>
        <v>185</v>
      </c>
      <c r="C218" s="275" t="str">
        <f t="shared" si="166"/>
        <v>-</v>
      </c>
      <c r="D218" s="276">
        <f t="shared" si="167"/>
        <v>8.3000000000000007</v>
      </c>
      <c r="E218" s="276">
        <f t="shared" si="168"/>
        <v>0.36642962951111113</v>
      </c>
      <c r="F218" s="276"/>
      <c r="G218" s="276">
        <f t="shared" si="169"/>
        <v>9.2304999999999998E-2</v>
      </c>
      <c r="H218" s="276">
        <f t="shared" si="170"/>
        <v>0.24230499999999999</v>
      </c>
      <c r="I218" s="276">
        <f t="shared" si="171"/>
        <v>1.9432830000000001</v>
      </c>
      <c r="J218" s="276">
        <f>IFERROR(IF($G$1="Sí",VLOOKUP($A218,CSVAgro,13,FALSE),VLOOKUP($A218,SWB!$C$15:$P$202,14,FALSE)),0)</f>
        <v>0</v>
      </c>
      <c r="K218" s="487">
        <f t="shared" si="172"/>
        <v>0</v>
      </c>
      <c r="L218" s="487">
        <f t="shared" si="139"/>
        <v>0</v>
      </c>
      <c r="M218" s="487">
        <f t="shared" si="140"/>
        <v>0</v>
      </c>
      <c r="N218" s="277">
        <f>IF(ISERROR($G$1="Sí"),VLOOKUP($A218,CSVAgro,16,FALSE),IF(ISERROR(VLOOKUP($A218,Clima!$W$8:$Z$284,2,FALSE)),VLOOKUP($A218,Clima!$E$8:$H$372,2,FALSE),VLOOKUP($A218,Clima!$W$8:$Z$284,2,FALSE)))</f>
        <v>26</v>
      </c>
      <c r="O218" s="276">
        <f t="shared" si="173"/>
        <v>478.9805881443387</v>
      </c>
      <c r="P218" s="276">
        <f t="shared" si="156"/>
        <v>174.50000000000006</v>
      </c>
      <c r="Q218" s="487">
        <f t="shared" si="142"/>
        <v>270</v>
      </c>
      <c r="R218" s="278">
        <f t="shared" si="157"/>
        <v>26</v>
      </c>
      <c r="S218" s="278">
        <f t="shared" si="149"/>
        <v>26</v>
      </c>
      <c r="T218" s="279">
        <f t="shared" si="143"/>
        <v>185</v>
      </c>
      <c r="U218" s="279">
        <f t="shared" si="163"/>
        <v>27</v>
      </c>
      <c r="V218" s="276">
        <f t="shared" si="150"/>
        <v>0</v>
      </c>
      <c r="W218" s="276">
        <f>IF(AND(S218&gt;VLOOKUP(Inputs!$I$2,Extracciones,3),S218&lt;VLOOKUP(Inputs!$I$2,Extracciones,5)),(S218-VLOOKUP(Inputs!$I$2,Extracciones,3))*Inputs!$E$12,0)</f>
        <v>0</v>
      </c>
      <c r="X218" s="278">
        <f>IF(AD218=0,VLOOKUP(R218,Mineral,2)*R218*Inputs!$C$16*Inputs!$E$37,VLOOKUP(R218,Mineral,2)*R218*Inputs!$C$16)</f>
        <v>0.26</v>
      </c>
      <c r="Y218" s="278">
        <f>SUM(K218,M218)*Inputs!$O$8*14/(100*62)</f>
        <v>0</v>
      </c>
      <c r="Z218" s="278">
        <f t="shared" si="158"/>
        <v>0</v>
      </c>
      <c r="AA218" s="278">
        <f t="shared" si="159"/>
        <v>0</v>
      </c>
      <c r="AB218" s="279"/>
      <c r="AC218" s="278">
        <f t="shared" si="176"/>
        <v>0</v>
      </c>
      <c r="AD218" s="279">
        <f t="shared" si="145"/>
        <v>0</v>
      </c>
      <c r="AE218" s="278">
        <f t="shared" si="151"/>
        <v>-325.66049999999956</v>
      </c>
      <c r="AF218" s="278">
        <f t="shared" si="164"/>
        <v>52.100985734783457</v>
      </c>
      <c r="AG218" s="279">
        <f t="shared" si="174"/>
        <v>0</v>
      </c>
      <c r="AH218" s="279">
        <f>AF218*1000000/(Inputs!$C$9*100*Inputs!$C$8*1000*(1-Inputs!$C$10)*(1+Inputs!$C$12))</f>
        <v>10.424366893714177</v>
      </c>
      <c r="AI218" s="279">
        <f>IFERROR(HLOOKUP(A218,Inputs!$C$14:$C$15,2,FALSE),-100)</f>
        <v>-100</v>
      </c>
      <c r="AJ218" s="281">
        <f t="shared" si="147"/>
        <v>0</v>
      </c>
      <c r="AK218" s="282">
        <f t="shared" si="128"/>
        <v>99.835000000000036</v>
      </c>
      <c r="AL218" s="282">
        <f t="shared" si="129"/>
        <v>18.290322580645153</v>
      </c>
      <c r="AM218" s="282">
        <f t="shared" si="130"/>
        <v>-1.9838368458620446</v>
      </c>
      <c r="AN218" s="283">
        <f>IFERROR(IF($G$1="Sí",VLOOKUP($A218,CSVAgro,9,FALSE),VLOOKUP($A218,Clima!$E$8:$Q$373,13,FALSE)),0)</f>
        <v>8.1</v>
      </c>
      <c r="AO218" s="281">
        <f t="shared" si="160"/>
        <v>612.1</v>
      </c>
      <c r="AP218" s="281">
        <f>IFERROR(VLOOKUP($A218,'F TrB'!$C$3:$O$21,3,FALSE),-9999)</f>
        <v>-9999</v>
      </c>
      <c r="AQ218" s="281">
        <f t="shared" si="152"/>
        <v>-999</v>
      </c>
      <c r="AR218" s="281">
        <f>IFERROR(IF(VLOOKUP($A218,'F TrB'!$Q$3:$R$21,2,FALSE)=0,-99999,VLOOKUP($A218,'F TrB'!$Q$3:$R$21,2,FALSE)),-99999)</f>
        <v>89</v>
      </c>
      <c r="AS218" s="281">
        <f t="shared" si="153"/>
        <v>1.4</v>
      </c>
      <c r="AT218" s="281" t="str">
        <f>IFERROR(VLOOKUP($A218,'NDVI tipo'!$Q$8:$S$30,2,FALSE),"")</f>
        <v/>
      </c>
      <c r="AU218" s="281">
        <f>IF(ISERROR(VLOOKUP($A218,'NDVI tipo'!$Q$8:$S$50,2,FALSE)),AU217+VLOOKUP($A218,'NDVI tipo'!$Q$8:$S$50,3,TRUE),VLOOKUP($A218,'NDVI tipo'!$Q$8:$S$50,2,FALSE))</f>
        <v>0.31261944444444445</v>
      </c>
      <c r="AV218" s="281">
        <f>IFERROR(VLOOKUP($A218,'NDVI real'!$Q$8:$S$44,2,FALSE),-999)</f>
        <v>-999</v>
      </c>
      <c r="AW218" s="281">
        <f>IF(ISERROR(VLOOKUP($A218,'NDVI real'!$T$8:$U$350,2,FALSE)),"",VLOOKUP($A218,'NDVI real'!$T$8:$U$350,2,FALSE))</f>
        <v>0.32390946493827166</v>
      </c>
      <c r="AX218" s="286">
        <f>IFERROR(VLOOKUP($A218,SWB!$C$15:$BE$244,53,FALSE),"")</f>
        <v>14.842234297001852</v>
      </c>
      <c r="AY218" s="286">
        <f>IFERROR(VLOOKUP($A218,SWB!$C$15:$BE$244,55,FALSE),"")</f>
        <v>0</v>
      </c>
      <c r="AZ218" s="281">
        <f>IF(ISERROR(VLOOKUP($A218,Clima!$V$8:$AI$320,14,FALSE)),-999,VLOOKUP(A218,Clima!$V$8:$AI$219,14,FALSE))</f>
        <v>8.3000000000000007</v>
      </c>
      <c r="BA218" s="281">
        <f t="shared" si="161"/>
        <v>659.4</v>
      </c>
      <c r="BB218" s="281">
        <f t="shared" si="154"/>
        <v>8.3000000000000007</v>
      </c>
      <c r="BC218" s="281">
        <f t="shared" si="162"/>
        <v>659.4</v>
      </c>
      <c r="BD218" s="284">
        <f t="shared" si="175"/>
        <v>42189</v>
      </c>
    </row>
    <row r="219" spans="1:56" s="275" customFormat="1" ht="12.75">
      <c r="A219" s="273">
        <f t="shared" si="155"/>
        <v>42190</v>
      </c>
      <c r="B219" s="274">
        <f t="shared" si="165"/>
        <v>186</v>
      </c>
      <c r="C219" s="275" t="str">
        <f t="shared" si="166"/>
        <v>-</v>
      </c>
      <c r="D219" s="276">
        <f t="shared" si="167"/>
        <v>8.4</v>
      </c>
      <c r="E219" s="276">
        <f t="shared" si="168"/>
        <v>0.36032592568888899</v>
      </c>
      <c r="F219" s="276"/>
      <c r="G219" s="276">
        <f t="shared" si="169"/>
        <v>3.3661999999999997E-2</v>
      </c>
      <c r="H219" s="276">
        <f t="shared" si="170"/>
        <v>0.18366199999999999</v>
      </c>
      <c r="I219" s="276">
        <f t="shared" si="171"/>
        <v>1.267266</v>
      </c>
      <c r="J219" s="276">
        <f>IFERROR(IF($G$1="Sí",VLOOKUP($A219,CSVAgro,13,FALSE),VLOOKUP($A219,SWB!$C$15:$P$202,14,FALSE)),0)</f>
        <v>0</v>
      </c>
      <c r="K219" s="487">
        <f t="shared" si="172"/>
        <v>0</v>
      </c>
      <c r="L219" s="487">
        <f t="shared" si="139"/>
        <v>0</v>
      </c>
      <c r="M219" s="487">
        <f t="shared" si="140"/>
        <v>0</v>
      </c>
      <c r="N219" s="277">
        <f>IF(ISERROR($G$1="Sí"),VLOOKUP($A219,CSVAgro,16,FALSE),IF(ISERROR(VLOOKUP($A219,Clima!$W$8:$Z$284,2,FALSE)),VLOOKUP($A219,Clima!$E$8:$H$372,2,FALSE),VLOOKUP($A219,Clima!$W$8:$Z$284,2,FALSE)))</f>
        <v>27.8</v>
      </c>
      <c r="O219" s="276">
        <f t="shared" si="173"/>
        <v>479.46348815113794</v>
      </c>
      <c r="P219" s="276">
        <f t="shared" si="156"/>
        <v>174.50000000000006</v>
      </c>
      <c r="Q219" s="487">
        <f t="shared" si="142"/>
        <v>270</v>
      </c>
      <c r="R219" s="278">
        <f t="shared" si="157"/>
        <v>27.8</v>
      </c>
      <c r="S219" s="278">
        <f t="shared" si="149"/>
        <v>27.8</v>
      </c>
      <c r="T219" s="279">
        <f t="shared" si="143"/>
        <v>186</v>
      </c>
      <c r="U219" s="279">
        <f t="shared" si="163"/>
        <v>27</v>
      </c>
      <c r="V219" s="276">
        <f t="shared" si="150"/>
        <v>0</v>
      </c>
      <c r="W219" s="276">
        <f>IF(AND(S219&gt;VLOOKUP(Inputs!$I$2,Extracciones,3),S219&lt;VLOOKUP(Inputs!$I$2,Extracciones,5)),(S219-VLOOKUP(Inputs!$I$2,Extracciones,3))*Inputs!$E$12,0)</f>
        <v>0</v>
      </c>
      <c r="X219" s="278">
        <f>IF(AD219=0,VLOOKUP(R219,Mineral,2)*R219*Inputs!$C$16*Inputs!$E$37,VLOOKUP(R219,Mineral,2)*R219*Inputs!$C$16)</f>
        <v>0.27800000000000002</v>
      </c>
      <c r="Y219" s="278">
        <f>SUM(K219,M219)*Inputs!$O$8*14/(100*62)</f>
        <v>0</v>
      </c>
      <c r="Z219" s="278">
        <f t="shared" si="158"/>
        <v>0</v>
      </c>
      <c r="AA219" s="278">
        <f t="shared" si="159"/>
        <v>0</v>
      </c>
      <c r="AB219" s="279"/>
      <c r="AC219" s="278">
        <f t="shared" si="176"/>
        <v>0</v>
      </c>
      <c r="AD219" s="279">
        <f t="shared" si="145"/>
        <v>0</v>
      </c>
      <c r="AE219" s="278">
        <f t="shared" si="151"/>
        <v>-325.66049999999956</v>
      </c>
      <c r="AF219" s="278">
        <f t="shared" si="164"/>
        <v>52.378985734783456</v>
      </c>
      <c r="AG219" s="279">
        <f t="shared" si="174"/>
        <v>0</v>
      </c>
      <c r="AH219" s="279">
        <f>AF219*1000000/(Inputs!$C$9*100*Inputs!$C$8*1000*(1-Inputs!$C$10)*(1+Inputs!$C$12))</f>
        <v>10.479989142613737</v>
      </c>
      <c r="AI219" s="279">
        <f>IFERROR(HLOOKUP(A219,Inputs!$C$14:$C$15,2,FALSE),-100)</f>
        <v>-100</v>
      </c>
      <c r="AJ219" s="281">
        <f t="shared" si="147"/>
        <v>0</v>
      </c>
      <c r="AK219" s="282">
        <f t="shared" si="128"/>
        <v>100.11300000000004</v>
      </c>
      <c r="AL219" s="282">
        <f t="shared" si="129"/>
        <v>18.290322580645153</v>
      </c>
      <c r="AM219" s="282">
        <f t="shared" si="130"/>
        <v>-1.9838368458620446</v>
      </c>
      <c r="AN219" s="283">
        <f>IFERROR(IF($G$1="Sí",VLOOKUP($A219,CSVAgro,9,FALSE),VLOOKUP($A219,Clima!$E$8:$Q$373,13,FALSE)),0)</f>
        <v>6.6</v>
      </c>
      <c r="AO219" s="281">
        <f t="shared" si="160"/>
        <v>618.70000000000005</v>
      </c>
      <c r="AP219" s="281">
        <f>IFERROR(VLOOKUP($A219,'F TrB'!$C$3:$O$21,3,FALSE),-9999)</f>
        <v>-9999</v>
      </c>
      <c r="AQ219" s="281">
        <f t="shared" si="152"/>
        <v>-999</v>
      </c>
      <c r="AR219" s="281">
        <f>IFERROR(IF(VLOOKUP($A219,'F TrB'!$Q$3:$R$21,2,FALSE)=0,-99999,VLOOKUP($A219,'F TrB'!$Q$3:$R$21,2,FALSE)),-99999)</f>
        <v>-99999</v>
      </c>
      <c r="AS219" s="281">
        <f t="shared" si="153"/>
        <v>-99999</v>
      </c>
      <c r="AT219" s="281" t="str">
        <f>IFERROR(VLOOKUP($A219,'NDVI tipo'!$Q$8:$S$30,2,FALSE),"")</f>
        <v/>
      </c>
      <c r="AU219" s="281">
        <f>IF(ISERROR(VLOOKUP($A219,'NDVI tipo'!$Q$8:$S$50,2,FALSE)),AU218+VLOOKUP($A219,'NDVI tipo'!$Q$8:$S$50,3,TRUE),VLOOKUP($A219,'NDVI tipo'!$Q$8:$S$50,2,FALSE))</f>
        <v>0.31099855555555556</v>
      </c>
      <c r="AV219" s="281">
        <f>IFERROR(VLOOKUP($A219,'NDVI real'!$Q$8:$S$44,2,FALSE),-999)</f>
        <v>-999</v>
      </c>
      <c r="AW219" s="281">
        <f>IF(ISERROR(VLOOKUP($A219,'NDVI real'!$T$8:$U$350,2,FALSE)),"",VLOOKUP($A219,'NDVI real'!$T$8:$U$350,2,FALSE))</f>
        <v>0.31967078172839514</v>
      </c>
      <c r="AX219" s="286">
        <f>IFERROR(VLOOKUP($A219,SWB!$C$15:$BE$244,53,FALSE),"")</f>
        <v>14.842234297001852</v>
      </c>
      <c r="AY219" s="286">
        <f>IFERROR(VLOOKUP($A219,SWB!$C$15:$BE$244,55,FALSE),"")</f>
        <v>0</v>
      </c>
      <c r="AZ219" s="281">
        <f>IF(ISERROR(VLOOKUP($A219,Clima!$V$8:$AI$320,14,FALSE)),-999,VLOOKUP(A219,Clima!$V$8:$AI$219,14,FALSE))</f>
        <v>8.4</v>
      </c>
      <c r="BA219" s="281">
        <f t="shared" si="161"/>
        <v>667.8</v>
      </c>
      <c r="BB219" s="281">
        <f t="shared" si="154"/>
        <v>8.4</v>
      </c>
      <c r="BC219" s="281">
        <f t="shared" si="162"/>
        <v>667.8</v>
      </c>
      <c r="BD219" s="284">
        <f t="shared" si="175"/>
        <v>42190</v>
      </c>
    </row>
    <row r="220" spans="1:56" s="275" customFormat="1" ht="12.75">
      <c r="A220" s="273">
        <f t="shared" si="155"/>
        <v>42191</v>
      </c>
      <c r="B220" s="274">
        <f t="shared" si="165"/>
        <v>187</v>
      </c>
      <c r="C220" s="275" t="str">
        <f t="shared" si="166"/>
        <v>-</v>
      </c>
      <c r="D220" s="276">
        <f t="shared" si="167"/>
        <v>8.1999999999999993</v>
      </c>
      <c r="E220" s="276">
        <f t="shared" si="168"/>
        <v>0.35422222186666674</v>
      </c>
      <c r="F220" s="276"/>
      <c r="G220" s="276">
        <f t="shared" si="169"/>
        <v>1.6801E-2</v>
      </c>
      <c r="H220" s="276">
        <f t="shared" si="170"/>
        <v>0.166801</v>
      </c>
      <c r="I220" s="276">
        <f t="shared" si="171"/>
        <v>1.274357</v>
      </c>
      <c r="J220" s="276">
        <f>IFERROR(IF($G$1="Sí",VLOOKUP($A220,CSVAgro,13,FALSE),VLOOKUP($A220,SWB!$C$15:$P$202,14,FALSE)),0)</f>
        <v>0</v>
      </c>
      <c r="K220" s="487">
        <f t="shared" si="172"/>
        <v>0</v>
      </c>
      <c r="L220" s="487">
        <f t="shared" si="139"/>
        <v>0</v>
      </c>
      <c r="M220" s="487">
        <f t="shared" si="140"/>
        <v>0</v>
      </c>
      <c r="N220" s="277">
        <f>IF(ISERROR($G$1="Sí"),VLOOKUP($A220,CSVAgro,16,FALSE),IF(ISERROR(VLOOKUP($A220,Clima!$W$8:$Z$284,2,FALSE)),VLOOKUP($A220,Clima!$E$8:$H$372,2,FALSE),VLOOKUP($A220,Clima!$W$8:$Z$284,2,FALSE)))</f>
        <v>28.7</v>
      </c>
      <c r="O220" s="276">
        <f t="shared" si="173"/>
        <v>479.89369944252275</v>
      </c>
      <c r="P220" s="276">
        <f t="shared" si="156"/>
        <v>174.50000000000006</v>
      </c>
      <c r="Q220" s="487">
        <f t="shared" si="142"/>
        <v>270</v>
      </c>
      <c r="R220" s="278">
        <f t="shared" si="157"/>
        <v>28.7</v>
      </c>
      <c r="S220" s="278">
        <f t="shared" si="149"/>
        <v>28.7</v>
      </c>
      <c r="T220" s="279">
        <f t="shared" si="143"/>
        <v>187</v>
      </c>
      <c r="U220" s="279">
        <f t="shared" si="163"/>
        <v>28</v>
      </c>
      <c r="V220" s="276">
        <f t="shared" si="150"/>
        <v>0</v>
      </c>
      <c r="W220" s="276">
        <f>IF(AND(S220&gt;VLOOKUP(Inputs!$I$2,Extracciones,3),S220&lt;VLOOKUP(Inputs!$I$2,Extracciones,5)),(S220-VLOOKUP(Inputs!$I$2,Extracciones,3))*Inputs!$E$12,0)</f>
        <v>0</v>
      </c>
      <c r="X220" s="278">
        <f>IF(AD220=0,VLOOKUP(R220,Mineral,2)*R220*Inputs!$C$16*Inputs!$E$37,VLOOKUP(R220,Mineral,2)*R220*Inputs!$C$16)</f>
        <v>0.28700000000000003</v>
      </c>
      <c r="Y220" s="278">
        <f>SUM(K220,M220)*Inputs!$O$8*14/(100*62)</f>
        <v>0</v>
      </c>
      <c r="Z220" s="278">
        <f t="shared" si="158"/>
        <v>0</v>
      </c>
      <c r="AA220" s="278">
        <f t="shared" si="159"/>
        <v>0</v>
      </c>
      <c r="AB220" s="279"/>
      <c r="AC220" s="278">
        <f t="shared" si="176"/>
        <v>0</v>
      </c>
      <c r="AD220" s="279">
        <f t="shared" si="145"/>
        <v>0</v>
      </c>
      <c r="AE220" s="278">
        <f t="shared" si="151"/>
        <v>-325.66049999999956</v>
      </c>
      <c r="AF220" s="278">
        <f t="shared" si="164"/>
        <v>52.665985734783455</v>
      </c>
      <c r="AG220" s="279">
        <f t="shared" si="174"/>
        <v>0</v>
      </c>
      <c r="AH220" s="279">
        <f>AF220*1000000/(Inputs!$C$9*100*Inputs!$C$8*1000*(1-Inputs!$C$10)*(1+Inputs!$C$12))</f>
        <v>10.537412111801412</v>
      </c>
      <c r="AI220" s="279">
        <f>IFERROR(HLOOKUP(A220,Inputs!$C$14:$C$15,2,FALSE),-100)</f>
        <v>-100</v>
      </c>
      <c r="AJ220" s="281">
        <f t="shared" si="147"/>
        <v>0</v>
      </c>
      <c r="AK220" s="282">
        <f t="shared" si="128"/>
        <v>100.40000000000005</v>
      </c>
      <c r="AL220" s="282">
        <f t="shared" si="129"/>
        <v>18.290322580645153</v>
      </c>
      <c r="AM220" s="282">
        <f t="shared" si="130"/>
        <v>-1.9838368458620446</v>
      </c>
      <c r="AN220" s="283">
        <f>IFERROR(IF($G$1="Sí",VLOOKUP($A220,CSVAgro,9,FALSE),VLOOKUP($A220,Clima!$E$8:$Q$373,13,FALSE)),0)</f>
        <v>6.8</v>
      </c>
      <c r="AO220" s="281">
        <f t="shared" si="160"/>
        <v>625.5</v>
      </c>
      <c r="AP220" s="281">
        <f>IFERROR(VLOOKUP($A220,'F TrB'!$C$3:$O$21,3,FALSE),-9999)</f>
        <v>-9999</v>
      </c>
      <c r="AQ220" s="281">
        <f t="shared" si="152"/>
        <v>-999</v>
      </c>
      <c r="AR220" s="281">
        <f>IFERROR(IF(VLOOKUP($A220,'F TrB'!$Q$3:$R$21,2,FALSE)=0,-99999,VLOOKUP($A220,'F TrB'!$Q$3:$R$21,2,FALSE)),-99999)</f>
        <v>-99999</v>
      </c>
      <c r="AS220" s="281">
        <f t="shared" si="153"/>
        <v>-99999</v>
      </c>
      <c r="AT220" s="281" t="str">
        <f>IFERROR(VLOOKUP($A220,'NDVI tipo'!$Q$8:$S$30,2,FALSE),"")</f>
        <v/>
      </c>
      <c r="AU220" s="281">
        <f>IF(ISERROR(VLOOKUP($A220,'NDVI tipo'!$Q$8:$S$50,2,FALSE)),AU219+VLOOKUP($A220,'NDVI tipo'!$Q$8:$S$50,3,TRUE),VLOOKUP($A220,'NDVI tipo'!$Q$8:$S$50,2,FALSE))</f>
        <v>0.30937766666666666</v>
      </c>
      <c r="AV220" s="281">
        <f>IFERROR(VLOOKUP($A220,'NDVI real'!$Q$8:$S$44,2,FALSE),-999)</f>
        <v>-999</v>
      </c>
      <c r="AW220" s="281">
        <f>IF(ISERROR(VLOOKUP($A220,'NDVI real'!$T$8:$U$350,2,FALSE)),"",VLOOKUP($A220,'NDVI real'!$T$8:$U$350,2,FALSE))</f>
        <v>0.31543209851851861</v>
      </c>
      <c r="AX220" s="286">
        <f>IFERROR(VLOOKUP($A220,SWB!$C$15:$BE$244,53,FALSE),"")</f>
        <v>14.842234297001852</v>
      </c>
      <c r="AY220" s="286">
        <f>IFERROR(VLOOKUP($A220,SWB!$C$15:$BE$244,55,FALSE),"")</f>
        <v>0</v>
      </c>
      <c r="AZ220" s="281">
        <f>IF(ISERROR(VLOOKUP($A220,Clima!$V$8:$AI$320,14,FALSE)),-999,VLOOKUP(A220,Clima!$V$8:$AI$219,14,FALSE))</f>
        <v>8.1999999999999993</v>
      </c>
      <c r="BA220" s="281">
        <f t="shared" si="161"/>
        <v>676</v>
      </c>
      <c r="BB220" s="281">
        <f t="shared" si="154"/>
        <v>8.1999999999999993</v>
      </c>
      <c r="BC220" s="281">
        <f t="shared" si="162"/>
        <v>676</v>
      </c>
      <c r="BD220" s="284">
        <f t="shared" si="175"/>
        <v>42191</v>
      </c>
    </row>
    <row r="221" spans="1:56" s="275" customFormat="1" ht="12.75">
      <c r="A221" s="273">
        <f t="shared" si="155"/>
        <v>42192</v>
      </c>
      <c r="B221" s="274">
        <f t="shared" si="165"/>
        <v>188</v>
      </c>
      <c r="C221" s="275" t="str">
        <f t="shared" si="166"/>
        <v>-</v>
      </c>
      <c r="D221" s="276">
        <f t="shared" si="167"/>
        <v>7.3</v>
      </c>
      <c r="E221" s="276">
        <f t="shared" si="168"/>
        <v>0.3481185180444446</v>
      </c>
      <c r="F221" s="276"/>
      <c r="G221" s="276">
        <f t="shared" si="169"/>
        <v>6.4920000000000004E-3</v>
      </c>
      <c r="H221" s="276">
        <f t="shared" si="170"/>
        <v>0.15649199999999999</v>
      </c>
      <c r="I221" s="276">
        <f t="shared" si="171"/>
        <v>1.292624</v>
      </c>
      <c r="J221" s="276">
        <f>IFERROR(IF($G$1="Sí",VLOOKUP($A221,CSVAgro,13,FALSE),VLOOKUP($A221,SWB!$C$15:$P$202,14,FALSE)),0)</f>
        <v>0</v>
      </c>
      <c r="K221" s="487">
        <f t="shared" si="172"/>
        <v>0</v>
      </c>
      <c r="L221" s="487">
        <f t="shared" si="139"/>
        <v>0</v>
      </c>
      <c r="M221" s="487">
        <f t="shared" si="140"/>
        <v>0</v>
      </c>
      <c r="N221" s="277">
        <f>IF(ISERROR($G$1="Sí"),VLOOKUP($A221,CSVAgro,16,FALSE),IF(ISERROR(VLOOKUP($A221,Clima!$W$8:$Z$284,2,FALSE)),VLOOKUP($A221,Clima!$E$8:$H$372,2,FALSE),VLOOKUP($A221,Clima!$W$8:$Z$284,2,FALSE)))</f>
        <v>29.5</v>
      </c>
      <c r="O221" s="276">
        <f t="shared" si="173"/>
        <v>480.28436709868288</v>
      </c>
      <c r="P221" s="276">
        <f t="shared" si="156"/>
        <v>174.50000000000006</v>
      </c>
      <c r="Q221" s="487">
        <f t="shared" si="142"/>
        <v>270</v>
      </c>
      <c r="R221" s="278">
        <f t="shared" si="157"/>
        <v>29.5</v>
      </c>
      <c r="S221" s="278">
        <f t="shared" si="149"/>
        <v>29.5</v>
      </c>
      <c r="T221" s="279">
        <f t="shared" si="143"/>
        <v>188</v>
      </c>
      <c r="U221" s="279">
        <f t="shared" si="163"/>
        <v>28</v>
      </c>
      <c r="V221" s="276">
        <f t="shared" si="150"/>
        <v>0</v>
      </c>
      <c r="W221" s="276">
        <f>IF(AND(S221&gt;VLOOKUP(Inputs!$I$2,Extracciones,3),S221&lt;VLOOKUP(Inputs!$I$2,Extracciones,5)),(S221-VLOOKUP(Inputs!$I$2,Extracciones,3))*Inputs!$E$12,0)</f>
        <v>0</v>
      </c>
      <c r="X221" s="278">
        <f>IF(AD221=0,VLOOKUP(R221,Mineral,2)*R221*Inputs!$C$16*Inputs!$E$37,VLOOKUP(R221,Mineral,2)*R221*Inputs!$C$16)</f>
        <v>0.29500000000000004</v>
      </c>
      <c r="Y221" s="278">
        <f>SUM(K221,M221)*Inputs!$O$8*14/(100*62)</f>
        <v>0</v>
      </c>
      <c r="Z221" s="278">
        <f t="shared" si="158"/>
        <v>0</v>
      </c>
      <c r="AA221" s="278">
        <f t="shared" si="159"/>
        <v>0</v>
      </c>
      <c r="AB221" s="279"/>
      <c r="AC221" s="278">
        <f t="shared" si="176"/>
        <v>0</v>
      </c>
      <c r="AD221" s="279">
        <f t="shared" si="145"/>
        <v>0</v>
      </c>
      <c r="AE221" s="278">
        <f t="shared" si="151"/>
        <v>-325.66049999999956</v>
      </c>
      <c r="AF221" s="278">
        <f t="shared" si="164"/>
        <v>52.960985734783456</v>
      </c>
      <c r="AG221" s="279">
        <f t="shared" si="174"/>
        <v>0</v>
      </c>
      <c r="AH221" s="279">
        <f>AF221*1000000/(Inputs!$C$9*100*Inputs!$C$8*1000*(1-Inputs!$C$10)*(1+Inputs!$C$12))</f>
        <v>10.596435721245189</v>
      </c>
      <c r="AI221" s="279">
        <f>IFERROR(HLOOKUP(A221,Inputs!$C$14:$C$15,2,FALSE),-100)</f>
        <v>-100</v>
      </c>
      <c r="AJ221" s="281">
        <f t="shared" si="147"/>
        <v>0</v>
      </c>
      <c r="AK221" s="282">
        <f t="shared" ref="AK221:AK228" si="177">X221+AK220</f>
        <v>100.69500000000005</v>
      </c>
      <c r="AL221" s="282">
        <f t="shared" ref="AL221:AL228" si="178">Y221+AL220</f>
        <v>18.290322580645153</v>
      </c>
      <c r="AM221" s="282">
        <f t="shared" ref="AM221:AM228" si="179">AC221+AM220</f>
        <v>-1.9838368458620446</v>
      </c>
      <c r="AN221" s="283">
        <f>IFERROR(IF($G$1="Sí",VLOOKUP($A221,CSVAgro,9,FALSE),VLOOKUP($A221,Clima!$E$8:$Q$373,13,FALSE)),0)</f>
        <v>8.1</v>
      </c>
      <c r="AO221" s="281">
        <f t="shared" si="160"/>
        <v>633.6</v>
      </c>
      <c r="AP221" s="281">
        <f>IFERROR(VLOOKUP($A221,'F TrB'!$C$3:$O$21,3,FALSE),-9999)</f>
        <v>-9999</v>
      </c>
      <c r="AQ221" s="281">
        <f t="shared" si="152"/>
        <v>-999</v>
      </c>
      <c r="AR221" s="281">
        <f>IFERROR(IF(VLOOKUP($A221,'F TrB'!$Q$3:$R$21,2,FALSE)=0,-99999,VLOOKUP($A221,'F TrB'!$Q$3:$R$21,2,FALSE)),-99999)</f>
        <v>-99999</v>
      </c>
      <c r="AS221" s="281">
        <f t="shared" si="153"/>
        <v>-99999</v>
      </c>
      <c r="AT221" s="281" t="str">
        <f>IFERROR(VLOOKUP($A221,'NDVI tipo'!$Q$8:$S$30,2,FALSE),"")</f>
        <v/>
      </c>
      <c r="AU221" s="281">
        <f>IF(ISERROR(VLOOKUP($A221,'NDVI tipo'!$Q$8:$S$50,2,FALSE)),AU220+VLOOKUP($A221,'NDVI tipo'!$Q$8:$S$50,3,TRUE),VLOOKUP($A221,'NDVI tipo'!$Q$8:$S$50,2,FALSE))</f>
        <v>0.30775677777777777</v>
      </c>
      <c r="AV221" s="281">
        <f>IFERROR(VLOOKUP($A221,'NDVI real'!$Q$8:$S$44,2,FALSE),-999)</f>
        <v>-999</v>
      </c>
      <c r="AW221" s="281">
        <f>IF(ISERROR(VLOOKUP($A221,'NDVI real'!$T$8:$U$350,2,FALSE)),"",VLOOKUP($A221,'NDVI real'!$T$8:$U$350,2,FALSE))</f>
        <v>0.31119341530864209</v>
      </c>
      <c r="AX221" s="286">
        <f>IFERROR(VLOOKUP($A221,SWB!$C$15:$BE$244,53,FALSE),"")</f>
        <v>14.842234297001852</v>
      </c>
      <c r="AY221" s="286">
        <f>IFERROR(VLOOKUP($A221,SWB!$C$15:$BE$244,55,FALSE),"")</f>
        <v>0</v>
      </c>
      <c r="AZ221" s="281">
        <f>IF(ISERROR(VLOOKUP($A221,Clima!$V$8:$AI$320,14,FALSE)),-999,VLOOKUP(A221,Clima!$V$8:$AI$219,14,FALSE))</f>
        <v>7.3</v>
      </c>
      <c r="BA221" s="281">
        <f t="shared" si="161"/>
        <v>683.3</v>
      </c>
      <c r="BB221" s="281">
        <f t="shared" si="154"/>
        <v>7.3</v>
      </c>
      <c r="BC221" s="281">
        <f t="shared" si="162"/>
        <v>683.3</v>
      </c>
      <c r="BD221" s="284">
        <f t="shared" si="175"/>
        <v>42192</v>
      </c>
    </row>
    <row r="222" spans="1:56" s="275" customFormat="1" ht="12.75">
      <c r="A222" s="273">
        <f t="shared" si="155"/>
        <v>42193</v>
      </c>
      <c r="B222" s="274">
        <f t="shared" si="165"/>
        <v>189</v>
      </c>
      <c r="C222" s="275" t="str">
        <f t="shared" si="166"/>
        <v>-</v>
      </c>
      <c r="D222" s="276">
        <f t="shared" si="167"/>
        <v>8.6</v>
      </c>
      <c r="E222" s="276">
        <f t="shared" si="168"/>
        <v>0.34201481422222235</v>
      </c>
      <c r="F222" s="276"/>
      <c r="G222" s="276">
        <f t="shared" si="169"/>
        <v>2.0939999999999999E-3</v>
      </c>
      <c r="H222" s="276">
        <f t="shared" si="170"/>
        <v>0.15209400000000001</v>
      </c>
      <c r="I222" s="276">
        <f t="shared" si="171"/>
        <v>1.271509</v>
      </c>
      <c r="J222" s="276">
        <f>IFERROR(IF($G$1="Sí",VLOOKUP($A222,CSVAgro,13,FALSE),VLOOKUP($A222,SWB!$C$15:$P$202,14,FALSE)),0)</f>
        <v>0</v>
      </c>
      <c r="K222" s="487">
        <f t="shared" si="172"/>
        <v>0</v>
      </c>
      <c r="L222" s="487">
        <f t="shared" si="139"/>
        <v>0</v>
      </c>
      <c r="M222" s="487">
        <f t="shared" si="140"/>
        <v>0</v>
      </c>
      <c r="N222" s="277">
        <f>IF(ISERROR($G$1="Sí"),VLOOKUP($A222,CSVAgro,16,FALSE),IF(ISERROR(VLOOKUP($A222,Clima!$W$8:$Z$284,2,FALSE)),VLOOKUP($A222,Clima!$E$8:$H$372,2,FALSE),VLOOKUP($A222,Clima!$W$8:$Z$284,2,FALSE)))</f>
        <v>29.6</v>
      </c>
      <c r="O222" s="276">
        <f t="shared" si="173"/>
        <v>480.56996833679904</v>
      </c>
      <c r="P222" s="276">
        <f t="shared" si="156"/>
        <v>174.50000000000006</v>
      </c>
      <c r="Q222" s="487">
        <f t="shared" si="142"/>
        <v>270</v>
      </c>
      <c r="R222" s="278">
        <f t="shared" si="157"/>
        <v>29.6</v>
      </c>
      <c r="S222" s="278">
        <f t="shared" si="149"/>
        <v>29.6</v>
      </c>
      <c r="T222" s="279">
        <f t="shared" si="143"/>
        <v>189</v>
      </c>
      <c r="U222" s="279">
        <f t="shared" si="163"/>
        <v>28</v>
      </c>
      <c r="V222" s="276">
        <f t="shared" si="150"/>
        <v>0</v>
      </c>
      <c r="W222" s="276">
        <f>IF(AND(S222&gt;VLOOKUP(Inputs!$I$2,Extracciones,3),S222&lt;VLOOKUP(Inputs!$I$2,Extracciones,5)),(S222-VLOOKUP(Inputs!$I$2,Extracciones,3))*Inputs!$E$12,0)</f>
        <v>0</v>
      </c>
      <c r="X222" s="278">
        <f>IF(AD222=0,VLOOKUP(R222,Mineral,2)*R222*Inputs!$C$16*Inputs!$E$37,VLOOKUP(R222,Mineral,2)*R222*Inputs!$C$16)</f>
        <v>0.29600000000000004</v>
      </c>
      <c r="Y222" s="278">
        <f>SUM(K222,M222)*Inputs!$O$8*14/(100*62)</f>
        <v>0</v>
      </c>
      <c r="Z222" s="278">
        <f t="shared" si="158"/>
        <v>0</v>
      </c>
      <c r="AA222" s="278">
        <f t="shared" si="159"/>
        <v>0</v>
      </c>
      <c r="AB222" s="279"/>
      <c r="AC222" s="278">
        <f t="shared" si="176"/>
        <v>0</v>
      </c>
      <c r="AD222" s="279">
        <f t="shared" si="145"/>
        <v>0</v>
      </c>
      <c r="AE222" s="278">
        <f t="shared" si="151"/>
        <v>-325.66049999999956</v>
      </c>
      <c r="AF222" s="278">
        <f t="shared" si="164"/>
        <v>53.256985734783456</v>
      </c>
      <c r="AG222" s="279">
        <f t="shared" si="174"/>
        <v>0</v>
      </c>
      <c r="AH222" s="279">
        <f>AF222*1000000/(Inputs!$C$9*100*Inputs!$C$8*1000*(1-Inputs!$C$10)*(1+Inputs!$C$12))</f>
        <v>10.655659410720979</v>
      </c>
      <c r="AI222" s="279">
        <f>IFERROR(HLOOKUP(A222,Inputs!$C$14:$C$15,2,FALSE),-100)</f>
        <v>-100</v>
      </c>
      <c r="AJ222" s="281">
        <f t="shared" si="147"/>
        <v>0</v>
      </c>
      <c r="AK222" s="282">
        <f t="shared" si="177"/>
        <v>100.99100000000006</v>
      </c>
      <c r="AL222" s="282">
        <f t="shared" si="178"/>
        <v>18.290322580645153</v>
      </c>
      <c r="AM222" s="282">
        <f t="shared" si="179"/>
        <v>-1.9838368458620446</v>
      </c>
      <c r="AN222" s="283">
        <f>IFERROR(IF($G$1="Sí",VLOOKUP($A222,CSVAgro,9,FALSE),VLOOKUP($A222,Clima!$E$8:$Q$373,13,FALSE)),0)</f>
        <v>4.7</v>
      </c>
      <c r="AO222" s="281">
        <f t="shared" si="160"/>
        <v>638.30000000000007</v>
      </c>
      <c r="AP222" s="281">
        <f>IFERROR(VLOOKUP($A222,'F TrB'!$C$3:$O$21,3,FALSE),-9999)</f>
        <v>-9999</v>
      </c>
      <c r="AQ222" s="281">
        <f t="shared" si="152"/>
        <v>-999</v>
      </c>
      <c r="AR222" s="281">
        <f>IFERROR(IF(VLOOKUP($A222,'F TrB'!$Q$3:$R$21,2,FALSE)=0,-99999,VLOOKUP($A222,'F TrB'!$Q$3:$R$21,2,FALSE)),-99999)</f>
        <v>-99999</v>
      </c>
      <c r="AS222" s="281">
        <f t="shared" si="153"/>
        <v>-99999</v>
      </c>
      <c r="AT222" s="281" t="str">
        <f>IFERROR(VLOOKUP($A222,'NDVI tipo'!$Q$8:$S$30,2,FALSE),"")</f>
        <v/>
      </c>
      <c r="AU222" s="281">
        <f>IF(ISERROR(VLOOKUP($A222,'NDVI tipo'!$Q$8:$S$50,2,FALSE)),AU221+VLOOKUP($A222,'NDVI tipo'!$Q$8:$S$50,3,TRUE),VLOOKUP($A222,'NDVI tipo'!$Q$8:$S$50,2,FALSE))</f>
        <v>0.30613588888888887</v>
      </c>
      <c r="AV222" s="281">
        <f>IFERROR(VLOOKUP($A222,'NDVI real'!$Q$8:$S$44,2,FALSE),-999)</f>
        <v>-999</v>
      </c>
      <c r="AW222" s="281">
        <f>IF(ISERROR(VLOOKUP($A222,'NDVI real'!$T$8:$U$350,2,FALSE)),"",VLOOKUP($A222,'NDVI real'!$T$8:$U$350,2,FALSE))</f>
        <v>0.30695473209876556</v>
      </c>
      <c r="AX222" s="286">
        <f>IFERROR(VLOOKUP($A222,SWB!$C$15:$BE$244,53,FALSE),"")</f>
        <v>14.842234297001852</v>
      </c>
      <c r="AY222" s="286">
        <f>IFERROR(VLOOKUP($A222,SWB!$C$15:$BE$244,55,FALSE),"")</f>
        <v>0</v>
      </c>
      <c r="AZ222" s="281">
        <f>IF(ISERROR(VLOOKUP($A222,Clima!$V$8:$AI$320,14,FALSE)),-999,VLOOKUP(A222,Clima!$V$8:$AI$219,14,FALSE))</f>
        <v>8.6</v>
      </c>
      <c r="BA222" s="281">
        <f t="shared" si="161"/>
        <v>691.9</v>
      </c>
      <c r="BB222" s="281">
        <f t="shared" si="154"/>
        <v>8.6</v>
      </c>
      <c r="BC222" s="281">
        <f t="shared" si="162"/>
        <v>691.9</v>
      </c>
      <c r="BD222" s="284">
        <f t="shared" si="175"/>
        <v>42193</v>
      </c>
    </row>
    <row r="223" spans="1:56" s="275" customFormat="1" ht="12.75">
      <c r="A223" s="273">
        <f t="shared" si="155"/>
        <v>42194</v>
      </c>
      <c r="B223" s="274">
        <f t="shared" si="165"/>
        <v>190</v>
      </c>
      <c r="C223" s="275" t="str">
        <f t="shared" si="166"/>
        <v>-</v>
      </c>
      <c r="D223" s="276">
        <f t="shared" si="167"/>
        <v>8.1</v>
      </c>
      <c r="E223" s="276">
        <f t="shared" si="168"/>
        <v>0.33591111039999999</v>
      </c>
      <c r="F223" s="276"/>
      <c r="G223" s="276">
        <f t="shared" si="169"/>
        <v>6.4599999999999998E-4</v>
      </c>
      <c r="H223" s="276">
        <f t="shared" si="170"/>
        <v>0.150646</v>
      </c>
      <c r="I223" s="276">
        <f t="shared" si="171"/>
        <v>1.233792</v>
      </c>
      <c r="J223" s="276">
        <f>IFERROR(IF($G$1="Sí",VLOOKUP($A223,CSVAgro,13,FALSE),VLOOKUP($A223,SWB!$C$15:$P$202,14,FALSE)),0)</f>
        <v>0</v>
      </c>
      <c r="K223" s="487">
        <f t="shared" si="172"/>
        <v>0</v>
      </c>
      <c r="L223" s="487">
        <f t="shared" si="139"/>
        <v>0</v>
      </c>
      <c r="M223" s="487">
        <f t="shared" si="140"/>
        <v>0</v>
      </c>
      <c r="N223" s="277">
        <f>IF(ISERROR($G$1="Sí"),VLOOKUP($A223,CSVAgro,16,FALSE),IF(ISERROR(VLOOKUP($A223,Clima!$W$8:$Z$284,2,FALSE)),VLOOKUP($A223,Clima!$E$8:$H$372,2,FALSE),VLOOKUP($A223,Clima!$W$8:$Z$284,2,FALSE)))</f>
        <v>27</v>
      </c>
      <c r="O223" s="276">
        <f t="shared" si="173"/>
        <v>480.86454583764413</v>
      </c>
      <c r="P223" s="276">
        <f t="shared" si="156"/>
        <v>174.50000000000006</v>
      </c>
      <c r="Q223" s="487">
        <f t="shared" si="142"/>
        <v>270</v>
      </c>
      <c r="R223" s="278">
        <f t="shared" si="157"/>
        <v>27</v>
      </c>
      <c r="S223" s="278">
        <f t="shared" si="149"/>
        <v>27</v>
      </c>
      <c r="T223" s="279">
        <f t="shared" si="143"/>
        <v>190</v>
      </c>
      <c r="U223" s="279">
        <f t="shared" si="163"/>
        <v>28</v>
      </c>
      <c r="V223" s="276">
        <f t="shared" si="150"/>
        <v>0</v>
      </c>
      <c r="W223" s="276">
        <f>IF(AND(S223&gt;VLOOKUP(Inputs!$I$2,Extracciones,3),S223&lt;VLOOKUP(Inputs!$I$2,Extracciones,5)),(S223-VLOOKUP(Inputs!$I$2,Extracciones,3))*Inputs!$E$12,0)</f>
        <v>0</v>
      </c>
      <c r="X223" s="278">
        <f>IF(AD223=0,VLOOKUP(R223,Mineral,2)*R223*Inputs!$C$16*Inputs!$E$37,VLOOKUP(R223,Mineral,2)*R223*Inputs!$C$16)</f>
        <v>0.27</v>
      </c>
      <c r="Y223" s="278">
        <f>SUM(K223,M223)*Inputs!$O$8*14/(100*62)</f>
        <v>0</v>
      </c>
      <c r="Z223" s="278">
        <f t="shared" si="158"/>
        <v>0</v>
      </c>
      <c r="AA223" s="278">
        <f t="shared" si="159"/>
        <v>0</v>
      </c>
      <c r="AB223" s="279"/>
      <c r="AC223" s="278">
        <f t="shared" si="176"/>
        <v>0</v>
      </c>
      <c r="AD223" s="279">
        <f t="shared" si="145"/>
        <v>0</v>
      </c>
      <c r="AE223" s="278">
        <f t="shared" si="151"/>
        <v>-325.66049999999956</v>
      </c>
      <c r="AF223" s="278">
        <f t="shared" si="164"/>
        <v>53.526985734783459</v>
      </c>
      <c r="AG223" s="279">
        <f t="shared" si="174"/>
        <v>0</v>
      </c>
      <c r="AH223" s="279">
        <f>AF223*1000000/(Inputs!$C$9*100*Inputs!$C$8*1000*(1-Inputs!$C$10)*(1+Inputs!$C$12))</f>
        <v>10.709681019364437</v>
      </c>
      <c r="AI223" s="279">
        <f>IFERROR(HLOOKUP(A223,Inputs!$C$14:$C$15,2,FALSE),-100)</f>
        <v>-100</v>
      </c>
      <c r="AJ223" s="281">
        <f t="shared" si="147"/>
        <v>0</v>
      </c>
      <c r="AK223" s="282">
        <f t="shared" si="177"/>
        <v>101.26100000000005</v>
      </c>
      <c r="AL223" s="282">
        <f t="shared" si="178"/>
        <v>18.290322580645153</v>
      </c>
      <c r="AM223" s="282">
        <f t="shared" si="179"/>
        <v>-1.9838368458620446</v>
      </c>
      <c r="AN223" s="283">
        <f>IFERROR(IF($G$1="Sí",VLOOKUP($A223,CSVAgro,9,FALSE),VLOOKUP($A223,Clima!$E$8:$Q$373,13,FALSE)),0)</f>
        <v>6.2</v>
      </c>
      <c r="AO223" s="281">
        <f t="shared" si="160"/>
        <v>644.50000000000011</v>
      </c>
      <c r="AP223" s="281">
        <f>IFERROR(VLOOKUP($A223,'F TrB'!$C$3:$O$21,3,FALSE),-9999)</f>
        <v>-9999</v>
      </c>
      <c r="AQ223" s="281">
        <f t="shared" si="152"/>
        <v>-999</v>
      </c>
      <c r="AR223" s="281">
        <f>IFERROR(IF(VLOOKUP($A223,'F TrB'!$Q$3:$R$21,2,FALSE)=0,-99999,VLOOKUP($A223,'F TrB'!$Q$3:$R$21,2,FALSE)),-99999)</f>
        <v>-99999</v>
      </c>
      <c r="AS223" s="281">
        <f t="shared" si="153"/>
        <v>-99999</v>
      </c>
      <c r="AT223" s="281">
        <f>IFERROR(VLOOKUP($A223,'NDVI tipo'!$Q$8:$S$30,2,FALSE),"")</f>
        <v>0.30451499999999998</v>
      </c>
      <c r="AU223" s="281">
        <f>IF(ISERROR(VLOOKUP($A223,'NDVI tipo'!$Q$8:$S$50,2,FALSE)),AU222+VLOOKUP($A223,'NDVI tipo'!$Q$8:$S$50,3,TRUE),VLOOKUP($A223,'NDVI tipo'!$Q$8:$S$50,2,FALSE))</f>
        <v>0.30451499999999998</v>
      </c>
      <c r="AV223" s="281">
        <f>IFERROR(VLOOKUP($A223,'NDVI real'!$Q$8:$S$44,2,FALSE),-999)</f>
        <v>0.30271604888888887</v>
      </c>
      <c r="AW223" s="281">
        <f>IF(ISERROR(VLOOKUP($A223,'NDVI real'!$T$8:$U$350,2,FALSE)),"",VLOOKUP($A223,'NDVI real'!$T$8:$U$350,2,FALSE))</f>
        <v>0.30271604888888887</v>
      </c>
      <c r="AX223" s="286">
        <f>IFERROR(VLOOKUP($A223,SWB!$C$15:$BE$244,53,FALSE),"")</f>
        <v>14.842234297001852</v>
      </c>
      <c r="AY223" s="286">
        <f>IFERROR(VLOOKUP($A223,SWB!$C$15:$BE$244,55,FALSE),"")</f>
        <v>0</v>
      </c>
      <c r="AZ223" s="281">
        <f>IF(ISERROR(VLOOKUP($A223,Clima!$V$8:$AI$320,14,FALSE)),-999,VLOOKUP(A223,Clima!$V$8:$AI$219,14,FALSE))</f>
        <v>8.1</v>
      </c>
      <c r="BA223" s="281">
        <f t="shared" si="161"/>
        <v>700</v>
      </c>
      <c r="BB223" s="281">
        <f t="shared" si="154"/>
        <v>8.1</v>
      </c>
      <c r="BC223" s="281">
        <f t="shared" si="162"/>
        <v>700</v>
      </c>
      <c r="BD223" s="284">
        <f t="shared" si="175"/>
        <v>42194</v>
      </c>
    </row>
    <row r="224" spans="1:56" s="275" customFormat="1" ht="12.75">
      <c r="A224" s="273">
        <f t="shared" si="155"/>
        <v>42195</v>
      </c>
      <c r="B224" s="274">
        <f t="shared" si="165"/>
        <v>191</v>
      </c>
      <c r="C224" s="275" t="str">
        <f t="shared" si="166"/>
        <v>-</v>
      </c>
      <c r="D224" s="276">
        <f t="shared" si="167"/>
        <v>7.8</v>
      </c>
      <c r="E224" s="276">
        <f t="shared" si="168"/>
        <v>0.33616507885714275</v>
      </c>
      <c r="F224" s="276"/>
      <c r="G224" s="276">
        <f t="shared" si="169"/>
        <v>2.0799999999999999E-4</v>
      </c>
      <c r="H224" s="276">
        <f t="shared" si="170"/>
        <v>0.15020800000000001</v>
      </c>
      <c r="I224" s="276">
        <f t="shared" si="171"/>
        <v>1.1010230000000001</v>
      </c>
      <c r="J224" s="276">
        <f>IFERROR(IF($G$1="Sí",VLOOKUP($A224,CSVAgro,13,FALSE),VLOOKUP($A224,SWB!$C$15:$P$202,14,FALSE)),0)</f>
        <v>0</v>
      </c>
      <c r="K224" s="487">
        <f t="shared" si="172"/>
        <v>0</v>
      </c>
      <c r="L224" s="487">
        <f t="shared" si="139"/>
        <v>0</v>
      </c>
      <c r="M224" s="487">
        <f t="shared" si="140"/>
        <v>0</v>
      </c>
      <c r="N224" s="277">
        <f>IF(ISERROR($G$1="Sí"),VLOOKUP($A224,CSVAgro,16,FALSE),IF(ISERROR(VLOOKUP($A224,Clima!$W$8:$Z$284,2,FALSE)),VLOOKUP($A224,Clima!$E$8:$H$372,2,FALSE),VLOOKUP($A224,Clima!$W$8:$Z$284,2,FALSE)))</f>
        <v>27.5</v>
      </c>
      <c r="O224" s="276">
        <f t="shared" si="173"/>
        <v>481.13406427287242</v>
      </c>
      <c r="P224" s="276">
        <f t="shared" si="156"/>
        <v>174.50000000000006</v>
      </c>
      <c r="Q224" s="487">
        <f t="shared" si="142"/>
        <v>270</v>
      </c>
      <c r="R224" s="278">
        <f t="shared" si="157"/>
        <v>27.5</v>
      </c>
      <c r="S224" s="278">
        <f t="shared" si="149"/>
        <v>27.5</v>
      </c>
      <c r="T224" s="279">
        <f t="shared" si="143"/>
        <v>191</v>
      </c>
      <c r="U224" s="279">
        <f t="shared" si="163"/>
        <v>28</v>
      </c>
      <c r="V224" s="276">
        <f t="shared" si="150"/>
        <v>0</v>
      </c>
      <c r="W224" s="276">
        <f>IF(AND(S224&gt;VLOOKUP(Inputs!$I$2,Extracciones,3),S224&lt;VLOOKUP(Inputs!$I$2,Extracciones,5)),(S224-VLOOKUP(Inputs!$I$2,Extracciones,3))*Inputs!$E$12,0)</f>
        <v>0</v>
      </c>
      <c r="X224" s="278">
        <f>IF(AD224=0,VLOOKUP(R224,Mineral,2)*R224*Inputs!$C$16*Inputs!$E$37,VLOOKUP(R224,Mineral,2)*R224*Inputs!$C$16)</f>
        <v>0.27500000000000002</v>
      </c>
      <c r="Y224" s="278">
        <f>SUM(K224,M224)*Inputs!$O$8*14/(100*62)</f>
        <v>0</v>
      </c>
      <c r="Z224" s="278">
        <f t="shared" si="158"/>
        <v>0</v>
      </c>
      <c r="AA224" s="278">
        <f t="shared" si="159"/>
        <v>0</v>
      </c>
      <c r="AB224" s="279"/>
      <c r="AC224" s="278">
        <f t="shared" si="176"/>
        <v>0</v>
      </c>
      <c r="AD224" s="279">
        <f t="shared" si="145"/>
        <v>0</v>
      </c>
      <c r="AE224" s="278">
        <f t="shared" si="151"/>
        <v>-325.66049999999956</v>
      </c>
      <c r="AF224" s="278">
        <f t="shared" si="164"/>
        <v>53.801985734783457</v>
      </c>
      <c r="AG224" s="279">
        <f t="shared" si="174"/>
        <v>0</v>
      </c>
      <c r="AH224" s="279">
        <f>AF224*1000000/(Inputs!$C$9*100*Inputs!$C$8*1000*(1-Inputs!$C$10)*(1+Inputs!$C$12))</f>
        <v>10.764703028167958</v>
      </c>
      <c r="AI224" s="279">
        <f>IFERROR(HLOOKUP(A224,Inputs!$C$14:$C$15,2,FALSE),-100)</f>
        <v>-100</v>
      </c>
      <c r="AJ224" s="281">
        <f t="shared" si="147"/>
        <v>0</v>
      </c>
      <c r="AK224" s="282">
        <f t="shared" si="177"/>
        <v>101.53600000000006</v>
      </c>
      <c r="AL224" s="282">
        <f t="shared" si="178"/>
        <v>18.290322580645153</v>
      </c>
      <c r="AM224" s="282">
        <f t="shared" si="179"/>
        <v>-1.9838368458620446</v>
      </c>
      <c r="AN224" s="283">
        <f>IFERROR(IF($G$1="Sí",VLOOKUP($A224,CSVAgro,9,FALSE),VLOOKUP($A224,Clima!$E$8:$Q$373,13,FALSE)),0)</f>
        <v>7</v>
      </c>
      <c r="AO224" s="281">
        <f t="shared" si="160"/>
        <v>651.50000000000011</v>
      </c>
      <c r="AP224" s="281">
        <f>IFERROR(VLOOKUP($A224,'F TrB'!$C$3:$O$21,3,FALSE),-9999)</f>
        <v>-9999</v>
      </c>
      <c r="AQ224" s="281">
        <f t="shared" si="152"/>
        <v>-999</v>
      </c>
      <c r="AR224" s="281">
        <f>IFERROR(IF(VLOOKUP($A224,'F TrB'!$Q$3:$R$21,2,FALSE)=0,-99999,VLOOKUP($A224,'F TrB'!$Q$3:$R$21,2,FALSE)),-99999)</f>
        <v>-99999</v>
      </c>
      <c r="AS224" s="281">
        <f t="shared" si="153"/>
        <v>-99999</v>
      </c>
      <c r="AT224" s="281" t="str">
        <f>IFERROR(VLOOKUP($A224,'NDVI tipo'!$Q$8:$S$30,2,FALSE),"")</f>
        <v/>
      </c>
      <c r="AU224" s="281">
        <f>IF(ISERROR(VLOOKUP($A224,'NDVI tipo'!$Q$8:$S$50,2,FALSE)),AU223+VLOOKUP($A224,'NDVI tipo'!$Q$8:$S$50,3,TRUE),VLOOKUP($A224,'NDVI tipo'!$Q$8:$S$50,2,FALSE))</f>
        <v>0.30451499999999998</v>
      </c>
      <c r="AV224" s="281">
        <f>IFERROR(VLOOKUP($A224,'NDVI real'!$Q$8:$S$44,2,FALSE),-999)</f>
        <v>-999</v>
      </c>
      <c r="AW224" s="281">
        <f>IF(ISERROR(VLOOKUP($A224,'NDVI real'!$T$8:$U$350,2,FALSE)),"",VLOOKUP($A224,'NDVI real'!$T$8:$U$350,2,FALSE))</f>
        <v>0.30289241587301585</v>
      </c>
      <c r="AX224" s="286">
        <f>IFERROR(VLOOKUP($A224,SWB!$C$15:$BE$244,53,FALSE),"")</f>
        <v>14.842234297001852</v>
      </c>
      <c r="AY224" s="286">
        <f>IFERROR(VLOOKUP($A224,SWB!$C$15:$BE$244,55,FALSE),"")</f>
        <v>0</v>
      </c>
      <c r="AZ224" s="281">
        <f>IF(ISERROR(VLOOKUP($A224,Clima!$V$8:$AI$320,14,FALSE)),-999,VLOOKUP(A224,Clima!$V$8:$AI$219,14,FALSE))</f>
        <v>7.8</v>
      </c>
      <c r="BA224" s="281">
        <f t="shared" si="161"/>
        <v>707.8</v>
      </c>
      <c r="BB224" s="281">
        <f t="shared" si="154"/>
        <v>7.8</v>
      </c>
      <c r="BC224" s="281">
        <f t="shared" si="162"/>
        <v>707.8</v>
      </c>
      <c r="BD224" s="284">
        <f t="shared" si="175"/>
        <v>42195</v>
      </c>
    </row>
    <row r="225" spans="1:56" s="275" customFormat="1" ht="12.75">
      <c r="A225" s="273">
        <f t="shared" si="155"/>
        <v>42196</v>
      </c>
      <c r="B225" s="274">
        <f t="shared" si="165"/>
        <v>192</v>
      </c>
      <c r="C225" s="275" t="str">
        <f t="shared" si="166"/>
        <v>-</v>
      </c>
      <c r="D225" s="276">
        <f t="shared" si="167"/>
        <v>7</v>
      </c>
      <c r="E225" s="276">
        <f t="shared" si="168"/>
        <v>0.33641904731428562</v>
      </c>
      <c r="F225" s="276"/>
      <c r="G225" s="276">
        <f t="shared" si="169"/>
        <v>8.7000000000000001E-5</v>
      </c>
      <c r="H225" s="276">
        <f t="shared" si="170"/>
        <v>0.150087</v>
      </c>
      <c r="I225" s="276">
        <f t="shared" si="171"/>
        <v>1.2937529999999999</v>
      </c>
      <c r="J225" s="276">
        <f>IFERROR(IF($G$1="Sí",VLOOKUP($A225,CSVAgro,13,FALSE),VLOOKUP($A225,SWB!$C$15:$P$202,14,FALSE)),0)</f>
        <v>0</v>
      </c>
      <c r="K225" s="487">
        <f t="shared" si="172"/>
        <v>0</v>
      </c>
      <c r="L225" s="487">
        <f t="shared" si="139"/>
        <v>0</v>
      </c>
      <c r="M225" s="487">
        <f t="shared" si="140"/>
        <v>0</v>
      </c>
      <c r="N225" s="277">
        <f>IF(ISERROR($G$1="Sí"),VLOOKUP($A225,CSVAgro,16,FALSE),IF(ISERROR(VLOOKUP($A225,Clima!$W$8:$Z$284,2,FALSE)),VLOOKUP($A225,Clima!$E$8:$H$372,2,FALSE),VLOOKUP($A225,Clima!$W$8:$Z$284,2,FALSE)))</f>
        <v>26.2</v>
      </c>
      <c r="O225" s="276">
        <f t="shared" si="173"/>
        <v>481.37295532471938</v>
      </c>
      <c r="P225" s="276">
        <f t="shared" si="156"/>
        <v>174.50000000000006</v>
      </c>
      <c r="Q225" s="487">
        <f t="shared" si="142"/>
        <v>270</v>
      </c>
      <c r="R225" s="278">
        <f t="shared" si="157"/>
        <v>26.2</v>
      </c>
      <c r="S225" s="278">
        <f t="shared" si="149"/>
        <v>26.2</v>
      </c>
      <c r="T225" s="279">
        <f t="shared" si="143"/>
        <v>192</v>
      </c>
      <c r="U225" s="279">
        <f t="shared" si="163"/>
        <v>28</v>
      </c>
      <c r="V225" s="276">
        <f t="shared" si="150"/>
        <v>0</v>
      </c>
      <c r="W225" s="276">
        <f>IF(AND(S225&gt;VLOOKUP(Inputs!$I$2,Extracciones,3),S225&lt;VLOOKUP(Inputs!$I$2,Extracciones,5)),(S225-VLOOKUP(Inputs!$I$2,Extracciones,3))*Inputs!$E$12,0)</f>
        <v>0</v>
      </c>
      <c r="X225" s="278">
        <f>IF(AD225=0,VLOOKUP(R225,Mineral,2)*R225*Inputs!$C$16*Inputs!$E$37,VLOOKUP(R225,Mineral,2)*R225*Inputs!$C$16)</f>
        <v>0.26200000000000001</v>
      </c>
      <c r="Y225" s="278">
        <f>SUM(K225,M225)*Inputs!$O$8*14/(100*62)</f>
        <v>0</v>
      </c>
      <c r="Z225" s="278">
        <f t="shared" si="158"/>
        <v>0</v>
      </c>
      <c r="AA225" s="278">
        <f t="shared" si="159"/>
        <v>0</v>
      </c>
      <c r="AB225" s="279"/>
      <c r="AC225" s="278">
        <f t="shared" si="176"/>
        <v>0</v>
      </c>
      <c r="AD225" s="279">
        <f t="shared" si="145"/>
        <v>0</v>
      </c>
      <c r="AE225" s="278">
        <f t="shared" si="151"/>
        <v>-325.66049999999956</v>
      </c>
      <c r="AF225" s="278">
        <f t="shared" si="164"/>
        <v>54.063985734783458</v>
      </c>
      <c r="AG225" s="279">
        <f t="shared" si="174"/>
        <v>0</v>
      </c>
      <c r="AH225" s="279">
        <f>AF225*1000000/(Inputs!$C$9*100*Inputs!$C$8*1000*(1-Inputs!$C$10)*(1+Inputs!$C$12))</f>
        <v>10.817123996555313</v>
      </c>
      <c r="AI225" s="279">
        <f>IFERROR(HLOOKUP(A225,Inputs!$C$14:$C$15,2,FALSE),-100)</f>
        <v>-100</v>
      </c>
      <c r="AJ225" s="281">
        <f t="shared" si="147"/>
        <v>0</v>
      </c>
      <c r="AK225" s="282">
        <f t="shared" si="177"/>
        <v>101.79800000000006</v>
      </c>
      <c r="AL225" s="282">
        <f t="shared" si="178"/>
        <v>18.290322580645153</v>
      </c>
      <c r="AM225" s="282">
        <f t="shared" si="179"/>
        <v>-1.9838368458620446</v>
      </c>
      <c r="AN225" s="283">
        <f>IFERROR(IF($G$1="Sí",VLOOKUP($A225,CSVAgro,9,FALSE),VLOOKUP($A225,Clima!$E$8:$Q$373,13,FALSE)),0)</f>
        <v>7.1</v>
      </c>
      <c r="AO225" s="281">
        <f t="shared" si="160"/>
        <v>658.60000000000014</v>
      </c>
      <c r="AP225" s="281">
        <f>IFERROR(VLOOKUP($A225,'F TrB'!$C$3:$O$21,3,FALSE),-9999)</f>
        <v>-9999</v>
      </c>
      <c r="AQ225" s="281">
        <f t="shared" si="152"/>
        <v>-999</v>
      </c>
      <c r="AR225" s="281">
        <f>IFERROR(IF(VLOOKUP($A225,'F TrB'!$Q$3:$R$21,2,FALSE)=0,-99999,VLOOKUP($A225,'F TrB'!$Q$3:$R$21,2,FALSE)),-99999)</f>
        <v>-99999</v>
      </c>
      <c r="AS225" s="281">
        <f t="shared" si="153"/>
        <v>-99999</v>
      </c>
      <c r="AT225" s="281" t="str">
        <f>IFERROR(VLOOKUP($A225,'NDVI tipo'!$Q$8:$S$30,2,FALSE),"")</f>
        <v/>
      </c>
      <c r="AU225" s="281">
        <f>IF(ISERROR(VLOOKUP($A225,'NDVI tipo'!$Q$8:$S$50,2,FALSE)),AU224+VLOOKUP($A225,'NDVI tipo'!$Q$8:$S$50,3,TRUE),VLOOKUP($A225,'NDVI tipo'!$Q$8:$S$50,2,FALSE))</f>
        <v>0.30451499999999998</v>
      </c>
      <c r="AV225" s="281">
        <f>IFERROR(VLOOKUP($A225,'NDVI real'!$Q$8:$S$44,2,FALSE),-999)</f>
        <v>-999</v>
      </c>
      <c r="AW225" s="281">
        <f>IF(ISERROR(VLOOKUP($A225,'NDVI real'!$T$8:$U$350,2,FALSE)),"",VLOOKUP($A225,'NDVI real'!$T$8:$U$350,2,FALSE))</f>
        <v>0.30306878285714284</v>
      </c>
      <c r="AX225" s="286">
        <f>IFERROR(VLOOKUP($A225,SWB!$C$15:$BE$244,53,FALSE),"")</f>
        <v>14.842234297001852</v>
      </c>
      <c r="AY225" s="286">
        <f>IFERROR(VLOOKUP($A225,SWB!$C$15:$BE$244,55,FALSE),"")</f>
        <v>0</v>
      </c>
      <c r="AZ225" s="281">
        <f>IF(ISERROR(VLOOKUP($A225,Clima!$V$8:$AI$320,14,FALSE)),-999,VLOOKUP(A225,Clima!$V$8:$AI$219,14,FALSE))</f>
        <v>7</v>
      </c>
      <c r="BA225" s="281">
        <f t="shared" si="161"/>
        <v>714.8</v>
      </c>
      <c r="BB225" s="281">
        <f t="shared" si="154"/>
        <v>7</v>
      </c>
      <c r="BC225" s="281">
        <f t="shared" si="162"/>
        <v>714.8</v>
      </c>
      <c r="BD225" s="284">
        <f t="shared" si="175"/>
        <v>42196</v>
      </c>
    </row>
    <row r="226" spans="1:56" s="275" customFormat="1" ht="12.75">
      <c r="A226" s="273">
        <f t="shared" si="155"/>
        <v>42197</v>
      </c>
      <c r="B226" s="274">
        <f t="shared" si="165"/>
        <v>193</v>
      </c>
      <c r="C226" s="275" t="str">
        <f t="shared" si="166"/>
        <v>-</v>
      </c>
      <c r="D226" s="276">
        <f t="shared" si="167"/>
        <v>7.3</v>
      </c>
      <c r="E226" s="276">
        <f t="shared" si="168"/>
        <v>0.3366730157714285</v>
      </c>
      <c r="F226" s="276"/>
      <c r="G226" s="276">
        <f t="shared" si="169"/>
        <v>2.5999999999999998E-5</v>
      </c>
      <c r="H226" s="276">
        <f t="shared" si="170"/>
        <v>0.15002599999999999</v>
      </c>
      <c r="I226" s="276">
        <f t="shared" si="171"/>
        <v>1.209206</v>
      </c>
      <c r="J226" s="276">
        <f>IFERROR(IF($G$1="Sí",VLOOKUP($A226,CSVAgro,13,FALSE),VLOOKUP($A226,SWB!$C$15:$P$202,14,FALSE)),0)</f>
        <v>0</v>
      </c>
      <c r="K226" s="487">
        <f t="shared" si="172"/>
        <v>0</v>
      </c>
      <c r="L226" s="487">
        <f t="shared" si="139"/>
        <v>0</v>
      </c>
      <c r="M226" s="487">
        <f t="shared" si="140"/>
        <v>0</v>
      </c>
      <c r="N226" s="277">
        <f>IF(ISERROR($G$1="Sí"),VLOOKUP($A226,CSVAgro,16,FALSE),IF(ISERROR(VLOOKUP($A226,Clima!$W$8:$Z$284,2,FALSE)),VLOOKUP($A226,Clima!$E$8:$H$372,2,FALSE),VLOOKUP($A226,Clima!$W$8:$Z$284,2,FALSE)))</f>
        <v>26.8</v>
      </c>
      <c r="O226" s="276">
        <f t="shared" si="173"/>
        <v>481.58036169495347</v>
      </c>
      <c r="P226" s="276">
        <f t="shared" si="156"/>
        <v>174.50000000000006</v>
      </c>
      <c r="Q226" s="487">
        <f t="shared" si="142"/>
        <v>270</v>
      </c>
      <c r="R226" s="278">
        <f t="shared" si="157"/>
        <v>26.8</v>
      </c>
      <c r="S226" s="278">
        <f t="shared" si="149"/>
        <v>26.8</v>
      </c>
      <c r="T226" s="279">
        <f t="shared" si="143"/>
        <v>193</v>
      </c>
      <c r="U226" s="279">
        <f t="shared" si="163"/>
        <v>28</v>
      </c>
      <c r="V226" s="276">
        <f t="shared" si="150"/>
        <v>0</v>
      </c>
      <c r="W226" s="276">
        <f>IF(AND(S226&gt;VLOOKUP(Inputs!$I$2,Extracciones,3),S226&lt;VLOOKUP(Inputs!$I$2,Extracciones,5)),(S226-VLOOKUP(Inputs!$I$2,Extracciones,3))*Inputs!$E$12,0)</f>
        <v>0</v>
      </c>
      <c r="X226" s="278">
        <f>IF(AD226=0,VLOOKUP(R226,Mineral,2)*R226*Inputs!$C$16*Inputs!$E$37,VLOOKUP(R226,Mineral,2)*R226*Inputs!$C$16)</f>
        <v>0.26800000000000002</v>
      </c>
      <c r="Y226" s="278">
        <f>SUM(K226,M226)*Inputs!$O$8*14/(100*62)</f>
        <v>0</v>
      </c>
      <c r="Z226" s="278">
        <f t="shared" si="158"/>
        <v>0</v>
      </c>
      <c r="AA226" s="278">
        <f t="shared" si="159"/>
        <v>0</v>
      </c>
      <c r="AB226" s="279"/>
      <c r="AC226" s="278">
        <f t="shared" si="176"/>
        <v>0</v>
      </c>
      <c r="AD226" s="279">
        <f t="shared" si="145"/>
        <v>0</v>
      </c>
      <c r="AE226" s="278">
        <f t="shared" si="151"/>
        <v>-325.66049999999956</v>
      </c>
      <c r="AF226" s="278">
        <f t="shared" si="164"/>
        <v>54.331985734783458</v>
      </c>
      <c r="AG226" s="279">
        <f t="shared" si="174"/>
        <v>0</v>
      </c>
      <c r="AH226" s="279">
        <f>AF226*1000000/(Inputs!$C$9*100*Inputs!$C$8*1000*(1-Inputs!$C$10)*(1+Inputs!$C$12))</f>
        <v>10.870745445134745</v>
      </c>
      <c r="AI226" s="279">
        <f>IFERROR(HLOOKUP(A226,Inputs!$C$14:$C$15,2,FALSE),-100)</f>
        <v>-100</v>
      </c>
      <c r="AJ226" s="281">
        <f t="shared" si="147"/>
        <v>0</v>
      </c>
      <c r="AK226" s="282">
        <f t="shared" si="177"/>
        <v>102.06600000000006</v>
      </c>
      <c r="AL226" s="282">
        <f t="shared" si="178"/>
        <v>18.290322580645153</v>
      </c>
      <c r="AM226" s="282">
        <f t="shared" si="179"/>
        <v>-1.9838368458620446</v>
      </c>
      <c r="AN226" s="283">
        <f>IFERROR(IF($G$1="Sí",VLOOKUP($A226,CSVAgro,9,FALSE),VLOOKUP($A226,Clima!$E$8:$Q$373,13,FALSE)),0)</f>
        <v>7.5</v>
      </c>
      <c r="AO226" s="281">
        <f t="shared" si="160"/>
        <v>666.10000000000014</v>
      </c>
      <c r="AP226" s="281">
        <f>IFERROR(VLOOKUP($A226,'F TrB'!$C$3:$O$21,3,FALSE),-9999)</f>
        <v>-9999</v>
      </c>
      <c r="AQ226" s="281">
        <f t="shared" si="152"/>
        <v>-999</v>
      </c>
      <c r="AR226" s="281">
        <f>IFERROR(IF(VLOOKUP($A226,'F TrB'!$Q$3:$R$21,2,FALSE)=0,-99999,VLOOKUP($A226,'F TrB'!$Q$3:$R$21,2,FALSE)),-99999)</f>
        <v>-99999</v>
      </c>
      <c r="AS226" s="281">
        <f t="shared" si="153"/>
        <v>-99999</v>
      </c>
      <c r="AT226" s="281" t="str">
        <f>IFERROR(VLOOKUP($A226,'NDVI tipo'!$Q$8:$S$30,2,FALSE),"")</f>
        <v/>
      </c>
      <c r="AU226" s="281">
        <f>IF(ISERROR(VLOOKUP($A226,'NDVI tipo'!$Q$8:$S$50,2,FALSE)),AU225+VLOOKUP($A226,'NDVI tipo'!$Q$8:$S$50,3,TRUE),VLOOKUP($A226,'NDVI tipo'!$Q$8:$S$50,2,FALSE))</f>
        <v>0.30451499999999998</v>
      </c>
      <c r="AV226" s="281">
        <f>IFERROR(VLOOKUP($A226,'NDVI real'!$Q$8:$S$44,2,FALSE),-999)</f>
        <v>-999</v>
      </c>
      <c r="AW226" s="281">
        <f>IF(ISERROR(VLOOKUP($A226,'NDVI real'!$T$8:$U$350,2,FALSE)),"",VLOOKUP($A226,'NDVI real'!$T$8:$U$350,2,FALSE))</f>
        <v>0.30324514984126982</v>
      </c>
      <c r="AX226" s="286">
        <f>IFERROR(VLOOKUP($A226,SWB!$C$15:$BE$244,53,FALSE),"")</f>
        <v>14.842234297001852</v>
      </c>
      <c r="AY226" s="286">
        <f>IFERROR(VLOOKUP($A226,SWB!$C$15:$BE$244,55,FALSE),"")</f>
        <v>0</v>
      </c>
      <c r="AZ226" s="281">
        <f>IF(ISERROR(VLOOKUP($A226,Clima!$V$8:$AI$320,14,FALSE)),-999,VLOOKUP(A226,Clima!$V$8:$AI$219,14,FALSE))</f>
        <v>7.3</v>
      </c>
      <c r="BA226" s="281">
        <f t="shared" si="161"/>
        <v>722.09999999999991</v>
      </c>
      <c r="BB226" s="281">
        <f t="shared" si="154"/>
        <v>7.3</v>
      </c>
      <c r="BC226" s="281">
        <f t="shared" si="162"/>
        <v>722.09999999999991</v>
      </c>
      <c r="BD226" s="284">
        <f t="shared" si="175"/>
        <v>42197</v>
      </c>
    </row>
    <row r="227" spans="1:56" s="275" customFormat="1" ht="12.75">
      <c r="A227" s="273">
        <f t="shared" si="155"/>
        <v>42198</v>
      </c>
      <c r="B227" s="274">
        <f t="shared" si="165"/>
        <v>194</v>
      </c>
      <c r="C227" s="275" t="str">
        <f t="shared" si="166"/>
        <v>-</v>
      </c>
      <c r="D227" s="276">
        <f t="shared" si="167"/>
        <v>6.9</v>
      </c>
      <c r="E227" s="276">
        <f t="shared" si="168"/>
        <v>0.33692698422857137</v>
      </c>
      <c r="F227" s="276"/>
      <c r="G227" s="276">
        <f t="shared" si="169"/>
        <v>9.0000000000000002E-6</v>
      </c>
      <c r="H227" s="276">
        <f t="shared" si="170"/>
        <v>0.150009</v>
      </c>
      <c r="I227" s="276">
        <f t="shared" si="171"/>
        <v>1.168569</v>
      </c>
      <c r="J227" s="276">
        <f>IFERROR(IF($G$1="Sí",VLOOKUP($A227,CSVAgro,13,FALSE),VLOOKUP($A227,SWB!$C$15:$P$202,14,FALSE)),0)</f>
        <v>0</v>
      </c>
      <c r="K227" s="487">
        <f t="shared" si="172"/>
        <v>0</v>
      </c>
      <c r="L227" s="487">
        <f t="shared" si="139"/>
        <v>0</v>
      </c>
      <c r="M227" s="487">
        <f t="shared" si="140"/>
        <v>0</v>
      </c>
      <c r="N227" s="277">
        <f>IF(ISERROR($G$1="Sí"),VLOOKUP($A227,CSVAgro,16,FALSE),IF(ISERROR(VLOOKUP($A227,Clima!$W$8:$Z$284,2,FALSE)),VLOOKUP($A227,Clima!$E$8:$H$372,2,FALSE),VLOOKUP($A227,Clima!$W$8:$Z$284,2,FALSE)))</f>
        <v>27.5</v>
      </c>
      <c r="O227" s="276">
        <f t="shared" si="173"/>
        <v>481.74110622834098</v>
      </c>
      <c r="P227" s="276">
        <f t="shared" si="156"/>
        <v>174.50000000000006</v>
      </c>
      <c r="Q227" s="487">
        <f t="shared" si="142"/>
        <v>270</v>
      </c>
      <c r="R227" s="278">
        <f t="shared" si="157"/>
        <v>27.5</v>
      </c>
      <c r="S227" s="278">
        <f t="shared" si="149"/>
        <v>27.5</v>
      </c>
      <c r="T227" s="279">
        <f t="shared" si="143"/>
        <v>194</v>
      </c>
      <c r="U227" s="279">
        <f t="shared" si="163"/>
        <v>29</v>
      </c>
      <c r="V227" s="276">
        <f t="shared" si="150"/>
        <v>0</v>
      </c>
      <c r="W227" s="276">
        <f>IF(AND(S227&gt;VLOOKUP(Inputs!$I$2,Extracciones,3),S227&lt;VLOOKUP(Inputs!$I$2,Extracciones,5)),(S227-VLOOKUP(Inputs!$I$2,Extracciones,3))*Inputs!$E$12,0)</f>
        <v>0</v>
      </c>
      <c r="X227" s="278">
        <f>IF(AD227=0,VLOOKUP(R227,Mineral,2)*R227*Inputs!$C$16*Inputs!$E$37,VLOOKUP(R227,Mineral,2)*R227*Inputs!$C$16)</f>
        <v>0.27500000000000002</v>
      </c>
      <c r="Y227" s="278">
        <f>SUM(K227,M227)*Inputs!$O$8*14/(100*62)</f>
        <v>0</v>
      </c>
      <c r="Z227" s="278">
        <f t="shared" si="158"/>
        <v>0</v>
      </c>
      <c r="AA227" s="278">
        <f t="shared" si="159"/>
        <v>0</v>
      </c>
      <c r="AB227" s="279"/>
      <c r="AC227" s="278">
        <f t="shared" si="176"/>
        <v>0</v>
      </c>
      <c r="AD227" s="279">
        <f t="shared" si="145"/>
        <v>0</v>
      </c>
      <c r="AE227" s="278">
        <f t="shared" si="151"/>
        <v>-325.66049999999956</v>
      </c>
      <c r="AF227" s="278">
        <f t="shared" si="164"/>
        <v>54.606985734783457</v>
      </c>
      <c r="AG227" s="279">
        <f t="shared" si="174"/>
        <v>0</v>
      </c>
      <c r="AH227" s="279">
        <f>AF227*1000000/(Inputs!$C$9*100*Inputs!$C$8*1000*(1-Inputs!$C$10)*(1+Inputs!$C$12))</f>
        <v>10.925767453938267</v>
      </c>
      <c r="AI227" s="279">
        <f>IFERROR(HLOOKUP(A227,Inputs!$C$14:$C$15,2,FALSE),-100)</f>
        <v>-100</v>
      </c>
      <c r="AJ227" s="281">
        <f t="shared" si="147"/>
        <v>0</v>
      </c>
      <c r="AK227" s="282">
        <f t="shared" si="177"/>
        <v>102.34100000000007</v>
      </c>
      <c r="AL227" s="282">
        <f t="shared" si="178"/>
        <v>18.290322580645153</v>
      </c>
      <c r="AM227" s="282">
        <f t="shared" si="179"/>
        <v>-1.9838368458620446</v>
      </c>
      <c r="AN227" s="283">
        <f>IFERROR(IF($G$1="Sí",VLOOKUP($A227,CSVAgro,9,FALSE),VLOOKUP($A227,Clima!$E$8:$Q$373,13,FALSE)),0)</f>
        <v>8.5</v>
      </c>
      <c r="AO227" s="281">
        <f t="shared" si="160"/>
        <v>674.60000000000014</v>
      </c>
      <c r="AP227" s="281">
        <f>IFERROR(VLOOKUP($A227,'F TrB'!$C$3:$O$21,3,FALSE),-9999)</f>
        <v>-9999</v>
      </c>
      <c r="AQ227" s="281">
        <f t="shared" si="152"/>
        <v>-999</v>
      </c>
      <c r="AR227" s="281">
        <f>IFERROR(IF(VLOOKUP($A227,'F TrB'!$Q$3:$R$21,2,FALSE)=0,-99999,VLOOKUP($A227,'F TrB'!$Q$3:$R$21,2,FALSE)),-99999)</f>
        <v>-99999</v>
      </c>
      <c r="AS227" s="281">
        <f t="shared" si="153"/>
        <v>-99999</v>
      </c>
      <c r="AT227" s="281" t="str">
        <f>IFERROR(VLOOKUP($A227,'NDVI tipo'!$Q$8:$S$30,2,FALSE),"")</f>
        <v/>
      </c>
      <c r="AU227" s="281">
        <f>IF(ISERROR(VLOOKUP($A227,'NDVI tipo'!$Q$8:$S$50,2,FALSE)),AU226+VLOOKUP($A227,'NDVI tipo'!$Q$8:$S$50,3,TRUE),VLOOKUP($A227,'NDVI tipo'!$Q$8:$S$50,2,FALSE))</f>
        <v>0.30451499999999998</v>
      </c>
      <c r="AV227" s="281">
        <f>IFERROR(VLOOKUP($A227,'NDVI real'!$Q$8:$S$44,2,FALSE),-999)</f>
        <v>-999</v>
      </c>
      <c r="AW227" s="281">
        <f>IF(ISERROR(VLOOKUP($A227,'NDVI real'!$T$8:$U$350,2,FALSE)),"",VLOOKUP($A227,'NDVI real'!$T$8:$U$350,2,FALSE))</f>
        <v>0.30342151682539681</v>
      </c>
      <c r="AX227" s="286">
        <f>IFERROR(VLOOKUP($A227,SWB!$C$15:$BE$244,53,FALSE),"")</f>
        <v>14.842234297001852</v>
      </c>
      <c r="AY227" s="286">
        <f>IFERROR(VLOOKUP($A227,SWB!$C$15:$BE$244,55,FALSE),"")</f>
        <v>0</v>
      </c>
      <c r="AZ227" s="281">
        <f>IF(ISERROR(VLOOKUP($A227,Clima!$V$8:$AI$320,14,FALSE)),-999,VLOOKUP(A227,Clima!$V$8:$AI$219,14,FALSE))</f>
        <v>6.9</v>
      </c>
      <c r="BA227" s="281">
        <f t="shared" si="161"/>
        <v>728.99999999999989</v>
      </c>
      <c r="BB227" s="281">
        <f t="shared" si="154"/>
        <v>6.9</v>
      </c>
      <c r="BC227" s="281">
        <f t="shared" si="162"/>
        <v>728.99999999999989</v>
      </c>
      <c r="BD227" s="284">
        <f t="shared" si="175"/>
        <v>42198</v>
      </c>
    </row>
    <row r="228" spans="1:56" s="275" customFormat="1" ht="12.75">
      <c r="A228" s="273">
        <f t="shared" si="155"/>
        <v>42199</v>
      </c>
      <c r="B228" s="274">
        <f t="shared" si="165"/>
        <v>195</v>
      </c>
      <c r="C228" s="275" t="str">
        <f t="shared" si="166"/>
        <v>-</v>
      </c>
      <c r="D228" s="276">
        <f t="shared" si="167"/>
        <v>7.6</v>
      </c>
      <c r="E228" s="276">
        <f t="shared" si="168"/>
        <v>0.33718095268571424</v>
      </c>
      <c r="F228" s="276"/>
      <c r="G228" s="276">
        <f t="shared" si="169"/>
        <v>3.0000000000000001E-6</v>
      </c>
      <c r="H228" s="276">
        <f t="shared" si="170"/>
        <v>0.150003</v>
      </c>
      <c r="I228" s="276">
        <f t="shared" si="171"/>
        <v>1.0560229999999999</v>
      </c>
      <c r="J228" s="276">
        <f>IFERROR(IF($G$1="Sí",VLOOKUP($A228,CSVAgro,13,FALSE),VLOOKUP($A228,SWB!$C$15:$P$202,14,FALSE)),0)</f>
        <v>0</v>
      </c>
      <c r="K228" s="487">
        <f t="shared" si="172"/>
        <v>0</v>
      </c>
      <c r="L228" s="487">
        <f t="shared" si="139"/>
        <v>0</v>
      </c>
      <c r="M228" s="487">
        <f t="shared" si="140"/>
        <v>0</v>
      </c>
      <c r="N228" s="277">
        <f>IF(ISERROR($G$1="Sí"),VLOOKUP($A228,CSVAgro,16,FALSE),IF(ISERROR(VLOOKUP($A228,Clima!$W$8:$Z$284,2,FALSE)),VLOOKUP($A228,Clima!$E$8:$H$372,2,FALSE),VLOOKUP($A228,Clima!$W$8:$Z$284,2,FALSE)))</f>
        <v>27.8</v>
      </c>
      <c r="O228" s="276">
        <f t="shared" si="173"/>
        <v>481.91985464843651</v>
      </c>
      <c r="P228" s="276">
        <f t="shared" si="156"/>
        <v>174.50000000000006</v>
      </c>
      <c r="Q228" s="487">
        <f t="shared" si="142"/>
        <v>270</v>
      </c>
      <c r="R228" s="278">
        <f t="shared" si="157"/>
        <v>27.8</v>
      </c>
      <c r="S228" s="278">
        <f t="shared" si="149"/>
        <v>27.8</v>
      </c>
      <c r="T228" s="279">
        <f t="shared" si="143"/>
        <v>195</v>
      </c>
      <c r="U228" s="279">
        <f t="shared" si="163"/>
        <v>29</v>
      </c>
      <c r="V228" s="276">
        <f t="shared" si="150"/>
        <v>0</v>
      </c>
      <c r="W228" s="276">
        <f>IF(AND(S228&gt;VLOOKUP(Inputs!$I$2,Extracciones,3),S228&lt;VLOOKUP(Inputs!$I$2,Extracciones,5)),(S228-VLOOKUP(Inputs!$I$2,Extracciones,3))*Inputs!$E$12,0)</f>
        <v>0</v>
      </c>
      <c r="X228" s="278">
        <f>IF(AD228=0,VLOOKUP(R228,Mineral,2)*R228*Inputs!$C$16*Inputs!$E$37,VLOOKUP(R228,Mineral,2)*R228*Inputs!$C$16)</f>
        <v>0.27800000000000002</v>
      </c>
      <c r="Y228" s="278">
        <f>SUM(K228,M228)*Inputs!$O$8*14/(100*62)</f>
        <v>0</v>
      </c>
      <c r="Z228" s="278">
        <f t="shared" si="158"/>
        <v>0</v>
      </c>
      <c r="AA228" s="278">
        <f t="shared" si="159"/>
        <v>0</v>
      </c>
      <c r="AB228" s="279"/>
      <c r="AC228" s="278">
        <f t="shared" si="176"/>
        <v>0</v>
      </c>
      <c r="AD228" s="279">
        <f t="shared" si="145"/>
        <v>0</v>
      </c>
      <c r="AE228" s="278">
        <f t="shared" si="151"/>
        <v>-325.66049999999956</v>
      </c>
      <c r="AF228" s="278">
        <f t="shared" si="164"/>
        <v>54.884985734783456</v>
      </c>
      <c r="AG228" s="279">
        <f t="shared" si="174"/>
        <v>0</v>
      </c>
      <c r="AH228" s="279">
        <f>AF228*1000000/(Inputs!$C$9*100*Inputs!$C$8*1000*(1-Inputs!$C$10)*(1+Inputs!$C$12))</f>
        <v>10.981389702837827</v>
      </c>
      <c r="AI228" s="279">
        <f>IFERROR(HLOOKUP(A228,Inputs!$C$14:$C$15,2,FALSE),-100)</f>
        <v>-100</v>
      </c>
      <c r="AJ228" s="281">
        <f t="shared" si="147"/>
        <v>0</v>
      </c>
      <c r="AK228" s="282">
        <f t="shared" si="177"/>
        <v>102.61900000000007</v>
      </c>
      <c r="AL228" s="282">
        <f t="shared" si="178"/>
        <v>18.290322580645153</v>
      </c>
      <c r="AM228" s="282">
        <f t="shared" si="179"/>
        <v>-1.9838368458620446</v>
      </c>
      <c r="AN228" s="283">
        <f>IFERROR(IF($G$1="Sí",VLOOKUP($A228,CSVAgro,9,FALSE),VLOOKUP($A228,Clima!$E$8:$Q$373,13,FALSE)),0)</f>
        <v>6.1</v>
      </c>
      <c r="AO228" s="281">
        <f t="shared" si="160"/>
        <v>680.70000000000016</v>
      </c>
      <c r="AP228" s="281">
        <f>IFERROR(VLOOKUP($A228,'F TrB'!$C$3:$O$21,3,FALSE),-9999)</f>
        <v>-9999</v>
      </c>
      <c r="AQ228" s="281">
        <f t="shared" si="152"/>
        <v>-999</v>
      </c>
      <c r="AR228" s="281">
        <f>IFERROR(IF(VLOOKUP($A228,'F TrB'!$Q$3:$R$21,2,FALSE)=0,-99999,VLOOKUP($A228,'F TrB'!$Q$3:$R$21,2,FALSE)),-99999)</f>
        <v>-99999</v>
      </c>
      <c r="AS228" s="281">
        <f t="shared" si="153"/>
        <v>-99999</v>
      </c>
      <c r="AT228" s="281" t="str">
        <f>IFERROR(VLOOKUP($A228,'NDVI tipo'!$Q$8:$S$30,2,FALSE),"")</f>
        <v/>
      </c>
      <c r="AU228" s="281">
        <f>IF(ISERROR(VLOOKUP($A228,'NDVI tipo'!$Q$8:$S$50,2,FALSE)),AU227+VLOOKUP($A228,'NDVI tipo'!$Q$8:$S$50,3,TRUE),VLOOKUP($A228,'NDVI tipo'!$Q$8:$S$50,2,FALSE))</f>
        <v>0.30451499999999998</v>
      </c>
      <c r="AV228" s="281">
        <f>IFERROR(VLOOKUP($A228,'NDVI real'!$Q$8:$S$44,2,FALSE),-999)</f>
        <v>-999</v>
      </c>
      <c r="AW228" s="281">
        <f>IF(ISERROR(VLOOKUP($A228,'NDVI real'!$T$8:$U$350,2,FALSE)),"",VLOOKUP($A228,'NDVI real'!$T$8:$U$350,2,FALSE))</f>
        <v>0.30359788380952379</v>
      </c>
      <c r="AX228" s="286">
        <f>IFERROR(VLOOKUP($A228,SWB!$C$15:$BE$244,53,FALSE),"")</f>
        <v>14.842234297001852</v>
      </c>
      <c r="AY228" s="286">
        <f>IFERROR(VLOOKUP($A228,SWB!$C$15:$BE$244,55,FALSE),"")</f>
        <v>0</v>
      </c>
      <c r="AZ228" s="281">
        <f>IF(ISERROR(VLOOKUP($A228,Clima!$V$8:$AI$320,14,FALSE)),-999,VLOOKUP(A228,Clima!$V$8:$AI$219,14,FALSE))</f>
        <v>7.6</v>
      </c>
      <c r="BA228" s="281">
        <f t="shared" si="161"/>
        <v>736.59999999999991</v>
      </c>
      <c r="BB228" s="281">
        <f t="shared" si="154"/>
        <v>7.6</v>
      </c>
      <c r="BC228" s="281">
        <f t="shared" si="162"/>
        <v>736.59999999999991</v>
      </c>
      <c r="BD228" s="284">
        <f t="shared" si="175"/>
        <v>42199</v>
      </c>
    </row>
    <row r="229" spans="1:56" s="275" customFormat="1" ht="12.75">
      <c r="A229" s="273">
        <f t="shared" si="155"/>
        <v>42200</v>
      </c>
      <c r="B229" s="274">
        <f t="shared" si="165"/>
        <v>196</v>
      </c>
      <c r="C229" s="275" t="str">
        <f t="shared" si="166"/>
        <v>-</v>
      </c>
      <c r="D229" s="276">
        <f t="shared" si="167"/>
        <v>7.7</v>
      </c>
      <c r="E229" s="276">
        <f t="shared" si="168"/>
        <v>0.33743492114285711</v>
      </c>
      <c r="F229" s="276"/>
      <c r="G229" s="276">
        <f t="shared" si="169"/>
        <v>9.9999999999999995E-7</v>
      </c>
      <c r="H229" s="276">
        <f t="shared" si="170"/>
        <v>0.150001</v>
      </c>
      <c r="I229" s="276">
        <f t="shared" si="171"/>
        <v>1.09351</v>
      </c>
      <c r="J229" s="276">
        <f>IFERROR(IF($G$1="Sí",VLOOKUP($A229,CSVAgro,13,FALSE),VLOOKUP($A229,SWB!$C$15:$P$202,14,FALSE)),0)</f>
        <v>0</v>
      </c>
      <c r="K229" s="487">
        <f t="shared" si="172"/>
        <v>0</v>
      </c>
      <c r="L229" s="487">
        <f t="shared" si="139"/>
        <v>0</v>
      </c>
      <c r="M229" s="487">
        <f t="shared" si="140"/>
        <v>0</v>
      </c>
      <c r="N229" s="277">
        <f>IF(ISERROR($G$1="Sí"),VLOOKUP($A229,CSVAgro,16,FALSE),IF(ISERROR(VLOOKUP($A229,Clima!$W$8:$Z$284,2,FALSE)),VLOOKUP($A229,Clima!$E$8:$H$372,2,FALSE),VLOOKUP($A229,Clima!$W$8:$Z$284,2,FALSE)))</f>
        <v>27.2</v>
      </c>
      <c r="O229" s="276">
        <f t="shared" si="173"/>
        <v>482.06899720456823</v>
      </c>
      <c r="P229" s="276">
        <f t="shared" si="156"/>
        <v>174.50000000000006</v>
      </c>
      <c r="Q229" s="487">
        <f t="shared" si="142"/>
        <v>270</v>
      </c>
      <c r="R229" s="278">
        <f>N229</f>
        <v>27.2</v>
      </c>
      <c r="S229" s="278">
        <f>R229</f>
        <v>27.2</v>
      </c>
      <c r="T229" s="279">
        <f>B229</f>
        <v>196</v>
      </c>
      <c r="U229" s="279">
        <f>IF(_xlfn.ISOWEEKNUM(A229)&lt;40,_xlfn.ISOWEEKNUM(A229),_xlfn.ISOWEEKNUM(A229)-53)</f>
        <v>29</v>
      </c>
      <c r="V229" s="276">
        <f>MAX(W229-W228,0)</f>
        <v>0</v>
      </c>
      <c r="W229" s="276">
        <f>IF(AND(S229&gt;VLOOKUP(Inputs!$I$2,Extracciones,3),S229&lt;VLOOKUP(Inputs!$I$2,Extracciones,5)),(S229-VLOOKUP(Inputs!$I$2,Extracciones,3))*Inputs!$E$12,0)</f>
        <v>0</v>
      </c>
      <c r="X229" s="278">
        <f>IF(AD229=0,VLOOKUP(R229,Mineral,2)*R229*Inputs!$C$16*Inputs!$E$37,VLOOKUP(R229,Mineral,2)*R229*Inputs!$C$16)</f>
        <v>0.27200000000000002</v>
      </c>
      <c r="Y229" s="278">
        <f>SUM(K229,M229)*Inputs!$O$8*14/(100*62)</f>
        <v>0</v>
      </c>
      <c r="Z229" s="278">
        <f t="shared" si="158"/>
        <v>0</v>
      </c>
      <c r="AA229" s="278">
        <f t="shared" si="159"/>
        <v>0</v>
      </c>
      <c r="AB229" s="279"/>
      <c r="AC229" s="278">
        <f>-L229*AH228/100</f>
        <v>0</v>
      </c>
      <c r="AD229" s="279">
        <f>IFERROR(-VLOOKUP(A229,FenoT,9),0)</f>
        <v>0</v>
      </c>
      <c r="AE229" s="278">
        <f>AE228+AD229</f>
        <v>-325.66049999999956</v>
      </c>
      <c r="AF229" s="278">
        <f>AF228+SUM(X229:Z229)+SUM(AC229:AD229)</f>
        <v>55.156985734783454</v>
      </c>
      <c r="AG229" s="279">
        <f>VLOOKUP(A229,FenoT,10)</f>
        <v>0</v>
      </c>
      <c r="AH229" s="279">
        <f>AF229*1000000/(Inputs!$C$9*100*Inputs!$C$8*1000*(1-Inputs!$C$10)*(1+Inputs!$C$12))</f>
        <v>11.035811471545308</v>
      </c>
      <c r="AI229" s="279">
        <f>IFERROR(HLOOKUP(A229,Inputs!$C$14:$C$15,2,FALSE),-100)</f>
        <v>-100</v>
      </c>
      <c r="AJ229" s="281">
        <f>IF(AF229&gt;AG229,0,1)</f>
        <v>0</v>
      </c>
      <c r="AK229" s="282">
        <f t="shared" ref="AK229:AL232" si="180">X229+AK228</f>
        <v>102.89100000000008</v>
      </c>
      <c r="AL229" s="282">
        <f t="shared" si="180"/>
        <v>18.290322580645153</v>
      </c>
      <c r="AM229" s="282">
        <f>AC229+AM228</f>
        <v>-1.9838368458620446</v>
      </c>
      <c r="AN229" s="283">
        <f>IFERROR(IF($G$1="Sí",VLOOKUP($A229,CSVAgro,9,FALSE),VLOOKUP($A229,Clima!$E$8:$Q$373,13,FALSE)),0)</f>
        <v>7.1</v>
      </c>
      <c r="AO229" s="281">
        <f>AN229+AO228</f>
        <v>687.80000000000018</v>
      </c>
      <c r="AP229" s="281">
        <f>IFERROR(VLOOKUP($A229,'F TrB'!$C$3:$O$21,3,FALSE),-9999)</f>
        <v>-9999</v>
      </c>
      <c r="AQ229" s="281">
        <f>IF(AP229&gt;0,1.4,-999)</f>
        <v>-999</v>
      </c>
      <c r="AR229" s="281">
        <f>IFERROR(IF(VLOOKUP($A229,'F TrB'!$Q$3:$R$21,2,FALSE)=0,-99999,VLOOKUP($A229,'F TrB'!$Q$3:$R$21,2,FALSE)),-99999)</f>
        <v>-99999</v>
      </c>
      <c r="AS229" s="281">
        <f>IF(AR229&gt;1,1.4,-99999)</f>
        <v>-99999</v>
      </c>
      <c r="AT229" s="281" t="str">
        <f>IFERROR(VLOOKUP($A229,'NDVI tipo'!$Q$8:$S$30,2,FALSE),"")</f>
        <v/>
      </c>
      <c r="AU229" s="281">
        <f>IF(ISERROR(VLOOKUP($A229,'NDVI tipo'!$Q$8:$S$50,2,FALSE)),AU228+VLOOKUP($A229,'NDVI tipo'!$Q$8:$S$50,3,TRUE),VLOOKUP($A229,'NDVI tipo'!$Q$8:$S$50,2,FALSE))</f>
        <v>0.30451499999999998</v>
      </c>
      <c r="AV229" s="281">
        <f>IFERROR(VLOOKUP($A229,'NDVI real'!$Q$8:$S$44,2,FALSE),-999)</f>
        <v>-999</v>
      </c>
      <c r="AW229" s="281">
        <f>IF(ISERROR(VLOOKUP($A229,'NDVI real'!$T$8:$U$350,2,FALSE)),"",VLOOKUP($A229,'NDVI real'!$T$8:$U$350,2,FALSE))</f>
        <v>0.30377425079365078</v>
      </c>
      <c r="AX229" s="286">
        <f>IFERROR(VLOOKUP($A229,SWB!$C$15:$BE$244,53,FALSE),"")</f>
        <v>14.842234297001852</v>
      </c>
      <c r="AY229" s="286">
        <f>IFERROR(VLOOKUP($A229,SWB!$C$15:$BE$244,55,FALSE),"")</f>
        <v>0</v>
      </c>
      <c r="AZ229" s="281">
        <f>IF(ISERROR(VLOOKUP($A229,Clima!$V$8:$AI$320,14,FALSE)),-999,VLOOKUP(A229,Clima!$V$8:$AI$219,14,FALSE))</f>
        <v>7.7</v>
      </c>
      <c r="BA229" s="281">
        <f>IF(AZ229=-999,-999,AZ229+BA228)</f>
        <v>744.3</v>
      </c>
      <c r="BB229" s="281">
        <f t="shared" si="154"/>
        <v>7.7</v>
      </c>
      <c r="BC229" s="281">
        <f>BB229+BC228</f>
        <v>744.3</v>
      </c>
      <c r="BD229" s="284">
        <f>A229</f>
        <v>42200</v>
      </c>
    </row>
    <row r="230" spans="1:56" s="275" customFormat="1" ht="12.75">
      <c r="A230" s="273">
        <f t="shared" si="155"/>
        <v>42201</v>
      </c>
      <c r="B230" s="274">
        <f t="shared" si="165"/>
        <v>197</v>
      </c>
      <c r="C230" s="275" t="str">
        <f t="shared" si="166"/>
        <v>-</v>
      </c>
      <c r="D230" s="276">
        <f t="shared" si="167"/>
        <v>6.9</v>
      </c>
      <c r="E230" s="276">
        <f t="shared" si="168"/>
        <v>0.33768888959999999</v>
      </c>
      <c r="F230" s="276"/>
      <c r="G230" s="276">
        <f t="shared" si="169"/>
        <v>9.9999999999999995E-7</v>
      </c>
      <c r="H230" s="276">
        <f t="shared" si="170"/>
        <v>0.150001</v>
      </c>
      <c r="I230" s="276">
        <f t="shared" si="171"/>
        <v>1.0365040000000001</v>
      </c>
      <c r="J230" s="276">
        <f>IFERROR(IF($G$1="Sí",VLOOKUP($A230,CSVAgro,13,FALSE),VLOOKUP($A230,SWB!$C$15:$P$202,14,FALSE)),0)</f>
        <v>0</v>
      </c>
      <c r="K230" s="487">
        <f t="shared" si="172"/>
        <v>0</v>
      </c>
      <c r="L230" s="487">
        <f t="shared" si="139"/>
        <v>0</v>
      </c>
      <c r="M230" s="487">
        <f t="shared" si="140"/>
        <v>0</v>
      </c>
      <c r="N230" s="277">
        <f>IF(ISERROR($G$1="Sí"),VLOOKUP($A230,CSVAgro,16,FALSE),IF(ISERROR(VLOOKUP($A230,Clima!$W$8:$Z$284,2,FALSE)),VLOOKUP($A230,Clima!$E$8:$H$372,2,FALSE),VLOOKUP($A230,Clima!$W$8:$Z$284,2,FALSE)))</f>
        <v>27.7</v>
      </c>
      <c r="O230" s="276">
        <f t="shared" si="173"/>
        <v>482.21103936955484</v>
      </c>
      <c r="P230" s="276">
        <f t="shared" si="156"/>
        <v>174.50000000000006</v>
      </c>
      <c r="Q230" s="487">
        <f t="shared" si="142"/>
        <v>270</v>
      </c>
      <c r="R230" s="278">
        <f>N230</f>
        <v>27.7</v>
      </c>
      <c r="S230" s="278">
        <f>R230</f>
        <v>27.7</v>
      </c>
      <c r="T230" s="279">
        <f>B230</f>
        <v>197</v>
      </c>
      <c r="U230" s="279">
        <f>IF(_xlfn.ISOWEEKNUM(A230)&lt;40,_xlfn.ISOWEEKNUM(A230),_xlfn.ISOWEEKNUM(A230)-53)</f>
        <v>29</v>
      </c>
      <c r="V230" s="276">
        <f>MAX(W230-W229,0)</f>
        <v>0</v>
      </c>
      <c r="W230" s="276">
        <f>IF(AND(S230&gt;VLOOKUP(Inputs!$I$2,Extracciones,3),S230&lt;VLOOKUP(Inputs!$I$2,Extracciones,5)),(S230-VLOOKUP(Inputs!$I$2,Extracciones,3))*Inputs!$E$12,0)</f>
        <v>0</v>
      </c>
      <c r="X230" s="278">
        <f>IF(AD230=0,VLOOKUP(R230,Mineral,2)*R230*Inputs!$C$16*Inputs!$E$37,VLOOKUP(R230,Mineral,2)*R230*Inputs!$C$16)</f>
        <v>0.27700000000000002</v>
      </c>
      <c r="Y230" s="278">
        <f>SUM(K230,M230)*Inputs!$O$8*14/(100*62)</f>
        <v>0</v>
      </c>
      <c r="Z230" s="278">
        <f t="shared" si="158"/>
        <v>0</v>
      </c>
      <c r="AA230" s="278">
        <f t="shared" si="159"/>
        <v>0</v>
      </c>
      <c r="AB230" s="279"/>
      <c r="AC230" s="278">
        <f>-L230*AH229/100</f>
        <v>0</v>
      </c>
      <c r="AD230" s="279">
        <f>IFERROR(-VLOOKUP(A230,FenoT,9),0)</f>
        <v>0</v>
      </c>
      <c r="AE230" s="278">
        <f>AE229+AD230</f>
        <v>-325.66049999999956</v>
      </c>
      <c r="AF230" s="278">
        <f>AF229+SUM(X230:Z230)+SUM(AC230:AD230)</f>
        <v>55.433985734783455</v>
      </c>
      <c r="AG230" s="279">
        <f>VLOOKUP(A230,FenoT,10)</f>
        <v>0</v>
      </c>
      <c r="AH230" s="279">
        <f>AF230*1000000/(Inputs!$C$9*100*Inputs!$C$8*1000*(1-Inputs!$C$10)*(1+Inputs!$C$12))</f>
        <v>11.091233640412856</v>
      </c>
      <c r="AI230" s="279">
        <f>IFERROR(HLOOKUP(A230,Inputs!$C$14:$C$15,2,FALSE),-100)</f>
        <v>-100</v>
      </c>
      <c r="AJ230" s="281">
        <f>IF(AF230&gt;AG230,0,1)</f>
        <v>0</v>
      </c>
      <c r="AK230" s="282">
        <f t="shared" si="180"/>
        <v>103.16800000000008</v>
      </c>
      <c r="AL230" s="282">
        <f t="shared" si="180"/>
        <v>18.290322580645153</v>
      </c>
      <c r="AM230" s="282">
        <f>AC230+AM229</f>
        <v>-1.9838368458620446</v>
      </c>
      <c r="AN230" s="283">
        <f>IFERROR(IF($G$1="Sí",VLOOKUP($A230,CSVAgro,9,FALSE),VLOOKUP($A230,Clima!$E$8:$Q$373,13,FALSE)),0)</f>
        <v>6.5</v>
      </c>
      <c r="AO230" s="281">
        <f>AN230+AO229</f>
        <v>694.30000000000018</v>
      </c>
      <c r="AP230" s="281">
        <f>IFERROR(VLOOKUP($A230,'F TrB'!$C$3:$O$21,3,FALSE),-9999)</f>
        <v>-9999</v>
      </c>
      <c r="AQ230" s="281">
        <f>IF(AP230&gt;0,1.4,-999)</f>
        <v>-999</v>
      </c>
      <c r="AR230" s="281">
        <f>IFERROR(IF(VLOOKUP($A230,'F TrB'!$Q$3:$R$21,2,FALSE)=0,-99999,VLOOKUP($A230,'F TrB'!$Q$3:$R$21,2,FALSE)),-99999)</f>
        <v>-99999</v>
      </c>
      <c r="AS230" s="281">
        <f>IF(AR230&gt;1,1.4,-99999)</f>
        <v>-99999</v>
      </c>
      <c r="AT230" s="281" t="str">
        <f>IFERROR(VLOOKUP($A230,'NDVI tipo'!$Q$8:$S$30,2,FALSE),"")</f>
        <v/>
      </c>
      <c r="AU230" s="281">
        <f>IF(ISERROR(VLOOKUP($A230,'NDVI tipo'!$Q$8:$S$50,2,FALSE)),AU229+VLOOKUP($A230,'NDVI tipo'!$Q$8:$S$50,3,TRUE),VLOOKUP($A230,'NDVI tipo'!$Q$8:$S$50,2,FALSE))</f>
        <v>0.30451499999999998</v>
      </c>
      <c r="AV230" s="281">
        <f>IFERROR(VLOOKUP($A230,'NDVI real'!$Q$8:$S$44,2,FALSE),-999)</f>
        <v>0.30395061777777777</v>
      </c>
      <c r="AW230" s="281">
        <f>IF(ISERROR(VLOOKUP($A230,'NDVI real'!$T$8:$U$350,2,FALSE)),"",VLOOKUP($A230,'NDVI real'!$T$8:$U$350,2,FALSE))</f>
        <v>0.30395061777777777</v>
      </c>
      <c r="AX230" s="286">
        <f>IFERROR(VLOOKUP($A230,SWB!$C$15:$BE$244,53,FALSE),"")</f>
        <v>14.842234297001852</v>
      </c>
      <c r="AY230" s="286">
        <f>IFERROR(VLOOKUP($A230,SWB!$C$15:$BE$244,55,FALSE),"")</f>
        <v>0</v>
      </c>
      <c r="AZ230" s="281">
        <f>IF(ISERROR(VLOOKUP($A230,Clima!$V$8:$AI$320,14,FALSE)),-999,VLOOKUP(A230,Clima!$V$8:$AI$219,14,FALSE))</f>
        <v>6.9</v>
      </c>
      <c r="BA230" s="281">
        <f>IF(AZ230=-999,-999,AZ230+BA229)</f>
        <v>751.19999999999993</v>
      </c>
      <c r="BB230" s="281">
        <f t="shared" si="154"/>
        <v>6.9</v>
      </c>
      <c r="BC230" s="281">
        <f>BB230+BC229</f>
        <v>751.19999999999993</v>
      </c>
      <c r="BD230" s="284">
        <f>A230</f>
        <v>42201</v>
      </c>
    </row>
    <row r="231" spans="1:56" s="275" customFormat="1" ht="12.75">
      <c r="A231" s="273">
        <f t="shared" si="155"/>
        <v>42202</v>
      </c>
      <c r="B231" s="274">
        <f t="shared" si="165"/>
        <v>198</v>
      </c>
      <c r="C231" s="275">
        <f t="shared" si="166"/>
        <v>0</v>
      </c>
      <c r="D231" s="276">
        <f t="shared" si="167"/>
        <v>0</v>
      </c>
      <c r="E231" s="276">
        <f t="shared" si="168"/>
        <v>0.33632592657777771</v>
      </c>
      <c r="F231" s="276"/>
      <c r="G231" s="276">
        <f t="shared" si="169"/>
        <v>0</v>
      </c>
      <c r="H231" s="276">
        <f t="shared" si="170"/>
        <v>0</v>
      </c>
      <c r="I231" s="276">
        <f t="shared" si="171"/>
        <v>0</v>
      </c>
      <c r="J231" s="276">
        <f>IFERROR(IF($G$1="Sí",VLOOKUP($A231,CSVAgro,13,FALSE),VLOOKUP($A231,SWB!$C$15:$P$202,14,FALSE)),0)</f>
        <v>0</v>
      </c>
      <c r="K231" s="487">
        <f t="shared" si="172"/>
        <v>0</v>
      </c>
      <c r="L231" s="487">
        <f t="shared" si="139"/>
        <v>0</v>
      </c>
      <c r="M231" s="487">
        <f t="shared" si="140"/>
        <v>0</v>
      </c>
      <c r="N231" s="277">
        <f>IF(ISERROR($G$1="Sí"),VLOOKUP($A231,CSVAgro,16,FALSE),IF(ISERROR(VLOOKUP($A231,Clima!$W$8:$Z$284,2,FALSE)),VLOOKUP($A231,Clima!$E$8:$H$372,2,FALSE),VLOOKUP($A231,Clima!$W$8:$Z$284,2,FALSE)))</f>
        <v>28.1</v>
      </c>
      <c r="O231" s="276">
        <f t="shared" si="173"/>
        <v>0</v>
      </c>
      <c r="P231" s="276">
        <f t="shared" si="156"/>
        <v>174.50000000000006</v>
      </c>
      <c r="Q231" s="487">
        <f t="shared" si="142"/>
        <v>270</v>
      </c>
      <c r="R231" s="278">
        <f>N231</f>
        <v>28.1</v>
      </c>
      <c r="S231" s="278">
        <f>R231</f>
        <v>28.1</v>
      </c>
      <c r="T231" s="279">
        <f>B231</f>
        <v>198</v>
      </c>
      <c r="U231" s="279">
        <f>IF(_xlfn.ISOWEEKNUM(A231)&lt;40,_xlfn.ISOWEEKNUM(A231),_xlfn.ISOWEEKNUM(A231)-53)</f>
        <v>29</v>
      </c>
      <c r="V231" s="276">
        <f>MAX(W231-W230,0)</f>
        <v>0</v>
      </c>
      <c r="W231" s="276">
        <f>IF(AND(S231&gt;VLOOKUP(Inputs!$I$2,Extracciones,3),S231&lt;VLOOKUP(Inputs!$I$2,Extracciones,5)),(S231-VLOOKUP(Inputs!$I$2,Extracciones,3))*Inputs!$E$12,0)</f>
        <v>0</v>
      </c>
      <c r="X231" s="278">
        <f>IF(AD231=0,VLOOKUP(R231,Mineral,2)*R231*Inputs!$C$16*Inputs!$E$37,VLOOKUP(R231,Mineral,2)*R231*Inputs!$C$16)</f>
        <v>0.28100000000000008</v>
      </c>
      <c r="Y231" s="278">
        <f>SUM(K231,M231)*Inputs!$O$8*14/(100*62)</f>
        <v>0</v>
      </c>
      <c r="Z231" s="278">
        <f t="shared" si="158"/>
        <v>0</v>
      </c>
      <c r="AA231" s="278">
        <f t="shared" si="159"/>
        <v>0</v>
      </c>
      <c r="AB231" s="279"/>
      <c r="AC231" s="278">
        <f>-L231*AH230/100</f>
        <v>0</v>
      </c>
      <c r="AD231" s="279">
        <f>IFERROR(-VLOOKUP(A231,FenoT,9),0)</f>
        <v>0</v>
      </c>
      <c r="AE231" s="278">
        <f>AE230+AD231</f>
        <v>-325.66049999999956</v>
      </c>
      <c r="AF231" s="278">
        <f>AF230+SUM(X231:Z231)+SUM(AC231:AD231)</f>
        <v>55.714985734783454</v>
      </c>
      <c r="AG231" s="279">
        <f>VLOOKUP(A231,FenoT,10)</f>
        <v>0</v>
      </c>
      <c r="AH231" s="279">
        <f>AF231*1000000/(Inputs!$C$9*100*Inputs!$C$8*1000*(1-Inputs!$C$10)*(1+Inputs!$C$12))</f>
        <v>11.147456129408454</v>
      </c>
      <c r="AI231" s="279">
        <f>IFERROR(HLOOKUP(A231,Inputs!$C$14:$C$15,2,FALSE),-100)</f>
        <v>-100</v>
      </c>
      <c r="AJ231" s="281">
        <f>IF(AF231&gt;AG231,0,1)</f>
        <v>0</v>
      </c>
      <c r="AK231" s="282">
        <f t="shared" si="180"/>
        <v>103.44900000000008</v>
      </c>
      <c r="AL231" s="282">
        <f t="shared" si="180"/>
        <v>18.290322580645153</v>
      </c>
      <c r="AM231" s="282">
        <f>AC231+AM230</f>
        <v>-1.9838368458620446</v>
      </c>
      <c r="AN231" s="283">
        <f>IFERROR(IF($G$1="Sí",VLOOKUP($A231,CSVAgro,9,FALSE),VLOOKUP($A231,Clima!$E$8:$Q$373,13,FALSE)),0)</f>
        <v>6.8</v>
      </c>
      <c r="AO231" s="281">
        <f>AN231+AO230</f>
        <v>701.10000000000014</v>
      </c>
      <c r="AP231" s="281">
        <f>IFERROR(VLOOKUP($A231,'F TrB'!$C$3:$O$21,3,FALSE),-9999)</f>
        <v>-9999</v>
      </c>
      <c r="AQ231" s="281">
        <f>IF(AP231&gt;0,1.4,-999)</f>
        <v>-999</v>
      </c>
      <c r="AR231" s="281">
        <f>IFERROR(IF(VLOOKUP($A231,'F TrB'!$Q$3:$R$21,2,FALSE)=0,-99999,VLOOKUP($A231,'F TrB'!$Q$3:$R$21,2,FALSE)),-99999)</f>
        <v>-99999</v>
      </c>
      <c r="AS231" s="281">
        <f>IF(AR231&gt;1,1.4,-99999)</f>
        <v>-99999</v>
      </c>
      <c r="AT231" s="281" t="str">
        <f>IFERROR(VLOOKUP($A231,'NDVI tipo'!$Q$8:$S$30,2,FALSE),"")</f>
        <v/>
      </c>
      <c r="AU231" s="281">
        <f>IF(ISERROR(VLOOKUP($A231,'NDVI tipo'!$Q$8:$S$50,2,FALSE)),AU230+VLOOKUP($A231,'NDVI tipo'!$Q$8:$S$50,3,TRUE),VLOOKUP($A231,'NDVI tipo'!$Q$8:$S$50,2,FALSE))</f>
        <v>0.30451499999999998</v>
      </c>
      <c r="AV231" s="281">
        <f>IFERROR(VLOOKUP($A231,'NDVI real'!$Q$8:$S$44,2,FALSE),-999)</f>
        <v>-999</v>
      </c>
      <c r="AW231" s="281">
        <f>IF(ISERROR(VLOOKUP($A231,'NDVI real'!$T$8:$U$350,2,FALSE)),"",VLOOKUP($A231,'NDVI real'!$T$8:$U$350,2,FALSE))</f>
        <v>0.30300411567901231</v>
      </c>
      <c r="AX231" s="286">
        <f>IFERROR(VLOOKUP($A231,SWB!$C$15:$BE$244,53,FALSE),"")</f>
        <v>14.842234297001852</v>
      </c>
      <c r="AY231" s="286">
        <f>IFERROR(VLOOKUP($A231,SWB!$C$15:$BE$244,55,FALSE),"")</f>
        <v>0</v>
      </c>
      <c r="AZ231" s="281">
        <f>IF(ISERROR(VLOOKUP($A231,Clima!$V$8:$AI$320,14,FALSE)),-999,VLOOKUP(A231,Clima!$V$8:$AI$219,14,FALSE))</f>
        <v>7.3</v>
      </c>
      <c r="BA231" s="281">
        <f>IF(AZ231=-999,-999,AZ231+BA230)</f>
        <v>758.49999999999989</v>
      </c>
      <c r="BB231" s="281">
        <f t="shared" si="154"/>
        <v>7.3</v>
      </c>
      <c r="BC231" s="281">
        <f>BB231+BC230</f>
        <v>758.49999999999989</v>
      </c>
      <c r="BD231" s="284">
        <f>A231</f>
        <v>42202</v>
      </c>
    </row>
    <row r="232" spans="1:56" s="275" customFormat="1" ht="12.75">
      <c r="A232" s="273">
        <f t="shared" si="155"/>
        <v>42203</v>
      </c>
      <c r="B232" s="274">
        <f t="shared" si="165"/>
        <v>199</v>
      </c>
      <c r="C232" s="275">
        <f t="shared" si="166"/>
        <v>0</v>
      </c>
      <c r="D232" s="276">
        <f t="shared" si="167"/>
        <v>0</v>
      </c>
      <c r="E232" s="276">
        <f t="shared" si="168"/>
        <v>0.33496296355555544</v>
      </c>
      <c r="F232" s="276"/>
      <c r="G232" s="276">
        <f t="shared" si="169"/>
        <v>0</v>
      </c>
      <c r="H232" s="276">
        <f t="shared" si="170"/>
        <v>0</v>
      </c>
      <c r="I232" s="276">
        <f t="shared" si="171"/>
        <v>0</v>
      </c>
      <c r="J232" s="276">
        <f>IFERROR(IF($G$1="Sí",VLOOKUP($A232,CSVAgro,13,FALSE),VLOOKUP($A232,SWB!$C$15:$P$202,14,FALSE)),0)</f>
        <v>0</v>
      </c>
      <c r="K232" s="487">
        <f t="shared" si="172"/>
        <v>0</v>
      </c>
      <c r="L232" s="487">
        <f t="shared" si="139"/>
        <v>0</v>
      </c>
      <c r="M232" s="487">
        <f t="shared" si="140"/>
        <v>0</v>
      </c>
      <c r="N232" s="277">
        <f>IF(ISERROR($G$1="Sí"),VLOOKUP($A232,CSVAgro,16,FALSE),IF(ISERROR(VLOOKUP($A232,Clima!$W$8:$Z$284,2,FALSE)),VLOOKUP($A232,Clima!$E$8:$H$372,2,FALSE),VLOOKUP($A232,Clima!$W$8:$Z$284,2,FALSE)))</f>
        <v>26.2</v>
      </c>
      <c r="O232" s="276">
        <f t="shared" si="173"/>
        <v>0</v>
      </c>
      <c r="P232" s="276">
        <f t="shared" si="156"/>
        <v>174.50000000000006</v>
      </c>
      <c r="Q232" s="487">
        <f t="shared" si="142"/>
        <v>270</v>
      </c>
      <c r="R232" s="278">
        <f>N232</f>
        <v>26.2</v>
      </c>
      <c r="S232" s="278">
        <f>R232</f>
        <v>26.2</v>
      </c>
      <c r="T232" s="279">
        <f>B232</f>
        <v>199</v>
      </c>
      <c r="U232" s="279">
        <f>IF(_xlfn.ISOWEEKNUM(A232)&lt;40,_xlfn.ISOWEEKNUM(A232),_xlfn.ISOWEEKNUM(A232)-53)</f>
        <v>29</v>
      </c>
      <c r="V232" s="276">
        <f>MAX(W232-W231,0)</f>
        <v>0</v>
      </c>
      <c r="W232" s="276">
        <f>IF(AND(S232&gt;VLOOKUP(Inputs!$I$2,Extracciones,3),S232&lt;VLOOKUP(Inputs!$I$2,Extracciones,5)),(S232-VLOOKUP(Inputs!$I$2,Extracciones,3))*Inputs!$E$12,0)</f>
        <v>0</v>
      </c>
      <c r="X232" s="278">
        <f>IF(AD232=0,VLOOKUP(R232,Mineral,2)*R232*Inputs!$C$16*Inputs!$E$37,VLOOKUP(R232,Mineral,2)*R232*Inputs!$C$16)</f>
        <v>0.26200000000000001</v>
      </c>
      <c r="Y232" s="278">
        <f>SUM(K232,M232)*Inputs!$O$8*14/(100*62)</f>
        <v>0</v>
      </c>
      <c r="Z232" s="278">
        <f t="shared" si="158"/>
        <v>0</v>
      </c>
      <c r="AA232" s="278">
        <f t="shared" si="159"/>
        <v>0</v>
      </c>
      <c r="AB232" s="279"/>
      <c r="AC232" s="278">
        <f>-L232*AH231/100</f>
        <v>0</v>
      </c>
      <c r="AD232" s="279">
        <f>IFERROR(-VLOOKUP(A232,FenoT,9),0)</f>
        <v>0</v>
      </c>
      <c r="AE232" s="278">
        <f>AE231+AD232</f>
        <v>-325.66049999999956</v>
      </c>
      <c r="AF232" s="278">
        <f>AF231+SUM(X232:Z232)+SUM(AC232:AD232)</f>
        <v>55.976985734783455</v>
      </c>
      <c r="AG232" s="279">
        <f>VLOOKUP(A232,FenoT,10)</f>
        <v>0</v>
      </c>
      <c r="AH232" s="279">
        <f>AF232*1000000/(Inputs!$C$9*100*Inputs!$C$8*1000*(1-Inputs!$C$10)*(1+Inputs!$C$12))</f>
        <v>11.19987709779581</v>
      </c>
      <c r="AI232" s="279">
        <f>IFERROR(HLOOKUP(A232,Inputs!$C$14:$C$15,2,FALSE),-100)</f>
        <v>-100</v>
      </c>
      <c r="AJ232" s="281">
        <f>IF(AF232&gt;AG232,0,1)</f>
        <v>0</v>
      </c>
      <c r="AK232" s="282">
        <f t="shared" si="180"/>
        <v>103.71100000000008</v>
      </c>
      <c r="AL232" s="282">
        <f t="shared" si="180"/>
        <v>18.290322580645153</v>
      </c>
      <c r="AM232" s="282">
        <f>AC232+AM231</f>
        <v>-1.9838368458620446</v>
      </c>
      <c r="AN232" s="283">
        <f>IFERROR(IF($G$1="Sí",VLOOKUP($A232,CSVAgro,9,FALSE),VLOOKUP($A232,Clima!$E$8:$Q$373,13,FALSE)),0)</f>
        <v>7.8</v>
      </c>
      <c r="AO232" s="281">
        <f>AN232+AO231</f>
        <v>708.90000000000009</v>
      </c>
      <c r="AP232" s="281">
        <f>IFERROR(VLOOKUP($A232,'F TrB'!$C$3:$O$21,3,FALSE),-9999)</f>
        <v>-9999</v>
      </c>
      <c r="AQ232" s="281">
        <f>IF(AP232&gt;0,1.4,-999)</f>
        <v>-999</v>
      </c>
      <c r="AR232" s="281">
        <f>IFERROR(IF(VLOOKUP($A232,'F TrB'!$Q$3:$R$21,2,FALSE)=0,-99999,VLOOKUP($A232,'F TrB'!$Q$3:$R$21,2,FALSE)),-99999)</f>
        <v>-99999</v>
      </c>
      <c r="AS232" s="281">
        <f>IF(AR232&gt;1,1.4,-99999)</f>
        <v>-99999</v>
      </c>
      <c r="AT232" s="281" t="str">
        <f>IFERROR(VLOOKUP($A232,'NDVI tipo'!$Q$8:$S$30,2,FALSE),"")</f>
        <v/>
      </c>
      <c r="AU232" s="281">
        <f>IF(ISERROR(VLOOKUP($A232,'NDVI tipo'!$Q$8:$S$50,2,FALSE)),AU231+VLOOKUP($A232,'NDVI tipo'!$Q$8:$S$50,3,TRUE),VLOOKUP($A232,'NDVI tipo'!$Q$8:$S$50,2,FALSE))</f>
        <v>0.30451499999999998</v>
      </c>
      <c r="AV232" s="281">
        <f>IFERROR(VLOOKUP($A232,'NDVI real'!$Q$8:$S$44,2,FALSE),-999)</f>
        <v>-999</v>
      </c>
      <c r="AW232" s="281">
        <f>IF(ISERROR(VLOOKUP($A232,'NDVI real'!$T$8:$U$350,2,FALSE)),"",VLOOKUP($A232,'NDVI real'!$T$8:$U$350,2,FALSE))</f>
        <v>0.30205761358024685</v>
      </c>
      <c r="AX232" s="286">
        <f>IFERROR(VLOOKUP($A232,SWB!$C$15:$BE$244,53,FALSE),"")</f>
        <v>14.842234297001852</v>
      </c>
      <c r="AY232" s="286">
        <f>IFERROR(VLOOKUP($A232,SWB!$C$15:$BE$244,55,FALSE),"")</f>
        <v>0</v>
      </c>
      <c r="AZ232" s="281">
        <f>IF(ISERROR(VLOOKUP($A232,Clima!$V$8:$AI$320,14,FALSE)),-999,VLOOKUP(A232,Clima!$V$8:$AI$219,14,FALSE))</f>
        <v>6.5</v>
      </c>
      <c r="BA232" s="281">
        <f>IF(AZ232=-999,-999,AZ232+BA231)</f>
        <v>764.99999999999989</v>
      </c>
      <c r="BB232" s="281">
        <f t="shared" si="154"/>
        <v>6.5</v>
      </c>
      <c r="BC232" s="281">
        <f>BB232+BC231</f>
        <v>764.99999999999989</v>
      </c>
      <c r="BD232" s="284">
        <f>A232</f>
        <v>42203</v>
      </c>
    </row>
    <row r="233" spans="1:56" s="289" customFormat="1">
      <c r="A233" s="273" t="s">
        <v>62</v>
      </c>
      <c r="B233" s="274"/>
      <c r="C233" s="275"/>
      <c r="D233" s="276">
        <f>CSV!I222</f>
        <v>0</v>
      </c>
      <c r="E233" s="276"/>
      <c r="F233" s="276"/>
      <c r="G233" s="276"/>
      <c r="H233" s="276"/>
      <c r="I233" s="276">
        <f>SUM(I45:I228)</f>
        <v>651.51807300000053</v>
      </c>
      <c r="J233" s="277">
        <f>SUM(J45:J228)</f>
        <v>174.50000000000006</v>
      </c>
      <c r="K233" s="277">
        <f>SUM(K45:K228)</f>
        <v>270</v>
      </c>
      <c r="L233" s="276">
        <f>SUM(L45:L228)</f>
        <v>10.87706571575051</v>
      </c>
      <c r="M233" s="442">
        <f>SUM(M45:M228)</f>
        <v>270</v>
      </c>
      <c r="N233" s="277"/>
      <c r="O233" s="276"/>
      <c r="P233" s="276"/>
      <c r="Q233" s="276"/>
      <c r="R233" s="278"/>
      <c r="S233" s="278"/>
      <c r="T233" s="279"/>
      <c r="U233" s="279"/>
      <c r="V233" s="279">
        <f>SUM(V45:V228)</f>
        <v>0</v>
      </c>
      <c r="W233" s="279"/>
      <c r="X233" s="278">
        <f>IF(AD233=0,VLOOKUP(R233,Mineral,2)*R233*Inputs!$C$16*Inputs!$E$37,VLOOKUP(R233,Mineral,2)*R233*Inputs!$C$16)</f>
        <v>0</v>
      </c>
      <c r="Y233" s="278">
        <f>SUM(K233,M233)*Inputs!$O$8*14/(100*62)</f>
        <v>18.29032258064516</v>
      </c>
      <c r="Z233" s="278">
        <f t="shared" si="158"/>
        <v>0</v>
      </c>
      <c r="AA233" s="278">
        <f t="shared" si="159"/>
        <v>0</v>
      </c>
      <c r="AB233" s="279"/>
      <c r="AC233" s="278">
        <f>SUM(AC6:AC228)</f>
        <v>-1.9838368458620446</v>
      </c>
      <c r="AD233" s="279">
        <f t="shared" si="145"/>
        <v>0</v>
      </c>
      <c r="AE233" s="278"/>
      <c r="AF233" s="278">
        <f>AF228+SUM(X233:Z233)+SUM(AC233:AD233)</f>
        <v>71.191471469566579</v>
      </c>
      <c r="AG233" s="279"/>
      <c r="AH233" s="287"/>
      <c r="AI233" s="279">
        <f>IFERROR(HLOOKUP(A233,Inputs!$C$14:$C$15,2,FALSE),-100)</f>
        <v>-100</v>
      </c>
      <c r="AJ233" s="288">
        <f>IF(AF233&gt;AG233,0,1)</f>
        <v>0</v>
      </c>
      <c r="AK233" s="282"/>
      <c r="AL233" s="282"/>
      <c r="AM233" s="282"/>
      <c r="AN233" s="281"/>
      <c r="AO233" s="281"/>
      <c r="AP233" s="281"/>
      <c r="AQ233" s="281"/>
      <c r="AR233" s="281"/>
      <c r="AS233" s="281"/>
      <c r="AT233" s="281" t="str">
        <f>IFERROR(VLOOKUP($A233,'NDVI tipo'!$Q$8:$S$30,2,FALSE),"")</f>
        <v/>
      </c>
      <c r="AU233" s="281"/>
      <c r="AV233" s="281"/>
      <c r="AW233" s="281" t="str">
        <f>IF(ISERROR(VLOOKUP($A233,'NDVI real'!$T$8:$U$350,2,FALSE)),"",VLOOKUP($A233,'NDVI real'!$T$8:$U$350,2,FALSE))</f>
        <v/>
      </c>
      <c r="AX233" s="281" t="str">
        <f>IFERROR(VLOOKUP($A233,SWB!$C$15:$BE$244,53,FALSE),"")</f>
        <v/>
      </c>
      <c r="AY233" s="281" t="str">
        <f>IFERROR(VLOOKUP($A233,SWB!$C$15:$BE$244,55,FALSE),"")</f>
        <v/>
      </c>
      <c r="AZ233" s="288"/>
      <c r="BA233" s="284"/>
      <c r="BB233" s="281"/>
      <c r="BC233" s="281"/>
      <c r="BD233" s="288"/>
    </row>
    <row r="234" spans="1:56">
      <c r="A234" s="262" t="s">
        <v>349</v>
      </c>
      <c r="AD234" s="272">
        <f t="shared" si="145"/>
        <v>0</v>
      </c>
      <c r="AH234" s="100"/>
      <c r="AJ234" s="221"/>
      <c r="AK234" s="267"/>
      <c r="AL234" s="267"/>
      <c r="AM234" s="267"/>
      <c r="AN234" s="221"/>
      <c r="AO234" s="221"/>
      <c r="AP234" s="221"/>
      <c r="AQ234" s="221"/>
      <c r="AR234" s="221"/>
      <c r="AS234" s="221"/>
      <c r="AT234" s="221" t="str">
        <f>IFERROR(VLOOKUP($A234,'NDVI tipo'!$Q$8:$S$30,2,FALSE),"")</f>
        <v/>
      </c>
      <c r="AU234" s="221"/>
      <c r="AV234" s="221"/>
      <c r="AW234" s="221" t="str">
        <f>IF(ISERROR(VLOOKUP($A234,'NDVI real'!$T$8:$U$350,2,FALSE)),"",VLOOKUP($A234,'NDVI real'!$T$8:$U$350,2,FALSE))</f>
        <v/>
      </c>
      <c r="AX234" s="221" t="str">
        <f>IFERROR(VLOOKUP($A234,SWB!$C$15:$BE$244,53,FALSE),"")</f>
        <v/>
      </c>
      <c r="AY234" s="221" t="str">
        <f>IFERROR(VLOOKUP($A234,SWB!$C$15:$BE$244,55,FALSE),"")</f>
        <v/>
      </c>
      <c r="AZ234" s="221"/>
      <c r="BA234" s="268"/>
      <c r="BB234" s="221"/>
      <c r="BC234" s="221"/>
      <c r="BD234" s="221"/>
    </row>
    <row r="235" spans="1:56" ht="12.75">
      <c r="A235" s="262" t="s">
        <v>350</v>
      </c>
      <c r="AH235" s="221"/>
      <c r="AJ235" s="221"/>
      <c r="AK235" s="267"/>
      <c r="AL235" s="267"/>
      <c r="AM235" s="267"/>
      <c r="AN235" s="221"/>
      <c r="AO235" s="221"/>
      <c r="AP235" s="221"/>
      <c r="AQ235" s="221"/>
      <c r="AR235" s="221"/>
      <c r="AS235" s="221"/>
      <c r="AT235" s="221" t="str">
        <f>IFERROR(VLOOKUP($A235,'NDVI tipo'!$Q$8:$S$30,2,FALSE),"")</f>
        <v/>
      </c>
      <c r="AU235" s="221"/>
      <c r="AV235" s="221"/>
      <c r="AW235" s="221" t="str">
        <f>IF(ISERROR(VLOOKUP($A235,'NDVI real'!$T$8:$U$350,2,FALSE)),"",VLOOKUP($A235,'NDVI real'!$T$8:$U$350,2,FALSE))</f>
        <v/>
      </c>
      <c r="AX235" s="221" t="str">
        <f>IFERROR(VLOOKUP($A235,SWB!$C$15:$BE$244,53,FALSE),"")</f>
        <v/>
      </c>
      <c r="AY235" s="221" t="str">
        <f>IFERROR(VLOOKUP($A235,SWB!$C$15:$BE$244,55,FALSE),"")</f>
        <v/>
      </c>
      <c r="AZ235" s="221"/>
      <c r="BA235" s="268"/>
      <c r="BB235" s="221"/>
      <c r="BC235" s="221"/>
      <c r="BD235" s="221"/>
    </row>
    <row r="236" spans="1:56" ht="12.75">
      <c r="A236" s="262" t="s">
        <v>351</v>
      </c>
      <c r="AH236" s="221"/>
      <c r="AJ236" s="221"/>
      <c r="AK236" s="267"/>
      <c r="AL236" s="267"/>
      <c r="AM236" s="267"/>
      <c r="AN236" s="221"/>
      <c r="AO236" s="221"/>
      <c r="AP236" s="221"/>
      <c r="AQ236" s="221"/>
      <c r="AR236" s="221"/>
      <c r="AS236" s="221"/>
      <c r="AT236" s="221" t="str">
        <f>IFERROR(VLOOKUP($A236,'NDVI tipo'!$Q$8:$S$30,2,FALSE),"")</f>
        <v/>
      </c>
      <c r="AU236" s="221"/>
      <c r="AV236" s="221"/>
      <c r="AW236" s="221" t="str">
        <f>IF(ISERROR(VLOOKUP($A236,'NDVI real'!$T$8:$U$350,2,FALSE)),"",VLOOKUP($A236,'NDVI real'!$T$8:$U$350,2,FALSE))</f>
        <v/>
      </c>
      <c r="AX236" s="221" t="str">
        <f>IFERROR(VLOOKUP($A236,SWB!$C$15:$BE$244,53,FALSE),"")</f>
        <v/>
      </c>
      <c r="AY236" s="221" t="str">
        <f>IFERROR(VLOOKUP($A236,SWB!$C$15:$BE$244,55,FALSE),"")</f>
        <v/>
      </c>
      <c r="AZ236" s="221"/>
      <c r="BA236" s="268"/>
      <c r="BB236" s="221"/>
      <c r="BC236" s="221"/>
      <c r="BD236" s="221"/>
    </row>
    <row r="237" spans="1:56" ht="12.75">
      <c r="A237" s="262" t="s">
        <v>352</v>
      </c>
      <c r="AH237" s="221"/>
      <c r="AJ237" s="221"/>
      <c r="AK237" s="267"/>
      <c r="AL237" s="267"/>
      <c r="AM237" s="267"/>
      <c r="AN237" s="221"/>
      <c r="AO237" s="221"/>
      <c r="AP237" s="221"/>
      <c r="AQ237" s="221"/>
      <c r="AR237" s="221"/>
      <c r="AS237" s="221"/>
      <c r="AT237" s="221" t="str">
        <f>IFERROR(VLOOKUP($A237,'NDVI tipo'!$Q$8:$S$30,2,FALSE),"")</f>
        <v/>
      </c>
      <c r="AU237" s="221"/>
      <c r="AV237" s="221"/>
      <c r="AW237" s="221" t="str">
        <f>IF(ISERROR(VLOOKUP($A237,'NDVI real'!$T$8:$U$350,2,FALSE)),"",VLOOKUP($A237,'NDVI real'!$T$8:$U$350,2,FALSE))</f>
        <v/>
      </c>
      <c r="AX237" s="221" t="str">
        <f>IFERROR(VLOOKUP($A237,SWB!$C$15:$BE$244,53,FALSE),"")</f>
        <v/>
      </c>
      <c r="AY237" s="221" t="str">
        <f>IFERROR(VLOOKUP($A237,SWB!$C$15:$BE$244,55,FALSE),"")</f>
        <v/>
      </c>
      <c r="AZ237" s="221"/>
      <c r="BA237" s="268"/>
      <c r="BB237" s="221"/>
      <c r="BC237" s="221"/>
      <c r="BD237" s="221"/>
    </row>
    <row r="238" spans="1:56" ht="12.75">
      <c r="A238" s="262" t="s">
        <v>353</v>
      </c>
      <c r="AH238" s="221"/>
      <c r="AJ238" s="221"/>
      <c r="AK238" s="267"/>
      <c r="AL238" s="267"/>
      <c r="AM238" s="267"/>
      <c r="AN238" s="221"/>
      <c r="AO238" s="221"/>
      <c r="AP238" s="221"/>
      <c r="AQ238" s="221"/>
      <c r="AR238" s="221"/>
      <c r="AS238" s="221"/>
      <c r="AT238" s="221" t="str">
        <f>IFERROR(VLOOKUP($A238,'NDVI tipo'!$Q$8:$S$30,2,FALSE),"")</f>
        <v/>
      </c>
      <c r="AU238" s="221"/>
      <c r="AV238" s="221"/>
      <c r="AW238" s="221" t="str">
        <f>IF(ISERROR(VLOOKUP($A238,'NDVI real'!$T$8:$U$350,2,FALSE)),"",VLOOKUP($A238,'NDVI real'!$T$8:$U$350,2,FALSE))</f>
        <v/>
      </c>
      <c r="AX238" s="221" t="str">
        <f>IFERROR(VLOOKUP($A238,SWB!$C$15:$BE$244,53,FALSE),"")</f>
        <v/>
      </c>
      <c r="AY238" s="221" t="str">
        <f>IFERROR(VLOOKUP($A238,SWB!$C$15:$BE$244,55,FALSE),"")</f>
        <v/>
      </c>
      <c r="AZ238" s="221"/>
      <c r="BA238" s="268"/>
      <c r="BB238" s="221"/>
      <c r="BC238" s="221"/>
      <c r="BD238" s="221"/>
    </row>
    <row r="239" spans="1:56" ht="12.75">
      <c r="A239" s="262" t="s">
        <v>354</v>
      </c>
      <c r="AH239" s="221"/>
      <c r="AJ239" s="221"/>
      <c r="AK239" s="267"/>
      <c r="AL239" s="267"/>
      <c r="AM239" s="267"/>
      <c r="AN239" s="221"/>
      <c r="AO239" s="221"/>
      <c r="AP239" s="221"/>
      <c r="AQ239" s="221"/>
      <c r="AR239" s="221"/>
      <c r="AS239" s="221"/>
      <c r="AT239" s="221" t="str">
        <f>IFERROR(VLOOKUP($A239,'NDVI tipo'!$Q$8:$S$30,2,FALSE),"")</f>
        <v/>
      </c>
      <c r="AU239" s="221"/>
      <c r="AV239" s="221"/>
      <c r="AW239" s="221" t="str">
        <f>IF(ISERROR(VLOOKUP($A239,'NDVI real'!$T$8:$U$350,2,FALSE)),"",VLOOKUP($A239,'NDVI real'!$T$8:$U$350,2,FALSE))</f>
        <v/>
      </c>
      <c r="AX239" s="221" t="str">
        <f>IFERROR(VLOOKUP($A239,SWB!$C$15:$BE$244,53,FALSE),"")</f>
        <v/>
      </c>
      <c r="AY239" s="221" t="str">
        <f>IFERROR(VLOOKUP($A239,SWB!$C$15:$BE$244,55,FALSE),"")</f>
        <v/>
      </c>
      <c r="AZ239" s="221"/>
      <c r="BA239" s="268"/>
      <c r="BB239" s="221"/>
      <c r="BC239" s="221"/>
      <c r="BD239" s="221"/>
    </row>
    <row r="240" spans="1:56" ht="12.75">
      <c r="A240" s="262" t="s">
        <v>355</v>
      </c>
      <c r="AH240" s="221"/>
      <c r="AJ240" s="221"/>
      <c r="AK240" s="267"/>
      <c r="AL240" s="267"/>
      <c r="AM240" s="267"/>
      <c r="AN240" s="221"/>
      <c r="AO240" s="221"/>
      <c r="AP240" s="221"/>
      <c r="AQ240" s="221"/>
      <c r="AR240" s="221"/>
      <c r="AS240" s="221"/>
      <c r="AT240" s="221" t="str">
        <f>IFERROR(VLOOKUP($A240,'NDVI tipo'!$Q$8:$S$30,2,FALSE),"")</f>
        <v/>
      </c>
      <c r="AU240" s="221"/>
      <c r="AV240" s="221"/>
      <c r="AW240" s="221" t="str">
        <f>IF(ISERROR(VLOOKUP($A240,'NDVI real'!$T$8:$U$350,2,FALSE)),"",VLOOKUP($A240,'NDVI real'!$T$8:$U$350,2,FALSE))</f>
        <v/>
      </c>
      <c r="AX240" s="221" t="str">
        <f>IFERROR(VLOOKUP($A240,SWB!$C$15:$BE$244,53,FALSE),"")</f>
        <v/>
      </c>
      <c r="AY240" s="221" t="str">
        <f>IFERROR(VLOOKUP($A240,SWB!$C$15:$BE$244,55,FALSE),"")</f>
        <v/>
      </c>
      <c r="AZ240" s="221"/>
      <c r="BA240" s="268"/>
      <c r="BB240" s="221"/>
      <c r="BC240" s="221"/>
      <c r="BD240" s="221"/>
    </row>
    <row r="241" spans="1:56" ht="12.75">
      <c r="A241" s="262" t="s">
        <v>356</v>
      </c>
      <c r="AH241" s="221"/>
      <c r="AJ241" s="221"/>
      <c r="AK241" s="267"/>
      <c r="AL241" s="267"/>
      <c r="AM241" s="267"/>
      <c r="AN241" s="221"/>
      <c r="AO241" s="221"/>
      <c r="AP241" s="221"/>
      <c r="AQ241" s="221"/>
      <c r="AR241" s="221"/>
      <c r="AS241" s="221"/>
      <c r="AT241" s="221" t="str">
        <f>IFERROR(VLOOKUP($A241,'NDVI tipo'!$Q$8:$S$30,2,FALSE),"")</f>
        <v/>
      </c>
      <c r="AU241" s="221"/>
      <c r="AV241" s="221"/>
      <c r="AW241" s="221" t="str">
        <f>IF(ISERROR(VLOOKUP($A241,'NDVI real'!$T$8:$U$350,2,FALSE)),"",VLOOKUP($A241,'NDVI real'!$T$8:$U$350,2,FALSE))</f>
        <v/>
      </c>
      <c r="AX241" s="221" t="str">
        <f>IFERROR(VLOOKUP($A241,SWB!$C$15:$BE$244,53,FALSE),"")</f>
        <v/>
      </c>
      <c r="AY241" s="221" t="str">
        <f>IFERROR(VLOOKUP($A241,SWB!$C$15:$BE$244,55,FALSE),"")</f>
        <v/>
      </c>
      <c r="AZ241" s="221"/>
      <c r="BA241" s="268"/>
      <c r="BB241" s="221"/>
      <c r="BC241" s="221"/>
      <c r="BD241" s="221"/>
    </row>
    <row r="242" spans="1:56" ht="12.75">
      <c r="A242" s="262" t="s">
        <v>357</v>
      </c>
      <c r="AH242" s="221"/>
      <c r="AJ242" s="221"/>
      <c r="AK242" s="267"/>
      <c r="AL242" s="267"/>
      <c r="AM242" s="267"/>
      <c r="AN242" s="221"/>
      <c r="AO242" s="221"/>
      <c r="AP242" s="221"/>
      <c r="AQ242" s="221"/>
      <c r="AR242" s="221"/>
      <c r="AS242" s="221"/>
      <c r="AT242" s="221" t="str">
        <f>IFERROR(VLOOKUP($A242,'NDVI tipo'!$Q$8:$S$30,2,FALSE),"")</f>
        <v/>
      </c>
      <c r="AU242" s="221"/>
      <c r="AV242" s="221"/>
      <c r="AW242" s="221" t="str">
        <f>IF(ISERROR(VLOOKUP($A242,'NDVI real'!$T$8:$U$350,2,FALSE)),"",VLOOKUP($A242,'NDVI real'!$T$8:$U$350,2,FALSE))</f>
        <v/>
      </c>
      <c r="AX242" s="221" t="str">
        <f>IFERROR(VLOOKUP($A242,SWB!$C$15:$BE$244,53,FALSE),"")</f>
        <v/>
      </c>
      <c r="AY242" s="221" t="str">
        <f>IFERROR(VLOOKUP($A242,SWB!$C$15:$BE$244,55,FALSE),"")</f>
        <v/>
      </c>
      <c r="AZ242" s="221"/>
      <c r="BA242" s="268"/>
      <c r="BB242" s="221"/>
      <c r="BC242" s="221"/>
      <c r="BD242" s="221"/>
    </row>
    <row r="243" spans="1:56" ht="12.75">
      <c r="A243" s="262" t="s">
        <v>358</v>
      </c>
      <c r="AH243" s="221"/>
      <c r="AJ243" s="221"/>
      <c r="AK243" s="267"/>
      <c r="AL243" s="267"/>
      <c r="AM243" s="267"/>
      <c r="AN243" s="221"/>
      <c r="AO243" s="221"/>
      <c r="AP243" s="221"/>
      <c r="AQ243" s="221"/>
      <c r="AR243" s="221"/>
      <c r="AS243" s="221"/>
      <c r="AT243" s="221" t="str">
        <f>IFERROR(VLOOKUP($A243,'NDVI tipo'!$Q$8:$S$30,2,FALSE),"")</f>
        <v/>
      </c>
      <c r="AU243" s="221"/>
      <c r="AV243" s="221"/>
      <c r="AW243" s="221" t="str">
        <f>IF(ISERROR(VLOOKUP($A243,'NDVI real'!$T$8:$U$350,2,FALSE)),"",VLOOKUP($A243,'NDVI real'!$T$8:$U$350,2,FALSE))</f>
        <v/>
      </c>
      <c r="AX243" s="221" t="str">
        <f>IFERROR(VLOOKUP($A243,SWB!$C$15:$BE$244,53,FALSE),"")</f>
        <v/>
      </c>
      <c r="AY243" s="221" t="str">
        <f>IFERROR(VLOOKUP($A243,SWB!$C$15:$BE$244,55,FALSE),"")</f>
        <v/>
      </c>
      <c r="AZ243" s="221"/>
      <c r="BA243" s="268"/>
      <c r="BB243" s="221"/>
      <c r="BC243" s="221"/>
      <c r="BD243" s="221"/>
    </row>
    <row r="244" spans="1:56" ht="12.75">
      <c r="A244" s="262" t="s">
        <v>359</v>
      </c>
      <c r="AH244" s="221"/>
      <c r="AJ244" s="221"/>
      <c r="AK244" s="267"/>
      <c r="AL244" s="267"/>
      <c r="AM244" s="267"/>
      <c r="AN244" s="221"/>
      <c r="AO244" s="221"/>
      <c r="AP244" s="221"/>
      <c r="AQ244" s="221"/>
      <c r="AR244" s="221"/>
      <c r="AS244" s="221"/>
      <c r="AT244" s="221" t="str">
        <f>IFERROR(VLOOKUP($A244,'NDVI tipo'!$Q$8:$S$30,2,FALSE),"")</f>
        <v/>
      </c>
      <c r="AU244" s="221"/>
      <c r="AV244" s="221"/>
      <c r="AW244" s="221" t="str">
        <f>IF(ISERROR(VLOOKUP($A244,'NDVI real'!$T$8:$U$350,2,FALSE)),"",VLOOKUP($A244,'NDVI real'!$T$8:$U$350,2,FALSE))</f>
        <v/>
      </c>
      <c r="AX244" s="221" t="str">
        <f>IFERROR(VLOOKUP($A244,SWB!$C$15:$BE$244,53,FALSE),"")</f>
        <v/>
      </c>
      <c r="AY244" s="221" t="str">
        <f>IFERROR(VLOOKUP($A244,SWB!$C$15:$BE$244,55,FALSE),"")</f>
        <v/>
      </c>
      <c r="AZ244" s="221"/>
      <c r="BA244" s="268"/>
      <c r="BB244" s="221"/>
      <c r="BC244" s="221"/>
      <c r="BD244" s="221"/>
    </row>
    <row r="245" spans="1:56" ht="12.75">
      <c r="A245" s="262" t="s">
        <v>360</v>
      </c>
      <c r="AH245" s="221"/>
      <c r="AJ245" s="221"/>
      <c r="AK245" s="267"/>
      <c r="AL245" s="267"/>
      <c r="AM245" s="267"/>
      <c r="AN245" s="221"/>
      <c r="AO245" s="221"/>
      <c r="AP245" s="221"/>
      <c r="AQ245" s="221"/>
      <c r="AR245" s="221"/>
      <c r="AS245" s="221"/>
      <c r="AT245" s="221" t="str">
        <f>IFERROR(VLOOKUP($A245,'NDVI tipo'!$Q$8:$S$30,2,FALSE),"")</f>
        <v/>
      </c>
      <c r="AU245" s="221"/>
      <c r="AV245" s="221"/>
      <c r="AW245" s="221" t="str">
        <f>IF(ISERROR(VLOOKUP($A245,'NDVI real'!$T$8:$U$350,2,FALSE)),"",VLOOKUP($A245,'NDVI real'!$T$8:$U$350,2,FALSE))</f>
        <v/>
      </c>
      <c r="AX245" s="221" t="str">
        <f>IFERROR(VLOOKUP($A245,SWB!$C$15:$BE$244,53,FALSE),"")</f>
        <v/>
      </c>
      <c r="AY245" s="221" t="str">
        <f>IFERROR(VLOOKUP($A245,SWB!$C$15:$BE$244,55,FALSE),"")</f>
        <v/>
      </c>
      <c r="AZ245" s="221"/>
      <c r="BA245" s="268"/>
      <c r="BB245" s="221"/>
      <c r="BC245" s="221"/>
      <c r="BD245" s="221"/>
    </row>
    <row r="246" spans="1:56">
      <c r="AJ246" s="221"/>
      <c r="AK246" s="221"/>
      <c r="AL246" s="221"/>
      <c r="AM246" s="221"/>
      <c r="AN246" s="221"/>
      <c r="AO246" s="221"/>
      <c r="AP246" s="221"/>
      <c r="AQ246" s="221"/>
      <c r="AR246" s="221"/>
      <c r="AS246" s="136"/>
      <c r="AT246" s="221"/>
      <c r="AU246" s="221"/>
      <c r="AV246" s="221"/>
      <c r="AW246" s="221"/>
      <c r="AX246" s="221"/>
      <c r="AY246" s="221"/>
      <c r="AZ246" s="221"/>
      <c r="BA246" s="221"/>
      <c r="BB246" s="221"/>
      <c r="BC246" s="221"/>
      <c r="BD246" s="221"/>
    </row>
    <row r="247" spans="1:56" hidden="1">
      <c r="AJ247" s="221"/>
      <c r="AK247" s="221"/>
      <c r="AL247" s="221"/>
      <c r="AM247" s="221"/>
      <c r="AN247" s="221"/>
      <c r="AO247" s="221"/>
      <c r="AP247" s="221"/>
      <c r="AQ247" s="221"/>
      <c r="AR247" s="221"/>
      <c r="AS247" s="136"/>
      <c r="AT247" s="221"/>
      <c r="AU247" s="221"/>
      <c r="AV247" s="221"/>
      <c r="AW247" s="221"/>
      <c r="AX247" s="221"/>
      <c r="AY247" s="221"/>
      <c r="AZ247" s="221"/>
      <c r="BA247" s="221"/>
      <c r="BB247" s="221"/>
      <c r="BC247" s="221"/>
      <c r="BD247" s="221"/>
    </row>
    <row r="248" spans="1:56" hidden="1">
      <c r="AJ248" s="221"/>
      <c r="AK248" s="221"/>
      <c r="AL248" s="221"/>
      <c r="AM248" s="221"/>
      <c r="AN248" s="221"/>
      <c r="AO248" s="221"/>
      <c r="AP248" s="221"/>
      <c r="AQ248" s="221"/>
      <c r="AR248" s="221"/>
      <c r="AS248" s="136"/>
      <c r="AT248" s="221"/>
      <c r="AU248" s="221"/>
      <c r="AV248" s="221"/>
      <c r="AW248" s="221"/>
      <c r="AX248" s="221"/>
      <c r="AY248" s="221"/>
      <c r="AZ248" s="221"/>
      <c r="BA248" s="221"/>
      <c r="BB248" s="221"/>
      <c r="BC248" s="221"/>
      <c r="BD248" s="221"/>
    </row>
    <row r="249" spans="1:56" hidden="1">
      <c r="AJ249" s="221"/>
      <c r="AK249" s="221"/>
      <c r="AL249" s="221"/>
      <c r="AM249" s="221"/>
      <c r="AN249" s="221"/>
      <c r="AO249" s="221"/>
      <c r="AP249" s="221"/>
      <c r="AQ249" s="221"/>
      <c r="AR249" s="221"/>
      <c r="AS249" s="136"/>
      <c r="AT249" s="221"/>
      <c r="AU249" s="221"/>
      <c r="AV249" s="221"/>
      <c r="AW249" s="221"/>
      <c r="AX249" s="221"/>
      <c r="AY249" s="221"/>
      <c r="AZ249" s="221"/>
      <c r="BA249" s="221"/>
      <c r="BB249" s="221"/>
      <c r="BC249" s="221"/>
      <c r="BD249" s="221"/>
    </row>
    <row r="250" spans="1:56" hidden="1">
      <c r="AJ250" s="221"/>
      <c r="AK250" s="221"/>
      <c r="AL250" s="221"/>
      <c r="AM250" s="221"/>
      <c r="AN250" s="221"/>
      <c r="AO250" s="221"/>
      <c r="AP250" s="221"/>
      <c r="AQ250" s="221"/>
      <c r="AR250" s="221"/>
      <c r="AS250" s="136"/>
      <c r="AT250" s="221"/>
      <c r="AU250" s="221"/>
      <c r="AV250" s="221"/>
      <c r="AW250" s="221"/>
      <c r="AX250" s="221"/>
      <c r="AY250" s="221"/>
      <c r="AZ250" s="221"/>
      <c r="BA250" s="221"/>
      <c r="BB250" s="221"/>
      <c r="BC250" s="221"/>
      <c r="BD250" s="221"/>
    </row>
    <row r="251" spans="1:56" hidden="1">
      <c r="AJ251" s="221"/>
      <c r="AK251" s="221"/>
      <c r="AL251" s="221"/>
      <c r="AM251" s="221"/>
      <c r="AN251" s="221"/>
      <c r="AO251" s="221"/>
      <c r="AP251" s="221"/>
      <c r="AQ251" s="221"/>
      <c r="AR251" s="221"/>
      <c r="AS251" s="136"/>
      <c r="AT251" s="221"/>
      <c r="AU251" s="221"/>
      <c r="AV251" s="221"/>
      <c r="AW251" s="221"/>
      <c r="AX251" s="221"/>
      <c r="AY251" s="221"/>
      <c r="AZ251" s="221"/>
      <c r="BA251" s="221"/>
      <c r="BB251" s="221"/>
      <c r="BC251" s="221"/>
      <c r="BD251" s="221"/>
    </row>
    <row r="252" spans="1:56" hidden="1">
      <c r="AJ252" s="221"/>
      <c r="AK252" s="221"/>
      <c r="AL252" s="221"/>
      <c r="AM252" s="221"/>
      <c r="AN252" s="221"/>
      <c r="AO252" s="221"/>
      <c r="AP252" s="221"/>
      <c r="AQ252" s="221"/>
      <c r="AR252" s="221"/>
      <c r="AS252" s="136"/>
      <c r="AT252" s="221"/>
      <c r="AU252" s="221"/>
      <c r="AV252" s="221"/>
      <c r="AW252" s="221"/>
      <c r="AX252" s="221"/>
      <c r="AY252" s="221"/>
      <c r="AZ252" s="221"/>
      <c r="BA252" s="221"/>
      <c r="BB252" s="221"/>
      <c r="BC252" s="221"/>
      <c r="BD252" s="221"/>
    </row>
    <row r="253" spans="1:56" hidden="1">
      <c r="AJ253" s="221"/>
      <c r="AK253" s="221"/>
      <c r="AL253" s="221"/>
      <c r="AM253" s="221"/>
      <c r="AN253" s="221"/>
      <c r="AO253" s="221"/>
      <c r="AP253" s="221"/>
      <c r="AQ253" s="221"/>
      <c r="AR253" s="221"/>
      <c r="AS253" s="136"/>
      <c r="AT253" s="221"/>
      <c r="AU253" s="221"/>
      <c r="AV253" s="221"/>
      <c r="AW253" s="221"/>
      <c r="AX253" s="221"/>
      <c r="AY253" s="221"/>
      <c r="AZ253" s="221"/>
      <c r="BA253" s="221"/>
      <c r="BB253" s="221"/>
      <c r="BC253" s="221"/>
      <c r="BD253" s="221"/>
    </row>
    <row r="254" spans="1:56" hidden="1">
      <c r="AJ254" s="221"/>
      <c r="AK254" s="221"/>
      <c r="AL254" s="221"/>
      <c r="AM254" s="221"/>
      <c r="AN254" s="221"/>
      <c r="AO254" s="221"/>
      <c r="AP254" s="221"/>
      <c r="AQ254" s="221"/>
      <c r="AR254" s="221"/>
      <c r="AS254" s="136"/>
      <c r="AT254" s="221"/>
      <c r="AU254" s="221"/>
      <c r="AV254" s="221"/>
      <c r="AW254" s="221"/>
      <c r="AX254" s="221"/>
      <c r="AY254" s="221"/>
      <c r="AZ254" s="221"/>
      <c r="BA254" s="221"/>
      <c r="BB254" s="221"/>
      <c r="BC254" s="221"/>
      <c r="BD254" s="221"/>
    </row>
    <row r="255" spans="1:56" hidden="1">
      <c r="AJ255" s="221"/>
      <c r="AK255" s="221"/>
      <c r="AL255" s="221"/>
      <c r="AM255" s="221"/>
      <c r="AN255" s="221"/>
      <c r="AO255" s="221"/>
      <c r="AP255" s="221"/>
      <c r="AQ255" s="221"/>
      <c r="AR255" s="221"/>
      <c r="AS255" s="136"/>
      <c r="AT255" s="221"/>
      <c r="AU255" s="221"/>
      <c r="AV255" s="221"/>
      <c r="AW255" s="221"/>
      <c r="AX255" s="221"/>
      <c r="AY255" s="221"/>
      <c r="AZ255" s="221"/>
      <c r="BA255" s="221"/>
      <c r="BB255" s="221"/>
      <c r="BC255" s="221"/>
      <c r="BD255" s="221"/>
    </row>
    <row r="256" spans="1:56" hidden="1">
      <c r="AJ256" s="221"/>
      <c r="AK256" s="221"/>
      <c r="AL256" s="221"/>
      <c r="AM256" s="221"/>
      <c r="AN256" s="221"/>
      <c r="AO256" s="221"/>
      <c r="AP256" s="221"/>
      <c r="AQ256" s="221"/>
      <c r="AR256" s="221"/>
      <c r="AS256" s="136"/>
      <c r="AT256" s="221"/>
      <c r="AU256" s="221"/>
      <c r="AV256" s="221"/>
      <c r="AW256" s="221"/>
      <c r="AX256" s="221"/>
      <c r="AY256" s="221"/>
      <c r="AZ256" s="221"/>
      <c r="BA256" s="221"/>
      <c r="BB256" s="221"/>
      <c r="BC256" s="221"/>
      <c r="BD256" s="221"/>
    </row>
    <row r="257" spans="36:56" hidden="1">
      <c r="AJ257" s="221"/>
      <c r="AK257" s="221"/>
      <c r="AL257" s="221"/>
      <c r="AM257" s="221"/>
      <c r="AN257" s="221"/>
      <c r="AO257" s="221"/>
      <c r="AP257" s="221"/>
      <c r="AQ257" s="221"/>
      <c r="AR257" s="221"/>
      <c r="AS257" s="136"/>
      <c r="AT257" s="221"/>
      <c r="AU257" s="221"/>
      <c r="AV257" s="221"/>
      <c r="AW257" s="221"/>
      <c r="AX257" s="221"/>
      <c r="AY257" s="221"/>
      <c r="AZ257" s="221"/>
      <c r="BA257" s="221"/>
      <c r="BB257" s="221"/>
      <c r="BC257" s="221"/>
      <c r="BD257" s="221"/>
    </row>
    <row r="258" spans="36:56" hidden="1">
      <c r="AJ258" s="221"/>
      <c r="AK258" s="221"/>
      <c r="AL258" s="221"/>
      <c r="AM258" s="221"/>
      <c r="AN258" s="221"/>
      <c r="AO258" s="221"/>
      <c r="AP258" s="221"/>
      <c r="AQ258" s="221"/>
      <c r="AR258" s="221"/>
      <c r="AS258" s="136"/>
      <c r="AT258" s="221"/>
      <c r="AU258" s="221"/>
      <c r="AV258" s="221"/>
      <c r="AW258" s="221"/>
      <c r="AX258" s="221"/>
      <c r="AY258" s="221"/>
      <c r="AZ258" s="221"/>
      <c r="BA258" s="221"/>
      <c r="BB258" s="221"/>
      <c r="BC258" s="221"/>
      <c r="BD258" s="221"/>
    </row>
    <row r="259" spans="36:56" hidden="1">
      <c r="AJ259" s="221"/>
      <c r="AK259" s="221"/>
      <c r="AL259" s="221"/>
      <c r="AM259" s="221"/>
      <c r="AN259" s="221"/>
      <c r="AO259" s="221"/>
      <c r="AP259" s="221"/>
      <c r="AQ259" s="221"/>
      <c r="AR259" s="221"/>
      <c r="AS259" s="136"/>
      <c r="AT259" s="221"/>
      <c r="AU259" s="221"/>
      <c r="AV259" s="221"/>
      <c r="AW259" s="221"/>
      <c r="AX259" s="221"/>
      <c r="AY259" s="221"/>
      <c r="AZ259" s="221"/>
      <c r="BA259" s="221"/>
      <c r="BB259" s="221"/>
      <c r="BC259" s="221"/>
      <c r="BD259" s="221"/>
    </row>
    <row r="260" spans="36:56" hidden="1">
      <c r="AJ260" s="221"/>
      <c r="AK260" s="221"/>
      <c r="AL260" s="221"/>
      <c r="AM260" s="221"/>
      <c r="AN260" s="221"/>
      <c r="AO260" s="221"/>
      <c r="AP260" s="221"/>
      <c r="AQ260" s="221"/>
      <c r="AR260" s="221"/>
      <c r="AS260" s="136"/>
      <c r="AT260" s="221"/>
      <c r="AU260" s="221"/>
      <c r="AV260" s="221"/>
      <c r="AW260" s="221"/>
      <c r="AX260" s="221"/>
      <c r="AY260" s="221"/>
      <c r="AZ260" s="221"/>
      <c r="BA260" s="221"/>
      <c r="BB260" s="221"/>
      <c r="BC260" s="221"/>
      <c r="BD260" s="221"/>
    </row>
    <row r="261" spans="36:56" hidden="1">
      <c r="AJ261" s="221"/>
      <c r="AK261" s="221"/>
      <c r="AL261" s="221"/>
      <c r="AM261" s="221"/>
      <c r="AN261" s="221"/>
      <c r="AO261" s="221"/>
      <c r="AP261" s="221"/>
      <c r="AQ261" s="221"/>
      <c r="AR261" s="221"/>
      <c r="AS261" s="136"/>
      <c r="AT261" s="221"/>
      <c r="AU261" s="221"/>
      <c r="AV261" s="221"/>
      <c r="AW261" s="221"/>
      <c r="AX261" s="221"/>
      <c r="AY261" s="221"/>
      <c r="AZ261" s="221"/>
      <c r="BA261" s="221"/>
      <c r="BB261" s="221"/>
      <c r="BC261" s="221"/>
      <c r="BD261" s="221"/>
    </row>
    <row r="262" spans="36:56" hidden="1">
      <c r="AJ262" s="221"/>
      <c r="AK262" s="221"/>
      <c r="AL262" s="221"/>
      <c r="AM262" s="221"/>
      <c r="AN262" s="221"/>
      <c r="AO262" s="221"/>
      <c r="AP262" s="221"/>
      <c r="AQ262" s="221"/>
      <c r="AR262" s="221"/>
      <c r="AS262" s="136"/>
      <c r="AT262" s="221"/>
      <c r="AU262" s="221"/>
      <c r="AV262" s="221"/>
      <c r="AW262" s="221"/>
      <c r="AX262" s="221"/>
      <c r="AY262" s="221"/>
      <c r="AZ262" s="221"/>
      <c r="BA262" s="221"/>
      <c r="BB262" s="221"/>
      <c r="BC262" s="221"/>
      <c r="BD262" s="221"/>
    </row>
    <row r="263" spans="36:56" hidden="1">
      <c r="AJ263" s="221"/>
      <c r="AK263" s="221"/>
      <c r="AL263" s="221"/>
      <c r="AM263" s="221"/>
      <c r="AN263" s="221"/>
      <c r="AO263" s="221"/>
      <c r="AP263" s="221"/>
      <c r="AQ263" s="221"/>
      <c r="AR263" s="221"/>
      <c r="AS263" s="136"/>
      <c r="AT263" s="221"/>
      <c r="AU263" s="221"/>
      <c r="AV263" s="221"/>
      <c r="AW263" s="221"/>
      <c r="AX263" s="221"/>
      <c r="AY263" s="221"/>
      <c r="AZ263" s="221"/>
      <c r="BA263" s="221"/>
      <c r="BB263" s="221"/>
      <c r="BC263" s="221"/>
      <c r="BD263" s="221"/>
    </row>
    <row r="264" spans="36:56" hidden="1">
      <c r="AJ264" s="221"/>
      <c r="AK264" s="221"/>
      <c r="AL264" s="221"/>
      <c r="AM264" s="221"/>
      <c r="AN264" s="221"/>
      <c r="AO264" s="221"/>
      <c r="AP264" s="221"/>
      <c r="AQ264" s="221"/>
      <c r="AR264" s="221"/>
      <c r="AS264" s="136"/>
      <c r="AT264" s="221"/>
      <c r="AU264" s="221"/>
      <c r="AV264" s="221"/>
      <c r="AW264" s="221"/>
      <c r="AX264" s="221"/>
      <c r="AY264" s="221"/>
      <c r="AZ264" s="221"/>
      <c r="BA264" s="221"/>
      <c r="BB264" s="221"/>
      <c r="BC264" s="221"/>
      <c r="BD264" s="221"/>
    </row>
    <row r="265" spans="36:56" hidden="1">
      <c r="AJ265" s="221"/>
      <c r="AK265" s="221"/>
      <c r="AL265" s="221"/>
      <c r="AM265" s="221"/>
      <c r="AN265" s="221"/>
      <c r="AO265" s="221"/>
      <c r="AP265" s="221"/>
      <c r="AQ265" s="221"/>
      <c r="AR265" s="221"/>
      <c r="AS265" s="136"/>
      <c r="AT265" s="221"/>
      <c r="AU265" s="221"/>
      <c r="AV265" s="221"/>
      <c r="AW265" s="221"/>
      <c r="AX265" s="221"/>
      <c r="AY265" s="221"/>
      <c r="AZ265" s="221"/>
      <c r="BA265" s="221"/>
      <c r="BB265" s="221"/>
      <c r="BC265" s="221"/>
      <c r="BD265" s="221"/>
    </row>
    <row r="266" spans="36:56" hidden="1">
      <c r="AJ266" s="221"/>
      <c r="AK266" s="221"/>
      <c r="AL266" s="221"/>
      <c r="AM266" s="221"/>
      <c r="AN266" s="221"/>
      <c r="AO266" s="221"/>
      <c r="AP266" s="221"/>
      <c r="AQ266" s="221"/>
      <c r="AR266" s="221"/>
      <c r="AS266" s="136"/>
      <c r="AT266" s="221"/>
      <c r="AU266" s="221"/>
      <c r="AV266" s="221"/>
      <c r="AW266" s="221"/>
      <c r="AX266" s="221"/>
      <c r="AY266" s="221"/>
      <c r="AZ266" s="221"/>
      <c r="BA266" s="221"/>
      <c r="BB266" s="221"/>
      <c r="BC266" s="221"/>
      <c r="BD266" s="221"/>
    </row>
    <row r="267" spans="36:56" hidden="1">
      <c r="AJ267" s="221"/>
      <c r="AK267" s="221"/>
      <c r="AL267" s="221"/>
      <c r="AM267" s="221"/>
      <c r="AN267" s="221"/>
      <c r="AO267" s="221"/>
      <c r="AP267" s="221"/>
      <c r="AQ267" s="221"/>
      <c r="AR267" s="221"/>
      <c r="AS267" s="136"/>
      <c r="AT267" s="221"/>
      <c r="AU267" s="221"/>
      <c r="AV267" s="221"/>
      <c r="AW267" s="221"/>
      <c r="AX267" s="221"/>
      <c r="AY267" s="221"/>
      <c r="AZ267" s="221"/>
      <c r="BA267" s="221"/>
      <c r="BB267" s="221"/>
      <c r="BC267" s="221"/>
      <c r="BD267" s="221"/>
    </row>
    <row r="268" spans="36:56" hidden="1">
      <c r="AJ268" s="221"/>
      <c r="AK268" s="221"/>
      <c r="AL268" s="221"/>
      <c r="AM268" s="221"/>
      <c r="AN268" s="221"/>
      <c r="AO268" s="221"/>
      <c r="AP268" s="221"/>
      <c r="AQ268" s="221"/>
      <c r="AR268" s="221"/>
      <c r="AS268" s="136"/>
      <c r="AT268" s="221"/>
      <c r="AU268" s="221"/>
      <c r="AV268" s="221"/>
      <c r="AW268" s="221"/>
      <c r="AX268" s="221"/>
      <c r="AY268" s="221"/>
      <c r="AZ268" s="221"/>
      <c r="BA268" s="221"/>
      <c r="BB268" s="221"/>
      <c r="BC268" s="221"/>
      <c r="BD268" s="221"/>
    </row>
    <row r="269" spans="36:56" hidden="1">
      <c r="AJ269" s="221"/>
      <c r="AK269" s="221"/>
      <c r="AL269" s="221"/>
      <c r="AM269" s="221"/>
      <c r="AN269" s="221"/>
      <c r="AO269" s="221"/>
      <c r="AP269" s="221"/>
      <c r="AQ269" s="221"/>
      <c r="AR269" s="221"/>
      <c r="AS269" s="136"/>
      <c r="AT269" s="221"/>
      <c r="AU269" s="221"/>
      <c r="AV269" s="221"/>
      <c r="AW269" s="221"/>
      <c r="AX269" s="221"/>
      <c r="AY269" s="221"/>
      <c r="AZ269" s="221"/>
      <c r="BA269" s="221"/>
      <c r="BB269" s="221"/>
      <c r="BC269" s="221"/>
      <c r="BD269" s="221"/>
    </row>
    <row r="270" spans="36:56" hidden="1">
      <c r="AJ270" s="221"/>
      <c r="AK270" s="221"/>
      <c r="AL270" s="221"/>
      <c r="AM270" s="221"/>
      <c r="AN270" s="221"/>
      <c r="AO270" s="221"/>
      <c r="AP270" s="221"/>
      <c r="AQ270" s="221"/>
      <c r="AR270" s="221"/>
      <c r="AS270" s="136"/>
      <c r="AT270" s="221"/>
      <c r="AU270" s="221"/>
      <c r="AV270" s="221"/>
      <c r="AW270" s="221"/>
      <c r="AX270" s="221"/>
      <c r="AY270" s="221"/>
      <c r="AZ270" s="221"/>
      <c r="BA270" s="221"/>
      <c r="BB270" s="221"/>
      <c r="BC270" s="221"/>
      <c r="BD270" s="221"/>
    </row>
    <row r="271" spans="36:56" hidden="1">
      <c r="AJ271" s="221"/>
      <c r="AK271" s="221"/>
      <c r="AL271" s="221"/>
      <c r="AM271" s="221"/>
      <c r="AN271" s="221"/>
      <c r="AO271" s="221"/>
      <c r="AP271" s="221"/>
      <c r="AQ271" s="221"/>
      <c r="AR271" s="221"/>
      <c r="AS271" s="136"/>
      <c r="AT271" s="221"/>
      <c r="AU271" s="221"/>
      <c r="AV271" s="221"/>
      <c r="AW271" s="221"/>
      <c r="AX271" s="221"/>
      <c r="AY271" s="221"/>
      <c r="AZ271" s="221"/>
      <c r="BA271" s="221"/>
      <c r="BB271" s="221"/>
      <c r="BC271" s="221"/>
      <c r="BD271" s="221"/>
    </row>
    <row r="272" spans="36:56" hidden="1">
      <c r="AJ272" s="221"/>
      <c r="AK272" s="221"/>
      <c r="AL272" s="221"/>
      <c r="AM272" s="221"/>
      <c r="AN272" s="221"/>
      <c r="AO272" s="221"/>
      <c r="AP272" s="221"/>
      <c r="AQ272" s="221"/>
      <c r="AR272" s="221"/>
      <c r="AS272" s="136"/>
      <c r="AT272" s="221"/>
      <c r="AU272" s="221"/>
      <c r="AV272" s="221"/>
      <c r="AW272" s="221"/>
      <c r="AX272" s="221"/>
      <c r="AY272" s="221"/>
      <c r="AZ272" s="221"/>
      <c r="BA272" s="221"/>
      <c r="BB272" s="221"/>
      <c r="BC272" s="221"/>
      <c r="BD272" s="221"/>
    </row>
    <row r="273" spans="36:56" hidden="1">
      <c r="AJ273" s="221"/>
      <c r="AK273" s="221"/>
      <c r="AL273" s="221"/>
      <c r="AM273" s="221"/>
      <c r="AN273" s="221"/>
      <c r="AO273" s="221"/>
      <c r="AP273" s="221"/>
      <c r="AQ273" s="221"/>
      <c r="AR273" s="221"/>
      <c r="AS273" s="136"/>
      <c r="AT273" s="221"/>
      <c r="AU273" s="221"/>
      <c r="AV273" s="221"/>
      <c r="AW273" s="221"/>
      <c r="AX273" s="221"/>
      <c r="AY273" s="221"/>
      <c r="AZ273" s="221"/>
      <c r="BA273" s="221"/>
      <c r="BB273" s="221"/>
      <c r="BC273" s="221"/>
      <c r="BD273" s="221"/>
    </row>
    <row r="274" spans="36:56" hidden="1">
      <c r="AJ274" s="221"/>
      <c r="AK274" s="221"/>
      <c r="AL274" s="221"/>
      <c r="AM274" s="221"/>
      <c r="AN274" s="221"/>
      <c r="AO274" s="221"/>
      <c r="AP274" s="221"/>
      <c r="AQ274" s="221"/>
      <c r="AR274" s="221"/>
      <c r="AS274" s="136"/>
      <c r="AT274" s="221"/>
      <c r="AU274" s="221"/>
      <c r="AV274" s="221"/>
      <c r="AW274" s="221"/>
      <c r="AX274" s="221"/>
      <c r="AY274" s="221"/>
      <c r="AZ274" s="221"/>
      <c r="BA274" s="221"/>
      <c r="BB274" s="221"/>
      <c r="BC274" s="221"/>
      <c r="BD274" s="221"/>
    </row>
    <row r="275" spans="36:56" hidden="1">
      <c r="AJ275" s="221"/>
      <c r="AK275" s="221"/>
      <c r="AL275" s="221"/>
      <c r="AM275" s="221"/>
      <c r="AN275" s="221"/>
      <c r="AO275" s="221"/>
      <c r="AP275" s="221"/>
      <c r="AQ275" s="221"/>
      <c r="AR275" s="221"/>
      <c r="AS275" s="136"/>
      <c r="AT275" s="221"/>
      <c r="AU275" s="221"/>
      <c r="AV275" s="221"/>
      <c r="AW275" s="221"/>
      <c r="AX275" s="221"/>
      <c r="AY275" s="221"/>
      <c r="AZ275" s="221"/>
      <c r="BA275" s="221"/>
      <c r="BB275" s="221"/>
      <c r="BC275" s="221"/>
      <c r="BD275" s="221"/>
    </row>
    <row r="276" spans="36:56" hidden="1">
      <c r="AJ276" s="221"/>
      <c r="AK276" s="221"/>
      <c r="AL276" s="221"/>
      <c r="AM276" s="221"/>
      <c r="AN276" s="221"/>
      <c r="AO276" s="221"/>
      <c r="AP276" s="221"/>
      <c r="AQ276" s="221"/>
      <c r="AR276" s="221"/>
      <c r="AS276" s="136"/>
      <c r="AT276" s="221"/>
      <c r="AU276" s="221"/>
      <c r="AV276" s="221"/>
      <c r="AW276" s="221"/>
      <c r="AX276" s="221"/>
      <c r="AY276" s="221"/>
      <c r="AZ276" s="221"/>
      <c r="BA276" s="221"/>
      <c r="BB276" s="221"/>
      <c r="BC276" s="221"/>
      <c r="BD276" s="221"/>
    </row>
    <row r="277" spans="36:56" hidden="1">
      <c r="AJ277" s="221"/>
      <c r="AK277" s="221"/>
      <c r="AL277" s="221"/>
      <c r="AM277" s="221"/>
      <c r="AN277" s="221"/>
      <c r="AO277" s="221"/>
      <c r="AP277" s="221"/>
      <c r="AQ277" s="221"/>
      <c r="AR277" s="221"/>
      <c r="AS277" s="136"/>
      <c r="AT277" s="221"/>
      <c r="AU277" s="221"/>
      <c r="AV277" s="221"/>
      <c r="AW277" s="221"/>
      <c r="AX277" s="221"/>
      <c r="AY277" s="221"/>
      <c r="AZ277" s="221"/>
      <c r="BA277" s="221"/>
      <c r="BB277" s="221"/>
      <c r="BC277" s="221"/>
      <c r="BD277" s="221"/>
    </row>
    <row r="278" spans="36:56" hidden="1">
      <c r="AJ278" s="221"/>
      <c r="AK278" s="221"/>
      <c r="AL278" s="221"/>
      <c r="AM278" s="221"/>
      <c r="AN278" s="221"/>
      <c r="AO278" s="221"/>
      <c r="AP278" s="221"/>
      <c r="AQ278" s="221"/>
      <c r="AR278" s="221"/>
      <c r="AS278" s="136"/>
      <c r="AT278" s="221"/>
      <c r="AU278" s="221"/>
      <c r="AV278" s="221"/>
      <c r="AW278" s="221"/>
      <c r="AX278" s="221"/>
      <c r="AY278" s="221"/>
      <c r="AZ278" s="221"/>
      <c r="BA278" s="221"/>
      <c r="BB278" s="221"/>
      <c r="BC278" s="221"/>
      <c r="BD278" s="221"/>
    </row>
    <row r="279" spans="36:56" hidden="1">
      <c r="AJ279" s="221"/>
      <c r="AK279" s="221"/>
      <c r="AL279" s="221"/>
      <c r="AM279" s="221"/>
      <c r="AN279" s="221"/>
      <c r="AO279" s="221"/>
      <c r="AP279" s="221"/>
      <c r="AQ279" s="221"/>
      <c r="AR279" s="221"/>
      <c r="AS279" s="136"/>
      <c r="AT279" s="221"/>
      <c r="AU279" s="221"/>
      <c r="AV279" s="221"/>
      <c r="AW279" s="221"/>
      <c r="AX279" s="221"/>
      <c r="AY279" s="221"/>
      <c r="AZ279" s="221"/>
      <c r="BA279" s="221"/>
      <c r="BB279" s="221"/>
      <c r="BC279" s="221"/>
      <c r="BD279" s="221"/>
    </row>
    <row r="280" spans="36:56" hidden="1">
      <c r="AJ280" s="221"/>
      <c r="AK280" s="221"/>
      <c r="AL280" s="221"/>
      <c r="AM280" s="221"/>
      <c r="AN280" s="221"/>
      <c r="AO280" s="221"/>
      <c r="AP280" s="221"/>
      <c r="AQ280" s="221"/>
      <c r="AR280" s="221"/>
      <c r="AS280" s="136"/>
      <c r="AT280" s="221"/>
      <c r="AU280" s="221"/>
      <c r="AV280" s="221"/>
      <c r="AW280" s="221"/>
      <c r="AX280" s="221"/>
      <c r="AY280" s="221"/>
      <c r="AZ280" s="221"/>
      <c r="BA280" s="221"/>
      <c r="BB280" s="221"/>
      <c r="BC280" s="221"/>
      <c r="BD280" s="221"/>
    </row>
    <row r="281" spans="36:56" hidden="1">
      <c r="AJ281" s="221"/>
      <c r="AK281" s="221"/>
      <c r="AL281" s="221"/>
      <c r="AM281" s="221"/>
      <c r="AN281" s="221"/>
      <c r="AO281" s="221"/>
      <c r="AP281" s="221"/>
      <c r="AQ281" s="221"/>
      <c r="AR281" s="221"/>
      <c r="AS281" s="136"/>
      <c r="AT281" s="221"/>
      <c r="AU281" s="221"/>
      <c r="AV281" s="221"/>
      <c r="AW281" s="221"/>
      <c r="AX281" s="221"/>
      <c r="AY281" s="221"/>
      <c r="AZ281" s="221"/>
      <c r="BA281" s="221"/>
      <c r="BB281" s="221"/>
      <c r="BC281" s="221"/>
      <c r="BD281" s="221"/>
    </row>
    <row r="282" spans="36:56" hidden="1">
      <c r="AJ282" s="221"/>
      <c r="AK282" s="221"/>
      <c r="AL282" s="221"/>
      <c r="AM282" s="221"/>
      <c r="AN282" s="221"/>
      <c r="AO282" s="221"/>
      <c r="AP282" s="221"/>
      <c r="AQ282" s="221"/>
      <c r="AR282" s="221"/>
      <c r="AS282" s="136"/>
      <c r="AT282" s="221"/>
      <c r="AU282" s="221"/>
      <c r="AV282" s="221"/>
      <c r="AW282" s="221"/>
      <c r="AX282" s="221"/>
      <c r="AY282" s="221"/>
      <c r="AZ282" s="221"/>
      <c r="BA282" s="221"/>
      <c r="BB282" s="221"/>
      <c r="BC282" s="221"/>
      <c r="BD282" s="221"/>
    </row>
    <row r="283" spans="36:56" hidden="1">
      <c r="AJ283" s="221"/>
      <c r="AK283" s="221"/>
      <c r="AL283" s="221"/>
      <c r="AM283" s="221"/>
      <c r="AN283" s="221"/>
      <c r="AO283" s="221"/>
      <c r="AP283" s="221"/>
      <c r="AQ283" s="221"/>
      <c r="AR283" s="221"/>
      <c r="AS283" s="136"/>
      <c r="AT283" s="221"/>
      <c r="AU283" s="221"/>
      <c r="AV283" s="221"/>
      <c r="AW283" s="221"/>
      <c r="AX283" s="221"/>
      <c r="AY283" s="221"/>
      <c r="AZ283" s="221"/>
      <c r="BA283" s="221"/>
      <c r="BB283" s="221"/>
      <c r="BC283" s="221"/>
      <c r="BD283" s="221"/>
    </row>
    <row r="284" spans="36:56" hidden="1">
      <c r="AJ284" s="221"/>
      <c r="AK284" s="221"/>
      <c r="AL284" s="221"/>
      <c r="AM284" s="221"/>
      <c r="AN284" s="221"/>
      <c r="AO284" s="221"/>
      <c r="AP284" s="221"/>
      <c r="AQ284" s="221"/>
      <c r="AR284" s="221"/>
      <c r="AS284" s="136"/>
      <c r="AT284" s="221"/>
      <c r="AU284" s="221"/>
      <c r="AV284" s="221"/>
      <c r="AW284" s="221"/>
      <c r="AX284" s="221"/>
      <c r="AY284" s="221"/>
      <c r="AZ284" s="221"/>
      <c r="BA284" s="221"/>
      <c r="BB284" s="221"/>
      <c r="BC284" s="221"/>
      <c r="BD284" s="221"/>
    </row>
    <row r="285" spans="36:56" hidden="1">
      <c r="AJ285" s="221"/>
      <c r="AK285" s="221"/>
      <c r="AL285" s="221"/>
      <c r="AM285" s="221"/>
      <c r="AN285" s="221"/>
      <c r="AO285" s="221"/>
      <c r="AP285" s="221"/>
      <c r="AQ285" s="221"/>
      <c r="AR285" s="221"/>
      <c r="AS285" s="136"/>
      <c r="AT285" s="221"/>
      <c r="AU285" s="221"/>
      <c r="AV285" s="221"/>
      <c r="AW285" s="221"/>
      <c r="AX285" s="221"/>
      <c r="AY285" s="221"/>
      <c r="AZ285" s="221"/>
      <c r="BA285" s="221"/>
      <c r="BB285" s="221"/>
      <c r="BC285" s="221"/>
      <c r="BD285" s="221"/>
    </row>
    <row r="286" spans="36:56" hidden="1">
      <c r="AJ286" s="221"/>
      <c r="AK286" s="221"/>
      <c r="AL286" s="221"/>
      <c r="AM286" s="221"/>
      <c r="AN286" s="221"/>
      <c r="AO286" s="221"/>
      <c r="AP286" s="221"/>
      <c r="AQ286" s="221"/>
      <c r="AR286" s="221"/>
      <c r="AS286" s="136"/>
      <c r="AT286" s="221"/>
      <c r="AU286" s="221"/>
      <c r="AV286" s="221"/>
      <c r="AW286" s="221"/>
      <c r="AX286" s="221"/>
      <c r="AY286" s="221"/>
      <c r="AZ286" s="221"/>
      <c r="BA286" s="221"/>
      <c r="BB286" s="221"/>
      <c r="BC286" s="221"/>
      <c r="BD286" s="221"/>
    </row>
    <row r="287" spans="36:56" hidden="1">
      <c r="AJ287" s="221"/>
      <c r="AK287" s="221"/>
      <c r="AL287" s="221"/>
      <c r="AM287" s="221"/>
      <c r="AN287" s="221"/>
      <c r="AO287" s="221"/>
      <c r="AP287" s="221"/>
      <c r="AQ287" s="221"/>
      <c r="AR287" s="221"/>
      <c r="AS287" s="136"/>
      <c r="AT287" s="221"/>
      <c r="AU287" s="221"/>
      <c r="AV287" s="221"/>
      <c r="AW287" s="221"/>
      <c r="AX287" s="221"/>
      <c r="AY287" s="221"/>
      <c r="AZ287" s="221"/>
      <c r="BA287" s="221"/>
      <c r="BB287" s="221"/>
      <c r="BC287" s="221"/>
      <c r="BD287" s="221"/>
    </row>
    <row r="288" spans="36:56" hidden="1">
      <c r="AJ288" s="221"/>
      <c r="AK288" s="221"/>
      <c r="AL288" s="221"/>
      <c r="AM288" s="221"/>
      <c r="AN288" s="221"/>
      <c r="AO288" s="221"/>
      <c r="AP288" s="221"/>
      <c r="AQ288" s="221"/>
      <c r="AR288" s="221"/>
      <c r="AS288" s="136"/>
      <c r="AT288" s="221"/>
      <c r="AU288" s="221"/>
      <c r="AV288" s="221"/>
      <c r="AW288" s="221"/>
      <c r="AX288" s="221"/>
      <c r="AY288" s="221"/>
      <c r="AZ288" s="221"/>
      <c r="BA288" s="221"/>
      <c r="BB288" s="221"/>
      <c r="BC288" s="221"/>
      <c r="BD288" s="221"/>
    </row>
    <row r="289" spans="36:56" hidden="1">
      <c r="AJ289" s="221"/>
      <c r="AK289" s="221"/>
      <c r="AL289" s="221"/>
      <c r="AM289" s="221"/>
      <c r="AN289" s="221"/>
      <c r="AO289" s="221"/>
      <c r="AP289" s="221"/>
      <c r="AQ289" s="221"/>
      <c r="AR289" s="221"/>
      <c r="AS289" s="136"/>
      <c r="AT289" s="221"/>
      <c r="AU289" s="221"/>
      <c r="AV289" s="221"/>
      <c r="AW289" s="221"/>
      <c r="AX289" s="221"/>
      <c r="AY289" s="221"/>
      <c r="AZ289" s="221"/>
      <c r="BA289" s="221"/>
      <c r="BB289" s="221"/>
      <c r="BC289" s="221"/>
      <c r="BD289" s="221"/>
    </row>
    <row r="290" spans="36:56" hidden="1">
      <c r="AJ290" s="221"/>
      <c r="AK290" s="221"/>
      <c r="AL290" s="221"/>
      <c r="AM290" s="221"/>
      <c r="AN290" s="221"/>
      <c r="AO290" s="221"/>
      <c r="AP290" s="221"/>
      <c r="AQ290" s="221"/>
      <c r="AR290" s="221"/>
      <c r="AS290" s="136"/>
      <c r="AT290" s="221"/>
      <c r="AU290" s="221"/>
      <c r="AV290" s="221"/>
      <c r="AW290" s="221"/>
      <c r="AX290" s="221"/>
      <c r="AY290" s="221"/>
      <c r="AZ290" s="221"/>
      <c r="BA290" s="221"/>
      <c r="BB290" s="221"/>
      <c r="BC290" s="221"/>
      <c r="BD290" s="221"/>
    </row>
    <row r="291" spans="36:56" hidden="1">
      <c r="AJ291" s="221"/>
      <c r="AK291" s="221"/>
      <c r="AL291" s="221"/>
      <c r="AM291" s="221"/>
      <c r="AN291" s="221"/>
      <c r="AO291" s="221"/>
      <c r="AP291" s="221"/>
      <c r="AQ291" s="221"/>
      <c r="AR291" s="221"/>
      <c r="AS291" s="136"/>
      <c r="AT291" s="221"/>
      <c r="AU291" s="221"/>
      <c r="AV291" s="221"/>
      <c r="AW291" s="221"/>
      <c r="AX291" s="221"/>
      <c r="AY291" s="221"/>
      <c r="AZ291" s="221"/>
      <c r="BA291" s="221"/>
      <c r="BB291" s="221"/>
      <c r="BC291" s="221"/>
      <c r="BD291" s="221"/>
    </row>
    <row r="292" spans="36:56" hidden="1">
      <c r="AJ292" s="221"/>
      <c r="AK292" s="221"/>
      <c r="AL292" s="221"/>
      <c r="AM292" s="221"/>
      <c r="AN292" s="221"/>
      <c r="AO292" s="221"/>
      <c r="AP292" s="221"/>
      <c r="AQ292" s="221"/>
      <c r="AR292" s="221"/>
      <c r="AS292" s="136"/>
      <c r="AT292" s="221"/>
      <c r="AU292" s="221"/>
      <c r="AV292" s="221"/>
      <c r="AW292" s="221"/>
      <c r="AX292" s="221"/>
      <c r="AY292" s="221"/>
      <c r="AZ292" s="221"/>
      <c r="BA292" s="221"/>
      <c r="BB292" s="221"/>
      <c r="BC292" s="221"/>
      <c r="BD292" s="221"/>
    </row>
    <row r="293" spans="36:56" hidden="1">
      <c r="AJ293" s="221"/>
      <c r="AK293" s="221"/>
      <c r="AL293" s="221"/>
      <c r="AM293" s="221"/>
      <c r="AN293" s="221"/>
      <c r="AO293" s="221"/>
      <c r="AP293" s="221"/>
      <c r="AQ293" s="221"/>
      <c r="AR293" s="221"/>
      <c r="AS293" s="136"/>
      <c r="AT293" s="221"/>
      <c r="AU293" s="221"/>
      <c r="AV293" s="221"/>
      <c r="AW293" s="221"/>
      <c r="AX293" s="221"/>
      <c r="AY293" s="221"/>
      <c r="AZ293" s="221"/>
      <c r="BA293" s="221"/>
      <c r="BB293" s="221"/>
      <c r="BC293" s="221"/>
      <c r="BD293" s="221"/>
    </row>
    <row r="294" spans="36:56" hidden="1">
      <c r="AJ294" s="221"/>
      <c r="AK294" s="221"/>
      <c r="AL294" s="221"/>
      <c r="AM294" s="221"/>
      <c r="AN294" s="221"/>
      <c r="AO294" s="221"/>
      <c r="AP294" s="221"/>
      <c r="AQ294" s="221"/>
      <c r="AR294" s="221"/>
      <c r="AS294" s="136"/>
      <c r="AT294" s="221"/>
      <c r="AU294" s="221"/>
      <c r="AV294" s="221"/>
      <c r="AW294" s="221"/>
      <c r="AX294" s="221"/>
      <c r="AY294" s="221"/>
      <c r="AZ294" s="221"/>
      <c r="BA294" s="221"/>
      <c r="BB294" s="221"/>
      <c r="BC294" s="221"/>
      <c r="BD294" s="221"/>
    </row>
    <row r="295" spans="36:56" hidden="1">
      <c r="AJ295" s="221"/>
      <c r="AK295" s="221"/>
      <c r="AL295" s="221"/>
      <c r="AM295" s="221"/>
      <c r="AN295" s="221"/>
      <c r="AO295" s="221"/>
      <c r="AP295" s="221"/>
      <c r="AQ295" s="221"/>
      <c r="AR295" s="221"/>
      <c r="AS295" s="136"/>
      <c r="AT295" s="221"/>
      <c r="AU295" s="221"/>
      <c r="AV295" s="221"/>
      <c r="AW295" s="221"/>
      <c r="AX295" s="221"/>
      <c r="AY295" s="221"/>
      <c r="AZ295" s="221"/>
      <c r="BA295" s="221"/>
      <c r="BB295" s="221"/>
      <c r="BC295" s="221"/>
      <c r="BD295" s="221"/>
    </row>
    <row r="296" spans="36:56" hidden="1">
      <c r="AJ296" s="221"/>
      <c r="AK296" s="221"/>
      <c r="AL296" s="221"/>
      <c r="AM296" s="221"/>
      <c r="AN296" s="221"/>
      <c r="AO296" s="221"/>
      <c r="AP296" s="221"/>
      <c r="AQ296" s="221"/>
      <c r="AR296" s="221"/>
      <c r="AS296" s="136"/>
      <c r="AT296" s="221"/>
      <c r="AU296" s="221"/>
      <c r="AV296" s="221"/>
      <c r="AW296" s="221"/>
      <c r="AX296" s="221"/>
      <c r="AY296" s="221"/>
      <c r="AZ296" s="221"/>
      <c r="BA296" s="221"/>
      <c r="BB296" s="221"/>
      <c r="BC296" s="221"/>
      <c r="BD296" s="221"/>
    </row>
    <row r="297" spans="36:56" hidden="1">
      <c r="AJ297" s="221"/>
      <c r="AK297" s="221"/>
      <c r="AL297" s="221"/>
      <c r="AM297" s="221"/>
      <c r="AN297" s="221"/>
      <c r="AO297" s="221"/>
      <c r="AP297" s="221"/>
      <c r="AQ297" s="221"/>
      <c r="AR297" s="221"/>
      <c r="AS297" s="136"/>
      <c r="AT297" s="221"/>
      <c r="AU297" s="221"/>
      <c r="AV297" s="221"/>
      <c r="AW297" s="221"/>
      <c r="AX297" s="221"/>
      <c r="AY297" s="221"/>
      <c r="AZ297" s="221"/>
      <c r="BA297" s="221"/>
      <c r="BB297" s="221"/>
      <c r="BC297" s="221"/>
      <c r="BD297" s="221"/>
    </row>
    <row r="298" spans="36:56" hidden="1">
      <c r="AJ298" s="221"/>
      <c r="AK298" s="221"/>
      <c r="AL298" s="221"/>
      <c r="AM298" s="221"/>
      <c r="AN298" s="221"/>
      <c r="AO298" s="221"/>
      <c r="AP298" s="221"/>
      <c r="AQ298" s="221"/>
      <c r="AR298" s="221"/>
      <c r="AS298" s="136"/>
      <c r="AT298" s="221"/>
      <c r="AU298" s="221"/>
      <c r="AV298" s="221"/>
      <c r="AW298" s="221"/>
      <c r="AX298" s="221"/>
      <c r="AY298" s="221"/>
      <c r="AZ298" s="221"/>
      <c r="BA298" s="221"/>
      <c r="BB298" s="221"/>
      <c r="BC298" s="221"/>
      <c r="BD298" s="221"/>
    </row>
    <row r="299" spans="36:56" hidden="1">
      <c r="AJ299" s="221"/>
      <c r="AK299" s="221"/>
      <c r="AL299" s="221"/>
      <c r="AM299" s="221"/>
      <c r="AN299" s="221"/>
      <c r="AO299" s="221"/>
      <c r="AP299" s="221"/>
      <c r="AQ299" s="221"/>
      <c r="AR299" s="221"/>
      <c r="AS299" s="136"/>
      <c r="AT299" s="221"/>
      <c r="AU299" s="221"/>
      <c r="AV299" s="221"/>
      <c r="AW299" s="221"/>
      <c r="AX299" s="221"/>
      <c r="AY299" s="221"/>
      <c r="AZ299" s="221"/>
      <c r="BA299" s="221"/>
      <c r="BB299" s="221"/>
      <c r="BC299" s="221"/>
      <c r="BD299" s="221"/>
    </row>
    <row r="300" spans="36:56" hidden="1">
      <c r="AJ300" s="221"/>
      <c r="AK300" s="221"/>
      <c r="AL300" s="221"/>
      <c r="AM300" s="221"/>
      <c r="AN300" s="221"/>
      <c r="AO300" s="221"/>
      <c r="AP300" s="221"/>
      <c r="AQ300" s="221"/>
      <c r="AR300" s="221"/>
      <c r="AS300" s="136"/>
      <c r="AT300" s="221"/>
      <c r="AU300" s="221"/>
      <c r="AV300" s="221"/>
      <c r="AW300" s="221"/>
      <c r="AX300" s="221"/>
      <c r="AY300" s="221"/>
      <c r="AZ300" s="221"/>
      <c r="BA300" s="221"/>
      <c r="BB300" s="221"/>
      <c r="BC300" s="221"/>
      <c r="BD300" s="221"/>
    </row>
    <row r="301" spans="36:56" hidden="1">
      <c r="AJ301" s="221"/>
      <c r="AK301" s="221"/>
      <c r="AL301" s="221"/>
      <c r="AM301" s="221"/>
      <c r="AN301" s="221"/>
      <c r="AO301" s="221"/>
      <c r="AP301" s="221"/>
      <c r="AQ301" s="221"/>
      <c r="AR301" s="221"/>
      <c r="AS301" s="136"/>
      <c r="AT301" s="221"/>
      <c r="AU301" s="221"/>
      <c r="AV301" s="221"/>
      <c r="AW301" s="221"/>
      <c r="AX301" s="221"/>
      <c r="AY301" s="221"/>
      <c r="AZ301" s="221"/>
      <c r="BA301" s="221"/>
      <c r="BB301" s="221"/>
      <c r="BC301" s="221"/>
      <c r="BD301" s="221"/>
    </row>
    <row r="302" spans="36:56" hidden="1">
      <c r="AJ302" s="221"/>
      <c r="AK302" s="221"/>
      <c r="AL302" s="221"/>
      <c r="AM302" s="221"/>
      <c r="AN302" s="221"/>
      <c r="AO302" s="221"/>
      <c r="AP302" s="221"/>
      <c r="AQ302" s="221"/>
      <c r="AR302" s="221"/>
      <c r="AS302" s="136"/>
      <c r="AT302" s="221"/>
      <c r="AU302" s="221"/>
      <c r="AV302" s="221"/>
      <c r="AW302" s="221"/>
      <c r="AX302" s="221"/>
      <c r="AY302" s="221"/>
      <c r="AZ302" s="221"/>
      <c r="BA302" s="221"/>
      <c r="BB302" s="221"/>
      <c r="BC302" s="221"/>
      <c r="BD302" s="221"/>
    </row>
    <row r="303" spans="36:56" hidden="1">
      <c r="AJ303" s="221"/>
      <c r="AK303" s="221"/>
      <c r="AL303" s="221"/>
      <c r="AM303" s="221"/>
      <c r="AN303" s="221"/>
      <c r="AO303" s="221"/>
      <c r="AP303" s="221"/>
      <c r="AQ303" s="221"/>
      <c r="AR303" s="221"/>
      <c r="AS303" s="136"/>
      <c r="AT303" s="221"/>
      <c r="AU303" s="221"/>
      <c r="AV303" s="221"/>
      <c r="AW303" s="221"/>
      <c r="AX303" s="221"/>
      <c r="AY303" s="221"/>
      <c r="AZ303" s="221"/>
      <c r="BA303" s="221"/>
      <c r="BB303" s="221"/>
      <c r="BC303" s="221"/>
      <c r="BD303" s="221"/>
    </row>
    <row r="304" spans="36:56" hidden="1">
      <c r="AJ304" s="221"/>
      <c r="AK304" s="221"/>
      <c r="AL304" s="221"/>
      <c r="AM304" s="221"/>
      <c r="AN304" s="221"/>
      <c r="AO304" s="221"/>
      <c r="AP304" s="221"/>
      <c r="AQ304" s="221"/>
      <c r="AR304" s="221"/>
      <c r="AS304" s="136"/>
      <c r="AT304" s="221"/>
      <c r="AU304" s="221"/>
      <c r="AV304" s="221"/>
      <c r="AW304" s="221"/>
      <c r="AX304" s="221"/>
      <c r="AY304" s="221"/>
      <c r="AZ304" s="221"/>
      <c r="BA304" s="221"/>
      <c r="BB304" s="221"/>
      <c r="BC304" s="221"/>
      <c r="BD304" s="221"/>
    </row>
    <row r="305" spans="36:56" hidden="1">
      <c r="AJ305" s="221"/>
      <c r="AK305" s="221"/>
      <c r="AL305" s="221"/>
      <c r="AM305" s="221"/>
      <c r="AN305" s="221"/>
      <c r="AO305" s="221"/>
      <c r="AP305" s="221"/>
      <c r="AQ305" s="221"/>
      <c r="AR305" s="221"/>
      <c r="AS305" s="136"/>
      <c r="AT305" s="221"/>
      <c r="AU305" s="221"/>
      <c r="AV305" s="221"/>
      <c r="AW305" s="221"/>
      <c r="AX305" s="221"/>
      <c r="AY305" s="221"/>
      <c r="AZ305" s="221"/>
      <c r="BA305" s="221"/>
      <c r="BB305" s="221"/>
      <c r="BC305" s="221"/>
      <c r="BD305" s="221"/>
    </row>
    <row r="306" spans="36:56" hidden="1">
      <c r="AJ306" s="221"/>
      <c r="AK306" s="221"/>
      <c r="AL306" s="221"/>
      <c r="AM306" s="221"/>
      <c r="AN306" s="221"/>
      <c r="AO306" s="221"/>
      <c r="AP306" s="221"/>
      <c r="AQ306" s="221"/>
      <c r="AR306" s="221"/>
      <c r="AS306" s="136"/>
      <c r="AT306" s="221"/>
      <c r="AU306" s="221"/>
      <c r="AV306" s="221"/>
      <c r="AW306" s="221"/>
      <c r="AX306" s="221"/>
      <c r="AY306" s="221"/>
      <c r="AZ306" s="221"/>
      <c r="BA306" s="221"/>
      <c r="BB306" s="221"/>
      <c r="BC306" s="221"/>
      <c r="BD306" s="221"/>
    </row>
    <row r="307" spans="36:56" hidden="1">
      <c r="AJ307" s="221"/>
      <c r="AK307" s="221"/>
      <c r="AL307" s="221"/>
      <c r="AM307" s="221"/>
      <c r="AN307" s="221"/>
      <c r="AO307" s="221"/>
      <c r="AP307" s="221"/>
      <c r="AQ307" s="221"/>
      <c r="AR307" s="221"/>
      <c r="AS307" s="136"/>
      <c r="AT307" s="221"/>
      <c r="AU307" s="221"/>
      <c r="AV307" s="221"/>
      <c r="AW307" s="221"/>
      <c r="AX307" s="221"/>
      <c r="AY307" s="221"/>
      <c r="AZ307" s="221"/>
      <c r="BA307" s="221"/>
      <c r="BB307" s="221"/>
      <c r="BC307" s="221"/>
      <c r="BD307" s="221"/>
    </row>
    <row r="308" spans="36:56" hidden="1">
      <c r="AJ308" s="221"/>
      <c r="AK308" s="221"/>
      <c r="AL308" s="221"/>
      <c r="AM308" s="221"/>
      <c r="AN308" s="221"/>
      <c r="AO308" s="221"/>
      <c r="AP308" s="221"/>
      <c r="AQ308" s="221"/>
      <c r="AR308" s="221"/>
      <c r="AS308" s="136"/>
      <c r="AT308" s="221"/>
      <c r="AU308" s="221"/>
      <c r="AV308" s="221"/>
      <c r="AW308" s="221"/>
      <c r="AX308" s="221"/>
      <c r="AY308" s="221"/>
      <c r="AZ308" s="221"/>
      <c r="BA308" s="221"/>
      <c r="BB308" s="221"/>
      <c r="BC308" s="221"/>
      <c r="BD308" s="221"/>
    </row>
    <row r="309" spans="36:56" hidden="1">
      <c r="AJ309" s="221"/>
      <c r="AK309" s="221"/>
      <c r="AL309" s="221"/>
      <c r="AM309" s="221"/>
      <c r="AN309" s="221"/>
      <c r="AO309" s="221"/>
      <c r="AP309" s="221"/>
      <c r="AQ309" s="221"/>
      <c r="AR309" s="221"/>
      <c r="AS309" s="136"/>
      <c r="AT309" s="221"/>
      <c r="AU309" s="221"/>
      <c r="AV309" s="221"/>
      <c r="AW309" s="221"/>
      <c r="AX309" s="221"/>
      <c r="AY309" s="221"/>
      <c r="AZ309" s="221"/>
      <c r="BA309" s="221"/>
      <c r="BB309" s="221"/>
      <c r="BC309" s="221"/>
      <c r="BD309" s="221"/>
    </row>
    <row r="310" spans="36:56" hidden="1">
      <c r="AJ310" s="221"/>
      <c r="AK310" s="221"/>
      <c r="AL310" s="221"/>
      <c r="AM310" s="221"/>
      <c r="AN310" s="221"/>
      <c r="AO310" s="221"/>
      <c r="AP310" s="221"/>
      <c r="AQ310" s="221"/>
      <c r="AR310" s="221"/>
      <c r="AS310" s="136"/>
      <c r="AT310" s="221"/>
      <c r="AU310" s="221"/>
      <c r="AV310" s="221"/>
      <c r="AW310" s="221"/>
      <c r="AX310" s="221"/>
      <c r="AY310" s="221"/>
      <c r="AZ310" s="221"/>
      <c r="BA310" s="221"/>
      <c r="BB310" s="221"/>
      <c r="BC310" s="221"/>
      <c r="BD310" s="221"/>
    </row>
    <row r="311" spans="36:56" hidden="1">
      <c r="AJ311" s="221"/>
      <c r="AK311" s="221"/>
      <c r="AL311" s="221"/>
      <c r="AM311" s="221"/>
      <c r="AN311" s="221"/>
      <c r="AO311" s="221"/>
      <c r="AP311" s="221"/>
      <c r="AQ311" s="221"/>
      <c r="AR311" s="221"/>
      <c r="AS311" s="136"/>
      <c r="AT311" s="221"/>
      <c r="AU311" s="221"/>
      <c r="AV311" s="221"/>
      <c r="AW311" s="221"/>
      <c r="AX311" s="221"/>
      <c r="AY311" s="221"/>
      <c r="AZ311" s="221"/>
      <c r="BA311" s="221"/>
      <c r="BB311" s="221"/>
      <c r="BC311" s="221"/>
      <c r="BD311" s="221"/>
    </row>
    <row r="312" spans="36:56" hidden="1">
      <c r="AJ312" s="221"/>
      <c r="AK312" s="221"/>
      <c r="AL312" s="221"/>
      <c r="AM312" s="221"/>
      <c r="AN312" s="221"/>
      <c r="AO312" s="221"/>
      <c r="AP312" s="221"/>
      <c r="AQ312" s="221"/>
      <c r="AR312" s="221"/>
      <c r="AS312" s="136"/>
      <c r="AT312" s="221"/>
      <c r="AU312" s="221"/>
      <c r="AV312" s="221"/>
      <c r="AW312" s="221"/>
      <c r="AX312" s="221"/>
      <c r="AY312" s="221"/>
      <c r="AZ312" s="221"/>
      <c r="BA312" s="221"/>
      <c r="BB312" s="221"/>
      <c r="BC312" s="221"/>
      <c r="BD312" s="221"/>
    </row>
    <row r="313" spans="36:56" hidden="1">
      <c r="AJ313" s="221"/>
      <c r="AK313" s="221"/>
      <c r="AL313" s="221"/>
      <c r="AM313" s="221"/>
      <c r="AN313" s="221"/>
      <c r="AO313" s="221"/>
      <c r="AP313" s="221"/>
      <c r="AQ313" s="221"/>
      <c r="AR313" s="221"/>
      <c r="AS313" s="136"/>
      <c r="AT313" s="221"/>
      <c r="AU313" s="221"/>
      <c r="AV313" s="221"/>
      <c r="AW313" s="221"/>
      <c r="AX313" s="221"/>
      <c r="AY313" s="221"/>
      <c r="AZ313" s="221"/>
      <c r="BA313" s="221"/>
      <c r="BB313" s="221"/>
      <c r="BC313" s="221"/>
      <c r="BD313" s="221"/>
    </row>
    <row r="314" spans="36:56" hidden="1">
      <c r="AJ314" s="221"/>
      <c r="AK314" s="221"/>
      <c r="AL314" s="221"/>
      <c r="AM314" s="221"/>
      <c r="AN314" s="221"/>
      <c r="AO314" s="221"/>
      <c r="AP314" s="221"/>
      <c r="AQ314" s="221"/>
      <c r="AR314" s="221"/>
      <c r="AS314" s="136"/>
      <c r="AT314" s="221"/>
      <c r="AU314" s="221"/>
      <c r="AV314" s="221"/>
      <c r="AW314" s="221"/>
      <c r="AX314" s="221"/>
      <c r="AY314" s="221"/>
      <c r="AZ314" s="221"/>
      <c r="BA314" s="221"/>
      <c r="BB314" s="221"/>
      <c r="BC314" s="221"/>
      <c r="BD314" s="221"/>
    </row>
    <row r="315" spans="36:56" hidden="1">
      <c r="AJ315" s="221"/>
      <c r="AK315" s="221"/>
      <c r="AL315" s="221"/>
      <c r="AM315" s="221"/>
      <c r="AN315" s="221"/>
      <c r="AO315" s="221"/>
      <c r="AP315" s="221"/>
      <c r="AQ315" s="221"/>
      <c r="AR315" s="221"/>
      <c r="AS315" s="136"/>
      <c r="AT315" s="221"/>
      <c r="AU315" s="221"/>
      <c r="AV315" s="221"/>
      <c r="AW315" s="221"/>
      <c r="AX315" s="221"/>
      <c r="AY315" s="221"/>
      <c r="AZ315" s="221"/>
      <c r="BA315" s="221"/>
      <c r="BB315" s="221"/>
      <c r="BC315" s="221"/>
      <c r="BD315" s="221"/>
    </row>
    <row r="316" spans="36:56" hidden="1">
      <c r="AJ316" s="221"/>
      <c r="AK316" s="221"/>
      <c r="AL316" s="221"/>
      <c r="AM316" s="221"/>
      <c r="AN316" s="221"/>
      <c r="AO316" s="221"/>
      <c r="AP316" s="221"/>
      <c r="AQ316" s="221"/>
      <c r="AR316" s="221"/>
      <c r="AS316" s="136"/>
      <c r="AT316" s="221"/>
      <c r="AU316" s="221"/>
      <c r="AV316" s="221"/>
      <c r="AW316" s="221"/>
      <c r="AX316" s="221"/>
      <c r="AY316" s="221"/>
      <c r="AZ316" s="221"/>
      <c r="BA316" s="221"/>
      <c r="BB316" s="221"/>
      <c r="BC316" s="221"/>
      <c r="BD316" s="221"/>
    </row>
    <row r="317" spans="36:56" hidden="1">
      <c r="AJ317" s="221"/>
      <c r="AK317" s="221"/>
      <c r="AL317" s="221"/>
      <c r="AM317" s="221"/>
      <c r="AN317" s="221"/>
      <c r="AO317" s="221"/>
      <c r="AP317" s="221"/>
      <c r="AQ317" s="221"/>
      <c r="AR317" s="221"/>
      <c r="AS317" s="136"/>
      <c r="AT317" s="221"/>
      <c r="AU317" s="221"/>
      <c r="AV317" s="221"/>
      <c r="AW317" s="221"/>
      <c r="AX317" s="221"/>
      <c r="AY317" s="221"/>
      <c r="AZ317" s="221"/>
      <c r="BA317" s="221"/>
      <c r="BB317" s="221"/>
      <c r="BC317" s="221"/>
      <c r="BD317" s="221"/>
    </row>
    <row r="318" spans="36:56" hidden="1">
      <c r="AJ318" s="221"/>
      <c r="AK318" s="221"/>
      <c r="AL318" s="221"/>
      <c r="AM318" s="221"/>
      <c r="AN318" s="221"/>
      <c r="AO318" s="221"/>
      <c r="AP318" s="221"/>
      <c r="AQ318" s="221"/>
      <c r="AR318" s="221"/>
      <c r="AS318" s="136"/>
      <c r="AT318" s="221"/>
      <c r="AU318" s="221"/>
      <c r="AV318" s="221"/>
      <c r="AW318" s="221"/>
      <c r="AX318" s="221"/>
      <c r="AY318" s="221"/>
      <c r="AZ318" s="221"/>
      <c r="BA318" s="221"/>
      <c r="BB318" s="221"/>
      <c r="BC318" s="221"/>
      <c r="BD318" s="221"/>
    </row>
    <row r="319" spans="36:56" hidden="1">
      <c r="AJ319" s="221"/>
      <c r="AK319" s="221"/>
      <c r="AL319" s="221"/>
      <c r="AM319" s="221"/>
      <c r="AN319" s="221"/>
      <c r="AO319" s="221"/>
      <c r="AP319" s="221"/>
      <c r="AQ319" s="221"/>
      <c r="AR319" s="221"/>
      <c r="AS319" s="136"/>
      <c r="AT319" s="221"/>
      <c r="AU319" s="221"/>
      <c r="AV319" s="221"/>
      <c r="AW319" s="221"/>
      <c r="AX319" s="221"/>
      <c r="AY319" s="221"/>
      <c r="AZ319" s="221"/>
      <c r="BA319" s="221"/>
      <c r="BB319" s="221"/>
      <c r="BC319" s="221"/>
      <c r="BD319" s="221"/>
    </row>
    <row r="320" spans="36:56" hidden="1">
      <c r="AJ320" s="221"/>
      <c r="AK320" s="221"/>
      <c r="AL320" s="221"/>
      <c r="AM320" s="221"/>
      <c r="AN320" s="221"/>
      <c r="AO320" s="221"/>
      <c r="AP320" s="221"/>
      <c r="AQ320" s="221"/>
      <c r="AR320" s="221"/>
      <c r="AS320" s="136"/>
      <c r="AT320" s="221"/>
      <c r="AU320" s="221"/>
      <c r="AV320" s="221"/>
      <c r="AW320" s="221"/>
      <c r="AX320" s="221"/>
      <c r="AY320" s="221"/>
      <c r="AZ320" s="221"/>
      <c r="BA320" s="221"/>
      <c r="BB320" s="221"/>
      <c r="BC320" s="221"/>
      <c r="BD320" s="221"/>
    </row>
    <row r="321" spans="36:56" hidden="1">
      <c r="AJ321" s="221"/>
      <c r="AK321" s="221"/>
      <c r="AL321" s="221"/>
      <c r="AM321" s="221"/>
      <c r="AN321" s="221"/>
      <c r="AO321" s="221"/>
      <c r="AP321" s="221"/>
      <c r="AQ321" s="221"/>
      <c r="AR321" s="221"/>
      <c r="AS321" s="136"/>
      <c r="AT321" s="221"/>
      <c r="AU321" s="221"/>
      <c r="AV321" s="221"/>
      <c r="AW321" s="221"/>
      <c r="AX321" s="221"/>
      <c r="AY321" s="221"/>
      <c r="AZ321" s="221"/>
      <c r="BA321" s="221"/>
      <c r="BB321" s="221"/>
      <c r="BC321" s="221"/>
      <c r="BD321" s="221"/>
    </row>
    <row r="322" spans="36:56" hidden="1">
      <c r="AJ322" s="221"/>
      <c r="AK322" s="221"/>
      <c r="AL322" s="221"/>
      <c r="AM322" s="221"/>
      <c r="AN322" s="221"/>
      <c r="AO322" s="221"/>
      <c r="AP322" s="221"/>
      <c r="AQ322" s="221"/>
      <c r="AR322" s="221"/>
      <c r="AS322" s="136"/>
      <c r="AT322" s="221"/>
      <c r="AU322" s="221"/>
      <c r="AV322" s="221"/>
      <c r="AW322" s="221"/>
      <c r="AX322" s="221"/>
      <c r="AY322" s="221"/>
      <c r="AZ322" s="221"/>
      <c r="BA322" s="221"/>
      <c r="BB322" s="221"/>
      <c r="BC322" s="221"/>
      <c r="BD322" s="221"/>
    </row>
    <row r="323" spans="36:56" hidden="1">
      <c r="AJ323" s="221"/>
      <c r="AK323" s="221"/>
      <c r="AL323" s="221"/>
      <c r="AM323" s="221"/>
      <c r="AN323" s="221"/>
      <c r="AO323" s="221"/>
      <c r="AP323" s="221"/>
      <c r="AQ323" s="221"/>
      <c r="AR323" s="221"/>
      <c r="AS323" s="136"/>
      <c r="AT323" s="221"/>
      <c r="AU323" s="221"/>
      <c r="AV323" s="221"/>
      <c r="AW323" s="221"/>
      <c r="AX323" s="221"/>
      <c r="AY323" s="221"/>
      <c r="AZ323" s="221"/>
      <c r="BA323" s="221"/>
      <c r="BB323" s="221"/>
      <c r="BC323" s="221"/>
      <c r="BD323" s="221"/>
    </row>
    <row r="324" spans="36:56" hidden="1">
      <c r="AJ324" s="221"/>
      <c r="AK324" s="221"/>
      <c r="AL324" s="221"/>
      <c r="AM324" s="221"/>
      <c r="AN324" s="221"/>
      <c r="AO324" s="221"/>
      <c r="AP324" s="221"/>
      <c r="AQ324" s="221"/>
      <c r="AR324" s="221"/>
      <c r="AS324" s="136"/>
      <c r="AT324" s="221"/>
      <c r="AU324" s="221"/>
      <c r="AV324" s="221"/>
      <c r="AW324" s="221"/>
      <c r="AX324" s="221"/>
      <c r="AY324" s="221"/>
      <c r="AZ324" s="221"/>
      <c r="BA324" s="221"/>
      <c r="BB324" s="221"/>
      <c r="BC324" s="221"/>
      <c r="BD324" s="221"/>
    </row>
    <row r="325" spans="36:56" hidden="1">
      <c r="AJ325" s="221"/>
      <c r="AK325" s="221"/>
      <c r="AL325" s="221"/>
      <c r="AM325" s="221"/>
      <c r="AN325" s="221"/>
      <c r="AO325" s="221"/>
      <c r="AP325" s="221"/>
      <c r="AQ325" s="221"/>
      <c r="AR325" s="221"/>
      <c r="AS325" s="136"/>
      <c r="AT325" s="221"/>
      <c r="AU325" s="221"/>
      <c r="AV325" s="221"/>
      <c r="AW325" s="221"/>
      <c r="AX325" s="221"/>
      <c r="AY325" s="221"/>
      <c r="AZ325" s="221"/>
      <c r="BA325" s="221"/>
      <c r="BB325" s="221"/>
      <c r="BC325" s="221"/>
      <c r="BD325" s="221"/>
    </row>
    <row r="326" spans="36:56" hidden="1">
      <c r="AJ326" s="221"/>
      <c r="AK326" s="221"/>
      <c r="AL326" s="221"/>
      <c r="AM326" s="221"/>
      <c r="AN326" s="221"/>
      <c r="AO326" s="221"/>
      <c r="AP326" s="221"/>
      <c r="AQ326" s="221"/>
      <c r="AR326" s="221"/>
      <c r="AS326" s="136"/>
      <c r="AT326" s="221"/>
      <c r="AU326" s="221"/>
      <c r="AV326" s="221"/>
      <c r="AW326" s="221"/>
      <c r="AX326" s="221"/>
      <c r="AY326" s="221"/>
      <c r="AZ326" s="221"/>
      <c r="BA326" s="221"/>
      <c r="BB326" s="221"/>
      <c r="BC326" s="221"/>
      <c r="BD326" s="221"/>
    </row>
    <row r="327" spans="36:56" hidden="1">
      <c r="AJ327" s="221"/>
      <c r="AK327" s="221"/>
      <c r="AL327" s="221"/>
      <c r="AM327" s="221"/>
      <c r="AN327" s="221"/>
      <c r="AO327" s="221"/>
      <c r="AP327" s="221"/>
      <c r="AQ327" s="221"/>
      <c r="AR327" s="221"/>
      <c r="AS327" s="136"/>
      <c r="AT327" s="221"/>
      <c r="AU327" s="221"/>
      <c r="AV327" s="221"/>
      <c r="AW327" s="221"/>
      <c r="AX327" s="221"/>
      <c r="AY327" s="221"/>
      <c r="AZ327" s="221"/>
      <c r="BA327" s="221"/>
      <c r="BB327" s="221"/>
      <c r="BC327" s="221"/>
      <c r="BD327" s="221"/>
    </row>
    <row r="328" spans="36:56" hidden="1">
      <c r="AJ328" s="221"/>
      <c r="AK328" s="221"/>
      <c r="AL328" s="221"/>
      <c r="AM328" s="221"/>
      <c r="AN328" s="221"/>
      <c r="AO328" s="221"/>
      <c r="AP328" s="221"/>
      <c r="AQ328" s="221"/>
      <c r="AR328" s="221"/>
      <c r="AS328" s="136"/>
      <c r="AT328" s="221"/>
      <c r="AU328" s="221"/>
      <c r="AV328" s="221"/>
      <c r="AW328" s="221"/>
      <c r="AX328" s="221"/>
      <c r="AY328" s="221"/>
      <c r="AZ328" s="221"/>
      <c r="BA328" s="221"/>
      <c r="BB328" s="221"/>
      <c r="BC328" s="221"/>
      <c r="BD328" s="221"/>
    </row>
    <row r="329" spans="36:56" hidden="1">
      <c r="AJ329" s="221"/>
      <c r="AK329" s="221"/>
      <c r="AL329" s="221"/>
      <c r="AM329" s="221"/>
      <c r="AN329" s="221"/>
      <c r="AO329" s="221"/>
      <c r="AP329" s="221"/>
      <c r="AQ329" s="221"/>
      <c r="AR329" s="221"/>
      <c r="AS329" s="136"/>
      <c r="AT329" s="221"/>
      <c r="AU329" s="221"/>
      <c r="AV329" s="221"/>
      <c r="AW329" s="221"/>
      <c r="AX329" s="221"/>
      <c r="AY329" s="221"/>
      <c r="AZ329" s="221"/>
      <c r="BA329" s="221"/>
      <c r="BB329" s="221"/>
      <c r="BC329" s="221"/>
      <c r="BD329" s="221"/>
    </row>
    <row r="330" spans="36:56" hidden="1">
      <c r="AJ330" s="221"/>
      <c r="AK330" s="221"/>
      <c r="AL330" s="221"/>
      <c r="AM330" s="221"/>
      <c r="AN330" s="221"/>
      <c r="AO330" s="221"/>
      <c r="AP330" s="221"/>
      <c r="AQ330" s="221"/>
      <c r="AR330" s="221"/>
      <c r="AS330" s="136"/>
      <c r="AT330" s="221"/>
      <c r="AU330" s="221"/>
      <c r="AV330" s="221"/>
      <c r="AW330" s="221"/>
      <c r="AX330" s="221"/>
      <c r="AY330" s="221"/>
      <c r="AZ330" s="221"/>
      <c r="BA330" s="221"/>
      <c r="BB330" s="221"/>
      <c r="BC330" s="221"/>
      <c r="BD330" s="221"/>
    </row>
    <row r="331" spans="36:56" hidden="1">
      <c r="AJ331" s="221"/>
      <c r="AK331" s="221"/>
      <c r="AL331" s="221"/>
      <c r="AM331" s="221"/>
      <c r="AN331" s="221"/>
      <c r="AO331" s="221"/>
      <c r="AP331" s="221"/>
      <c r="AQ331" s="221"/>
      <c r="AR331" s="221"/>
      <c r="AS331" s="136"/>
      <c r="AT331" s="221"/>
      <c r="AU331" s="221"/>
      <c r="AV331" s="221"/>
      <c r="AW331" s="221"/>
      <c r="AX331" s="221"/>
      <c r="AY331" s="221"/>
      <c r="AZ331" s="221"/>
      <c r="BA331" s="221"/>
      <c r="BB331" s="221"/>
      <c r="BC331" s="221"/>
      <c r="BD331" s="221"/>
    </row>
    <row r="332" spans="36:56" hidden="1">
      <c r="AJ332" s="221"/>
      <c r="AK332" s="221"/>
      <c r="AL332" s="221"/>
      <c r="AM332" s="221"/>
      <c r="AN332" s="221"/>
      <c r="AO332" s="221"/>
      <c r="AP332" s="221"/>
      <c r="AQ332" s="221"/>
      <c r="AR332" s="221"/>
      <c r="AS332" s="136"/>
      <c r="AT332" s="221"/>
      <c r="AU332" s="221"/>
      <c r="AV332" s="221"/>
      <c r="AW332" s="221"/>
      <c r="AX332" s="221"/>
      <c r="AY332" s="221"/>
      <c r="AZ332" s="221"/>
      <c r="BA332" s="221"/>
      <c r="BB332" s="221"/>
      <c r="BC332" s="221"/>
      <c r="BD332" s="221"/>
    </row>
    <row r="333" spans="36:56" hidden="1">
      <c r="AJ333" s="221"/>
      <c r="AK333" s="221"/>
      <c r="AL333" s="221"/>
      <c r="AM333" s="221"/>
      <c r="AN333" s="221"/>
      <c r="AO333" s="221"/>
      <c r="AP333" s="221"/>
      <c r="AQ333" s="221"/>
      <c r="AR333" s="221"/>
      <c r="AS333" s="136"/>
      <c r="AT333" s="221"/>
      <c r="AU333" s="221"/>
      <c r="AV333" s="221"/>
      <c r="AW333" s="221"/>
      <c r="AX333" s="221"/>
      <c r="AY333" s="221"/>
      <c r="AZ333" s="221"/>
      <c r="BA333" s="221"/>
      <c r="BB333" s="221"/>
      <c r="BC333" s="221"/>
      <c r="BD333" s="221"/>
    </row>
    <row r="334" spans="36:56" hidden="1">
      <c r="AJ334" s="221"/>
      <c r="AK334" s="221"/>
      <c r="AL334" s="221"/>
      <c r="AM334" s="221"/>
      <c r="AN334" s="221"/>
      <c r="AO334" s="221"/>
      <c r="AP334" s="221"/>
      <c r="AQ334" s="221"/>
      <c r="AR334" s="221"/>
      <c r="AS334" s="136"/>
      <c r="AT334" s="221"/>
      <c r="AU334" s="221"/>
      <c r="AV334" s="221"/>
      <c r="AW334" s="221"/>
      <c r="AX334" s="221"/>
      <c r="AY334" s="221"/>
      <c r="AZ334" s="221"/>
      <c r="BA334" s="221"/>
      <c r="BB334" s="221"/>
      <c r="BC334" s="221"/>
      <c r="BD334" s="221"/>
    </row>
    <row r="335" spans="36:56" hidden="1">
      <c r="AJ335" s="221"/>
      <c r="AK335" s="221"/>
      <c r="AL335" s="221"/>
      <c r="AM335" s="221"/>
      <c r="AN335" s="221"/>
      <c r="AO335" s="221"/>
      <c r="AP335" s="221"/>
      <c r="AQ335" s="221"/>
      <c r="AR335" s="221"/>
      <c r="AS335" s="136"/>
      <c r="AT335" s="221"/>
      <c r="AU335" s="221"/>
      <c r="AV335" s="221"/>
      <c r="AW335" s="221"/>
      <c r="AX335" s="221"/>
      <c r="AY335" s="221"/>
      <c r="AZ335" s="221"/>
      <c r="BA335" s="221"/>
      <c r="BB335" s="221"/>
      <c r="BC335" s="221"/>
      <c r="BD335" s="221"/>
    </row>
    <row r="336" spans="36:56" hidden="1">
      <c r="AJ336" s="221"/>
      <c r="AK336" s="221"/>
      <c r="AL336" s="221"/>
      <c r="AM336" s="221"/>
      <c r="AN336" s="221"/>
      <c r="AO336" s="221"/>
      <c r="AP336" s="221"/>
      <c r="AQ336" s="221"/>
      <c r="AR336" s="221"/>
      <c r="AS336" s="136"/>
      <c r="AT336" s="221"/>
      <c r="AU336" s="221"/>
      <c r="AV336" s="221"/>
      <c r="AW336" s="221"/>
      <c r="AX336" s="221"/>
      <c r="AY336" s="221"/>
      <c r="AZ336" s="221"/>
      <c r="BA336" s="221"/>
      <c r="BB336" s="221"/>
      <c r="BC336" s="221"/>
      <c r="BD336" s="221"/>
    </row>
    <row r="337" spans="36:56" hidden="1">
      <c r="AJ337" s="221"/>
      <c r="AK337" s="221"/>
      <c r="AL337" s="221"/>
      <c r="AM337" s="221"/>
      <c r="AN337" s="221"/>
      <c r="AO337" s="221"/>
      <c r="AP337" s="221"/>
      <c r="AQ337" s="221"/>
      <c r="AR337" s="221"/>
      <c r="AS337" s="136"/>
      <c r="AT337" s="221"/>
      <c r="AU337" s="221"/>
      <c r="AV337" s="221"/>
      <c r="AW337" s="221"/>
      <c r="AX337" s="221"/>
      <c r="AY337" s="221"/>
      <c r="AZ337" s="221"/>
      <c r="BA337" s="221"/>
      <c r="BB337" s="221"/>
      <c r="BC337" s="221"/>
      <c r="BD337" s="221"/>
    </row>
    <row r="338" spans="36:56" hidden="1">
      <c r="AJ338" s="221"/>
      <c r="AK338" s="221"/>
      <c r="AL338" s="221"/>
      <c r="AM338" s="221"/>
      <c r="AN338" s="221"/>
      <c r="AO338" s="221"/>
      <c r="AP338" s="221"/>
      <c r="AQ338" s="221"/>
      <c r="AR338" s="221"/>
      <c r="AS338" s="136"/>
      <c r="AT338" s="221"/>
      <c r="AU338" s="221"/>
      <c r="AV338" s="221"/>
      <c r="AW338" s="221"/>
      <c r="AX338" s="221"/>
      <c r="AY338" s="221"/>
      <c r="AZ338" s="221"/>
      <c r="BA338" s="221"/>
      <c r="BB338" s="221"/>
      <c r="BC338" s="221"/>
      <c r="BD338" s="221"/>
    </row>
    <row r="339" spans="36:56" hidden="1">
      <c r="AJ339" s="221"/>
      <c r="AK339" s="221"/>
      <c r="AL339" s="221"/>
      <c r="AM339" s="221"/>
      <c r="AN339" s="221"/>
      <c r="AO339" s="221"/>
      <c r="AP339" s="221"/>
      <c r="AQ339" s="221"/>
      <c r="AR339" s="221"/>
      <c r="AS339" s="136"/>
      <c r="AT339" s="221"/>
      <c r="AU339" s="221"/>
      <c r="AV339" s="221"/>
      <c r="AW339" s="221"/>
      <c r="AX339" s="221"/>
      <c r="AY339" s="221"/>
      <c r="AZ339" s="221"/>
      <c r="BA339" s="221"/>
      <c r="BB339" s="221"/>
      <c r="BC339" s="221"/>
      <c r="BD339" s="221"/>
    </row>
    <row r="340" spans="36:56" hidden="1">
      <c r="AJ340" s="221"/>
      <c r="AK340" s="221"/>
      <c r="AL340" s="221"/>
      <c r="AM340" s="221"/>
      <c r="AN340" s="221"/>
      <c r="AO340" s="221"/>
      <c r="AP340" s="221"/>
      <c r="AQ340" s="221"/>
      <c r="AR340" s="221"/>
      <c r="AS340" s="136"/>
      <c r="AT340" s="221"/>
      <c r="AU340" s="221"/>
      <c r="AV340" s="221"/>
      <c r="AW340" s="221"/>
      <c r="AX340" s="221"/>
      <c r="AY340" s="221"/>
      <c r="AZ340" s="221"/>
      <c r="BA340" s="221"/>
      <c r="BB340" s="221"/>
      <c r="BC340" s="221"/>
      <c r="BD340" s="221"/>
    </row>
    <row r="341" spans="36:56" hidden="1">
      <c r="AJ341" s="221"/>
      <c r="AK341" s="221"/>
      <c r="AL341" s="221"/>
      <c r="AM341" s="221"/>
      <c r="AN341" s="221"/>
      <c r="AO341" s="221"/>
      <c r="AP341" s="221"/>
      <c r="AQ341" s="221"/>
      <c r="AR341" s="221"/>
      <c r="AS341" s="136"/>
      <c r="AT341" s="221"/>
      <c r="AU341" s="221"/>
      <c r="AV341" s="221"/>
      <c r="AW341" s="221"/>
      <c r="AX341" s="221"/>
      <c r="AY341" s="221"/>
      <c r="AZ341" s="221"/>
      <c r="BA341" s="221"/>
      <c r="BB341" s="221"/>
      <c r="BC341" s="221"/>
      <c r="BD341" s="221"/>
    </row>
    <row r="342" spans="36:56" hidden="1">
      <c r="AJ342" s="221"/>
      <c r="AK342" s="221"/>
      <c r="AL342" s="221"/>
      <c r="AM342" s="221"/>
      <c r="AN342" s="221"/>
      <c r="AO342" s="221"/>
      <c r="AP342" s="221"/>
      <c r="AQ342" s="221"/>
      <c r="AR342" s="221"/>
      <c r="AS342" s="136"/>
      <c r="AT342" s="221"/>
      <c r="AU342" s="221"/>
      <c r="AV342" s="221"/>
      <c r="AW342" s="221"/>
      <c r="AX342" s="221"/>
      <c r="AY342" s="221"/>
      <c r="AZ342" s="221"/>
      <c r="BA342" s="221"/>
      <c r="BB342" s="221"/>
      <c r="BC342" s="221"/>
      <c r="BD342" s="221"/>
    </row>
    <row r="343" spans="36:56" hidden="1">
      <c r="AJ343" s="221"/>
      <c r="AK343" s="221"/>
      <c r="AL343" s="221"/>
      <c r="AM343" s="221"/>
      <c r="AN343" s="221"/>
      <c r="AO343" s="221"/>
      <c r="AP343" s="221"/>
      <c r="AQ343" s="221"/>
      <c r="AR343" s="221"/>
      <c r="AS343" s="136"/>
      <c r="AT343" s="221"/>
      <c r="AU343" s="221"/>
      <c r="AV343" s="221"/>
      <c r="AW343" s="221"/>
      <c r="AX343" s="221"/>
      <c r="AY343" s="221"/>
      <c r="AZ343" s="221"/>
      <c r="BA343" s="221"/>
      <c r="BB343" s="221"/>
      <c r="BC343" s="221"/>
      <c r="BD343" s="221"/>
    </row>
    <row r="344" spans="36:56" hidden="1">
      <c r="AJ344" s="221"/>
      <c r="AK344" s="221"/>
      <c r="AL344" s="221"/>
      <c r="AM344" s="221"/>
      <c r="AN344" s="221"/>
      <c r="AO344" s="221"/>
      <c r="AP344" s="221"/>
      <c r="AQ344" s="221"/>
      <c r="AR344" s="221"/>
      <c r="AS344" s="136"/>
      <c r="AT344" s="221"/>
      <c r="AU344" s="221"/>
      <c r="AV344" s="221"/>
      <c r="AW344" s="221"/>
      <c r="AX344" s="221"/>
      <c r="AY344" s="221"/>
      <c r="AZ344" s="221"/>
      <c r="BA344" s="221"/>
      <c r="BB344" s="221"/>
      <c r="BC344" s="221"/>
      <c r="BD344" s="221"/>
    </row>
    <row r="345" spans="36:56" hidden="1">
      <c r="AJ345" s="221"/>
      <c r="AK345" s="221"/>
      <c r="AL345" s="221"/>
      <c r="AM345" s="221"/>
      <c r="AN345" s="221"/>
      <c r="AO345" s="221"/>
      <c r="AP345" s="221"/>
      <c r="AQ345" s="221"/>
      <c r="AR345" s="221"/>
      <c r="AS345" s="136"/>
      <c r="AT345" s="221"/>
      <c r="AU345" s="221"/>
      <c r="AV345" s="221"/>
      <c r="AW345" s="221"/>
      <c r="AX345" s="221"/>
      <c r="AY345" s="221"/>
      <c r="AZ345" s="221"/>
      <c r="BA345" s="221"/>
      <c r="BB345" s="221"/>
      <c r="BC345" s="221"/>
      <c r="BD345" s="221"/>
    </row>
    <row r="346" spans="36:56" hidden="1">
      <c r="AJ346" s="221"/>
      <c r="AK346" s="221"/>
      <c r="AL346" s="221"/>
      <c r="AM346" s="221"/>
      <c r="AN346" s="221"/>
      <c r="AO346" s="221"/>
      <c r="AP346" s="221"/>
      <c r="AQ346" s="221"/>
      <c r="AR346" s="221"/>
      <c r="AS346" s="136"/>
      <c r="AT346" s="221"/>
      <c r="AU346" s="221"/>
      <c r="AV346" s="221"/>
      <c r="AW346" s="221"/>
      <c r="AX346" s="221"/>
      <c r="AY346" s="221"/>
      <c r="AZ346" s="221"/>
      <c r="BA346" s="221"/>
      <c r="BB346" s="221"/>
      <c r="BC346" s="221"/>
      <c r="BD346" s="221"/>
    </row>
    <row r="347" spans="36:56" hidden="1">
      <c r="AJ347" s="221"/>
      <c r="AK347" s="221"/>
      <c r="AL347" s="221"/>
      <c r="AM347" s="221"/>
      <c r="AN347" s="221"/>
      <c r="AO347" s="221"/>
      <c r="AP347" s="221"/>
      <c r="AQ347" s="221"/>
      <c r="AR347" s="221"/>
      <c r="AS347" s="136"/>
      <c r="AT347" s="221"/>
      <c r="AU347" s="221"/>
      <c r="AV347" s="221"/>
      <c r="AW347" s="221"/>
      <c r="AX347" s="221"/>
      <c r="AY347" s="221"/>
      <c r="AZ347" s="221"/>
      <c r="BA347" s="221"/>
      <c r="BB347" s="221"/>
      <c r="BC347" s="221"/>
      <c r="BD347" s="221"/>
    </row>
    <row r="348" spans="36:56" hidden="1">
      <c r="AJ348" s="221"/>
      <c r="AK348" s="221"/>
      <c r="AL348" s="221"/>
      <c r="AM348" s="221"/>
      <c r="AN348" s="221"/>
      <c r="AO348" s="221"/>
      <c r="AP348" s="221"/>
      <c r="AQ348" s="221"/>
      <c r="AR348" s="221"/>
      <c r="AS348" s="136"/>
      <c r="AT348" s="221"/>
      <c r="AU348" s="221"/>
      <c r="AV348" s="221"/>
      <c r="AW348" s="221"/>
      <c r="AX348" s="221"/>
      <c r="AY348" s="221"/>
      <c r="AZ348" s="221"/>
      <c r="BA348" s="221"/>
      <c r="BB348" s="221"/>
      <c r="BC348" s="221"/>
      <c r="BD348" s="221"/>
    </row>
    <row r="349" spans="36:56" hidden="1">
      <c r="AJ349" s="221"/>
      <c r="AK349" s="221"/>
      <c r="AL349" s="221"/>
      <c r="AM349" s="221"/>
      <c r="AN349" s="221"/>
      <c r="AO349" s="221"/>
      <c r="AP349" s="221"/>
      <c r="AQ349" s="221"/>
      <c r="AR349" s="221"/>
      <c r="AS349" s="136"/>
      <c r="AT349" s="221"/>
      <c r="AU349" s="221"/>
      <c r="AV349" s="221"/>
      <c r="AW349" s="221"/>
      <c r="AX349" s="221"/>
      <c r="AY349" s="221"/>
      <c r="AZ349" s="221"/>
      <c r="BA349" s="221"/>
      <c r="BB349" s="221"/>
      <c r="BC349" s="221"/>
      <c r="BD349" s="221"/>
    </row>
    <row r="350" spans="36:56" hidden="1">
      <c r="AJ350" s="221"/>
      <c r="AK350" s="221"/>
      <c r="AL350" s="221"/>
      <c r="AM350" s="221"/>
      <c r="AN350" s="221"/>
      <c r="AO350" s="221"/>
      <c r="AP350" s="221"/>
      <c r="AQ350" s="221"/>
      <c r="AR350" s="221"/>
      <c r="AS350" s="136"/>
      <c r="AT350" s="221"/>
      <c r="AU350" s="221"/>
      <c r="AV350" s="221"/>
      <c r="AW350" s="221"/>
      <c r="AX350" s="221"/>
      <c r="AY350" s="221"/>
      <c r="AZ350" s="221"/>
      <c r="BA350" s="221"/>
      <c r="BB350" s="221"/>
      <c r="BC350" s="221"/>
      <c r="BD350" s="221"/>
    </row>
    <row r="351" spans="36:56" hidden="1">
      <c r="AJ351" s="221"/>
      <c r="AK351" s="221"/>
      <c r="AL351" s="221"/>
      <c r="AM351" s="221"/>
      <c r="AN351" s="221"/>
      <c r="AO351" s="221"/>
      <c r="AP351" s="221"/>
      <c r="AQ351" s="221"/>
      <c r="AR351" s="221"/>
      <c r="AS351" s="136"/>
      <c r="AT351" s="221"/>
      <c r="AU351" s="221"/>
      <c r="AV351" s="221"/>
      <c r="AW351" s="221"/>
      <c r="AX351" s="221"/>
      <c r="AY351" s="221"/>
      <c r="AZ351" s="221"/>
      <c r="BA351" s="221"/>
      <c r="BB351" s="221"/>
      <c r="BC351" s="221"/>
      <c r="BD351" s="221"/>
    </row>
    <row r="352" spans="36:56" hidden="1">
      <c r="AJ352" s="221"/>
      <c r="AK352" s="221"/>
      <c r="AL352" s="221"/>
      <c r="AM352" s="221"/>
      <c r="AN352" s="221"/>
      <c r="AO352" s="221"/>
      <c r="AP352" s="221"/>
      <c r="AQ352" s="221"/>
      <c r="AR352" s="221"/>
      <c r="AS352" s="136"/>
      <c r="AT352" s="221"/>
      <c r="AU352" s="221"/>
      <c r="AV352" s="221"/>
      <c r="AW352" s="221"/>
      <c r="AX352" s="221"/>
      <c r="AY352" s="221"/>
      <c r="AZ352" s="221"/>
      <c r="BA352" s="221"/>
      <c r="BB352" s="221"/>
      <c r="BC352" s="221"/>
      <c r="BD352" s="221"/>
    </row>
    <row r="353" spans="36:56" hidden="1">
      <c r="AJ353" s="221"/>
      <c r="AK353" s="221"/>
      <c r="AL353" s="221"/>
      <c r="AM353" s="221"/>
      <c r="AN353" s="221"/>
      <c r="AO353" s="221"/>
      <c r="AP353" s="221"/>
      <c r="AQ353" s="221"/>
      <c r="AR353" s="221"/>
      <c r="AS353" s="136"/>
      <c r="AT353" s="221"/>
      <c r="AU353" s="221"/>
      <c r="AV353" s="221"/>
      <c r="AW353" s="221"/>
      <c r="AX353" s="221"/>
      <c r="AY353" s="221"/>
      <c r="AZ353" s="221"/>
      <c r="BA353" s="221"/>
      <c r="BB353" s="221"/>
      <c r="BC353" s="221"/>
      <c r="BD353" s="221"/>
    </row>
    <row r="354" spans="36:56" hidden="1">
      <c r="AJ354" s="221"/>
      <c r="AK354" s="221"/>
      <c r="AL354" s="221"/>
      <c r="AM354" s="221"/>
      <c r="AN354" s="221"/>
      <c r="AO354" s="221"/>
      <c r="AP354" s="221"/>
      <c r="AQ354" s="221"/>
      <c r="AR354" s="221"/>
      <c r="AS354" s="136"/>
      <c r="AT354" s="221"/>
      <c r="AU354" s="221"/>
      <c r="AV354" s="221"/>
      <c r="AW354" s="221"/>
      <c r="AX354" s="221"/>
      <c r="AY354" s="221"/>
      <c r="AZ354" s="221"/>
      <c r="BA354" s="221"/>
      <c r="BB354" s="221"/>
      <c r="BC354" s="221"/>
      <c r="BD354" s="221"/>
    </row>
    <row r="355" spans="36:56" hidden="1">
      <c r="AJ355" s="221"/>
      <c r="AK355" s="221"/>
      <c r="AL355" s="221"/>
      <c r="AM355" s="221"/>
      <c r="AN355" s="221"/>
      <c r="AO355" s="221"/>
      <c r="AP355" s="221"/>
      <c r="AQ355" s="221"/>
      <c r="AR355" s="221"/>
      <c r="AS355" s="136"/>
      <c r="AT355" s="221"/>
      <c r="AU355" s="221"/>
      <c r="AV355" s="221"/>
      <c r="AW355" s="221"/>
      <c r="AX355" s="221"/>
      <c r="AY355" s="221"/>
      <c r="AZ355" s="221"/>
      <c r="BA355" s="221"/>
      <c r="BB355" s="221"/>
      <c r="BC355" s="221"/>
      <c r="BD355" s="221"/>
    </row>
    <row r="356" spans="36:56" hidden="1">
      <c r="AJ356" s="221"/>
      <c r="AK356" s="221"/>
      <c r="AL356" s="221"/>
      <c r="AM356" s="221"/>
      <c r="AN356" s="221"/>
      <c r="AO356" s="221"/>
      <c r="AP356" s="221"/>
      <c r="AQ356" s="221"/>
      <c r="AR356" s="221"/>
      <c r="AS356" s="136"/>
      <c r="AT356" s="221"/>
      <c r="AU356" s="221"/>
      <c r="AV356" s="221"/>
      <c r="AW356" s="221"/>
      <c r="AX356" s="221"/>
      <c r="AY356" s="221"/>
      <c r="AZ356" s="221"/>
      <c r="BA356" s="221"/>
      <c r="BB356" s="221"/>
      <c r="BC356" s="221"/>
      <c r="BD356" s="221"/>
    </row>
    <row r="357" spans="36:56" hidden="1">
      <c r="AJ357" s="221"/>
      <c r="AK357" s="221"/>
      <c r="AL357" s="221"/>
      <c r="AM357" s="221"/>
      <c r="AN357" s="221"/>
      <c r="AO357" s="221"/>
      <c r="AP357" s="221"/>
      <c r="AQ357" s="221"/>
      <c r="AR357" s="221"/>
      <c r="AS357" s="136"/>
      <c r="AT357" s="221"/>
      <c r="AU357" s="221"/>
      <c r="AV357" s="221"/>
      <c r="AW357" s="221"/>
      <c r="AX357" s="221"/>
      <c r="AY357" s="221"/>
      <c r="AZ357" s="221"/>
      <c r="BA357" s="221"/>
      <c r="BB357" s="221"/>
      <c r="BC357" s="221"/>
      <c r="BD357" s="221"/>
    </row>
    <row r="358" spans="36:56" hidden="1">
      <c r="AJ358" s="221"/>
      <c r="AK358" s="221"/>
      <c r="AL358" s="221"/>
      <c r="AM358" s="221"/>
      <c r="AN358" s="221"/>
      <c r="AO358" s="221"/>
      <c r="AP358" s="221"/>
      <c r="AQ358" s="221"/>
      <c r="AR358" s="221"/>
      <c r="AS358" s="136"/>
      <c r="AT358" s="221"/>
      <c r="AU358" s="221"/>
      <c r="AV358" s="221"/>
      <c r="AW358" s="221"/>
      <c r="AX358" s="221"/>
      <c r="AY358" s="221"/>
      <c r="AZ358" s="221"/>
      <c r="BA358" s="221"/>
      <c r="BB358" s="221"/>
      <c r="BC358" s="221"/>
      <c r="BD358" s="221"/>
    </row>
    <row r="359" spans="36:56" hidden="1">
      <c r="AJ359" s="221"/>
      <c r="AK359" s="221"/>
      <c r="AL359" s="221"/>
      <c r="AM359" s="221"/>
      <c r="AN359" s="221"/>
      <c r="AO359" s="221"/>
      <c r="AP359" s="221"/>
      <c r="AQ359" s="221"/>
      <c r="AR359" s="221"/>
      <c r="AS359" s="136"/>
      <c r="AT359" s="221"/>
      <c r="AU359" s="221"/>
      <c r="AV359" s="221"/>
      <c r="AW359" s="221"/>
      <c r="AX359" s="221"/>
      <c r="AY359" s="221"/>
      <c r="AZ359" s="221"/>
      <c r="BA359" s="221"/>
      <c r="BB359" s="221"/>
      <c r="BC359" s="221"/>
      <c r="BD359" s="221"/>
    </row>
    <row r="360" spans="36:56" hidden="1">
      <c r="AJ360" s="221"/>
      <c r="AK360" s="221"/>
      <c r="AL360" s="221"/>
      <c r="AM360" s="221"/>
      <c r="AN360" s="221"/>
      <c r="AO360" s="221"/>
      <c r="AP360" s="221"/>
      <c r="AQ360" s="221"/>
      <c r="AR360" s="221"/>
      <c r="AS360" s="136"/>
      <c r="AT360" s="221"/>
      <c r="AU360" s="221"/>
      <c r="AV360" s="221"/>
      <c r="AW360" s="221"/>
      <c r="AX360" s="221"/>
      <c r="AY360" s="221"/>
      <c r="AZ360" s="221"/>
      <c r="BA360" s="221"/>
      <c r="BB360" s="221"/>
      <c r="BC360" s="221"/>
      <c r="BD360" s="221"/>
    </row>
    <row r="361" spans="36:56" hidden="1">
      <c r="AJ361" s="221"/>
      <c r="AK361" s="221"/>
      <c r="AL361" s="221"/>
      <c r="AM361" s="221"/>
      <c r="AN361" s="221"/>
      <c r="AO361" s="221"/>
      <c r="AP361" s="221"/>
      <c r="AQ361" s="221"/>
      <c r="AR361" s="221"/>
      <c r="AS361" s="136"/>
      <c r="AT361" s="221"/>
      <c r="AU361" s="221"/>
      <c r="AV361" s="221"/>
      <c r="AW361" s="221"/>
      <c r="AX361" s="221"/>
      <c r="AY361" s="221"/>
      <c r="AZ361" s="221"/>
      <c r="BA361" s="221"/>
      <c r="BB361" s="221"/>
      <c r="BC361" s="221"/>
      <c r="BD361" s="221"/>
    </row>
    <row r="362" spans="36:56" hidden="1">
      <c r="AJ362" s="221"/>
      <c r="AK362" s="221"/>
      <c r="AL362" s="221"/>
      <c r="AM362" s="221"/>
      <c r="AN362" s="221"/>
      <c r="AO362" s="221"/>
      <c r="AP362" s="221"/>
      <c r="AQ362" s="221"/>
      <c r="AR362" s="221"/>
      <c r="AS362" s="136"/>
      <c r="AT362" s="221"/>
      <c r="AU362" s="221"/>
      <c r="AV362" s="221"/>
      <c r="AW362" s="221"/>
      <c r="AX362" s="221"/>
      <c r="AY362" s="221"/>
      <c r="AZ362" s="221"/>
      <c r="BA362" s="221"/>
      <c r="BB362" s="221"/>
      <c r="BC362" s="221"/>
      <c r="BD362" s="221"/>
    </row>
    <row r="363" spans="36:56" hidden="1">
      <c r="AJ363" s="221"/>
      <c r="AK363" s="221"/>
      <c r="AL363" s="221"/>
      <c r="AM363" s="221"/>
      <c r="AN363" s="221"/>
      <c r="AO363" s="221"/>
      <c r="AP363" s="221"/>
      <c r="AQ363" s="221"/>
      <c r="AR363" s="221"/>
      <c r="AS363" s="136"/>
      <c r="AT363" s="221"/>
      <c r="AU363" s="221"/>
      <c r="AV363" s="221"/>
      <c r="AW363" s="221"/>
      <c r="AX363" s="221"/>
      <c r="AY363" s="221"/>
      <c r="AZ363" s="221"/>
      <c r="BA363" s="221"/>
      <c r="BB363" s="221"/>
      <c r="BC363" s="221"/>
      <c r="BD363" s="221"/>
    </row>
    <row r="364" spans="36:56" hidden="1">
      <c r="AJ364" s="221"/>
      <c r="AK364" s="221"/>
      <c r="AL364" s="221"/>
      <c r="AM364" s="221"/>
      <c r="AN364" s="221"/>
      <c r="AO364" s="221"/>
      <c r="AP364" s="221"/>
      <c r="AQ364" s="221"/>
      <c r="AR364" s="221"/>
      <c r="AS364" s="136"/>
      <c r="AT364" s="221"/>
      <c r="AU364" s="221"/>
      <c r="AV364" s="221"/>
      <c r="AW364" s="221"/>
      <c r="AX364" s="221"/>
      <c r="AY364" s="221"/>
      <c r="AZ364" s="221"/>
      <c r="BA364" s="221"/>
      <c r="BB364" s="221"/>
      <c r="BC364" s="221"/>
      <c r="BD364" s="221"/>
    </row>
    <row r="365" spans="36:56" hidden="1">
      <c r="AJ365" s="221"/>
      <c r="AK365" s="221"/>
      <c r="AL365" s="221"/>
      <c r="AM365" s="221"/>
      <c r="AN365" s="221"/>
      <c r="AO365" s="221"/>
      <c r="AP365" s="221"/>
      <c r="AQ365" s="221"/>
      <c r="AR365" s="221"/>
      <c r="AS365" s="136"/>
      <c r="AT365" s="221"/>
      <c r="AU365" s="221"/>
      <c r="AV365" s="221"/>
      <c r="AW365" s="221"/>
      <c r="AX365" s="221"/>
      <c r="AY365" s="221"/>
      <c r="AZ365" s="221"/>
      <c r="BA365" s="221"/>
      <c r="BB365" s="221"/>
      <c r="BC365" s="221"/>
      <c r="BD365" s="221"/>
    </row>
    <row r="366" spans="36:56" hidden="1">
      <c r="AJ366" s="221"/>
      <c r="AK366" s="221"/>
      <c r="AL366" s="221"/>
      <c r="AM366" s="221"/>
      <c r="AN366" s="221"/>
      <c r="AO366" s="221"/>
      <c r="AP366" s="221"/>
      <c r="AQ366" s="221"/>
      <c r="AR366" s="221"/>
      <c r="AS366" s="136"/>
      <c r="AT366" s="221"/>
      <c r="AU366" s="221"/>
      <c r="AV366" s="221"/>
      <c r="AW366" s="221"/>
      <c r="AX366" s="221"/>
      <c r="AY366" s="221"/>
      <c r="AZ366" s="221"/>
      <c r="BA366" s="221"/>
      <c r="BB366" s="221"/>
      <c r="BC366" s="221"/>
      <c r="BD366" s="221"/>
    </row>
    <row r="367" spans="36:56" hidden="1">
      <c r="AJ367" s="221"/>
      <c r="AK367" s="221"/>
      <c r="AL367" s="221"/>
      <c r="AM367" s="221"/>
      <c r="AN367" s="221"/>
      <c r="AO367" s="221"/>
      <c r="AP367" s="221"/>
      <c r="AQ367" s="221"/>
      <c r="AR367" s="221"/>
      <c r="AS367" s="136"/>
      <c r="AT367" s="221"/>
      <c r="AU367" s="221"/>
      <c r="AV367" s="221"/>
      <c r="AW367" s="221"/>
      <c r="AX367" s="221"/>
      <c r="AY367" s="221"/>
      <c r="AZ367" s="221"/>
      <c r="BA367" s="221"/>
      <c r="BB367" s="221"/>
      <c r="BC367" s="221"/>
      <c r="BD367" s="221"/>
    </row>
    <row r="368" spans="36:56" hidden="1">
      <c r="AJ368" s="221"/>
      <c r="AK368" s="221"/>
      <c r="AL368" s="221"/>
      <c r="AM368" s="221"/>
      <c r="AN368" s="221"/>
      <c r="AO368" s="221"/>
      <c r="AP368" s="221"/>
      <c r="AQ368" s="221"/>
      <c r="AR368" s="221"/>
      <c r="AS368" s="136"/>
      <c r="AT368" s="221"/>
      <c r="AU368" s="221"/>
      <c r="AV368" s="221"/>
      <c r="AW368" s="221"/>
      <c r="AX368" s="221"/>
      <c r="AY368" s="221"/>
      <c r="AZ368" s="221"/>
      <c r="BA368" s="221"/>
      <c r="BB368" s="221"/>
      <c r="BC368" s="221"/>
      <c r="BD368" s="221"/>
    </row>
    <row r="369" spans="36:56" hidden="1">
      <c r="AJ369" s="221"/>
      <c r="AK369" s="221"/>
      <c r="AL369" s="221"/>
      <c r="AM369" s="221"/>
      <c r="AN369" s="221"/>
      <c r="AO369" s="221"/>
      <c r="AP369" s="221"/>
      <c r="AQ369" s="221"/>
      <c r="AR369" s="221"/>
      <c r="AS369" s="136"/>
      <c r="AT369" s="221"/>
      <c r="AU369" s="221"/>
      <c r="AV369" s="221"/>
      <c r="AW369" s="221"/>
      <c r="AX369" s="221"/>
      <c r="AY369" s="221"/>
      <c r="AZ369" s="221"/>
      <c r="BA369" s="221"/>
      <c r="BB369" s="221"/>
      <c r="BC369" s="221"/>
      <c r="BD369" s="221"/>
    </row>
    <row r="370" spans="36:56" hidden="1">
      <c r="AJ370" s="221"/>
      <c r="AK370" s="221"/>
      <c r="AL370" s="221"/>
      <c r="AM370" s="221"/>
      <c r="AN370" s="221"/>
      <c r="AO370" s="221"/>
      <c r="AP370" s="221"/>
      <c r="AQ370" s="221"/>
      <c r="AR370" s="221"/>
      <c r="AS370" s="136"/>
      <c r="AT370" s="221"/>
      <c r="AU370" s="221"/>
      <c r="AV370" s="221"/>
      <c r="AW370" s="221"/>
      <c r="AX370" s="221"/>
      <c r="AY370" s="221"/>
      <c r="AZ370" s="221"/>
      <c r="BA370" s="221"/>
      <c r="BB370" s="221"/>
      <c r="BC370" s="221"/>
      <c r="BD370" s="221"/>
    </row>
    <row r="371" spans="36:56" hidden="1">
      <c r="AJ371" s="221"/>
      <c r="AK371" s="221"/>
      <c r="AL371" s="221"/>
      <c r="AM371" s="221"/>
      <c r="AN371" s="221"/>
      <c r="AO371" s="221"/>
      <c r="AP371" s="221"/>
      <c r="AQ371" s="221"/>
      <c r="AR371" s="221"/>
      <c r="AS371" s="136"/>
      <c r="AT371" s="221"/>
      <c r="AU371" s="221"/>
      <c r="AV371" s="221"/>
      <c r="AW371" s="221"/>
      <c r="AX371" s="221"/>
      <c r="AY371" s="221"/>
      <c r="AZ371" s="221"/>
      <c r="BA371" s="221"/>
      <c r="BB371" s="221"/>
      <c r="BC371" s="221"/>
      <c r="BD371" s="221"/>
    </row>
    <row r="372" spans="36:56" hidden="1">
      <c r="AJ372" s="221"/>
      <c r="AK372" s="221"/>
      <c r="AL372" s="221"/>
      <c r="AM372" s="221"/>
      <c r="AN372" s="221"/>
      <c r="AO372" s="221"/>
      <c r="AP372" s="221"/>
      <c r="AQ372" s="221"/>
      <c r="AR372" s="221"/>
      <c r="AS372" s="136"/>
      <c r="AT372" s="221"/>
      <c r="AU372" s="221"/>
      <c r="AV372" s="221"/>
      <c r="AW372" s="221"/>
      <c r="AX372" s="221"/>
      <c r="AY372" s="221"/>
      <c r="AZ372" s="221"/>
      <c r="BA372" s="221"/>
      <c r="BB372" s="221"/>
      <c r="BC372" s="221"/>
      <c r="BD372" s="221"/>
    </row>
    <row r="373" spans="36:56" hidden="1">
      <c r="AJ373" s="221"/>
      <c r="AK373" s="221"/>
      <c r="AL373" s="221"/>
      <c r="AM373" s="221"/>
      <c r="AN373" s="221"/>
      <c r="AO373" s="221"/>
      <c r="AP373" s="221"/>
      <c r="AQ373" s="221"/>
      <c r="AR373" s="221"/>
      <c r="AS373" s="136"/>
      <c r="AT373" s="221"/>
      <c r="AU373" s="221"/>
      <c r="AV373" s="221"/>
      <c r="AW373" s="221"/>
      <c r="AX373" s="221"/>
      <c r="AY373" s="221"/>
      <c r="AZ373" s="221"/>
      <c r="BA373" s="221"/>
      <c r="BB373" s="221"/>
      <c r="BC373" s="221"/>
      <c r="BD373" s="221"/>
    </row>
    <row r="374" spans="36:56" hidden="1">
      <c r="AJ374" s="221"/>
      <c r="AK374" s="221"/>
      <c r="AL374" s="221"/>
      <c r="AM374" s="221"/>
      <c r="AN374" s="221"/>
      <c r="AO374" s="221"/>
      <c r="AP374" s="221"/>
      <c r="AQ374" s="221"/>
      <c r="AR374" s="221"/>
      <c r="AS374" s="136"/>
      <c r="AT374" s="221"/>
      <c r="AU374" s="221"/>
      <c r="AV374" s="221"/>
      <c r="AW374" s="221"/>
      <c r="AX374" s="221"/>
      <c r="AY374" s="221"/>
      <c r="AZ374" s="221"/>
      <c r="BA374" s="221"/>
      <c r="BB374" s="221"/>
      <c r="BC374" s="221"/>
      <c r="BD374" s="221"/>
    </row>
    <row r="375" spans="36:56" hidden="1">
      <c r="AJ375" s="221"/>
      <c r="AK375" s="221"/>
      <c r="AL375" s="221"/>
      <c r="AM375" s="221"/>
      <c r="AN375" s="221"/>
      <c r="AO375" s="221"/>
      <c r="AP375" s="221"/>
      <c r="AQ375" s="221"/>
      <c r="AR375" s="221"/>
      <c r="AS375" s="136"/>
      <c r="AT375" s="221"/>
      <c r="AU375" s="221"/>
      <c r="AV375" s="221"/>
      <c r="AW375" s="221"/>
      <c r="AX375" s="221"/>
      <c r="AY375" s="221"/>
      <c r="AZ375" s="221"/>
      <c r="BA375" s="221"/>
      <c r="BB375" s="221"/>
      <c r="BC375" s="221"/>
      <c r="BD375" s="221"/>
    </row>
    <row r="376" spans="36:56" hidden="1">
      <c r="AJ376" s="221"/>
      <c r="AK376" s="221"/>
      <c r="AL376" s="221"/>
      <c r="AM376" s="221"/>
      <c r="AN376" s="221"/>
      <c r="AO376" s="221"/>
      <c r="AP376" s="221"/>
      <c r="AQ376" s="221"/>
      <c r="AR376" s="221"/>
      <c r="AS376" s="136"/>
      <c r="AT376" s="221"/>
      <c r="AU376" s="221"/>
      <c r="AV376" s="221"/>
      <c r="AW376" s="221"/>
      <c r="AX376" s="221"/>
      <c r="AY376" s="221"/>
      <c r="AZ376" s="221"/>
      <c r="BA376" s="221"/>
      <c r="BB376" s="221"/>
      <c r="BC376" s="221"/>
      <c r="BD376" s="221"/>
    </row>
    <row r="377" spans="36:56" hidden="1">
      <c r="AJ377" s="221"/>
      <c r="AK377" s="221"/>
      <c r="AL377" s="221"/>
      <c r="AM377" s="221"/>
      <c r="AN377" s="221"/>
      <c r="AO377" s="221"/>
      <c r="AP377" s="221"/>
      <c r="AQ377" s="221"/>
      <c r="AR377" s="221"/>
      <c r="AS377" s="136"/>
      <c r="AT377" s="221"/>
      <c r="AU377" s="221"/>
      <c r="AV377" s="221"/>
      <c r="AW377" s="221"/>
      <c r="AX377" s="221"/>
      <c r="AY377" s="221"/>
      <c r="AZ377" s="221"/>
      <c r="BA377" s="221"/>
      <c r="BB377" s="221"/>
      <c r="BC377" s="221"/>
      <c r="BD377" s="221"/>
    </row>
    <row r="378" spans="36:56" hidden="1">
      <c r="AJ378" s="221"/>
      <c r="AK378" s="221"/>
      <c r="AL378" s="221"/>
      <c r="AM378" s="221"/>
      <c r="AN378" s="221"/>
      <c r="AO378" s="221"/>
      <c r="AP378" s="221"/>
      <c r="AQ378" s="221"/>
      <c r="AR378" s="221"/>
      <c r="AS378" s="136"/>
      <c r="AT378" s="221"/>
      <c r="AU378" s="221"/>
      <c r="AV378" s="221"/>
      <c r="AW378" s="221"/>
      <c r="AX378" s="221"/>
      <c r="AY378" s="221"/>
      <c r="AZ378" s="221"/>
      <c r="BA378" s="221"/>
      <c r="BB378" s="221"/>
      <c r="BC378" s="221"/>
      <c r="BD378" s="221"/>
    </row>
    <row r="379" spans="36:56" hidden="1">
      <c r="AJ379" s="221"/>
      <c r="AK379" s="221"/>
      <c r="AL379" s="221"/>
      <c r="AM379" s="221"/>
      <c r="AN379" s="221"/>
      <c r="AO379" s="221"/>
      <c r="AP379" s="221"/>
      <c r="AQ379" s="221"/>
      <c r="AR379" s="221"/>
      <c r="AS379" s="136"/>
      <c r="AT379" s="221"/>
      <c r="AU379" s="221"/>
      <c r="AV379" s="221"/>
      <c r="AW379" s="221"/>
      <c r="AX379" s="221"/>
      <c r="AY379" s="221"/>
      <c r="AZ379" s="221"/>
      <c r="BA379" s="221"/>
      <c r="BB379" s="221"/>
      <c r="BC379" s="221"/>
      <c r="BD379" s="221"/>
    </row>
    <row r="380" spans="36:56" hidden="1">
      <c r="AJ380" s="221"/>
      <c r="AK380" s="221"/>
      <c r="AL380" s="221"/>
      <c r="AM380" s="221"/>
      <c r="AN380" s="221"/>
      <c r="AO380" s="221"/>
      <c r="AP380" s="221"/>
      <c r="AQ380" s="221"/>
      <c r="AR380" s="221"/>
      <c r="AS380" s="136"/>
      <c r="AT380" s="221"/>
      <c r="AU380" s="221"/>
      <c r="AV380" s="221"/>
      <c r="AW380" s="221"/>
      <c r="AX380" s="221"/>
      <c r="AY380" s="221"/>
      <c r="AZ380" s="221"/>
      <c r="BA380" s="221"/>
      <c r="BB380" s="221"/>
      <c r="BC380" s="221"/>
      <c r="BD380" s="221"/>
    </row>
    <row r="381" spans="36:56" hidden="1">
      <c r="AJ381" s="221"/>
      <c r="AK381" s="221"/>
      <c r="AL381" s="221"/>
      <c r="AM381" s="221"/>
      <c r="AN381" s="221"/>
      <c r="AO381" s="221"/>
      <c r="AP381" s="221"/>
      <c r="AQ381" s="221"/>
      <c r="AR381" s="221"/>
      <c r="AS381" s="136"/>
      <c r="AT381" s="221"/>
      <c r="AU381" s="221"/>
      <c r="AV381" s="221"/>
      <c r="AW381" s="221"/>
      <c r="AX381" s="221"/>
      <c r="AY381" s="221"/>
      <c r="AZ381" s="221"/>
      <c r="BA381" s="221"/>
      <c r="BB381" s="221"/>
      <c r="BC381" s="221"/>
      <c r="BD381" s="221"/>
    </row>
    <row r="382" spans="36:56" hidden="1">
      <c r="AJ382" s="221"/>
      <c r="AK382" s="221"/>
      <c r="AL382" s="221"/>
      <c r="AM382" s="221"/>
      <c r="AN382" s="221"/>
      <c r="AO382" s="221"/>
      <c r="AP382" s="221"/>
      <c r="AQ382" s="221"/>
      <c r="AR382" s="221"/>
      <c r="AS382" s="136"/>
      <c r="AT382" s="221"/>
      <c r="AU382" s="221"/>
      <c r="AV382" s="221"/>
      <c r="AW382" s="221"/>
      <c r="AX382" s="221"/>
      <c r="AY382" s="221"/>
      <c r="AZ382" s="221"/>
      <c r="BA382" s="221"/>
      <c r="BB382" s="221"/>
      <c r="BC382" s="221"/>
      <c r="BD382" s="221"/>
    </row>
    <row r="383" spans="36:56" hidden="1">
      <c r="AJ383" s="221"/>
      <c r="AK383" s="221"/>
      <c r="AL383" s="221"/>
      <c r="AM383" s="221"/>
      <c r="AN383" s="221"/>
      <c r="AO383" s="221"/>
      <c r="AP383" s="221"/>
      <c r="AQ383" s="221"/>
      <c r="AR383" s="221"/>
      <c r="AS383" s="136"/>
      <c r="AT383" s="221"/>
      <c r="AU383" s="221"/>
      <c r="AV383" s="221"/>
      <c r="AW383" s="221"/>
      <c r="AX383" s="221"/>
      <c r="AY383" s="221"/>
      <c r="AZ383" s="221"/>
      <c r="BA383" s="221"/>
      <c r="BB383" s="221"/>
      <c r="BC383" s="221"/>
      <c r="BD383" s="221"/>
    </row>
    <row r="384" spans="36:56" hidden="1">
      <c r="AJ384" s="221"/>
      <c r="AK384" s="221"/>
      <c r="AL384" s="221"/>
      <c r="AM384" s="221"/>
      <c r="AN384" s="221"/>
      <c r="AO384" s="221"/>
      <c r="AP384" s="221"/>
      <c r="AQ384" s="221"/>
      <c r="AR384" s="221"/>
      <c r="AS384" s="136"/>
      <c r="AT384" s="221"/>
      <c r="AU384" s="221"/>
      <c r="AV384" s="221"/>
      <c r="AW384" s="221"/>
      <c r="AX384" s="221"/>
      <c r="AY384" s="221"/>
      <c r="AZ384" s="221"/>
      <c r="BA384" s="221"/>
      <c r="BB384" s="221"/>
      <c r="BC384" s="221"/>
      <c r="BD384" s="221"/>
    </row>
    <row r="385" spans="36:56" hidden="1">
      <c r="AJ385" s="221"/>
      <c r="AK385" s="221"/>
      <c r="AL385" s="221"/>
      <c r="AM385" s="221"/>
      <c r="AN385" s="221"/>
      <c r="AO385" s="221"/>
      <c r="AP385" s="221"/>
      <c r="AQ385" s="221"/>
      <c r="AR385" s="221"/>
      <c r="AS385" s="136"/>
      <c r="AT385" s="221"/>
      <c r="AU385" s="221"/>
      <c r="AV385" s="221"/>
      <c r="AW385" s="221"/>
      <c r="AX385" s="221"/>
      <c r="AY385" s="221"/>
      <c r="AZ385" s="221"/>
      <c r="BA385" s="221"/>
      <c r="BB385" s="221"/>
      <c r="BC385" s="221"/>
      <c r="BD385" s="221"/>
    </row>
    <row r="386" spans="36:56" hidden="1">
      <c r="AJ386" s="221"/>
      <c r="AK386" s="221"/>
      <c r="AL386" s="221"/>
      <c r="AM386" s="221"/>
      <c r="AN386" s="221"/>
      <c r="AO386" s="221"/>
      <c r="AP386" s="221"/>
      <c r="AQ386" s="221"/>
      <c r="AR386" s="221"/>
      <c r="AS386" s="136"/>
      <c r="AT386" s="221"/>
      <c r="AU386" s="221"/>
      <c r="AV386" s="221"/>
      <c r="AW386" s="221"/>
      <c r="AX386" s="221"/>
      <c r="AY386" s="221"/>
      <c r="AZ386" s="221"/>
      <c r="BA386" s="221"/>
      <c r="BB386" s="221"/>
      <c r="BC386" s="221"/>
      <c r="BD386" s="221"/>
    </row>
    <row r="387" spans="36:56" hidden="1">
      <c r="AJ387" s="221"/>
      <c r="AK387" s="221"/>
      <c r="AL387" s="221"/>
      <c r="AM387" s="221"/>
      <c r="AN387" s="221"/>
      <c r="AO387" s="221"/>
      <c r="AP387" s="221"/>
      <c r="AQ387" s="221"/>
      <c r="AR387" s="221"/>
      <c r="AS387" s="136"/>
      <c r="AT387" s="221"/>
      <c r="AU387" s="221"/>
      <c r="AV387" s="221"/>
      <c r="AW387" s="221"/>
      <c r="AX387" s="221"/>
      <c r="AY387" s="221"/>
      <c r="AZ387" s="221"/>
      <c r="BA387" s="221"/>
      <c r="BB387" s="221"/>
      <c r="BC387" s="221"/>
      <c r="BD387" s="221"/>
    </row>
    <row r="388" spans="36:56" hidden="1">
      <c r="AJ388" s="221"/>
      <c r="AK388" s="221"/>
      <c r="AL388" s="221"/>
      <c r="AM388" s="221"/>
      <c r="AN388" s="221"/>
      <c r="AO388" s="221"/>
      <c r="AP388" s="221"/>
      <c r="AQ388" s="221"/>
      <c r="AR388" s="221"/>
      <c r="AS388" s="136"/>
      <c r="AT388" s="221"/>
      <c r="AU388" s="221"/>
      <c r="AV388" s="221"/>
      <c r="AW388" s="221"/>
      <c r="AX388" s="221"/>
      <c r="AY388" s="221"/>
      <c r="AZ388" s="221"/>
      <c r="BA388" s="221"/>
      <c r="BB388" s="221"/>
      <c r="BC388" s="221"/>
      <c r="BD388" s="221"/>
    </row>
    <row r="389" spans="36:56" hidden="1">
      <c r="AJ389" s="221"/>
      <c r="AK389" s="221"/>
      <c r="AL389" s="221"/>
      <c r="AM389" s="221"/>
      <c r="AN389" s="221"/>
      <c r="AO389" s="221"/>
      <c r="AP389" s="221"/>
      <c r="AQ389" s="221"/>
      <c r="AR389" s="221"/>
      <c r="AS389" s="136"/>
      <c r="AT389" s="221"/>
      <c r="AU389" s="221"/>
      <c r="AV389" s="221"/>
      <c r="AW389" s="221"/>
      <c r="AX389" s="221"/>
      <c r="AY389" s="221"/>
      <c r="AZ389" s="221"/>
      <c r="BA389" s="221"/>
      <c r="BB389" s="221"/>
      <c r="BC389" s="221"/>
      <c r="BD389" s="221"/>
    </row>
    <row r="390" spans="36:56" hidden="1">
      <c r="AJ390" s="221"/>
      <c r="AK390" s="221"/>
      <c r="AL390" s="221"/>
      <c r="AM390" s="221"/>
      <c r="AN390" s="221"/>
      <c r="AO390" s="221"/>
      <c r="AP390" s="221"/>
      <c r="AQ390" s="221"/>
      <c r="AR390" s="221"/>
      <c r="AS390" s="136"/>
      <c r="AT390" s="221"/>
      <c r="AU390" s="221"/>
      <c r="AV390" s="221"/>
      <c r="AW390" s="221"/>
      <c r="AX390" s="221"/>
      <c r="AY390" s="221"/>
      <c r="AZ390" s="221"/>
      <c r="BA390" s="221"/>
      <c r="BB390" s="221"/>
      <c r="BC390" s="221"/>
      <c r="BD390" s="221"/>
    </row>
    <row r="391" spans="36:56" hidden="1">
      <c r="AJ391" s="221"/>
      <c r="AK391" s="221"/>
      <c r="AL391" s="221"/>
      <c r="AM391" s="221"/>
      <c r="AN391" s="221"/>
      <c r="AO391" s="221"/>
      <c r="AP391" s="221"/>
      <c r="AQ391" s="221"/>
      <c r="AR391" s="221"/>
      <c r="AS391" s="136"/>
      <c r="AT391" s="221"/>
      <c r="AU391" s="221"/>
      <c r="AV391" s="221"/>
      <c r="AW391" s="221"/>
      <c r="AX391" s="221"/>
      <c r="AY391" s="221"/>
      <c r="AZ391" s="221"/>
      <c r="BA391" s="221"/>
      <c r="BB391" s="221"/>
      <c r="BC391" s="221"/>
      <c r="BD391" s="221"/>
    </row>
    <row r="392" spans="36:56" hidden="1">
      <c r="AJ392" s="221"/>
      <c r="AK392" s="221"/>
      <c r="AL392" s="221"/>
      <c r="AM392" s="221"/>
      <c r="AN392" s="221"/>
      <c r="AO392" s="221"/>
      <c r="AP392" s="221"/>
      <c r="AQ392" s="221"/>
      <c r="AR392" s="221"/>
      <c r="AS392" s="136"/>
      <c r="AT392" s="221"/>
      <c r="AU392" s="221"/>
      <c r="AV392" s="221"/>
      <c r="AW392" s="221"/>
      <c r="AX392" s="221"/>
      <c r="AY392" s="221"/>
      <c r="AZ392" s="221"/>
      <c r="BA392" s="221"/>
      <c r="BB392" s="221"/>
      <c r="BC392" s="221"/>
      <c r="BD392" s="221"/>
    </row>
    <row r="393" spans="36:56" hidden="1">
      <c r="AJ393" s="221"/>
      <c r="AK393" s="221"/>
      <c r="AL393" s="221"/>
      <c r="AM393" s="221"/>
      <c r="AN393" s="221"/>
      <c r="AO393" s="221"/>
      <c r="AP393" s="221"/>
      <c r="AQ393" s="221"/>
      <c r="AR393" s="221"/>
      <c r="AS393" s="136"/>
      <c r="AT393" s="221"/>
      <c r="AU393" s="221"/>
      <c r="AV393" s="221"/>
      <c r="AW393" s="221"/>
      <c r="AX393" s="221"/>
      <c r="AY393" s="221"/>
      <c r="AZ393" s="221"/>
      <c r="BA393" s="221"/>
      <c r="BB393" s="221"/>
      <c r="BC393" s="221"/>
      <c r="BD393" s="221"/>
    </row>
    <row r="394" spans="36:56" hidden="1">
      <c r="AJ394" s="221"/>
      <c r="AK394" s="221"/>
      <c r="AL394" s="221"/>
      <c r="AM394" s="221"/>
      <c r="AN394" s="221"/>
      <c r="AO394" s="221"/>
      <c r="AP394" s="221"/>
      <c r="AQ394" s="221"/>
      <c r="AR394" s="221"/>
      <c r="AS394" s="136"/>
      <c r="AT394" s="221"/>
      <c r="AU394" s="221"/>
      <c r="AV394" s="221"/>
      <c r="AW394" s="221"/>
      <c r="AX394" s="221"/>
      <c r="AY394" s="221"/>
      <c r="AZ394" s="221"/>
      <c r="BA394" s="221"/>
      <c r="BB394" s="221"/>
      <c r="BC394" s="221"/>
      <c r="BD394" s="221"/>
    </row>
    <row r="395" spans="36:56" hidden="1">
      <c r="AJ395" s="221"/>
      <c r="AK395" s="221"/>
      <c r="AL395" s="221"/>
      <c r="AM395" s="221"/>
      <c r="AN395" s="221"/>
      <c r="AO395" s="221"/>
      <c r="AP395" s="221"/>
      <c r="AQ395" s="221"/>
      <c r="AR395" s="221"/>
      <c r="AS395" s="136"/>
      <c r="AT395" s="221"/>
      <c r="AU395" s="221"/>
      <c r="AV395" s="221"/>
      <c r="AW395" s="221"/>
      <c r="AX395" s="221"/>
      <c r="AY395" s="221"/>
      <c r="AZ395" s="221"/>
      <c r="BA395" s="221"/>
      <c r="BB395" s="221"/>
      <c r="BC395" s="221"/>
      <c r="BD395" s="221"/>
    </row>
    <row r="396" spans="36:56" hidden="1">
      <c r="AJ396" s="221"/>
      <c r="AK396" s="221"/>
      <c r="AL396" s="221"/>
      <c r="AM396" s="221"/>
      <c r="AN396" s="221"/>
      <c r="AO396" s="221"/>
      <c r="AP396" s="221"/>
      <c r="AQ396" s="221"/>
      <c r="AR396" s="221"/>
      <c r="AS396" s="136"/>
      <c r="AT396" s="221"/>
      <c r="AU396" s="221"/>
      <c r="AV396" s="221"/>
      <c r="AW396" s="221"/>
      <c r="AX396" s="221"/>
      <c r="AY396" s="221"/>
      <c r="AZ396" s="221"/>
      <c r="BA396" s="221"/>
      <c r="BB396" s="221"/>
      <c r="BC396" s="221"/>
      <c r="BD396" s="221"/>
    </row>
    <row r="397" spans="36:56" hidden="1">
      <c r="AJ397" s="221"/>
      <c r="AK397" s="221"/>
      <c r="AL397" s="221"/>
      <c r="AM397" s="221"/>
      <c r="AN397" s="221"/>
      <c r="AO397" s="221"/>
      <c r="AP397" s="221"/>
      <c r="AQ397" s="221"/>
      <c r="AR397" s="221"/>
      <c r="AS397" s="136"/>
      <c r="AT397" s="221"/>
      <c r="AU397" s="221"/>
      <c r="AV397" s="221"/>
      <c r="AW397" s="221"/>
      <c r="AX397" s="221"/>
      <c r="AY397" s="221"/>
      <c r="AZ397" s="221"/>
      <c r="BA397" s="221"/>
      <c r="BB397" s="221"/>
      <c r="BC397" s="221"/>
      <c r="BD397" s="221"/>
    </row>
    <row r="398" spans="36:56" hidden="1">
      <c r="AJ398" s="221"/>
      <c r="AK398" s="221"/>
      <c r="AL398" s="221"/>
      <c r="AM398" s="221"/>
      <c r="AN398" s="221"/>
      <c r="AO398" s="221"/>
      <c r="AP398" s="221"/>
      <c r="AQ398" s="221"/>
      <c r="AR398" s="221"/>
      <c r="AS398" s="136"/>
      <c r="AT398" s="221"/>
      <c r="AU398" s="221"/>
      <c r="AV398" s="221"/>
      <c r="AW398" s="221"/>
      <c r="AX398" s="221"/>
      <c r="AY398" s="221"/>
      <c r="AZ398" s="221"/>
      <c r="BA398" s="221"/>
      <c r="BB398" s="221"/>
      <c r="BC398" s="221"/>
      <c r="BD398" s="221"/>
    </row>
    <row r="399" spans="36:56" hidden="1">
      <c r="AJ399" s="221"/>
      <c r="AK399" s="221"/>
      <c r="AL399" s="221"/>
      <c r="AM399" s="221"/>
      <c r="AN399" s="221"/>
      <c r="AO399" s="221"/>
      <c r="AP399" s="221"/>
      <c r="AQ399" s="221"/>
      <c r="AR399" s="221"/>
      <c r="AS399" s="136"/>
      <c r="AT399" s="221"/>
      <c r="AU399" s="221"/>
      <c r="AV399" s="221"/>
      <c r="AW399" s="221"/>
      <c r="AX399" s="221"/>
      <c r="AY399" s="221"/>
      <c r="AZ399" s="221"/>
      <c r="BA399" s="221"/>
      <c r="BB399" s="221"/>
      <c r="BC399" s="221"/>
      <c r="BD399" s="221"/>
    </row>
    <row r="400" spans="36:56" hidden="1">
      <c r="AJ400" s="221"/>
      <c r="AK400" s="221"/>
      <c r="AL400" s="221"/>
      <c r="AM400" s="221"/>
      <c r="AN400" s="221"/>
      <c r="AO400" s="221"/>
      <c r="AP400" s="221"/>
      <c r="AQ400" s="221"/>
      <c r="AR400" s="221"/>
      <c r="AS400" s="136"/>
      <c r="AT400" s="221"/>
      <c r="AU400" s="221"/>
      <c r="AV400" s="221"/>
      <c r="AW400" s="221"/>
      <c r="AX400" s="221"/>
      <c r="AY400" s="221"/>
      <c r="AZ400" s="221"/>
      <c r="BA400" s="221"/>
      <c r="BB400" s="221"/>
      <c r="BC400" s="221"/>
      <c r="BD400" s="221"/>
    </row>
    <row r="401" spans="36:56" hidden="1">
      <c r="AJ401" s="221"/>
      <c r="AK401" s="221"/>
      <c r="AL401" s="221"/>
      <c r="AM401" s="221"/>
      <c r="AN401" s="221"/>
      <c r="AO401" s="221"/>
      <c r="AP401" s="221"/>
      <c r="AQ401" s="221"/>
      <c r="AR401" s="221"/>
      <c r="AS401" s="136"/>
      <c r="AT401" s="221"/>
      <c r="AU401" s="221"/>
      <c r="AV401" s="221"/>
      <c r="AW401" s="221"/>
      <c r="AX401" s="221"/>
      <c r="AY401" s="221"/>
      <c r="AZ401" s="221"/>
      <c r="BA401" s="221"/>
      <c r="BB401" s="221"/>
      <c r="BC401" s="221"/>
      <c r="BD401" s="221"/>
    </row>
    <row r="402" spans="36:56" hidden="1">
      <c r="AJ402" s="221"/>
      <c r="AK402" s="221"/>
      <c r="AL402" s="221"/>
      <c r="AM402" s="221"/>
      <c r="AN402" s="221"/>
      <c r="AO402" s="221"/>
      <c r="AP402" s="221"/>
      <c r="AQ402" s="221"/>
      <c r="AR402" s="221"/>
      <c r="AS402" s="136"/>
      <c r="AT402" s="221"/>
      <c r="AU402" s="221"/>
      <c r="AV402" s="221"/>
      <c r="AW402" s="221"/>
      <c r="AX402" s="221"/>
      <c r="AY402" s="221"/>
      <c r="AZ402" s="221"/>
      <c r="BA402" s="221"/>
      <c r="BB402" s="221"/>
      <c r="BC402" s="221"/>
      <c r="BD402" s="221"/>
    </row>
    <row r="403" spans="36:56" hidden="1">
      <c r="AJ403" s="221"/>
      <c r="AK403" s="221"/>
      <c r="AL403" s="221"/>
      <c r="AM403" s="221"/>
      <c r="AN403" s="221"/>
      <c r="AO403" s="221"/>
      <c r="AP403" s="221"/>
      <c r="AQ403" s="221"/>
      <c r="AR403" s="221"/>
      <c r="AS403" s="136"/>
      <c r="AT403" s="221"/>
      <c r="AU403" s="221"/>
      <c r="AV403" s="221"/>
      <c r="AW403" s="221"/>
      <c r="AX403" s="221"/>
      <c r="AY403" s="221"/>
      <c r="AZ403" s="221"/>
      <c r="BA403" s="221"/>
      <c r="BB403" s="221"/>
      <c r="BC403" s="221"/>
      <c r="BD403" s="221"/>
    </row>
    <row r="404" spans="36:56" hidden="1">
      <c r="AJ404" s="221"/>
      <c r="AK404" s="221"/>
      <c r="AL404" s="221"/>
      <c r="AM404" s="221"/>
      <c r="AN404" s="221"/>
      <c r="AO404" s="221"/>
      <c r="AP404" s="221"/>
      <c r="AQ404" s="221"/>
      <c r="AR404" s="221"/>
      <c r="AS404" s="136"/>
      <c r="AT404" s="221"/>
      <c r="AU404" s="221"/>
      <c r="AV404" s="221"/>
      <c r="AW404" s="221"/>
      <c r="AX404" s="221"/>
      <c r="AY404" s="221"/>
      <c r="AZ404" s="221"/>
      <c r="BA404" s="221"/>
      <c r="BB404" s="221"/>
      <c r="BC404" s="221"/>
      <c r="BD404" s="221"/>
    </row>
    <row r="405" spans="36:56" hidden="1">
      <c r="AJ405" s="221"/>
      <c r="AK405" s="221"/>
      <c r="AL405" s="221"/>
      <c r="AM405" s="221"/>
      <c r="AN405" s="221"/>
      <c r="AO405" s="221"/>
      <c r="AP405" s="221"/>
      <c r="AQ405" s="221"/>
      <c r="AR405" s="221"/>
      <c r="AS405" s="136"/>
      <c r="AT405" s="221"/>
      <c r="AU405" s="221"/>
      <c r="AV405" s="221"/>
      <c r="AW405" s="221"/>
      <c r="AX405" s="221"/>
      <c r="AY405" s="221"/>
      <c r="AZ405" s="221"/>
      <c r="BA405" s="221"/>
      <c r="BB405" s="221"/>
      <c r="BC405" s="221"/>
      <c r="BD405" s="221"/>
    </row>
    <row r="406" spans="36:56" hidden="1">
      <c r="AJ406" s="221"/>
      <c r="AK406" s="221"/>
      <c r="AL406" s="221"/>
      <c r="AM406" s="221"/>
      <c r="AN406" s="221"/>
      <c r="AO406" s="221"/>
      <c r="AP406" s="221"/>
      <c r="AQ406" s="221"/>
      <c r="AR406" s="221"/>
      <c r="AS406" s="136"/>
      <c r="AT406" s="221"/>
      <c r="AU406" s="221"/>
      <c r="AV406" s="221"/>
      <c r="AW406" s="221"/>
      <c r="AX406" s="221"/>
      <c r="AY406" s="221"/>
      <c r="AZ406" s="221"/>
      <c r="BA406" s="221"/>
      <c r="BB406" s="221"/>
      <c r="BC406" s="221"/>
      <c r="BD406" s="221"/>
    </row>
    <row r="407" spans="36:56" hidden="1">
      <c r="AJ407" s="221"/>
      <c r="AK407" s="221"/>
      <c r="AL407" s="221"/>
      <c r="AM407" s="221"/>
      <c r="AN407" s="221"/>
      <c r="AO407" s="221"/>
      <c r="AP407" s="221"/>
      <c r="AQ407" s="221"/>
      <c r="AR407" s="221"/>
      <c r="AS407" s="136"/>
      <c r="AT407" s="221"/>
      <c r="AU407" s="221"/>
      <c r="AV407" s="221"/>
      <c r="AW407" s="221"/>
      <c r="AX407" s="221"/>
      <c r="AY407" s="221"/>
      <c r="AZ407" s="221"/>
      <c r="BA407" s="221"/>
      <c r="BB407" s="221"/>
      <c r="BC407" s="221"/>
      <c r="BD407" s="221"/>
    </row>
    <row r="408" spans="36:56" hidden="1">
      <c r="AJ408" s="221"/>
      <c r="AK408" s="221"/>
      <c r="AL408" s="221"/>
      <c r="AM408" s="221"/>
      <c r="AN408" s="221"/>
      <c r="AO408" s="221"/>
      <c r="AP408" s="221"/>
      <c r="AQ408" s="221"/>
      <c r="AR408" s="221"/>
      <c r="AS408" s="136"/>
      <c r="AT408" s="221"/>
      <c r="AU408" s="221"/>
      <c r="AV408" s="221"/>
      <c r="AW408" s="221"/>
      <c r="AX408" s="221"/>
      <c r="AY408" s="221"/>
      <c r="AZ408" s="221"/>
      <c r="BA408" s="221"/>
      <c r="BB408" s="221"/>
      <c r="BC408" s="221"/>
      <c r="BD408" s="221"/>
    </row>
    <row r="409" spans="36:56" hidden="1">
      <c r="AJ409" s="221"/>
      <c r="AK409" s="221"/>
      <c r="AL409" s="221"/>
      <c r="AM409" s="221"/>
      <c r="AN409" s="221"/>
      <c r="AO409" s="221"/>
      <c r="AP409" s="221"/>
      <c r="AQ409" s="221"/>
      <c r="AR409" s="221"/>
      <c r="AS409" s="136"/>
      <c r="AT409" s="221"/>
      <c r="AU409" s="221"/>
      <c r="AV409" s="221"/>
      <c r="AW409" s="221"/>
      <c r="AX409" s="221"/>
      <c r="AY409" s="221"/>
      <c r="AZ409" s="221"/>
      <c r="BA409" s="221"/>
      <c r="BB409" s="221"/>
      <c r="BC409" s="221"/>
      <c r="BD409" s="221"/>
    </row>
    <row r="410" spans="36:56" hidden="1">
      <c r="AJ410" s="221"/>
      <c r="AK410" s="221"/>
      <c r="AL410" s="221"/>
      <c r="AM410" s="221"/>
      <c r="AN410" s="221"/>
      <c r="AO410" s="221"/>
      <c r="AP410" s="221"/>
      <c r="AQ410" s="221"/>
      <c r="AR410" s="221"/>
      <c r="AS410" s="136"/>
      <c r="AT410" s="221"/>
      <c r="AU410" s="221"/>
      <c r="AV410" s="221"/>
      <c r="AW410" s="221"/>
      <c r="AX410" s="221"/>
      <c r="AY410" s="221"/>
      <c r="AZ410" s="221"/>
      <c r="BA410" s="221"/>
      <c r="BB410" s="221"/>
      <c r="BC410" s="221"/>
      <c r="BD410" s="221"/>
    </row>
    <row r="411" spans="36:56" hidden="1">
      <c r="AJ411" s="221"/>
      <c r="AK411" s="221"/>
      <c r="AL411" s="221"/>
      <c r="AM411" s="221"/>
      <c r="AN411" s="221"/>
      <c r="AO411" s="221"/>
      <c r="AP411" s="221"/>
      <c r="AQ411" s="221"/>
      <c r="AR411" s="221"/>
      <c r="AS411" s="136"/>
      <c r="AT411" s="221"/>
      <c r="AU411" s="221"/>
      <c r="AV411" s="221"/>
      <c r="AW411" s="221"/>
      <c r="AX411" s="221"/>
      <c r="AY411" s="221"/>
      <c r="AZ411" s="221"/>
      <c r="BA411" s="221"/>
      <c r="BB411" s="221"/>
      <c r="BC411" s="221"/>
      <c r="BD411" s="221"/>
    </row>
    <row r="412" spans="36:56" hidden="1">
      <c r="AJ412" s="221"/>
      <c r="AK412" s="221"/>
      <c r="AL412" s="221"/>
      <c r="AM412" s="221"/>
      <c r="AN412" s="221"/>
      <c r="AO412" s="221"/>
      <c r="AP412" s="221"/>
      <c r="AQ412" s="221"/>
      <c r="AR412" s="221"/>
      <c r="AS412" s="136"/>
      <c r="AT412" s="221"/>
      <c r="AU412" s="221"/>
      <c r="AV412" s="221"/>
      <c r="AW412" s="221"/>
      <c r="AX412" s="221"/>
      <c r="AY412" s="221"/>
      <c r="AZ412" s="221"/>
      <c r="BA412" s="221"/>
      <c r="BB412" s="221"/>
      <c r="BC412" s="221"/>
      <c r="BD412" s="221"/>
    </row>
    <row r="413" spans="36:56" hidden="1">
      <c r="AJ413" s="221"/>
      <c r="AK413" s="221"/>
      <c r="AL413" s="221"/>
      <c r="AM413" s="221"/>
      <c r="AN413" s="221"/>
      <c r="AO413" s="221"/>
      <c r="AP413" s="221"/>
      <c r="AQ413" s="221"/>
      <c r="AR413" s="221"/>
      <c r="AS413" s="136"/>
      <c r="AT413" s="221"/>
      <c r="AU413" s="221"/>
      <c r="AV413" s="221"/>
      <c r="AW413" s="221"/>
      <c r="AX413" s="221"/>
      <c r="AY413" s="221"/>
      <c r="AZ413" s="221"/>
      <c r="BA413" s="221"/>
      <c r="BB413" s="221"/>
      <c r="BC413" s="221"/>
      <c r="BD413" s="221"/>
    </row>
    <row r="414" spans="36:56" hidden="1">
      <c r="AJ414" s="221"/>
      <c r="AK414" s="221"/>
      <c r="AL414" s="221"/>
      <c r="AM414" s="221"/>
      <c r="AN414" s="221"/>
      <c r="AO414" s="221"/>
      <c r="AP414" s="221"/>
      <c r="AQ414" s="221"/>
      <c r="AR414" s="221"/>
      <c r="AS414" s="136"/>
      <c r="AT414" s="221"/>
      <c r="AU414" s="221"/>
      <c r="AV414" s="221"/>
      <c r="AW414" s="221"/>
      <c r="AX414" s="221"/>
      <c r="AY414" s="221"/>
      <c r="AZ414" s="221"/>
      <c r="BA414" s="221"/>
      <c r="BB414" s="221"/>
      <c r="BC414" s="221"/>
      <c r="BD414" s="221"/>
    </row>
    <row r="415" spans="36:56" hidden="1">
      <c r="AJ415" s="221"/>
      <c r="AK415" s="221"/>
      <c r="AL415" s="221"/>
      <c r="AM415" s="221"/>
      <c r="AN415" s="221"/>
      <c r="AO415" s="221"/>
      <c r="AP415" s="221"/>
      <c r="AQ415" s="221"/>
      <c r="AR415" s="221"/>
      <c r="AS415" s="136"/>
      <c r="AT415" s="221"/>
      <c r="AU415" s="221"/>
      <c r="AV415" s="221"/>
      <c r="AW415" s="221"/>
      <c r="AX415" s="221"/>
      <c r="AY415" s="221"/>
      <c r="AZ415" s="221"/>
      <c r="BA415" s="221"/>
      <c r="BB415" s="221"/>
      <c r="BC415" s="221"/>
      <c r="BD415" s="221"/>
    </row>
    <row r="416" spans="36:56" hidden="1">
      <c r="AJ416" s="221"/>
      <c r="AK416" s="221"/>
      <c r="AL416" s="221"/>
      <c r="AM416" s="221"/>
      <c r="AN416" s="221"/>
      <c r="AO416" s="221"/>
      <c r="AP416" s="221"/>
      <c r="AQ416" s="221"/>
      <c r="AR416" s="221"/>
      <c r="AS416" s="136"/>
      <c r="AT416" s="221"/>
      <c r="AU416" s="221"/>
      <c r="AV416" s="221"/>
      <c r="AW416" s="221"/>
      <c r="AX416" s="221"/>
      <c r="AY416" s="221"/>
      <c r="AZ416" s="221"/>
      <c r="BA416" s="221"/>
      <c r="BB416" s="221"/>
      <c r="BC416" s="221"/>
      <c r="BD416" s="221"/>
    </row>
    <row r="417" spans="36:56" hidden="1">
      <c r="AJ417" s="221"/>
      <c r="AK417" s="221"/>
      <c r="AL417" s="221"/>
      <c r="AM417" s="221"/>
      <c r="AN417" s="221"/>
      <c r="AO417" s="221"/>
      <c r="AP417" s="221"/>
      <c r="AQ417" s="221"/>
      <c r="AR417" s="221"/>
      <c r="AS417" s="136"/>
      <c r="AT417" s="221"/>
      <c r="AU417" s="221"/>
      <c r="AV417" s="221"/>
      <c r="AW417" s="221"/>
      <c r="AX417" s="221"/>
      <c r="AY417" s="221"/>
      <c r="AZ417" s="221"/>
      <c r="BA417" s="221"/>
      <c r="BB417" s="221"/>
      <c r="BC417" s="221"/>
      <c r="BD417" s="221"/>
    </row>
    <row r="418" spans="36:56" hidden="1">
      <c r="AJ418" s="221"/>
      <c r="AK418" s="221"/>
      <c r="AL418" s="221"/>
      <c r="AM418" s="221"/>
      <c r="AN418" s="221"/>
      <c r="AO418" s="221"/>
      <c r="AP418" s="221"/>
      <c r="AQ418" s="221"/>
      <c r="AR418" s="221"/>
      <c r="AS418" s="136"/>
      <c r="AT418" s="221"/>
      <c r="AU418" s="221"/>
      <c r="AV418" s="221"/>
      <c r="AW418" s="221"/>
      <c r="AX418" s="221"/>
      <c r="AY418" s="221"/>
      <c r="AZ418" s="221"/>
      <c r="BA418" s="221"/>
      <c r="BB418" s="221"/>
      <c r="BC418" s="221"/>
      <c r="BD418" s="221"/>
    </row>
    <row r="419" spans="36:56" hidden="1">
      <c r="AJ419" s="221"/>
      <c r="AK419" s="221"/>
      <c r="AL419" s="221"/>
      <c r="AM419" s="221"/>
      <c r="AN419" s="221"/>
      <c r="AO419" s="221"/>
      <c r="AP419" s="221"/>
      <c r="AQ419" s="221"/>
      <c r="AR419" s="221"/>
      <c r="AS419" s="136"/>
      <c r="AT419" s="221"/>
      <c r="AU419" s="221"/>
      <c r="AV419" s="221"/>
      <c r="AW419" s="221"/>
      <c r="AX419" s="221"/>
      <c r="AY419" s="221"/>
      <c r="AZ419" s="221"/>
      <c r="BA419" s="221"/>
      <c r="BB419" s="221"/>
      <c r="BC419" s="221"/>
      <c r="BD419" s="221"/>
    </row>
    <row r="420" spans="36:56" hidden="1">
      <c r="AJ420" s="221"/>
      <c r="AK420" s="221"/>
      <c r="AL420" s="221"/>
      <c r="AM420" s="221"/>
      <c r="AN420" s="221"/>
      <c r="AO420" s="221"/>
      <c r="AP420" s="221"/>
      <c r="AQ420" s="221"/>
      <c r="AR420" s="221"/>
      <c r="AS420" s="136"/>
      <c r="AT420" s="221"/>
      <c r="AU420" s="221"/>
      <c r="AV420" s="221"/>
      <c r="AW420" s="221"/>
      <c r="AX420" s="221"/>
      <c r="AY420" s="221"/>
      <c r="AZ420" s="221"/>
      <c r="BA420" s="221"/>
      <c r="BB420" s="221"/>
      <c r="BC420" s="221"/>
      <c r="BD420" s="221"/>
    </row>
    <row r="421" spans="36:56" hidden="1">
      <c r="AJ421" s="221"/>
      <c r="AK421" s="221"/>
      <c r="AL421" s="221"/>
      <c r="AM421" s="221"/>
      <c r="AN421" s="221"/>
      <c r="AO421" s="221"/>
      <c r="AP421" s="221"/>
      <c r="AQ421" s="221"/>
      <c r="AR421" s="221"/>
      <c r="AS421" s="136"/>
      <c r="AT421" s="221"/>
      <c r="AU421" s="221"/>
      <c r="AV421" s="221"/>
      <c r="AW421" s="221"/>
      <c r="AX421" s="221"/>
      <c r="AY421" s="221"/>
      <c r="AZ421" s="221"/>
      <c r="BA421" s="221"/>
      <c r="BB421" s="221"/>
      <c r="BC421" s="221"/>
      <c r="BD421" s="221"/>
    </row>
    <row r="422" spans="36:56" hidden="1">
      <c r="AJ422" s="221"/>
      <c r="AK422" s="221"/>
      <c r="AL422" s="221"/>
      <c r="AM422" s="221"/>
      <c r="AN422" s="221"/>
      <c r="AO422" s="221"/>
      <c r="AP422" s="221"/>
      <c r="AQ422" s="221"/>
      <c r="AR422" s="221"/>
      <c r="AS422" s="136"/>
      <c r="AT422" s="221"/>
      <c r="AU422" s="221"/>
      <c r="AV422" s="221"/>
      <c r="AW422" s="221"/>
      <c r="AX422" s="221"/>
      <c r="AY422" s="221"/>
      <c r="AZ422" s="221"/>
      <c r="BA422" s="221"/>
      <c r="BB422" s="221"/>
      <c r="BC422" s="221"/>
      <c r="BD422" s="221"/>
    </row>
    <row r="423" spans="36:56" hidden="1">
      <c r="AJ423" s="221"/>
      <c r="AK423" s="221"/>
      <c r="AL423" s="221"/>
      <c r="AM423" s="221"/>
      <c r="AN423" s="221"/>
      <c r="AO423" s="221"/>
      <c r="AP423" s="221"/>
      <c r="AQ423" s="221"/>
      <c r="AR423" s="221"/>
      <c r="AS423" s="136"/>
      <c r="AT423" s="221"/>
      <c r="AU423" s="221"/>
      <c r="AV423" s="221"/>
      <c r="AW423" s="221"/>
      <c r="AX423" s="221"/>
      <c r="AY423" s="221"/>
      <c r="AZ423" s="221"/>
      <c r="BA423" s="221"/>
      <c r="BB423" s="221"/>
      <c r="BC423" s="221"/>
      <c r="BD423" s="221"/>
    </row>
    <row r="424" spans="36:56" hidden="1">
      <c r="AJ424" s="221"/>
      <c r="AK424" s="221"/>
      <c r="AL424" s="221"/>
      <c r="AM424" s="221"/>
      <c r="AN424" s="221"/>
      <c r="AO424" s="221"/>
      <c r="AP424" s="221"/>
      <c r="AQ424" s="221"/>
      <c r="AR424" s="221"/>
      <c r="AS424" s="136"/>
      <c r="AT424" s="221"/>
      <c r="AU424" s="221"/>
      <c r="AV424" s="221"/>
      <c r="AW424" s="221"/>
      <c r="AX424" s="221"/>
      <c r="AY424" s="221"/>
      <c r="AZ424" s="221"/>
      <c r="BA424" s="221"/>
      <c r="BB424" s="221"/>
      <c r="BC424" s="221"/>
      <c r="BD424" s="221"/>
    </row>
    <row r="425" spans="36:56" hidden="1">
      <c r="AJ425" s="221"/>
      <c r="AK425" s="221"/>
      <c r="AL425" s="221"/>
      <c r="AM425" s="221"/>
      <c r="AN425" s="221"/>
      <c r="AO425" s="221"/>
      <c r="AP425" s="221"/>
      <c r="AQ425" s="221"/>
      <c r="AR425" s="221"/>
      <c r="AS425" s="136"/>
      <c r="AT425" s="221"/>
      <c r="AU425" s="221"/>
      <c r="AV425" s="221"/>
      <c r="AW425" s="221"/>
      <c r="AX425" s="221"/>
      <c r="AY425" s="221"/>
      <c r="AZ425" s="221"/>
      <c r="BA425" s="221"/>
      <c r="BB425" s="221"/>
      <c r="BC425" s="221"/>
      <c r="BD425" s="221"/>
    </row>
    <row r="426" spans="36:56" hidden="1">
      <c r="AJ426" s="221"/>
      <c r="AK426" s="221"/>
      <c r="AL426" s="221"/>
      <c r="AM426" s="221"/>
      <c r="AN426" s="221"/>
      <c r="AO426" s="221"/>
      <c r="AP426" s="221"/>
      <c r="AQ426" s="221"/>
      <c r="AR426" s="221"/>
      <c r="AS426" s="136"/>
      <c r="AT426" s="221"/>
      <c r="AU426" s="221"/>
      <c r="AV426" s="221"/>
      <c r="AW426" s="221"/>
      <c r="AX426" s="221"/>
      <c r="AY426" s="221"/>
      <c r="AZ426" s="221"/>
      <c r="BA426" s="221"/>
      <c r="BB426" s="221"/>
      <c r="BC426" s="221"/>
      <c r="BD426" s="221"/>
    </row>
    <row r="427" spans="36:56" hidden="1">
      <c r="AJ427" s="221"/>
      <c r="AK427" s="221"/>
      <c r="AL427" s="221"/>
      <c r="AM427" s="221"/>
      <c r="AN427" s="221"/>
      <c r="AO427" s="221"/>
      <c r="AP427" s="221"/>
      <c r="AQ427" s="221"/>
      <c r="AR427" s="221"/>
      <c r="AS427" s="136"/>
      <c r="AT427" s="221"/>
      <c r="AU427" s="221"/>
      <c r="AV427" s="221"/>
      <c r="AW427" s="221"/>
      <c r="AX427" s="221"/>
      <c r="AY427" s="221"/>
      <c r="AZ427" s="221"/>
      <c r="BA427" s="221"/>
      <c r="BB427" s="221"/>
      <c r="BC427" s="221"/>
      <c r="BD427" s="221"/>
    </row>
    <row r="428" spans="36:56" hidden="1">
      <c r="AJ428" s="221"/>
      <c r="AK428" s="221"/>
      <c r="AL428" s="221"/>
      <c r="AM428" s="221"/>
      <c r="AN428" s="221"/>
      <c r="AO428" s="221"/>
      <c r="AP428" s="221"/>
      <c r="AQ428" s="221"/>
      <c r="AR428" s="221"/>
      <c r="AS428" s="136"/>
      <c r="AT428" s="221"/>
      <c r="AU428" s="221"/>
      <c r="AV428" s="221"/>
      <c r="AW428" s="221"/>
      <c r="AX428" s="221"/>
      <c r="AY428" s="221"/>
      <c r="AZ428" s="221"/>
      <c r="BA428" s="221"/>
      <c r="BB428" s="221"/>
      <c r="BC428" s="221"/>
      <c r="BD428" s="221"/>
    </row>
    <row r="429" spans="36:56" hidden="1">
      <c r="AJ429" s="221"/>
      <c r="AK429" s="221"/>
      <c r="AL429" s="221"/>
      <c r="AM429" s="221"/>
      <c r="AN429" s="221"/>
      <c r="AO429" s="221"/>
      <c r="AP429" s="221"/>
      <c r="AQ429" s="221"/>
      <c r="AR429" s="221"/>
      <c r="AS429" s="136"/>
      <c r="AT429" s="221"/>
      <c r="AU429" s="221"/>
      <c r="AV429" s="221"/>
      <c r="AW429" s="221"/>
      <c r="AX429" s="221"/>
      <c r="AY429" s="221"/>
      <c r="AZ429" s="221"/>
      <c r="BA429" s="221"/>
      <c r="BB429" s="221"/>
      <c r="BC429" s="221"/>
      <c r="BD429" s="221"/>
    </row>
    <row r="430" spans="36:56" hidden="1">
      <c r="AJ430" s="221"/>
      <c r="AK430" s="221"/>
      <c r="AL430" s="221"/>
      <c r="AM430" s="221"/>
      <c r="AN430" s="221"/>
      <c r="AO430" s="221"/>
      <c r="AP430" s="221"/>
      <c r="AQ430" s="221"/>
      <c r="AR430" s="221"/>
      <c r="AS430" s="136"/>
      <c r="AT430" s="221"/>
      <c r="AU430" s="221"/>
      <c r="AV430" s="221"/>
      <c r="AW430" s="221"/>
      <c r="AX430" s="221"/>
      <c r="AY430" s="221"/>
      <c r="AZ430" s="221"/>
      <c r="BA430" s="221"/>
      <c r="BB430" s="221"/>
      <c r="BC430" s="221"/>
      <c r="BD430" s="221"/>
    </row>
    <row r="431" spans="36:56" hidden="1">
      <c r="AJ431" s="221"/>
      <c r="AK431" s="221"/>
      <c r="AL431" s="221"/>
      <c r="AM431" s="221"/>
      <c r="AN431" s="221"/>
      <c r="AO431" s="221"/>
      <c r="AP431" s="221"/>
      <c r="AQ431" s="221"/>
      <c r="AR431" s="221"/>
      <c r="AS431" s="136"/>
      <c r="AT431" s="221"/>
      <c r="AU431" s="221"/>
      <c r="AV431" s="221"/>
      <c r="AW431" s="221"/>
      <c r="AX431" s="221"/>
      <c r="AY431" s="221"/>
      <c r="AZ431" s="221"/>
      <c r="BA431" s="221"/>
      <c r="BB431" s="221"/>
      <c r="BC431" s="221"/>
      <c r="BD431" s="221"/>
    </row>
    <row r="432" spans="36:56" hidden="1">
      <c r="AJ432" s="221"/>
      <c r="AK432" s="221"/>
      <c r="AL432" s="221"/>
      <c r="AM432" s="221"/>
      <c r="AN432" s="221"/>
      <c r="AO432" s="221"/>
      <c r="AP432" s="221"/>
      <c r="AQ432" s="221"/>
      <c r="AR432" s="221"/>
      <c r="AS432" s="136"/>
      <c r="AT432" s="221"/>
      <c r="AU432" s="221"/>
      <c r="AV432" s="221"/>
      <c r="AW432" s="221"/>
      <c r="AX432" s="221"/>
      <c r="AY432" s="221"/>
      <c r="AZ432" s="221"/>
      <c r="BA432" s="221"/>
      <c r="BB432" s="221"/>
      <c r="BC432" s="221"/>
      <c r="BD432" s="221"/>
    </row>
    <row r="433" spans="36:56" hidden="1">
      <c r="AJ433" s="221"/>
      <c r="AK433" s="221"/>
      <c r="AL433" s="221"/>
      <c r="AM433" s="221"/>
      <c r="AN433" s="221"/>
      <c r="AO433" s="221"/>
      <c r="AP433" s="221"/>
      <c r="AQ433" s="221"/>
      <c r="AR433" s="221"/>
      <c r="AS433" s="136"/>
      <c r="AT433" s="221"/>
      <c r="AU433" s="221"/>
      <c r="AV433" s="221"/>
      <c r="AW433" s="221"/>
      <c r="AX433" s="221"/>
      <c r="AY433" s="221"/>
      <c r="AZ433" s="221"/>
      <c r="BA433" s="221"/>
      <c r="BB433" s="221"/>
      <c r="BC433" s="221"/>
      <c r="BD433" s="221"/>
    </row>
    <row r="434" spans="36:56" hidden="1">
      <c r="AJ434" s="221"/>
      <c r="AK434" s="221"/>
      <c r="AL434" s="221"/>
      <c r="AM434" s="221"/>
      <c r="AN434" s="221"/>
      <c r="AO434" s="221"/>
      <c r="AP434" s="221"/>
      <c r="AQ434" s="221"/>
      <c r="AR434" s="221"/>
      <c r="AS434" s="136"/>
      <c r="AT434" s="221"/>
      <c r="AU434" s="221"/>
      <c r="AV434" s="221"/>
      <c r="AW434" s="221"/>
      <c r="AX434" s="221"/>
      <c r="AY434" s="221"/>
      <c r="AZ434" s="221"/>
      <c r="BA434" s="221"/>
      <c r="BB434" s="221"/>
      <c r="BC434" s="221"/>
      <c r="BD434" s="221"/>
    </row>
    <row r="435" spans="36:56" hidden="1">
      <c r="AJ435" s="221"/>
      <c r="AK435" s="221"/>
      <c r="AL435" s="221"/>
      <c r="AM435" s="221"/>
      <c r="AN435" s="221"/>
      <c r="AO435" s="221"/>
      <c r="AP435" s="221"/>
      <c r="AQ435" s="221"/>
      <c r="AR435" s="221"/>
      <c r="AS435" s="136"/>
      <c r="AT435" s="221"/>
      <c r="AU435" s="221"/>
      <c r="AV435" s="221"/>
      <c r="AW435" s="221"/>
      <c r="AX435" s="221"/>
      <c r="AY435" s="221"/>
      <c r="AZ435" s="221"/>
      <c r="BA435" s="221"/>
      <c r="BB435" s="221"/>
      <c r="BC435" s="221"/>
      <c r="BD435" s="221"/>
    </row>
    <row r="436" spans="36:56" hidden="1">
      <c r="AJ436" s="221"/>
      <c r="AK436" s="221"/>
      <c r="AL436" s="221"/>
      <c r="AM436" s="221"/>
      <c r="AN436" s="221"/>
      <c r="AO436" s="221"/>
      <c r="AP436" s="221"/>
      <c r="AQ436" s="221"/>
      <c r="AR436" s="221"/>
      <c r="AS436" s="136"/>
      <c r="AT436" s="221"/>
      <c r="AU436" s="221"/>
      <c r="AV436" s="221"/>
      <c r="AW436" s="221"/>
      <c r="AX436" s="221"/>
      <c r="AY436" s="221"/>
      <c r="AZ436" s="221"/>
      <c r="BA436" s="221"/>
      <c r="BB436" s="221"/>
      <c r="BC436" s="221"/>
      <c r="BD436" s="221"/>
    </row>
    <row r="437" spans="36:56" hidden="1">
      <c r="AJ437" s="221"/>
      <c r="AK437" s="221"/>
      <c r="AL437" s="221"/>
      <c r="AM437" s="221"/>
      <c r="AN437" s="221"/>
      <c r="AO437" s="221"/>
      <c r="AP437" s="221"/>
      <c r="AQ437" s="221"/>
      <c r="AR437" s="221"/>
      <c r="AS437" s="136"/>
      <c r="AT437" s="221"/>
      <c r="AU437" s="221"/>
      <c r="AV437" s="221"/>
      <c r="AW437" s="221"/>
      <c r="AX437" s="221"/>
      <c r="AY437" s="221"/>
      <c r="AZ437" s="221"/>
      <c r="BA437" s="221"/>
      <c r="BB437" s="221"/>
      <c r="BC437" s="221"/>
      <c r="BD437" s="221"/>
    </row>
    <row r="438" spans="36:56" hidden="1">
      <c r="AJ438" s="221"/>
      <c r="AK438" s="221"/>
      <c r="AL438" s="221"/>
      <c r="AM438" s="221"/>
      <c r="AN438" s="221"/>
      <c r="AO438" s="221"/>
      <c r="AP438" s="221"/>
      <c r="AQ438" s="221"/>
      <c r="AR438" s="221"/>
      <c r="AS438" s="136"/>
      <c r="AT438" s="221"/>
      <c r="AU438" s="221"/>
      <c r="AV438" s="221"/>
      <c r="AW438" s="221"/>
      <c r="AX438" s="221"/>
      <c r="AY438" s="221"/>
      <c r="AZ438" s="221"/>
      <c r="BA438" s="221"/>
      <c r="BB438" s="221"/>
      <c r="BC438" s="221"/>
      <c r="BD438" s="221"/>
    </row>
    <row r="439" spans="36:56" hidden="1">
      <c r="AJ439" s="221"/>
      <c r="AK439" s="221"/>
      <c r="AL439" s="221"/>
      <c r="AM439" s="221"/>
      <c r="AN439" s="221"/>
      <c r="AO439" s="221"/>
      <c r="AP439" s="221"/>
      <c r="AQ439" s="221"/>
      <c r="AR439" s="221"/>
      <c r="AS439" s="136"/>
      <c r="AT439" s="221"/>
      <c r="AU439" s="221"/>
      <c r="AV439" s="221"/>
      <c r="AW439" s="221"/>
      <c r="AX439" s="221"/>
      <c r="AY439" s="221"/>
      <c r="AZ439" s="221"/>
      <c r="BA439" s="221"/>
      <c r="BB439" s="221"/>
      <c r="BC439" s="221"/>
      <c r="BD439" s="221"/>
    </row>
    <row r="440" spans="36:56" hidden="1">
      <c r="AJ440" s="221"/>
      <c r="AK440" s="221"/>
      <c r="AL440" s="221"/>
      <c r="AM440" s="221"/>
      <c r="AN440" s="221"/>
      <c r="AO440" s="221"/>
      <c r="AP440" s="221"/>
      <c r="AQ440" s="221"/>
      <c r="AR440" s="221"/>
      <c r="AS440" s="136"/>
      <c r="AT440" s="221"/>
      <c r="AU440" s="221"/>
      <c r="AV440" s="221"/>
      <c r="AW440" s="221"/>
      <c r="AX440" s="221"/>
      <c r="AY440" s="221"/>
      <c r="AZ440" s="221"/>
      <c r="BA440" s="221"/>
      <c r="BB440" s="221"/>
      <c r="BC440" s="221"/>
      <c r="BD440" s="221"/>
    </row>
    <row r="441" spans="36:56" hidden="1">
      <c r="AJ441" s="221"/>
      <c r="AK441" s="221"/>
      <c r="AL441" s="221"/>
      <c r="AM441" s="221"/>
      <c r="AN441" s="221"/>
      <c r="AO441" s="221"/>
      <c r="AP441" s="221"/>
      <c r="AQ441" s="221"/>
      <c r="AR441" s="221"/>
      <c r="AS441" s="136"/>
      <c r="AT441" s="221"/>
      <c r="AU441" s="221"/>
      <c r="AV441" s="221"/>
      <c r="AW441" s="221"/>
      <c r="AX441" s="221"/>
      <c r="AY441" s="221"/>
      <c r="AZ441" s="221"/>
      <c r="BA441" s="221"/>
      <c r="BB441" s="221"/>
      <c r="BC441" s="221"/>
      <c r="BD441" s="221"/>
    </row>
    <row r="442" spans="36:56" hidden="1">
      <c r="AJ442" s="221"/>
      <c r="AK442" s="221"/>
      <c r="AL442" s="221"/>
      <c r="AM442" s="221"/>
      <c r="AN442" s="221"/>
      <c r="AO442" s="221"/>
      <c r="AP442" s="221"/>
      <c r="AQ442" s="221"/>
      <c r="AR442" s="221"/>
      <c r="AS442" s="136"/>
      <c r="AT442" s="221"/>
      <c r="AU442" s="221"/>
      <c r="AV442" s="221"/>
      <c r="AW442" s="221"/>
      <c r="AX442" s="221"/>
      <c r="AY442" s="221"/>
      <c r="AZ442" s="221"/>
      <c r="BA442" s="221"/>
      <c r="BB442" s="221"/>
      <c r="BC442" s="221"/>
      <c r="BD442" s="221"/>
    </row>
    <row r="443" spans="36:56" hidden="1">
      <c r="AJ443" s="221"/>
      <c r="AK443" s="221"/>
      <c r="AL443" s="221"/>
      <c r="AM443" s="221"/>
      <c r="AN443" s="221"/>
      <c r="AO443" s="221"/>
      <c r="AP443" s="221"/>
      <c r="AQ443" s="221"/>
      <c r="AR443" s="221"/>
      <c r="AS443" s="136"/>
      <c r="AT443" s="221"/>
      <c r="AU443" s="221"/>
      <c r="AV443" s="221"/>
      <c r="AW443" s="221"/>
      <c r="AX443" s="221"/>
      <c r="AY443" s="221"/>
      <c r="AZ443" s="221"/>
      <c r="BA443" s="221"/>
      <c r="BB443" s="221"/>
      <c r="BC443" s="221"/>
      <c r="BD443" s="221"/>
    </row>
    <row r="444" spans="36:56" hidden="1">
      <c r="AJ444" s="221"/>
      <c r="AK444" s="221"/>
      <c r="AL444" s="221"/>
      <c r="AM444" s="221"/>
      <c r="AN444" s="221"/>
      <c r="AO444" s="221"/>
      <c r="AP444" s="221"/>
      <c r="AQ444" s="221"/>
      <c r="AR444" s="221"/>
      <c r="AS444" s="136"/>
      <c r="AT444" s="221"/>
      <c r="AU444" s="221"/>
      <c r="AV444" s="221"/>
      <c r="AW444" s="221"/>
      <c r="AX444" s="221"/>
      <c r="AY444" s="221"/>
      <c r="AZ444" s="221"/>
      <c r="BA444" s="221"/>
      <c r="BB444" s="221"/>
      <c r="BC444" s="221"/>
      <c r="BD444" s="221"/>
    </row>
    <row r="445" spans="36:56" hidden="1">
      <c r="AJ445" s="221"/>
      <c r="AK445" s="221"/>
      <c r="AL445" s="221"/>
      <c r="AM445" s="221"/>
      <c r="AN445" s="221"/>
      <c r="AO445" s="221"/>
      <c r="AP445" s="221"/>
      <c r="AQ445" s="221"/>
      <c r="AR445" s="221"/>
      <c r="AS445" s="136"/>
      <c r="AT445" s="221"/>
      <c r="AU445" s="221"/>
      <c r="AV445" s="221"/>
      <c r="AW445" s="221"/>
      <c r="AX445" s="221"/>
      <c r="AY445" s="221"/>
      <c r="AZ445" s="221"/>
      <c r="BA445" s="221"/>
      <c r="BB445" s="221"/>
      <c r="BC445" s="221"/>
      <c r="BD445" s="221"/>
    </row>
    <row r="446" spans="36:56" hidden="1">
      <c r="AJ446" s="221"/>
      <c r="AK446" s="221"/>
      <c r="AL446" s="221"/>
      <c r="AM446" s="221"/>
      <c r="AN446" s="221"/>
      <c r="AO446" s="221"/>
      <c r="AP446" s="221"/>
      <c r="AQ446" s="221"/>
      <c r="AR446" s="221"/>
      <c r="AS446" s="136"/>
      <c r="AT446" s="221"/>
      <c r="AU446" s="221"/>
      <c r="AV446" s="221"/>
      <c r="AW446" s="221"/>
      <c r="AX446" s="221"/>
      <c r="AY446" s="221"/>
      <c r="AZ446" s="221"/>
      <c r="BA446" s="221"/>
      <c r="BB446" s="221"/>
      <c r="BC446" s="221"/>
      <c r="BD446" s="221"/>
    </row>
    <row r="447" spans="36:56" hidden="1">
      <c r="AJ447" s="221"/>
      <c r="AK447" s="221"/>
      <c r="AL447" s="221"/>
      <c r="AM447" s="221"/>
      <c r="AN447" s="221"/>
      <c r="AO447" s="221"/>
      <c r="AP447" s="221"/>
      <c r="AQ447" s="221"/>
      <c r="AR447" s="221"/>
      <c r="AS447" s="136"/>
      <c r="AT447" s="221"/>
      <c r="AU447" s="221"/>
      <c r="AV447" s="221"/>
      <c r="AW447" s="221"/>
      <c r="AX447" s="221"/>
      <c r="AY447" s="221"/>
      <c r="AZ447" s="221"/>
      <c r="BA447" s="221"/>
      <c r="BB447" s="221"/>
      <c r="BC447" s="221"/>
      <c r="BD447" s="221"/>
    </row>
    <row r="448" spans="36:56" hidden="1">
      <c r="AJ448" s="221"/>
      <c r="AK448" s="221"/>
      <c r="AL448" s="221"/>
      <c r="AM448" s="221"/>
      <c r="AN448" s="221"/>
      <c r="AO448" s="221"/>
      <c r="AP448" s="221"/>
      <c r="AQ448" s="221"/>
      <c r="AR448" s="221"/>
      <c r="AS448" s="136"/>
      <c r="AT448" s="221"/>
      <c r="AU448" s="221"/>
      <c r="AV448" s="221"/>
      <c r="AW448" s="221"/>
      <c r="AX448" s="221"/>
      <c r="AY448" s="221"/>
      <c r="AZ448" s="221"/>
      <c r="BA448" s="221"/>
      <c r="BB448" s="221"/>
      <c r="BC448" s="221"/>
      <c r="BD448" s="221"/>
    </row>
    <row r="449" spans="36:56" hidden="1">
      <c r="AJ449" s="221"/>
      <c r="AK449" s="221"/>
      <c r="AL449" s="221"/>
      <c r="AM449" s="221"/>
      <c r="AN449" s="221"/>
      <c r="AO449" s="221"/>
      <c r="AP449" s="221"/>
      <c r="AQ449" s="221"/>
      <c r="AR449" s="221"/>
      <c r="AS449" s="136"/>
      <c r="AT449" s="221"/>
      <c r="AU449" s="221"/>
      <c r="AV449" s="221"/>
      <c r="AW449" s="221"/>
      <c r="AX449" s="221"/>
      <c r="AY449" s="221"/>
      <c r="AZ449" s="221"/>
      <c r="BA449" s="221"/>
      <c r="BB449" s="221"/>
      <c r="BC449" s="221"/>
      <c r="BD449" s="221"/>
    </row>
    <row r="450" spans="36:56" hidden="1">
      <c r="AJ450" s="221"/>
      <c r="AK450" s="221"/>
      <c r="AL450" s="221"/>
      <c r="AM450" s="221"/>
      <c r="AN450" s="221"/>
      <c r="AO450" s="221"/>
      <c r="AP450" s="221"/>
      <c r="AQ450" s="221"/>
      <c r="AR450" s="221"/>
      <c r="AS450" s="136"/>
      <c r="AT450" s="221"/>
      <c r="AU450" s="221"/>
      <c r="AV450" s="221"/>
      <c r="AW450" s="221"/>
      <c r="AX450" s="221"/>
      <c r="AY450" s="221"/>
      <c r="AZ450" s="221"/>
      <c r="BA450" s="221"/>
      <c r="BB450" s="221"/>
      <c r="BC450" s="221"/>
      <c r="BD450" s="221"/>
    </row>
    <row r="451" spans="36:56" hidden="1">
      <c r="AJ451" s="221"/>
      <c r="AK451" s="221"/>
      <c r="AL451" s="221"/>
      <c r="AM451" s="221"/>
      <c r="AN451" s="221"/>
      <c r="AO451" s="221"/>
      <c r="AP451" s="221"/>
      <c r="AQ451" s="221"/>
      <c r="AR451" s="221"/>
      <c r="AS451" s="136"/>
      <c r="AT451" s="221"/>
      <c r="AU451" s="221"/>
      <c r="AV451" s="221"/>
      <c r="AW451" s="221"/>
      <c r="AX451" s="221"/>
      <c r="AY451" s="221"/>
      <c r="AZ451" s="221"/>
      <c r="BA451" s="221"/>
      <c r="BB451" s="221"/>
      <c r="BC451" s="221"/>
      <c r="BD451" s="221"/>
    </row>
    <row r="452" spans="36:56" hidden="1">
      <c r="AJ452" s="221"/>
      <c r="AK452" s="221"/>
      <c r="AL452" s="221"/>
      <c r="AM452" s="221"/>
      <c r="AN452" s="221"/>
      <c r="AO452" s="221"/>
      <c r="AP452" s="221"/>
      <c r="AQ452" s="221"/>
      <c r="AR452" s="221"/>
      <c r="AS452" s="136"/>
      <c r="AT452" s="221"/>
      <c r="AU452" s="221"/>
      <c r="AV452" s="221"/>
      <c r="AW452" s="221"/>
      <c r="AX452" s="221"/>
      <c r="AY452" s="221"/>
      <c r="AZ452" s="221"/>
      <c r="BA452" s="221"/>
      <c r="BB452" s="221"/>
      <c r="BC452" s="221"/>
      <c r="BD452" s="221"/>
    </row>
    <row r="453" spans="36:56" hidden="1">
      <c r="AJ453" s="221"/>
      <c r="AK453" s="221"/>
      <c r="AL453" s="221"/>
      <c r="AM453" s="221"/>
      <c r="AN453" s="221"/>
      <c r="AO453" s="221"/>
      <c r="AP453" s="221"/>
      <c r="AQ453" s="221"/>
      <c r="AR453" s="221"/>
      <c r="AS453" s="136"/>
      <c r="AT453" s="221"/>
      <c r="AU453" s="221"/>
      <c r="AV453" s="221"/>
      <c r="AW453" s="221"/>
      <c r="AX453" s="221"/>
      <c r="AY453" s="221"/>
      <c r="AZ453" s="221"/>
      <c r="BA453" s="221"/>
      <c r="BB453" s="221"/>
      <c r="BC453" s="221"/>
      <c r="BD453" s="221"/>
    </row>
    <row r="454" spans="36:56" hidden="1">
      <c r="AJ454" s="221"/>
      <c r="AK454" s="221"/>
      <c r="AL454" s="221"/>
      <c r="AM454" s="221"/>
      <c r="AN454" s="221"/>
      <c r="AO454" s="221"/>
      <c r="AP454" s="221"/>
      <c r="AQ454" s="221"/>
      <c r="AR454" s="221"/>
      <c r="AS454" s="136"/>
      <c r="AT454" s="221"/>
      <c r="AU454" s="221"/>
      <c r="AV454" s="221"/>
      <c r="AW454" s="221"/>
      <c r="AX454" s="221"/>
      <c r="AY454" s="221"/>
      <c r="AZ454" s="221"/>
      <c r="BA454" s="221"/>
      <c r="BB454" s="221"/>
      <c r="BC454" s="221"/>
      <c r="BD454" s="221"/>
    </row>
    <row r="455" spans="36:56" hidden="1">
      <c r="AJ455" s="221"/>
      <c r="AK455" s="221"/>
      <c r="AL455" s="221"/>
      <c r="AM455" s="221"/>
      <c r="AN455" s="221"/>
      <c r="AO455" s="221"/>
      <c r="AP455" s="221"/>
      <c r="AQ455" s="221"/>
      <c r="AR455" s="221"/>
      <c r="AS455" s="136"/>
      <c r="AT455" s="221"/>
      <c r="AU455" s="221"/>
      <c r="AV455" s="221"/>
      <c r="AW455" s="221"/>
      <c r="AX455" s="221"/>
      <c r="AY455" s="221"/>
      <c r="AZ455" s="221"/>
      <c r="BA455" s="221"/>
      <c r="BB455" s="221"/>
      <c r="BC455" s="221"/>
      <c r="BD455" s="221"/>
    </row>
    <row r="456" spans="36:56" hidden="1">
      <c r="AJ456" s="221"/>
      <c r="AK456" s="221"/>
      <c r="AL456" s="221"/>
      <c r="AM456" s="221"/>
      <c r="AN456" s="221"/>
      <c r="AO456" s="221"/>
      <c r="AP456" s="221"/>
      <c r="AQ456" s="221"/>
      <c r="AR456" s="221"/>
      <c r="AS456" s="136"/>
      <c r="AT456" s="221"/>
      <c r="AU456" s="221"/>
      <c r="AV456" s="221"/>
      <c r="AW456" s="221"/>
      <c r="AX456" s="221"/>
      <c r="AY456" s="221"/>
      <c r="AZ456" s="221"/>
      <c r="BA456" s="221"/>
      <c r="BB456" s="221"/>
      <c r="BC456" s="221"/>
      <c r="BD456" s="221"/>
    </row>
    <row r="457" spans="36:56" hidden="1">
      <c r="AJ457" s="221"/>
      <c r="AK457" s="221"/>
      <c r="AL457" s="221"/>
      <c r="AM457" s="221"/>
      <c r="AN457" s="221"/>
      <c r="AO457" s="221"/>
      <c r="AP457" s="221"/>
      <c r="AQ457" s="221"/>
      <c r="AR457" s="221"/>
      <c r="AS457" s="136"/>
      <c r="AT457" s="221"/>
      <c r="AU457" s="221"/>
      <c r="AV457" s="221"/>
      <c r="AW457" s="221"/>
      <c r="AX457" s="221"/>
      <c r="AY457" s="221"/>
      <c r="AZ457" s="221"/>
      <c r="BA457" s="221"/>
      <c r="BB457" s="221"/>
      <c r="BC457" s="221"/>
      <c r="BD457" s="221"/>
    </row>
    <row r="458" spans="36:56" hidden="1">
      <c r="AJ458" s="221"/>
      <c r="AK458" s="221"/>
      <c r="AL458" s="221"/>
      <c r="AM458" s="221"/>
      <c r="AN458" s="221"/>
      <c r="AO458" s="221"/>
      <c r="AP458" s="221"/>
      <c r="AQ458" s="221"/>
      <c r="AR458" s="221"/>
      <c r="AS458" s="136"/>
      <c r="AT458" s="221"/>
      <c r="AU458" s="221"/>
      <c r="AV458" s="221"/>
      <c r="AW458" s="221"/>
      <c r="AX458" s="221"/>
      <c r="AY458" s="221"/>
      <c r="AZ458" s="221"/>
      <c r="BA458" s="221"/>
      <c r="BB458" s="221"/>
      <c r="BC458" s="221"/>
      <c r="BD458" s="221"/>
    </row>
    <row r="459" spans="36:56" hidden="1">
      <c r="AJ459" s="221"/>
      <c r="AK459" s="221"/>
      <c r="AL459" s="221"/>
      <c r="AM459" s="221"/>
      <c r="AN459" s="221"/>
      <c r="AO459" s="221"/>
      <c r="AP459" s="221"/>
      <c r="AQ459" s="221"/>
      <c r="AR459" s="221"/>
      <c r="AS459" s="136"/>
      <c r="AT459" s="221"/>
      <c r="AU459" s="221"/>
      <c r="AV459" s="221"/>
      <c r="AW459" s="221"/>
      <c r="AX459" s="221"/>
      <c r="AY459" s="221"/>
      <c r="AZ459" s="221"/>
      <c r="BA459" s="221"/>
      <c r="BB459" s="221"/>
      <c r="BC459" s="221"/>
      <c r="BD459" s="221"/>
    </row>
    <row r="460" spans="36:56" hidden="1">
      <c r="AJ460" s="221"/>
      <c r="AK460" s="221"/>
      <c r="AL460" s="221"/>
      <c r="AM460" s="221"/>
      <c r="AN460" s="221"/>
      <c r="AO460" s="221"/>
      <c r="AP460" s="221"/>
      <c r="AQ460" s="221"/>
      <c r="AR460" s="221"/>
      <c r="AS460" s="136"/>
      <c r="AT460" s="221"/>
      <c r="AU460" s="221"/>
      <c r="AV460" s="221"/>
      <c r="AW460" s="221"/>
      <c r="AX460" s="221"/>
      <c r="AY460" s="221"/>
      <c r="AZ460" s="221"/>
      <c r="BA460" s="221"/>
      <c r="BB460" s="221"/>
      <c r="BC460" s="221"/>
      <c r="BD460" s="221"/>
    </row>
    <row r="461" spans="36:56" hidden="1">
      <c r="AJ461" s="221"/>
      <c r="AK461" s="221"/>
      <c r="AL461" s="221"/>
      <c r="AM461" s="221"/>
      <c r="AN461" s="221"/>
      <c r="AO461" s="221"/>
      <c r="AP461" s="221"/>
      <c r="AQ461" s="221"/>
      <c r="AR461" s="221"/>
      <c r="AS461" s="136"/>
      <c r="AT461" s="221"/>
      <c r="AU461" s="221"/>
      <c r="AV461" s="221"/>
      <c r="AW461" s="221"/>
      <c r="AX461" s="221"/>
      <c r="AY461" s="221"/>
      <c r="AZ461" s="221"/>
      <c r="BA461" s="221"/>
      <c r="BB461" s="221"/>
      <c r="BC461" s="221"/>
      <c r="BD461" s="221"/>
    </row>
    <row r="462" spans="36:56" hidden="1">
      <c r="AJ462" s="221"/>
      <c r="AK462" s="221"/>
      <c r="AL462" s="221"/>
      <c r="AM462" s="221"/>
      <c r="AN462" s="221"/>
      <c r="AO462" s="221"/>
      <c r="AP462" s="221"/>
      <c r="AQ462" s="221"/>
      <c r="AR462" s="221"/>
      <c r="AS462" s="136"/>
      <c r="AT462" s="221"/>
      <c r="AU462" s="221"/>
      <c r="AV462" s="221"/>
      <c r="AW462" s="221"/>
      <c r="AX462" s="221"/>
      <c r="AY462" s="221"/>
      <c r="AZ462" s="221"/>
      <c r="BA462" s="221"/>
      <c r="BB462" s="221"/>
      <c r="BC462" s="221"/>
      <c r="BD462" s="221"/>
    </row>
    <row r="463" spans="36:56" hidden="1">
      <c r="AJ463" s="221"/>
      <c r="AK463" s="221"/>
      <c r="AL463" s="221"/>
      <c r="AM463" s="221"/>
      <c r="AN463" s="221"/>
      <c r="AO463" s="221"/>
      <c r="AP463" s="221"/>
      <c r="AQ463" s="221"/>
      <c r="AR463" s="221"/>
      <c r="AS463" s="136"/>
      <c r="AT463" s="221"/>
      <c r="AU463" s="221"/>
      <c r="AV463" s="221"/>
      <c r="AW463" s="221"/>
      <c r="AX463" s="221"/>
      <c r="AY463" s="221"/>
      <c r="AZ463" s="221"/>
      <c r="BA463" s="221"/>
      <c r="BB463" s="221"/>
      <c r="BC463" s="221"/>
      <c r="BD463" s="221"/>
    </row>
    <row r="464" spans="36:56" hidden="1">
      <c r="AJ464" s="221"/>
      <c r="AK464" s="221"/>
      <c r="AL464" s="221"/>
      <c r="AM464" s="221"/>
      <c r="AN464" s="221"/>
      <c r="AO464" s="221"/>
      <c r="AP464" s="221"/>
      <c r="AQ464" s="221"/>
      <c r="AR464" s="221"/>
      <c r="AS464" s="136"/>
      <c r="AT464" s="221"/>
      <c r="AU464" s="221"/>
      <c r="AV464" s="221"/>
      <c r="AW464" s="221"/>
      <c r="AX464" s="221"/>
      <c r="AY464" s="221"/>
      <c r="AZ464" s="221"/>
      <c r="BA464" s="221"/>
      <c r="BB464" s="221"/>
      <c r="BC464" s="221"/>
      <c r="BD464" s="221"/>
    </row>
    <row r="465" spans="36:56" hidden="1">
      <c r="AJ465" s="221"/>
      <c r="AK465" s="221"/>
      <c r="AL465" s="221"/>
      <c r="AM465" s="221"/>
      <c r="AN465" s="221"/>
      <c r="AO465" s="221"/>
      <c r="AP465" s="221"/>
      <c r="AQ465" s="221"/>
      <c r="AR465" s="221"/>
      <c r="AS465" s="136"/>
      <c r="AT465" s="221"/>
      <c r="AU465" s="221"/>
      <c r="AV465" s="221"/>
      <c r="AW465" s="221"/>
      <c r="AX465" s="221"/>
      <c r="AY465" s="221"/>
      <c r="AZ465" s="221"/>
      <c r="BA465" s="221"/>
      <c r="BB465" s="221"/>
      <c r="BC465" s="221"/>
      <c r="BD465" s="221"/>
    </row>
    <row r="466" spans="36:56" hidden="1">
      <c r="AJ466" s="221"/>
      <c r="AK466" s="221"/>
      <c r="AL466" s="221"/>
      <c r="AM466" s="221"/>
      <c r="AN466" s="221"/>
      <c r="AO466" s="221"/>
      <c r="AP466" s="221"/>
      <c r="AQ466" s="221"/>
      <c r="AR466" s="221"/>
      <c r="AS466" s="136"/>
      <c r="AT466" s="221"/>
      <c r="AU466" s="221"/>
      <c r="AV466" s="221"/>
      <c r="AW466" s="221"/>
      <c r="AX466" s="221"/>
      <c r="AY466" s="221"/>
      <c r="AZ466" s="221"/>
      <c r="BA466" s="221"/>
      <c r="BB466" s="221"/>
      <c r="BC466" s="221"/>
      <c r="BD466" s="221"/>
    </row>
    <row r="467" spans="36:56" hidden="1">
      <c r="AJ467" s="221"/>
      <c r="AK467" s="221"/>
      <c r="AL467" s="221"/>
      <c r="AM467" s="221"/>
      <c r="AN467" s="221"/>
      <c r="AO467" s="221"/>
      <c r="AP467" s="221"/>
      <c r="AQ467" s="221"/>
      <c r="AR467" s="221"/>
      <c r="AS467" s="136"/>
      <c r="AT467" s="221"/>
      <c r="AU467" s="221"/>
      <c r="AV467" s="221"/>
      <c r="AW467" s="221"/>
      <c r="AX467" s="221"/>
      <c r="AY467" s="221"/>
      <c r="AZ467" s="221"/>
      <c r="BA467" s="221"/>
      <c r="BB467" s="221"/>
      <c r="BC467" s="221"/>
      <c r="BD467" s="221"/>
    </row>
    <row r="468" spans="36:56" hidden="1">
      <c r="AJ468" s="221"/>
      <c r="AK468" s="221"/>
      <c r="AL468" s="221"/>
      <c r="AM468" s="221"/>
      <c r="AN468" s="221"/>
      <c r="AO468" s="221"/>
      <c r="AP468" s="221"/>
      <c r="AQ468" s="221"/>
      <c r="AR468" s="221"/>
      <c r="AS468" s="136"/>
      <c r="AT468" s="221"/>
      <c r="AU468" s="221"/>
      <c r="AV468" s="221"/>
      <c r="AW468" s="221"/>
      <c r="AX468" s="221"/>
      <c r="AY468" s="221"/>
      <c r="AZ468" s="221"/>
      <c r="BA468" s="221"/>
      <c r="BB468" s="221"/>
      <c r="BC468" s="221"/>
      <c r="BD468" s="221"/>
    </row>
    <row r="469" spans="36:56" hidden="1">
      <c r="AJ469" s="221"/>
      <c r="AK469" s="221"/>
      <c r="AL469" s="221"/>
      <c r="AM469" s="221"/>
      <c r="AN469" s="221"/>
      <c r="AO469" s="221"/>
      <c r="AP469" s="221"/>
      <c r="AQ469" s="221"/>
      <c r="AR469" s="221"/>
      <c r="AS469" s="136"/>
      <c r="AT469" s="221"/>
      <c r="AU469" s="221"/>
      <c r="AV469" s="221"/>
      <c r="AW469" s="221"/>
      <c r="AX469" s="221"/>
      <c r="AY469" s="221"/>
      <c r="AZ469" s="221"/>
      <c r="BA469" s="221"/>
      <c r="BB469" s="221"/>
      <c r="BC469" s="221"/>
      <c r="BD469" s="221"/>
    </row>
    <row r="470" spans="36:56" hidden="1">
      <c r="AJ470" s="221"/>
      <c r="AK470" s="221"/>
      <c r="AL470" s="221"/>
      <c r="AM470" s="221"/>
      <c r="AN470" s="221"/>
      <c r="AO470" s="221"/>
      <c r="AP470" s="221"/>
      <c r="AQ470" s="221"/>
      <c r="AR470" s="221"/>
      <c r="AS470" s="136"/>
      <c r="AT470" s="221"/>
      <c r="AU470" s="221"/>
      <c r="AV470" s="221"/>
      <c r="AW470" s="221"/>
      <c r="AX470" s="221"/>
      <c r="AY470" s="221"/>
      <c r="AZ470" s="221"/>
      <c r="BA470" s="221"/>
      <c r="BB470" s="221"/>
      <c r="BC470" s="221"/>
      <c r="BD470" s="221"/>
    </row>
    <row r="471" spans="36:56" hidden="1">
      <c r="AJ471" s="221"/>
      <c r="AK471" s="221"/>
      <c r="AL471" s="221"/>
      <c r="AM471" s="221"/>
      <c r="AN471" s="221"/>
      <c r="AO471" s="221"/>
      <c r="AP471" s="221"/>
      <c r="AQ471" s="221"/>
      <c r="AR471" s="221"/>
      <c r="AS471" s="136"/>
      <c r="AT471" s="221"/>
      <c r="AU471" s="221"/>
      <c r="AV471" s="221"/>
      <c r="AW471" s="221"/>
      <c r="AX471" s="221"/>
      <c r="AY471" s="221"/>
      <c r="AZ471" s="221"/>
      <c r="BA471" s="221"/>
      <c r="BB471" s="221"/>
      <c r="BC471" s="221"/>
      <c r="BD471" s="221"/>
    </row>
    <row r="472" spans="36:56" hidden="1">
      <c r="AJ472" s="221"/>
      <c r="AK472" s="221"/>
      <c r="AL472" s="221"/>
      <c r="AM472" s="221"/>
      <c r="AN472" s="221"/>
      <c r="AO472" s="221"/>
      <c r="AP472" s="221"/>
      <c r="AQ472" s="221"/>
      <c r="AR472" s="221"/>
      <c r="AS472" s="136"/>
      <c r="AT472" s="221"/>
      <c r="AU472" s="221"/>
      <c r="AV472" s="221"/>
      <c r="AW472" s="221"/>
      <c r="AX472" s="221"/>
      <c r="AY472" s="221"/>
      <c r="AZ472" s="221"/>
      <c r="BA472" s="221"/>
      <c r="BB472" s="221"/>
      <c r="BC472" s="221"/>
      <c r="BD472" s="221"/>
    </row>
    <row r="473" spans="36:56" hidden="1">
      <c r="AJ473" s="221"/>
      <c r="AK473" s="221"/>
      <c r="AL473" s="221"/>
      <c r="AM473" s="221"/>
      <c r="AN473" s="221"/>
      <c r="AO473" s="221"/>
      <c r="AP473" s="221"/>
      <c r="AQ473" s="221"/>
      <c r="AR473" s="221"/>
      <c r="AS473" s="136"/>
      <c r="AT473" s="221"/>
      <c r="AU473" s="221"/>
      <c r="AV473" s="221"/>
      <c r="AW473" s="221"/>
      <c r="AX473" s="221"/>
      <c r="AY473" s="221"/>
      <c r="AZ473" s="221"/>
      <c r="BA473" s="221"/>
      <c r="BB473" s="221"/>
      <c r="BC473" s="221"/>
      <c r="BD473" s="221"/>
    </row>
    <row r="474" spans="36:56" hidden="1">
      <c r="AJ474" s="221"/>
      <c r="AK474" s="221"/>
      <c r="AL474" s="221"/>
      <c r="AM474" s="221"/>
      <c r="AN474" s="221"/>
      <c r="AO474" s="221"/>
      <c r="AP474" s="221"/>
      <c r="AQ474" s="221"/>
      <c r="AR474" s="221"/>
      <c r="AS474" s="136"/>
      <c r="AT474" s="221"/>
      <c r="AU474" s="221"/>
      <c r="AV474" s="221"/>
      <c r="AW474" s="221"/>
      <c r="AX474" s="221"/>
      <c r="AY474" s="221"/>
      <c r="AZ474" s="221"/>
      <c r="BA474" s="221"/>
      <c r="BB474" s="221"/>
      <c r="BC474" s="221"/>
      <c r="BD474" s="221"/>
    </row>
    <row r="475" spans="36:56" hidden="1">
      <c r="AJ475" s="221"/>
      <c r="AK475" s="221"/>
      <c r="AL475" s="221"/>
      <c r="AM475" s="221"/>
      <c r="AN475" s="221"/>
      <c r="AO475" s="221"/>
      <c r="AP475" s="221"/>
      <c r="AQ475" s="221"/>
      <c r="AR475" s="221"/>
      <c r="AS475" s="136"/>
      <c r="AT475" s="221"/>
      <c r="AU475" s="221"/>
      <c r="AV475" s="221"/>
      <c r="AW475" s="221"/>
      <c r="AX475" s="221"/>
      <c r="AY475" s="221"/>
      <c r="AZ475" s="221"/>
      <c r="BA475" s="221"/>
      <c r="BB475" s="221"/>
      <c r="BC475" s="221"/>
      <c r="BD475" s="221"/>
    </row>
    <row r="476" spans="36:56" hidden="1">
      <c r="AJ476" s="221"/>
      <c r="AK476" s="221"/>
      <c r="AL476" s="221"/>
      <c r="AM476" s="221"/>
      <c r="AN476" s="221"/>
      <c r="AO476" s="221"/>
      <c r="AP476" s="221"/>
      <c r="AQ476" s="221"/>
      <c r="AR476" s="221"/>
      <c r="AS476" s="136"/>
      <c r="AT476" s="221"/>
      <c r="AU476" s="221"/>
      <c r="AV476" s="221"/>
      <c r="AW476" s="221"/>
      <c r="AX476" s="221"/>
      <c r="AY476" s="221"/>
      <c r="AZ476" s="221"/>
      <c r="BA476" s="221"/>
      <c r="BB476" s="221"/>
      <c r="BC476" s="221"/>
      <c r="BD476" s="221"/>
    </row>
    <row r="477" spans="36:56" hidden="1">
      <c r="AJ477" s="221"/>
      <c r="AK477" s="221"/>
      <c r="AL477" s="221"/>
      <c r="AM477" s="221"/>
      <c r="AN477" s="221"/>
      <c r="AO477" s="221"/>
      <c r="AP477" s="221"/>
      <c r="AQ477" s="221"/>
      <c r="AR477" s="221"/>
      <c r="AS477" s="136"/>
      <c r="AT477" s="221"/>
      <c r="AU477" s="221"/>
      <c r="AV477" s="221"/>
      <c r="AW477" s="221"/>
      <c r="AX477" s="221"/>
      <c r="AY477" s="221"/>
      <c r="AZ477" s="221"/>
      <c r="BA477" s="221"/>
      <c r="BB477" s="221"/>
      <c r="BC477" s="221"/>
      <c r="BD477" s="221"/>
    </row>
    <row r="478" spans="36:56" hidden="1">
      <c r="AJ478" s="221"/>
      <c r="AK478" s="221"/>
      <c r="AL478" s="221"/>
      <c r="AM478" s="221"/>
      <c r="AN478" s="221"/>
      <c r="AO478" s="221"/>
      <c r="AP478" s="221"/>
      <c r="AQ478" s="221"/>
      <c r="AR478" s="221"/>
      <c r="AS478" s="136"/>
      <c r="AT478" s="221"/>
      <c r="AU478" s="221"/>
      <c r="AV478" s="221"/>
      <c r="AW478" s="221"/>
      <c r="AX478" s="221"/>
      <c r="AY478" s="221"/>
      <c r="AZ478" s="221"/>
      <c r="BA478" s="221"/>
      <c r="BB478" s="221"/>
      <c r="BC478" s="221"/>
      <c r="BD478" s="221"/>
    </row>
    <row r="479" spans="36:56" hidden="1">
      <c r="AJ479" s="221"/>
      <c r="AK479" s="221"/>
      <c r="AL479" s="221"/>
      <c r="AM479" s="221"/>
      <c r="AN479" s="221"/>
      <c r="AO479" s="221"/>
      <c r="AP479" s="221"/>
      <c r="AQ479" s="221"/>
      <c r="AR479" s="221"/>
      <c r="AS479" s="136"/>
      <c r="AT479" s="221"/>
      <c r="AU479" s="221"/>
      <c r="AV479" s="221"/>
      <c r="AW479" s="221"/>
      <c r="AX479" s="221"/>
      <c r="AY479" s="221"/>
      <c r="AZ479" s="221"/>
      <c r="BA479" s="221"/>
      <c r="BB479" s="221"/>
      <c r="BC479" s="221"/>
      <c r="BD479" s="221"/>
    </row>
    <row r="480" spans="36:56" hidden="1">
      <c r="AJ480" s="221"/>
      <c r="AK480" s="221"/>
      <c r="AL480" s="221"/>
      <c r="AM480" s="221"/>
      <c r="AN480" s="221"/>
      <c r="AO480" s="221"/>
      <c r="AP480" s="221"/>
      <c r="AQ480" s="221"/>
      <c r="AR480" s="221"/>
      <c r="AS480" s="136"/>
      <c r="AT480" s="221"/>
      <c r="AU480" s="221"/>
      <c r="AV480" s="221"/>
      <c r="AW480" s="221"/>
      <c r="AX480" s="221"/>
      <c r="AY480" s="221"/>
      <c r="AZ480" s="221"/>
      <c r="BA480" s="221"/>
      <c r="BB480" s="221"/>
      <c r="BC480" s="221"/>
      <c r="BD480" s="221"/>
    </row>
    <row r="481" spans="36:56" hidden="1">
      <c r="AJ481" s="221"/>
      <c r="AK481" s="221"/>
      <c r="AL481" s="221"/>
      <c r="AM481" s="221"/>
      <c r="AN481" s="221"/>
      <c r="AO481" s="221"/>
      <c r="AP481" s="221"/>
      <c r="AQ481" s="221"/>
      <c r="AR481" s="221"/>
      <c r="AS481" s="136"/>
      <c r="AT481" s="221"/>
      <c r="AU481" s="221"/>
      <c r="AV481" s="221"/>
      <c r="AW481" s="221"/>
      <c r="AX481" s="221"/>
      <c r="AY481" s="221"/>
      <c r="AZ481" s="221"/>
      <c r="BA481" s="221"/>
      <c r="BB481" s="221"/>
      <c r="BC481" s="221"/>
      <c r="BD481" s="221"/>
    </row>
    <row r="482" spans="36:56" hidden="1">
      <c r="AJ482" s="221"/>
      <c r="AK482" s="221"/>
      <c r="AL482" s="221"/>
      <c r="AM482" s="221"/>
      <c r="AN482" s="221"/>
      <c r="AO482" s="221"/>
      <c r="AP482" s="221"/>
      <c r="AQ482" s="221"/>
      <c r="AR482" s="221"/>
      <c r="AS482" s="136"/>
      <c r="AT482" s="221"/>
      <c r="AU482" s="221"/>
      <c r="AV482" s="221"/>
      <c r="AW482" s="221"/>
      <c r="AX482" s="221"/>
      <c r="AY482" s="221"/>
      <c r="AZ482" s="221"/>
      <c r="BA482" s="221"/>
      <c r="BB482" s="221"/>
      <c r="BC482" s="221"/>
      <c r="BD482" s="221"/>
    </row>
    <row r="483" spans="36:56" hidden="1">
      <c r="AJ483" s="221"/>
      <c r="AK483" s="221"/>
      <c r="AL483" s="221"/>
      <c r="AM483" s="221"/>
      <c r="AN483" s="221"/>
      <c r="AO483" s="221"/>
      <c r="AP483" s="221"/>
      <c r="AQ483" s="221"/>
      <c r="AR483" s="221"/>
      <c r="AS483" s="136"/>
      <c r="AT483" s="221"/>
      <c r="AU483" s="221"/>
      <c r="AV483" s="221"/>
      <c r="AW483" s="221"/>
      <c r="AX483" s="221"/>
      <c r="AY483" s="221"/>
      <c r="AZ483" s="221"/>
      <c r="BA483" s="221"/>
      <c r="BB483" s="221"/>
      <c r="BC483" s="221"/>
      <c r="BD483" s="221"/>
    </row>
    <row r="484" spans="36:56" hidden="1">
      <c r="AJ484" s="221"/>
      <c r="AK484" s="221"/>
      <c r="AL484" s="221"/>
      <c r="AM484" s="221"/>
      <c r="AN484" s="221"/>
      <c r="AO484" s="221"/>
      <c r="AP484" s="221"/>
      <c r="AQ484" s="221"/>
      <c r="AR484" s="221"/>
      <c r="AS484" s="136"/>
      <c r="AT484" s="221"/>
      <c r="AU484" s="221"/>
      <c r="AV484" s="221"/>
      <c r="AW484" s="221"/>
      <c r="AX484" s="221"/>
      <c r="AY484" s="221"/>
      <c r="AZ484" s="221"/>
      <c r="BA484" s="221"/>
      <c r="BB484" s="221"/>
      <c r="BC484" s="221"/>
      <c r="BD484" s="221"/>
    </row>
    <row r="485" spans="36:56" hidden="1">
      <c r="AJ485" s="221"/>
      <c r="AK485" s="221"/>
      <c r="AL485" s="221"/>
      <c r="AM485" s="221"/>
      <c r="AN485" s="221"/>
      <c r="AO485" s="221"/>
      <c r="AP485" s="221"/>
      <c r="AQ485" s="221"/>
      <c r="AR485" s="221"/>
      <c r="AS485" s="136"/>
      <c r="AT485" s="221"/>
      <c r="AU485" s="221"/>
      <c r="AV485" s="221"/>
      <c r="AW485" s="221"/>
      <c r="AX485" s="221"/>
      <c r="AY485" s="221"/>
      <c r="AZ485" s="221"/>
      <c r="BA485" s="221"/>
      <c r="BB485" s="221"/>
      <c r="BC485" s="221"/>
      <c r="BD485" s="221"/>
    </row>
    <row r="486" spans="36:56" hidden="1">
      <c r="AJ486" s="221"/>
      <c r="AK486" s="221"/>
      <c r="AL486" s="221"/>
      <c r="AM486" s="221"/>
      <c r="AN486" s="221"/>
      <c r="AO486" s="221"/>
      <c r="AP486" s="221"/>
      <c r="AQ486" s="221"/>
      <c r="AR486" s="221"/>
      <c r="AS486" s="136"/>
      <c r="AT486" s="221"/>
      <c r="AU486" s="221"/>
      <c r="AV486" s="221"/>
      <c r="AW486" s="221"/>
      <c r="AX486" s="221"/>
      <c r="AY486" s="221"/>
      <c r="AZ486" s="221"/>
      <c r="BA486" s="221"/>
      <c r="BB486" s="221"/>
      <c r="BC486" s="221"/>
      <c r="BD486" s="221"/>
    </row>
    <row r="487" spans="36:56" hidden="1">
      <c r="AJ487" s="221"/>
      <c r="AK487" s="221"/>
      <c r="AL487" s="221"/>
      <c r="AM487" s="221"/>
      <c r="AN487" s="221"/>
      <c r="AO487" s="221"/>
      <c r="AP487" s="221"/>
      <c r="AQ487" s="221"/>
      <c r="AR487" s="221"/>
      <c r="AS487" s="136"/>
      <c r="AT487" s="221"/>
      <c r="AU487" s="221"/>
      <c r="AV487" s="221"/>
      <c r="AW487" s="221"/>
      <c r="AX487" s="221"/>
      <c r="AY487" s="221"/>
      <c r="AZ487" s="221"/>
      <c r="BA487" s="221"/>
      <c r="BB487" s="221"/>
      <c r="BC487" s="221"/>
      <c r="BD487" s="221"/>
    </row>
    <row r="488" spans="36:56" hidden="1">
      <c r="AJ488" s="221"/>
      <c r="AK488" s="221"/>
      <c r="AL488" s="221"/>
      <c r="AM488" s="221"/>
      <c r="AN488" s="221"/>
      <c r="AO488" s="221"/>
      <c r="AP488" s="221"/>
      <c r="AQ488" s="221"/>
      <c r="AR488" s="221"/>
      <c r="AS488" s="136"/>
      <c r="AT488" s="221"/>
      <c r="AU488" s="221"/>
      <c r="AV488" s="221"/>
      <c r="AW488" s="221"/>
      <c r="AX488" s="221"/>
      <c r="AY488" s="221"/>
      <c r="AZ488" s="221"/>
      <c r="BA488" s="221"/>
      <c r="BB488" s="221"/>
      <c r="BC488" s="221"/>
      <c r="BD488" s="221"/>
    </row>
    <row r="489" spans="36:56" hidden="1">
      <c r="AJ489" s="221"/>
      <c r="AK489" s="221"/>
      <c r="AL489" s="221"/>
      <c r="AM489" s="221"/>
      <c r="AN489" s="221"/>
      <c r="AO489" s="221"/>
      <c r="AP489" s="221"/>
      <c r="AQ489" s="221"/>
      <c r="AR489" s="221"/>
      <c r="AS489" s="136"/>
      <c r="AT489" s="221"/>
      <c r="AU489" s="221"/>
      <c r="AV489" s="221"/>
      <c r="AW489" s="221"/>
      <c r="AX489" s="221"/>
      <c r="AY489" s="221"/>
      <c r="AZ489" s="221"/>
      <c r="BA489" s="221"/>
      <c r="BB489" s="221"/>
      <c r="BC489" s="221"/>
      <c r="BD489" s="221"/>
    </row>
    <row r="490" spans="36:56" hidden="1">
      <c r="AJ490" s="221"/>
      <c r="AK490" s="221"/>
      <c r="AL490" s="221"/>
      <c r="AM490" s="221"/>
      <c r="AN490" s="221"/>
      <c r="AO490" s="221"/>
      <c r="AP490" s="221"/>
      <c r="AQ490" s="221"/>
      <c r="AR490" s="221"/>
      <c r="AS490" s="136"/>
      <c r="AT490" s="221"/>
      <c r="AU490" s="221"/>
      <c r="AV490" s="221"/>
      <c r="AW490" s="221"/>
      <c r="AX490" s="221"/>
      <c r="AY490" s="221"/>
      <c r="AZ490" s="221"/>
      <c r="BA490" s="221"/>
      <c r="BB490" s="221"/>
      <c r="BC490" s="221"/>
      <c r="BD490" s="221"/>
    </row>
    <row r="491" spans="36:56" hidden="1">
      <c r="AJ491" s="221"/>
      <c r="AK491" s="221"/>
      <c r="AL491" s="221"/>
      <c r="AM491" s="221"/>
      <c r="AN491" s="221"/>
      <c r="AO491" s="221"/>
      <c r="AP491" s="221"/>
      <c r="AQ491" s="221"/>
      <c r="AR491" s="221"/>
      <c r="AS491" s="136"/>
      <c r="AT491" s="221"/>
      <c r="AU491" s="221"/>
      <c r="AV491" s="221"/>
      <c r="AW491" s="221"/>
      <c r="AX491" s="221"/>
      <c r="AY491" s="221"/>
      <c r="AZ491" s="221"/>
      <c r="BA491" s="221"/>
      <c r="BB491" s="221"/>
      <c r="BC491" s="221"/>
      <c r="BD491" s="221"/>
    </row>
    <row r="492" spans="36:56" hidden="1">
      <c r="AJ492" s="221"/>
      <c r="AK492" s="221"/>
      <c r="AL492" s="221"/>
      <c r="AM492" s="221"/>
      <c r="AN492" s="221"/>
      <c r="AO492" s="221"/>
      <c r="AP492" s="221"/>
      <c r="AQ492" s="221"/>
      <c r="AR492" s="221"/>
      <c r="AS492" s="136"/>
      <c r="AT492" s="221"/>
      <c r="AU492" s="221"/>
      <c r="AV492" s="221"/>
      <c r="AW492" s="221"/>
      <c r="AX492" s="221"/>
      <c r="AY492" s="221"/>
      <c r="AZ492" s="221"/>
      <c r="BA492" s="221"/>
      <c r="BB492" s="221"/>
      <c r="BC492" s="221"/>
      <c r="BD492" s="221"/>
    </row>
    <row r="493" spans="36:56" hidden="1">
      <c r="AJ493" s="221"/>
      <c r="AK493" s="221"/>
      <c r="AL493" s="221"/>
      <c r="AM493" s="221"/>
      <c r="AN493" s="221"/>
      <c r="AO493" s="221"/>
      <c r="AP493" s="221"/>
      <c r="AQ493" s="221"/>
      <c r="AR493" s="221"/>
      <c r="AS493" s="136"/>
      <c r="AT493" s="221"/>
      <c r="AU493" s="221"/>
      <c r="AV493" s="221"/>
      <c r="AW493" s="221"/>
      <c r="AX493" s="221"/>
      <c r="AY493" s="221"/>
      <c r="AZ493" s="221"/>
      <c r="BA493" s="221"/>
      <c r="BB493" s="221"/>
      <c r="BC493" s="221"/>
      <c r="BD493" s="221"/>
    </row>
    <row r="494" spans="36:56" hidden="1">
      <c r="AJ494" s="221"/>
      <c r="AK494" s="221"/>
      <c r="AL494" s="221"/>
      <c r="AM494" s="221"/>
      <c r="AN494" s="221"/>
      <c r="AO494" s="221"/>
      <c r="AP494" s="221"/>
      <c r="AQ494" s="221"/>
      <c r="AR494" s="221"/>
      <c r="AS494" s="136"/>
      <c r="AT494" s="221"/>
      <c r="AU494" s="221"/>
      <c r="AV494" s="221"/>
      <c r="AW494" s="221"/>
      <c r="AX494" s="221"/>
      <c r="AY494" s="221"/>
      <c r="AZ494" s="221"/>
      <c r="BA494" s="221"/>
      <c r="BB494" s="221"/>
      <c r="BC494" s="221"/>
      <c r="BD494" s="221"/>
    </row>
    <row r="495" spans="36:56" hidden="1">
      <c r="AJ495" s="221"/>
      <c r="AK495" s="221"/>
      <c r="AL495" s="221"/>
      <c r="AM495" s="221"/>
      <c r="AN495" s="221"/>
      <c r="AO495" s="221"/>
      <c r="AP495" s="221"/>
      <c r="AQ495" s="221"/>
      <c r="AR495" s="221"/>
      <c r="AS495" s="136"/>
      <c r="AT495" s="221"/>
      <c r="AU495" s="221"/>
      <c r="AV495" s="221"/>
      <c r="AW495" s="221"/>
      <c r="AX495" s="221"/>
      <c r="AY495" s="221"/>
      <c r="AZ495" s="221"/>
      <c r="BA495" s="221"/>
      <c r="BB495" s="221"/>
      <c r="BC495" s="221"/>
      <c r="BD495" s="221"/>
    </row>
    <row r="496" spans="36:56" hidden="1">
      <c r="AJ496" s="221"/>
      <c r="AK496" s="221"/>
      <c r="AL496" s="221"/>
      <c r="AM496" s="221"/>
      <c r="AN496" s="221"/>
      <c r="AO496" s="221"/>
      <c r="AP496" s="221"/>
      <c r="AQ496" s="221"/>
      <c r="AR496" s="221"/>
      <c r="AS496" s="136"/>
      <c r="AT496" s="221"/>
      <c r="AU496" s="221"/>
      <c r="AV496" s="221"/>
      <c r="AW496" s="221"/>
      <c r="AX496" s="221"/>
      <c r="AY496" s="221"/>
      <c r="AZ496" s="221"/>
      <c r="BA496" s="221"/>
      <c r="BB496" s="221"/>
      <c r="BC496" s="221"/>
      <c r="BD496" s="221"/>
    </row>
    <row r="497" spans="36:56" hidden="1">
      <c r="AJ497" s="221"/>
      <c r="AK497" s="221"/>
      <c r="AL497" s="221"/>
      <c r="AM497" s="221"/>
      <c r="AN497" s="221"/>
      <c r="AO497" s="221"/>
      <c r="AP497" s="221"/>
      <c r="AQ497" s="221"/>
      <c r="AR497" s="221"/>
      <c r="AS497" s="136"/>
      <c r="AT497" s="221"/>
      <c r="AU497" s="221"/>
      <c r="AV497" s="221"/>
      <c r="AW497" s="221"/>
      <c r="AX497" s="221"/>
      <c r="AY497" s="221"/>
      <c r="AZ497" s="221"/>
      <c r="BA497" s="221"/>
      <c r="BB497" s="221"/>
      <c r="BC497" s="221"/>
      <c r="BD497" s="221"/>
    </row>
    <row r="498" spans="36:56" hidden="1">
      <c r="AJ498" s="221"/>
      <c r="AK498" s="221"/>
      <c r="AL498" s="221"/>
      <c r="AM498" s="221"/>
      <c r="AN498" s="221"/>
      <c r="AO498" s="221"/>
      <c r="AP498" s="221"/>
      <c r="AQ498" s="221"/>
      <c r="AR498" s="221"/>
      <c r="AS498" s="136"/>
      <c r="AT498" s="221"/>
      <c r="AU498" s="221"/>
      <c r="AV498" s="221"/>
      <c r="AW498" s="221"/>
      <c r="AX498" s="221"/>
      <c r="AY498" s="221"/>
      <c r="AZ498" s="221"/>
      <c r="BA498" s="221"/>
      <c r="BB498" s="221"/>
      <c r="BC498" s="221"/>
      <c r="BD498" s="221"/>
    </row>
    <row r="499" spans="36:56" hidden="1">
      <c r="AJ499" s="221"/>
      <c r="AK499" s="221"/>
      <c r="AL499" s="221"/>
      <c r="AM499" s="221"/>
      <c r="AN499" s="221"/>
      <c r="AO499" s="221"/>
      <c r="AP499" s="221"/>
      <c r="AQ499" s="221"/>
      <c r="AR499" s="221"/>
      <c r="AS499" s="136"/>
      <c r="AT499" s="221"/>
      <c r="AU499" s="221"/>
      <c r="AV499" s="221"/>
      <c r="AW499" s="221"/>
      <c r="AX499" s="221"/>
      <c r="AY499" s="221"/>
      <c r="AZ499" s="221"/>
      <c r="BA499" s="221"/>
      <c r="BB499" s="221"/>
      <c r="BC499" s="221"/>
      <c r="BD499" s="221"/>
    </row>
    <row r="500" spans="36:56" hidden="1">
      <c r="AJ500" s="221"/>
      <c r="AK500" s="221"/>
      <c r="AL500" s="221"/>
      <c r="AM500" s="221"/>
      <c r="AN500" s="221"/>
      <c r="AO500" s="221"/>
      <c r="AP500" s="221"/>
      <c r="AQ500" s="221"/>
      <c r="AR500" s="221"/>
      <c r="AS500" s="136"/>
      <c r="AT500" s="221"/>
      <c r="AU500" s="221"/>
      <c r="AV500" s="221"/>
      <c r="AW500" s="221"/>
      <c r="AX500" s="221"/>
      <c r="AY500" s="221"/>
      <c r="AZ500" s="221"/>
      <c r="BA500" s="221"/>
      <c r="BB500" s="221"/>
      <c r="BC500" s="221"/>
      <c r="BD500" s="221"/>
    </row>
    <row r="501" spans="36:56" hidden="1">
      <c r="AJ501" s="221"/>
      <c r="AK501" s="221"/>
      <c r="AL501" s="221"/>
      <c r="AM501" s="221"/>
      <c r="AN501" s="221"/>
      <c r="AO501" s="221"/>
      <c r="AP501" s="221"/>
      <c r="AQ501" s="221"/>
      <c r="AR501" s="221"/>
      <c r="AS501" s="136"/>
      <c r="AT501" s="221"/>
      <c r="AU501" s="221"/>
      <c r="AV501" s="221"/>
      <c r="AW501" s="221"/>
      <c r="AX501" s="221"/>
      <c r="AY501" s="221"/>
      <c r="AZ501" s="221"/>
      <c r="BA501" s="221"/>
      <c r="BB501" s="221"/>
      <c r="BC501" s="221"/>
      <c r="BD501" s="221"/>
    </row>
    <row r="502" spans="36:56" hidden="1">
      <c r="AJ502" s="221"/>
      <c r="AK502" s="221"/>
      <c r="AL502" s="221"/>
      <c r="AM502" s="221"/>
      <c r="AN502" s="221"/>
      <c r="AO502" s="221"/>
      <c r="AP502" s="221"/>
      <c r="AQ502" s="221"/>
      <c r="AR502" s="221"/>
      <c r="AS502" s="136"/>
      <c r="AT502" s="221"/>
      <c r="AU502" s="221"/>
      <c r="AV502" s="221"/>
      <c r="AW502" s="221"/>
      <c r="AX502" s="221"/>
      <c r="AY502" s="221"/>
      <c r="AZ502" s="221"/>
      <c r="BA502" s="221"/>
      <c r="BB502" s="221"/>
      <c r="BC502" s="221"/>
      <c r="BD502" s="221"/>
    </row>
    <row r="503" spans="36:56" hidden="1">
      <c r="AJ503" s="221"/>
      <c r="AK503" s="221"/>
      <c r="AL503" s="221"/>
      <c r="AM503" s="221"/>
      <c r="AN503" s="221"/>
      <c r="AO503" s="221"/>
      <c r="AP503" s="221"/>
      <c r="AQ503" s="221"/>
      <c r="AR503" s="221"/>
      <c r="AS503" s="136"/>
      <c r="AT503" s="221"/>
      <c r="AU503" s="221"/>
      <c r="AV503" s="221"/>
      <c r="AW503" s="221"/>
      <c r="AX503" s="221"/>
      <c r="AY503" s="221"/>
      <c r="AZ503" s="221"/>
      <c r="BA503" s="221"/>
      <c r="BB503" s="221"/>
      <c r="BC503" s="221"/>
      <c r="BD503" s="221"/>
    </row>
    <row r="504" spans="36:56" hidden="1">
      <c r="AJ504" s="221"/>
      <c r="AK504" s="221"/>
      <c r="AL504" s="221"/>
      <c r="AM504" s="221"/>
      <c r="AN504" s="221"/>
      <c r="AO504" s="221"/>
      <c r="AP504" s="221"/>
      <c r="AQ504" s="221"/>
      <c r="AR504" s="221"/>
      <c r="AS504" s="136"/>
      <c r="AT504" s="221"/>
      <c r="AU504" s="221"/>
      <c r="AV504" s="221"/>
      <c r="AW504" s="221"/>
      <c r="AX504" s="221"/>
      <c r="AY504" s="221"/>
      <c r="AZ504" s="221"/>
      <c r="BA504" s="221"/>
      <c r="BB504" s="221"/>
      <c r="BC504" s="221"/>
      <c r="BD504" s="221"/>
    </row>
    <row r="505" spans="36:56" hidden="1">
      <c r="AJ505" s="221"/>
      <c r="AK505" s="221"/>
      <c r="AL505" s="221"/>
      <c r="AM505" s="221"/>
      <c r="AN505" s="221"/>
      <c r="AO505" s="221"/>
      <c r="AP505" s="221"/>
      <c r="AQ505" s="221"/>
      <c r="AR505" s="221"/>
      <c r="AS505" s="136"/>
      <c r="AT505" s="221"/>
      <c r="AU505" s="221"/>
      <c r="AV505" s="221"/>
      <c r="AW505" s="221"/>
      <c r="AX505" s="221"/>
      <c r="AY505" s="221"/>
      <c r="AZ505" s="221"/>
      <c r="BA505" s="221"/>
      <c r="BB505" s="221"/>
      <c r="BC505" s="221"/>
      <c r="BD505" s="221"/>
    </row>
    <row r="506" spans="36:56" hidden="1">
      <c r="AJ506" s="221"/>
      <c r="AK506" s="221"/>
      <c r="AL506" s="221"/>
      <c r="AM506" s="221"/>
      <c r="AN506" s="221"/>
      <c r="AO506" s="221"/>
      <c r="AP506" s="221"/>
      <c r="AQ506" s="221"/>
      <c r="AR506" s="221"/>
      <c r="AS506" s="136"/>
      <c r="AT506" s="221"/>
      <c r="AU506" s="221"/>
      <c r="AV506" s="221"/>
      <c r="AW506" s="221"/>
      <c r="AX506" s="221"/>
      <c r="AY506" s="221"/>
      <c r="AZ506" s="221"/>
      <c r="BA506" s="221"/>
      <c r="BB506" s="221"/>
      <c r="BC506" s="221"/>
      <c r="BD506" s="221"/>
    </row>
    <row r="507" spans="36:56" hidden="1">
      <c r="AJ507" s="221"/>
      <c r="AK507" s="221"/>
      <c r="AL507" s="221"/>
      <c r="AM507" s="221"/>
      <c r="AN507" s="221"/>
      <c r="AO507" s="221"/>
      <c r="AP507" s="221"/>
      <c r="AQ507" s="221"/>
      <c r="AR507" s="221"/>
      <c r="AS507" s="136"/>
      <c r="AT507" s="221"/>
      <c r="AU507" s="221"/>
      <c r="AV507" s="221"/>
      <c r="AW507" s="221"/>
      <c r="AX507" s="221"/>
      <c r="AY507" s="221"/>
      <c r="AZ507" s="221"/>
      <c r="BA507" s="221"/>
      <c r="BB507" s="221"/>
      <c r="BC507" s="221"/>
      <c r="BD507" s="221"/>
    </row>
    <row r="508" spans="36:56" hidden="1">
      <c r="AJ508" s="221"/>
      <c r="AK508" s="221"/>
      <c r="AL508" s="221"/>
      <c r="AM508" s="221"/>
      <c r="AN508" s="221"/>
      <c r="AO508" s="221"/>
      <c r="AP508" s="221"/>
      <c r="AQ508" s="221"/>
      <c r="AR508" s="221"/>
      <c r="AS508" s="136"/>
      <c r="AT508" s="221"/>
      <c r="AU508" s="221"/>
      <c r="AV508" s="221"/>
      <c r="AW508" s="221"/>
      <c r="AX508" s="221"/>
      <c r="AY508" s="221"/>
      <c r="AZ508" s="221"/>
      <c r="BA508" s="221"/>
      <c r="BB508" s="221"/>
      <c r="BC508" s="221"/>
      <c r="BD508" s="221"/>
    </row>
    <row r="509" spans="36:56" hidden="1">
      <c r="AJ509" s="221"/>
      <c r="AK509" s="221"/>
      <c r="AL509" s="221"/>
      <c r="AM509" s="221"/>
      <c r="AN509" s="221"/>
      <c r="AO509" s="221"/>
      <c r="AP509" s="221"/>
      <c r="AQ509" s="221"/>
      <c r="AR509" s="221"/>
      <c r="AS509" s="136"/>
      <c r="AT509" s="221"/>
      <c r="AU509" s="221"/>
      <c r="AV509" s="221"/>
      <c r="AW509" s="221"/>
      <c r="AX509" s="221"/>
      <c r="AY509" s="221"/>
      <c r="AZ509" s="221"/>
      <c r="BA509" s="221"/>
      <c r="BB509" s="221"/>
      <c r="BC509" s="221"/>
      <c r="BD509" s="221"/>
    </row>
    <row r="510" spans="36:56" hidden="1">
      <c r="AJ510" s="221"/>
      <c r="AK510" s="221"/>
      <c r="AL510" s="221"/>
      <c r="AM510" s="221"/>
      <c r="AN510" s="221"/>
      <c r="AO510" s="221"/>
      <c r="AP510" s="221"/>
      <c r="AQ510" s="221"/>
      <c r="AR510" s="221"/>
      <c r="AS510" s="136"/>
      <c r="AT510" s="221"/>
      <c r="AU510" s="221"/>
      <c r="AV510" s="221"/>
      <c r="AW510" s="221"/>
      <c r="AX510" s="221"/>
      <c r="AY510" s="221"/>
      <c r="AZ510" s="221"/>
      <c r="BA510" s="221"/>
      <c r="BB510" s="221"/>
      <c r="BC510" s="221"/>
      <c r="BD510" s="221"/>
    </row>
    <row r="511" spans="36:56" hidden="1">
      <c r="AJ511" s="221"/>
      <c r="AK511" s="221"/>
      <c r="AL511" s="221"/>
      <c r="AM511" s="221"/>
      <c r="AN511" s="221"/>
      <c r="AO511" s="221"/>
      <c r="AP511" s="221"/>
      <c r="AQ511" s="221"/>
      <c r="AR511" s="221"/>
      <c r="AS511" s="136"/>
      <c r="AT511" s="221"/>
      <c r="AU511" s="221"/>
      <c r="AV511" s="221"/>
      <c r="AW511" s="221"/>
      <c r="AX511" s="221"/>
      <c r="AY511" s="221"/>
      <c r="AZ511" s="221"/>
      <c r="BA511" s="221"/>
      <c r="BB511" s="221"/>
      <c r="BC511" s="221"/>
      <c r="BD511" s="221"/>
    </row>
    <row r="512" spans="36:56" hidden="1">
      <c r="AJ512" s="221"/>
      <c r="AK512" s="221"/>
      <c r="AL512" s="221"/>
      <c r="AM512" s="221"/>
      <c r="AN512" s="221"/>
      <c r="AO512" s="221"/>
      <c r="AP512" s="221"/>
      <c r="AQ512" s="221"/>
      <c r="AR512" s="221"/>
      <c r="AS512" s="136"/>
      <c r="AT512" s="221"/>
      <c r="AU512" s="221"/>
      <c r="AV512" s="221"/>
      <c r="AW512" s="221"/>
      <c r="AX512" s="221"/>
      <c r="AY512" s="221"/>
      <c r="AZ512" s="221"/>
      <c r="BA512" s="221"/>
      <c r="BB512" s="221"/>
      <c r="BC512" s="221"/>
      <c r="BD512" s="221"/>
    </row>
    <row r="513" spans="36:56" hidden="1">
      <c r="AJ513" s="221"/>
      <c r="AK513" s="221"/>
      <c r="AL513" s="221"/>
      <c r="AM513" s="221"/>
      <c r="AN513" s="221"/>
      <c r="AO513" s="221"/>
      <c r="AP513" s="221"/>
      <c r="AQ513" s="221"/>
      <c r="AR513" s="221"/>
      <c r="AS513" s="136"/>
      <c r="AT513" s="221"/>
      <c r="AU513" s="221"/>
      <c r="AV513" s="221"/>
      <c r="AW513" s="221"/>
      <c r="AX513" s="221"/>
      <c r="AY513" s="221"/>
      <c r="AZ513" s="221"/>
      <c r="BA513" s="221"/>
      <c r="BB513" s="221"/>
      <c r="BC513" s="221"/>
      <c r="BD513" s="221"/>
    </row>
    <row r="514" spans="36:56" hidden="1">
      <c r="AJ514" s="221"/>
      <c r="AK514" s="221"/>
      <c r="AL514" s="221"/>
      <c r="AM514" s="221"/>
      <c r="AN514" s="221"/>
      <c r="AO514" s="221"/>
      <c r="AP514" s="221"/>
      <c r="AQ514" s="221"/>
      <c r="AR514" s="221"/>
      <c r="AS514" s="136"/>
      <c r="AT514" s="221"/>
      <c r="AU514" s="221"/>
      <c r="AV514" s="221"/>
      <c r="AW514" s="221"/>
      <c r="AX514" s="221"/>
      <c r="AY514" s="221"/>
      <c r="AZ514" s="221"/>
      <c r="BA514" s="221"/>
      <c r="BB514" s="221"/>
      <c r="BC514" s="221"/>
      <c r="BD514" s="221"/>
    </row>
    <row r="515" spans="36:56" hidden="1">
      <c r="AJ515" s="221"/>
      <c r="AK515" s="221"/>
      <c r="AL515" s="221"/>
      <c r="AM515" s="221"/>
      <c r="AN515" s="221"/>
      <c r="AO515" s="221"/>
      <c r="AP515" s="221"/>
      <c r="AQ515" s="221"/>
      <c r="AR515" s="221"/>
      <c r="AS515" s="136"/>
      <c r="AT515" s="221"/>
      <c r="AU515" s="221"/>
      <c r="AV515" s="221"/>
      <c r="AW515" s="221"/>
      <c r="AX515" s="221"/>
      <c r="AY515" s="221"/>
      <c r="AZ515" s="221"/>
      <c r="BA515" s="221"/>
      <c r="BB515" s="221"/>
      <c r="BC515" s="221"/>
      <c r="BD515" s="221"/>
    </row>
    <row r="516" spans="36:56" hidden="1">
      <c r="AJ516" s="221"/>
      <c r="AK516" s="221"/>
      <c r="AL516" s="221"/>
      <c r="AM516" s="221"/>
      <c r="AN516" s="221"/>
      <c r="AO516" s="221"/>
      <c r="AP516" s="221"/>
      <c r="AQ516" s="221"/>
      <c r="AR516" s="221"/>
      <c r="AS516" s="136"/>
      <c r="AT516" s="221"/>
      <c r="AU516" s="221"/>
      <c r="AV516" s="221"/>
      <c r="AW516" s="221"/>
      <c r="AX516" s="221"/>
      <c r="AY516" s="221"/>
      <c r="AZ516" s="221"/>
      <c r="BA516" s="221"/>
      <c r="BB516" s="221"/>
      <c r="BC516" s="221"/>
      <c r="BD516" s="221"/>
    </row>
    <row r="517" spans="36:56" hidden="1">
      <c r="AJ517" s="221"/>
      <c r="AK517" s="221"/>
      <c r="AL517" s="221"/>
      <c r="AM517" s="221"/>
      <c r="AN517" s="221"/>
      <c r="AO517" s="221"/>
      <c r="AP517" s="221"/>
      <c r="AQ517" s="221"/>
      <c r="AR517" s="221"/>
      <c r="AS517" s="136"/>
      <c r="AT517" s="221"/>
      <c r="AU517" s="221"/>
      <c r="AV517" s="221"/>
      <c r="AW517" s="221"/>
      <c r="AX517" s="221"/>
      <c r="AY517" s="221"/>
      <c r="AZ517" s="221"/>
      <c r="BA517" s="221"/>
      <c r="BB517" s="221"/>
      <c r="BC517" s="221"/>
      <c r="BD517" s="221"/>
    </row>
    <row r="518" spans="36:56" hidden="1">
      <c r="AJ518" s="221"/>
      <c r="AK518" s="221"/>
      <c r="AL518" s="221"/>
      <c r="AM518" s="221"/>
      <c r="AN518" s="221"/>
      <c r="AO518" s="221"/>
      <c r="AP518" s="221"/>
      <c r="AQ518" s="221"/>
      <c r="AR518" s="221"/>
      <c r="AS518" s="136"/>
      <c r="AT518" s="221"/>
      <c r="AU518" s="221"/>
      <c r="AV518" s="221"/>
      <c r="AW518" s="221"/>
      <c r="AX518" s="221"/>
      <c r="AY518" s="221"/>
      <c r="AZ518" s="221"/>
      <c r="BA518" s="221"/>
      <c r="BB518" s="221"/>
      <c r="BC518" s="221"/>
      <c r="BD518" s="221"/>
    </row>
    <row r="519" spans="36:56" hidden="1">
      <c r="AJ519" s="221"/>
      <c r="AK519" s="221"/>
      <c r="AL519" s="221"/>
      <c r="AM519" s="221"/>
      <c r="AN519" s="221"/>
      <c r="AO519" s="221"/>
      <c r="AP519" s="221"/>
      <c r="AQ519" s="221"/>
      <c r="AR519" s="221"/>
      <c r="AS519" s="136"/>
      <c r="AT519" s="221"/>
      <c r="AU519" s="221"/>
      <c r="AV519" s="221"/>
      <c r="AW519" s="221"/>
      <c r="AX519" s="221"/>
      <c r="AY519" s="221"/>
      <c r="AZ519" s="221"/>
      <c r="BA519" s="221"/>
      <c r="BB519" s="221"/>
      <c r="BC519" s="221"/>
      <c r="BD519" s="221"/>
    </row>
    <row r="520" spans="36:56" hidden="1">
      <c r="AJ520" s="221"/>
      <c r="AK520" s="221"/>
      <c r="AL520" s="221"/>
      <c r="AM520" s="221"/>
      <c r="AN520" s="221"/>
      <c r="AO520" s="221"/>
      <c r="AP520" s="221"/>
      <c r="AQ520" s="221"/>
      <c r="AR520" s="221"/>
      <c r="AS520" s="136"/>
      <c r="AT520" s="221"/>
      <c r="AU520" s="221"/>
      <c r="AV520" s="221"/>
      <c r="AW520" s="221"/>
      <c r="AX520" s="221"/>
      <c r="AY520" s="221"/>
      <c r="AZ520" s="221"/>
      <c r="BA520" s="221"/>
      <c r="BB520" s="221"/>
      <c r="BC520" s="221"/>
      <c r="BD520" s="221"/>
    </row>
    <row r="521" spans="36:56" hidden="1">
      <c r="AJ521" s="221"/>
      <c r="AK521" s="221"/>
      <c r="AL521" s="221"/>
      <c r="AM521" s="221"/>
      <c r="AN521" s="221"/>
      <c r="AO521" s="221"/>
      <c r="AP521" s="221"/>
      <c r="AQ521" s="221"/>
      <c r="AR521" s="221"/>
      <c r="AS521" s="136"/>
      <c r="AT521" s="221"/>
      <c r="AU521" s="221"/>
      <c r="AV521" s="221"/>
      <c r="AW521" s="221"/>
      <c r="AX521" s="221"/>
      <c r="AY521" s="221"/>
      <c r="AZ521" s="221"/>
      <c r="BA521" s="221"/>
      <c r="BB521" s="221"/>
      <c r="BC521" s="221"/>
      <c r="BD521" s="221"/>
    </row>
    <row r="522" spans="36:56" hidden="1">
      <c r="AJ522" s="221"/>
      <c r="AK522" s="221"/>
      <c r="AL522" s="221"/>
      <c r="AM522" s="221"/>
      <c r="AN522" s="221"/>
      <c r="AO522" s="221"/>
      <c r="AP522" s="221"/>
      <c r="AQ522" s="221"/>
      <c r="AR522" s="221"/>
      <c r="AS522" s="136"/>
      <c r="AT522" s="221"/>
      <c r="AU522" s="221"/>
      <c r="AV522" s="221"/>
      <c r="AW522" s="221"/>
      <c r="AX522" s="221"/>
      <c r="AY522" s="221"/>
      <c r="AZ522" s="221"/>
      <c r="BA522" s="221"/>
      <c r="BB522" s="221"/>
      <c r="BC522" s="221"/>
      <c r="BD522" s="221"/>
    </row>
    <row r="523" spans="36:56" hidden="1">
      <c r="AJ523" s="221"/>
      <c r="AK523" s="221"/>
      <c r="AL523" s="221"/>
      <c r="AM523" s="221"/>
      <c r="AN523" s="221"/>
      <c r="AO523" s="221"/>
      <c r="AP523" s="221"/>
      <c r="AQ523" s="221"/>
      <c r="AR523" s="221"/>
      <c r="AS523" s="136"/>
      <c r="AT523" s="221"/>
      <c r="AU523" s="221"/>
      <c r="AV523" s="221"/>
      <c r="AW523" s="221"/>
      <c r="AX523" s="221"/>
      <c r="AY523" s="221"/>
      <c r="AZ523" s="221"/>
      <c r="BA523" s="221"/>
      <c r="BB523" s="221"/>
      <c r="BC523" s="221"/>
      <c r="BD523" s="221"/>
    </row>
    <row r="524" spans="36:56" hidden="1">
      <c r="AJ524" s="221"/>
      <c r="AK524" s="221"/>
      <c r="AL524" s="221"/>
      <c r="AM524" s="221"/>
      <c r="AN524" s="221"/>
      <c r="AO524" s="221"/>
      <c r="AP524" s="221"/>
      <c r="AQ524" s="221"/>
      <c r="AR524" s="221"/>
      <c r="AS524" s="136"/>
      <c r="AT524" s="221"/>
      <c r="AU524" s="221"/>
      <c r="AV524" s="221"/>
      <c r="AW524" s="221"/>
      <c r="AX524" s="221"/>
      <c r="AY524" s="221"/>
      <c r="AZ524" s="221"/>
      <c r="BA524" s="221"/>
      <c r="BB524" s="221"/>
      <c r="BC524" s="221"/>
      <c r="BD524" s="221"/>
    </row>
    <row r="525" spans="36:56" hidden="1">
      <c r="AJ525" s="221"/>
      <c r="AK525" s="221"/>
      <c r="AL525" s="221"/>
      <c r="AM525" s="221"/>
      <c r="AN525" s="221"/>
      <c r="AO525" s="221"/>
      <c r="AP525" s="221"/>
      <c r="AQ525" s="221"/>
      <c r="AR525" s="221"/>
      <c r="AS525" s="136"/>
      <c r="AT525" s="221"/>
      <c r="AU525" s="221"/>
      <c r="AV525" s="221"/>
      <c r="AW525" s="221"/>
      <c r="AX525" s="221"/>
      <c r="AY525" s="221"/>
      <c r="AZ525" s="221"/>
      <c r="BA525" s="221"/>
      <c r="BB525" s="221"/>
      <c r="BC525" s="221"/>
      <c r="BD525" s="221"/>
    </row>
    <row r="526" spans="36:56" hidden="1">
      <c r="AJ526" s="221"/>
      <c r="AK526" s="221"/>
      <c r="AL526" s="221"/>
      <c r="AM526" s="221"/>
      <c r="AN526" s="221"/>
      <c r="AO526" s="221"/>
      <c r="AP526" s="221"/>
      <c r="AQ526" s="221"/>
      <c r="AR526" s="221"/>
      <c r="AS526" s="136"/>
      <c r="AT526" s="221"/>
      <c r="AU526" s="221"/>
      <c r="AV526" s="221"/>
      <c r="AW526" s="221"/>
      <c r="AX526" s="221"/>
      <c r="AY526" s="221"/>
      <c r="AZ526" s="221"/>
      <c r="BA526" s="221"/>
      <c r="BB526" s="221"/>
      <c r="BC526" s="221"/>
      <c r="BD526" s="221"/>
    </row>
    <row r="527" spans="36:56" hidden="1">
      <c r="AJ527" s="221"/>
      <c r="AK527" s="221"/>
      <c r="AL527" s="221"/>
      <c r="AM527" s="221"/>
      <c r="AN527" s="221"/>
      <c r="AO527" s="221"/>
      <c r="AP527" s="221"/>
      <c r="AQ527" s="221"/>
      <c r="AR527" s="221"/>
      <c r="AS527" s="136"/>
      <c r="AT527" s="221"/>
      <c r="AU527" s="221"/>
      <c r="AV527" s="221"/>
      <c r="AW527" s="221"/>
      <c r="AX527" s="221"/>
      <c r="AY527" s="221"/>
      <c r="AZ527" s="221"/>
      <c r="BA527" s="221"/>
      <c r="BB527" s="221"/>
      <c r="BC527" s="221"/>
      <c r="BD527" s="221"/>
    </row>
    <row r="528" spans="36:56" hidden="1">
      <c r="AJ528" s="221"/>
      <c r="AK528" s="221"/>
      <c r="AL528" s="221"/>
      <c r="AM528" s="221"/>
      <c r="AN528" s="221"/>
      <c r="AO528" s="221"/>
      <c r="AP528" s="221"/>
      <c r="AQ528" s="221"/>
      <c r="AR528" s="221"/>
      <c r="AS528" s="136"/>
      <c r="AT528" s="221"/>
      <c r="AU528" s="221"/>
      <c r="AV528" s="221"/>
      <c r="AW528" s="221"/>
      <c r="AX528" s="221"/>
      <c r="AY528" s="221"/>
      <c r="AZ528" s="221"/>
      <c r="BA528" s="221"/>
      <c r="BB528" s="221"/>
      <c r="BC528" s="221"/>
      <c r="BD528" s="221"/>
    </row>
    <row r="529" spans="36:56" hidden="1">
      <c r="AJ529" s="221"/>
      <c r="AK529" s="221"/>
      <c r="AL529" s="221"/>
      <c r="AM529" s="221"/>
      <c r="AN529" s="221"/>
      <c r="AO529" s="221"/>
      <c r="AP529" s="221"/>
      <c r="AQ529" s="221"/>
      <c r="AR529" s="221"/>
      <c r="AS529" s="136"/>
      <c r="AT529" s="221"/>
      <c r="AU529" s="221"/>
      <c r="AV529" s="221"/>
      <c r="AW529" s="221"/>
      <c r="AX529" s="221"/>
      <c r="AY529" s="221"/>
      <c r="AZ529" s="221"/>
      <c r="BA529" s="221"/>
      <c r="BB529" s="221"/>
      <c r="BC529" s="221"/>
      <c r="BD529" s="221"/>
    </row>
    <row r="530" spans="36:56" hidden="1">
      <c r="AJ530" s="221"/>
      <c r="AK530" s="221"/>
      <c r="AL530" s="221"/>
      <c r="AM530" s="221"/>
      <c r="AN530" s="221"/>
      <c r="AO530" s="221"/>
      <c r="AP530" s="221"/>
      <c r="AQ530" s="221"/>
      <c r="AR530" s="221"/>
      <c r="AS530" s="136"/>
      <c r="AT530" s="221"/>
      <c r="AU530" s="221"/>
      <c r="AV530" s="221"/>
      <c r="AW530" s="221"/>
      <c r="AX530" s="221"/>
      <c r="AY530" s="221"/>
      <c r="AZ530" s="221"/>
      <c r="BA530" s="221"/>
      <c r="BB530" s="221"/>
      <c r="BC530" s="221"/>
      <c r="BD530" s="221"/>
    </row>
    <row r="531" spans="36:56" hidden="1">
      <c r="AJ531" s="221"/>
      <c r="AK531" s="221"/>
      <c r="AL531" s="221"/>
      <c r="AM531" s="221"/>
      <c r="AN531" s="221"/>
      <c r="AO531" s="221"/>
      <c r="AP531" s="221"/>
      <c r="AQ531" s="221"/>
      <c r="AR531" s="221"/>
      <c r="AS531" s="136"/>
      <c r="AT531" s="221"/>
      <c r="AU531" s="221"/>
      <c r="AV531" s="221"/>
      <c r="AW531" s="221"/>
      <c r="AX531" s="221"/>
      <c r="AY531" s="221"/>
      <c r="AZ531" s="221"/>
      <c r="BA531" s="221"/>
      <c r="BB531" s="221"/>
      <c r="BC531" s="221"/>
      <c r="BD531" s="221"/>
    </row>
    <row r="532" spans="36:56" hidden="1">
      <c r="AJ532" s="221"/>
      <c r="AK532" s="221"/>
      <c r="AL532" s="221"/>
      <c r="AM532" s="221"/>
      <c r="AN532" s="221"/>
      <c r="AO532" s="221"/>
      <c r="AP532" s="221"/>
      <c r="AQ532" s="221"/>
      <c r="AR532" s="221"/>
      <c r="AS532" s="136"/>
      <c r="AT532" s="221"/>
      <c r="AU532" s="221"/>
      <c r="AV532" s="221"/>
      <c r="AW532" s="221"/>
      <c r="AX532" s="221"/>
      <c r="AY532" s="221"/>
      <c r="AZ532" s="221"/>
      <c r="BA532" s="221"/>
      <c r="BB532" s="221"/>
      <c r="BC532" s="221"/>
      <c r="BD532" s="221"/>
    </row>
    <row r="533" spans="36:56" hidden="1">
      <c r="AJ533" s="221"/>
      <c r="AK533" s="221"/>
      <c r="AL533" s="221"/>
      <c r="AM533" s="221"/>
      <c r="AN533" s="221"/>
      <c r="AO533" s="221"/>
      <c r="AP533" s="221"/>
      <c r="AQ533" s="221"/>
      <c r="AR533" s="221"/>
      <c r="AS533" s="136"/>
      <c r="AT533" s="221"/>
      <c r="AU533" s="221"/>
      <c r="AV533" s="221"/>
      <c r="AW533" s="221"/>
      <c r="AX533" s="221"/>
      <c r="AY533" s="221"/>
      <c r="AZ533" s="221"/>
      <c r="BA533" s="221"/>
      <c r="BB533" s="221"/>
      <c r="BC533" s="221"/>
      <c r="BD533" s="221"/>
    </row>
    <row r="534" spans="36:56" hidden="1">
      <c r="AJ534" s="221"/>
      <c r="AK534" s="221"/>
      <c r="AL534" s="221"/>
      <c r="AM534" s="221"/>
      <c r="AN534" s="221"/>
      <c r="AO534" s="221"/>
      <c r="AP534" s="221"/>
      <c r="AQ534" s="221"/>
      <c r="AR534" s="221"/>
      <c r="AS534" s="136"/>
      <c r="AT534" s="221"/>
      <c r="AU534" s="221"/>
      <c r="AV534" s="221"/>
      <c r="AW534" s="221"/>
      <c r="AX534" s="221"/>
      <c r="AY534" s="221"/>
      <c r="AZ534" s="221"/>
      <c r="BA534" s="221"/>
      <c r="BB534" s="221"/>
      <c r="BC534" s="221"/>
      <c r="BD534" s="221"/>
    </row>
    <row r="535" spans="36:56" hidden="1">
      <c r="AJ535" s="221"/>
      <c r="AK535" s="221"/>
      <c r="AL535" s="221"/>
      <c r="AM535" s="221"/>
      <c r="AN535" s="221"/>
      <c r="AO535" s="221"/>
      <c r="AP535" s="221"/>
      <c r="AQ535" s="221"/>
      <c r="AR535" s="221"/>
      <c r="AS535" s="136"/>
      <c r="AT535" s="221"/>
      <c r="AU535" s="221"/>
      <c r="AV535" s="221"/>
      <c r="AW535" s="221"/>
      <c r="AX535" s="221"/>
      <c r="AY535" s="221"/>
      <c r="AZ535" s="221"/>
      <c r="BA535" s="221"/>
      <c r="BB535" s="221"/>
      <c r="BC535" s="221"/>
      <c r="BD535" s="221"/>
    </row>
    <row r="536" spans="36:56" hidden="1">
      <c r="AJ536" s="221"/>
      <c r="AK536" s="221"/>
      <c r="AL536" s="221"/>
      <c r="AM536" s="221"/>
      <c r="AN536" s="221"/>
      <c r="AO536" s="221"/>
      <c r="AP536" s="221"/>
      <c r="AQ536" s="221"/>
      <c r="AR536" s="221"/>
      <c r="AS536" s="136"/>
      <c r="AT536" s="221"/>
      <c r="AU536" s="221"/>
      <c r="AV536" s="221"/>
      <c r="AW536" s="221"/>
      <c r="AX536" s="221"/>
      <c r="AY536" s="221"/>
      <c r="AZ536" s="221"/>
      <c r="BA536" s="221"/>
      <c r="BB536" s="221"/>
      <c r="BC536" s="221"/>
      <c r="BD536" s="221"/>
    </row>
    <row r="537" spans="36:56" hidden="1">
      <c r="AJ537" s="221"/>
      <c r="AK537" s="221"/>
      <c r="AL537" s="221"/>
      <c r="AM537" s="221"/>
      <c r="AN537" s="221"/>
      <c r="AO537" s="221"/>
      <c r="AP537" s="221"/>
      <c r="AQ537" s="221"/>
      <c r="AR537" s="221"/>
      <c r="AS537" s="136"/>
      <c r="AT537" s="221"/>
      <c r="AU537" s="221"/>
      <c r="AV537" s="221"/>
      <c r="AW537" s="221"/>
      <c r="AX537" s="221"/>
      <c r="AY537" s="221"/>
      <c r="AZ537" s="221"/>
      <c r="BA537" s="221"/>
      <c r="BB537" s="221"/>
      <c r="BC537" s="221"/>
      <c r="BD537" s="221"/>
    </row>
    <row r="538" spans="36:56" hidden="1">
      <c r="AJ538" s="221"/>
      <c r="AK538" s="221"/>
      <c r="AL538" s="221"/>
      <c r="AM538" s="221"/>
      <c r="AN538" s="221"/>
      <c r="AO538" s="221"/>
      <c r="AP538" s="221"/>
      <c r="AQ538" s="221"/>
      <c r="AR538" s="221"/>
      <c r="AS538" s="136"/>
      <c r="AT538" s="221"/>
      <c r="AU538" s="221"/>
      <c r="AV538" s="221"/>
      <c r="AW538" s="221"/>
      <c r="AX538" s="221"/>
      <c r="AY538" s="221"/>
      <c r="AZ538" s="221"/>
      <c r="BA538" s="221"/>
      <c r="BB538" s="221"/>
      <c r="BC538" s="221"/>
      <c r="BD538" s="221"/>
    </row>
    <row r="539" spans="36:56" hidden="1">
      <c r="AJ539" s="221"/>
      <c r="AK539" s="221"/>
      <c r="AL539" s="221"/>
      <c r="AM539" s="221"/>
      <c r="AN539" s="221"/>
      <c r="AO539" s="221"/>
      <c r="AP539" s="221"/>
      <c r="AQ539" s="221"/>
      <c r="AR539" s="221"/>
      <c r="AS539" s="136"/>
      <c r="AT539" s="221"/>
      <c r="AU539" s="221"/>
      <c r="AV539" s="221"/>
      <c r="AW539" s="221"/>
      <c r="AX539" s="221"/>
      <c r="AY539" s="221"/>
      <c r="AZ539" s="221"/>
      <c r="BA539" s="221"/>
      <c r="BB539" s="221"/>
      <c r="BC539" s="221"/>
      <c r="BD539" s="221"/>
    </row>
    <row r="540" spans="36:56" hidden="1">
      <c r="AJ540" s="221"/>
      <c r="AK540" s="221"/>
      <c r="AL540" s="221"/>
      <c r="AM540" s="221"/>
      <c r="AN540" s="221"/>
      <c r="AO540" s="221"/>
      <c r="AP540" s="221"/>
      <c r="AQ540" s="221"/>
      <c r="AR540" s="221"/>
      <c r="AS540" s="136"/>
      <c r="AT540" s="221"/>
      <c r="AU540" s="221"/>
      <c r="AV540" s="221"/>
      <c r="AW540" s="221"/>
      <c r="AX540" s="221"/>
      <c r="AY540" s="221"/>
      <c r="AZ540" s="221"/>
      <c r="BA540" s="221"/>
      <c r="BB540" s="221"/>
      <c r="BC540" s="221"/>
      <c r="BD540" s="221"/>
    </row>
    <row r="541" spans="36:56" hidden="1">
      <c r="AJ541" s="221"/>
      <c r="AK541" s="221"/>
      <c r="AL541" s="221"/>
      <c r="AM541" s="221"/>
      <c r="AN541" s="221"/>
      <c r="AO541" s="221"/>
      <c r="AP541" s="221"/>
      <c r="AQ541" s="221"/>
      <c r="AR541" s="221"/>
      <c r="AS541" s="136"/>
      <c r="AT541" s="221"/>
      <c r="AU541" s="221"/>
      <c r="AV541" s="221"/>
      <c r="AW541" s="221"/>
      <c r="AX541" s="221"/>
      <c r="AY541" s="221"/>
      <c r="AZ541" s="221"/>
      <c r="BA541" s="221"/>
      <c r="BB541" s="221"/>
      <c r="BC541" s="221"/>
      <c r="BD541" s="221"/>
    </row>
    <row r="542" spans="36:56" hidden="1">
      <c r="AJ542" s="221"/>
      <c r="AK542" s="221"/>
      <c r="AL542" s="221"/>
      <c r="AM542" s="221"/>
      <c r="AN542" s="221"/>
      <c r="AO542" s="221"/>
      <c r="AP542" s="221"/>
      <c r="AQ542" s="221"/>
      <c r="AR542" s="221"/>
      <c r="AS542" s="136"/>
      <c r="AT542" s="221"/>
      <c r="AU542" s="221"/>
      <c r="AV542" s="221"/>
      <c r="AW542" s="221"/>
      <c r="AX542" s="221"/>
      <c r="AY542" s="221"/>
      <c r="AZ542" s="221"/>
      <c r="BA542" s="221"/>
      <c r="BB542" s="221"/>
      <c r="BC542" s="221"/>
      <c r="BD542" s="221"/>
    </row>
    <row r="543" spans="36:56" hidden="1">
      <c r="AJ543" s="221"/>
      <c r="AK543" s="221"/>
      <c r="AL543" s="221"/>
      <c r="AM543" s="221"/>
      <c r="AN543" s="221"/>
      <c r="AO543" s="221"/>
      <c r="AP543" s="221"/>
      <c r="AQ543" s="221"/>
      <c r="AR543" s="221"/>
      <c r="AS543" s="136"/>
      <c r="AT543" s="221"/>
      <c r="AU543" s="221"/>
      <c r="AV543" s="221"/>
      <c r="AW543" s="221"/>
      <c r="AX543" s="221"/>
      <c r="AY543" s="221"/>
      <c r="AZ543" s="221"/>
      <c r="BA543" s="221"/>
      <c r="BB543" s="221"/>
      <c r="BC543" s="221"/>
      <c r="BD543" s="221"/>
    </row>
    <row r="544" spans="36:56" hidden="1">
      <c r="AJ544" s="221"/>
      <c r="AK544" s="221"/>
      <c r="AL544" s="221"/>
      <c r="AM544" s="221"/>
      <c r="AN544" s="221"/>
      <c r="AO544" s="221"/>
      <c r="AP544" s="221"/>
      <c r="AQ544" s="221"/>
      <c r="AR544" s="221"/>
      <c r="AS544" s="136"/>
      <c r="AT544" s="221"/>
      <c r="AU544" s="221"/>
      <c r="AV544" s="221"/>
      <c r="AW544" s="221"/>
      <c r="AX544" s="221"/>
      <c r="AY544" s="221"/>
      <c r="AZ544" s="221"/>
      <c r="BA544" s="221"/>
      <c r="BB544" s="221"/>
      <c r="BC544" s="221"/>
      <c r="BD544" s="221"/>
    </row>
    <row r="545" spans="36:56" hidden="1">
      <c r="AJ545" s="221"/>
      <c r="AK545" s="221"/>
      <c r="AL545" s="221"/>
      <c r="AM545" s="221"/>
      <c r="AN545" s="221"/>
      <c r="AO545" s="221"/>
      <c r="AP545" s="221"/>
      <c r="AQ545" s="221"/>
      <c r="AR545" s="221"/>
      <c r="AS545" s="136"/>
      <c r="AT545" s="221"/>
      <c r="AU545" s="221"/>
      <c r="AV545" s="221"/>
      <c r="AW545" s="221"/>
      <c r="AX545" s="221"/>
      <c r="AY545" s="221"/>
      <c r="AZ545" s="221"/>
      <c r="BA545" s="221"/>
      <c r="BB545" s="221"/>
      <c r="BC545" s="221"/>
      <c r="BD545" s="221"/>
    </row>
    <row r="546" spans="36:56" hidden="1">
      <c r="AJ546" s="221"/>
      <c r="AK546" s="221"/>
      <c r="AL546" s="221"/>
      <c r="AM546" s="221"/>
      <c r="AN546" s="221"/>
      <c r="AO546" s="221"/>
      <c r="AP546" s="221"/>
      <c r="AQ546" s="221"/>
      <c r="AR546" s="221"/>
      <c r="AS546" s="136"/>
      <c r="AT546" s="221"/>
      <c r="AU546" s="221"/>
      <c r="AV546" s="221"/>
      <c r="AW546" s="221"/>
      <c r="AX546" s="221"/>
      <c r="AY546" s="221"/>
      <c r="AZ546" s="221"/>
      <c r="BA546" s="221"/>
      <c r="BB546" s="221"/>
      <c r="BC546" s="221"/>
      <c r="BD546" s="221"/>
    </row>
    <row r="547" spans="36:56" hidden="1">
      <c r="AJ547" s="221"/>
      <c r="AK547" s="221"/>
      <c r="AL547" s="221"/>
      <c r="AM547" s="221"/>
      <c r="AN547" s="221"/>
      <c r="AO547" s="221"/>
      <c r="AP547" s="221"/>
      <c r="AQ547" s="221"/>
      <c r="AR547" s="221"/>
      <c r="AS547" s="136"/>
      <c r="AT547" s="221"/>
      <c r="AU547" s="221"/>
      <c r="AV547" s="221"/>
      <c r="AW547" s="221"/>
      <c r="AX547" s="221"/>
      <c r="AY547" s="221"/>
      <c r="AZ547" s="221"/>
      <c r="BA547" s="221"/>
      <c r="BB547" s="221"/>
      <c r="BC547" s="221"/>
      <c r="BD547" s="221"/>
    </row>
    <row r="548" spans="36:56" hidden="1">
      <c r="AJ548" s="221"/>
      <c r="AK548" s="221"/>
      <c r="AL548" s="221"/>
      <c r="AM548" s="221"/>
      <c r="AN548" s="221"/>
      <c r="AO548" s="221"/>
      <c r="AP548" s="221"/>
      <c r="AQ548" s="221"/>
      <c r="AR548" s="221"/>
      <c r="AS548" s="136"/>
      <c r="AT548" s="221"/>
      <c r="AU548" s="221"/>
      <c r="AV548" s="221"/>
      <c r="AW548" s="221"/>
      <c r="AX548" s="221"/>
      <c r="AY548" s="221"/>
      <c r="AZ548" s="221"/>
      <c r="BA548" s="221"/>
      <c r="BB548" s="221"/>
      <c r="BC548" s="221"/>
      <c r="BD548" s="221"/>
    </row>
    <row r="549" spans="36:56" hidden="1">
      <c r="AJ549" s="221"/>
      <c r="AK549" s="221"/>
      <c r="AL549" s="221"/>
      <c r="AM549" s="221"/>
      <c r="AN549" s="221"/>
      <c r="AO549" s="221"/>
      <c r="AP549" s="221"/>
      <c r="AQ549" s="221"/>
      <c r="AR549" s="221"/>
      <c r="AS549" s="136"/>
      <c r="AT549" s="221"/>
      <c r="AU549" s="221"/>
      <c r="AV549" s="221"/>
      <c r="AW549" s="221"/>
      <c r="AX549" s="221"/>
      <c r="AY549" s="221"/>
      <c r="AZ549" s="221"/>
      <c r="BA549" s="221"/>
      <c r="BB549" s="221"/>
      <c r="BC549" s="221"/>
      <c r="BD549" s="221"/>
    </row>
    <row r="550" spans="36:56" hidden="1">
      <c r="AJ550" s="221"/>
      <c r="AK550" s="221"/>
      <c r="AL550" s="221"/>
      <c r="AM550" s="221"/>
      <c r="AN550" s="221"/>
      <c r="AO550" s="221"/>
      <c r="AP550" s="221"/>
      <c r="AQ550" s="221"/>
      <c r="AR550" s="221"/>
      <c r="AS550" s="136"/>
      <c r="AT550" s="221"/>
      <c r="AU550" s="221"/>
      <c r="AV550" s="221"/>
      <c r="AW550" s="221"/>
      <c r="AX550" s="221"/>
      <c r="AY550" s="221"/>
      <c r="AZ550" s="221"/>
      <c r="BA550" s="221"/>
      <c r="BB550" s="221"/>
      <c r="BC550" s="221"/>
      <c r="BD550" s="221"/>
    </row>
    <row r="551" spans="36:56" hidden="1">
      <c r="AJ551" s="221"/>
      <c r="AK551" s="221"/>
      <c r="AL551" s="221"/>
      <c r="AM551" s="221"/>
      <c r="AN551" s="221"/>
      <c r="AO551" s="221"/>
      <c r="AP551" s="221"/>
      <c r="AQ551" s="221"/>
      <c r="AR551" s="221"/>
      <c r="AS551" s="136"/>
      <c r="AT551" s="221"/>
      <c r="AU551" s="221"/>
      <c r="AV551" s="221"/>
      <c r="AW551" s="221"/>
      <c r="AX551" s="221"/>
      <c r="AY551" s="221"/>
      <c r="AZ551" s="221"/>
      <c r="BA551" s="221"/>
      <c r="BB551" s="221"/>
      <c r="BC551" s="221"/>
      <c r="BD551" s="221"/>
    </row>
    <row r="552" spans="36:56" hidden="1">
      <c r="AJ552" s="221"/>
      <c r="AK552" s="221"/>
      <c r="AL552" s="221"/>
      <c r="AM552" s="221"/>
      <c r="AN552" s="221"/>
      <c r="AO552" s="221"/>
      <c r="AP552" s="221"/>
      <c r="AQ552" s="221"/>
      <c r="AR552" s="221"/>
      <c r="AS552" s="136"/>
      <c r="AT552" s="221"/>
      <c r="AU552" s="221"/>
      <c r="AV552" s="221"/>
      <c r="AW552" s="221"/>
      <c r="AX552" s="221"/>
      <c r="AY552" s="221"/>
      <c r="AZ552" s="221"/>
      <c r="BA552" s="221"/>
      <c r="BB552" s="221"/>
      <c r="BC552" s="221"/>
      <c r="BD552" s="221"/>
    </row>
    <row r="553" spans="36:56" hidden="1">
      <c r="AJ553" s="221"/>
      <c r="AK553" s="221"/>
      <c r="AL553" s="221"/>
      <c r="AM553" s="221"/>
      <c r="AN553" s="221"/>
      <c r="AO553" s="221"/>
      <c r="AP553" s="221"/>
      <c r="AQ553" s="221"/>
      <c r="AR553" s="221"/>
      <c r="AS553" s="136"/>
      <c r="AT553" s="221"/>
      <c r="AU553" s="221"/>
      <c r="AV553" s="221"/>
      <c r="AW553" s="221"/>
      <c r="AX553" s="221"/>
      <c r="AY553" s="221"/>
      <c r="AZ553" s="221"/>
      <c r="BA553" s="221"/>
      <c r="BB553" s="221"/>
      <c r="BC553" s="221"/>
      <c r="BD553" s="221"/>
    </row>
    <row r="554" spans="36:56" hidden="1">
      <c r="AJ554" s="221"/>
      <c r="AK554" s="221"/>
      <c r="AL554" s="221"/>
      <c r="AM554" s="221"/>
      <c r="AN554" s="221"/>
      <c r="AO554" s="221"/>
      <c r="AP554" s="221"/>
      <c r="AQ554" s="221"/>
      <c r="AR554" s="221"/>
      <c r="AS554" s="136"/>
      <c r="AT554" s="221"/>
      <c r="AU554" s="221"/>
      <c r="AV554" s="221"/>
      <c r="AW554" s="221"/>
      <c r="AX554" s="221"/>
      <c r="AY554" s="221"/>
      <c r="AZ554" s="221"/>
      <c r="BA554" s="221"/>
      <c r="BB554" s="221"/>
      <c r="BC554" s="221"/>
      <c r="BD554" s="221"/>
    </row>
    <row r="555" spans="36:56" hidden="1">
      <c r="AJ555" s="221"/>
      <c r="AK555" s="221"/>
      <c r="AL555" s="221"/>
      <c r="AM555" s="221"/>
      <c r="AN555" s="221"/>
      <c r="AO555" s="221"/>
      <c r="AP555" s="221"/>
      <c r="AQ555" s="221"/>
      <c r="AR555" s="221"/>
      <c r="AS555" s="136"/>
      <c r="AT555" s="221"/>
      <c r="AU555" s="221"/>
      <c r="AV555" s="221"/>
      <c r="AW555" s="221"/>
      <c r="AX555" s="221"/>
      <c r="AY555" s="221"/>
      <c r="AZ555" s="221"/>
      <c r="BA555" s="221"/>
      <c r="BB555" s="221"/>
      <c r="BC555" s="221"/>
      <c r="BD555" s="221"/>
    </row>
    <row r="556" spans="36:56" hidden="1">
      <c r="AJ556" s="221"/>
      <c r="AK556" s="221"/>
      <c r="AL556" s="221"/>
      <c r="AM556" s="221"/>
      <c r="AN556" s="221"/>
      <c r="AO556" s="221"/>
      <c r="AP556" s="221"/>
      <c r="AQ556" s="221"/>
      <c r="AR556" s="221"/>
      <c r="AS556" s="136"/>
      <c r="AT556" s="221"/>
      <c r="AU556" s="221"/>
      <c r="AV556" s="221"/>
      <c r="AW556" s="221"/>
      <c r="AX556" s="221"/>
      <c r="AY556" s="221"/>
      <c r="AZ556" s="221"/>
      <c r="BA556" s="221"/>
      <c r="BB556" s="221"/>
      <c r="BC556" s="221"/>
      <c r="BD556" s="221"/>
    </row>
    <row r="557" spans="36:56" hidden="1">
      <c r="AJ557" s="221"/>
      <c r="AK557" s="221"/>
      <c r="AL557" s="221"/>
      <c r="AM557" s="221"/>
      <c r="AN557" s="221"/>
      <c r="AO557" s="221"/>
      <c r="AP557" s="221"/>
      <c r="AQ557" s="221"/>
      <c r="AR557" s="221"/>
      <c r="AS557" s="136"/>
      <c r="AT557" s="221"/>
      <c r="AU557" s="221"/>
      <c r="AV557" s="221"/>
      <c r="AW557" s="221"/>
      <c r="AX557" s="221"/>
      <c r="AY557" s="221"/>
      <c r="AZ557" s="221"/>
      <c r="BA557" s="221"/>
      <c r="BB557" s="221"/>
      <c r="BC557" s="221"/>
      <c r="BD557" s="221"/>
    </row>
    <row r="558" spans="36:56" hidden="1">
      <c r="AJ558" s="221"/>
      <c r="AK558" s="221"/>
      <c r="AL558" s="221"/>
      <c r="AM558" s="221"/>
      <c r="AN558" s="221"/>
      <c r="AO558" s="221"/>
      <c r="AP558" s="221"/>
      <c r="AQ558" s="221"/>
      <c r="AR558" s="221"/>
      <c r="AS558" s="136"/>
      <c r="AT558" s="221"/>
      <c r="AU558" s="221"/>
      <c r="AV558" s="221"/>
      <c r="AW558" s="221"/>
      <c r="AX558" s="221"/>
      <c r="AY558" s="221"/>
      <c r="AZ558" s="221"/>
      <c r="BA558" s="221"/>
      <c r="BB558" s="221"/>
      <c r="BC558" s="221"/>
      <c r="BD558" s="221"/>
    </row>
    <row r="559" spans="36:56" hidden="1">
      <c r="AJ559" s="221"/>
      <c r="AK559" s="221"/>
      <c r="AL559" s="221"/>
      <c r="AM559" s="221"/>
      <c r="AN559" s="221"/>
      <c r="AO559" s="221"/>
      <c r="AP559" s="221"/>
      <c r="AQ559" s="221"/>
      <c r="AR559" s="221"/>
      <c r="AS559" s="136"/>
      <c r="AT559" s="221"/>
      <c r="AU559" s="221"/>
      <c r="AV559" s="221"/>
      <c r="AW559" s="221"/>
      <c r="AX559" s="221"/>
      <c r="AY559" s="221"/>
      <c r="AZ559" s="221"/>
      <c r="BA559" s="221"/>
      <c r="BB559" s="221"/>
      <c r="BC559" s="221"/>
      <c r="BD559" s="221"/>
    </row>
    <row r="560" spans="36:56" hidden="1">
      <c r="AJ560" s="221"/>
      <c r="AK560" s="221"/>
      <c r="AL560" s="221"/>
      <c r="AM560" s="221"/>
      <c r="AN560" s="221"/>
      <c r="AO560" s="221"/>
      <c r="AP560" s="221"/>
      <c r="AQ560" s="221"/>
      <c r="AR560" s="221"/>
      <c r="AS560" s="136"/>
      <c r="AT560" s="221"/>
      <c r="AU560" s="221"/>
      <c r="AV560" s="221"/>
      <c r="AW560" s="221"/>
      <c r="AX560" s="221"/>
      <c r="AY560" s="221"/>
      <c r="AZ560" s="221"/>
      <c r="BA560" s="221"/>
      <c r="BB560" s="221"/>
      <c r="BC560" s="221"/>
      <c r="BD560" s="221"/>
    </row>
    <row r="561" spans="36:56" hidden="1">
      <c r="AJ561" s="221"/>
      <c r="AK561" s="221"/>
      <c r="AL561" s="221"/>
      <c r="AM561" s="221"/>
      <c r="AN561" s="221"/>
      <c r="AO561" s="221"/>
      <c r="AP561" s="221"/>
      <c r="AQ561" s="221"/>
      <c r="AR561" s="221"/>
      <c r="AS561" s="136"/>
      <c r="AT561" s="221"/>
      <c r="AU561" s="221"/>
      <c r="AV561" s="221"/>
      <c r="AW561" s="221"/>
      <c r="AX561" s="221"/>
      <c r="AY561" s="221"/>
      <c r="AZ561" s="221"/>
      <c r="BA561" s="221"/>
      <c r="BB561" s="221"/>
      <c r="BC561" s="221"/>
      <c r="BD561" s="221"/>
    </row>
    <row r="562" spans="36:56" hidden="1">
      <c r="AJ562" s="221"/>
      <c r="AK562" s="221"/>
      <c r="AL562" s="221"/>
      <c r="AM562" s="221"/>
      <c r="AN562" s="221"/>
      <c r="AO562" s="221"/>
      <c r="AP562" s="221"/>
      <c r="AQ562" s="221"/>
      <c r="AR562" s="221"/>
      <c r="AS562" s="136"/>
      <c r="AT562" s="221"/>
      <c r="AU562" s="221"/>
      <c r="AV562" s="221"/>
      <c r="AW562" s="221"/>
      <c r="AX562" s="221"/>
      <c r="AY562" s="221"/>
      <c r="AZ562" s="221"/>
      <c r="BA562" s="221"/>
      <c r="BB562" s="221"/>
      <c r="BC562" s="221"/>
      <c r="BD562" s="221"/>
    </row>
    <row r="563" spans="36:56" hidden="1">
      <c r="AJ563" s="221"/>
      <c r="AK563" s="221"/>
      <c r="AL563" s="221"/>
      <c r="AM563" s="221"/>
      <c r="AN563" s="221"/>
      <c r="AO563" s="221"/>
      <c r="AP563" s="221"/>
      <c r="AQ563" s="221"/>
      <c r="AR563" s="221"/>
      <c r="AS563" s="136"/>
      <c r="AT563" s="221"/>
      <c r="AU563" s="221"/>
      <c r="AV563" s="221"/>
      <c r="AW563" s="221"/>
      <c r="AX563" s="221"/>
      <c r="AY563" s="221"/>
      <c r="AZ563" s="221"/>
      <c r="BA563" s="221"/>
      <c r="BB563" s="221"/>
      <c r="BC563" s="221"/>
      <c r="BD563" s="221"/>
    </row>
    <row r="564" spans="36:56" hidden="1">
      <c r="AJ564" s="221"/>
      <c r="AK564" s="221"/>
      <c r="AL564" s="221"/>
      <c r="AM564" s="221"/>
      <c r="AN564" s="221"/>
      <c r="AO564" s="221"/>
      <c r="AP564" s="221"/>
      <c r="AQ564" s="221"/>
      <c r="AR564" s="221"/>
      <c r="AS564" s="136"/>
      <c r="AT564" s="221"/>
      <c r="AU564" s="221"/>
      <c r="AV564" s="221"/>
      <c r="AW564" s="221"/>
      <c r="AX564" s="221"/>
      <c r="AY564" s="221"/>
      <c r="AZ564" s="221"/>
      <c r="BA564" s="221"/>
      <c r="BB564" s="221"/>
      <c r="BC564" s="221"/>
      <c r="BD564" s="221"/>
    </row>
    <row r="565" spans="36:56" hidden="1">
      <c r="AJ565" s="221"/>
      <c r="AK565" s="221"/>
      <c r="AL565" s="221"/>
      <c r="AM565" s="221"/>
      <c r="AN565" s="221"/>
      <c r="AO565" s="221"/>
      <c r="AP565" s="221"/>
      <c r="AQ565" s="221"/>
      <c r="AR565" s="221"/>
      <c r="AS565" s="136"/>
      <c r="AT565" s="221"/>
      <c r="AU565" s="221"/>
      <c r="AV565" s="221"/>
      <c r="AW565" s="221"/>
      <c r="AX565" s="221"/>
      <c r="AY565" s="221"/>
      <c r="AZ565" s="221"/>
      <c r="BA565" s="221"/>
      <c r="BB565" s="221"/>
      <c r="BC565" s="221"/>
      <c r="BD565" s="221"/>
    </row>
    <row r="566" spans="36:56" hidden="1">
      <c r="AJ566" s="221"/>
      <c r="AK566" s="221"/>
      <c r="AL566" s="221"/>
      <c r="AM566" s="221"/>
      <c r="AN566" s="221"/>
      <c r="AO566" s="221"/>
      <c r="AP566" s="221"/>
      <c r="AQ566" s="221"/>
      <c r="AR566" s="221"/>
      <c r="AS566" s="136"/>
      <c r="AT566" s="221"/>
      <c r="AU566" s="221"/>
      <c r="AV566" s="221"/>
      <c r="AW566" s="221"/>
      <c r="AX566" s="221"/>
      <c r="AY566" s="221"/>
      <c r="AZ566" s="221"/>
      <c r="BA566" s="221"/>
      <c r="BB566" s="221"/>
      <c r="BC566" s="221"/>
      <c r="BD566" s="221"/>
    </row>
    <row r="567" spans="36:56" hidden="1">
      <c r="AJ567" s="221"/>
      <c r="AK567" s="221"/>
      <c r="AL567" s="221"/>
      <c r="AM567" s="221"/>
      <c r="AN567" s="221"/>
      <c r="AO567" s="221"/>
      <c r="AP567" s="221"/>
      <c r="AQ567" s="221"/>
      <c r="AR567" s="221"/>
      <c r="AS567" s="136"/>
      <c r="AT567" s="221"/>
      <c r="AU567" s="221"/>
      <c r="AV567" s="221"/>
      <c r="AW567" s="221"/>
      <c r="AX567" s="221"/>
      <c r="AY567" s="221"/>
      <c r="AZ567" s="221"/>
      <c r="BA567" s="221"/>
      <c r="BB567" s="221"/>
      <c r="BC567" s="221"/>
      <c r="BD567" s="221"/>
    </row>
    <row r="568" spans="36:56" hidden="1">
      <c r="AJ568" s="221"/>
      <c r="AK568" s="221"/>
      <c r="AL568" s="221"/>
      <c r="AM568" s="221"/>
      <c r="AN568" s="221"/>
      <c r="AO568" s="221"/>
      <c r="AP568" s="221"/>
      <c r="AQ568" s="221"/>
      <c r="AR568" s="221"/>
      <c r="AS568" s="136"/>
      <c r="AT568" s="221"/>
      <c r="AU568" s="221"/>
      <c r="AV568" s="221"/>
      <c r="AW568" s="221"/>
      <c r="AX568" s="221"/>
      <c r="AY568" s="221"/>
      <c r="AZ568" s="221"/>
      <c r="BA568" s="221"/>
      <c r="BB568" s="221"/>
      <c r="BC568" s="221"/>
      <c r="BD568" s="221"/>
    </row>
    <row r="569" spans="36:56" hidden="1">
      <c r="AJ569" s="221"/>
      <c r="AK569" s="221"/>
      <c r="AL569" s="221"/>
      <c r="AM569" s="221"/>
      <c r="AN569" s="221"/>
      <c r="AO569" s="221"/>
      <c r="AP569" s="221"/>
      <c r="AQ569" s="221"/>
      <c r="AR569" s="221"/>
      <c r="AS569" s="136"/>
      <c r="AT569" s="221"/>
      <c r="AU569" s="221"/>
      <c r="AV569" s="221"/>
      <c r="AW569" s="221"/>
      <c r="AX569" s="221"/>
      <c r="AY569" s="221"/>
      <c r="AZ569" s="221"/>
      <c r="BA569" s="221"/>
      <c r="BB569" s="221"/>
      <c r="BC569" s="221"/>
      <c r="BD569" s="221"/>
    </row>
    <row r="570" spans="36:56" hidden="1">
      <c r="AJ570" s="221"/>
      <c r="AK570" s="221"/>
      <c r="AL570" s="221"/>
      <c r="AM570" s="221"/>
      <c r="AN570" s="221"/>
      <c r="AO570" s="221"/>
      <c r="AP570" s="221"/>
      <c r="AQ570" s="221"/>
      <c r="AR570" s="221"/>
      <c r="AS570" s="136"/>
      <c r="AT570" s="221"/>
      <c r="AU570" s="221"/>
      <c r="AV570" s="221"/>
      <c r="AW570" s="221"/>
      <c r="AX570" s="221"/>
      <c r="AY570" s="221"/>
      <c r="AZ570" s="221"/>
      <c r="BA570" s="221"/>
      <c r="BB570" s="221"/>
      <c r="BC570" s="221"/>
      <c r="BD570" s="221"/>
    </row>
    <row r="571" spans="36:56" hidden="1">
      <c r="AJ571" s="221"/>
      <c r="AK571" s="221"/>
      <c r="AL571" s="221"/>
      <c r="AM571" s="221"/>
      <c r="AN571" s="221"/>
      <c r="AO571" s="221"/>
      <c r="AP571" s="221"/>
      <c r="AQ571" s="221"/>
      <c r="AR571" s="221"/>
      <c r="AS571" s="136"/>
      <c r="AT571" s="221"/>
      <c r="AU571" s="221"/>
      <c r="AV571" s="221"/>
      <c r="AW571" s="221"/>
      <c r="AX571" s="221"/>
      <c r="AY571" s="221"/>
      <c r="AZ571" s="221"/>
      <c r="BA571" s="221"/>
      <c r="BB571" s="221"/>
      <c r="BC571" s="221"/>
      <c r="BD571" s="221"/>
    </row>
    <row r="572" spans="36:56" hidden="1">
      <c r="AJ572" s="221"/>
      <c r="AK572" s="221"/>
      <c r="AL572" s="221"/>
      <c r="AM572" s="221"/>
      <c r="AN572" s="221"/>
      <c r="AO572" s="221"/>
      <c r="AP572" s="221"/>
      <c r="AQ572" s="221"/>
      <c r="AR572" s="221"/>
      <c r="AS572" s="136"/>
      <c r="AT572" s="221"/>
      <c r="AU572" s="221"/>
      <c r="AV572" s="221"/>
      <c r="AW572" s="221"/>
      <c r="AX572" s="221"/>
      <c r="AY572" s="221"/>
      <c r="AZ572" s="221"/>
      <c r="BA572" s="221"/>
      <c r="BB572" s="221"/>
      <c r="BC572" s="221"/>
      <c r="BD572" s="221"/>
    </row>
    <row r="573" spans="36:56" hidden="1">
      <c r="AJ573" s="221"/>
      <c r="AK573" s="221"/>
      <c r="AL573" s="221"/>
      <c r="AM573" s="221"/>
      <c r="AN573" s="221"/>
      <c r="AO573" s="221"/>
      <c r="AP573" s="221"/>
      <c r="AQ573" s="221"/>
      <c r="AR573" s="221"/>
      <c r="AS573" s="136"/>
      <c r="AT573" s="221"/>
      <c r="AU573" s="221"/>
      <c r="AV573" s="221"/>
      <c r="AW573" s="221"/>
      <c r="AX573" s="221"/>
      <c r="AY573" s="221"/>
      <c r="AZ573" s="221"/>
      <c r="BA573" s="221"/>
      <c r="BB573" s="221"/>
      <c r="BC573" s="221"/>
      <c r="BD573" s="221"/>
    </row>
    <row r="574" spans="36:56" hidden="1">
      <c r="AJ574" s="221"/>
      <c r="AK574" s="221"/>
      <c r="AL574" s="221"/>
      <c r="AM574" s="221"/>
      <c r="AN574" s="221"/>
      <c r="AO574" s="221"/>
      <c r="AP574" s="221"/>
      <c r="AQ574" s="221"/>
      <c r="AR574" s="221"/>
      <c r="AS574" s="136"/>
      <c r="AT574" s="221"/>
      <c r="AU574" s="221"/>
      <c r="AV574" s="221"/>
      <c r="AW574" s="221"/>
      <c r="AX574" s="221"/>
      <c r="AY574" s="221"/>
      <c r="AZ574" s="221"/>
      <c r="BA574" s="221"/>
      <c r="BB574" s="221"/>
      <c r="BC574" s="221"/>
      <c r="BD574" s="221"/>
    </row>
    <row r="575" spans="36:56" hidden="1">
      <c r="AJ575" s="221"/>
      <c r="AK575" s="221"/>
      <c r="AL575" s="221"/>
      <c r="AM575" s="221"/>
      <c r="AN575" s="221"/>
      <c r="AO575" s="221"/>
      <c r="AP575" s="221"/>
      <c r="AQ575" s="221"/>
      <c r="AR575" s="221"/>
      <c r="AS575" s="136"/>
      <c r="AT575" s="221"/>
      <c r="AU575" s="221"/>
      <c r="AV575" s="221"/>
      <c r="AW575" s="221"/>
      <c r="AX575" s="221"/>
      <c r="AY575" s="221"/>
      <c r="AZ575" s="221"/>
      <c r="BA575" s="221"/>
      <c r="BB575" s="221"/>
      <c r="BC575" s="221"/>
      <c r="BD575" s="221"/>
    </row>
    <row r="576" spans="36:56" hidden="1">
      <c r="AJ576" s="221"/>
      <c r="AK576" s="221"/>
      <c r="AL576" s="221"/>
      <c r="AM576" s="221"/>
      <c r="AN576" s="221"/>
      <c r="AO576" s="221"/>
      <c r="AP576" s="221"/>
      <c r="AQ576" s="221"/>
      <c r="AR576" s="221"/>
      <c r="AS576" s="136"/>
      <c r="AT576" s="221"/>
      <c r="AU576" s="221"/>
      <c r="AV576" s="221"/>
      <c r="AW576" s="221"/>
      <c r="AX576" s="221"/>
      <c r="AY576" s="221"/>
      <c r="AZ576" s="221"/>
      <c r="BA576" s="221"/>
      <c r="BB576" s="221"/>
      <c r="BC576" s="221"/>
      <c r="BD576" s="221"/>
    </row>
    <row r="577" spans="36:56" hidden="1">
      <c r="AJ577" s="221"/>
      <c r="AK577" s="221"/>
      <c r="AL577" s="221"/>
      <c r="AM577" s="221"/>
      <c r="AN577" s="221"/>
      <c r="AO577" s="221"/>
      <c r="AP577" s="221"/>
      <c r="AQ577" s="221"/>
      <c r="AR577" s="221"/>
      <c r="AS577" s="136"/>
      <c r="AT577" s="221"/>
      <c r="AU577" s="221"/>
      <c r="AV577" s="221"/>
      <c r="AW577" s="221"/>
      <c r="AX577" s="221"/>
      <c r="AY577" s="221"/>
      <c r="AZ577" s="221"/>
      <c r="BA577" s="221"/>
      <c r="BB577" s="221"/>
      <c r="BC577" s="221"/>
      <c r="BD577" s="221"/>
    </row>
    <row r="578" spans="36:56" hidden="1">
      <c r="AJ578" s="221"/>
      <c r="AK578" s="221"/>
      <c r="AL578" s="221"/>
      <c r="AM578" s="221"/>
      <c r="AN578" s="221"/>
      <c r="AO578" s="221"/>
      <c r="AP578" s="221"/>
      <c r="AQ578" s="221"/>
      <c r="AR578" s="221"/>
      <c r="AS578" s="136"/>
      <c r="AT578" s="221"/>
      <c r="AU578" s="221"/>
      <c r="AV578" s="221"/>
      <c r="AW578" s="221"/>
      <c r="AX578" s="221"/>
      <c r="AY578" s="221"/>
      <c r="AZ578" s="221"/>
      <c r="BA578" s="221"/>
      <c r="BB578" s="221"/>
      <c r="BC578" s="221"/>
      <c r="BD578" s="221"/>
    </row>
    <row r="579" spans="36:56" hidden="1">
      <c r="AJ579" s="221"/>
      <c r="AK579" s="221"/>
      <c r="AL579" s="221"/>
      <c r="AM579" s="221"/>
      <c r="AN579" s="221"/>
      <c r="AO579" s="221"/>
      <c r="AP579" s="221"/>
      <c r="AQ579" s="221"/>
      <c r="AR579" s="221"/>
      <c r="AS579" s="136"/>
      <c r="AT579" s="221"/>
      <c r="AU579" s="221"/>
      <c r="AV579" s="221"/>
      <c r="AW579" s="221"/>
      <c r="AX579" s="221"/>
      <c r="AY579" s="221"/>
      <c r="AZ579" s="221"/>
      <c r="BA579" s="221"/>
      <c r="BB579" s="221"/>
      <c r="BC579" s="221"/>
      <c r="BD579" s="221"/>
    </row>
    <row r="580" spans="36:56" hidden="1">
      <c r="AJ580" s="221"/>
      <c r="AK580" s="221"/>
      <c r="AL580" s="221"/>
      <c r="AM580" s="221"/>
      <c r="AN580" s="221"/>
      <c r="AO580" s="221"/>
      <c r="AP580" s="221"/>
      <c r="AQ580" s="221"/>
      <c r="AR580" s="221"/>
      <c r="AS580" s="136"/>
      <c r="AT580" s="221"/>
      <c r="AU580" s="221"/>
      <c r="AV580" s="221"/>
      <c r="AW580" s="221"/>
      <c r="AX580" s="221"/>
      <c r="AY580" s="221"/>
      <c r="AZ580" s="221"/>
      <c r="BA580" s="221"/>
      <c r="BB580" s="221"/>
      <c r="BC580" s="221"/>
      <c r="BD580" s="221"/>
    </row>
    <row r="581" spans="36:56" hidden="1">
      <c r="AJ581" s="221"/>
      <c r="AK581" s="221"/>
      <c r="AL581" s="221"/>
      <c r="AM581" s="221"/>
      <c r="AN581" s="221"/>
      <c r="AO581" s="221"/>
      <c r="AP581" s="221"/>
      <c r="AQ581" s="221"/>
      <c r="AR581" s="221"/>
      <c r="AS581" s="136"/>
      <c r="AT581" s="221"/>
      <c r="AU581" s="221"/>
      <c r="AV581" s="221"/>
      <c r="AW581" s="221"/>
      <c r="AX581" s="221"/>
      <c r="AY581" s="221"/>
      <c r="AZ581" s="221"/>
      <c r="BA581" s="221"/>
      <c r="BB581" s="221"/>
      <c r="BC581" s="221"/>
      <c r="BD581" s="221"/>
    </row>
    <row r="582" spans="36:56" hidden="1">
      <c r="AJ582" s="221"/>
      <c r="AK582" s="221"/>
      <c r="AL582" s="221"/>
      <c r="AM582" s="221"/>
      <c r="AN582" s="221"/>
      <c r="AO582" s="221"/>
      <c r="AP582" s="221"/>
      <c r="AQ582" s="221"/>
      <c r="AR582" s="221"/>
      <c r="AS582" s="136"/>
      <c r="AT582" s="221"/>
      <c r="AU582" s="221"/>
      <c r="AV582" s="221"/>
      <c r="AW582" s="221"/>
      <c r="AX582" s="221"/>
      <c r="AY582" s="221"/>
      <c r="AZ582" s="221"/>
      <c r="BA582" s="221"/>
      <c r="BB582" s="221"/>
      <c r="BC582" s="221"/>
      <c r="BD582" s="221"/>
    </row>
    <row r="583" spans="36:56" hidden="1">
      <c r="AJ583" s="221"/>
      <c r="AK583" s="221"/>
      <c r="AL583" s="221"/>
      <c r="AM583" s="221"/>
      <c r="AN583" s="221"/>
      <c r="AO583" s="221"/>
      <c r="AP583" s="221"/>
      <c r="AQ583" s="221"/>
      <c r="AR583" s="221"/>
      <c r="AS583" s="136"/>
      <c r="AT583" s="221"/>
      <c r="AU583" s="221"/>
      <c r="AV583" s="221"/>
      <c r="AW583" s="221"/>
      <c r="AX583" s="221"/>
      <c r="AY583" s="221"/>
      <c r="AZ583" s="221"/>
      <c r="BA583" s="221"/>
      <c r="BB583" s="221"/>
      <c r="BC583" s="221"/>
      <c r="BD583" s="221"/>
    </row>
    <row r="584" spans="36:56" hidden="1">
      <c r="AJ584" s="221"/>
      <c r="AK584" s="221"/>
      <c r="AL584" s="221"/>
      <c r="AM584" s="221"/>
      <c r="AN584" s="221"/>
      <c r="AO584" s="221"/>
      <c r="AP584" s="221"/>
      <c r="AQ584" s="221"/>
      <c r="AR584" s="221"/>
      <c r="AS584" s="136"/>
      <c r="AT584" s="221"/>
      <c r="AU584" s="221"/>
      <c r="AV584" s="221"/>
      <c r="AW584" s="221"/>
      <c r="AX584" s="221"/>
      <c r="AY584" s="221"/>
      <c r="AZ584" s="221"/>
      <c r="BA584" s="221"/>
      <c r="BB584" s="221"/>
      <c r="BC584" s="221"/>
      <c r="BD584" s="221"/>
    </row>
    <row r="585" spans="36:56" hidden="1">
      <c r="AJ585" s="221"/>
      <c r="AK585" s="221"/>
      <c r="AL585" s="221"/>
      <c r="AM585" s="221"/>
      <c r="AN585" s="221"/>
      <c r="AO585" s="221"/>
      <c r="AP585" s="221"/>
      <c r="AQ585" s="221"/>
      <c r="AR585" s="221"/>
      <c r="AS585" s="136"/>
      <c r="AT585" s="221"/>
      <c r="AU585" s="221"/>
      <c r="AV585" s="221"/>
      <c r="AW585" s="221"/>
      <c r="AX585" s="221"/>
      <c r="AY585" s="221"/>
      <c r="AZ585" s="221"/>
      <c r="BA585" s="221"/>
      <c r="BB585" s="221"/>
      <c r="BC585" s="221"/>
      <c r="BD585" s="221"/>
    </row>
    <row r="586" spans="36:56" hidden="1">
      <c r="AJ586" s="221"/>
      <c r="AK586" s="221"/>
      <c r="AL586" s="221"/>
      <c r="AM586" s="221"/>
      <c r="AN586" s="221"/>
      <c r="AO586" s="221"/>
      <c r="AP586" s="221"/>
      <c r="AQ586" s="221"/>
      <c r="AR586" s="221"/>
      <c r="AS586" s="136"/>
      <c r="AT586" s="221"/>
      <c r="AU586" s="221"/>
      <c r="AV586" s="221"/>
      <c r="AW586" s="221"/>
      <c r="AX586" s="221"/>
      <c r="AY586" s="221"/>
      <c r="AZ586" s="221"/>
      <c r="BA586" s="221"/>
      <c r="BB586" s="221"/>
      <c r="BC586" s="221"/>
      <c r="BD586" s="221"/>
    </row>
    <row r="587" spans="36:56" hidden="1">
      <c r="AJ587" s="221"/>
      <c r="AK587" s="221"/>
      <c r="AL587" s="221"/>
      <c r="AM587" s="221"/>
      <c r="AN587" s="221"/>
      <c r="AO587" s="221"/>
      <c r="AP587" s="221"/>
      <c r="AQ587" s="221"/>
      <c r="AR587" s="221"/>
      <c r="AS587" s="136"/>
      <c r="AT587" s="221"/>
      <c r="AU587" s="221"/>
      <c r="AV587" s="221"/>
      <c r="AW587" s="221"/>
      <c r="AX587" s="221"/>
      <c r="AY587" s="221"/>
      <c r="AZ587" s="221"/>
      <c r="BA587" s="221"/>
      <c r="BB587" s="221"/>
      <c r="BC587" s="221"/>
      <c r="BD587" s="221"/>
    </row>
    <row r="588" spans="36:56" hidden="1">
      <c r="AJ588" s="221"/>
      <c r="AK588" s="221"/>
      <c r="AL588" s="221"/>
      <c r="AM588" s="221"/>
      <c r="AN588" s="221"/>
      <c r="AO588" s="221"/>
      <c r="AP588" s="221"/>
      <c r="AQ588" s="221"/>
      <c r="AR588" s="221"/>
      <c r="AS588" s="136"/>
      <c r="AT588" s="221"/>
      <c r="AU588" s="221"/>
      <c r="AV588" s="221"/>
      <c r="AW588" s="221"/>
      <c r="AX588" s="221"/>
      <c r="AY588" s="221"/>
      <c r="AZ588" s="221"/>
      <c r="BA588" s="221"/>
      <c r="BB588" s="221"/>
      <c r="BC588" s="221"/>
      <c r="BD588" s="221"/>
    </row>
    <row r="589" spans="36:56" hidden="1">
      <c r="AJ589" s="221"/>
      <c r="AK589" s="221"/>
      <c r="AL589" s="221"/>
      <c r="AM589" s="221"/>
      <c r="AN589" s="221"/>
      <c r="AO589" s="221"/>
      <c r="AP589" s="221"/>
      <c r="AQ589" s="221"/>
      <c r="AR589" s="221"/>
      <c r="AS589" s="136"/>
      <c r="AT589" s="221"/>
      <c r="AU589" s="221"/>
      <c r="AV589" s="221"/>
      <c r="AW589" s="221"/>
      <c r="AX589" s="221"/>
      <c r="AY589" s="221"/>
      <c r="AZ589" s="221"/>
      <c r="BA589" s="221"/>
      <c r="BB589" s="221"/>
      <c r="BC589" s="221"/>
      <c r="BD589" s="221"/>
    </row>
    <row r="590" spans="36:56" hidden="1">
      <c r="AJ590" s="221"/>
      <c r="AK590" s="221"/>
      <c r="AL590" s="221"/>
      <c r="AM590" s="221"/>
      <c r="AN590" s="221"/>
      <c r="AO590" s="221"/>
      <c r="AP590" s="221"/>
      <c r="AQ590" s="221"/>
      <c r="AR590" s="221"/>
      <c r="AS590" s="136"/>
      <c r="AT590" s="221"/>
      <c r="AU590" s="221"/>
      <c r="AV590" s="221"/>
      <c r="AW590" s="221"/>
      <c r="AX590" s="221"/>
      <c r="AY590" s="221"/>
      <c r="AZ590" s="221"/>
      <c r="BA590" s="221"/>
      <c r="BB590" s="221"/>
      <c r="BC590" s="221"/>
      <c r="BD590" s="221"/>
    </row>
    <row r="591" spans="36:56" hidden="1">
      <c r="AJ591" s="221"/>
      <c r="AK591" s="221"/>
      <c r="AL591" s="221"/>
      <c r="AM591" s="221"/>
      <c r="AN591" s="221"/>
      <c r="AO591" s="221"/>
      <c r="AP591" s="221"/>
      <c r="AQ591" s="221"/>
      <c r="AR591" s="221"/>
      <c r="AS591" s="136"/>
      <c r="AT591" s="221"/>
      <c r="AU591" s="221"/>
      <c r="AV591" s="221"/>
      <c r="AW591" s="221"/>
      <c r="AX591" s="221"/>
      <c r="AY591" s="221"/>
      <c r="AZ591" s="221"/>
      <c r="BA591" s="221"/>
      <c r="BB591" s="221"/>
      <c r="BC591" s="221"/>
      <c r="BD591" s="221"/>
    </row>
    <row r="592" spans="36:56" hidden="1">
      <c r="AJ592" s="221"/>
      <c r="AK592" s="221"/>
      <c r="AL592" s="221"/>
      <c r="AM592" s="221"/>
      <c r="AN592" s="221"/>
      <c r="AO592" s="221"/>
      <c r="AP592" s="221"/>
      <c r="AQ592" s="221"/>
      <c r="AR592" s="221"/>
      <c r="AS592" s="136"/>
      <c r="AT592" s="221"/>
      <c r="AU592" s="221"/>
      <c r="AV592" s="221"/>
      <c r="AW592" s="221"/>
      <c r="AX592" s="221"/>
      <c r="AY592" s="221"/>
      <c r="AZ592" s="221"/>
      <c r="BA592" s="221"/>
      <c r="BB592" s="221"/>
      <c r="BC592" s="221"/>
      <c r="BD592" s="221"/>
    </row>
    <row r="593" spans="36:56" hidden="1">
      <c r="AJ593" s="221"/>
      <c r="AK593" s="221"/>
      <c r="AL593" s="221"/>
      <c r="AM593" s="221"/>
      <c r="AN593" s="221"/>
      <c r="AO593" s="221"/>
      <c r="AP593" s="221"/>
      <c r="AQ593" s="221"/>
      <c r="AR593" s="221"/>
      <c r="AS593" s="136"/>
      <c r="AT593" s="221"/>
      <c r="AU593" s="221"/>
      <c r="AV593" s="221"/>
      <c r="AW593" s="221"/>
      <c r="AX593" s="221"/>
      <c r="AY593" s="221"/>
      <c r="AZ593" s="221"/>
      <c r="BA593" s="221"/>
      <c r="BB593" s="221"/>
      <c r="BC593" s="221"/>
      <c r="BD593" s="221"/>
    </row>
    <row r="594" spans="36:56" hidden="1">
      <c r="AJ594" s="221"/>
      <c r="AK594" s="221"/>
      <c r="AL594" s="221"/>
      <c r="AM594" s="221"/>
      <c r="AN594" s="221"/>
      <c r="AO594" s="221"/>
      <c r="AP594" s="221"/>
      <c r="AQ594" s="221"/>
      <c r="AR594" s="221"/>
      <c r="AS594" s="136"/>
      <c r="AT594" s="221"/>
      <c r="AU594" s="221"/>
      <c r="AV594" s="221"/>
      <c r="AW594" s="221"/>
      <c r="AX594" s="221"/>
      <c r="AY594" s="221"/>
      <c r="AZ594" s="221"/>
      <c r="BA594" s="221"/>
      <c r="BB594" s="221"/>
      <c r="BC594" s="221"/>
      <c r="BD594" s="221"/>
    </row>
    <row r="595" spans="36:56" hidden="1">
      <c r="AJ595" s="221"/>
      <c r="AK595" s="221"/>
      <c r="AL595" s="221"/>
      <c r="AM595" s="221"/>
      <c r="AN595" s="221"/>
      <c r="AO595" s="221"/>
      <c r="AP595" s="221"/>
      <c r="AQ595" s="221"/>
      <c r="AR595" s="221"/>
      <c r="AS595" s="136"/>
      <c r="AT595" s="221"/>
      <c r="AU595" s="221"/>
      <c r="AV595" s="221"/>
      <c r="AW595" s="221"/>
      <c r="AX595" s="221"/>
      <c r="AY595" s="221"/>
      <c r="AZ595" s="221"/>
      <c r="BA595" s="221"/>
      <c r="BB595" s="221"/>
      <c r="BC595" s="221"/>
      <c r="BD595" s="221"/>
    </row>
    <row r="596" spans="36:56" hidden="1">
      <c r="AJ596" s="221"/>
      <c r="AK596" s="221"/>
      <c r="AL596" s="221"/>
      <c r="AM596" s="221"/>
      <c r="AN596" s="221"/>
      <c r="AO596" s="221"/>
      <c r="AP596" s="221"/>
      <c r="AQ596" s="221"/>
      <c r="AR596" s="221"/>
      <c r="AS596" s="136"/>
      <c r="AT596" s="221"/>
      <c r="AU596" s="221"/>
      <c r="AV596" s="221"/>
      <c r="AW596" s="221"/>
      <c r="AX596" s="221"/>
      <c r="AY596" s="221"/>
      <c r="AZ596" s="221"/>
      <c r="BA596" s="221"/>
      <c r="BB596" s="221"/>
      <c r="BC596" s="221"/>
      <c r="BD596" s="221"/>
    </row>
    <row r="597" spans="36:56" hidden="1">
      <c r="AJ597" s="221"/>
      <c r="AK597" s="221"/>
      <c r="AL597" s="221"/>
      <c r="AM597" s="221"/>
      <c r="AN597" s="221"/>
      <c r="AO597" s="221"/>
      <c r="AP597" s="221"/>
      <c r="AQ597" s="221"/>
      <c r="AR597" s="221"/>
      <c r="AS597" s="136"/>
      <c r="AT597" s="221"/>
      <c r="AU597" s="221"/>
      <c r="AV597" s="221"/>
      <c r="AW597" s="221"/>
      <c r="AX597" s="221"/>
      <c r="AY597" s="221"/>
      <c r="AZ597" s="221"/>
      <c r="BA597" s="221"/>
      <c r="BB597" s="221"/>
      <c r="BC597" s="221"/>
      <c r="BD597" s="221"/>
    </row>
    <row r="598" spans="36:56" hidden="1">
      <c r="AJ598" s="221"/>
      <c r="AK598" s="221"/>
      <c r="AL598" s="221"/>
      <c r="AM598" s="221"/>
      <c r="AN598" s="221"/>
      <c r="AO598" s="221"/>
      <c r="AP598" s="221"/>
      <c r="AQ598" s="221"/>
      <c r="AR598" s="221"/>
      <c r="AS598" s="136"/>
      <c r="AT598" s="221"/>
      <c r="AU598" s="221"/>
      <c r="AV598" s="221"/>
      <c r="AW598" s="221"/>
      <c r="AX598" s="221"/>
      <c r="AY598" s="221"/>
      <c r="AZ598" s="221"/>
      <c r="BA598" s="221"/>
      <c r="BB598" s="221"/>
      <c r="BC598" s="221"/>
      <c r="BD598" s="221"/>
    </row>
    <row r="599" spans="36:56" hidden="1">
      <c r="AJ599" s="221"/>
      <c r="AK599" s="221"/>
      <c r="AL599" s="221"/>
      <c r="AM599" s="221"/>
      <c r="AN599" s="221"/>
      <c r="AO599" s="221"/>
      <c r="AP599" s="221"/>
      <c r="AQ599" s="221"/>
      <c r="AR599" s="221"/>
      <c r="AS599" s="136"/>
      <c r="AT599" s="221"/>
      <c r="AU599" s="221"/>
      <c r="AV599" s="221"/>
      <c r="AW599" s="221"/>
      <c r="AX599" s="221"/>
      <c r="AY599" s="221"/>
      <c r="AZ599" s="221"/>
      <c r="BA599" s="221"/>
      <c r="BB599" s="221"/>
      <c r="BC599" s="221"/>
      <c r="BD599" s="221"/>
    </row>
    <row r="600" spans="36:56" hidden="1">
      <c r="AJ600" s="221"/>
      <c r="AK600" s="221"/>
      <c r="AL600" s="221"/>
      <c r="AM600" s="221"/>
      <c r="AN600" s="221"/>
      <c r="AO600" s="221"/>
      <c r="AP600" s="221"/>
      <c r="AQ600" s="221"/>
      <c r="AR600" s="221"/>
      <c r="AS600" s="136"/>
      <c r="AT600" s="221"/>
      <c r="AU600" s="221"/>
      <c r="AV600" s="221"/>
      <c r="AW600" s="221"/>
      <c r="AX600" s="221"/>
      <c r="AY600" s="221"/>
      <c r="AZ600" s="221"/>
      <c r="BA600" s="221"/>
      <c r="BB600" s="221"/>
      <c r="BC600" s="221"/>
      <c r="BD600" s="221"/>
    </row>
    <row r="601" spans="36:56" hidden="1">
      <c r="AJ601" s="221"/>
      <c r="AK601" s="221"/>
      <c r="AL601" s="221"/>
      <c r="AM601" s="221"/>
      <c r="AN601" s="221"/>
      <c r="AO601" s="221"/>
      <c r="AP601" s="221"/>
      <c r="AQ601" s="221"/>
      <c r="AR601" s="221"/>
      <c r="AS601" s="136"/>
      <c r="AT601" s="221"/>
      <c r="AU601" s="221"/>
      <c r="AV601" s="221"/>
      <c r="AW601" s="221"/>
      <c r="AX601" s="221"/>
      <c r="AY601" s="221"/>
      <c r="AZ601" s="221"/>
      <c r="BA601" s="221"/>
      <c r="BB601" s="221"/>
      <c r="BC601" s="221"/>
      <c r="BD601" s="221"/>
    </row>
    <row r="602" spans="36:56" hidden="1">
      <c r="AJ602" s="221"/>
      <c r="AK602" s="221"/>
      <c r="AL602" s="221"/>
      <c r="AM602" s="221"/>
      <c r="AN602" s="221"/>
      <c r="AO602" s="221"/>
      <c r="AP602" s="221"/>
      <c r="AQ602" s="221"/>
      <c r="AR602" s="221"/>
      <c r="AS602" s="136"/>
      <c r="AT602" s="221"/>
      <c r="AU602" s="221"/>
      <c r="AV602" s="221"/>
      <c r="AW602" s="221"/>
      <c r="AX602" s="221"/>
      <c r="AY602" s="221"/>
      <c r="AZ602" s="221"/>
      <c r="BA602" s="221"/>
      <c r="BB602" s="221"/>
      <c r="BC602" s="221"/>
      <c r="BD602" s="221"/>
    </row>
    <row r="603" spans="36:56" hidden="1">
      <c r="AJ603" s="221"/>
      <c r="AK603" s="221"/>
      <c r="AL603" s="221"/>
      <c r="AM603" s="221"/>
      <c r="AN603" s="221"/>
      <c r="AO603" s="221"/>
      <c r="AP603" s="221"/>
      <c r="AQ603" s="221"/>
      <c r="AR603" s="221"/>
      <c r="AS603" s="136"/>
      <c r="AT603" s="221"/>
      <c r="AU603" s="221"/>
      <c r="AV603" s="221"/>
      <c r="AW603" s="221"/>
      <c r="AX603" s="221"/>
      <c r="AY603" s="221"/>
      <c r="AZ603" s="221"/>
      <c r="BA603" s="221"/>
      <c r="BB603" s="221"/>
      <c r="BC603" s="221"/>
      <c r="BD603" s="221"/>
    </row>
    <row r="604" spans="36:56" hidden="1">
      <c r="AJ604" s="221"/>
      <c r="AK604" s="221"/>
      <c r="AL604" s="221"/>
      <c r="AM604" s="221"/>
      <c r="AN604" s="221"/>
      <c r="AO604" s="221"/>
      <c r="AP604" s="221"/>
      <c r="AQ604" s="221"/>
      <c r="AR604" s="221"/>
      <c r="AS604" s="136"/>
      <c r="AT604" s="221"/>
      <c r="AU604" s="221"/>
      <c r="AV604" s="221"/>
      <c r="AW604" s="221"/>
      <c r="AX604" s="221"/>
      <c r="AY604" s="221"/>
      <c r="AZ604" s="221"/>
      <c r="BA604" s="221"/>
      <c r="BB604" s="221"/>
      <c r="BC604" s="221"/>
      <c r="BD604" s="221"/>
    </row>
    <row r="605" spans="36:56" hidden="1">
      <c r="AJ605" s="221"/>
      <c r="AK605" s="221"/>
      <c r="AL605" s="221"/>
      <c r="AM605" s="221"/>
      <c r="AN605" s="221"/>
      <c r="AO605" s="221"/>
      <c r="AP605" s="221"/>
      <c r="AQ605" s="221"/>
      <c r="AR605" s="221"/>
      <c r="AS605" s="136"/>
      <c r="AT605" s="221"/>
      <c r="AU605" s="221"/>
      <c r="AV605" s="221"/>
      <c r="AW605" s="221"/>
      <c r="AX605" s="221"/>
      <c r="AY605" s="221"/>
      <c r="AZ605" s="221"/>
      <c r="BA605" s="221"/>
      <c r="BB605" s="221"/>
      <c r="BC605" s="221"/>
      <c r="BD605" s="221"/>
    </row>
    <row r="606" spans="36:56" hidden="1">
      <c r="AJ606" s="221"/>
      <c r="AK606" s="221"/>
      <c r="AL606" s="221"/>
      <c r="AM606" s="221"/>
      <c r="AN606" s="221"/>
      <c r="AO606" s="221"/>
      <c r="AP606" s="221"/>
      <c r="AQ606" s="221"/>
      <c r="AR606" s="221"/>
      <c r="AS606" s="136"/>
      <c r="AT606" s="221"/>
      <c r="AU606" s="221"/>
      <c r="AV606" s="221"/>
      <c r="AW606" s="221"/>
      <c r="AX606" s="221"/>
      <c r="AY606" s="221"/>
      <c r="AZ606" s="221"/>
      <c r="BA606" s="221"/>
      <c r="BB606" s="221"/>
      <c r="BC606" s="221"/>
      <c r="BD606" s="221"/>
    </row>
    <row r="607" spans="36:56" hidden="1">
      <c r="AJ607" s="221"/>
      <c r="AK607" s="221"/>
      <c r="AL607" s="221"/>
      <c r="AM607" s="221"/>
      <c r="AN607" s="221"/>
      <c r="AO607" s="221"/>
      <c r="AP607" s="221"/>
      <c r="AQ607" s="221"/>
      <c r="AR607" s="221"/>
      <c r="AS607" s="136"/>
      <c r="AT607" s="221"/>
      <c r="AU607" s="221"/>
      <c r="AV607" s="221"/>
      <c r="AW607" s="221"/>
      <c r="AX607" s="221"/>
      <c r="AY607" s="221"/>
      <c r="AZ607" s="221"/>
      <c r="BA607" s="221"/>
      <c r="BB607" s="221"/>
      <c r="BC607" s="221"/>
      <c r="BD607" s="221"/>
    </row>
    <row r="608" spans="36:56" hidden="1">
      <c r="AJ608" s="221"/>
      <c r="AK608" s="221"/>
      <c r="AL608" s="221"/>
      <c r="AM608" s="221"/>
      <c r="AN608" s="221"/>
      <c r="AO608" s="221"/>
      <c r="AP608" s="221"/>
      <c r="AQ608" s="221"/>
      <c r="AR608" s="221"/>
      <c r="AS608" s="136"/>
      <c r="AT608" s="221"/>
      <c r="AU608" s="221"/>
      <c r="AV608" s="221"/>
      <c r="AW608" s="221"/>
      <c r="AX608" s="221"/>
      <c r="AY608" s="221"/>
      <c r="AZ608" s="221"/>
      <c r="BA608" s="221"/>
      <c r="BB608" s="221"/>
      <c r="BC608" s="221"/>
      <c r="BD608" s="221"/>
    </row>
    <row r="609" spans="36:56" hidden="1">
      <c r="AJ609" s="221"/>
      <c r="AK609" s="221"/>
      <c r="AL609" s="221"/>
      <c r="AM609" s="221"/>
      <c r="AN609" s="221"/>
      <c r="AO609" s="221"/>
      <c r="AP609" s="221"/>
      <c r="AQ609" s="221"/>
      <c r="AR609" s="221"/>
      <c r="AS609" s="136"/>
      <c r="AT609" s="221"/>
      <c r="AU609" s="221"/>
      <c r="AV609" s="221"/>
      <c r="AW609" s="221"/>
      <c r="AX609" s="221"/>
      <c r="AY609" s="221"/>
      <c r="AZ609" s="221"/>
      <c r="BA609" s="221"/>
      <c r="BB609" s="221"/>
      <c r="BC609" s="221"/>
      <c r="BD609" s="221"/>
    </row>
    <row r="610" spans="36:56" hidden="1">
      <c r="AJ610" s="221"/>
      <c r="AK610" s="221"/>
      <c r="AL610" s="221"/>
      <c r="AM610" s="221"/>
      <c r="AN610" s="221"/>
      <c r="AO610" s="221"/>
      <c r="AP610" s="221"/>
      <c r="AQ610" s="221"/>
      <c r="AR610" s="221"/>
      <c r="AS610" s="136"/>
      <c r="AT610" s="221"/>
      <c r="AU610" s="221"/>
      <c r="AV610" s="221"/>
      <c r="AW610" s="221"/>
      <c r="AX610" s="221"/>
      <c r="AY610" s="221"/>
      <c r="AZ610" s="221"/>
      <c r="BA610" s="221"/>
      <c r="BB610" s="221"/>
      <c r="BC610" s="221"/>
      <c r="BD610" s="221"/>
    </row>
    <row r="611" spans="36:56" hidden="1">
      <c r="AJ611" s="221"/>
      <c r="AK611" s="221"/>
      <c r="AL611" s="221"/>
      <c r="AM611" s="221"/>
      <c r="AN611" s="221"/>
      <c r="AO611" s="221"/>
      <c r="AP611" s="221"/>
      <c r="AQ611" s="221"/>
      <c r="AR611" s="221"/>
      <c r="AS611" s="136"/>
      <c r="AT611" s="221"/>
      <c r="AU611" s="221"/>
      <c r="AV611" s="221"/>
      <c r="AW611" s="221"/>
      <c r="AX611" s="221"/>
      <c r="AY611" s="221"/>
      <c r="AZ611" s="221"/>
      <c r="BA611" s="221"/>
      <c r="BB611" s="221"/>
      <c r="BC611" s="221"/>
      <c r="BD611" s="221"/>
    </row>
    <row r="612" spans="36:56" hidden="1">
      <c r="AJ612" s="221"/>
      <c r="AK612" s="221"/>
      <c r="AL612" s="221"/>
      <c r="AM612" s="221"/>
      <c r="AN612" s="221"/>
      <c r="AO612" s="221"/>
      <c r="AP612" s="221"/>
      <c r="AQ612" s="221"/>
      <c r="AR612" s="221"/>
      <c r="AS612" s="136"/>
      <c r="AT612" s="221"/>
      <c r="AU612" s="221"/>
      <c r="AV612" s="221"/>
      <c r="AW612" s="221"/>
      <c r="AX612" s="221"/>
      <c r="AY612" s="221"/>
      <c r="AZ612" s="221"/>
      <c r="BA612" s="221"/>
      <c r="BB612" s="221"/>
      <c r="BC612" s="221"/>
      <c r="BD612" s="221"/>
    </row>
    <row r="613" spans="36:56" hidden="1">
      <c r="AJ613" s="221"/>
      <c r="AK613" s="221"/>
      <c r="AL613" s="221"/>
      <c r="AM613" s="221"/>
      <c r="AN613" s="221"/>
      <c r="AO613" s="221"/>
      <c r="AP613" s="221"/>
      <c r="AQ613" s="221"/>
      <c r="AR613" s="221"/>
      <c r="AS613" s="136"/>
      <c r="AT613" s="221"/>
      <c r="AU613" s="221"/>
      <c r="AV613" s="221"/>
      <c r="AW613" s="221"/>
      <c r="AX613" s="221"/>
      <c r="AY613" s="221"/>
      <c r="AZ613" s="221"/>
      <c r="BA613" s="221"/>
      <c r="BB613" s="221"/>
      <c r="BC613" s="221"/>
      <c r="BD613" s="221"/>
    </row>
    <row r="614" spans="36:56" hidden="1">
      <c r="AJ614" s="221"/>
      <c r="AK614" s="221"/>
      <c r="AL614" s="221"/>
      <c r="AM614" s="221"/>
      <c r="AN614" s="221"/>
      <c r="AO614" s="221"/>
      <c r="AP614" s="221"/>
      <c r="AQ614" s="221"/>
      <c r="AR614" s="221"/>
      <c r="AS614" s="136"/>
      <c r="AT614" s="221"/>
      <c r="AU614" s="221"/>
      <c r="AV614" s="221"/>
      <c r="AW614" s="221"/>
      <c r="AX614" s="221"/>
      <c r="AY614" s="221"/>
      <c r="AZ614" s="221"/>
      <c r="BA614" s="221"/>
      <c r="BB614" s="221"/>
      <c r="BC614" s="221"/>
      <c r="BD614" s="221"/>
    </row>
    <row r="615" spans="36:56" hidden="1">
      <c r="AJ615" s="221"/>
      <c r="AK615" s="221"/>
      <c r="AL615" s="221"/>
      <c r="AM615" s="221"/>
      <c r="AN615" s="221"/>
      <c r="AO615" s="221"/>
      <c r="AP615" s="221"/>
      <c r="AQ615" s="221"/>
      <c r="AR615" s="221"/>
      <c r="AS615" s="136"/>
      <c r="AT615" s="221"/>
      <c r="AU615" s="221"/>
      <c r="AV615" s="221"/>
      <c r="AW615" s="221"/>
      <c r="AX615" s="221"/>
      <c r="AY615" s="221"/>
      <c r="AZ615" s="221"/>
      <c r="BA615" s="221"/>
      <c r="BB615" s="221"/>
      <c r="BC615" s="221"/>
      <c r="BD615" s="221"/>
    </row>
    <row r="616" spans="36:56" hidden="1">
      <c r="AJ616" s="221"/>
      <c r="AK616" s="221"/>
      <c r="AL616" s="221"/>
      <c r="AM616" s="221"/>
      <c r="AN616" s="221"/>
      <c r="AO616" s="221"/>
      <c r="AP616" s="221"/>
      <c r="AQ616" s="221"/>
      <c r="AR616" s="221"/>
      <c r="AS616" s="136"/>
      <c r="AT616" s="221"/>
      <c r="AU616" s="221"/>
      <c r="AV616" s="221"/>
      <c r="AW616" s="221"/>
      <c r="AX616" s="221"/>
      <c r="AY616" s="221"/>
      <c r="AZ616" s="221"/>
      <c r="BA616" s="221"/>
      <c r="BB616" s="221"/>
      <c r="BC616" s="221"/>
      <c r="BD616" s="221"/>
    </row>
    <row r="617" spans="36:56" hidden="1">
      <c r="AJ617" s="221"/>
      <c r="AK617" s="221"/>
      <c r="AL617" s="221"/>
      <c r="AM617" s="221"/>
      <c r="AN617" s="221"/>
      <c r="AO617" s="221"/>
      <c r="AP617" s="221"/>
      <c r="AQ617" s="221"/>
      <c r="AR617" s="221"/>
      <c r="AS617" s="136"/>
      <c r="AT617" s="221"/>
      <c r="AU617" s="221"/>
      <c r="AV617" s="221"/>
      <c r="AW617" s="221"/>
      <c r="AX617" s="221"/>
      <c r="AY617" s="221"/>
      <c r="AZ617" s="221"/>
      <c r="BA617" s="221"/>
      <c r="BB617" s="221"/>
      <c r="BC617" s="221"/>
      <c r="BD617" s="221"/>
    </row>
    <row r="618" spans="36:56" hidden="1">
      <c r="AJ618" s="221"/>
      <c r="AK618" s="221"/>
      <c r="AL618" s="221"/>
      <c r="AM618" s="221"/>
      <c r="AN618" s="221"/>
      <c r="AO618" s="221"/>
      <c r="AP618" s="221"/>
      <c r="AQ618" s="221"/>
      <c r="AR618" s="221"/>
      <c r="AS618" s="136"/>
      <c r="AT618" s="221"/>
      <c r="AU618" s="221"/>
      <c r="AV618" s="221"/>
      <c r="AW618" s="221"/>
      <c r="AX618" s="221"/>
      <c r="AY618" s="221"/>
      <c r="AZ618" s="221"/>
      <c r="BA618" s="221"/>
      <c r="BB618" s="221"/>
      <c r="BC618" s="221"/>
      <c r="BD618" s="221"/>
    </row>
    <row r="619" spans="36:56" hidden="1">
      <c r="AJ619" s="221"/>
      <c r="AK619" s="221"/>
      <c r="AL619" s="221"/>
      <c r="AM619" s="221"/>
      <c r="AN619" s="221"/>
      <c r="AO619" s="221"/>
      <c r="AP619" s="221"/>
      <c r="AQ619" s="221"/>
      <c r="AR619" s="221"/>
      <c r="AS619" s="136"/>
      <c r="AT619" s="221"/>
      <c r="AU619" s="221"/>
      <c r="AV619" s="221"/>
      <c r="AW619" s="221"/>
      <c r="AX619" s="221"/>
      <c r="AY619" s="221"/>
      <c r="AZ619" s="221"/>
      <c r="BA619" s="221"/>
      <c r="BB619" s="221"/>
      <c r="BC619" s="221"/>
      <c r="BD619" s="221"/>
    </row>
    <row r="620" spans="36:56" hidden="1">
      <c r="AJ620" s="221"/>
      <c r="AK620" s="221"/>
      <c r="AL620" s="221"/>
      <c r="AM620" s="221"/>
      <c r="AN620" s="221"/>
      <c r="AO620" s="221"/>
      <c r="AP620" s="221"/>
      <c r="AQ620" s="221"/>
      <c r="AR620" s="221"/>
      <c r="AS620" s="136"/>
      <c r="AT620" s="221"/>
      <c r="AU620" s="221"/>
      <c r="AV620" s="221"/>
      <c r="AW620" s="221"/>
      <c r="AX620" s="221"/>
      <c r="AY620" s="221"/>
      <c r="AZ620" s="221"/>
      <c r="BA620" s="221"/>
      <c r="BB620" s="221"/>
      <c r="BC620" s="221"/>
      <c r="BD620" s="221"/>
    </row>
    <row r="621" spans="36:56" hidden="1">
      <c r="AJ621" s="221"/>
      <c r="AK621" s="221"/>
      <c r="AL621" s="221"/>
      <c r="AM621" s="221"/>
      <c r="AN621" s="221"/>
      <c r="AO621" s="221"/>
      <c r="AP621" s="221"/>
      <c r="AQ621" s="221"/>
      <c r="AR621" s="221"/>
      <c r="AS621" s="136"/>
      <c r="AT621" s="221"/>
      <c r="AU621" s="221"/>
      <c r="AV621" s="221"/>
      <c r="AW621" s="221"/>
      <c r="AX621" s="221"/>
      <c r="AY621" s="221"/>
      <c r="AZ621" s="221"/>
      <c r="BA621" s="221"/>
      <c r="BB621" s="221"/>
      <c r="BC621" s="221"/>
      <c r="BD621" s="221"/>
    </row>
    <row r="622" spans="36:56" hidden="1">
      <c r="AJ622" s="221"/>
      <c r="AK622" s="221"/>
      <c r="AL622" s="221"/>
      <c r="AM622" s="221"/>
      <c r="AN622" s="221"/>
      <c r="AO622" s="221"/>
      <c r="AP622" s="221"/>
      <c r="AQ622" s="221"/>
      <c r="AR622" s="221"/>
      <c r="AS622" s="136"/>
      <c r="AT622" s="221"/>
      <c r="AU622" s="221"/>
      <c r="AV622" s="221"/>
      <c r="AW622" s="221"/>
      <c r="AX622" s="221"/>
      <c r="AY622" s="221"/>
      <c r="AZ622" s="221"/>
      <c r="BA622" s="221"/>
      <c r="BB622" s="221"/>
      <c r="BC622" s="221"/>
      <c r="BD622" s="221"/>
    </row>
    <row r="623" spans="36:56" hidden="1">
      <c r="AJ623" s="221"/>
      <c r="AK623" s="221"/>
      <c r="AL623" s="221"/>
      <c r="AM623" s="221"/>
      <c r="AN623" s="221"/>
      <c r="AO623" s="221"/>
      <c r="AP623" s="221"/>
      <c r="AQ623" s="221"/>
      <c r="AR623" s="221"/>
      <c r="AS623" s="136"/>
      <c r="AT623" s="221"/>
      <c r="AU623" s="221"/>
      <c r="AV623" s="221"/>
      <c r="AW623" s="221"/>
      <c r="AX623" s="221"/>
      <c r="AY623" s="221"/>
      <c r="AZ623" s="221"/>
      <c r="BA623" s="221"/>
      <c r="BB623" s="221"/>
      <c r="BC623" s="221"/>
      <c r="BD623" s="221"/>
    </row>
    <row r="624" spans="36:56" hidden="1">
      <c r="AJ624" s="221"/>
      <c r="AK624" s="221"/>
      <c r="AL624" s="221"/>
      <c r="AM624" s="221"/>
      <c r="AN624" s="221"/>
      <c r="AO624" s="221"/>
      <c r="AP624" s="221"/>
      <c r="AQ624" s="221"/>
      <c r="AR624" s="221"/>
      <c r="AS624" s="136"/>
      <c r="AT624" s="221"/>
      <c r="AU624" s="221"/>
      <c r="AV624" s="221"/>
      <c r="AW624" s="221"/>
      <c r="AX624" s="221"/>
      <c r="AY624" s="221"/>
      <c r="AZ624" s="221"/>
      <c r="BA624" s="221"/>
      <c r="BB624" s="221"/>
      <c r="BC624" s="221"/>
      <c r="BD624" s="221"/>
    </row>
    <row r="625" spans="36:56" hidden="1">
      <c r="AJ625" s="221"/>
      <c r="AK625" s="221"/>
      <c r="AL625" s="221"/>
      <c r="AM625" s="221"/>
      <c r="AN625" s="221"/>
      <c r="AO625" s="221"/>
      <c r="AP625" s="221"/>
      <c r="AQ625" s="221"/>
      <c r="AR625" s="221"/>
      <c r="AS625" s="136"/>
      <c r="AT625" s="221"/>
      <c r="AU625" s="221"/>
      <c r="AV625" s="221"/>
      <c r="AW625" s="221"/>
      <c r="AX625" s="221"/>
      <c r="AY625" s="221"/>
      <c r="AZ625" s="221"/>
      <c r="BA625" s="221"/>
      <c r="BB625" s="221"/>
      <c r="BC625" s="221"/>
      <c r="BD625" s="221"/>
    </row>
    <row r="626" spans="36:56" hidden="1">
      <c r="AJ626" s="221"/>
      <c r="AK626" s="221"/>
      <c r="AL626" s="221"/>
      <c r="AM626" s="221"/>
      <c r="AN626" s="221"/>
      <c r="AO626" s="221"/>
      <c r="AP626" s="221"/>
      <c r="AQ626" s="221"/>
      <c r="AR626" s="221"/>
      <c r="AS626" s="136"/>
      <c r="AT626" s="221"/>
      <c r="AU626" s="221"/>
      <c r="AV626" s="221"/>
      <c r="AW626" s="221"/>
      <c r="AX626" s="221"/>
      <c r="AY626" s="221"/>
      <c r="AZ626" s="221"/>
      <c r="BA626" s="221"/>
      <c r="BB626" s="221"/>
      <c r="BC626" s="221"/>
      <c r="BD626" s="221"/>
    </row>
    <row r="627" spans="36:56" hidden="1">
      <c r="AJ627" s="221"/>
      <c r="AK627" s="221"/>
      <c r="AL627" s="221"/>
      <c r="AM627" s="221"/>
      <c r="AN627" s="221"/>
      <c r="AO627" s="221"/>
      <c r="AP627" s="221"/>
      <c r="AQ627" s="221"/>
      <c r="AR627" s="221"/>
      <c r="AS627" s="136"/>
      <c r="AT627" s="221"/>
      <c r="AU627" s="221"/>
      <c r="AV627" s="221"/>
      <c r="AW627" s="221"/>
      <c r="AX627" s="221"/>
      <c r="AY627" s="221"/>
      <c r="AZ627" s="221"/>
      <c r="BA627" s="221"/>
      <c r="BB627" s="221"/>
      <c r="BC627" s="221"/>
      <c r="BD627" s="221"/>
    </row>
    <row r="628" spans="36:56" hidden="1">
      <c r="AJ628" s="221"/>
      <c r="AK628" s="221"/>
      <c r="AL628" s="221"/>
      <c r="AM628" s="221"/>
      <c r="AN628" s="221"/>
      <c r="AO628" s="221"/>
      <c r="AP628" s="221"/>
      <c r="AQ628" s="221"/>
      <c r="AR628" s="221"/>
      <c r="AS628" s="136"/>
      <c r="AT628" s="221"/>
      <c r="AU628" s="221"/>
      <c r="AV628" s="221"/>
      <c r="AW628" s="221"/>
      <c r="AX628" s="221"/>
      <c r="AY628" s="221"/>
      <c r="AZ628" s="221"/>
      <c r="BA628" s="221"/>
      <c r="BB628" s="221"/>
      <c r="BC628" s="221"/>
      <c r="BD628" s="221"/>
    </row>
    <row r="629" spans="36:56" hidden="1">
      <c r="AJ629" s="221"/>
      <c r="AK629" s="221"/>
      <c r="AL629" s="221"/>
      <c r="AM629" s="221"/>
      <c r="AN629" s="221"/>
      <c r="AO629" s="221"/>
      <c r="AP629" s="221"/>
      <c r="AQ629" s="221"/>
      <c r="AR629" s="221"/>
      <c r="AS629" s="136"/>
      <c r="AT629" s="221"/>
      <c r="AU629" s="221"/>
      <c r="AV629" s="221"/>
      <c r="AW629" s="221"/>
      <c r="AX629" s="221"/>
      <c r="AY629" s="221"/>
      <c r="AZ629" s="221"/>
      <c r="BA629" s="221"/>
      <c r="BB629" s="221"/>
      <c r="BC629" s="221"/>
      <c r="BD629" s="221"/>
    </row>
    <row r="630" spans="36:56" hidden="1">
      <c r="AJ630" s="221"/>
      <c r="AK630" s="221"/>
      <c r="AL630" s="221"/>
      <c r="AM630" s="221"/>
      <c r="AN630" s="221"/>
      <c r="AO630" s="221"/>
      <c r="AP630" s="221"/>
      <c r="AQ630" s="221"/>
      <c r="AR630" s="221"/>
      <c r="AS630" s="136"/>
      <c r="AT630" s="221"/>
      <c r="AU630" s="221"/>
      <c r="AV630" s="221"/>
      <c r="AW630" s="221"/>
      <c r="AX630" s="221"/>
      <c r="AY630" s="221"/>
      <c r="AZ630" s="221"/>
      <c r="BA630" s="221"/>
      <c r="BB630" s="221"/>
      <c r="BC630" s="221"/>
      <c r="BD630" s="221"/>
    </row>
    <row r="631" spans="36:56" hidden="1">
      <c r="AJ631" s="221"/>
      <c r="AK631" s="221"/>
      <c r="AL631" s="221"/>
      <c r="AM631" s="221"/>
      <c r="AN631" s="221"/>
      <c r="AO631" s="221"/>
      <c r="AP631" s="221"/>
      <c r="AQ631" s="221"/>
      <c r="AR631" s="221"/>
      <c r="AS631" s="136"/>
      <c r="AT631" s="221"/>
      <c r="AU631" s="221"/>
      <c r="AV631" s="221"/>
      <c r="AW631" s="221"/>
      <c r="AX631" s="221"/>
      <c r="AY631" s="221"/>
      <c r="AZ631" s="221"/>
      <c r="BA631" s="221"/>
      <c r="BB631" s="221"/>
      <c r="BC631" s="221"/>
      <c r="BD631" s="221"/>
    </row>
    <row r="632" spans="36:56" hidden="1">
      <c r="AJ632" s="221"/>
      <c r="AK632" s="221"/>
      <c r="AL632" s="221"/>
      <c r="AM632" s="221"/>
      <c r="AN632" s="221"/>
      <c r="AO632" s="221"/>
      <c r="AP632" s="221"/>
      <c r="AQ632" s="221"/>
      <c r="AR632" s="221"/>
      <c r="AS632" s="136"/>
      <c r="AT632" s="221"/>
      <c r="AU632" s="221"/>
      <c r="AV632" s="221"/>
      <c r="AW632" s="221"/>
      <c r="AX632" s="221"/>
      <c r="AY632" s="221"/>
      <c r="AZ632" s="221"/>
      <c r="BA632" s="221"/>
      <c r="BB632" s="221"/>
      <c r="BC632" s="221"/>
      <c r="BD632" s="221"/>
    </row>
    <row r="633" spans="36:56" hidden="1">
      <c r="AJ633" s="221"/>
      <c r="AK633" s="221"/>
      <c r="AL633" s="221"/>
      <c r="AM633" s="221"/>
      <c r="AN633" s="221"/>
      <c r="AO633" s="221"/>
      <c r="AP633" s="221"/>
      <c r="AQ633" s="221"/>
      <c r="AR633" s="221"/>
      <c r="AS633" s="136"/>
      <c r="AT633" s="221"/>
      <c r="AU633" s="221"/>
      <c r="AV633" s="221"/>
      <c r="AW633" s="221"/>
      <c r="AX633" s="221"/>
      <c r="AY633" s="221"/>
      <c r="AZ633" s="221"/>
      <c r="BA633" s="221"/>
      <c r="BB633" s="221"/>
      <c r="BC633" s="221"/>
      <c r="BD633" s="221"/>
    </row>
    <row r="634" spans="36:56" hidden="1">
      <c r="AJ634" s="221"/>
      <c r="AK634" s="221"/>
      <c r="AL634" s="221"/>
      <c r="AM634" s="221"/>
      <c r="AN634" s="221"/>
      <c r="AO634" s="221"/>
      <c r="AP634" s="221"/>
      <c r="AQ634" s="221"/>
      <c r="AR634" s="221"/>
      <c r="AS634" s="136"/>
      <c r="AT634" s="221"/>
      <c r="AU634" s="221"/>
      <c r="AV634" s="221"/>
      <c r="AW634" s="221"/>
      <c r="AX634" s="221"/>
      <c r="AY634" s="221"/>
      <c r="AZ634" s="221"/>
      <c r="BA634" s="221"/>
      <c r="BB634" s="221"/>
      <c r="BC634" s="221"/>
      <c r="BD634" s="221"/>
    </row>
    <row r="635" spans="36:56" hidden="1">
      <c r="AJ635" s="221"/>
      <c r="AK635" s="221"/>
      <c r="AL635" s="221"/>
      <c r="AM635" s="221"/>
      <c r="AN635" s="221"/>
      <c r="AO635" s="221"/>
      <c r="AP635" s="221"/>
      <c r="AQ635" s="221"/>
      <c r="AR635" s="221"/>
      <c r="AS635" s="136"/>
      <c r="AT635" s="221"/>
      <c r="AU635" s="221"/>
      <c r="AV635" s="221"/>
      <c r="AW635" s="221"/>
      <c r="AX635" s="221"/>
      <c r="AY635" s="221"/>
      <c r="AZ635" s="221"/>
      <c r="BA635" s="221"/>
      <c r="BB635" s="221"/>
      <c r="BC635" s="221"/>
      <c r="BD635" s="221"/>
    </row>
    <row r="636" spans="36:56" hidden="1">
      <c r="AJ636" s="221"/>
      <c r="AK636" s="221"/>
      <c r="AL636" s="221"/>
      <c r="AM636" s="221"/>
      <c r="AN636" s="221"/>
      <c r="AO636" s="221"/>
      <c r="AP636" s="221"/>
      <c r="AQ636" s="221"/>
      <c r="AR636" s="221"/>
      <c r="AS636" s="136"/>
      <c r="AT636" s="221"/>
      <c r="AU636" s="221"/>
      <c r="AV636" s="221"/>
      <c r="AW636" s="221"/>
      <c r="AX636" s="221"/>
      <c r="AY636" s="221"/>
      <c r="AZ636" s="221"/>
      <c r="BA636" s="221"/>
      <c r="BB636" s="221"/>
      <c r="BC636" s="221"/>
      <c r="BD636" s="221"/>
    </row>
    <row r="637" spans="36:56" hidden="1">
      <c r="AJ637" s="221"/>
      <c r="AK637" s="221"/>
      <c r="AL637" s="221"/>
      <c r="AM637" s="221"/>
      <c r="AN637" s="221"/>
      <c r="AO637" s="221"/>
      <c r="AP637" s="221"/>
      <c r="AQ637" s="221"/>
      <c r="AR637" s="221"/>
      <c r="AS637" s="136"/>
      <c r="AT637" s="221"/>
      <c r="AU637" s="221"/>
      <c r="AV637" s="221"/>
      <c r="AW637" s="221"/>
      <c r="AX637" s="221"/>
      <c r="AY637" s="221"/>
      <c r="AZ637" s="221"/>
      <c r="BA637" s="221"/>
      <c r="BB637" s="221"/>
      <c r="BC637" s="221"/>
      <c r="BD637" s="221"/>
    </row>
    <row r="638" spans="36:56" hidden="1">
      <c r="AJ638" s="221"/>
      <c r="AK638" s="221"/>
      <c r="AL638" s="221"/>
      <c r="AM638" s="221"/>
      <c r="AN638" s="221"/>
      <c r="AO638" s="221"/>
      <c r="AP638" s="221"/>
      <c r="AQ638" s="221"/>
      <c r="AR638" s="221"/>
      <c r="AS638" s="136"/>
      <c r="AT638" s="221"/>
      <c r="AU638" s="221"/>
      <c r="AV638" s="221"/>
      <c r="AW638" s="221"/>
      <c r="AX638" s="221"/>
      <c r="AY638" s="221"/>
      <c r="AZ638" s="221"/>
      <c r="BA638" s="221"/>
      <c r="BB638" s="221"/>
      <c r="BC638" s="221"/>
      <c r="BD638" s="221"/>
    </row>
    <row r="639" spans="36:56" hidden="1">
      <c r="AJ639" s="221"/>
      <c r="AK639" s="221"/>
      <c r="AL639" s="221"/>
      <c r="AM639" s="221"/>
      <c r="AN639" s="221"/>
      <c r="AO639" s="221"/>
      <c r="AP639" s="221"/>
      <c r="AQ639" s="221"/>
      <c r="AR639" s="221"/>
      <c r="AS639" s="136"/>
      <c r="AT639" s="221"/>
      <c r="AU639" s="221"/>
      <c r="AV639" s="221"/>
      <c r="AW639" s="221"/>
      <c r="AX639" s="221"/>
      <c r="AY639" s="221"/>
      <c r="AZ639" s="221"/>
      <c r="BA639" s="221"/>
      <c r="BB639" s="221"/>
      <c r="BC639" s="221"/>
      <c r="BD639" s="221"/>
    </row>
    <row r="640" spans="36:56" hidden="1">
      <c r="AJ640" s="221"/>
      <c r="AK640" s="221"/>
      <c r="AL640" s="221"/>
      <c r="AM640" s="221"/>
      <c r="AN640" s="221"/>
      <c r="AO640" s="221"/>
      <c r="AP640" s="221"/>
      <c r="AQ640" s="221"/>
      <c r="AR640" s="221"/>
      <c r="AS640" s="136"/>
      <c r="AT640" s="221"/>
      <c r="AU640" s="221"/>
      <c r="AV640" s="221"/>
      <c r="AW640" s="221"/>
      <c r="AX640" s="221"/>
      <c r="AY640" s="221"/>
      <c r="AZ640" s="221"/>
      <c r="BA640" s="221"/>
      <c r="BB640" s="221"/>
      <c r="BC640" s="221"/>
      <c r="BD640" s="221"/>
    </row>
    <row r="641" spans="36:56" hidden="1">
      <c r="AJ641" s="221"/>
      <c r="AK641" s="221"/>
      <c r="AL641" s="221"/>
      <c r="AM641" s="221"/>
      <c r="AN641" s="221"/>
      <c r="AO641" s="221"/>
      <c r="AP641" s="221"/>
      <c r="AQ641" s="221"/>
      <c r="AR641" s="221"/>
      <c r="AS641" s="136"/>
      <c r="AT641" s="221"/>
      <c r="AU641" s="221"/>
      <c r="AV641" s="221"/>
      <c r="AW641" s="221"/>
      <c r="AX641" s="221"/>
      <c r="AY641" s="221"/>
      <c r="AZ641" s="221"/>
      <c r="BA641" s="221"/>
      <c r="BB641" s="221"/>
      <c r="BC641" s="221"/>
      <c r="BD641" s="221"/>
    </row>
    <row r="642" spans="36:56" hidden="1">
      <c r="AJ642" s="221"/>
      <c r="AK642" s="221"/>
      <c r="AL642" s="221"/>
      <c r="AM642" s="221"/>
      <c r="AN642" s="221"/>
      <c r="AO642" s="221"/>
      <c r="AP642" s="221"/>
      <c r="AQ642" s="221"/>
      <c r="AR642" s="221"/>
      <c r="AS642" s="136"/>
      <c r="AT642" s="221"/>
      <c r="AU642" s="221"/>
      <c r="AV642" s="221"/>
      <c r="AW642" s="221"/>
      <c r="AX642" s="221"/>
      <c r="AY642" s="221"/>
      <c r="AZ642" s="221"/>
      <c r="BA642" s="221"/>
      <c r="BB642" s="221"/>
      <c r="BC642" s="221"/>
      <c r="BD642" s="221"/>
    </row>
    <row r="643" spans="36:56" hidden="1">
      <c r="AJ643" s="221"/>
      <c r="AK643" s="221"/>
      <c r="AL643" s="221"/>
      <c r="AM643" s="221"/>
      <c r="AN643" s="221"/>
      <c r="AO643" s="221"/>
      <c r="AP643" s="221"/>
      <c r="AQ643" s="221"/>
      <c r="AR643" s="221"/>
      <c r="AS643" s="136"/>
      <c r="AT643" s="221"/>
      <c r="AU643" s="221"/>
      <c r="AV643" s="221"/>
      <c r="AW643" s="221"/>
      <c r="AX643" s="221"/>
      <c r="AY643" s="221"/>
      <c r="AZ643" s="221"/>
      <c r="BA643" s="221"/>
      <c r="BB643" s="221"/>
      <c r="BC643" s="221"/>
      <c r="BD643" s="221"/>
    </row>
    <row r="644" spans="36:56" hidden="1">
      <c r="AJ644" s="221"/>
      <c r="AK644" s="221"/>
      <c r="AL644" s="221"/>
      <c r="AM644" s="221"/>
      <c r="AN644" s="221"/>
      <c r="AO644" s="221"/>
      <c r="AP644" s="221"/>
      <c r="AQ644" s="221"/>
      <c r="AR644" s="221"/>
      <c r="AS644" s="136"/>
      <c r="AT644" s="221"/>
      <c r="AU644" s="221"/>
      <c r="AV644" s="221"/>
      <c r="AW644" s="221"/>
      <c r="AX644" s="221"/>
      <c r="AY644" s="221"/>
      <c r="AZ644" s="221"/>
      <c r="BA644" s="221"/>
      <c r="BB644" s="221"/>
      <c r="BC644" s="221"/>
      <c r="BD644" s="221"/>
    </row>
    <row r="645" spans="36:56" hidden="1">
      <c r="AJ645" s="221"/>
      <c r="AK645" s="221"/>
      <c r="AL645" s="221"/>
      <c r="AM645" s="221"/>
      <c r="AN645" s="221"/>
      <c r="AO645" s="221"/>
      <c r="AP645" s="221"/>
      <c r="AQ645" s="221"/>
      <c r="AR645" s="221"/>
      <c r="AS645" s="136"/>
      <c r="AT645" s="221"/>
      <c r="AU645" s="221"/>
      <c r="AV645" s="221"/>
      <c r="AW645" s="221"/>
      <c r="AX645" s="221"/>
      <c r="AY645" s="221"/>
      <c r="AZ645" s="221"/>
      <c r="BA645" s="221"/>
      <c r="BB645" s="221"/>
      <c r="BC645" s="221"/>
      <c r="BD645" s="221"/>
    </row>
    <row r="646" spans="36:56" hidden="1">
      <c r="AJ646" s="221"/>
      <c r="AK646" s="221"/>
      <c r="AL646" s="221"/>
      <c r="AM646" s="221"/>
      <c r="AN646" s="221"/>
      <c r="AO646" s="221"/>
      <c r="AP646" s="221"/>
      <c r="AQ646" s="221"/>
      <c r="AR646" s="221"/>
      <c r="AS646" s="136"/>
      <c r="AT646" s="221"/>
      <c r="AU646" s="221"/>
      <c r="AV646" s="221"/>
      <c r="AW646" s="221"/>
      <c r="AX646" s="221"/>
      <c r="AY646" s="221"/>
      <c r="AZ646" s="221"/>
      <c r="BA646" s="221"/>
      <c r="BB646" s="221"/>
      <c r="BC646" s="221"/>
      <c r="BD646" s="221"/>
    </row>
    <row r="647" spans="36:56" hidden="1">
      <c r="AJ647" s="221"/>
      <c r="AK647" s="221"/>
      <c r="AL647" s="221"/>
      <c r="AM647" s="221"/>
      <c r="AN647" s="221"/>
      <c r="AO647" s="221"/>
      <c r="AP647" s="221"/>
      <c r="AQ647" s="221"/>
      <c r="AR647" s="221"/>
      <c r="AS647" s="136"/>
      <c r="AT647" s="221"/>
      <c r="AU647" s="221"/>
      <c r="AV647" s="221"/>
      <c r="AW647" s="221"/>
      <c r="AX647" s="221"/>
      <c r="AY647" s="221"/>
      <c r="AZ647" s="221"/>
      <c r="BA647" s="221"/>
      <c r="BB647" s="221"/>
      <c r="BC647" s="221"/>
      <c r="BD647" s="221"/>
    </row>
    <row r="648" spans="36:56" hidden="1">
      <c r="AJ648" s="221"/>
      <c r="AK648" s="221"/>
      <c r="AL648" s="221"/>
      <c r="AM648" s="221"/>
      <c r="AN648" s="221"/>
      <c r="AO648" s="221"/>
      <c r="AP648" s="221"/>
      <c r="AQ648" s="221"/>
      <c r="AR648" s="221"/>
      <c r="AS648" s="136"/>
      <c r="AT648" s="221"/>
      <c r="AU648" s="221"/>
      <c r="AV648" s="221"/>
      <c r="AW648" s="221"/>
      <c r="AX648" s="221"/>
      <c r="AY648" s="221"/>
      <c r="AZ648" s="221"/>
      <c r="BA648" s="221"/>
      <c r="BB648" s="221"/>
      <c r="BC648" s="221"/>
      <c r="BD648" s="221"/>
    </row>
    <row r="649" spans="36:56" hidden="1">
      <c r="AJ649" s="221"/>
      <c r="AK649" s="221"/>
      <c r="AL649" s="221"/>
      <c r="AM649" s="221"/>
      <c r="AN649" s="221"/>
      <c r="AO649" s="221"/>
      <c r="AP649" s="221"/>
      <c r="AQ649" s="221"/>
      <c r="AR649" s="221"/>
      <c r="AS649" s="136"/>
      <c r="AT649" s="221"/>
      <c r="AU649" s="221"/>
      <c r="AV649" s="221"/>
      <c r="AW649" s="221"/>
      <c r="AX649" s="221"/>
      <c r="AY649" s="221"/>
      <c r="AZ649" s="221"/>
      <c r="BA649" s="221"/>
      <c r="BB649" s="221"/>
      <c r="BC649" s="221"/>
      <c r="BD649" s="221"/>
    </row>
    <row r="650" spans="36:56" hidden="1">
      <c r="AJ650" s="221"/>
      <c r="AK650" s="221"/>
      <c r="AL650" s="221"/>
      <c r="AM650" s="221"/>
      <c r="AN650" s="221"/>
      <c r="AO650" s="221"/>
      <c r="AP650" s="221"/>
      <c r="AQ650" s="221"/>
      <c r="AR650" s="221"/>
      <c r="AS650" s="136"/>
      <c r="AT650" s="221"/>
      <c r="AU650" s="221"/>
      <c r="AV650" s="221"/>
      <c r="AW650" s="221"/>
      <c r="AX650" s="221"/>
      <c r="AY650" s="221"/>
      <c r="AZ650" s="221"/>
      <c r="BA650" s="221"/>
      <c r="BB650" s="221"/>
      <c r="BC650" s="221"/>
      <c r="BD650" s="221"/>
    </row>
    <row r="651" spans="36:56" hidden="1">
      <c r="AJ651" s="221"/>
      <c r="AK651" s="221"/>
      <c r="AL651" s="221"/>
      <c r="AM651" s="221"/>
      <c r="AN651" s="221"/>
      <c r="AO651" s="221"/>
      <c r="AP651" s="221"/>
      <c r="AQ651" s="221"/>
      <c r="AR651" s="221"/>
      <c r="AS651" s="136"/>
      <c r="AT651" s="221"/>
      <c r="AU651" s="221"/>
      <c r="AV651" s="221"/>
      <c r="AW651" s="221"/>
      <c r="AX651" s="221"/>
      <c r="AY651" s="221"/>
      <c r="AZ651" s="221"/>
      <c r="BA651" s="221"/>
      <c r="BB651" s="221"/>
      <c r="BC651" s="221"/>
      <c r="BD651" s="221"/>
    </row>
    <row r="652" spans="36:56" hidden="1">
      <c r="AJ652" s="221"/>
      <c r="AK652" s="221"/>
      <c r="AL652" s="221"/>
      <c r="AM652" s="221"/>
      <c r="AN652" s="221"/>
      <c r="AO652" s="221"/>
      <c r="AP652" s="221"/>
      <c r="AQ652" s="221"/>
      <c r="AR652" s="221"/>
      <c r="AS652" s="136"/>
      <c r="AT652" s="221"/>
      <c r="AU652" s="221"/>
      <c r="AV652" s="221"/>
      <c r="AW652" s="221"/>
      <c r="AX652" s="221"/>
      <c r="AY652" s="221"/>
      <c r="AZ652" s="221"/>
      <c r="BA652" s="221"/>
      <c r="BB652" s="221"/>
      <c r="BC652" s="221"/>
      <c r="BD652" s="221"/>
    </row>
    <row r="653" spans="36:56" hidden="1">
      <c r="AJ653" s="221"/>
      <c r="AK653" s="221"/>
      <c r="AL653" s="221"/>
      <c r="AM653" s="221"/>
      <c r="AN653" s="221"/>
      <c r="AO653" s="221"/>
      <c r="AP653" s="221"/>
      <c r="AQ653" s="221"/>
      <c r="AR653" s="221"/>
      <c r="AS653" s="136"/>
      <c r="AT653" s="221"/>
      <c r="AU653" s="221"/>
      <c r="AV653" s="221"/>
      <c r="AW653" s="221"/>
      <c r="AX653" s="221"/>
      <c r="AY653" s="221"/>
      <c r="AZ653" s="221"/>
      <c r="BA653" s="221"/>
      <c r="BB653" s="221"/>
      <c r="BC653" s="221"/>
      <c r="BD653" s="221"/>
    </row>
    <row r="654" spans="36:56" hidden="1">
      <c r="AJ654" s="221"/>
      <c r="AK654" s="221"/>
      <c r="AL654" s="221"/>
      <c r="AM654" s="221"/>
      <c r="AN654" s="221"/>
      <c r="AO654" s="221"/>
      <c r="AP654" s="221"/>
      <c r="AQ654" s="221"/>
      <c r="AR654" s="221"/>
      <c r="AS654" s="136"/>
      <c r="AT654" s="221"/>
      <c r="AU654" s="221"/>
      <c r="AV654" s="221"/>
      <c r="AW654" s="221"/>
      <c r="AX654" s="221"/>
      <c r="AY654" s="221"/>
      <c r="AZ654" s="221"/>
      <c r="BA654" s="221"/>
      <c r="BB654" s="221"/>
      <c r="BC654" s="221"/>
      <c r="BD654" s="221"/>
    </row>
    <row r="655" spans="36:56" hidden="1">
      <c r="AJ655" s="221"/>
      <c r="AK655" s="221"/>
      <c r="AL655" s="221"/>
      <c r="AM655" s="221"/>
      <c r="AN655" s="221"/>
      <c r="AO655" s="221"/>
      <c r="AP655" s="221"/>
      <c r="AQ655" s="221"/>
      <c r="AR655" s="221"/>
      <c r="AS655" s="136"/>
      <c r="AT655" s="221"/>
      <c r="AU655" s="221"/>
      <c r="AV655" s="221"/>
      <c r="AW655" s="221"/>
      <c r="AX655" s="221"/>
      <c r="AY655" s="221"/>
      <c r="AZ655" s="221"/>
      <c r="BA655" s="221"/>
      <c r="BB655" s="221"/>
      <c r="BC655" s="221"/>
      <c r="BD655" s="221"/>
    </row>
    <row r="656" spans="36:56" hidden="1">
      <c r="AJ656" s="221"/>
      <c r="AK656" s="221"/>
      <c r="AL656" s="221"/>
      <c r="AM656" s="221"/>
      <c r="AN656" s="221"/>
      <c r="AO656" s="221"/>
      <c r="AP656" s="221"/>
      <c r="AQ656" s="221"/>
      <c r="AR656" s="221"/>
      <c r="AS656" s="136"/>
      <c r="AT656" s="221"/>
      <c r="AU656" s="221"/>
      <c r="AV656" s="221"/>
      <c r="AW656" s="221"/>
      <c r="AX656" s="221"/>
      <c r="AY656" s="221"/>
      <c r="AZ656" s="221"/>
      <c r="BA656" s="221"/>
      <c r="BB656" s="221"/>
      <c r="BC656" s="221"/>
      <c r="BD656" s="221"/>
    </row>
    <row r="657" spans="36:56" hidden="1">
      <c r="AJ657" s="221"/>
      <c r="AK657" s="221"/>
      <c r="AL657" s="221"/>
      <c r="AM657" s="221"/>
      <c r="AN657" s="221"/>
      <c r="AO657" s="221"/>
      <c r="AP657" s="221"/>
      <c r="AQ657" s="221"/>
      <c r="AR657" s="221"/>
      <c r="AS657" s="136"/>
      <c r="AT657" s="221"/>
      <c r="AU657" s="221"/>
      <c r="AV657" s="221"/>
      <c r="AW657" s="221"/>
      <c r="AX657" s="221"/>
      <c r="AY657" s="221"/>
      <c r="AZ657" s="221"/>
      <c r="BA657" s="221"/>
      <c r="BB657" s="221"/>
      <c r="BC657" s="221"/>
      <c r="BD657" s="221"/>
    </row>
    <row r="658" spans="36:56" hidden="1">
      <c r="AJ658" s="221"/>
      <c r="AK658" s="221"/>
      <c r="AL658" s="221"/>
      <c r="AM658" s="221"/>
      <c r="AN658" s="221"/>
      <c r="AO658" s="221"/>
      <c r="AP658" s="221"/>
      <c r="AQ658" s="221"/>
      <c r="AR658" s="221"/>
      <c r="AS658" s="136"/>
      <c r="AT658" s="221"/>
      <c r="AU658" s="221"/>
      <c r="AV658" s="221"/>
      <c r="AW658" s="221"/>
      <c r="AX658" s="221"/>
      <c r="AY658" s="221"/>
      <c r="AZ658" s="221"/>
      <c r="BA658" s="221"/>
      <c r="BB658" s="221"/>
      <c r="BC658" s="221"/>
      <c r="BD658" s="221"/>
    </row>
    <row r="659" spans="36:56" hidden="1">
      <c r="AJ659" s="221"/>
      <c r="AK659" s="221"/>
      <c r="AL659" s="221"/>
      <c r="AM659" s="221"/>
      <c r="AN659" s="221"/>
      <c r="AO659" s="221"/>
      <c r="AP659" s="221"/>
      <c r="AQ659" s="221"/>
      <c r="AR659" s="221"/>
      <c r="AS659" s="136"/>
      <c r="AT659" s="221"/>
      <c r="AU659" s="221"/>
      <c r="AV659" s="221"/>
      <c r="AW659" s="221"/>
      <c r="AX659" s="221"/>
      <c r="AY659" s="221"/>
      <c r="AZ659" s="221"/>
      <c r="BA659" s="221"/>
      <c r="BB659" s="221"/>
      <c r="BC659" s="221"/>
      <c r="BD659" s="221"/>
    </row>
    <row r="660" spans="36:56" hidden="1">
      <c r="AJ660" s="221"/>
      <c r="AK660" s="221"/>
      <c r="AL660" s="221"/>
      <c r="AM660" s="221"/>
      <c r="AN660" s="221"/>
      <c r="AO660" s="221"/>
      <c r="AP660" s="221"/>
      <c r="AQ660" s="221"/>
      <c r="AR660" s="221"/>
      <c r="AS660" s="136"/>
      <c r="AT660" s="221"/>
      <c r="AU660" s="221"/>
      <c r="AV660" s="221"/>
      <c r="AW660" s="221"/>
      <c r="AX660" s="221"/>
      <c r="AY660" s="221"/>
      <c r="AZ660" s="221"/>
      <c r="BA660" s="221"/>
      <c r="BB660" s="221"/>
      <c r="BC660" s="221"/>
      <c r="BD660" s="221"/>
    </row>
    <row r="661" spans="36:56" hidden="1">
      <c r="AJ661" s="221"/>
      <c r="AK661" s="221"/>
      <c r="AL661" s="221"/>
      <c r="AM661" s="221"/>
      <c r="AN661" s="221"/>
      <c r="AO661" s="221"/>
      <c r="AP661" s="221"/>
      <c r="AQ661" s="221"/>
      <c r="AR661" s="221"/>
      <c r="AS661" s="136"/>
      <c r="AT661" s="221"/>
      <c r="AU661" s="221"/>
      <c r="AV661" s="221"/>
      <c r="AW661" s="221"/>
      <c r="AX661" s="221"/>
      <c r="AY661" s="221"/>
      <c r="AZ661" s="221"/>
      <c r="BA661" s="221"/>
      <c r="BB661" s="221"/>
      <c r="BC661" s="221"/>
      <c r="BD661" s="221"/>
    </row>
    <row r="662" spans="36:56" hidden="1">
      <c r="AJ662" s="221"/>
      <c r="AK662" s="221"/>
      <c r="AL662" s="221"/>
      <c r="AM662" s="221"/>
      <c r="AN662" s="221"/>
      <c r="AO662" s="221"/>
      <c r="AP662" s="221"/>
      <c r="AQ662" s="221"/>
      <c r="AR662" s="221"/>
      <c r="AS662" s="136"/>
      <c r="AT662" s="221"/>
      <c r="AU662" s="221"/>
      <c r="AV662" s="221"/>
      <c r="AW662" s="221"/>
      <c r="AX662" s="221"/>
      <c r="AY662" s="221"/>
      <c r="AZ662" s="221"/>
      <c r="BA662" s="221"/>
      <c r="BB662" s="221"/>
      <c r="BC662" s="221"/>
      <c r="BD662" s="221"/>
    </row>
    <row r="663" spans="36:56" hidden="1">
      <c r="AJ663" s="221"/>
      <c r="AK663" s="221"/>
      <c r="AL663" s="221"/>
      <c r="AM663" s="221"/>
      <c r="AN663" s="221"/>
      <c r="AO663" s="221"/>
      <c r="AP663" s="221"/>
      <c r="AQ663" s="221"/>
      <c r="AR663" s="221"/>
      <c r="AS663" s="136"/>
      <c r="AT663" s="221"/>
      <c r="AU663" s="221"/>
      <c r="AV663" s="221"/>
      <c r="AW663" s="221"/>
      <c r="AX663" s="221"/>
      <c r="AY663" s="221"/>
      <c r="AZ663" s="221"/>
      <c r="BA663" s="221"/>
      <c r="BB663" s="221"/>
      <c r="BC663" s="221"/>
      <c r="BD663" s="221"/>
    </row>
    <row r="664" spans="36:56" hidden="1">
      <c r="AJ664" s="221"/>
      <c r="AK664" s="221"/>
      <c r="AL664" s="221"/>
      <c r="AM664" s="221"/>
      <c r="AN664" s="221"/>
      <c r="AO664" s="221"/>
      <c r="AP664" s="221"/>
      <c r="AQ664" s="221"/>
      <c r="AR664" s="221"/>
      <c r="AS664" s="136"/>
      <c r="AT664" s="221"/>
      <c r="AU664" s="221"/>
      <c r="AV664" s="221"/>
      <c r="AW664" s="221"/>
      <c r="AX664" s="221"/>
      <c r="AY664" s="221"/>
      <c r="AZ664" s="221"/>
      <c r="BA664" s="221"/>
      <c r="BB664" s="221"/>
      <c r="BC664" s="221"/>
      <c r="BD664" s="221"/>
    </row>
    <row r="665" spans="36:56" hidden="1">
      <c r="AJ665" s="221"/>
      <c r="AK665" s="221"/>
      <c r="AL665" s="221"/>
      <c r="AM665" s="221"/>
      <c r="AN665" s="221"/>
      <c r="AO665" s="221"/>
      <c r="AP665" s="221"/>
      <c r="AQ665" s="221"/>
      <c r="AR665" s="221"/>
      <c r="AS665" s="136"/>
      <c r="AT665" s="221"/>
      <c r="AU665" s="221"/>
      <c r="AV665" s="221"/>
      <c r="AW665" s="221"/>
      <c r="AX665" s="221"/>
      <c r="AY665" s="221"/>
      <c r="AZ665" s="221"/>
      <c r="BA665" s="221"/>
      <c r="BB665" s="221"/>
      <c r="BC665" s="221"/>
      <c r="BD665" s="221"/>
    </row>
    <row r="666" spans="36:56" hidden="1">
      <c r="AJ666" s="221"/>
      <c r="AK666" s="221"/>
      <c r="AL666" s="221"/>
      <c r="AM666" s="221"/>
      <c r="AN666" s="221"/>
      <c r="AO666" s="221"/>
      <c r="AP666" s="221"/>
      <c r="AQ666" s="221"/>
      <c r="AR666" s="221"/>
      <c r="AS666" s="136"/>
      <c r="AT666" s="221"/>
      <c r="AU666" s="221"/>
      <c r="AV666" s="221"/>
      <c r="AW666" s="221"/>
      <c r="AX666" s="221"/>
      <c r="AY666" s="221"/>
      <c r="AZ666" s="221"/>
      <c r="BA666" s="221"/>
      <c r="BB666" s="221"/>
      <c r="BC666" s="221"/>
      <c r="BD666" s="221"/>
    </row>
    <row r="667" spans="36:56" hidden="1">
      <c r="AJ667" s="221"/>
      <c r="AK667" s="221"/>
      <c r="AL667" s="221"/>
      <c r="AM667" s="221"/>
      <c r="AN667" s="221"/>
      <c r="AO667" s="221"/>
      <c r="AP667" s="221"/>
      <c r="AQ667" s="221"/>
      <c r="AR667" s="221"/>
      <c r="AS667" s="136"/>
      <c r="AT667" s="221"/>
      <c r="AU667" s="221"/>
      <c r="AV667" s="221"/>
      <c r="AW667" s="221"/>
      <c r="AX667" s="221"/>
      <c r="AY667" s="221"/>
      <c r="AZ667" s="221"/>
      <c r="BA667" s="221"/>
      <c r="BB667" s="221"/>
      <c r="BC667" s="221"/>
      <c r="BD667" s="221"/>
    </row>
    <row r="668" spans="36:56" hidden="1">
      <c r="AJ668" s="221"/>
      <c r="AK668" s="221"/>
      <c r="AL668" s="221"/>
      <c r="AM668" s="221"/>
      <c r="AN668" s="221"/>
      <c r="AO668" s="221"/>
      <c r="AP668" s="221"/>
      <c r="AQ668" s="221"/>
      <c r="AR668" s="221"/>
      <c r="AS668" s="136"/>
      <c r="AT668" s="221"/>
      <c r="AU668" s="221"/>
      <c r="AV668" s="221"/>
      <c r="AW668" s="221"/>
      <c r="AX668" s="221"/>
      <c r="AY668" s="221"/>
      <c r="AZ668" s="221"/>
      <c r="BA668" s="221"/>
      <c r="BB668" s="221"/>
      <c r="BC668" s="221"/>
      <c r="BD668" s="221"/>
    </row>
    <row r="669" spans="36:56" hidden="1">
      <c r="AJ669" s="221"/>
      <c r="AK669" s="221"/>
      <c r="AL669" s="221"/>
      <c r="AM669" s="221"/>
      <c r="AN669" s="221"/>
      <c r="AO669" s="221"/>
      <c r="AP669" s="221"/>
      <c r="AQ669" s="221"/>
      <c r="AR669" s="221"/>
      <c r="AS669" s="136"/>
      <c r="AT669" s="221"/>
      <c r="AU669" s="221"/>
      <c r="AV669" s="221"/>
      <c r="AW669" s="221"/>
      <c r="AX669" s="221"/>
      <c r="AY669" s="221"/>
      <c r="AZ669" s="221"/>
      <c r="BA669" s="221"/>
      <c r="BB669" s="221"/>
      <c r="BC669" s="221"/>
      <c r="BD669" s="221"/>
    </row>
    <row r="670" spans="36:56" hidden="1">
      <c r="AJ670" s="221"/>
      <c r="AK670" s="221"/>
      <c r="AL670" s="221"/>
      <c r="AM670" s="221"/>
      <c r="AN670" s="221"/>
      <c r="AO670" s="221"/>
      <c r="AP670" s="221"/>
      <c r="AQ670" s="221"/>
      <c r="AR670" s="221"/>
      <c r="AS670" s="136"/>
      <c r="AT670" s="221"/>
      <c r="AU670" s="221"/>
      <c r="AV670" s="221"/>
      <c r="AW670" s="221"/>
      <c r="AX670" s="221"/>
      <c r="AY670" s="221"/>
      <c r="AZ670" s="221"/>
      <c r="BA670" s="221"/>
      <c r="BB670" s="221"/>
      <c r="BC670" s="221"/>
      <c r="BD670" s="221"/>
    </row>
    <row r="671" spans="36:56" hidden="1">
      <c r="AJ671" s="221"/>
      <c r="AK671" s="221"/>
      <c r="AL671" s="221"/>
      <c r="AM671" s="221"/>
      <c r="AN671" s="221"/>
      <c r="AO671" s="221"/>
      <c r="AP671" s="221"/>
      <c r="AQ671" s="221"/>
      <c r="AR671" s="221"/>
      <c r="AS671" s="136"/>
      <c r="AT671" s="221"/>
      <c r="AU671" s="221"/>
      <c r="AV671" s="221"/>
      <c r="AW671" s="221"/>
      <c r="AX671" s="221"/>
      <c r="AY671" s="221"/>
      <c r="AZ671" s="221"/>
      <c r="BA671" s="221"/>
      <c r="BB671" s="221"/>
      <c r="BC671" s="221"/>
      <c r="BD671" s="221"/>
    </row>
    <row r="672" spans="36:56" hidden="1">
      <c r="AJ672" s="221"/>
      <c r="AK672" s="221"/>
      <c r="AL672" s="221"/>
      <c r="AM672" s="221"/>
      <c r="AN672" s="221"/>
      <c r="AO672" s="221"/>
      <c r="AP672" s="221"/>
      <c r="AQ672" s="221"/>
      <c r="AR672" s="221"/>
      <c r="AS672" s="136"/>
      <c r="AT672" s="221"/>
      <c r="AU672" s="221"/>
      <c r="AV672" s="221"/>
      <c r="AW672" s="221"/>
      <c r="AX672" s="221"/>
      <c r="AY672" s="221"/>
      <c r="AZ672" s="221"/>
      <c r="BA672" s="221"/>
      <c r="BB672" s="221"/>
      <c r="BC672" s="221"/>
      <c r="BD672" s="221"/>
    </row>
    <row r="673" spans="36:56" hidden="1">
      <c r="AJ673" s="221"/>
      <c r="AK673" s="221"/>
      <c r="AL673" s="221"/>
      <c r="AM673" s="221"/>
      <c r="AN673" s="221"/>
      <c r="AO673" s="221"/>
      <c r="AP673" s="221"/>
      <c r="AQ673" s="221"/>
      <c r="AR673" s="221"/>
      <c r="AS673" s="136"/>
      <c r="AT673" s="221"/>
      <c r="AU673" s="221"/>
      <c r="AV673" s="221"/>
      <c r="AW673" s="221"/>
      <c r="AX673" s="221"/>
      <c r="AY673" s="221"/>
      <c r="AZ673" s="221"/>
      <c r="BA673" s="221"/>
      <c r="BB673" s="221"/>
      <c r="BC673" s="221"/>
      <c r="BD673" s="221"/>
    </row>
    <row r="674" spans="36:56" hidden="1">
      <c r="AJ674" s="221"/>
      <c r="AK674" s="221"/>
      <c r="AL674" s="221"/>
      <c r="AM674" s="221"/>
      <c r="AN674" s="221"/>
      <c r="AO674" s="221"/>
      <c r="AP674" s="221"/>
      <c r="AQ674" s="221"/>
      <c r="AR674" s="221"/>
      <c r="AS674" s="136"/>
      <c r="AT674" s="221"/>
      <c r="AU674" s="221"/>
      <c r="AV674" s="221"/>
      <c r="AW674" s="221"/>
      <c r="AX674" s="221"/>
      <c r="AY674" s="221"/>
      <c r="AZ674" s="221"/>
      <c r="BA674" s="221"/>
      <c r="BB674" s="221"/>
      <c r="BC674" s="221"/>
      <c r="BD674" s="221"/>
    </row>
    <row r="675" spans="36:56" hidden="1">
      <c r="AJ675" s="221"/>
      <c r="AK675" s="221"/>
      <c r="AL675" s="221"/>
      <c r="AM675" s="221"/>
      <c r="AN675" s="221"/>
      <c r="AO675" s="221"/>
      <c r="AP675" s="221"/>
      <c r="AQ675" s="221"/>
      <c r="AR675" s="221"/>
      <c r="AS675" s="136"/>
      <c r="AT675" s="221"/>
      <c r="AU675" s="221"/>
      <c r="AV675" s="221"/>
      <c r="AW675" s="221"/>
      <c r="AX675" s="221"/>
      <c r="AY675" s="221"/>
      <c r="AZ675" s="221"/>
      <c r="BA675" s="221"/>
      <c r="BB675" s="221"/>
      <c r="BC675" s="221"/>
      <c r="BD675" s="221"/>
    </row>
    <row r="676" spans="36:56" hidden="1">
      <c r="AJ676" s="221"/>
      <c r="AK676" s="221"/>
      <c r="AL676" s="221"/>
      <c r="AM676" s="221"/>
      <c r="AN676" s="221"/>
      <c r="AO676" s="221"/>
      <c r="AP676" s="221"/>
      <c r="AQ676" s="221"/>
      <c r="AR676" s="221"/>
      <c r="AS676" s="136"/>
      <c r="AT676" s="221"/>
      <c r="AU676" s="221"/>
      <c r="AV676" s="221"/>
      <c r="AW676" s="221"/>
      <c r="AX676" s="221"/>
      <c r="AY676" s="221"/>
      <c r="AZ676" s="221"/>
      <c r="BA676" s="221"/>
      <c r="BB676" s="221"/>
      <c r="BC676" s="221"/>
      <c r="BD676" s="221"/>
    </row>
    <row r="677" spans="36:56" hidden="1">
      <c r="AJ677" s="221"/>
      <c r="AK677" s="221"/>
      <c r="AL677" s="221"/>
      <c r="AM677" s="221"/>
      <c r="AN677" s="221"/>
      <c r="AO677" s="221"/>
      <c r="AP677" s="221"/>
      <c r="AQ677" s="221"/>
      <c r="AR677" s="221"/>
      <c r="AS677" s="136"/>
      <c r="AT677" s="221"/>
      <c r="AU677" s="221"/>
      <c r="AV677" s="221"/>
      <c r="AW677" s="221"/>
      <c r="AX677" s="221"/>
      <c r="AY677" s="221"/>
      <c r="AZ677" s="221"/>
      <c r="BA677" s="221"/>
      <c r="BB677" s="221"/>
      <c r="BC677" s="221"/>
      <c r="BD677" s="221"/>
    </row>
    <row r="678" spans="36:56" hidden="1">
      <c r="AJ678" s="221"/>
      <c r="AK678" s="221"/>
      <c r="AL678" s="221"/>
      <c r="AM678" s="221"/>
      <c r="AN678" s="221"/>
      <c r="AO678" s="221"/>
      <c r="AP678" s="221"/>
      <c r="AQ678" s="221"/>
      <c r="AR678" s="221"/>
      <c r="AS678" s="136"/>
      <c r="AT678" s="221"/>
      <c r="AU678" s="221"/>
      <c r="AV678" s="221"/>
      <c r="AW678" s="221"/>
      <c r="AX678" s="221"/>
      <c r="AY678" s="221"/>
      <c r="AZ678" s="221"/>
      <c r="BA678" s="221"/>
      <c r="BB678" s="221"/>
      <c r="BC678" s="221"/>
      <c r="BD678" s="221"/>
    </row>
    <row r="679" spans="36:56" hidden="1">
      <c r="AJ679" s="221"/>
      <c r="AK679" s="221"/>
      <c r="AL679" s="221"/>
      <c r="AM679" s="221"/>
      <c r="AN679" s="221"/>
      <c r="AO679" s="221"/>
      <c r="AP679" s="221"/>
      <c r="AQ679" s="221"/>
      <c r="AR679" s="221"/>
      <c r="AS679" s="136"/>
      <c r="AT679" s="221"/>
      <c r="AU679" s="221"/>
      <c r="AV679" s="221"/>
      <c r="AW679" s="221"/>
      <c r="AX679" s="221"/>
      <c r="AY679" s="221"/>
      <c r="AZ679" s="221"/>
      <c r="BA679" s="221"/>
      <c r="BB679" s="221"/>
      <c r="BC679" s="221"/>
      <c r="BD679" s="221"/>
    </row>
    <row r="680" spans="36:56" hidden="1">
      <c r="AJ680" s="221"/>
      <c r="AK680" s="221"/>
      <c r="AL680" s="221"/>
      <c r="AM680" s="221"/>
      <c r="AN680" s="221"/>
      <c r="AO680" s="221"/>
      <c r="AP680" s="221"/>
      <c r="AQ680" s="221"/>
      <c r="AR680" s="221"/>
      <c r="AS680" s="136"/>
      <c r="AT680" s="221"/>
      <c r="AU680" s="221"/>
      <c r="AV680" s="221"/>
      <c r="AW680" s="221"/>
      <c r="AX680" s="221"/>
      <c r="AY680" s="221"/>
      <c r="AZ680" s="221"/>
      <c r="BA680" s="221"/>
      <c r="BB680" s="221"/>
      <c r="BC680" s="221"/>
      <c r="BD680" s="221"/>
    </row>
    <row r="681" spans="36:56" hidden="1">
      <c r="AJ681" s="221"/>
      <c r="AK681" s="221"/>
      <c r="AL681" s="221"/>
      <c r="AM681" s="221"/>
      <c r="AN681" s="221"/>
      <c r="AO681" s="221"/>
      <c r="AP681" s="221"/>
      <c r="AQ681" s="221"/>
      <c r="AR681" s="221"/>
      <c r="AS681" s="136"/>
      <c r="AT681" s="221"/>
      <c r="AU681" s="221"/>
      <c r="AV681" s="221"/>
      <c r="AW681" s="221"/>
      <c r="AX681" s="221"/>
      <c r="AY681" s="221"/>
      <c r="AZ681" s="221"/>
      <c r="BA681" s="221"/>
      <c r="BB681" s="221"/>
      <c r="BC681" s="221"/>
      <c r="BD681" s="221"/>
    </row>
    <row r="682" spans="36:56" hidden="1">
      <c r="AJ682" s="221"/>
      <c r="AK682" s="221"/>
      <c r="AL682" s="221"/>
      <c r="AM682" s="221"/>
      <c r="AN682" s="221"/>
      <c r="AO682" s="221"/>
      <c r="AP682" s="221"/>
      <c r="AQ682" s="221"/>
      <c r="AR682" s="221"/>
      <c r="AS682" s="136"/>
      <c r="AT682" s="221"/>
      <c r="AU682" s="221"/>
      <c r="AV682" s="221"/>
      <c r="AW682" s="221"/>
      <c r="AX682" s="221"/>
      <c r="AY682" s="221"/>
      <c r="AZ682" s="221"/>
      <c r="BA682" s="221"/>
      <c r="BB682" s="221"/>
      <c r="BC682" s="221"/>
      <c r="BD682" s="221"/>
    </row>
    <row r="683" spans="36:56" hidden="1">
      <c r="AJ683" s="221"/>
      <c r="AK683" s="221"/>
      <c r="AL683" s="221"/>
      <c r="AM683" s="221"/>
      <c r="AN683" s="221"/>
      <c r="AO683" s="221"/>
      <c r="AP683" s="221"/>
      <c r="AQ683" s="221"/>
      <c r="AR683" s="221"/>
      <c r="AS683" s="136"/>
      <c r="AT683" s="221"/>
      <c r="AU683" s="221"/>
      <c r="AV683" s="221"/>
      <c r="AW683" s="221"/>
      <c r="AX683" s="221"/>
      <c r="AY683" s="221"/>
      <c r="AZ683" s="221"/>
      <c r="BA683" s="221"/>
      <c r="BB683" s="221"/>
      <c r="BC683" s="221"/>
      <c r="BD683" s="221"/>
    </row>
    <row r="684" spans="36:56" hidden="1">
      <c r="AJ684" s="221"/>
      <c r="AK684" s="221"/>
      <c r="AL684" s="221"/>
      <c r="AM684" s="221"/>
      <c r="AN684" s="221"/>
      <c r="AO684" s="221"/>
      <c r="AP684" s="221"/>
      <c r="AQ684" s="221"/>
      <c r="AR684" s="221"/>
      <c r="AS684" s="136"/>
      <c r="AT684" s="221"/>
      <c r="AU684" s="221"/>
      <c r="AV684" s="221"/>
      <c r="AW684" s="221"/>
      <c r="AX684" s="221"/>
      <c r="AY684" s="221"/>
      <c r="AZ684" s="221"/>
      <c r="BA684" s="221"/>
      <c r="BB684" s="221"/>
      <c r="BC684" s="221"/>
      <c r="BD684" s="221"/>
    </row>
    <row r="685" spans="36:56" hidden="1">
      <c r="AJ685" s="221"/>
      <c r="AK685" s="221"/>
      <c r="AL685" s="221"/>
      <c r="AM685" s="221"/>
      <c r="AN685" s="221"/>
      <c r="AO685" s="221"/>
      <c r="AP685" s="221"/>
      <c r="AQ685" s="221"/>
      <c r="AR685" s="221"/>
      <c r="AS685" s="136"/>
      <c r="AT685" s="221"/>
      <c r="AU685" s="221"/>
      <c r="AV685" s="221"/>
      <c r="AW685" s="221"/>
      <c r="AX685" s="221"/>
      <c r="AY685" s="221"/>
      <c r="AZ685" s="221"/>
      <c r="BA685" s="221"/>
      <c r="BB685" s="221"/>
      <c r="BC685" s="221"/>
      <c r="BD685" s="221"/>
    </row>
    <row r="686" spans="36:56" hidden="1">
      <c r="AJ686" s="221"/>
      <c r="AK686" s="221"/>
      <c r="AL686" s="221"/>
      <c r="AM686" s="221"/>
      <c r="AN686" s="221"/>
      <c r="AO686" s="221"/>
      <c r="AP686" s="221"/>
      <c r="AQ686" s="221"/>
      <c r="AR686" s="221"/>
      <c r="AS686" s="136"/>
      <c r="AT686" s="221"/>
      <c r="AU686" s="221"/>
      <c r="AV686" s="221"/>
      <c r="AW686" s="221"/>
      <c r="AX686" s="221"/>
      <c r="AY686" s="221"/>
      <c r="AZ686" s="221"/>
      <c r="BA686" s="221"/>
      <c r="BB686" s="221"/>
      <c r="BC686" s="221"/>
      <c r="BD686" s="221"/>
    </row>
    <row r="687" spans="36:56" hidden="1">
      <c r="AJ687" s="221"/>
      <c r="AK687" s="221"/>
      <c r="AL687" s="221"/>
      <c r="AM687" s="221"/>
      <c r="AN687" s="221"/>
      <c r="AO687" s="221"/>
      <c r="AP687" s="221"/>
      <c r="AQ687" s="221"/>
      <c r="AR687" s="221"/>
      <c r="AS687" s="136"/>
      <c r="AT687" s="221"/>
      <c r="AU687" s="221"/>
      <c r="AV687" s="221"/>
      <c r="AW687" s="221"/>
      <c r="AX687" s="221"/>
      <c r="AY687" s="221"/>
      <c r="AZ687" s="221"/>
      <c r="BA687" s="221"/>
      <c r="BB687" s="221"/>
      <c r="BC687" s="221"/>
      <c r="BD687" s="221"/>
    </row>
    <row r="688" spans="36:56" hidden="1">
      <c r="AJ688" s="221"/>
      <c r="AK688" s="221"/>
      <c r="AL688" s="221"/>
      <c r="AM688" s="221"/>
      <c r="AN688" s="221"/>
      <c r="AO688" s="221"/>
      <c r="AP688" s="221"/>
      <c r="AQ688" s="221"/>
      <c r="AR688" s="221"/>
      <c r="AS688" s="136"/>
      <c r="AT688" s="221"/>
      <c r="AU688" s="221"/>
      <c r="AV688" s="221"/>
      <c r="AW688" s="221"/>
      <c r="AX688" s="221"/>
      <c r="AY688" s="221"/>
      <c r="AZ688" s="221"/>
      <c r="BA688" s="221"/>
      <c r="BB688" s="221"/>
      <c r="BC688" s="221"/>
      <c r="BD688" s="221"/>
    </row>
    <row r="689" spans="36:56" hidden="1">
      <c r="AJ689" s="221"/>
      <c r="AK689" s="221"/>
      <c r="AL689" s="221"/>
      <c r="AM689" s="221"/>
      <c r="AN689" s="221"/>
      <c r="AO689" s="221"/>
      <c r="AP689" s="221"/>
      <c r="AQ689" s="221"/>
      <c r="AR689" s="221"/>
      <c r="AS689" s="136"/>
      <c r="AT689" s="221"/>
      <c r="AU689" s="221"/>
      <c r="AV689" s="221"/>
      <c r="AW689" s="221"/>
      <c r="AX689" s="221"/>
      <c r="AY689" s="221"/>
      <c r="AZ689" s="221"/>
      <c r="BA689" s="221"/>
      <c r="BB689" s="221"/>
      <c r="BC689" s="221"/>
      <c r="BD689" s="221"/>
    </row>
    <row r="690" spans="36:56" hidden="1">
      <c r="AJ690" s="221"/>
      <c r="AK690" s="221"/>
      <c r="AL690" s="221"/>
      <c r="AM690" s="221"/>
      <c r="AN690" s="221"/>
      <c r="AO690" s="221"/>
      <c r="AP690" s="221"/>
      <c r="AQ690" s="221"/>
      <c r="AR690" s="221"/>
      <c r="AS690" s="136"/>
      <c r="AT690" s="221"/>
      <c r="AU690" s="221"/>
      <c r="AV690" s="221"/>
      <c r="AW690" s="221"/>
      <c r="AX690" s="221"/>
      <c r="AY690" s="221"/>
      <c r="AZ690" s="221"/>
      <c r="BA690" s="221"/>
      <c r="BB690" s="221"/>
      <c r="BC690" s="221"/>
      <c r="BD690" s="221"/>
    </row>
    <row r="691" spans="36:56" hidden="1">
      <c r="AJ691" s="221"/>
      <c r="AK691" s="221"/>
      <c r="AL691" s="221"/>
      <c r="AM691" s="221"/>
      <c r="AN691" s="221"/>
      <c r="AO691" s="221"/>
      <c r="AP691" s="221"/>
      <c r="AQ691" s="221"/>
      <c r="AR691" s="221"/>
      <c r="AS691" s="136"/>
      <c r="AT691" s="221"/>
      <c r="AU691" s="221"/>
      <c r="AV691" s="221"/>
      <c r="AW691" s="221"/>
      <c r="AX691" s="221"/>
      <c r="AY691" s="221"/>
      <c r="AZ691" s="221"/>
      <c r="BA691" s="221"/>
      <c r="BB691" s="221"/>
      <c r="BC691" s="221"/>
      <c r="BD691" s="221"/>
    </row>
    <row r="692" spans="36:56" hidden="1">
      <c r="AJ692" s="221"/>
      <c r="AK692" s="221"/>
      <c r="AL692" s="221"/>
      <c r="AM692" s="221"/>
      <c r="AN692" s="221"/>
      <c r="AO692" s="221"/>
      <c r="AP692" s="221"/>
      <c r="AQ692" s="221"/>
      <c r="AR692" s="221"/>
      <c r="AS692" s="136"/>
      <c r="AT692" s="221"/>
      <c r="AU692" s="221"/>
      <c r="AV692" s="221"/>
      <c r="AW692" s="221"/>
      <c r="AX692" s="221"/>
      <c r="AY692" s="221"/>
      <c r="AZ692" s="221"/>
      <c r="BA692" s="221"/>
      <c r="BB692" s="221"/>
      <c r="BC692" s="221"/>
      <c r="BD692" s="221"/>
    </row>
    <row r="693" spans="36:56" hidden="1">
      <c r="AJ693" s="221"/>
      <c r="AK693" s="221"/>
      <c r="AL693" s="221"/>
      <c r="AM693" s="221"/>
      <c r="AN693" s="221"/>
      <c r="AO693" s="221"/>
      <c r="AP693" s="221"/>
      <c r="AQ693" s="221"/>
      <c r="AR693" s="221"/>
      <c r="AS693" s="136"/>
      <c r="AT693" s="221"/>
      <c r="AU693" s="221"/>
      <c r="AV693" s="221"/>
      <c r="AW693" s="221"/>
      <c r="AX693" s="221"/>
      <c r="AY693" s="221"/>
      <c r="AZ693" s="221"/>
      <c r="BA693" s="221"/>
      <c r="BB693" s="221"/>
      <c r="BC693" s="221"/>
      <c r="BD693" s="221"/>
    </row>
    <row r="694" spans="36:56" hidden="1">
      <c r="AJ694" s="221"/>
      <c r="AK694" s="221"/>
      <c r="AL694" s="221"/>
      <c r="AM694" s="221"/>
      <c r="AN694" s="221"/>
      <c r="AO694" s="221"/>
      <c r="AP694" s="221"/>
      <c r="AQ694" s="221"/>
      <c r="AR694" s="221"/>
      <c r="AS694" s="136"/>
      <c r="AT694" s="221"/>
      <c r="AU694" s="221"/>
      <c r="AV694" s="221"/>
      <c r="AW694" s="221"/>
      <c r="AX694" s="221"/>
      <c r="AY694" s="221"/>
      <c r="AZ694" s="221"/>
      <c r="BA694" s="221"/>
      <c r="BB694" s="221"/>
      <c r="BC694" s="221"/>
      <c r="BD694" s="221"/>
    </row>
    <row r="695" spans="36:56" hidden="1">
      <c r="AJ695" s="221"/>
      <c r="AK695" s="221"/>
      <c r="AL695" s="221"/>
      <c r="AM695" s="221"/>
      <c r="AN695" s="221"/>
      <c r="AO695" s="221"/>
      <c r="AP695" s="221"/>
      <c r="AQ695" s="221"/>
      <c r="AR695" s="221"/>
      <c r="AS695" s="136"/>
      <c r="AT695" s="221"/>
      <c r="AU695" s="221"/>
      <c r="AV695" s="221"/>
      <c r="AW695" s="221"/>
      <c r="AX695" s="221"/>
      <c r="AY695" s="221"/>
      <c r="AZ695" s="221"/>
      <c r="BA695" s="221"/>
      <c r="BB695" s="221"/>
      <c r="BC695" s="221"/>
      <c r="BD695" s="221"/>
    </row>
    <row r="696" spans="36:56" hidden="1">
      <c r="AJ696" s="221"/>
      <c r="AK696" s="221"/>
      <c r="AL696" s="221"/>
      <c r="AM696" s="221"/>
      <c r="AN696" s="221"/>
      <c r="AO696" s="221"/>
      <c r="AP696" s="221"/>
      <c r="AQ696" s="221"/>
      <c r="AR696" s="221"/>
      <c r="AS696" s="136"/>
      <c r="AT696" s="221"/>
      <c r="AU696" s="221"/>
      <c r="AV696" s="221"/>
      <c r="AW696" s="221"/>
      <c r="AX696" s="221"/>
      <c r="AY696" s="221"/>
      <c r="AZ696" s="221"/>
      <c r="BA696" s="221"/>
      <c r="BB696" s="221"/>
      <c r="BC696" s="221"/>
      <c r="BD696" s="221"/>
    </row>
    <row r="697" spans="36:56" hidden="1">
      <c r="AJ697" s="221"/>
      <c r="AK697" s="221"/>
      <c r="AL697" s="221"/>
      <c r="AM697" s="221"/>
      <c r="AN697" s="221"/>
      <c r="AO697" s="221"/>
      <c r="AP697" s="221"/>
      <c r="AQ697" s="221"/>
      <c r="AR697" s="221"/>
      <c r="AS697" s="136"/>
      <c r="AT697" s="221"/>
      <c r="AU697" s="221"/>
      <c r="AV697" s="221"/>
      <c r="AW697" s="221"/>
      <c r="AX697" s="221"/>
      <c r="AY697" s="221"/>
      <c r="AZ697" s="221"/>
      <c r="BA697" s="221"/>
      <c r="BB697" s="221"/>
      <c r="BC697" s="221"/>
      <c r="BD697" s="221"/>
    </row>
    <row r="698" spans="36:56" hidden="1">
      <c r="AJ698" s="221"/>
      <c r="AK698" s="221"/>
      <c r="AL698" s="221"/>
      <c r="AM698" s="221"/>
      <c r="AN698" s="221"/>
      <c r="AO698" s="221"/>
      <c r="AP698" s="221"/>
      <c r="AQ698" s="221"/>
      <c r="AR698" s="221"/>
      <c r="AS698" s="136"/>
      <c r="AT698" s="221"/>
      <c r="AU698" s="221"/>
      <c r="AV698" s="221"/>
      <c r="AW698" s="221"/>
      <c r="AX698" s="221"/>
      <c r="AY698" s="221"/>
      <c r="AZ698" s="221"/>
      <c r="BA698" s="221"/>
      <c r="BB698" s="221"/>
      <c r="BC698" s="221"/>
      <c r="BD698" s="221"/>
    </row>
    <row r="699" spans="36:56" hidden="1">
      <c r="AJ699" s="221"/>
      <c r="AK699" s="221"/>
      <c r="AL699" s="221"/>
      <c r="AM699" s="221"/>
      <c r="AN699" s="221"/>
      <c r="AO699" s="221"/>
      <c r="AP699" s="221"/>
      <c r="AQ699" s="221"/>
      <c r="AR699" s="221"/>
      <c r="AS699" s="136"/>
      <c r="AT699" s="221"/>
      <c r="AU699" s="221"/>
      <c r="AV699" s="221"/>
      <c r="AW699" s="221"/>
      <c r="AX699" s="221"/>
      <c r="AY699" s="221"/>
      <c r="AZ699" s="221"/>
      <c r="BA699" s="221"/>
      <c r="BB699" s="221"/>
      <c r="BC699" s="221"/>
      <c r="BD699" s="221"/>
    </row>
    <row r="700" spans="36:56" hidden="1">
      <c r="AJ700" s="221"/>
      <c r="AK700" s="221"/>
      <c r="AL700" s="221"/>
      <c r="AM700" s="221"/>
      <c r="AN700" s="221"/>
      <c r="AO700" s="221"/>
      <c r="AP700" s="221"/>
      <c r="AQ700" s="221"/>
      <c r="AR700" s="221"/>
      <c r="AS700" s="136"/>
      <c r="AT700" s="221"/>
      <c r="AU700" s="221"/>
      <c r="AV700" s="221"/>
      <c r="AW700" s="221"/>
      <c r="AX700" s="221"/>
      <c r="AY700" s="221"/>
      <c r="AZ700" s="221"/>
      <c r="BA700" s="221"/>
      <c r="BB700" s="221"/>
      <c r="BC700" s="221"/>
      <c r="BD700" s="221"/>
    </row>
    <row r="701" spans="36:56" hidden="1">
      <c r="AJ701" s="221"/>
      <c r="AK701" s="221"/>
      <c r="AL701" s="221"/>
      <c r="AM701" s="221"/>
      <c r="AN701" s="221"/>
      <c r="AO701" s="221"/>
      <c r="AP701" s="221"/>
      <c r="AQ701" s="221"/>
      <c r="AR701" s="221"/>
      <c r="AS701" s="136"/>
      <c r="AT701" s="221"/>
      <c r="AU701" s="221"/>
      <c r="AV701" s="221"/>
      <c r="AW701" s="221"/>
      <c r="AX701" s="221"/>
      <c r="AY701" s="221"/>
      <c r="AZ701" s="221"/>
      <c r="BA701" s="221"/>
      <c r="BB701" s="221"/>
      <c r="BC701" s="221"/>
      <c r="BD701" s="221"/>
    </row>
    <row r="702" spans="36:56" hidden="1">
      <c r="AJ702" s="221"/>
      <c r="AK702" s="221"/>
      <c r="AL702" s="221"/>
      <c r="AM702" s="221"/>
      <c r="AN702" s="221"/>
      <c r="AO702" s="221"/>
      <c r="AP702" s="221"/>
      <c r="AQ702" s="221"/>
      <c r="AR702" s="221"/>
      <c r="AS702" s="136"/>
      <c r="AT702" s="221"/>
      <c r="AU702" s="221"/>
      <c r="AV702" s="221"/>
      <c r="AW702" s="221"/>
      <c r="AX702" s="221"/>
      <c r="AY702" s="221"/>
      <c r="AZ702" s="221"/>
      <c r="BA702" s="221"/>
      <c r="BB702" s="221"/>
      <c r="BC702" s="221"/>
      <c r="BD702" s="221"/>
    </row>
    <row r="703" spans="36:56" hidden="1">
      <c r="AJ703" s="221"/>
      <c r="AK703" s="221"/>
      <c r="AL703" s="221"/>
      <c r="AM703" s="221"/>
      <c r="AN703" s="221"/>
      <c r="AO703" s="221"/>
      <c r="AP703" s="221"/>
      <c r="AQ703" s="221"/>
      <c r="AR703" s="221"/>
      <c r="AS703" s="136"/>
      <c r="AT703" s="221"/>
      <c r="AU703" s="221"/>
      <c r="AV703" s="221"/>
      <c r="AW703" s="221"/>
      <c r="AX703" s="221"/>
      <c r="AY703" s="221"/>
      <c r="AZ703" s="221"/>
      <c r="BA703" s="221"/>
      <c r="BB703" s="221"/>
      <c r="BC703" s="221"/>
      <c r="BD703" s="221"/>
    </row>
    <row r="704" spans="36:56" hidden="1">
      <c r="AJ704" s="221"/>
      <c r="AK704" s="221"/>
      <c r="AL704" s="221"/>
      <c r="AM704" s="221"/>
      <c r="AN704" s="221"/>
      <c r="AO704" s="221"/>
      <c r="AP704" s="221"/>
      <c r="AQ704" s="221"/>
      <c r="AR704" s="221"/>
      <c r="AS704" s="136"/>
      <c r="AT704" s="221"/>
      <c r="AU704" s="221"/>
      <c r="AV704" s="221"/>
      <c r="AW704" s="221"/>
      <c r="AX704" s="221"/>
      <c r="AY704" s="221"/>
      <c r="AZ704" s="221"/>
      <c r="BA704" s="221"/>
      <c r="BB704" s="221"/>
      <c r="BC704" s="221"/>
      <c r="BD704" s="221"/>
    </row>
    <row r="705" spans="36:56" hidden="1">
      <c r="AJ705" s="221"/>
      <c r="AK705" s="221"/>
      <c r="AL705" s="221"/>
      <c r="AM705" s="221"/>
      <c r="AN705" s="221"/>
      <c r="AO705" s="221"/>
      <c r="AP705" s="221"/>
      <c r="AQ705" s="221"/>
      <c r="AR705" s="221"/>
      <c r="AS705" s="136"/>
      <c r="AT705" s="221"/>
      <c r="AU705" s="221"/>
      <c r="AV705" s="221"/>
      <c r="AW705" s="221"/>
      <c r="AX705" s="221"/>
      <c r="AY705" s="221"/>
      <c r="AZ705" s="221"/>
      <c r="BA705" s="221"/>
      <c r="BB705" s="221"/>
      <c r="BC705" s="221"/>
      <c r="BD705" s="221"/>
    </row>
    <row r="706" spans="36:56" hidden="1">
      <c r="AJ706" s="221"/>
      <c r="AK706" s="221"/>
      <c r="AL706" s="221"/>
      <c r="AM706" s="221"/>
      <c r="AN706" s="221"/>
      <c r="AO706" s="221"/>
      <c r="AP706" s="221"/>
      <c r="AQ706" s="221"/>
      <c r="AR706" s="221"/>
      <c r="AS706" s="136"/>
      <c r="AT706" s="221"/>
      <c r="AU706" s="221"/>
      <c r="AV706" s="221"/>
      <c r="AW706" s="221"/>
      <c r="AX706" s="221"/>
      <c r="AY706" s="221"/>
      <c r="AZ706" s="221"/>
      <c r="BA706" s="221"/>
      <c r="BB706" s="221"/>
      <c r="BC706" s="221"/>
      <c r="BD706" s="221"/>
    </row>
    <row r="707" spans="36:56" hidden="1">
      <c r="AJ707" s="221"/>
      <c r="AK707" s="221"/>
      <c r="AL707" s="221"/>
      <c r="AM707" s="221"/>
      <c r="AN707" s="221"/>
      <c r="AO707" s="221"/>
      <c r="AP707" s="221"/>
      <c r="AQ707" s="221"/>
      <c r="AR707" s="221"/>
      <c r="AS707" s="136"/>
      <c r="AT707" s="221"/>
      <c r="AU707" s="221"/>
      <c r="AV707" s="221"/>
      <c r="AW707" s="221"/>
      <c r="AX707" s="221"/>
      <c r="AY707" s="221"/>
      <c r="AZ707" s="221"/>
      <c r="BA707" s="221"/>
      <c r="BB707" s="221"/>
      <c r="BC707" s="221"/>
      <c r="BD707" s="221"/>
    </row>
    <row r="708" spans="36:56" hidden="1">
      <c r="AJ708" s="221"/>
      <c r="AK708" s="221"/>
      <c r="AL708" s="221"/>
      <c r="AM708" s="221"/>
      <c r="AN708" s="221"/>
      <c r="AO708" s="221"/>
      <c r="AP708" s="221"/>
      <c r="AQ708" s="221"/>
      <c r="AR708" s="221"/>
      <c r="AS708" s="136"/>
      <c r="AT708" s="221"/>
      <c r="AU708" s="221"/>
      <c r="AV708" s="221"/>
      <c r="AW708" s="221"/>
      <c r="AX708" s="221"/>
      <c r="AY708" s="221"/>
      <c r="AZ708" s="221"/>
      <c r="BA708" s="221"/>
      <c r="BB708" s="221"/>
      <c r="BC708" s="221"/>
      <c r="BD708" s="221"/>
    </row>
    <row r="709" spans="36:56" hidden="1">
      <c r="AJ709" s="221"/>
      <c r="AK709" s="221"/>
      <c r="AL709" s="221"/>
      <c r="AM709" s="221"/>
      <c r="AN709" s="221"/>
      <c r="AO709" s="221"/>
      <c r="AP709" s="221"/>
      <c r="AQ709" s="221"/>
      <c r="AR709" s="221"/>
      <c r="AS709" s="136"/>
      <c r="AT709" s="221"/>
      <c r="AU709" s="221"/>
      <c r="AV709" s="221"/>
      <c r="AW709" s="221"/>
      <c r="AX709" s="221"/>
      <c r="AY709" s="221"/>
      <c r="AZ709" s="221"/>
      <c r="BA709" s="221"/>
      <c r="BB709" s="221"/>
      <c r="BC709" s="221"/>
      <c r="BD709" s="221"/>
    </row>
    <row r="710" spans="36:56" hidden="1">
      <c r="AJ710" s="221"/>
      <c r="AK710" s="221"/>
      <c r="AL710" s="221"/>
      <c r="AM710" s="221"/>
      <c r="AN710" s="221"/>
      <c r="AO710" s="221"/>
      <c r="AP710" s="221"/>
      <c r="AQ710" s="221"/>
      <c r="AR710" s="221"/>
      <c r="AS710" s="136"/>
      <c r="AT710" s="221"/>
      <c r="AU710" s="221"/>
      <c r="AV710" s="221"/>
      <c r="AW710" s="221"/>
      <c r="AX710" s="221"/>
      <c r="AY710" s="221"/>
      <c r="AZ710" s="221"/>
      <c r="BA710" s="221"/>
      <c r="BB710" s="221"/>
      <c r="BC710" s="221"/>
      <c r="BD710" s="221"/>
    </row>
    <row r="711" spans="36:56" hidden="1">
      <c r="AJ711" s="221"/>
      <c r="AK711" s="221"/>
      <c r="AL711" s="221"/>
      <c r="AM711" s="221"/>
      <c r="AN711" s="221"/>
      <c r="AO711" s="221"/>
      <c r="AP711" s="221"/>
      <c r="AQ711" s="221"/>
      <c r="AR711" s="221"/>
      <c r="AS711" s="136"/>
      <c r="AT711" s="221"/>
      <c r="AU711" s="221"/>
      <c r="AV711" s="221"/>
      <c r="AW711" s="221"/>
      <c r="AX711" s="221"/>
      <c r="AY711" s="221"/>
      <c r="AZ711" s="221"/>
      <c r="BA711" s="221"/>
      <c r="BB711" s="221"/>
      <c r="BC711" s="221"/>
      <c r="BD711" s="221"/>
    </row>
    <row r="712" spans="36:56" hidden="1">
      <c r="AJ712" s="221"/>
      <c r="AK712" s="221"/>
      <c r="AL712" s="221"/>
      <c r="AM712" s="221"/>
      <c r="AN712" s="221"/>
      <c r="AO712" s="221"/>
      <c r="AP712" s="221"/>
      <c r="AQ712" s="221"/>
      <c r="AR712" s="221"/>
      <c r="AS712" s="136"/>
      <c r="AT712" s="221"/>
      <c r="AU712" s="221"/>
      <c r="AV712" s="221"/>
      <c r="AW712" s="221"/>
      <c r="AX712" s="221"/>
      <c r="AY712" s="221"/>
      <c r="AZ712" s="221"/>
      <c r="BA712" s="221"/>
      <c r="BB712" s="221"/>
      <c r="BC712" s="221"/>
      <c r="BD712" s="221"/>
    </row>
    <row r="713" spans="36:56" hidden="1">
      <c r="AJ713" s="221"/>
      <c r="AK713" s="221"/>
      <c r="AL713" s="221"/>
      <c r="AM713" s="221"/>
      <c r="AN713" s="221"/>
      <c r="AO713" s="221"/>
      <c r="AP713" s="221"/>
      <c r="AQ713" s="221"/>
      <c r="AR713" s="221"/>
      <c r="AS713" s="136"/>
      <c r="AT713" s="221"/>
      <c r="AU713" s="221"/>
      <c r="AV713" s="221"/>
      <c r="AW713" s="221"/>
      <c r="AX713" s="221"/>
      <c r="AY713" s="221"/>
      <c r="AZ713" s="221"/>
      <c r="BA713" s="221"/>
      <c r="BB713" s="221"/>
      <c r="BC713" s="221"/>
      <c r="BD713" s="221"/>
    </row>
    <row r="714" spans="36:56" hidden="1">
      <c r="AJ714" s="221"/>
      <c r="AK714" s="221"/>
      <c r="AL714" s="221"/>
      <c r="AM714" s="221"/>
      <c r="AN714" s="221"/>
      <c r="AO714" s="221"/>
      <c r="AP714" s="221"/>
      <c r="AQ714" s="221"/>
      <c r="AR714" s="221"/>
      <c r="AS714" s="136"/>
      <c r="AT714" s="221"/>
      <c r="AU714" s="221"/>
      <c r="AV714" s="221"/>
      <c r="AW714" s="221"/>
      <c r="AX714" s="221"/>
      <c r="AY714" s="221"/>
      <c r="AZ714" s="221"/>
      <c r="BA714" s="221"/>
      <c r="BB714" s="221"/>
      <c r="BC714" s="221"/>
      <c r="BD714" s="221"/>
    </row>
    <row r="715" spans="36:56" hidden="1">
      <c r="AJ715" s="221"/>
      <c r="AK715" s="221"/>
      <c r="AL715" s="221"/>
      <c r="AM715" s="221"/>
      <c r="AN715" s="221"/>
      <c r="AO715" s="221"/>
      <c r="AP715" s="221"/>
      <c r="AQ715" s="221"/>
      <c r="AR715" s="221"/>
      <c r="AS715" s="136"/>
      <c r="AT715" s="221"/>
      <c r="AU715" s="221"/>
      <c r="AV715" s="221"/>
      <c r="AW715" s="221"/>
      <c r="AX715" s="221"/>
      <c r="AY715" s="221"/>
      <c r="AZ715" s="221"/>
      <c r="BA715" s="221"/>
      <c r="BB715" s="221"/>
      <c r="BC715" s="221"/>
      <c r="BD715" s="221"/>
    </row>
    <row r="716" spans="36:56" hidden="1">
      <c r="AJ716" s="221"/>
      <c r="AK716" s="221"/>
      <c r="AL716" s="221"/>
      <c r="AM716" s="221"/>
      <c r="AN716" s="221"/>
      <c r="AO716" s="221"/>
      <c r="AP716" s="221"/>
      <c r="AQ716" s="221"/>
      <c r="AR716" s="221"/>
      <c r="AS716" s="136"/>
      <c r="AT716" s="221"/>
      <c r="AU716" s="221"/>
      <c r="AV716" s="221"/>
      <c r="AW716" s="221"/>
      <c r="AX716" s="221"/>
      <c r="AY716" s="221"/>
      <c r="AZ716" s="221"/>
      <c r="BA716" s="221"/>
      <c r="BB716" s="221"/>
      <c r="BC716" s="221"/>
      <c r="BD716" s="221"/>
    </row>
    <row r="717" spans="36:56" hidden="1">
      <c r="AJ717" s="221"/>
      <c r="AK717" s="221"/>
      <c r="AL717" s="221"/>
      <c r="AM717" s="221"/>
      <c r="AN717" s="221"/>
      <c r="AO717" s="221"/>
      <c r="AP717" s="221"/>
      <c r="AQ717" s="221"/>
      <c r="AR717" s="221"/>
      <c r="AS717" s="136"/>
      <c r="AT717" s="221"/>
      <c r="AU717" s="221"/>
      <c r="AV717" s="221"/>
      <c r="AW717" s="221"/>
      <c r="AX717" s="221"/>
      <c r="AY717" s="221"/>
      <c r="AZ717" s="221"/>
      <c r="BA717" s="221"/>
      <c r="BB717" s="221"/>
      <c r="BC717" s="221"/>
      <c r="BD717" s="221"/>
    </row>
    <row r="718" spans="36:56" hidden="1">
      <c r="AJ718" s="221"/>
      <c r="AK718" s="221"/>
      <c r="AL718" s="221"/>
      <c r="AM718" s="221"/>
      <c r="AN718" s="221"/>
      <c r="AO718" s="221"/>
      <c r="AP718" s="221"/>
      <c r="AQ718" s="221"/>
      <c r="AR718" s="221"/>
      <c r="AS718" s="136"/>
      <c r="AT718" s="221"/>
      <c r="AU718" s="221"/>
      <c r="AV718" s="221"/>
      <c r="AW718" s="221"/>
      <c r="AX718" s="221"/>
      <c r="AY718" s="221"/>
      <c r="AZ718" s="221"/>
      <c r="BA718" s="221"/>
      <c r="BB718" s="221"/>
      <c r="BC718" s="221"/>
      <c r="BD718" s="221"/>
    </row>
    <row r="719" spans="36:56" hidden="1">
      <c r="AJ719" s="221"/>
      <c r="AK719" s="221"/>
      <c r="AL719" s="221"/>
      <c r="AM719" s="221"/>
      <c r="AN719" s="221"/>
      <c r="AO719" s="221"/>
      <c r="AP719" s="221"/>
      <c r="AQ719" s="221"/>
      <c r="AR719" s="221"/>
      <c r="AS719" s="136"/>
      <c r="AT719" s="221"/>
      <c r="AU719" s="221"/>
      <c r="AV719" s="221"/>
      <c r="AW719" s="221"/>
      <c r="AX719" s="221"/>
      <c r="AY719" s="221"/>
      <c r="AZ719" s="221"/>
      <c r="BA719" s="221"/>
      <c r="BB719" s="221"/>
      <c r="BC719" s="221"/>
      <c r="BD719" s="221"/>
    </row>
    <row r="720" spans="36:56" hidden="1">
      <c r="AJ720" s="221"/>
      <c r="AK720" s="221"/>
      <c r="AL720" s="221"/>
      <c r="AM720" s="221"/>
      <c r="AN720" s="221"/>
      <c r="AO720" s="221"/>
      <c r="AP720" s="221"/>
      <c r="AQ720" s="221"/>
      <c r="AR720" s="221"/>
      <c r="AS720" s="136"/>
      <c r="AT720" s="221"/>
      <c r="AU720" s="221"/>
      <c r="AV720" s="221"/>
      <c r="AW720" s="221"/>
      <c r="AX720" s="221"/>
      <c r="AY720" s="221"/>
      <c r="AZ720" s="221"/>
      <c r="BA720" s="221"/>
      <c r="BB720" s="221"/>
      <c r="BC720" s="221"/>
      <c r="BD720" s="221"/>
    </row>
    <row r="721" spans="36:56" hidden="1">
      <c r="AJ721" s="221"/>
      <c r="AK721" s="221"/>
      <c r="AL721" s="221"/>
      <c r="AM721" s="221"/>
      <c r="AN721" s="221"/>
      <c r="AO721" s="221"/>
      <c r="AP721" s="221"/>
      <c r="AQ721" s="221"/>
      <c r="AR721" s="221"/>
      <c r="AS721" s="136"/>
      <c r="AT721" s="221"/>
      <c r="AU721" s="221"/>
      <c r="AV721" s="221"/>
      <c r="AW721" s="221"/>
      <c r="AX721" s="221"/>
      <c r="AY721" s="221"/>
      <c r="AZ721" s="221"/>
      <c r="BA721" s="221"/>
      <c r="BB721" s="221"/>
      <c r="BC721" s="221"/>
      <c r="BD721" s="221"/>
    </row>
    <row r="722" spans="36:56" hidden="1">
      <c r="AJ722" s="221"/>
      <c r="AK722" s="221"/>
      <c r="AL722" s="221"/>
      <c r="AM722" s="221"/>
      <c r="AN722" s="221"/>
      <c r="AO722" s="221"/>
      <c r="AP722" s="221"/>
      <c r="AQ722" s="221"/>
      <c r="AR722" s="221"/>
      <c r="AS722" s="136"/>
      <c r="AT722" s="221"/>
      <c r="AU722" s="221"/>
      <c r="AV722" s="221"/>
      <c r="AW722" s="221"/>
      <c r="AX722" s="221"/>
      <c r="AY722" s="221"/>
      <c r="AZ722" s="221"/>
      <c r="BA722" s="221"/>
      <c r="BB722" s="221"/>
      <c r="BC722" s="221"/>
      <c r="BD722" s="221"/>
    </row>
    <row r="723" spans="36:56" hidden="1">
      <c r="AJ723" s="221"/>
      <c r="AK723" s="221"/>
      <c r="AL723" s="221"/>
      <c r="AM723" s="221"/>
      <c r="AN723" s="221"/>
      <c r="AO723" s="221"/>
      <c r="AP723" s="221"/>
      <c r="AQ723" s="221"/>
      <c r="AR723" s="221"/>
      <c r="AS723" s="136"/>
      <c r="AT723" s="221"/>
      <c r="AU723" s="221"/>
      <c r="AV723" s="221"/>
      <c r="AW723" s="221"/>
      <c r="AX723" s="221"/>
      <c r="AY723" s="221"/>
      <c r="AZ723" s="221"/>
      <c r="BA723" s="221"/>
      <c r="BB723" s="221"/>
      <c r="BC723" s="221"/>
      <c r="BD723" s="221"/>
    </row>
    <row r="724" spans="36:56" hidden="1">
      <c r="AJ724" s="221"/>
      <c r="AK724" s="221"/>
      <c r="AL724" s="221"/>
      <c r="AM724" s="221"/>
      <c r="AN724" s="221"/>
      <c r="AO724" s="221"/>
      <c r="AP724" s="221"/>
      <c r="AQ724" s="221"/>
      <c r="AR724" s="221"/>
      <c r="AS724" s="136"/>
      <c r="AT724" s="221"/>
      <c r="AU724" s="221"/>
      <c r="AV724" s="221"/>
      <c r="AW724" s="221"/>
      <c r="AX724" s="221"/>
      <c r="AY724" s="221"/>
      <c r="AZ724" s="221"/>
      <c r="BA724" s="221"/>
      <c r="BB724" s="221"/>
      <c r="BC724" s="221"/>
      <c r="BD724" s="221"/>
    </row>
    <row r="725" spans="36:56" hidden="1">
      <c r="AJ725" s="221"/>
      <c r="AK725" s="221"/>
      <c r="AL725" s="221"/>
      <c r="AM725" s="221"/>
      <c r="AN725" s="221"/>
      <c r="AO725" s="221"/>
      <c r="AP725" s="221"/>
      <c r="AQ725" s="221"/>
      <c r="AR725" s="221"/>
      <c r="AS725" s="136"/>
      <c r="AT725" s="221"/>
      <c r="AU725" s="221"/>
      <c r="AV725" s="221"/>
      <c r="AW725" s="221"/>
      <c r="AX725" s="221"/>
      <c r="AY725" s="221"/>
      <c r="AZ725" s="221"/>
      <c r="BA725" s="221"/>
      <c r="BB725" s="221"/>
      <c r="BC725" s="221"/>
      <c r="BD725" s="221"/>
    </row>
    <row r="726" spans="36:56" hidden="1">
      <c r="AJ726" s="221"/>
      <c r="AK726" s="221"/>
      <c r="AL726" s="221"/>
      <c r="AM726" s="221"/>
      <c r="AN726" s="221"/>
      <c r="AO726" s="221"/>
      <c r="AP726" s="221"/>
      <c r="AQ726" s="221"/>
      <c r="AR726" s="221"/>
      <c r="AS726" s="136"/>
      <c r="AT726" s="221"/>
      <c r="AU726" s="221"/>
      <c r="AV726" s="221"/>
      <c r="AW726" s="221"/>
      <c r="AX726" s="221"/>
      <c r="AY726" s="221"/>
      <c r="AZ726" s="221"/>
      <c r="BA726" s="221"/>
      <c r="BB726" s="221"/>
      <c r="BC726" s="221"/>
      <c r="BD726" s="221"/>
    </row>
    <row r="727" spans="36:56" hidden="1">
      <c r="AJ727" s="221"/>
      <c r="AK727" s="221"/>
      <c r="AL727" s="221"/>
      <c r="AM727" s="221"/>
      <c r="AN727" s="221"/>
      <c r="AO727" s="221"/>
      <c r="AP727" s="221"/>
      <c r="AQ727" s="221"/>
      <c r="AR727" s="221"/>
      <c r="AS727" s="136"/>
      <c r="AT727" s="221"/>
      <c r="AU727" s="221"/>
      <c r="AV727" s="221"/>
      <c r="AW727" s="221"/>
      <c r="AX727" s="221"/>
      <c r="AY727" s="221"/>
      <c r="AZ727" s="221"/>
      <c r="BA727" s="221"/>
      <c r="BB727" s="221"/>
      <c r="BC727" s="221"/>
      <c r="BD727" s="221"/>
    </row>
    <row r="728" spans="36:56" hidden="1">
      <c r="AJ728" s="221"/>
      <c r="AK728" s="221"/>
      <c r="AL728" s="221"/>
      <c r="AM728" s="221"/>
      <c r="AN728" s="221"/>
      <c r="AO728" s="221"/>
      <c r="AP728" s="221"/>
      <c r="AQ728" s="221"/>
      <c r="AR728" s="221"/>
      <c r="AS728" s="136"/>
      <c r="AT728" s="221"/>
      <c r="AU728" s="221"/>
      <c r="AV728" s="221"/>
      <c r="AW728" s="221"/>
      <c r="AX728" s="221"/>
      <c r="AY728" s="221"/>
      <c r="AZ728" s="221"/>
      <c r="BA728" s="221"/>
      <c r="BB728" s="221"/>
      <c r="BC728" s="221"/>
      <c r="BD728" s="221"/>
    </row>
    <row r="729" spans="36:56" hidden="1">
      <c r="AJ729" s="221"/>
      <c r="AK729" s="221"/>
      <c r="AL729" s="221"/>
      <c r="AM729" s="221"/>
      <c r="AN729" s="221"/>
      <c r="AO729" s="221"/>
      <c r="AP729" s="221"/>
      <c r="AQ729" s="221"/>
      <c r="AR729" s="221"/>
      <c r="AS729" s="136"/>
      <c r="AT729" s="221"/>
      <c r="AU729" s="221"/>
      <c r="AV729" s="221"/>
      <c r="AW729" s="221"/>
      <c r="AX729" s="221"/>
      <c r="AY729" s="221"/>
      <c r="AZ729" s="221"/>
      <c r="BA729" s="221"/>
      <c r="BB729" s="221"/>
      <c r="BC729" s="221"/>
      <c r="BD729" s="221"/>
    </row>
    <row r="730" spans="36:56" hidden="1">
      <c r="AJ730" s="221"/>
      <c r="AK730" s="221"/>
      <c r="AL730" s="221"/>
      <c r="AM730" s="221"/>
      <c r="AN730" s="221"/>
      <c r="AO730" s="221"/>
      <c r="AP730" s="221"/>
      <c r="AQ730" s="221"/>
      <c r="AR730" s="221"/>
      <c r="AS730" s="136"/>
      <c r="AT730" s="221"/>
      <c r="AU730" s="221"/>
      <c r="AV730" s="221"/>
      <c r="AW730" s="221"/>
      <c r="AX730" s="221"/>
      <c r="AY730" s="221"/>
      <c r="AZ730" s="221"/>
      <c r="BA730" s="221"/>
      <c r="BB730" s="221"/>
      <c r="BC730" s="221"/>
      <c r="BD730" s="221"/>
    </row>
    <row r="731" spans="36:56" hidden="1">
      <c r="AJ731" s="221"/>
      <c r="AK731" s="221"/>
      <c r="AL731" s="221"/>
      <c r="AM731" s="221"/>
      <c r="AN731" s="221"/>
      <c r="AO731" s="221"/>
      <c r="AP731" s="221"/>
      <c r="AQ731" s="221"/>
      <c r="AR731" s="221"/>
      <c r="AS731" s="136"/>
      <c r="AT731" s="221"/>
      <c r="AU731" s="221"/>
      <c r="AV731" s="221"/>
      <c r="AW731" s="221"/>
      <c r="AX731" s="221"/>
      <c r="AY731" s="221"/>
      <c r="AZ731" s="221"/>
      <c r="BA731" s="221"/>
      <c r="BB731" s="221"/>
      <c r="BC731" s="221"/>
      <c r="BD731" s="221"/>
    </row>
    <row r="732" spans="36:56" hidden="1">
      <c r="AJ732" s="221"/>
      <c r="AK732" s="221"/>
      <c r="AL732" s="221"/>
      <c r="AM732" s="221"/>
      <c r="AN732" s="221"/>
      <c r="AO732" s="221"/>
      <c r="AP732" s="221"/>
      <c r="AQ732" s="221"/>
      <c r="AR732" s="221"/>
      <c r="AS732" s="136"/>
      <c r="AT732" s="221"/>
      <c r="AU732" s="221"/>
      <c r="AV732" s="221"/>
      <c r="AW732" s="221"/>
      <c r="AX732" s="221"/>
      <c r="AY732" s="221"/>
      <c r="AZ732" s="221"/>
      <c r="BA732" s="221"/>
      <c r="BB732" s="221"/>
      <c r="BC732" s="221"/>
      <c r="BD732" s="221"/>
    </row>
    <row r="733" spans="36:56" hidden="1">
      <c r="AJ733" s="221"/>
      <c r="AK733" s="221"/>
      <c r="AL733" s="221"/>
      <c r="AM733" s="221"/>
      <c r="AN733" s="221"/>
      <c r="AO733" s="221"/>
      <c r="AP733" s="221"/>
      <c r="AQ733" s="221"/>
      <c r="AR733" s="221"/>
      <c r="AS733" s="136"/>
      <c r="AT733" s="221"/>
      <c r="AU733" s="221"/>
      <c r="AV733" s="221"/>
      <c r="AW733" s="221"/>
      <c r="AX733" s="221"/>
      <c r="AY733" s="221"/>
      <c r="AZ733" s="221"/>
      <c r="BA733" s="221"/>
      <c r="BB733" s="221"/>
      <c r="BC733" s="221"/>
      <c r="BD733" s="221"/>
    </row>
    <row r="734" spans="36:56" hidden="1">
      <c r="AJ734" s="221"/>
      <c r="AK734" s="221"/>
      <c r="AL734" s="221"/>
      <c r="AM734" s="221"/>
      <c r="AN734" s="221"/>
      <c r="AO734" s="221"/>
      <c r="AP734" s="221"/>
      <c r="AQ734" s="221"/>
      <c r="AR734" s="221"/>
      <c r="AS734" s="136"/>
      <c r="AT734" s="221"/>
      <c r="AU734" s="221"/>
      <c r="AV734" s="221"/>
      <c r="AW734" s="221"/>
      <c r="AX734" s="221"/>
      <c r="AY734" s="221"/>
      <c r="AZ734" s="221"/>
      <c r="BA734" s="221"/>
      <c r="BB734" s="221"/>
      <c r="BC734" s="221"/>
      <c r="BD734" s="221"/>
    </row>
    <row r="735" spans="36:56" hidden="1">
      <c r="AJ735" s="221"/>
      <c r="AK735" s="221"/>
      <c r="AL735" s="221"/>
      <c r="AM735" s="221"/>
      <c r="AN735" s="221"/>
      <c r="AO735" s="221"/>
      <c r="AP735" s="221"/>
      <c r="AQ735" s="221"/>
      <c r="AR735" s="221"/>
      <c r="AS735" s="136"/>
      <c r="AT735" s="221"/>
      <c r="AU735" s="221"/>
      <c r="AV735" s="221"/>
      <c r="AW735" s="221"/>
      <c r="AX735" s="221"/>
      <c r="AY735" s="221"/>
      <c r="AZ735" s="221"/>
      <c r="BA735" s="221"/>
      <c r="BB735" s="221"/>
      <c r="BC735" s="221"/>
      <c r="BD735" s="221"/>
    </row>
    <row r="736" spans="36:56" hidden="1">
      <c r="AJ736" s="221"/>
      <c r="AK736" s="221"/>
      <c r="AL736" s="221"/>
      <c r="AM736" s="221"/>
      <c r="AN736" s="221"/>
      <c r="AO736" s="221"/>
      <c r="AP736" s="221"/>
      <c r="AQ736" s="221"/>
      <c r="AR736" s="221"/>
      <c r="AS736" s="136"/>
      <c r="AT736" s="221"/>
      <c r="AU736" s="221"/>
      <c r="AV736" s="221"/>
      <c r="AW736" s="221"/>
      <c r="AX736" s="221"/>
      <c r="AY736" s="221"/>
      <c r="AZ736" s="221"/>
      <c r="BA736" s="221"/>
      <c r="BB736" s="221"/>
      <c r="BC736" s="221"/>
      <c r="BD736" s="221"/>
    </row>
    <row r="737" spans="36:56" hidden="1">
      <c r="AJ737" s="221"/>
      <c r="AK737" s="221"/>
      <c r="AL737" s="221"/>
      <c r="AM737" s="221"/>
      <c r="AN737" s="221"/>
      <c r="AO737" s="221"/>
      <c r="AP737" s="221"/>
      <c r="AQ737" s="221"/>
      <c r="AR737" s="221"/>
      <c r="AS737" s="136"/>
      <c r="AT737" s="221"/>
      <c r="AU737" s="221"/>
      <c r="AV737" s="221"/>
      <c r="AW737" s="221"/>
      <c r="AX737" s="221"/>
      <c r="AY737" s="221"/>
      <c r="AZ737" s="221"/>
      <c r="BA737" s="221"/>
      <c r="BB737" s="221"/>
      <c r="BC737" s="221"/>
      <c r="BD737" s="221"/>
    </row>
    <row r="738" spans="36:56" hidden="1">
      <c r="AJ738" s="221"/>
      <c r="AK738" s="221"/>
      <c r="AL738" s="221"/>
      <c r="AM738" s="221"/>
      <c r="AN738" s="221"/>
      <c r="AO738" s="221"/>
      <c r="AP738" s="221"/>
      <c r="AQ738" s="221"/>
      <c r="AR738" s="221"/>
      <c r="AS738" s="136"/>
      <c r="AT738" s="221"/>
      <c r="AU738" s="221"/>
      <c r="AV738" s="221"/>
      <c r="AW738" s="221"/>
      <c r="AX738" s="221"/>
      <c r="AY738" s="221"/>
      <c r="AZ738" s="221"/>
      <c r="BA738" s="221"/>
      <c r="BB738" s="221"/>
      <c r="BC738" s="221"/>
      <c r="BD738" s="221"/>
    </row>
    <row r="739" spans="36:56" hidden="1">
      <c r="AJ739" s="221"/>
      <c r="AK739" s="221"/>
      <c r="AL739" s="221"/>
      <c r="AM739" s="221"/>
      <c r="AN739" s="221"/>
      <c r="AO739" s="221"/>
      <c r="AP739" s="221"/>
      <c r="AQ739" s="221"/>
      <c r="AR739" s="221"/>
      <c r="AS739" s="136"/>
      <c r="AT739" s="221"/>
      <c r="AU739" s="221"/>
      <c r="AV739" s="221"/>
      <c r="AW739" s="221"/>
      <c r="AX739" s="221"/>
      <c r="AY739" s="221"/>
      <c r="AZ739" s="221"/>
      <c r="BA739" s="221"/>
      <c r="BB739" s="221"/>
      <c r="BC739" s="221"/>
      <c r="BD739" s="221"/>
    </row>
    <row r="740" spans="36:56" hidden="1">
      <c r="AJ740" s="221"/>
      <c r="AK740" s="221"/>
      <c r="AL740" s="221"/>
      <c r="AM740" s="221"/>
      <c r="AN740" s="221"/>
      <c r="AO740" s="221"/>
      <c r="AP740" s="221"/>
      <c r="AQ740" s="221"/>
      <c r="AR740" s="221"/>
      <c r="AS740" s="136"/>
      <c r="AT740" s="221"/>
      <c r="AU740" s="221"/>
      <c r="AV740" s="221"/>
      <c r="AW740" s="221"/>
      <c r="AX740" s="221"/>
      <c r="AY740" s="221"/>
      <c r="AZ740" s="221"/>
      <c r="BA740" s="221"/>
      <c r="BB740" s="221"/>
      <c r="BC740" s="221"/>
      <c r="BD740" s="221"/>
    </row>
    <row r="741" spans="36:56" hidden="1">
      <c r="AJ741" s="221"/>
      <c r="AK741" s="221"/>
      <c r="AL741" s="221"/>
      <c r="AM741" s="221"/>
      <c r="AN741" s="221"/>
      <c r="AO741" s="221"/>
      <c r="AP741" s="221"/>
      <c r="AQ741" s="221"/>
      <c r="AR741" s="221"/>
      <c r="AS741" s="136"/>
      <c r="AT741" s="221"/>
      <c r="AU741" s="221"/>
      <c r="AV741" s="221"/>
      <c r="AW741" s="221"/>
      <c r="AX741" s="221"/>
      <c r="AY741" s="221"/>
      <c r="AZ741" s="221"/>
      <c r="BA741" s="221"/>
      <c r="BB741" s="221"/>
      <c r="BC741" s="221"/>
      <c r="BD741" s="221"/>
    </row>
    <row r="742" spans="36:56" hidden="1">
      <c r="AJ742" s="221"/>
      <c r="AK742" s="221"/>
      <c r="AL742" s="221"/>
      <c r="AM742" s="221"/>
      <c r="AN742" s="221"/>
      <c r="AO742" s="221"/>
      <c r="AP742" s="221"/>
      <c r="AQ742" s="221"/>
      <c r="AR742" s="221"/>
      <c r="AS742" s="136"/>
      <c r="AT742" s="221"/>
      <c r="AU742" s="221"/>
      <c r="AV742" s="221"/>
      <c r="AW742" s="221"/>
      <c r="AX742" s="221"/>
      <c r="AY742" s="221"/>
      <c r="AZ742" s="221"/>
      <c r="BA742" s="221"/>
      <c r="BB742" s="221"/>
      <c r="BC742" s="221"/>
      <c r="BD742" s="221"/>
    </row>
    <row r="743" spans="36:56" hidden="1">
      <c r="AJ743" s="221"/>
      <c r="AK743" s="221"/>
      <c r="AL743" s="221"/>
      <c r="AM743" s="221"/>
      <c r="AN743" s="221"/>
      <c r="AO743" s="221"/>
      <c r="AP743" s="221"/>
      <c r="AQ743" s="221"/>
      <c r="AR743" s="221"/>
      <c r="AS743" s="136"/>
      <c r="AT743" s="221"/>
      <c r="AU743" s="221"/>
      <c r="AV743" s="221"/>
      <c r="AW743" s="221"/>
      <c r="AX743" s="221"/>
      <c r="AY743" s="221"/>
      <c r="AZ743" s="221"/>
      <c r="BA743" s="221"/>
      <c r="BB743" s="221"/>
      <c r="BC743" s="221"/>
      <c r="BD743" s="221"/>
    </row>
    <row r="744" spans="36:56" hidden="1">
      <c r="AJ744" s="221"/>
      <c r="AK744" s="221"/>
      <c r="AL744" s="221"/>
      <c r="AM744" s="221"/>
      <c r="AN744" s="221"/>
      <c r="AO744" s="221"/>
      <c r="AP744" s="221"/>
      <c r="AQ744" s="221"/>
      <c r="AR744" s="221"/>
      <c r="AS744" s="136"/>
      <c r="AT744" s="221"/>
      <c r="AU744" s="221"/>
      <c r="AV744" s="221"/>
      <c r="AW744" s="221"/>
      <c r="AX744" s="221"/>
      <c r="AY744" s="221"/>
      <c r="AZ744" s="221"/>
      <c r="BA744" s="221"/>
      <c r="BB744" s="221"/>
      <c r="BC744" s="221"/>
      <c r="BD744" s="221"/>
    </row>
    <row r="745" spans="36:56" hidden="1">
      <c r="AJ745" s="221"/>
      <c r="AK745" s="221"/>
      <c r="AL745" s="221"/>
      <c r="AM745" s="221"/>
      <c r="AN745" s="221"/>
      <c r="AO745" s="221"/>
      <c r="AP745" s="221"/>
      <c r="AQ745" s="221"/>
      <c r="AR745" s="221"/>
      <c r="AS745" s="136"/>
      <c r="AT745" s="221"/>
      <c r="AU745" s="221"/>
      <c r="AV745" s="221"/>
      <c r="AW745" s="221"/>
      <c r="AX745" s="221"/>
      <c r="AY745" s="221"/>
      <c r="AZ745" s="221"/>
      <c r="BA745" s="221"/>
      <c r="BB745" s="221"/>
      <c r="BC745" s="221"/>
      <c r="BD745" s="221"/>
    </row>
    <row r="746" spans="36:56" hidden="1">
      <c r="AJ746" s="221"/>
      <c r="AK746" s="221"/>
      <c r="AL746" s="221"/>
      <c r="AM746" s="221"/>
      <c r="AN746" s="221"/>
      <c r="AO746" s="221"/>
      <c r="AP746" s="221"/>
      <c r="AQ746" s="221"/>
      <c r="AR746" s="221"/>
      <c r="AS746" s="136"/>
      <c r="AT746" s="221"/>
      <c r="AU746" s="221"/>
      <c r="AV746" s="221"/>
      <c r="AW746" s="221"/>
      <c r="AX746" s="221"/>
      <c r="AY746" s="221"/>
      <c r="AZ746" s="221"/>
      <c r="BA746" s="221"/>
      <c r="BB746" s="221"/>
      <c r="BC746" s="221"/>
      <c r="BD746" s="221"/>
    </row>
    <row r="747" spans="36:56" hidden="1">
      <c r="AJ747" s="221"/>
      <c r="AK747" s="221"/>
      <c r="AL747" s="221"/>
      <c r="AM747" s="221"/>
      <c r="AN747" s="221"/>
      <c r="AO747" s="221"/>
      <c r="AP747" s="221"/>
      <c r="AQ747" s="221"/>
      <c r="AR747" s="221"/>
      <c r="AS747" s="136"/>
      <c r="AT747" s="221"/>
      <c r="AU747" s="221"/>
      <c r="AV747" s="221"/>
      <c r="AW747" s="221"/>
      <c r="AX747" s="221"/>
      <c r="AY747" s="221"/>
      <c r="AZ747" s="221"/>
      <c r="BA747" s="221"/>
      <c r="BB747" s="221"/>
      <c r="BC747" s="221"/>
      <c r="BD747" s="221"/>
    </row>
    <row r="748" spans="36:56" hidden="1">
      <c r="AJ748" s="221"/>
      <c r="AK748" s="221"/>
      <c r="AL748" s="221"/>
      <c r="AM748" s="221"/>
      <c r="AN748" s="221"/>
      <c r="AO748" s="221"/>
      <c r="AP748" s="221"/>
      <c r="AQ748" s="221"/>
      <c r="AR748" s="221"/>
      <c r="AS748" s="136"/>
      <c r="AT748" s="221"/>
      <c r="AU748" s="221"/>
      <c r="AV748" s="221"/>
      <c r="AW748" s="221"/>
      <c r="AX748" s="221"/>
      <c r="AY748" s="221"/>
      <c r="AZ748" s="221"/>
      <c r="BA748" s="221"/>
      <c r="BB748" s="221"/>
      <c r="BC748" s="221"/>
      <c r="BD748" s="221"/>
    </row>
    <row r="749" spans="36:56" hidden="1">
      <c r="AJ749" s="221"/>
      <c r="AK749" s="221"/>
      <c r="AL749" s="221"/>
      <c r="AM749" s="221"/>
      <c r="AN749" s="221"/>
      <c r="AO749" s="221"/>
      <c r="AP749" s="221"/>
      <c r="AQ749" s="221"/>
      <c r="AR749" s="221"/>
      <c r="AS749" s="136"/>
      <c r="AT749" s="221"/>
      <c r="AU749" s="221"/>
      <c r="AV749" s="221"/>
      <c r="AW749" s="221"/>
      <c r="AX749" s="221"/>
      <c r="AY749" s="221"/>
      <c r="AZ749" s="221"/>
      <c r="BA749" s="221"/>
      <c r="BB749" s="221"/>
      <c r="BC749" s="221"/>
      <c r="BD749" s="221"/>
    </row>
    <row r="750" spans="36:56" hidden="1">
      <c r="AJ750" s="221"/>
      <c r="AK750" s="221"/>
      <c r="AL750" s="221"/>
      <c r="AM750" s="221"/>
      <c r="AN750" s="221"/>
      <c r="AO750" s="221"/>
      <c r="AP750" s="221"/>
      <c r="AQ750" s="221"/>
      <c r="AR750" s="221"/>
      <c r="AS750" s="136"/>
      <c r="AT750" s="221"/>
      <c r="AU750" s="221"/>
      <c r="AV750" s="221"/>
      <c r="AW750" s="221"/>
      <c r="AX750" s="221"/>
      <c r="AY750" s="221"/>
      <c r="AZ750" s="221"/>
      <c r="BA750" s="221"/>
      <c r="BB750" s="221"/>
      <c r="BC750" s="221"/>
      <c r="BD750" s="221"/>
    </row>
    <row r="751" spans="36:56" hidden="1">
      <c r="AJ751" s="221"/>
      <c r="AK751" s="221"/>
      <c r="AL751" s="221"/>
      <c r="AM751" s="221"/>
      <c r="AN751" s="221"/>
      <c r="AO751" s="221"/>
      <c r="AP751" s="221"/>
      <c r="AQ751" s="221"/>
      <c r="AR751" s="221"/>
      <c r="AS751" s="136"/>
      <c r="AT751" s="221"/>
      <c r="AU751" s="221"/>
      <c r="AV751" s="221"/>
      <c r="AW751" s="221"/>
      <c r="AX751" s="221"/>
      <c r="AY751" s="221"/>
      <c r="AZ751" s="221"/>
      <c r="BA751" s="221"/>
      <c r="BB751" s="221"/>
      <c r="BC751" s="221"/>
      <c r="BD751" s="221"/>
    </row>
    <row r="752" spans="36:56" hidden="1">
      <c r="AJ752" s="221"/>
      <c r="AK752" s="221"/>
      <c r="AL752" s="221"/>
      <c r="AM752" s="221"/>
      <c r="AN752" s="221"/>
      <c r="AO752" s="221"/>
      <c r="AP752" s="221"/>
      <c r="AQ752" s="221"/>
      <c r="AR752" s="221"/>
      <c r="AS752" s="136"/>
      <c r="AT752" s="221"/>
      <c r="AU752" s="221"/>
      <c r="AV752" s="221"/>
      <c r="AW752" s="221"/>
      <c r="AX752" s="221"/>
      <c r="AY752" s="221"/>
      <c r="AZ752" s="221"/>
      <c r="BA752" s="221"/>
      <c r="BB752" s="221"/>
      <c r="BC752" s="221"/>
      <c r="BD752" s="221"/>
    </row>
    <row r="753" spans="36:56" hidden="1">
      <c r="AJ753" s="221"/>
      <c r="AK753" s="221"/>
      <c r="AL753" s="221"/>
      <c r="AM753" s="221"/>
      <c r="AN753" s="221"/>
      <c r="AO753" s="221"/>
      <c r="AP753" s="221"/>
      <c r="AQ753" s="221"/>
      <c r="AR753" s="221"/>
      <c r="AS753" s="136"/>
      <c r="AT753" s="221"/>
      <c r="AU753" s="221"/>
      <c r="AV753" s="221"/>
      <c r="AW753" s="221"/>
      <c r="AX753" s="221"/>
      <c r="AY753" s="221"/>
      <c r="AZ753" s="221"/>
      <c r="BA753" s="221"/>
      <c r="BB753" s="221"/>
      <c r="BC753" s="221"/>
      <c r="BD753" s="221"/>
    </row>
    <row r="754" spans="36:56" hidden="1">
      <c r="AJ754" s="221"/>
      <c r="AK754" s="221"/>
      <c r="AL754" s="221"/>
      <c r="AM754" s="221"/>
      <c r="AN754" s="221"/>
      <c r="AO754" s="221"/>
      <c r="AP754" s="221"/>
      <c r="AQ754" s="221"/>
      <c r="AR754" s="221"/>
      <c r="AS754" s="136"/>
      <c r="AT754" s="221"/>
      <c r="AU754" s="221"/>
      <c r="AV754" s="221"/>
      <c r="AW754" s="221"/>
      <c r="AX754" s="221"/>
      <c r="AY754" s="221"/>
      <c r="AZ754" s="221"/>
      <c r="BA754" s="221"/>
      <c r="BB754" s="221"/>
      <c r="BC754" s="221"/>
      <c r="BD754" s="221"/>
    </row>
    <row r="755" spans="36:56" hidden="1">
      <c r="AJ755" s="221"/>
      <c r="AK755" s="221"/>
      <c r="AL755" s="221"/>
      <c r="AM755" s="221"/>
      <c r="AN755" s="221"/>
      <c r="AO755" s="221"/>
      <c r="AP755" s="221"/>
      <c r="AQ755" s="221"/>
      <c r="AR755" s="221"/>
      <c r="AS755" s="136"/>
      <c r="AT755" s="221"/>
      <c r="AU755" s="221"/>
      <c r="AV755" s="221"/>
      <c r="AW755" s="221"/>
      <c r="AX755" s="221"/>
      <c r="AY755" s="221"/>
      <c r="AZ755" s="221"/>
      <c r="BA755" s="221"/>
      <c r="BB755" s="221"/>
      <c r="BC755" s="221"/>
      <c r="BD755" s="221"/>
    </row>
    <row r="756" spans="36:56" hidden="1">
      <c r="AJ756" s="221"/>
      <c r="AK756" s="221"/>
      <c r="AL756" s="221"/>
      <c r="AM756" s="221"/>
      <c r="AN756" s="221"/>
      <c r="AO756" s="221"/>
      <c r="AP756" s="221"/>
      <c r="AQ756" s="221"/>
      <c r="AR756" s="221"/>
      <c r="AS756" s="136"/>
      <c r="AT756" s="221"/>
      <c r="AU756" s="221"/>
      <c r="AV756" s="221"/>
      <c r="AW756" s="221"/>
      <c r="AX756" s="221"/>
      <c r="AY756" s="221"/>
      <c r="AZ756" s="221"/>
      <c r="BA756" s="221"/>
      <c r="BB756" s="221"/>
      <c r="BC756" s="221"/>
      <c r="BD756" s="221"/>
    </row>
    <row r="757" spans="36:56" hidden="1">
      <c r="AJ757" s="221"/>
      <c r="AK757" s="221"/>
      <c r="AL757" s="221"/>
      <c r="AM757" s="221"/>
      <c r="AN757" s="221"/>
      <c r="AO757" s="221"/>
      <c r="AP757" s="221"/>
      <c r="AQ757" s="221"/>
      <c r="AR757" s="221"/>
      <c r="AS757" s="136"/>
      <c r="AT757" s="221"/>
      <c r="AU757" s="221"/>
      <c r="AV757" s="221"/>
      <c r="AW757" s="221"/>
      <c r="AX757" s="221"/>
      <c r="AY757" s="221"/>
      <c r="AZ757" s="221"/>
      <c r="BA757" s="221"/>
      <c r="BB757" s="221"/>
      <c r="BC757" s="221"/>
      <c r="BD757" s="221"/>
    </row>
    <row r="758" spans="36:56" hidden="1">
      <c r="AJ758" s="221"/>
      <c r="AK758" s="221"/>
      <c r="AL758" s="221"/>
      <c r="AM758" s="221"/>
      <c r="AN758" s="221"/>
      <c r="AO758" s="221"/>
      <c r="AP758" s="221"/>
      <c r="AQ758" s="221"/>
      <c r="AR758" s="221"/>
      <c r="AS758" s="136"/>
      <c r="AT758" s="221"/>
      <c r="AU758" s="221"/>
      <c r="AV758" s="221"/>
      <c r="AW758" s="221"/>
      <c r="AX758" s="221"/>
      <c r="AY758" s="221"/>
      <c r="AZ758" s="221"/>
      <c r="BA758" s="221"/>
      <c r="BB758" s="221"/>
      <c r="BC758" s="221"/>
      <c r="BD758" s="221"/>
    </row>
    <row r="759" spans="36:56" hidden="1">
      <c r="AJ759" s="221"/>
      <c r="AK759" s="221"/>
      <c r="AL759" s="221"/>
      <c r="AM759" s="221"/>
      <c r="AN759" s="221"/>
      <c r="AO759" s="221"/>
      <c r="AP759" s="221"/>
      <c r="AQ759" s="221"/>
      <c r="AR759" s="221"/>
      <c r="AS759" s="136"/>
      <c r="AT759" s="221"/>
      <c r="AU759" s="221"/>
      <c r="AV759" s="221"/>
      <c r="AW759" s="221"/>
      <c r="AX759" s="221"/>
      <c r="AY759" s="221"/>
      <c r="AZ759" s="221"/>
      <c r="BA759" s="221"/>
      <c r="BB759" s="221"/>
      <c r="BC759" s="221"/>
      <c r="BD759" s="221"/>
    </row>
    <row r="760" spans="36:56" hidden="1">
      <c r="AJ760" s="221"/>
      <c r="AK760" s="221"/>
      <c r="AL760" s="221"/>
      <c r="AM760" s="221"/>
      <c r="AN760" s="221"/>
      <c r="AO760" s="221"/>
      <c r="AP760" s="221"/>
      <c r="AQ760" s="221"/>
      <c r="AR760" s="221"/>
      <c r="AS760" s="136"/>
      <c r="AT760" s="221"/>
      <c r="AU760" s="221"/>
      <c r="AV760" s="221"/>
      <c r="AW760" s="221"/>
      <c r="AX760" s="221"/>
      <c r="AY760" s="221"/>
      <c r="AZ760" s="221"/>
      <c r="BA760" s="221"/>
      <c r="BB760" s="221"/>
      <c r="BC760" s="221"/>
      <c r="BD760" s="221"/>
    </row>
    <row r="761" spans="36:56" hidden="1">
      <c r="AJ761" s="221"/>
      <c r="AK761" s="221"/>
      <c r="AL761" s="221"/>
      <c r="AM761" s="221"/>
      <c r="AN761" s="221"/>
      <c r="AO761" s="221"/>
      <c r="AP761" s="221"/>
      <c r="AQ761" s="221"/>
      <c r="AR761" s="221"/>
      <c r="AS761" s="136"/>
      <c r="AT761" s="221"/>
      <c r="AU761" s="221"/>
      <c r="AV761" s="221"/>
      <c r="AW761" s="221"/>
      <c r="AX761" s="221"/>
      <c r="AY761" s="221"/>
      <c r="AZ761" s="221"/>
      <c r="BA761" s="221"/>
      <c r="BB761" s="221"/>
      <c r="BC761" s="221"/>
      <c r="BD761" s="221"/>
    </row>
    <row r="762" spans="36:56" hidden="1">
      <c r="AJ762" s="221"/>
      <c r="AK762" s="221"/>
      <c r="AL762" s="221"/>
      <c r="AM762" s="221"/>
      <c r="AN762" s="221"/>
      <c r="AO762" s="221"/>
      <c r="AP762" s="221"/>
      <c r="AQ762" s="221"/>
      <c r="AR762" s="221"/>
      <c r="AS762" s="136"/>
      <c r="AT762" s="221"/>
      <c r="AU762" s="221"/>
      <c r="AV762" s="221"/>
      <c r="AW762" s="221"/>
      <c r="AX762" s="221"/>
      <c r="AY762" s="221"/>
      <c r="AZ762" s="221"/>
      <c r="BA762" s="221"/>
      <c r="BB762" s="221"/>
      <c r="BC762" s="221"/>
      <c r="BD762" s="221"/>
    </row>
    <row r="763" spans="36:56" hidden="1">
      <c r="AJ763" s="221"/>
      <c r="AK763" s="221"/>
      <c r="AL763" s="221"/>
      <c r="AM763" s="221"/>
      <c r="AN763" s="221"/>
      <c r="AO763" s="221"/>
      <c r="AP763" s="221"/>
      <c r="AQ763" s="221"/>
      <c r="AR763" s="221"/>
      <c r="AS763" s="136"/>
      <c r="AT763" s="221"/>
      <c r="AU763" s="221"/>
      <c r="AV763" s="221"/>
      <c r="AW763" s="221"/>
      <c r="AX763" s="221"/>
      <c r="AY763" s="221"/>
      <c r="AZ763" s="221"/>
      <c r="BA763" s="221"/>
      <c r="BB763" s="221"/>
      <c r="BC763" s="221"/>
      <c r="BD763" s="221"/>
    </row>
    <row r="764" spans="36:56" hidden="1">
      <c r="AJ764" s="221"/>
      <c r="AK764" s="221"/>
      <c r="AL764" s="221"/>
      <c r="AM764" s="221"/>
      <c r="AN764" s="221"/>
      <c r="AO764" s="221"/>
      <c r="AP764" s="221"/>
      <c r="AQ764" s="221"/>
      <c r="AR764" s="221"/>
      <c r="AS764" s="136"/>
      <c r="AT764" s="221"/>
      <c r="AU764" s="221"/>
      <c r="AV764" s="221"/>
      <c r="AW764" s="221"/>
      <c r="AX764" s="221"/>
      <c r="AY764" s="221"/>
      <c r="AZ764" s="221"/>
      <c r="BA764" s="221"/>
      <c r="BB764" s="221"/>
      <c r="BC764" s="221"/>
      <c r="BD764" s="221"/>
    </row>
    <row r="765" spans="36:56" hidden="1">
      <c r="AJ765" s="221"/>
      <c r="AK765" s="221"/>
      <c r="AL765" s="221"/>
      <c r="AM765" s="221"/>
      <c r="AN765" s="221"/>
      <c r="AO765" s="221"/>
      <c r="AP765" s="221"/>
      <c r="AQ765" s="221"/>
      <c r="AR765" s="221"/>
      <c r="AS765" s="136"/>
      <c r="AT765" s="221"/>
      <c r="AU765" s="221"/>
      <c r="AV765" s="221"/>
      <c r="AW765" s="221"/>
      <c r="AX765" s="221"/>
      <c r="AY765" s="221"/>
      <c r="AZ765" s="221"/>
      <c r="BA765" s="221"/>
      <c r="BB765" s="221"/>
      <c r="BC765" s="221"/>
      <c r="BD765" s="221"/>
    </row>
    <row r="766" spans="36:56" hidden="1">
      <c r="AJ766" s="221"/>
      <c r="AK766" s="221"/>
      <c r="AL766" s="221"/>
      <c r="AM766" s="221"/>
      <c r="AN766" s="221"/>
      <c r="AO766" s="221"/>
      <c r="AP766" s="221"/>
      <c r="AQ766" s="221"/>
      <c r="AR766" s="221"/>
      <c r="AS766" s="136"/>
      <c r="AT766" s="221"/>
      <c r="AU766" s="221"/>
      <c r="AV766" s="221"/>
      <c r="AW766" s="221"/>
      <c r="AX766" s="221"/>
      <c r="AY766" s="221"/>
      <c r="AZ766" s="221"/>
      <c r="BA766" s="221"/>
      <c r="BB766" s="221"/>
      <c r="BC766" s="221"/>
      <c r="BD766" s="221"/>
    </row>
    <row r="767" spans="36:56" hidden="1">
      <c r="AJ767" s="221"/>
      <c r="AK767" s="221"/>
      <c r="AL767" s="221"/>
      <c r="AM767" s="221"/>
      <c r="AN767" s="221"/>
      <c r="AO767" s="221"/>
      <c r="AP767" s="221"/>
      <c r="AQ767" s="221"/>
      <c r="AR767" s="221"/>
      <c r="AS767" s="136"/>
      <c r="AT767" s="221"/>
      <c r="AU767" s="221"/>
      <c r="AV767" s="221"/>
      <c r="AW767" s="221"/>
      <c r="AX767" s="221"/>
      <c r="AY767" s="221"/>
      <c r="AZ767" s="221"/>
      <c r="BA767" s="221"/>
      <c r="BB767" s="221"/>
      <c r="BC767" s="221"/>
      <c r="BD767" s="221"/>
    </row>
  </sheetData>
  <mergeCells count="1">
    <mergeCell ref="E1:F1"/>
  </mergeCells>
  <conditionalFormatting sqref="A233:Q233">
    <cfRule type="cellIs" dxfId="147" priority="7" stopIfTrue="1" operator="equal">
      <formula>0</formula>
    </cfRule>
  </conditionalFormatting>
  <conditionalFormatting sqref="A47 A58 A69 A80 A91 A102 A113 A124 A135 A146 A157 A168 A179 A190 A201 A212 A223 C47">
    <cfRule type="cellIs" dxfId="146" priority="38" stopIfTrue="1" operator="equal">
      <formula>0</formula>
    </cfRule>
  </conditionalFormatting>
  <conditionalFormatting sqref="D47:I47 O47">
    <cfRule type="cellIs" dxfId="145" priority="41" stopIfTrue="1" operator="equal">
      <formula>0</formula>
    </cfRule>
  </conditionalFormatting>
  <conditionalFormatting sqref="B54">
    <cfRule type="cellIs" dxfId="144" priority="45" stopIfTrue="1" operator="equal">
      <formula>0</formula>
    </cfRule>
  </conditionalFormatting>
  <conditionalFormatting sqref="D54:I54 O54">
    <cfRule type="cellIs" dxfId="143" priority="47" stopIfTrue="1" operator="equal">
      <formula>0</formula>
    </cfRule>
  </conditionalFormatting>
  <conditionalFormatting sqref="S54">
    <cfRule type="cellIs" dxfId="142" priority="49" stopIfTrue="1" operator="equal">
      <formula>0</formula>
    </cfRule>
  </conditionalFormatting>
  <conditionalFormatting sqref="B61">
    <cfRule type="cellIs" dxfId="141" priority="57" stopIfTrue="1" operator="equal">
      <formula>0</formula>
    </cfRule>
  </conditionalFormatting>
  <conditionalFormatting sqref="D61:I61 O61">
    <cfRule type="cellIs" dxfId="140" priority="59" stopIfTrue="1" operator="equal">
      <formula>0</formula>
    </cfRule>
  </conditionalFormatting>
  <conditionalFormatting sqref="S68">
    <cfRule type="cellIs" dxfId="139" priority="61" stopIfTrue="1" operator="equal">
      <formula>0</formula>
    </cfRule>
  </conditionalFormatting>
  <conditionalFormatting sqref="A68">
    <cfRule type="cellIs" dxfId="138" priority="65" stopIfTrue="1" operator="equal">
      <formula>0</formula>
    </cfRule>
  </conditionalFormatting>
  <conditionalFormatting sqref="C68">
    <cfRule type="cellIs" dxfId="137" priority="67" stopIfTrue="1" operator="equal">
      <formula>0</formula>
    </cfRule>
  </conditionalFormatting>
  <conditionalFormatting sqref="A75">
    <cfRule type="cellIs" dxfId="136" priority="71" stopIfTrue="1" operator="equal">
      <formula>0</formula>
    </cfRule>
  </conditionalFormatting>
  <conditionalFormatting sqref="C75">
    <cfRule type="cellIs" dxfId="135" priority="73" stopIfTrue="1" operator="equal">
      <formula>0</formula>
    </cfRule>
  </conditionalFormatting>
  <conditionalFormatting sqref="S82">
    <cfRule type="cellIs" dxfId="134" priority="79" stopIfTrue="1" operator="equal">
      <formula>0</formula>
    </cfRule>
  </conditionalFormatting>
  <conditionalFormatting sqref="A82">
    <cfRule type="cellIs" dxfId="133" priority="83" stopIfTrue="1" operator="equal">
      <formula>0</formula>
    </cfRule>
  </conditionalFormatting>
  <conditionalFormatting sqref="C82">
    <cfRule type="cellIs" dxfId="132" priority="85" stopIfTrue="1" operator="equal">
      <formula>0</formula>
    </cfRule>
  </conditionalFormatting>
  <conditionalFormatting sqref="B89">
    <cfRule type="cellIs" dxfId="131" priority="89" stopIfTrue="1" operator="equal">
      <formula>0</formula>
    </cfRule>
  </conditionalFormatting>
  <conditionalFormatting sqref="D89:I89 O89">
    <cfRule type="cellIs" dxfId="130" priority="91" stopIfTrue="1" operator="equal">
      <formula>0</formula>
    </cfRule>
  </conditionalFormatting>
  <conditionalFormatting sqref="S89">
    <cfRule type="cellIs" dxfId="129" priority="93" stopIfTrue="1" operator="equal">
      <formula>0</formula>
    </cfRule>
  </conditionalFormatting>
  <conditionalFormatting sqref="S96">
    <cfRule type="cellIs" dxfId="128" priority="99" stopIfTrue="1" operator="equal">
      <formula>0</formula>
    </cfRule>
  </conditionalFormatting>
  <conditionalFormatting sqref="A96">
    <cfRule type="cellIs" dxfId="127" priority="101" stopIfTrue="1" operator="equal">
      <formula>0</formula>
    </cfRule>
  </conditionalFormatting>
  <conditionalFormatting sqref="C96">
    <cfRule type="cellIs" dxfId="126" priority="103" stopIfTrue="1" operator="equal">
      <formula>0</formula>
    </cfRule>
  </conditionalFormatting>
  <conditionalFormatting sqref="A103">
    <cfRule type="cellIs" dxfId="125" priority="107" stopIfTrue="1" operator="equal">
      <formula>0</formula>
    </cfRule>
  </conditionalFormatting>
  <conditionalFormatting sqref="C103">
    <cfRule type="cellIs" dxfId="124" priority="109" stopIfTrue="1" operator="equal">
      <formula>0</formula>
    </cfRule>
  </conditionalFormatting>
  <conditionalFormatting sqref="S110">
    <cfRule type="cellIs" dxfId="123" priority="115" stopIfTrue="1" operator="equal">
      <formula>0</formula>
    </cfRule>
  </conditionalFormatting>
  <conditionalFormatting sqref="A110">
    <cfRule type="cellIs" dxfId="122" priority="119" stopIfTrue="1" operator="equal">
      <formula>0</formula>
    </cfRule>
  </conditionalFormatting>
  <conditionalFormatting sqref="C110">
    <cfRule type="cellIs" dxfId="121" priority="121" stopIfTrue="1" operator="equal">
      <formula>0</formula>
    </cfRule>
  </conditionalFormatting>
  <conditionalFormatting sqref="B117">
    <cfRule type="cellIs" dxfId="120" priority="129" stopIfTrue="1" operator="equal">
      <formula>0</formula>
    </cfRule>
  </conditionalFormatting>
  <conditionalFormatting sqref="D117:I117 O117">
    <cfRule type="cellIs" dxfId="119" priority="131" stopIfTrue="1" operator="equal">
      <formula>0</formula>
    </cfRule>
  </conditionalFormatting>
  <conditionalFormatting sqref="B124">
    <cfRule type="cellIs" dxfId="118" priority="135" stopIfTrue="1" operator="equal">
      <formula>0</formula>
    </cfRule>
  </conditionalFormatting>
  <conditionalFormatting sqref="D124:I124 O124">
    <cfRule type="cellIs" dxfId="117" priority="137" stopIfTrue="1" operator="equal">
      <formula>0</formula>
    </cfRule>
  </conditionalFormatting>
  <conditionalFormatting sqref="S124">
    <cfRule type="cellIs" dxfId="116" priority="139" stopIfTrue="1" operator="equal">
      <formula>0</formula>
    </cfRule>
  </conditionalFormatting>
  <conditionalFormatting sqref="S131">
    <cfRule type="cellIs" dxfId="115" priority="143" stopIfTrue="1" operator="equal">
      <formula>0</formula>
    </cfRule>
  </conditionalFormatting>
  <conditionalFormatting sqref="A131">
    <cfRule type="cellIs" dxfId="114" priority="147" stopIfTrue="1" operator="equal">
      <formula>0</formula>
    </cfRule>
  </conditionalFormatting>
  <conditionalFormatting sqref="C131">
    <cfRule type="cellIs" dxfId="113" priority="149" stopIfTrue="1" operator="equal">
      <formula>0</formula>
    </cfRule>
  </conditionalFormatting>
  <conditionalFormatting sqref="A138">
    <cfRule type="cellIs" dxfId="112" priority="153" stopIfTrue="1" operator="equal">
      <formula>0</formula>
    </cfRule>
  </conditionalFormatting>
  <conditionalFormatting sqref="C138">
    <cfRule type="cellIs" dxfId="111" priority="155" stopIfTrue="1" operator="equal">
      <formula>0</formula>
    </cfRule>
  </conditionalFormatting>
  <conditionalFormatting sqref="A145">
    <cfRule type="cellIs" dxfId="110" priority="165" stopIfTrue="1" operator="equal">
      <formula>0</formula>
    </cfRule>
  </conditionalFormatting>
  <conditionalFormatting sqref="C145">
    <cfRule type="cellIs" dxfId="109" priority="167" stopIfTrue="1" operator="equal">
      <formula>0</formula>
    </cfRule>
  </conditionalFormatting>
  <conditionalFormatting sqref="B152">
    <cfRule type="cellIs" dxfId="108" priority="175" stopIfTrue="1" operator="equal">
      <formula>0</formula>
    </cfRule>
  </conditionalFormatting>
  <conditionalFormatting sqref="D152:I152 O152">
    <cfRule type="cellIs" dxfId="107" priority="177" stopIfTrue="1" operator="equal">
      <formula>0</formula>
    </cfRule>
  </conditionalFormatting>
  <conditionalFormatting sqref="B159">
    <cfRule type="cellIs" dxfId="106" priority="181" stopIfTrue="1" operator="equal">
      <formula>0</formula>
    </cfRule>
  </conditionalFormatting>
  <conditionalFormatting sqref="D159:I159 O159">
    <cfRule type="cellIs" dxfId="105" priority="183" stopIfTrue="1" operator="equal">
      <formula>0</formula>
    </cfRule>
  </conditionalFormatting>
  <conditionalFormatting sqref="S159">
    <cfRule type="cellIs" dxfId="104" priority="185" stopIfTrue="1" operator="equal">
      <formula>0</formula>
    </cfRule>
  </conditionalFormatting>
  <conditionalFormatting sqref="B166">
    <cfRule type="cellIs" dxfId="103" priority="193" stopIfTrue="1" operator="equal">
      <formula>0</formula>
    </cfRule>
  </conditionalFormatting>
  <conditionalFormatting sqref="D166:I166 O166">
    <cfRule type="cellIs" dxfId="102" priority="195" stopIfTrue="1" operator="equal">
      <formula>0</formula>
    </cfRule>
  </conditionalFormatting>
  <conditionalFormatting sqref="B173">
    <cfRule type="cellIs" dxfId="101" priority="199" stopIfTrue="1" operator="equal">
      <formula>0</formula>
    </cfRule>
  </conditionalFormatting>
  <conditionalFormatting sqref="D173:I173 O173">
    <cfRule type="cellIs" dxfId="100" priority="201" stopIfTrue="1" operator="equal">
      <formula>0</formula>
    </cfRule>
  </conditionalFormatting>
  <conditionalFormatting sqref="S173">
    <cfRule type="cellIs" dxfId="99" priority="203" stopIfTrue="1" operator="equal">
      <formula>0</formula>
    </cfRule>
  </conditionalFormatting>
  <conditionalFormatting sqref="S180">
    <cfRule type="cellIs" dxfId="98" priority="209" stopIfTrue="1" operator="equal">
      <formula>0</formula>
    </cfRule>
  </conditionalFormatting>
  <conditionalFormatting sqref="B180">
    <cfRule type="cellIs" dxfId="97" priority="211" stopIfTrue="1" operator="equal">
      <formula>0</formula>
    </cfRule>
  </conditionalFormatting>
  <conditionalFormatting sqref="D180:I180 O180">
    <cfRule type="cellIs" dxfId="96" priority="213" stopIfTrue="1" operator="equal">
      <formula>0</formula>
    </cfRule>
  </conditionalFormatting>
  <conditionalFormatting sqref="S187">
    <cfRule type="cellIs" dxfId="95" priority="215" stopIfTrue="1" operator="equal">
      <formula>0</formula>
    </cfRule>
  </conditionalFormatting>
  <conditionalFormatting sqref="A187">
    <cfRule type="cellIs" dxfId="94" priority="219" stopIfTrue="1" operator="equal">
      <formula>0</formula>
    </cfRule>
  </conditionalFormatting>
  <conditionalFormatting sqref="C187">
    <cfRule type="cellIs" dxfId="93" priority="221" stopIfTrue="1" operator="equal">
      <formula>0</formula>
    </cfRule>
  </conditionalFormatting>
  <conditionalFormatting sqref="A194">
    <cfRule type="cellIs" dxfId="92" priority="225" stopIfTrue="1" operator="equal">
      <formula>0</formula>
    </cfRule>
  </conditionalFormatting>
  <conditionalFormatting sqref="C194">
    <cfRule type="cellIs" dxfId="91" priority="227" stopIfTrue="1" operator="equal">
      <formula>0</formula>
    </cfRule>
  </conditionalFormatting>
  <conditionalFormatting sqref="S201">
    <cfRule type="cellIs" dxfId="90" priority="233" stopIfTrue="1" operator="equal">
      <formula>0</formula>
    </cfRule>
  </conditionalFormatting>
  <conditionalFormatting sqref="A201">
    <cfRule type="cellIs" dxfId="89" priority="237" stopIfTrue="1" operator="equal">
      <formula>0</formula>
    </cfRule>
  </conditionalFormatting>
  <conditionalFormatting sqref="C201">
    <cfRule type="cellIs" dxfId="88" priority="239" stopIfTrue="1" operator="equal">
      <formula>0</formula>
    </cfRule>
  </conditionalFormatting>
  <conditionalFormatting sqref="A208">
    <cfRule type="cellIs" dxfId="87" priority="243" stopIfTrue="1" operator="equal">
      <formula>0</formula>
    </cfRule>
  </conditionalFormatting>
  <conditionalFormatting sqref="C208">
    <cfRule type="cellIs" dxfId="86" priority="245" stopIfTrue="1" operator="equal">
      <formula>0</formula>
    </cfRule>
  </conditionalFormatting>
  <conditionalFormatting sqref="A215">
    <cfRule type="cellIs" dxfId="85" priority="255" stopIfTrue="1" operator="equal">
      <formula>0</formula>
    </cfRule>
  </conditionalFormatting>
  <conditionalFormatting sqref="C215">
    <cfRule type="cellIs" dxfId="84" priority="257" stopIfTrue="1" operator="equal">
      <formula>0</formula>
    </cfRule>
  </conditionalFormatting>
  <conditionalFormatting sqref="B222">
    <cfRule type="cellIs" dxfId="83" priority="265" stopIfTrue="1" operator="equal">
      <formula>0</formula>
    </cfRule>
  </conditionalFormatting>
  <conditionalFormatting sqref="D222:I222 O222">
    <cfRule type="cellIs" dxfId="82" priority="267" stopIfTrue="1" operator="equal">
      <formula>0</formula>
    </cfRule>
  </conditionalFormatting>
  <conditionalFormatting sqref="C222:I222 O222">
    <cfRule type="cellIs" dxfId="81" priority="266" stopIfTrue="1" operator="equal">
      <formula>0</formula>
    </cfRule>
  </conditionalFormatting>
  <conditionalFormatting sqref="A222:C222">
    <cfRule type="cellIs" dxfId="80" priority="264" stopIfTrue="1" operator="equal">
      <formula>0</formula>
    </cfRule>
  </conditionalFormatting>
  <conditionalFormatting sqref="A222">
    <cfRule type="cellIs" dxfId="79" priority="262" stopIfTrue="1" operator="equal">
      <formula>0</formula>
    </cfRule>
  </conditionalFormatting>
  <conditionalFormatting sqref="B215:I215 O215">
    <cfRule type="cellIs" dxfId="78" priority="256" stopIfTrue="1" operator="equal">
      <formula>0</formula>
    </cfRule>
  </conditionalFormatting>
  <conditionalFormatting sqref="A209:I214 A215:B215 S215 O209:O214">
    <cfRule type="cellIs" dxfId="77" priority="254" stopIfTrue="1" operator="equal">
      <formula>0</formula>
    </cfRule>
  </conditionalFormatting>
  <conditionalFormatting sqref="S215">
    <cfRule type="cellIs" dxfId="76" priority="252" stopIfTrue="1" operator="equal">
      <formula>0</formula>
    </cfRule>
  </conditionalFormatting>
  <conditionalFormatting sqref="S208">
    <cfRule type="cellIs" dxfId="75" priority="248" stopIfTrue="1" operator="equal">
      <formula>0</formula>
    </cfRule>
  </conditionalFormatting>
  <conditionalFormatting sqref="D208:I208 O208 S208">
    <cfRule type="cellIs" dxfId="74" priority="246" stopIfTrue="1" operator="equal">
      <formula>0</formula>
    </cfRule>
  </conditionalFormatting>
  <conditionalFormatting sqref="B208:I208 O208">
    <cfRule type="cellIs" dxfId="73" priority="244" stopIfTrue="1" operator="equal">
      <formula>0</formula>
    </cfRule>
  </conditionalFormatting>
  <conditionalFormatting sqref="B201:I201 O201">
    <cfRule type="cellIs" dxfId="72" priority="238" stopIfTrue="1" operator="equal">
      <formula>0</formula>
    </cfRule>
  </conditionalFormatting>
  <conditionalFormatting sqref="A201:B201">
    <cfRule type="cellIs" dxfId="71" priority="236" stopIfTrue="1" operator="equal">
      <formula>0</formula>
    </cfRule>
  </conditionalFormatting>
  <conditionalFormatting sqref="S194">
    <cfRule type="cellIs" dxfId="70" priority="230" stopIfTrue="1" operator="equal">
      <formula>0</formula>
    </cfRule>
  </conditionalFormatting>
  <conditionalFormatting sqref="D194:I194 O194 S194">
    <cfRule type="cellIs" dxfId="69" priority="228" stopIfTrue="1" operator="equal">
      <formula>0</formula>
    </cfRule>
  </conditionalFormatting>
  <conditionalFormatting sqref="B194:I194 O194">
    <cfRule type="cellIs" dxfId="68" priority="226" stopIfTrue="1" operator="equal">
      <formula>0</formula>
    </cfRule>
  </conditionalFormatting>
  <conditionalFormatting sqref="B187:I187 O187">
    <cfRule type="cellIs" dxfId="67" priority="220" stopIfTrue="1" operator="equal">
      <formula>0</formula>
    </cfRule>
  </conditionalFormatting>
  <conditionalFormatting sqref="A187:B187">
    <cfRule type="cellIs" dxfId="66" priority="218" stopIfTrue="1" operator="equal">
      <formula>0</formula>
    </cfRule>
  </conditionalFormatting>
  <conditionalFormatting sqref="C180:I180 O180">
    <cfRule type="cellIs" dxfId="65" priority="212" stopIfTrue="1" operator="equal">
      <formula>0</formula>
    </cfRule>
  </conditionalFormatting>
  <conditionalFormatting sqref="A180:C180">
    <cfRule type="cellIs" dxfId="64" priority="210" stopIfTrue="1" operator="equal">
      <formula>0</formula>
    </cfRule>
  </conditionalFormatting>
  <conditionalFormatting sqref="A174:I179 A180 S180 O174:O179">
    <cfRule type="cellIs" dxfId="63" priority="208" stopIfTrue="1" operator="equal">
      <formula>0</formula>
    </cfRule>
  </conditionalFormatting>
  <conditionalFormatting sqref="S173">
    <cfRule type="cellIs" dxfId="62" priority="202" stopIfTrue="1" operator="equal">
      <formula>0</formula>
    </cfRule>
  </conditionalFormatting>
  <conditionalFormatting sqref="C173:I173 O173">
    <cfRule type="cellIs" dxfId="61" priority="200" stopIfTrue="1" operator="equal">
      <formula>0</formula>
    </cfRule>
  </conditionalFormatting>
  <conditionalFormatting sqref="A173:C173">
    <cfRule type="cellIs" dxfId="60" priority="198" stopIfTrue="1" operator="equal">
      <formula>0</formula>
    </cfRule>
  </conditionalFormatting>
  <conditionalFormatting sqref="C166:I166 O166">
    <cfRule type="cellIs" dxfId="59" priority="194" stopIfTrue="1" operator="equal">
      <formula>0</formula>
    </cfRule>
  </conditionalFormatting>
  <conditionalFormatting sqref="A166:C166">
    <cfRule type="cellIs" dxfId="58" priority="192" stopIfTrue="1" operator="equal">
      <formula>0</formula>
    </cfRule>
  </conditionalFormatting>
  <conditionalFormatting sqref="S159">
    <cfRule type="cellIs" dxfId="57" priority="184" stopIfTrue="1" operator="equal">
      <formula>0</formula>
    </cfRule>
  </conditionalFormatting>
  <conditionalFormatting sqref="C159:I159 O159">
    <cfRule type="cellIs" dxfId="56" priority="182" stopIfTrue="1" operator="equal">
      <formula>0</formula>
    </cfRule>
  </conditionalFormatting>
  <conditionalFormatting sqref="A159:C159">
    <cfRule type="cellIs" dxfId="55" priority="180" stopIfTrue="1" operator="equal">
      <formula>0</formula>
    </cfRule>
  </conditionalFormatting>
  <conditionalFormatting sqref="C152:I152 O152">
    <cfRule type="cellIs" dxfId="54" priority="176" stopIfTrue="1" operator="equal">
      <formula>0</formula>
    </cfRule>
  </conditionalFormatting>
  <conditionalFormatting sqref="A152:C152">
    <cfRule type="cellIs" dxfId="53" priority="174" stopIfTrue="1" operator="equal">
      <formula>0</formula>
    </cfRule>
  </conditionalFormatting>
  <conditionalFormatting sqref="A152">
    <cfRule type="cellIs" dxfId="52" priority="172" stopIfTrue="1" operator="equal">
      <formula>0</formula>
    </cfRule>
  </conditionalFormatting>
  <conditionalFormatting sqref="B145:I145 O145">
    <cfRule type="cellIs" dxfId="51" priority="166" stopIfTrue="1" operator="equal">
      <formula>0</formula>
    </cfRule>
  </conditionalFormatting>
  <conditionalFormatting sqref="A139:I144 A145:B145 S145 O139:O144">
    <cfRule type="cellIs" dxfId="50" priority="164" stopIfTrue="1" operator="equal">
      <formula>0</formula>
    </cfRule>
  </conditionalFormatting>
  <conditionalFormatting sqref="S145">
    <cfRule type="cellIs" dxfId="49" priority="162" stopIfTrue="1" operator="equal">
      <formula>0</formula>
    </cfRule>
  </conditionalFormatting>
  <conditionalFormatting sqref="S138">
    <cfRule type="cellIs" dxfId="48" priority="158" stopIfTrue="1" operator="equal">
      <formula>0</formula>
    </cfRule>
  </conditionalFormatting>
  <conditionalFormatting sqref="D138:I138 O138 S138">
    <cfRule type="cellIs" dxfId="47" priority="156" stopIfTrue="1" operator="equal">
      <formula>0</formula>
    </cfRule>
  </conditionalFormatting>
  <conditionalFormatting sqref="B138:I138 O138">
    <cfRule type="cellIs" dxfId="46" priority="154" stopIfTrue="1" operator="equal">
      <formula>0</formula>
    </cfRule>
  </conditionalFormatting>
  <conditionalFormatting sqref="B131:I131 O131">
    <cfRule type="cellIs" dxfId="45" priority="148" stopIfTrue="1" operator="equal">
      <formula>0</formula>
    </cfRule>
  </conditionalFormatting>
  <conditionalFormatting sqref="A131:B131">
    <cfRule type="cellIs" dxfId="44" priority="146" stopIfTrue="1" operator="equal">
      <formula>0</formula>
    </cfRule>
  </conditionalFormatting>
  <conditionalFormatting sqref="AJ84 S131 AJ158 AJ173 AJ186 AJ207 R233:T233 V233:W233">
    <cfRule type="cellIs" dxfId="43" priority="142" stopIfTrue="1" operator="equal">
      <formula>0</formula>
    </cfRule>
  </conditionalFormatting>
  <conditionalFormatting sqref="S124">
    <cfRule type="cellIs" dxfId="42" priority="138" stopIfTrue="1" operator="equal">
      <formula>0</formula>
    </cfRule>
  </conditionalFormatting>
  <conditionalFormatting sqref="C124:I124 O124">
    <cfRule type="cellIs" dxfId="41" priority="136" stopIfTrue="1" operator="equal">
      <formula>0</formula>
    </cfRule>
  </conditionalFormatting>
  <conditionalFormatting sqref="A124:C124">
    <cfRule type="cellIs" dxfId="40" priority="134" stopIfTrue="1" operator="equal">
      <formula>0</formula>
    </cfRule>
  </conditionalFormatting>
  <conditionalFormatting sqref="C117:I117 O117">
    <cfRule type="cellIs" dxfId="39" priority="130" stopIfTrue="1" operator="equal">
      <formula>0</formula>
    </cfRule>
  </conditionalFormatting>
  <conditionalFormatting sqref="A117:C117">
    <cfRule type="cellIs" dxfId="38" priority="128" stopIfTrue="1" operator="equal">
      <formula>0</formula>
    </cfRule>
  </conditionalFormatting>
  <conditionalFormatting sqref="A117">
    <cfRule type="cellIs" dxfId="37" priority="126" stopIfTrue="1" operator="equal">
      <formula>0</formula>
    </cfRule>
  </conditionalFormatting>
  <conditionalFormatting sqref="B110:I110 O110">
    <cfRule type="cellIs" dxfId="36" priority="120" stopIfTrue="1" operator="equal">
      <formula>0</formula>
    </cfRule>
  </conditionalFormatting>
  <conditionalFormatting sqref="A104:I109 A110:B110 O104:O109">
    <cfRule type="cellIs" dxfId="35" priority="118" stopIfTrue="1" operator="equal">
      <formula>0</formula>
    </cfRule>
  </conditionalFormatting>
  <conditionalFormatting sqref="D103:I103 O103 S103">
    <cfRule type="cellIs" dxfId="34" priority="110" stopIfTrue="1" operator="equal">
      <formula>0</formula>
    </cfRule>
  </conditionalFormatting>
  <conditionalFormatting sqref="B103:I103 O103">
    <cfRule type="cellIs" dxfId="33" priority="108" stopIfTrue="1" operator="equal">
      <formula>0</formula>
    </cfRule>
  </conditionalFormatting>
  <conditionalFormatting sqref="B96:I96 O96">
    <cfRule type="cellIs" dxfId="32" priority="102" stopIfTrue="1" operator="equal">
      <formula>0</formula>
    </cfRule>
  </conditionalFormatting>
  <conditionalFormatting sqref="S96">
    <cfRule type="cellIs" dxfId="31" priority="98" stopIfTrue="1" operator="equal">
      <formula>0</formula>
    </cfRule>
  </conditionalFormatting>
  <conditionalFormatting sqref="C89:I89 O89">
    <cfRule type="cellIs" dxfId="30" priority="90" stopIfTrue="1" operator="equal">
      <formula>0</formula>
    </cfRule>
  </conditionalFormatting>
  <conditionalFormatting sqref="A89:C89">
    <cfRule type="cellIs" dxfId="29" priority="88" stopIfTrue="1" operator="equal">
      <formula>0</formula>
    </cfRule>
  </conditionalFormatting>
  <conditionalFormatting sqref="B82:I82 O82">
    <cfRule type="cellIs" dxfId="28" priority="84" stopIfTrue="1" operator="equal">
      <formula>0</formula>
    </cfRule>
  </conditionalFormatting>
  <conditionalFormatting sqref="A82:B82 O76:O81 A76:I81">
    <cfRule type="cellIs" dxfId="27" priority="82" stopIfTrue="1" operator="equal">
      <formula>0</formula>
    </cfRule>
  </conditionalFormatting>
  <conditionalFormatting sqref="S75">
    <cfRule type="cellIs" dxfId="26" priority="76" stopIfTrue="1" operator="equal">
      <formula>0</formula>
    </cfRule>
  </conditionalFormatting>
  <conditionalFormatting sqref="D75:I75 O75 S75">
    <cfRule type="cellIs" dxfId="25" priority="74" stopIfTrue="1" operator="equal">
      <formula>0</formula>
    </cfRule>
  </conditionalFormatting>
  <conditionalFormatting sqref="B75:I75 O75">
    <cfRule type="cellIs" dxfId="24" priority="72" stopIfTrue="1" operator="equal">
      <formula>0</formula>
    </cfRule>
  </conditionalFormatting>
  <conditionalFormatting sqref="B68:I68 O68">
    <cfRule type="cellIs" dxfId="23" priority="66" stopIfTrue="1" operator="equal">
      <formula>0</formula>
    </cfRule>
  </conditionalFormatting>
  <conditionalFormatting sqref="A68:B68">
    <cfRule type="cellIs" dxfId="22" priority="64" stopIfTrue="1" operator="equal">
      <formula>0</formula>
    </cfRule>
  </conditionalFormatting>
  <conditionalFormatting sqref="C61:I61 O61">
    <cfRule type="cellIs" dxfId="21" priority="58" stopIfTrue="1" operator="equal">
      <formula>0</formula>
    </cfRule>
  </conditionalFormatting>
  <conditionalFormatting sqref="A61:C61">
    <cfRule type="cellIs" dxfId="20" priority="56" stopIfTrue="1" operator="equal">
      <formula>0</formula>
    </cfRule>
  </conditionalFormatting>
  <conditionalFormatting sqref="A55:I60 A61 O55:O60">
    <cfRule type="cellIs" dxfId="19" priority="54" stopIfTrue="1" operator="equal">
      <formula>0</formula>
    </cfRule>
  </conditionalFormatting>
  <conditionalFormatting sqref="S54">
    <cfRule type="cellIs" dxfId="18" priority="48" stopIfTrue="1" operator="equal">
      <formula>0</formula>
    </cfRule>
  </conditionalFormatting>
  <conditionalFormatting sqref="C54:I54 O54">
    <cfRule type="cellIs" dxfId="17" priority="46" stopIfTrue="1" operator="equal">
      <formula>0</formula>
    </cfRule>
  </conditionalFormatting>
  <conditionalFormatting sqref="A54:C54 A65 A76 A87 A98 A109 A120 A131 A142 A153 A164 A175 A186 A197 A208 A219">
    <cfRule type="cellIs" dxfId="16" priority="44" stopIfTrue="1" operator="equal">
      <formula>0</formula>
    </cfRule>
  </conditionalFormatting>
  <conditionalFormatting sqref="C47:I47 O47">
    <cfRule type="cellIs" dxfId="15" priority="40" stopIfTrue="1" operator="equal">
      <formula>0</formula>
    </cfRule>
  </conditionalFormatting>
  <conditionalFormatting sqref="AI5:AJ5 AI4:BD4 AI6:AI1048576">
    <cfRule type="cellIs" dxfId="14" priority="28" stopIfTrue="1" operator="equal">
      <formula>-100</formula>
    </cfRule>
  </conditionalFormatting>
  <conditionalFormatting sqref="AC234:AC1048576 AC4:AC232 A5:BD5">
    <cfRule type="cellIs" dxfId="13" priority="3" operator="equal">
      <formula>0</formula>
    </cfRule>
  </conditionalFormatting>
  <conditionalFormatting sqref="AC233">
    <cfRule type="cellIs" dxfId="12" priority="2" stopIfTrue="1" operator="equal">
      <formula>0</formula>
    </cfRule>
  </conditionalFormatting>
  <conditionalFormatting sqref="B46:B48">
    <cfRule type="cellIs" dxfId="11" priority="1" stopIfTrue="1" operator="equal">
      <formula>0</formula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600-000000000000}">
          <x14:formula1>
            <xm:f>Nomen!$A$83:$A$84</xm:f>
          </x14:formula1>
          <xm:sqref>G1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>
    <tabColor theme="7" tint="-0.249977111117893"/>
  </sheetPr>
  <dimension ref="A1:S39"/>
  <sheetViews>
    <sheetView workbookViewId="0">
      <selection activeCell="Q29" sqref="Q29"/>
    </sheetView>
  </sheetViews>
  <sheetFormatPr baseColWidth="10" defaultColWidth="0" defaultRowHeight="15" zeroHeight="1"/>
  <cols>
    <col min="1" max="2" width="11.42578125" style="5" customWidth="1"/>
    <col min="3" max="3" width="17.85546875" style="5" customWidth="1"/>
    <col min="4" max="4" width="31.42578125" style="5" customWidth="1"/>
    <col min="5" max="5" width="11.42578125" style="68" customWidth="1"/>
    <col min="6" max="6" width="11.42578125" style="12" customWidth="1"/>
    <col min="7" max="7" width="11.42578125" style="5" customWidth="1"/>
    <col min="8" max="8" width="15.42578125" style="5" customWidth="1"/>
    <col min="9" max="9" width="11.42578125" style="6" customWidth="1"/>
    <col min="10" max="10" width="11.42578125" style="5" customWidth="1"/>
    <col min="11" max="11" width="12.140625" style="5" bestFit="1" customWidth="1"/>
    <col min="12" max="13" width="11.42578125" style="6" customWidth="1"/>
    <col min="14" max="14" width="11.85546875" style="5" bestFit="1" customWidth="1"/>
    <col min="15" max="19" width="11.42578125" style="5" customWidth="1"/>
    <col min="20" max="16384" width="11.42578125" style="5" hidden="1"/>
  </cols>
  <sheetData>
    <row r="1" spans="1:18">
      <c r="B1" s="299">
        <v>0</v>
      </c>
      <c r="C1" s="299">
        <v>1</v>
      </c>
      <c r="D1" s="299">
        <v>2</v>
      </c>
      <c r="E1" s="299">
        <v>3</v>
      </c>
      <c r="F1" s="300"/>
      <c r="G1" s="299">
        <v>5</v>
      </c>
      <c r="H1" s="299">
        <v>6</v>
      </c>
      <c r="I1" s="299">
        <v>7</v>
      </c>
      <c r="J1" s="299">
        <v>8</v>
      </c>
      <c r="K1" s="299">
        <v>9</v>
      </c>
      <c r="L1" s="299">
        <v>10</v>
      </c>
      <c r="M1" s="299">
        <v>11</v>
      </c>
      <c r="N1" s="299">
        <v>12</v>
      </c>
      <c r="O1" s="299">
        <v>13</v>
      </c>
      <c r="P1" s="299">
        <v>14</v>
      </c>
      <c r="Q1" s="269" t="s">
        <v>605</v>
      </c>
      <c r="R1" s="269"/>
    </row>
    <row r="2" spans="1:18" s="17" customFormat="1" ht="45">
      <c r="A2" s="17" t="s">
        <v>598</v>
      </c>
      <c r="B2" s="13" t="s">
        <v>163</v>
      </c>
      <c r="C2" s="13" t="s">
        <v>164</v>
      </c>
      <c r="D2" s="14" t="s">
        <v>142</v>
      </c>
      <c r="E2" s="15" t="s">
        <v>140</v>
      </c>
      <c r="G2" s="16" t="s">
        <v>153</v>
      </c>
      <c r="H2" s="16" t="s">
        <v>632</v>
      </c>
      <c r="I2" s="16" t="s">
        <v>631</v>
      </c>
      <c r="J2" s="18" t="s">
        <v>629</v>
      </c>
      <c r="K2" s="18" t="s">
        <v>630</v>
      </c>
      <c r="L2" s="18"/>
      <c r="M2" s="40"/>
      <c r="N2" s="40"/>
      <c r="O2" s="205"/>
      <c r="P2" s="205"/>
      <c r="Q2" s="15" t="s">
        <v>84</v>
      </c>
      <c r="R2" s="15" t="s">
        <v>383</v>
      </c>
    </row>
    <row r="3" spans="1:18" ht="15.75" thickBot="1">
      <c r="A3" s="120">
        <v>0</v>
      </c>
      <c r="B3" s="301">
        <f>C3</f>
        <v>42016</v>
      </c>
      <c r="C3" s="302">
        <f>Inputs!I8</f>
        <v>42016</v>
      </c>
      <c r="D3" s="100" t="s">
        <v>174</v>
      </c>
      <c r="E3" s="303">
        <v>0</v>
      </c>
      <c r="G3" s="12"/>
      <c r="H3" s="48"/>
      <c r="I3" s="41"/>
      <c r="J3" s="42">
        <f>I3*Inputs!$I$12</f>
        <v>0</v>
      </c>
      <c r="K3" s="116">
        <v>25</v>
      </c>
      <c r="L3" s="116"/>
      <c r="N3" s="6"/>
      <c r="O3" s="116">
        <f>_xlfn.NUMBERVALUE(E3)</f>
        <v>0</v>
      </c>
      <c r="P3" s="116"/>
      <c r="Q3" s="308" t="str">
        <f>Inputs!R37</f>
        <v>29/02/2015</v>
      </c>
      <c r="R3" s="204">
        <f>Inputs!S37</f>
        <v>13</v>
      </c>
    </row>
    <row r="4" spans="1:18" ht="15.75" thickTop="1">
      <c r="A4" s="120">
        <f>A5-20</f>
        <v>20</v>
      </c>
      <c r="B4" s="301">
        <f>C3+1</f>
        <v>42017</v>
      </c>
      <c r="C4" s="301">
        <f>VLOOKUP(A4,Nitro!$BC$45:$BD$228,2,TRUE)</f>
        <v>42028</v>
      </c>
      <c r="D4" s="100" t="s">
        <v>175</v>
      </c>
      <c r="E4" s="303">
        <v>9</v>
      </c>
      <c r="G4" s="12">
        <v>0</v>
      </c>
      <c r="H4" s="48">
        <f>H3+G4</f>
        <v>0</v>
      </c>
      <c r="I4" s="41">
        <f t="shared" ref="I4:I20" si="0">G4/(C4-C3)</f>
        <v>0</v>
      </c>
      <c r="J4" s="42">
        <f>I4*Inputs!$I$12</f>
        <v>0</v>
      </c>
      <c r="K4" s="116">
        <v>25</v>
      </c>
      <c r="L4" s="116"/>
      <c r="M4" s="6">
        <f t="shared" ref="M4:M18" si="1">J4*(C4-C3)</f>
        <v>0</v>
      </c>
      <c r="N4" s="6">
        <f>N3+M4</f>
        <v>0</v>
      </c>
      <c r="O4" s="116">
        <f>_xlfn.NUMBERVALUE(E4)</f>
        <v>9</v>
      </c>
      <c r="P4" s="116"/>
      <c r="Q4" s="308">
        <f>Inputs!R38</f>
        <v>42077</v>
      </c>
      <c r="R4" s="204">
        <f>Inputs!S38</f>
        <v>22</v>
      </c>
    </row>
    <row r="5" spans="1:18">
      <c r="A5" s="120">
        <f>A6-20</f>
        <v>40</v>
      </c>
      <c r="B5" s="301">
        <f>C4+1</f>
        <v>42029</v>
      </c>
      <c r="C5" s="301">
        <f>VLOOKUP(A5,Nitro!$BC$45:$BD$228,2,TRUE)</f>
        <v>42039</v>
      </c>
      <c r="D5" s="100" t="s">
        <v>176</v>
      </c>
      <c r="E5" s="304">
        <v>11</v>
      </c>
      <c r="G5" s="12">
        <v>3.4432432432432422E-2</v>
      </c>
      <c r="H5" s="48">
        <f t="shared" ref="H5:H21" si="2">H4+G5</f>
        <v>3.4432432432432422E-2</v>
      </c>
      <c r="I5" s="41">
        <f t="shared" si="0"/>
        <v>3.1302211302211293E-3</v>
      </c>
      <c r="J5" s="42">
        <f>I5*Inputs!$I$12</f>
        <v>0.92967567567567544</v>
      </c>
      <c r="K5" s="116">
        <v>25</v>
      </c>
      <c r="L5" s="116"/>
      <c r="M5" s="6">
        <f t="shared" si="1"/>
        <v>10.22643243243243</v>
      </c>
      <c r="N5" s="6">
        <f t="shared" ref="N5:N21" si="3">N4+M5</f>
        <v>10.22643243243243</v>
      </c>
      <c r="O5" s="116"/>
      <c r="P5" s="116"/>
      <c r="Q5" s="308">
        <f>Inputs!R39</f>
        <v>42098</v>
      </c>
      <c r="R5" s="204">
        <f>Inputs!S39</f>
        <v>30</v>
      </c>
    </row>
    <row r="6" spans="1:18">
      <c r="A6" s="120">
        <f>A7-20</f>
        <v>60</v>
      </c>
      <c r="B6" s="301">
        <f t="shared" ref="B6:B20" si="4">C5+1</f>
        <v>42040</v>
      </c>
      <c r="C6" s="301">
        <f>VLOOKUP(A6,Nitro!$BC$45:$BD$228,2,TRUE)</f>
        <v>42054</v>
      </c>
      <c r="D6" s="100" t="s">
        <v>177</v>
      </c>
      <c r="E6" s="304">
        <v>12</v>
      </c>
      <c r="G6" s="12">
        <v>3.1972972972972982E-2</v>
      </c>
      <c r="H6" s="48">
        <f t="shared" si="2"/>
        <v>6.6405405405405404E-2</v>
      </c>
      <c r="I6" s="41">
        <f t="shared" si="0"/>
        <v>2.1315315315315322E-3</v>
      </c>
      <c r="J6" s="42">
        <f>I6*Inputs!$I$12</f>
        <v>0.63306486486486502</v>
      </c>
      <c r="K6" s="116">
        <v>25</v>
      </c>
      <c r="L6" s="116"/>
      <c r="M6" s="6">
        <f t="shared" si="1"/>
        <v>9.4959729729729752</v>
      </c>
      <c r="N6" s="6">
        <f t="shared" si="3"/>
        <v>19.722405405405404</v>
      </c>
      <c r="O6" s="116"/>
      <c r="P6" s="116"/>
      <c r="Q6" s="308">
        <f>Inputs!R40</f>
        <v>42113</v>
      </c>
      <c r="R6" s="204">
        <f>Inputs!S40</f>
        <v>33</v>
      </c>
    </row>
    <row r="7" spans="1:18">
      <c r="A7" s="120">
        <v>80</v>
      </c>
      <c r="B7" s="301">
        <f t="shared" si="4"/>
        <v>42055</v>
      </c>
      <c r="C7" s="301">
        <f>VLOOKUP(A7,Nitro!$BC$45:$BD$228,2,TRUE)</f>
        <v>42062</v>
      </c>
      <c r="D7" s="100" t="s">
        <v>178</v>
      </c>
      <c r="E7" s="304">
        <v>13</v>
      </c>
      <c r="G7" s="12">
        <v>2.9513513513513515E-2</v>
      </c>
      <c r="H7" s="48">
        <f t="shared" si="2"/>
        <v>9.5918918918918919E-2</v>
      </c>
      <c r="I7" s="41">
        <f t="shared" si="0"/>
        <v>3.6891891891891893E-3</v>
      </c>
      <c r="J7" s="42">
        <f>I7*Inputs!$I$12</f>
        <v>1.0956891891891893</v>
      </c>
      <c r="K7" s="116">
        <v>25</v>
      </c>
      <c r="L7" s="116"/>
      <c r="M7" s="6">
        <f t="shared" si="1"/>
        <v>8.7655135135135147</v>
      </c>
      <c r="N7" s="6">
        <f t="shared" si="3"/>
        <v>28.487918918918918</v>
      </c>
      <c r="O7" s="116">
        <f>_xlfn.NUMBERVALUE(E7)</f>
        <v>13</v>
      </c>
      <c r="P7" s="116"/>
      <c r="Q7" s="308">
        <f>Inputs!R41</f>
        <v>42126</v>
      </c>
      <c r="R7" s="204">
        <f>Inputs!S41</f>
        <v>41</v>
      </c>
    </row>
    <row r="8" spans="1:18">
      <c r="A8" s="120">
        <v>100</v>
      </c>
      <c r="B8" s="301">
        <f t="shared" si="4"/>
        <v>42063</v>
      </c>
      <c r="C8" s="301">
        <f>VLOOKUP(A8,Nitro!$BC$45:$BD$228,2,TRUE)</f>
        <v>42069</v>
      </c>
      <c r="D8" s="100" t="s">
        <v>172</v>
      </c>
      <c r="E8" s="304">
        <v>21</v>
      </c>
      <c r="G8" s="12">
        <v>9.5918918918918919E-2</v>
      </c>
      <c r="H8" s="48">
        <f t="shared" si="2"/>
        <v>0.19183783783783784</v>
      </c>
      <c r="I8" s="41">
        <f t="shared" si="0"/>
        <v>1.3702702702702702E-2</v>
      </c>
      <c r="J8" s="42">
        <f>I8*Inputs!$I$12</f>
        <v>4.0697027027027026</v>
      </c>
      <c r="K8" s="116">
        <v>40</v>
      </c>
      <c r="L8" s="116"/>
      <c r="M8" s="6">
        <f t="shared" si="1"/>
        <v>28.487918918918918</v>
      </c>
      <c r="N8" s="6">
        <f t="shared" si="3"/>
        <v>56.975837837837837</v>
      </c>
      <c r="O8" s="116">
        <f>_xlfn.NUMBERVALUE(E8)</f>
        <v>21</v>
      </c>
      <c r="P8" s="116"/>
      <c r="Q8" s="308">
        <f>Inputs!R42</f>
        <v>42140</v>
      </c>
      <c r="R8" s="204">
        <f>Inputs!S42</f>
        <v>59</v>
      </c>
    </row>
    <row r="9" spans="1:18">
      <c r="A9" s="120">
        <v>185</v>
      </c>
      <c r="B9" s="301">
        <f t="shared" si="4"/>
        <v>42070</v>
      </c>
      <c r="C9" s="301">
        <f>VLOOKUP(A9,Nitro!$BC$45:$BD$228,2,TRUE)</f>
        <v>42098</v>
      </c>
      <c r="D9" s="100" t="s">
        <v>173</v>
      </c>
      <c r="E9" s="304">
        <v>31</v>
      </c>
      <c r="G9" s="45">
        <v>0.13316216216216217</v>
      </c>
      <c r="H9" s="49">
        <f t="shared" si="2"/>
        <v>0.32500000000000001</v>
      </c>
      <c r="I9" s="46">
        <f t="shared" si="0"/>
        <v>4.5917986952469713E-3</v>
      </c>
      <c r="J9" s="47">
        <f>I9*Inputs!$I$12</f>
        <v>1.3637642124883504</v>
      </c>
      <c r="K9" s="117">
        <v>40</v>
      </c>
      <c r="L9" s="116"/>
      <c r="M9" s="6">
        <f t="shared" si="1"/>
        <v>39.549162162162162</v>
      </c>
      <c r="N9" s="6">
        <f t="shared" si="3"/>
        <v>96.525000000000006</v>
      </c>
      <c r="O9" s="116">
        <f>_xlfn.NUMBERVALUE(E9)</f>
        <v>31</v>
      </c>
      <c r="P9" s="116"/>
      <c r="Q9" s="308">
        <f>Inputs!R43</f>
        <v>42147</v>
      </c>
      <c r="R9" s="204">
        <f>Inputs!S43</f>
        <v>65</v>
      </c>
    </row>
    <row r="10" spans="1:18">
      <c r="A10" s="120">
        <v>250</v>
      </c>
      <c r="B10" s="301">
        <f t="shared" si="4"/>
        <v>42099</v>
      </c>
      <c r="C10" s="301">
        <f>VLOOKUP(A10,Nitro!$BC$45:$BD$228,2,TRUE)</f>
        <v>42117</v>
      </c>
      <c r="D10" s="100" t="s">
        <v>179</v>
      </c>
      <c r="E10" s="304">
        <v>39</v>
      </c>
      <c r="G10" s="45">
        <v>0.2</v>
      </c>
      <c r="H10" s="49">
        <f t="shared" si="2"/>
        <v>0.52500000000000002</v>
      </c>
      <c r="I10" s="46">
        <f t="shared" si="0"/>
        <v>1.0526315789473684E-2</v>
      </c>
      <c r="J10" s="47">
        <f>I10*Inputs!$I$12</f>
        <v>3.1263157894736842</v>
      </c>
      <c r="K10" s="117">
        <v>40</v>
      </c>
      <c r="L10" s="116"/>
      <c r="M10" s="6">
        <f t="shared" si="1"/>
        <v>59.4</v>
      </c>
      <c r="N10" s="6">
        <f t="shared" si="3"/>
        <v>155.92500000000001</v>
      </c>
      <c r="O10" s="116">
        <f>_xlfn.NUMBERVALUE(E10)</f>
        <v>39</v>
      </c>
      <c r="P10" s="116"/>
      <c r="Q10" s="308">
        <f>Inputs!R44</f>
        <v>42165</v>
      </c>
      <c r="R10" s="204">
        <f>Inputs!S44</f>
        <v>83</v>
      </c>
    </row>
    <row r="11" spans="1:18">
      <c r="A11" s="120">
        <f>A10+18</f>
        <v>268</v>
      </c>
      <c r="B11" s="301">
        <f t="shared" si="4"/>
        <v>42118</v>
      </c>
      <c r="C11" s="301">
        <f>VLOOKUP(A11,Nitro!$BC$45:$BD$228,2,TRUE)</f>
        <v>42122</v>
      </c>
      <c r="D11" s="100" t="s">
        <v>180</v>
      </c>
      <c r="E11" s="304">
        <v>49</v>
      </c>
      <c r="G11" s="12">
        <v>2.069999999999983E-2</v>
      </c>
      <c r="H11" s="48">
        <f t="shared" si="2"/>
        <v>0.54569999999999985</v>
      </c>
      <c r="I11" s="41">
        <f t="shared" si="0"/>
        <v>4.1399999999999658E-3</v>
      </c>
      <c r="J11" s="42">
        <f>I11*Inputs!$I$12</f>
        <v>1.2295799999999899</v>
      </c>
      <c r="K11" s="116">
        <v>40</v>
      </c>
      <c r="L11" s="116"/>
      <c r="M11" s="6">
        <f t="shared" si="1"/>
        <v>6.1478999999999493</v>
      </c>
      <c r="N11" s="6">
        <f t="shared" si="3"/>
        <v>162.07289999999995</v>
      </c>
      <c r="O11" s="116"/>
      <c r="P11" s="116"/>
      <c r="Q11" s="308">
        <f>Inputs!R45</f>
        <v>42175</v>
      </c>
      <c r="R11" s="204">
        <f>Inputs!S45</f>
        <v>83</v>
      </c>
    </row>
    <row r="12" spans="1:18">
      <c r="A12" s="120">
        <f>A11+18</f>
        <v>286</v>
      </c>
      <c r="B12" s="301">
        <f t="shared" si="4"/>
        <v>42123</v>
      </c>
      <c r="C12" s="301">
        <f>VLOOKUP(A12,Nitro!$BC$45:$BD$228,2,TRUE)</f>
        <v>42126</v>
      </c>
      <c r="D12" s="100" t="s">
        <v>181</v>
      </c>
      <c r="E12" s="304">
        <v>51</v>
      </c>
      <c r="G12" s="12">
        <v>4.3200000000000016E-2</v>
      </c>
      <c r="H12" s="48">
        <f t="shared" si="2"/>
        <v>0.58889999999999987</v>
      </c>
      <c r="I12" s="41">
        <f t="shared" si="0"/>
        <v>1.0800000000000004E-2</v>
      </c>
      <c r="J12" s="42">
        <f>I12*Inputs!$I$12</f>
        <v>3.2076000000000011</v>
      </c>
      <c r="K12" s="116">
        <v>40</v>
      </c>
      <c r="L12" s="116"/>
      <c r="M12" s="6">
        <f t="shared" si="1"/>
        <v>12.830400000000004</v>
      </c>
      <c r="N12" s="6">
        <f t="shared" si="3"/>
        <v>174.90329999999994</v>
      </c>
      <c r="O12" s="116"/>
      <c r="P12" s="116"/>
      <c r="Q12" s="308">
        <f>Inputs!R46</f>
        <v>42189</v>
      </c>
      <c r="R12" s="204">
        <f>Inputs!S46</f>
        <v>89</v>
      </c>
    </row>
    <row r="13" spans="1:18">
      <c r="A13" s="120">
        <v>310</v>
      </c>
      <c r="B13" s="301">
        <f t="shared" si="4"/>
        <v>42127</v>
      </c>
      <c r="C13" s="301">
        <f>VLOOKUP(A13,Nitro!$BC$45:$BD$228,2,TRUE)</f>
        <v>42131</v>
      </c>
      <c r="D13" s="100" t="s">
        <v>182</v>
      </c>
      <c r="E13" s="304">
        <v>55</v>
      </c>
      <c r="G13" s="12">
        <v>5.7600000000000096E-2</v>
      </c>
      <c r="H13" s="48">
        <f t="shared" si="2"/>
        <v>0.64649999999999996</v>
      </c>
      <c r="I13" s="41">
        <f t="shared" si="0"/>
        <v>1.152000000000002E-2</v>
      </c>
      <c r="J13" s="42">
        <f>I13*Inputs!$I$12</f>
        <v>3.4214400000000058</v>
      </c>
      <c r="K13" s="116">
        <v>40</v>
      </c>
      <c r="L13" s="116"/>
      <c r="M13" s="6">
        <f t="shared" si="1"/>
        <v>17.107200000000027</v>
      </c>
      <c r="N13" s="6">
        <f t="shared" si="3"/>
        <v>192.01049999999998</v>
      </c>
      <c r="O13" s="116">
        <f>_xlfn.NUMBERVALUE(E13)</f>
        <v>55</v>
      </c>
      <c r="P13" s="116"/>
      <c r="Q13" s="308"/>
      <c r="R13" s="204"/>
    </row>
    <row r="14" spans="1:18">
      <c r="A14" s="120">
        <f>A15-20</f>
        <v>330</v>
      </c>
      <c r="B14" s="301">
        <f t="shared" si="4"/>
        <v>42132</v>
      </c>
      <c r="C14" s="301">
        <f>VLOOKUP(A14,Nitro!$BC$45:$BD$228,2,TRUE)</f>
        <v>42134</v>
      </c>
      <c r="D14" s="100" t="s">
        <v>183</v>
      </c>
      <c r="E14" s="304">
        <v>59</v>
      </c>
      <c r="G14" s="12">
        <v>4.3200000000000016E-2</v>
      </c>
      <c r="H14" s="48">
        <f t="shared" si="2"/>
        <v>0.68969999999999998</v>
      </c>
      <c r="I14" s="41">
        <f t="shared" si="0"/>
        <v>1.4400000000000005E-2</v>
      </c>
      <c r="J14" s="42">
        <f>I14*Inputs!$I$12</f>
        <v>4.2768000000000015</v>
      </c>
      <c r="K14" s="116">
        <v>40</v>
      </c>
      <c r="L14" s="116"/>
      <c r="M14" s="6">
        <f t="shared" si="1"/>
        <v>12.830400000000004</v>
      </c>
      <c r="N14" s="6">
        <f t="shared" si="3"/>
        <v>204.84089999999998</v>
      </c>
      <c r="O14" s="116"/>
      <c r="P14" s="116"/>
      <c r="Q14" s="308"/>
      <c r="R14" s="204"/>
    </row>
    <row r="15" spans="1:18">
      <c r="A15" s="120">
        <v>350</v>
      </c>
      <c r="B15" s="301">
        <f t="shared" si="4"/>
        <v>42135</v>
      </c>
      <c r="C15" s="301">
        <f>VLOOKUP(A15,Nitro!$BC$45:$BD$228,2,TRUE)</f>
        <v>42137</v>
      </c>
      <c r="D15" s="100" t="s">
        <v>185</v>
      </c>
      <c r="E15" s="304">
        <v>65</v>
      </c>
      <c r="G15" s="45">
        <v>4.8800000000000003E-2</v>
      </c>
      <c r="H15" s="49">
        <f t="shared" si="2"/>
        <v>0.73849999999999993</v>
      </c>
      <c r="I15" s="46">
        <f t="shared" si="0"/>
        <v>1.6266666666666669E-2</v>
      </c>
      <c r="J15" s="47">
        <f>I15*Inputs!$I$12</f>
        <v>4.8312000000000008</v>
      </c>
      <c r="K15" s="117">
        <v>40</v>
      </c>
      <c r="L15" s="116"/>
      <c r="M15" s="6">
        <f t="shared" si="1"/>
        <v>14.493600000000002</v>
      </c>
      <c r="N15" s="6">
        <f t="shared" si="3"/>
        <v>219.33449999999999</v>
      </c>
      <c r="O15" s="116">
        <f>_xlfn.NUMBERVALUE(E15)</f>
        <v>65</v>
      </c>
      <c r="P15" s="116"/>
      <c r="Q15" s="308"/>
      <c r="R15" s="204"/>
    </row>
    <row r="16" spans="1:18">
      <c r="A16" s="120">
        <f>A17-30</f>
        <v>385</v>
      </c>
      <c r="B16" s="301">
        <f t="shared" si="4"/>
        <v>42138</v>
      </c>
      <c r="C16" s="301">
        <f>VLOOKUP(A16,Nitro!$BC$45:$BD$228,2,TRUE)</f>
        <v>42143</v>
      </c>
      <c r="D16" s="100" t="s">
        <v>184</v>
      </c>
      <c r="E16" s="304">
        <v>71</v>
      </c>
      <c r="G16" s="12">
        <v>6.7999999999999006E-2</v>
      </c>
      <c r="H16" s="48">
        <f>H15+G16</f>
        <v>0.80649999999999888</v>
      </c>
      <c r="I16" s="41">
        <f t="shared" si="0"/>
        <v>1.1333333333333168E-2</v>
      </c>
      <c r="J16" s="42">
        <f>I16*Inputs!$I$12</f>
        <v>3.3659999999999508</v>
      </c>
      <c r="K16" s="116">
        <v>25</v>
      </c>
      <c r="L16" s="116"/>
      <c r="M16" s="6">
        <f t="shared" si="1"/>
        <v>20.195999999999707</v>
      </c>
      <c r="N16" s="6">
        <f t="shared" si="3"/>
        <v>239.53049999999971</v>
      </c>
      <c r="O16" s="116"/>
      <c r="P16" s="116"/>
      <c r="Q16" s="308"/>
      <c r="R16" s="204"/>
    </row>
    <row r="17" spans="1:18">
      <c r="A17" s="120">
        <f>A18-30</f>
        <v>415</v>
      </c>
      <c r="B17" s="301">
        <f t="shared" si="4"/>
        <v>42144</v>
      </c>
      <c r="C17" s="301">
        <f>VLOOKUP(A17,Nitro!$BC$45:$BD$228,2,TRUE)</f>
        <v>42149</v>
      </c>
      <c r="D17" s="100" t="s">
        <v>186</v>
      </c>
      <c r="E17" s="304">
        <v>75</v>
      </c>
      <c r="G17" s="12">
        <v>7.0000000000000007E-2</v>
      </c>
      <c r="H17" s="48">
        <f t="shared" si="2"/>
        <v>0.87649999999999895</v>
      </c>
      <c r="I17" s="41">
        <f t="shared" si="0"/>
        <v>1.1666666666666667E-2</v>
      </c>
      <c r="J17" s="42">
        <f>I17*Inputs!$I$12</f>
        <v>3.4650000000000003</v>
      </c>
      <c r="K17" s="116">
        <v>25</v>
      </c>
      <c r="L17" s="116"/>
      <c r="M17" s="6">
        <f t="shared" si="1"/>
        <v>20.790000000000003</v>
      </c>
      <c r="N17" s="6">
        <f t="shared" si="3"/>
        <v>260.3204999999997</v>
      </c>
      <c r="O17" s="116"/>
      <c r="P17" s="116"/>
      <c r="Q17" s="308"/>
      <c r="R17" s="204"/>
    </row>
    <row r="18" spans="1:18">
      <c r="A18" s="120">
        <v>445</v>
      </c>
      <c r="B18" s="301">
        <f t="shared" si="4"/>
        <v>42150</v>
      </c>
      <c r="C18" s="301">
        <f>VLOOKUP(A18,Nitro!$BC$45:$BD$228,2,TRUE)</f>
        <v>42154</v>
      </c>
      <c r="D18" s="100" t="s">
        <v>187</v>
      </c>
      <c r="E18" s="304">
        <v>83</v>
      </c>
      <c r="G18" s="45">
        <v>0.08</v>
      </c>
      <c r="H18" s="49">
        <f>H17+G18</f>
        <v>0.95649999999999891</v>
      </c>
      <c r="I18" s="46">
        <f t="shared" si="0"/>
        <v>1.6E-2</v>
      </c>
      <c r="J18" s="47">
        <f>I18*Inputs!$I$12</f>
        <v>4.7519999999999998</v>
      </c>
      <c r="K18" s="117">
        <v>25</v>
      </c>
      <c r="L18" s="116"/>
      <c r="M18" s="6">
        <f t="shared" si="1"/>
        <v>23.759999999999998</v>
      </c>
      <c r="N18" s="6">
        <f t="shared" si="3"/>
        <v>284.08049999999969</v>
      </c>
      <c r="O18" s="116">
        <f>_xlfn.NUMBERVALUE(E18)</f>
        <v>83</v>
      </c>
      <c r="P18" s="116"/>
      <c r="Q18" s="308"/>
      <c r="R18" s="204"/>
    </row>
    <row r="19" spans="1:18">
      <c r="A19" s="120">
        <f>A20-15</f>
        <v>560</v>
      </c>
      <c r="B19" s="301">
        <f t="shared" si="4"/>
        <v>42155</v>
      </c>
      <c r="C19" s="301">
        <f>VLOOKUP(A19,Nitro!$BC$45:$BD$228,2,TRUE)</f>
        <v>42175</v>
      </c>
      <c r="D19" s="100" t="s">
        <v>188</v>
      </c>
      <c r="E19" s="304">
        <v>85</v>
      </c>
      <c r="G19" s="12">
        <v>0.08</v>
      </c>
      <c r="H19" s="48">
        <f>H18+G19</f>
        <v>1.0364999999999989</v>
      </c>
      <c r="I19" s="41">
        <f t="shared" si="0"/>
        <v>3.8095238095238095E-3</v>
      </c>
      <c r="J19" s="42">
        <f>I19*Inputs!$I$12</f>
        <v>1.1314285714285715</v>
      </c>
      <c r="K19" s="116">
        <v>25</v>
      </c>
      <c r="L19" s="116"/>
      <c r="M19" s="6">
        <f>J19*(C19-C17)</f>
        <v>29.417142857142856</v>
      </c>
      <c r="N19" s="6">
        <f t="shared" si="3"/>
        <v>313.49764285714252</v>
      </c>
      <c r="O19" s="116"/>
      <c r="P19" s="116"/>
      <c r="Q19" s="308"/>
      <c r="R19" s="204"/>
    </row>
    <row r="20" spans="1:18">
      <c r="A20" s="120">
        <v>575</v>
      </c>
      <c r="B20" s="301">
        <f t="shared" si="4"/>
        <v>42176</v>
      </c>
      <c r="C20" s="301">
        <f>VLOOKUP(A20,Nitro!$BC$45:$BD$228,2,TRUE)</f>
        <v>42177</v>
      </c>
      <c r="D20" s="100" t="s">
        <v>189</v>
      </c>
      <c r="E20" s="304">
        <v>87</v>
      </c>
      <c r="G20" s="12">
        <v>0.04</v>
      </c>
      <c r="H20" s="48">
        <f t="shared" si="2"/>
        <v>1.0764999999999989</v>
      </c>
      <c r="I20" s="41">
        <f t="shared" si="0"/>
        <v>0.02</v>
      </c>
      <c r="J20" s="42">
        <f>I20*Inputs!$I$12</f>
        <v>5.94</v>
      </c>
      <c r="K20" s="116">
        <v>0</v>
      </c>
      <c r="L20" s="116"/>
      <c r="M20" s="6">
        <f>J20*(C20-C19)</f>
        <v>11.88</v>
      </c>
      <c r="N20" s="6">
        <f t="shared" si="3"/>
        <v>325.37764285714252</v>
      </c>
      <c r="O20" s="116">
        <f>_xlfn.NUMBERVALUE(E20)</f>
        <v>87</v>
      </c>
      <c r="P20" s="116"/>
      <c r="Q20" s="308"/>
      <c r="R20" s="204"/>
    </row>
    <row r="21" spans="1:18">
      <c r="A21" s="120">
        <f>A20+35</f>
        <v>610</v>
      </c>
      <c r="B21" s="301">
        <f>C20+2</f>
        <v>42179</v>
      </c>
      <c r="C21" s="301">
        <f>VLOOKUP(A21,Nitro!$BC$45:$BD$228,2,TRUE)</f>
        <v>42182</v>
      </c>
      <c r="D21" s="100" t="s">
        <v>190</v>
      </c>
      <c r="E21" s="304" t="s">
        <v>141</v>
      </c>
      <c r="G21" s="12">
        <v>0.03</v>
      </c>
      <c r="H21" s="48">
        <f t="shared" si="2"/>
        <v>1.1064999999999989</v>
      </c>
      <c r="I21" s="41">
        <v>0</v>
      </c>
      <c r="J21" s="42">
        <f>I21*Inputs!$I$12</f>
        <v>0</v>
      </c>
      <c r="K21" s="116">
        <v>0</v>
      </c>
      <c r="L21" s="116"/>
      <c r="M21" s="6">
        <f>J21*(C21-C20)</f>
        <v>0</v>
      </c>
      <c r="N21" s="6">
        <f t="shared" si="3"/>
        <v>325.37764285714252</v>
      </c>
      <c r="O21" s="116">
        <v>89</v>
      </c>
      <c r="P21" s="116"/>
      <c r="Q21" s="308"/>
      <c r="R21" s="204"/>
    </row>
    <row r="22" spans="1:18">
      <c r="E22" s="5"/>
      <c r="G22" s="12"/>
      <c r="I22" s="5"/>
      <c r="J22" s="6"/>
      <c r="L22" s="5"/>
      <c r="M22" s="6">
        <f>SUM(M4:M21)</f>
        <v>325.37764285714252</v>
      </c>
      <c r="N22" s="6"/>
      <c r="O22" s="116"/>
      <c r="P22" s="116"/>
      <c r="Q22" s="308"/>
      <c r="R22" s="204"/>
    </row>
    <row r="23" spans="1:18">
      <c r="N23" s="116"/>
      <c r="O23" s="116"/>
    </row>
    <row r="24" spans="1:18">
      <c r="N24" s="116"/>
      <c r="O24" s="116"/>
    </row>
    <row r="25" spans="1:18">
      <c r="B25"/>
      <c r="C25"/>
      <c r="D25"/>
      <c r="F25"/>
    </row>
    <row r="26" spans="1:18">
      <c r="B26"/>
      <c r="C26"/>
      <c r="D26"/>
      <c r="F26"/>
    </row>
    <row r="27" spans="1:18">
      <c r="B27"/>
      <c r="C27"/>
      <c r="D27"/>
      <c r="F27"/>
    </row>
    <row r="28" spans="1:18">
      <c r="B28"/>
      <c r="C28"/>
      <c r="D28"/>
      <c r="F28"/>
    </row>
    <row r="29" spans="1:18">
      <c r="B29"/>
      <c r="C29"/>
      <c r="D29"/>
      <c r="F29"/>
    </row>
    <row r="30" spans="1:18"/>
    <row r="31" spans="1:18"/>
    <row r="32" spans="1:18"/>
    <row r="33"/>
    <row r="34"/>
    <row r="35"/>
    <row r="36"/>
    <row r="37"/>
    <row r="38"/>
    <row r="39"/>
  </sheetData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tabColor theme="7" tint="-0.249977111117893"/>
  </sheetPr>
  <dimension ref="A1:BA411"/>
  <sheetViews>
    <sheetView workbookViewId="0">
      <selection activeCell="O22" sqref="O22"/>
    </sheetView>
  </sheetViews>
  <sheetFormatPr baseColWidth="10" defaultColWidth="0" defaultRowHeight="15" zeroHeight="1"/>
  <cols>
    <col min="1" max="2" width="11.42578125" style="116" customWidth="1"/>
    <col min="3" max="3" width="16.140625" style="116" customWidth="1"/>
    <col min="4" max="52" width="11.42578125" style="116" customWidth="1"/>
    <col min="53" max="16384" width="11.42578125" style="116" hidden="1"/>
  </cols>
  <sheetData>
    <row r="1" spans="1:52" ht="15.75">
      <c r="A1" s="118" t="s">
        <v>701</v>
      </c>
    </row>
    <row r="2" spans="1:52">
      <c r="B2" s="231" t="s">
        <v>70</v>
      </c>
      <c r="C2" s="231" t="s">
        <v>670</v>
      </c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1"/>
      <c r="R2" s="231"/>
      <c r="S2" s="231"/>
      <c r="T2" s="231"/>
      <c r="U2" s="231"/>
      <c r="V2" s="231"/>
      <c r="W2" s="231"/>
      <c r="X2" s="231"/>
      <c r="Y2" s="231"/>
      <c r="Z2" s="231"/>
      <c r="AA2" s="231"/>
      <c r="AB2" s="231"/>
      <c r="AC2" s="231"/>
      <c r="AD2" s="231"/>
      <c r="AE2" s="231"/>
      <c r="AF2" s="231"/>
      <c r="AG2" s="231"/>
      <c r="AH2" s="231"/>
      <c r="AI2" s="231"/>
      <c r="AJ2" s="231"/>
      <c r="AK2" s="231"/>
      <c r="AL2" s="231"/>
      <c r="AM2" s="231"/>
      <c r="AN2" s="231"/>
      <c r="AO2" s="231"/>
      <c r="AP2" s="231"/>
      <c r="AQ2" s="231"/>
      <c r="AR2" s="231"/>
      <c r="AS2" s="231"/>
      <c r="AT2" s="231"/>
      <c r="AU2" s="231"/>
      <c r="AV2" s="231"/>
      <c r="AW2" s="231"/>
      <c r="AX2" s="231"/>
      <c r="AY2" s="231"/>
      <c r="AZ2" s="231"/>
    </row>
    <row r="3" spans="1:52">
      <c r="B3" s="231" t="s">
        <v>71</v>
      </c>
      <c r="C3" s="232">
        <v>42188</v>
      </c>
      <c r="D3" s="231"/>
      <c r="E3" s="231"/>
      <c r="F3" s="231"/>
      <c r="G3" s="231"/>
      <c r="H3" s="231"/>
      <c r="I3" s="231"/>
      <c r="J3" s="231"/>
      <c r="K3" s="231"/>
      <c r="L3" s="231"/>
      <c r="M3" s="231"/>
      <c r="N3" s="231"/>
      <c r="O3" s="231"/>
      <c r="P3" s="231"/>
      <c r="Q3" s="231"/>
      <c r="R3" s="231"/>
      <c r="S3" s="231"/>
      <c r="T3" s="231"/>
      <c r="U3" s="231"/>
      <c r="V3" s="231"/>
      <c r="W3" s="231"/>
      <c r="X3" s="231"/>
      <c r="Y3" s="231"/>
      <c r="Z3" s="231"/>
      <c r="AA3" s="231"/>
      <c r="AB3" s="231"/>
      <c r="AC3" s="231"/>
      <c r="AD3" s="231"/>
      <c r="AE3" s="231"/>
      <c r="AF3" s="231"/>
      <c r="AG3" s="231"/>
      <c r="AH3" s="231"/>
      <c r="AI3" s="231"/>
      <c r="AJ3" s="231"/>
      <c r="AK3" s="231"/>
      <c r="AL3" s="231"/>
      <c r="AM3" s="231"/>
      <c r="AN3" s="231"/>
      <c r="AO3" s="231"/>
      <c r="AP3" s="231"/>
      <c r="AQ3" s="231"/>
      <c r="AR3" s="231"/>
      <c r="AS3" s="231"/>
      <c r="AT3" s="231"/>
      <c r="AU3" s="231"/>
      <c r="AV3" s="231"/>
      <c r="AW3" s="231"/>
      <c r="AX3" s="231"/>
      <c r="AY3" s="231"/>
      <c r="AZ3" s="231"/>
    </row>
    <row r="4" spans="1:52">
      <c r="B4" s="231" t="s">
        <v>58</v>
      </c>
      <c r="C4" s="231" t="s">
        <v>376</v>
      </c>
      <c r="D4" s="231"/>
      <c r="E4" s="231"/>
      <c r="F4" s="231"/>
      <c r="G4" s="231"/>
      <c r="H4" s="231"/>
      <c r="I4" s="231"/>
      <c r="J4" s="231"/>
      <c r="K4" s="231"/>
      <c r="L4" s="231"/>
      <c r="M4" s="231"/>
      <c r="N4" s="231"/>
      <c r="O4" s="231"/>
      <c r="P4" s="231"/>
      <c r="Q4" s="231"/>
      <c r="R4" s="231"/>
      <c r="S4" s="231"/>
      <c r="T4" s="231"/>
      <c r="U4" s="231"/>
      <c r="V4" s="231"/>
      <c r="W4" s="231"/>
      <c r="X4" s="231"/>
      <c r="Y4" s="231"/>
      <c r="Z4" s="231"/>
      <c r="AA4" s="231"/>
      <c r="AB4" s="231"/>
      <c r="AC4" s="231"/>
      <c r="AD4" s="231"/>
      <c r="AE4" s="231"/>
      <c r="AF4" s="231"/>
      <c r="AG4" s="231"/>
      <c r="AH4" s="231"/>
      <c r="AI4" s="231"/>
      <c r="AJ4" s="231"/>
      <c r="AK4" s="231"/>
      <c r="AL4" s="231"/>
      <c r="AM4" s="231"/>
      <c r="AN4" s="231"/>
      <c r="AO4" s="231"/>
      <c r="AP4" s="231"/>
      <c r="AQ4" s="231"/>
      <c r="AR4" s="231"/>
      <c r="AS4" s="231"/>
      <c r="AT4" s="231"/>
      <c r="AU4" s="231"/>
      <c r="AV4" s="231"/>
      <c r="AW4" s="231"/>
      <c r="AX4" s="231"/>
      <c r="AY4" s="231"/>
      <c r="AZ4" s="231"/>
    </row>
    <row r="5" spans="1:52">
      <c r="B5" s="231" t="s">
        <v>72</v>
      </c>
      <c r="C5" s="231" t="s">
        <v>671</v>
      </c>
      <c r="D5" s="231"/>
      <c r="E5" s="231"/>
      <c r="F5" s="231"/>
      <c r="G5" s="231"/>
      <c r="H5" s="231"/>
      <c r="I5" s="231"/>
      <c r="J5" s="231"/>
      <c r="K5" s="231"/>
      <c r="L5" s="231"/>
      <c r="M5" s="231"/>
      <c r="N5" s="231"/>
      <c r="O5" s="231"/>
      <c r="P5" s="231"/>
      <c r="Q5" s="231"/>
      <c r="R5" s="231"/>
      <c r="S5" s="231"/>
      <c r="T5" s="231"/>
      <c r="U5" s="231"/>
      <c r="V5" s="231"/>
      <c r="W5" s="231"/>
      <c r="X5" s="231"/>
      <c r="Y5" s="231"/>
      <c r="Z5" s="231"/>
      <c r="AA5" s="231"/>
      <c r="AB5" s="231"/>
      <c r="AC5" s="231"/>
      <c r="AD5" s="231"/>
      <c r="AE5" s="231"/>
      <c r="AF5" s="231"/>
      <c r="AG5" s="231"/>
      <c r="AH5" s="231"/>
      <c r="AI5" s="231"/>
      <c r="AJ5" s="231"/>
      <c r="AK5" s="231"/>
      <c r="AL5" s="231"/>
      <c r="AM5" s="231"/>
      <c r="AN5" s="231"/>
      <c r="AO5" s="231"/>
      <c r="AP5" s="231"/>
      <c r="AQ5" s="231"/>
      <c r="AR5" s="231"/>
      <c r="AS5" s="231"/>
      <c r="AT5" s="231"/>
      <c r="AU5" s="231"/>
      <c r="AV5" s="231"/>
      <c r="AW5" s="231"/>
      <c r="AX5" s="231"/>
      <c r="AY5" s="231"/>
      <c r="AZ5" s="231"/>
    </row>
    <row r="6" spans="1:52">
      <c r="B6" s="231" t="s">
        <v>73</v>
      </c>
      <c r="C6" s="116">
        <v>0.35</v>
      </c>
      <c r="D6" s="231"/>
      <c r="E6" s="231"/>
      <c r="F6" s="231"/>
      <c r="G6" s="231"/>
      <c r="H6" s="231"/>
      <c r="I6" s="231"/>
      <c r="J6" s="231"/>
      <c r="K6" s="231"/>
      <c r="L6" s="231"/>
      <c r="M6" s="231"/>
      <c r="N6" s="231"/>
      <c r="O6" s="231"/>
      <c r="P6" s="231"/>
      <c r="Q6" s="231"/>
      <c r="R6" s="231"/>
      <c r="S6" s="231"/>
      <c r="T6" s="231"/>
      <c r="U6" s="231"/>
      <c r="V6" s="231"/>
      <c r="W6" s="231"/>
      <c r="X6" s="231"/>
      <c r="Y6" s="231"/>
      <c r="Z6" s="231"/>
      <c r="AA6" s="231"/>
      <c r="AB6" s="231"/>
      <c r="AC6" s="231"/>
      <c r="AD6" s="231"/>
      <c r="AE6" s="231"/>
      <c r="AF6" s="231"/>
      <c r="AG6" s="231"/>
      <c r="AH6" s="231"/>
      <c r="AI6" s="231"/>
      <c r="AJ6" s="231"/>
      <c r="AK6" s="231"/>
      <c r="AL6" s="231"/>
      <c r="AM6" s="231"/>
      <c r="AN6" s="231"/>
      <c r="AO6" s="231"/>
      <c r="AP6" s="231"/>
      <c r="AQ6" s="231"/>
      <c r="AR6" s="231"/>
      <c r="AS6" s="231"/>
      <c r="AT6" s="231"/>
      <c r="AU6" s="231"/>
      <c r="AV6" s="231"/>
      <c r="AW6" s="231"/>
      <c r="AX6" s="231"/>
      <c r="AY6" s="231"/>
      <c r="AZ6" s="231"/>
    </row>
    <row r="7" spans="1:52">
      <c r="B7" s="231" t="s">
        <v>74</v>
      </c>
      <c r="C7" s="116">
        <v>0</v>
      </c>
      <c r="D7" s="231"/>
      <c r="E7" s="231"/>
      <c r="F7" s="231"/>
      <c r="G7" s="231"/>
      <c r="H7" s="231"/>
      <c r="I7" s="231"/>
      <c r="J7" s="231"/>
      <c r="K7" s="231"/>
      <c r="L7" s="231"/>
      <c r="M7" s="231"/>
      <c r="N7" s="231"/>
      <c r="O7" s="231"/>
      <c r="P7" s="231"/>
      <c r="Q7" s="231"/>
      <c r="R7" s="231"/>
      <c r="S7" s="231"/>
      <c r="T7" s="231"/>
      <c r="U7" s="231"/>
      <c r="V7" s="231"/>
      <c r="W7" s="231"/>
      <c r="X7" s="231"/>
      <c r="Y7" s="231"/>
      <c r="Z7" s="231"/>
      <c r="AA7" s="231"/>
      <c r="AB7" s="231"/>
      <c r="AC7" s="231"/>
      <c r="AD7" s="231"/>
      <c r="AE7" s="231"/>
      <c r="AF7" s="231"/>
      <c r="AG7" s="231"/>
      <c r="AH7" s="231"/>
      <c r="AI7" s="231"/>
      <c r="AJ7" s="231"/>
      <c r="AK7" s="231"/>
      <c r="AL7" s="231"/>
      <c r="AM7" s="231"/>
      <c r="AN7" s="231"/>
      <c r="AO7" s="231"/>
      <c r="AP7" s="231"/>
      <c r="AQ7" s="231"/>
      <c r="AR7" s="231"/>
      <c r="AS7" s="231"/>
      <c r="AT7" s="231"/>
      <c r="AU7" s="231"/>
      <c r="AV7" s="231"/>
      <c r="AW7" s="231"/>
      <c r="AX7" s="231"/>
      <c r="AY7" s="231"/>
      <c r="AZ7" s="231"/>
    </row>
    <row r="8" spans="1:52">
      <c r="B8" s="231" t="s">
        <v>75</v>
      </c>
      <c r="C8" s="116">
        <v>26.95</v>
      </c>
      <c r="D8" s="231"/>
      <c r="E8" s="231"/>
      <c r="F8" s="231"/>
      <c r="G8" s="231"/>
      <c r="H8" s="231"/>
      <c r="I8" s="231"/>
      <c r="J8" s="231"/>
      <c r="K8" s="231"/>
      <c r="L8" s="231"/>
      <c r="M8" s="231"/>
      <c r="N8" s="231"/>
      <c r="O8" s="231"/>
      <c r="P8" s="231"/>
      <c r="Q8" s="231"/>
      <c r="R8" s="231"/>
      <c r="S8" s="231"/>
      <c r="T8" s="231"/>
      <c r="U8" s="231"/>
      <c r="V8" s="231"/>
      <c r="W8" s="231"/>
      <c r="X8" s="231"/>
      <c r="Y8" s="231"/>
      <c r="Z8" s="231"/>
      <c r="AA8" s="231"/>
      <c r="AB8" s="231"/>
      <c r="AC8" s="231"/>
      <c r="AD8" s="231"/>
      <c r="AE8" s="231"/>
      <c r="AF8" s="231"/>
      <c r="AG8" s="231"/>
      <c r="AH8" s="231"/>
      <c r="AI8" s="231"/>
      <c r="AJ8" s="231"/>
      <c r="AK8" s="231"/>
      <c r="AL8" s="231"/>
      <c r="AM8" s="231"/>
      <c r="AN8" s="231"/>
      <c r="AO8" s="231"/>
      <c r="AP8" s="231"/>
      <c r="AQ8" s="231"/>
      <c r="AR8" s="231"/>
      <c r="AS8" s="231"/>
      <c r="AT8" s="231"/>
      <c r="AU8" s="231"/>
      <c r="AV8" s="231"/>
      <c r="AW8" s="231"/>
      <c r="AX8" s="231"/>
      <c r="AY8" s="231"/>
      <c r="AZ8" s="231"/>
    </row>
    <row r="9" spans="1:52">
      <c r="B9" s="231" t="s">
        <v>76</v>
      </c>
      <c r="C9" s="232">
        <v>42173</v>
      </c>
      <c r="D9" s="231"/>
      <c r="E9" s="231"/>
      <c r="F9" s="231"/>
      <c r="G9" s="231"/>
      <c r="H9" s="231"/>
      <c r="I9" s="231"/>
      <c r="J9" s="231"/>
      <c r="K9" s="231"/>
      <c r="L9" s="231"/>
      <c r="M9" s="231"/>
      <c r="N9" s="231"/>
      <c r="O9" s="231"/>
      <c r="P9" s="231"/>
      <c r="Q9" s="231"/>
      <c r="R9" s="231"/>
      <c r="S9" s="231"/>
      <c r="T9" s="231"/>
      <c r="U9" s="231"/>
      <c r="V9" s="231"/>
      <c r="W9" s="231"/>
      <c r="X9" s="231"/>
      <c r="Y9" s="231"/>
      <c r="Z9" s="231"/>
      <c r="AA9" s="231"/>
      <c r="AB9" s="231"/>
      <c r="AC9" s="231"/>
      <c r="AD9" s="231"/>
      <c r="AE9" s="231"/>
      <c r="AF9" s="231"/>
      <c r="AG9" s="231"/>
      <c r="AH9" s="231"/>
      <c r="AI9" s="231"/>
      <c r="AJ9" s="231"/>
      <c r="AK9" s="231"/>
      <c r="AL9" s="231"/>
      <c r="AM9" s="231"/>
      <c r="AN9" s="231"/>
      <c r="AO9" s="231"/>
      <c r="AP9" s="231"/>
      <c r="AQ9" s="231"/>
      <c r="AR9" s="231"/>
      <c r="AS9" s="231"/>
      <c r="AT9" s="231"/>
      <c r="AU9" s="231"/>
      <c r="AV9" s="231"/>
      <c r="AW9" s="231"/>
      <c r="AX9" s="231"/>
      <c r="AY9" s="231"/>
      <c r="AZ9" s="231"/>
    </row>
    <row r="10" spans="1:52">
      <c r="B10" s="231" t="s">
        <v>77</v>
      </c>
      <c r="C10" s="231" t="s">
        <v>304</v>
      </c>
      <c r="D10" s="231" t="s">
        <v>377</v>
      </c>
      <c r="E10" s="231" t="s">
        <v>378</v>
      </c>
      <c r="F10" s="231" t="s">
        <v>305</v>
      </c>
      <c r="G10" s="231"/>
      <c r="H10" s="231"/>
      <c r="I10" s="231"/>
      <c r="J10" s="231"/>
      <c r="K10" s="231"/>
      <c r="L10" s="231"/>
      <c r="M10" s="231"/>
      <c r="N10" s="231"/>
      <c r="O10" s="231"/>
      <c r="P10" s="231"/>
      <c r="Q10" s="231"/>
      <c r="R10" s="231"/>
      <c r="S10" s="231"/>
      <c r="T10" s="231"/>
      <c r="U10" s="231"/>
      <c r="V10" s="231"/>
      <c r="W10" s="231"/>
      <c r="X10" s="231"/>
      <c r="Y10" s="231"/>
      <c r="Z10" s="231"/>
      <c r="AA10" s="231"/>
      <c r="AB10" s="231"/>
      <c r="AC10" s="231"/>
      <c r="AD10" s="231"/>
      <c r="AE10" s="231"/>
      <c r="AF10" s="231"/>
      <c r="AG10" s="231"/>
      <c r="AH10" s="231"/>
      <c r="AI10" s="231"/>
      <c r="AJ10" s="231"/>
      <c r="AK10" s="231"/>
      <c r="AL10" s="231"/>
      <c r="AM10" s="231"/>
      <c r="AN10" s="231"/>
      <c r="AO10" s="231"/>
      <c r="AP10" s="231"/>
      <c r="AQ10" s="231"/>
      <c r="AR10" s="231"/>
      <c r="AS10" s="231"/>
      <c r="AT10" s="231"/>
      <c r="AU10" s="231"/>
      <c r="AV10" s="231"/>
      <c r="AW10" s="231"/>
      <c r="AX10" s="231"/>
      <c r="AY10" s="231"/>
      <c r="AZ10" s="231"/>
    </row>
    <row r="11" spans="1:52">
      <c r="B11" s="231" t="s">
        <v>78</v>
      </c>
      <c r="C11" s="231" t="s">
        <v>675</v>
      </c>
      <c r="D11" s="231" t="s">
        <v>672</v>
      </c>
      <c r="E11" s="231" t="s">
        <v>609</v>
      </c>
      <c r="F11" s="231" t="s">
        <v>673</v>
      </c>
      <c r="G11" s="231"/>
      <c r="H11" s="231"/>
      <c r="I11" s="231"/>
      <c r="J11" s="231"/>
      <c r="K11" s="231"/>
      <c r="L11" s="231"/>
      <c r="M11" s="231"/>
      <c r="N11" s="231"/>
      <c r="O11" s="231"/>
      <c r="P11" s="231"/>
      <c r="Q11" s="231"/>
      <c r="R11" s="231"/>
      <c r="S11" s="231"/>
      <c r="T11" s="231"/>
      <c r="U11" s="231"/>
      <c r="V11" s="231"/>
      <c r="W11" s="231"/>
      <c r="X11" s="231"/>
      <c r="Y11" s="231"/>
      <c r="Z11" s="231"/>
      <c r="AA11" s="231"/>
      <c r="AB11" s="231"/>
      <c r="AC11" s="231"/>
      <c r="AD11" s="231"/>
      <c r="AE11" s="231"/>
      <c r="AF11" s="231"/>
      <c r="AG11" s="231"/>
      <c r="AH11" s="231"/>
      <c r="AI11" s="231"/>
      <c r="AJ11" s="231"/>
      <c r="AK11" s="231"/>
      <c r="AL11" s="231"/>
      <c r="AM11" s="231"/>
      <c r="AN11" s="231"/>
      <c r="AO11" s="231"/>
      <c r="AP11" s="231"/>
      <c r="AQ11" s="231"/>
      <c r="AR11" s="231"/>
      <c r="AS11" s="231"/>
      <c r="AT11" s="231"/>
      <c r="AU11" s="231"/>
      <c r="AV11" s="231"/>
      <c r="AW11" s="231"/>
      <c r="AX11" s="231"/>
      <c r="AY11" s="231"/>
      <c r="AZ11" s="231"/>
    </row>
    <row r="12" spans="1:52">
      <c r="B12" s="231" t="s">
        <v>79</v>
      </c>
      <c r="C12" s="231" t="s">
        <v>306</v>
      </c>
      <c r="D12" s="231" t="s">
        <v>307</v>
      </c>
      <c r="E12" s="231" t="s">
        <v>308</v>
      </c>
      <c r="F12" s="231" t="s">
        <v>309</v>
      </c>
      <c r="G12" s="231"/>
      <c r="H12" s="231"/>
      <c r="I12" s="231"/>
      <c r="J12" s="231"/>
      <c r="K12" s="231"/>
      <c r="L12" s="231"/>
      <c r="M12" s="231"/>
      <c r="N12" s="231"/>
      <c r="O12" s="231"/>
      <c r="P12" s="231"/>
      <c r="Q12" s="231"/>
      <c r="R12" s="231"/>
      <c r="S12" s="231"/>
      <c r="T12" s="231"/>
      <c r="U12" s="231"/>
      <c r="V12" s="231"/>
      <c r="W12" s="231"/>
      <c r="X12" s="231"/>
      <c r="Y12" s="231"/>
      <c r="Z12" s="231"/>
      <c r="AA12" s="231"/>
      <c r="AB12" s="231"/>
      <c r="AC12" s="231"/>
      <c r="AD12" s="231"/>
      <c r="AE12" s="231"/>
      <c r="AF12" s="231"/>
      <c r="AG12" s="231"/>
      <c r="AH12" s="231"/>
      <c r="AI12" s="231"/>
      <c r="AJ12" s="231"/>
      <c r="AK12" s="231"/>
      <c r="AL12" s="231"/>
      <c r="AM12" s="231"/>
      <c r="AN12" s="231"/>
      <c r="AO12" s="231"/>
      <c r="AP12" s="231"/>
      <c r="AQ12" s="231"/>
      <c r="AR12" s="231"/>
      <c r="AS12" s="231"/>
      <c r="AT12" s="231"/>
      <c r="AU12" s="231"/>
      <c r="AV12" s="231"/>
      <c r="AW12" s="231"/>
      <c r="AX12" s="231"/>
      <c r="AY12" s="231"/>
      <c r="AZ12" s="231"/>
    </row>
    <row r="13" spans="1:52">
      <c r="B13" s="231" t="s">
        <v>80</v>
      </c>
      <c r="C13" s="231" t="s">
        <v>310</v>
      </c>
      <c r="D13" s="231" t="s">
        <v>366</v>
      </c>
      <c r="E13" s="231" t="s">
        <v>379</v>
      </c>
      <c r="F13" s="231" t="s">
        <v>380</v>
      </c>
      <c r="G13" s="231"/>
      <c r="H13" s="231"/>
      <c r="I13" s="231"/>
      <c r="J13" s="231"/>
      <c r="K13" s="231"/>
      <c r="L13" s="231"/>
      <c r="M13" s="231"/>
      <c r="N13" s="231"/>
      <c r="O13" s="231"/>
      <c r="P13" s="231"/>
      <c r="Q13" s="231"/>
      <c r="R13" s="231"/>
      <c r="S13" s="231"/>
      <c r="T13" s="231"/>
      <c r="U13" s="231"/>
      <c r="V13" s="231"/>
      <c r="W13" s="231"/>
      <c r="X13" s="231"/>
      <c r="Y13" s="231"/>
      <c r="Z13" s="231"/>
      <c r="AA13" s="231"/>
      <c r="AB13" s="231"/>
      <c r="AC13" s="231"/>
      <c r="AD13" s="231"/>
      <c r="AE13" s="231"/>
      <c r="AF13" s="231"/>
      <c r="AG13" s="231"/>
      <c r="AH13" s="231"/>
      <c r="AI13" s="231"/>
      <c r="AJ13" s="231"/>
      <c r="AK13" s="231"/>
      <c r="AL13" s="231"/>
      <c r="AM13" s="231"/>
      <c r="AN13" s="231"/>
      <c r="AO13" s="231"/>
      <c r="AP13" s="231"/>
      <c r="AQ13" s="231"/>
      <c r="AR13" s="231"/>
      <c r="AS13" s="231"/>
      <c r="AT13" s="231"/>
      <c r="AU13" s="231"/>
      <c r="AV13" s="231"/>
      <c r="AW13" s="231"/>
      <c r="AX13" s="231"/>
      <c r="AY13" s="231"/>
      <c r="AZ13" s="231"/>
    </row>
    <row r="14" spans="1:52">
      <c r="B14" s="231" t="s">
        <v>81</v>
      </c>
      <c r="C14" s="231" t="s">
        <v>311</v>
      </c>
      <c r="D14" s="231"/>
      <c r="E14" s="231"/>
      <c r="F14" s="231"/>
      <c r="G14" s="231"/>
      <c r="H14" s="231"/>
      <c r="I14" s="231"/>
      <c r="J14" s="231"/>
      <c r="K14" s="231"/>
      <c r="L14" s="231"/>
      <c r="M14" s="231"/>
      <c r="N14" s="231"/>
      <c r="O14" s="231"/>
      <c r="P14" s="231"/>
      <c r="Q14" s="231"/>
      <c r="R14" s="231"/>
      <c r="S14" s="231"/>
      <c r="T14" s="231"/>
      <c r="U14" s="231"/>
      <c r="V14" s="231"/>
      <c r="W14" s="231"/>
      <c r="X14" s="231"/>
      <c r="Y14" s="231"/>
      <c r="Z14" s="231"/>
      <c r="AA14" s="231"/>
      <c r="AB14" s="231"/>
      <c r="AC14" s="231"/>
      <c r="AD14" s="231"/>
      <c r="AE14" s="231"/>
      <c r="AF14" s="231"/>
      <c r="AG14" s="231"/>
      <c r="AH14" s="231"/>
      <c r="AI14" s="231"/>
      <c r="AJ14" s="231"/>
      <c r="AK14" s="231"/>
      <c r="AL14" s="231"/>
      <c r="AM14" s="231"/>
      <c r="AN14" s="231"/>
      <c r="AO14" s="231"/>
      <c r="AP14" s="231"/>
      <c r="AQ14" s="231"/>
      <c r="AR14" s="231"/>
      <c r="AS14" s="231"/>
      <c r="AT14" s="231"/>
      <c r="AU14" s="231"/>
      <c r="AV14" s="231"/>
      <c r="AW14" s="231"/>
      <c r="AX14" s="231"/>
      <c r="AY14" s="231"/>
      <c r="AZ14" s="231"/>
    </row>
    <row r="15" spans="1:52">
      <c r="B15" s="231" t="s">
        <v>82</v>
      </c>
      <c r="C15" s="231" t="s">
        <v>674</v>
      </c>
      <c r="D15" s="231" t="s">
        <v>312</v>
      </c>
      <c r="E15" s="231" t="s">
        <v>313</v>
      </c>
      <c r="F15" s="231"/>
      <c r="G15" s="231"/>
      <c r="H15" s="231"/>
      <c r="I15" s="231"/>
      <c r="J15" s="231"/>
      <c r="K15" s="231"/>
      <c r="L15" s="231"/>
      <c r="M15" s="231"/>
      <c r="N15" s="231"/>
      <c r="O15" s="231"/>
      <c r="P15" s="231"/>
      <c r="Q15" s="231"/>
      <c r="R15" s="231"/>
      <c r="S15" s="231"/>
      <c r="T15" s="231"/>
      <c r="U15" s="231"/>
      <c r="V15" s="231"/>
      <c r="W15" s="231"/>
      <c r="X15" s="231"/>
      <c r="Y15" s="231"/>
      <c r="Z15" s="231"/>
      <c r="AA15" s="231"/>
      <c r="AB15" s="231"/>
      <c r="AC15" s="231"/>
      <c r="AD15" s="231"/>
      <c r="AE15" s="231"/>
      <c r="AF15" s="231"/>
      <c r="AG15" s="231"/>
      <c r="AH15" s="231"/>
      <c r="AI15" s="231"/>
      <c r="AJ15" s="231"/>
      <c r="AK15" s="231"/>
      <c r="AL15" s="231"/>
      <c r="AM15" s="231"/>
      <c r="AN15" s="231"/>
      <c r="AO15" s="231"/>
      <c r="AP15" s="231"/>
      <c r="AQ15" s="231"/>
      <c r="AR15" s="231"/>
      <c r="AS15" s="231"/>
      <c r="AT15" s="231"/>
      <c r="AU15" s="231"/>
      <c r="AV15" s="231"/>
      <c r="AW15" s="231"/>
      <c r="AX15" s="231"/>
      <c r="AY15" s="231"/>
      <c r="AZ15" s="231"/>
    </row>
    <row r="16" spans="1:52">
      <c r="A16" s="116">
        <v>1</v>
      </c>
      <c r="B16" s="231">
        <v>1</v>
      </c>
      <c r="C16" s="116">
        <v>2</v>
      </c>
      <c r="D16" s="231">
        <v>3</v>
      </c>
      <c r="E16" s="116">
        <v>4</v>
      </c>
      <c r="F16" s="231">
        <v>5</v>
      </c>
      <c r="G16" s="116">
        <v>6</v>
      </c>
      <c r="H16" s="231">
        <v>7</v>
      </c>
      <c r="I16" s="116">
        <v>8</v>
      </c>
      <c r="J16" s="231">
        <v>9</v>
      </c>
      <c r="K16" s="116">
        <v>10</v>
      </c>
      <c r="L16" s="231">
        <v>11</v>
      </c>
      <c r="M16" s="116">
        <v>12</v>
      </c>
      <c r="N16" s="231">
        <v>13</v>
      </c>
      <c r="O16" s="116">
        <v>14</v>
      </c>
      <c r="P16" s="231">
        <v>15</v>
      </c>
      <c r="Q16" s="116">
        <v>16</v>
      </c>
      <c r="R16" s="231">
        <v>17</v>
      </c>
      <c r="S16" s="116">
        <v>18</v>
      </c>
      <c r="T16" s="231">
        <v>19</v>
      </c>
      <c r="U16" s="116">
        <v>20</v>
      </c>
      <c r="V16" s="231">
        <v>21</v>
      </c>
      <c r="W16" s="116">
        <v>22</v>
      </c>
      <c r="X16" s="231">
        <v>23</v>
      </c>
      <c r="Y16" s="116">
        <v>24</v>
      </c>
      <c r="Z16" s="231">
        <v>25</v>
      </c>
      <c r="AA16" s="116">
        <v>26</v>
      </c>
      <c r="AB16" s="231">
        <v>27</v>
      </c>
      <c r="AC16" s="116">
        <v>28</v>
      </c>
      <c r="AD16" s="231">
        <v>29</v>
      </c>
      <c r="AE16" s="116">
        <v>30</v>
      </c>
      <c r="AF16" s="231">
        <v>31</v>
      </c>
      <c r="AG16" s="116">
        <v>32</v>
      </c>
      <c r="AH16" s="231">
        <v>33</v>
      </c>
      <c r="AI16" s="116">
        <v>34</v>
      </c>
      <c r="AJ16" s="231">
        <v>35</v>
      </c>
      <c r="AK16" s="116">
        <v>36</v>
      </c>
      <c r="AL16" s="231">
        <v>37</v>
      </c>
      <c r="AM16" s="116">
        <v>38</v>
      </c>
      <c r="AN16" s="231">
        <v>39</v>
      </c>
      <c r="AO16" s="116">
        <v>40</v>
      </c>
      <c r="AP16" s="231">
        <v>41</v>
      </c>
      <c r="AQ16" s="116">
        <v>42</v>
      </c>
      <c r="AR16" s="231">
        <v>43</v>
      </c>
      <c r="AS16" s="116">
        <v>44</v>
      </c>
      <c r="AT16" s="231">
        <v>45</v>
      </c>
      <c r="AU16" s="116">
        <v>46</v>
      </c>
      <c r="AV16" s="231">
        <v>47</v>
      </c>
      <c r="AW16" s="116">
        <v>48</v>
      </c>
      <c r="AX16" s="231">
        <v>49</v>
      </c>
      <c r="AY16" s="116">
        <v>50</v>
      </c>
      <c r="AZ16" s="231">
        <v>52</v>
      </c>
    </row>
    <row r="17" spans="1:53">
      <c r="B17" s="231" t="s">
        <v>84</v>
      </c>
      <c r="C17" s="231" t="s">
        <v>83</v>
      </c>
      <c r="D17" s="231" t="s">
        <v>10</v>
      </c>
      <c r="E17" s="231" t="s">
        <v>85</v>
      </c>
      <c r="F17" s="231" t="s">
        <v>86</v>
      </c>
      <c r="G17" s="231" t="s">
        <v>87</v>
      </c>
      <c r="H17" s="231" t="s">
        <v>88</v>
      </c>
      <c r="I17" s="231" t="s">
        <v>89</v>
      </c>
      <c r="J17" s="231" t="s">
        <v>90</v>
      </c>
      <c r="K17" s="231" t="s">
        <v>91</v>
      </c>
      <c r="L17" s="231" t="s">
        <v>3</v>
      </c>
      <c r="M17" s="231" t="s">
        <v>92</v>
      </c>
      <c r="N17" s="231" t="s">
        <v>93</v>
      </c>
      <c r="O17" s="231" t="s">
        <v>94</v>
      </c>
      <c r="P17" s="231" t="s">
        <v>95</v>
      </c>
      <c r="Q17" s="231" t="s">
        <v>96</v>
      </c>
      <c r="R17" s="231" t="s">
        <v>97</v>
      </c>
      <c r="S17" s="231" t="s">
        <v>571</v>
      </c>
      <c r="T17" s="231" t="s">
        <v>98</v>
      </c>
      <c r="U17" s="231" t="s">
        <v>99</v>
      </c>
      <c r="V17" s="231" t="s">
        <v>100</v>
      </c>
      <c r="W17" s="231" t="s">
        <v>101</v>
      </c>
      <c r="X17" s="231" t="s">
        <v>102</v>
      </c>
      <c r="Y17" s="231" t="s">
        <v>103</v>
      </c>
      <c r="Z17" s="231" t="s">
        <v>104</v>
      </c>
      <c r="AA17" s="231" t="s">
        <v>105</v>
      </c>
      <c r="AB17" s="231" t="s">
        <v>106</v>
      </c>
      <c r="AC17" s="231" t="s">
        <v>107</v>
      </c>
      <c r="AD17" s="231" t="s">
        <v>108</v>
      </c>
      <c r="AE17" s="231" t="s">
        <v>109</v>
      </c>
      <c r="AF17" s="231" t="s">
        <v>110</v>
      </c>
      <c r="AG17" s="231" t="s">
        <v>111</v>
      </c>
      <c r="AH17" s="231" t="s">
        <v>112</v>
      </c>
      <c r="AI17" s="231" t="s">
        <v>113</v>
      </c>
      <c r="AJ17" s="231" t="s">
        <v>367</v>
      </c>
      <c r="AK17" s="231" t="s">
        <v>368</v>
      </c>
      <c r="AL17" s="231" t="s">
        <v>114</v>
      </c>
      <c r="AM17" s="231" t="s">
        <v>115</v>
      </c>
      <c r="AN17" s="231" t="s">
        <v>116</v>
      </c>
      <c r="AO17" s="231" t="s">
        <v>117</v>
      </c>
      <c r="AP17" s="231" t="s">
        <v>118</v>
      </c>
      <c r="AQ17" s="231" t="s">
        <v>119</v>
      </c>
      <c r="AR17" s="231" t="s">
        <v>120</v>
      </c>
      <c r="AS17" s="231" t="s">
        <v>121</v>
      </c>
      <c r="AT17" s="231" t="s">
        <v>122</v>
      </c>
      <c r="AU17" s="231" t="s">
        <v>123</v>
      </c>
      <c r="AV17" s="231" t="s">
        <v>124</v>
      </c>
      <c r="AW17" s="231" t="s">
        <v>125</v>
      </c>
      <c r="AX17" s="231" t="s">
        <v>126</v>
      </c>
      <c r="AY17" s="231" t="s">
        <v>127</v>
      </c>
      <c r="AZ17" s="231" t="s">
        <v>128</v>
      </c>
      <c r="BA17" s="116" t="s">
        <v>129</v>
      </c>
    </row>
    <row r="18" spans="1:53">
      <c r="A18" s="69" t="str">
        <f>C18</f>
        <v>Inicial</v>
      </c>
      <c r="B18" s="232">
        <v>42016</v>
      </c>
      <c r="C18" s="232" t="s">
        <v>130</v>
      </c>
      <c r="D18" s="231">
        <v>12</v>
      </c>
      <c r="E18" s="255">
        <v>9.3919589999999999</v>
      </c>
      <c r="F18" s="255">
        <v>-6.3161839999999998</v>
      </c>
      <c r="G18" s="255">
        <v>1.4712209999999999</v>
      </c>
      <c r="H18" s="255">
        <v>2.2000000000000002</v>
      </c>
      <c r="I18" s="255">
        <v>0.83333299999999999</v>
      </c>
      <c r="J18" s="255">
        <v>10.43</v>
      </c>
      <c r="K18" s="255">
        <v>52.911267000000002</v>
      </c>
      <c r="L18" s="255">
        <v>0</v>
      </c>
      <c r="M18" s="255">
        <v>0</v>
      </c>
      <c r="N18" s="231">
        <v>0.15</v>
      </c>
      <c r="O18" s="231">
        <v>0.1</v>
      </c>
      <c r="P18" s="231">
        <v>0.15</v>
      </c>
      <c r="Q18" s="255">
        <v>1.2</v>
      </c>
      <c r="R18" s="255">
        <v>1.1914769999999999</v>
      </c>
      <c r="S18" s="231">
        <v>0</v>
      </c>
      <c r="T18" s="231">
        <v>0.15</v>
      </c>
      <c r="U18" s="231">
        <v>1</v>
      </c>
      <c r="V18" s="231">
        <v>0.85</v>
      </c>
      <c r="W18" s="255">
        <v>20</v>
      </c>
      <c r="X18" s="231">
        <v>0</v>
      </c>
      <c r="Y18" s="256">
        <v>9</v>
      </c>
      <c r="Z18" s="256">
        <v>1</v>
      </c>
      <c r="AA18" s="256">
        <v>1.0127550000000001</v>
      </c>
      <c r="AB18" s="256">
        <v>0</v>
      </c>
      <c r="AC18" s="256">
        <v>0.99289700000000003</v>
      </c>
      <c r="AD18" s="256">
        <v>1.162755</v>
      </c>
      <c r="AE18" s="231">
        <v>0.96896300000000002</v>
      </c>
      <c r="AF18" s="231">
        <v>0.05</v>
      </c>
      <c r="AG18" s="231">
        <v>0.55000000000000004</v>
      </c>
      <c r="AH18" s="231">
        <v>7</v>
      </c>
      <c r="AI18" s="231">
        <v>3.85</v>
      </c>
      <c r="AJ18" s="231">
        <v>0</v>
      </c>
      <c r="AK18" s="231"/>
      <c r="AL18" s="231">
        <v>0</v>
      </c>
      <c r="AM18" s="256">
        <v>1</v>
      </c>
      <c r="AN18" s="256">
        <v>1.162755</v>
      </c>
      <c r="AO18" s="256">
        <v>0.96896300000000002</v>
      </c>
      <c r="AP18" s="256">
        <v>0.96896300000000002</v>
      </c>
      <c r="AQ18" s="231">
        <v>0.96896300000000002</v>
      </c>
      <c r="AR18" s="255">
        <v>0</v>
      </c>
      <c r="AS18" s="231">
        <v>0</v>
      </c>
      <c r="AT18" s="231"/>
      <c r="AU18" s="231"/>
      <c r="AV18" s="231"/>
      <c r="AW18" s="231"/>
      <c r="AX18" s="231"/>
      <c r="AY18" s="231"/>
      <c r="AZ18" s="231"/>
      <c r="BA18" s="116" t="s">
        <v>132</v>
      </c>
    </row>
    <row r="19" spans="1:53">
      <c r="A19" s="69" t="str">
        <f t="shared" ref="A19:A82" si="0">C19</f>
        <v>Inicial</v>
      </c>
      <c r="B19" s="232">
        <v>42017</v>
      </c>
      <c r="C19" s="232" t="s">
        <v>130</v>
      </c>
      <c r="D19" s="231">
        <v>13</v>
      </c>
      <c r="E19" s="255">
        <v>9.0031759999999998</v>
      </c>
      <c r="F19" s="255">
        <v>-4.6698880000000003</v>
      </c>
      <c r="G19" s="255">
        <v>2.7499769999999999</v>
      </c>
      <c r="H19" s="255">
        <v>3.2</v>
      </c>
      <c r="I19" s="255">
        <v>0.96666700000000005</v>
      </c>
      <c r="J19" s="255">
        <v>7.99</v>
      </c>
      <c r="K19" s="255">
        <v>48.910232999999998</v>
      </c>
      <c r="L19" s="255">
        <v>0</v>
      </c>
      <c r="M19" s="255">
        <v>0</v>
      </c>
      <c r="N19" s="231">
        <v>0.15</v>
      </c>
      <c r="O19" s="231">
        <v>0.104167</v>
      </c>
      <c r="P19" s="231">
        <v>0.15</v>
      </c>
      <c r="Q19" s="255">
        <v>1.2</v>
      </c>
      <c r="R19" s="255">
        <v>1.211808</v>
      </c>
      <c r="S19" s="231">
        <v>0</v>
      </c>
      <c r="T19" s="231">
        <v>0.160833</v>
      </c>
      <c r="U19" s="231">
        <v>1</v>
      </c>
      <c r="V19" s="231">
        <v>0.839167</v>
      </c>
      <c r="W19" s="255">
        <v>20</v>
      </c>
      <c r="X19" s="231">
        <v>0.99289700000000003</v>
      </c>
      <c r="Y19" s="256">
        <v>9</v>
      </c>
      <c r="Z19" s="256">
        <v>1</v>
      </c>
      <c r="AA19" s="256">
        <v>1.0169090000000001</v>
      </c>
      <c r="AB19" s="256">
        <v>0</v>
      </c>
      <c r="AC19" s="256">
        <v>2.1643119999999998</v>
      </c>
      <c r="AD19" s="256">
        <v>1.166909</v>
      </c>
      <c r="AE19" s="231">
        <v>1.128012</v>
      </c>
      <c r="AF19" s="231">
        <v>5.7500000000000002E-2</v>
      </c>
      <c r="AG19" s="231">
        <v>0.55000000000000004</v>
      </c>
      <c r="AH19" s="231">
        <v>8.0500000000000007</v>
      </c>
      <c r="AI19" s="231">
        <v>4.4275000000000002</v>
      </c>
      <c r="AJ19" s="231">
        <v>0</v>
      </c>
      <c r="AK19" s="231"/>
      <c r="AL19" s="231">
        <v>0</v>
      </c>
      <c r="AM19" s="256">
        <v>1</v>
      </c>
      <c r="AN19" s="256">
        <v>1.166909</v>
      </c>
      <c r="AO19" s="256">
        <v>1.128012</v>
      </c>
      <c r="AP19" s="256">
        <v>2.096975</v>
      </c>
      <c r="AQ19" s="231">
        <v>2.096975</v>
      </c>
      <c r="AR19" s="255">
        <v>0</v>
      </c>
      <c r="AS19" s="231">
        <v>0</v>
      </c>
      <c r="AT19" s="231"/>
      <c r="AU19" s="231"/>
      <c r="AV19" s="231"/>
      <c r="AW19" s="231"/>
      <c r="AX19" s="231"/>
      <c r="AY19" s="231"/>
      <c r="AZ19" s="231"/>
      <c r="BA19" s="116" t="s">
        <v>132</v>
      </c>
    </row>
    <row r="20" spans="1:53">
      <c r="A20" s="69" t="str">
        <f t="shared" si="0"/>
        <v>Inicial</v>
      </c>
      <c r="B20" s="232">
        <v>42018</v>
      </c>
      <c r="C20" s="232" t="s">
        <v>130</v>
      </c>
      <c r="D20" s="231">
        <v>14</v>
      </c>
      <c r="E20" s="255">
        <v>8.1477029999999999</v>
      </c>
      <c r="F20" s="255">
        <v>-4.3919309999999996</v>
      </c>
      <c r="G20" s="255">
        <v>1.6278859999999999</v>
      </c>
      <c r="H20" s="255">
        <v>3</v>
      </c>
      <c r="I20" s="255">
        <v>0.96666700000000005</v>
      </c>
      <c r="J20" s="255">
        <v>11.4</v>
      </c>
      <c r="K20" s="255">
        <v>49.218266999999997</v>
      </c>
      <c r="L20" s="255">
        <v>0</v>
      </c>
      <c r="M20" s="255">
        <v>0</v>
      </c>
      <c r="N20" s="231">
        <v>0.15</v>
      </c>
      <c r="O20" s="231">
        <v>0.108333</v>
      </c>
      <c r="P20" s="231">
        <v>0.15</v>
      </c>
      <c r="Q20" s="255">
        <v>1.2</v>
      </c>
      <c r="R20" s="255">
        <v>1.208539</v>
      </c>
      <c r="S20" s="231">
        <v>0</v>
      </c>
      <c r="T20" s="231">
        <v>0.17166699999999999</v>
      </c>
      <c r="U20" s="231">
        <v>1</v>
      </c>
      <c r="V20" s="231">
        <v>0.82833299999999999</v>
      </c>
      <c r="W20" s="255">
        <v>20</v>
      </c>
      <c r="X20" s="231">
        <v>2.1643119999999998</v>
      </c>
      <c r="Y20" s="256">
        <v>9</v>
      </c>
      <c r="Z20" s="256">
        <v>1</v>
      </c>
      <c r="AA20" s="256">
        <v>1.0010730000000001</v>
      </c>
      <c r="AB20" s="256">
        <v>0</v>
      </c>
      <c r="AC20" s="256">
        <v>3.3325659999999999</v>
      </c>
      <c r="AD20" s="256">
        <v>1.151073</v>
      </c>
      <c r="AE20" s="231">
        <v>1.1127039999999999</v>
      </c>
      <c r="AF20" s="231">
        <v>6.5000000000000002E-2</v>
      </c>
      <c r="AG20" s="231">
        <v>0.55000000000000004</v>
      </c>
      <c r="AH20" s="231">
        <v>9.1</v>
      </c>
      <c r="AI20" s="231">
        <v>5.0049999999999999</v>
      </c>
      <c r="AJ20" s="231">
        <v>0</v>
      </c>
      <c r="AK20" s="231"/>
      <c r="AL20" s="231">
        <v>0</v>
      </c>
      <c r="AM20" s="256">
        <v>1</v>
      </c>
      <c r="AN20" s="256">
        <v>1.151073</v>
      </c>
      <c r="AO20" s="256">
        <v>1.1127039999999999</v>
      </c>
      <c r="AP20" s="256">
        <v>3.2096789999999999</v>
      </c>
      <c r="AQ20" s="231">
        <v>3.2096789999999999</v>
      </c>
      <c r="AR20" s="255">
        <v>0</v>
      </c>
      <c r="AS20" s="231">
        <v>0</v>
      </c>
      <c r="AT20" s="231"/>
      <c r="AU20" s="231"/>
      <c r="AV20" s="231"/>
      <c r="AW20" s="231"/>
      <c r="AX20" s="231"/>
      <c r="AY20" s="231"/>
      <c r="AZ20" s="231"/>
      <c r="BA20" s="116" t="s">
        <v>132</v>
      </c>
    </row>
    <row r="21" spans="1:53">
      <c r="A21" s="69" t="str">
        <f t="shared" si="0"/>
        <v>Inicial</v>
      </c>
      <c r="B21" s="232">
        <v>42019</v>
      </c>
      <c r="C21" s="232" t="s">
        <v>130</v>
      </c>
      <c r="D21" s="231">
        <v>15</v>
      </c>
      <c r="E21" s="255">
        <v>8.6750609999999995</v>
      </c>
      <c r="F21" s="255">
        <v>-1.669815</v>
      </c>
      <c r="G21" s="255">
        <v>3.6359560000000002</v>
      </c>
      <c r="H21" s="255">
        <v>3.6</v>
      </c>
      <c r="I21" s="255">
        <v>0.93333299999999997</v>
      </c>
      <c r="J21" s="255">
        <v>4.79</v>
      </c>
      <c r="K21" s="255">
        <v>56.051600000000001</v>
      </c>
      <c r="L21" s="255">
        <v>0</v>
      </c>
      <c r="M21" s="255">
        <v>0</v>
      </c>
      <c r="N21" s="231">
        <v>0.15</v>
      </c>
      <c r="O21" s="231">
        <v>0.1125</v>
      </c>
      <c r="P21" s="231">
        <v>0.15</v>
      </c>
      <c r="Q21" s="255">
        <v>1.2</v>
      </c>
      <c r="R21" s="255">
        <v>1.207392</v>
      </c>
      <c r="S21" s="231">
        <v>0</v>
      </c>
      <c r="T21" s="231">
        <v>0.1825</v>
      </c>
      <c r="U21" s="231">
        <v>1</v>
      </c>
      <c r="V21" s="231">
        <v>0.8175</v>
      </c>
      <c r="W21" s="255">
        <v>20</v>
      </c>
      <c r="X21" s="231">
        <v>3.3325659999999999</v>
      </c>
      <c r="Y21" s="256">
        <v>9</v>
      </c>
      <c r="Z21" s="256">
        <v>1</v>
      </c>
      <c r="AA21" s="256">
        <v>0.987043</v>
      </c>
      <c r="AB21" s="256">
        <v>0</v>
      </c>
      <c r="AC21" s="256">
        <v>4.4594649999999998</v>
      </c>
      <c r="AD21" s="256">
        <v>1.137043</v>
      </c>
      <c r="AE21" s="231">
        <v>1.06124</v>
      </c>
      <c r="AF21" s="231">
        <v>7.2499999999999995E-2</v>
      </c>
      <c r="AG21" s="231">
        <v>0.55000000000000004</v>
      </c>
      <c r="AH21" s="231">
        <v>10.15</v>
      </c>
      <c r="AI21" s="231">
        <v>5.5824999999999996</v>
      </c>
      <c r="AJ21" s="231">
        <v>0</v>
      </c>
      <c r="AK21" s="231"/>
      <c r="AL21" s="231">
        <v>0</v>
      </c>
      <c r="AM21" s="256">
        <v>1</v>
      </c>
      <c r="AN21" s="256">
        <v>1.137043</v>
      </c>
      <c r="AO21" s="256">
        <v>1.06124</v>
      </c>
      <c r="AP21" s="256">
        <v>4.270918</v>
      </c>
      <c r="AQ21" s="231">
        <v>4.270918</v>
      </c>
      <c r="AR21" s="255">
        <v>0</v>
      </c>
      <c r="AS21" s="231">
        <v>0</v>
      </c>
      <c r="AT21" s="231"/>
      <c r="AU21" s="231"/>
      <c r="AV21" s="231"/>
      <c r="AW21" s="231"/>
      <c r="AX21" s="231"/>
      <c r="AY21" s="231"/>
      <c r="AZ21" s="231"/>
      <c r="BA21" s="116" t="s">
        <v>132</v>
      </c>
    </row>
    <row r="22" spans="1:53">
      <c r="A22" s="69" t="str">
        <f t="shared" si="0"/>
        <v>Inicial</v>
      </c>
      <c r="B22" s="232">
        <v>42020</v>
      </c>
      <c r="C22" s="232" t="s">
        <v>130</v>
      </c>
      <c r="D22" s="231">
        <v>16</v>
      </c>
      <c r="E22" s="255">
        <v>10.103954999999999</v>
      </c>
      <c r="F22" s="255">
        <v>-1.1940649999999999</v>
      </c>
      <c r="G22" s="255">
        <v>4.3382779999999999</v>
      </c>
      <c r="H22" s="255">
        <v>5.3</v>
      </c>
      <c r="I22" s="255">
        <v>1.266667</v>
      </c>
      <c r="J22" s="255">
        <v>10.75</v>
      </c>
      <c r="K22" s="255">
        <v>50.521467000000001</v>
      </c>
      <c r="L22" s="255">
        <v>0</v>
      </c>
      <c r="M22" s="255">
        <v>0</v>
      </c>
      <c r="N22" s="231">
        <v>0.15</v>
      </c>
      <c r="O22" s="231">
        <v>0.11666700000000001</v>
      </c>
      <c r="P22" s="231">
        <v>0.15</v>
      </c>
      <c r="Q22" s="255">
        <v>1.2</v>
      </c>
      <c r="R22" s="255">
        <v>1.2414959999999999</v>
      </c>
      <c r="S22" s="231">
        <v>0</v>
      </c>
      <c r="T22" s="231">
        <v>0.193333</v>
      </c>
      <c r="U22" s="231">
        <v>1</v>
      </c>
      <c r="V22" s="231">
        <v>0.80666700000000002</v>
      </c>
      <c r="W22" s="255">
        <v>20</v>
      </c>
      <c r="X22" s="231">
        <v>4.4594649999999998</v>
      </c>
      <c r="Y22" s="256">
        <v>9</v>
      </c>
      <c r="Z22" s="256">
        <v>1</v>
      </c>
      <c r="AA22" s="256">
        <v>1.0014730000000001</v>
      </c>
      <c r="AB22" s="256">
        <v>0</v>
      </c>
      <c r="AC22" s="256">
        <v>6.0320260000000001</v>
      </c>
      <c r="AD22" s="256">
        <v>1.151473</v>
      </c>
      <c r="AE22" s="231">
        <v>1.4585330000000001</v>
      </c>
      <c r="AF22" s="231">
        <v>0.08</v>
      </c>
      <c r="AG22" s="231">
        <v>0.55000000000000004</v>
      </c>
      <c r="AH22" s="231">
        <v>11.2</v>
      </c>
      <c r="AI22" s="231">
        <v>6.16</v>
      </c>
      <c r="AJ22" s="231">
        <v>0</v>
      </c>
      <c r="AK22" s="231"/>
      <c r="AL22" s="231">
        <v>0</v>
      </c>
      <c r="AM22" s="256">
        <v>1</v>
      </c>
      <c r="AN22" s="256">
        <v>1.151473</v>
      </c>
      <c r="AO22" s="256">
        <v>1.4585330000000001</v>
      </c>
      <c r="AP22" s="256">
        <v>5.7294510000000001</v>
      </c>
      <c r="AQ22" s="231">
        <v>5.7294510000000001</v>
      </c>
      <c r="AR22" s="255">
        <v>0</v>
      </c>
      <c r="AS22" s="231">
        <v>0</v>
      </c>
      <c r="AT22" s="231"/>
      <c r="AU22" s="231"/>
      <c r="AV22" s="231"/>
      <c r="AW22" s="231"/>
      <c r="AX22" s="231"/>
      <c r="AY22" s="231"/>
      <c r="AZ22" s="231"/>
      <c r="BA22" s="116" t="s">
        <v>132</v>
      </c>
    </row>
    <row r="23" spans="1:53">
      <c r="A23" s="69" t="str">
        <f t="shared" si="0"/>
        <v>Inicial</v>
      </c>
      <c r="B23" s="232">
        <v>42021</v>
      </c>
      <c r="C23" s="232" t="s">
        <v>130</v>
      </c>
      <c r="D23" s="231">
        <v>17</v>
      </c>
      <c r="E23" s="255">
        <v>10.893532</v>
      </c>
      <c r="F23" s="255">
        <v>-3.4808889999999999</v>
      </c>
      <c r="G23" s="255">
        <v>4.4063220000000003</v>
      </c>
      <c r="H23" s="255">
        <v>5.3</v>
      </c>
      <c r="I23" s="255">
        <v>1.6333329999999999</v>
      </c>
      <c r="J23" s="255">
        <v>11.98</v>
      </c>
      <c r="K23" s="255">
        <v>37.917433000000003</v>
      </c>
      <c r="L23" s="255">
        <v>0</v>
      </c>
      <c r="M23" s="255">
        <v>0</v>
      </c>
      <c r="N23" s="231">
        <v>0.15</v>
      </c>
      <c r="O23" s="231">
        <v>0.120833</v>
      </c>
      <c r="P23" s="231">
        <v>0.15</v>
      </c>
      <c r="Q23" s="255">
        <v>1.2</v>
      </c>
      <c r="R23" s="255">
        <v>1.2611699999999999</v>
      </c>
      <c r="S23" s="231">
        <v>0</v>
      </c>
      <c r="T23" s="231">
        <v>0.20416699999999999</v>
      </c>
      <c r="U23" s="231">
        <v>1</v>
      </c>
      <c r="V23" s="231">
        <v>0.79583300000000001</v>
      </c>
      <c r="W23" s="255">
        <v>20</v>
      </c>
      <c r="X23" s="231">
        <v>6.0320260000000001</v>
      </c>
      <c r="Y23" s="256">
        <v>9</v>
      </c>
      <c r="Z23" s="256">
        <v>1</v>
      </c>
      <c r="AA23" s="256">
        <v>1.003681</v>
      </c>
      <c r="AB23" s="256">
        <v>0</v>
      </c>
      <c r="AC23" s="256">
        <v>8.0919360000000005</v>
      </c>
      <c r="AD23" s="256">
        <v>1.153681</v>
      </c>
      <c r="AE23" s="231">
        <v>1.8843449999999999</v>
      </c>
      <c r="AF23" s="231">
        <v>8.7499999999999994E-2</v>
      </c>
      <c r="AG23" s="231">
        <v>0.55000000000000004</v>
      </c>
      <c r="AH23" s="231">
        <v>12.25</v>
      </c>
      <c r="AI23" s="231">
        <v>6.7374999999999998</v>
      </c>
      <c r="AJ23" s="231">
        <v>0</v>
      </c>
      <c r="AK23" s="231"/>
      <c r="AL23" s="231">
        <v>0</v>
      </c>
      <c r="AM23" s="256">
        <v>1</v>
      </c>
      <c r="AN23" s="256">
        <v>1.153681</v>
      </c>
      <c r="AO23" s="256">
        <v>1.8843449999999999</v>
      </c>
      <c r="AP23" s="256">
        <v>7.6137959999999998</v>
      </c>
      <c r="AQ23" s="231">
        <v>7.6137959999999998</v>
      </c>
      <c r="AR23" s="255">
        <v>0</v>
      </c>
      <c r="AS23" s="231">
        <v>0</v>
      </c>
      <c r="AT23" s="231"/>
      <c r="AU23" s="231"/>
      <c r="AV23" s="231"/>
      <c r="AW23" s="231"/>
      <c r="AX23" s="231"/>
      <c r="AY23" s="231"/>
      <c r="AZ23" s="231"/>
      <c r="BA23" s="116" t="s">
        <v>132</v>
      </c>
    </row>
    <row r="24" spans="1:53">
      <c r="A24" s="69" t="str">
        <f t="shared" si="0"/>
        <v>Inicial</v>
      </c>
      <c r="B24" s="232">
        <v>42022</v>
      </c>
      <c r="C24" s="232" t="s">
        <v>130</v>
      </c>
      <c r="D24" s="231">
        <v>18</v>
      </c>
      <c r="E24" s="255">
        <v>8.0737389999999998</v>
      </c>
      <c r="F24" s="255">
        <v>-4.9429080000000001</v>
      </c>
      <c r="G24" s="255">
        <v>1.632083</v>
      </c>
      <c r="H24" s="255">
        <v>1.4</v>
      </c>
      <c r="I24" s="255">
        <v>0.8</v>
      </c>
      <c r="J24" s="255">
        <v>9.14</v>
      </c>
      <c r="K24" s="255">
        <v>51.870367000000002</v>
      </c>
      <c r="L24" s="255">
        <v>0</v>
      </c>
      <c r="M24" s="255">
        <v>0</v>
      </c>
      <c r="N24" s="231">
        <v>0.15</v>
      </c>
      <c r="O24" s="231">
        <v>0.125</v>
      </c>
      <c r="P24" s="231">
        <v>0.15</v>
      </c>
      <c r="Q24" s="255">
        <v>1.2</v>
      </c>
      <c r="R24" s="255">
        <v>1.180158</v>
      </c>
      <c r="S24" s="231">
        <v>0</v>
      </c>
      <c r="T24" s="231">
        <v>0.215</v>
      </c>
      <c r="U24" s="231">
        <v>1</v>
      </c>
      <c r="V24" s="231">
        <v>0.78500000000000003</v>
      </c>
      <c r="W24" s="255">
        <v>20</v>
      </c>
      <c r="X24" s="231">
        <v>8.0919360000000005</v>
      </c>
      <c r="Y24" s="256">
        <v>9</v>
      </c>
      <c r="Z24" s="256">
        <v>1</v>
      </c>
      <c r="AA24" s="256">
        <v>0.92642400000000003</v>
      </c>
      <c r="AB24" s="256">
        <v>0</v>
      </c>
      <c r="AC24" s="256">
        <v>9.0360619999999994</v>
      </c>
      <c r="AD24" s="256">
        <v>1.076424</v>
      </c>
      <c r="AE24" s="231">
        <v>0.86113899999999999</v>
      </c>
      <c r="AF24" s="231">
        <v>9.5000000000000001E-2</v>
      </c>
      <c r="AG24" s="231">
        <v>0.55000000000000004</v>
      </c>
      <c r="AH24" s="231">
        <v>13.3</v>
      </c>
      <c r="AI24" s="231">
        <v>7.3150000000000004</v>
      </c>
      <c r="AJ24" s="231">
        <v>0</v>
      </c>
      <c r="AK24" s="231"/>
      <c r="AL24" s="231">
        <v>0</v>
      </c>
      <c r="AM24" s="256">
        <v>0.95007600000000003</v>
      </c>
      <c r="AN24" s="256">
        <v>1.068935</v>
      </c>
      <c r="AO24" s="256">
        <v>0.85514800000000002</v>
      </c>
      <c r="AP24" s="256">
        <v>8.4689449999999997</v>
      </c>
      <c r="AQ24" s="231">
        <v>8.4749350000000003</v>
      </c>
      <c r="AR24" s="255">
        <v>0</v>
      </c>
      <c r="AS24" s="231">
        <v>0</v>
      </c>
      <c r="AT24" s="231"/>
      <c r="AU24" s="231"/>
      <c r="AV24" s="231"/>
      <c r="AW24" s="231"/>
      <c r="AX24" s="231"/>
      <c r="AY24" s="231"/>
      <c r="AZ24" s="231"/>
      <c r="BA24" s="116" t="s">
        <v>132</v>
      </c>
    </row>
    <row r="25" spans="1:53">
      <c r="A25" s="69" t="str">
        <f t="shared" si="0"/>
        <v>Inicial</v>
      </c>
      <c r="B25" s="232">
        <v>42023</v>
      </c>
      <c r="C25" s="232" t="s">
        <v>130</v>
      </c>
      <c r="D25" s="231">
        <v>19</v>
      </c>
      <c r="E25" s="255">
        <v>7.110252</v>
      </c>
      <c r="F25" s="255">
        <v>-1.915265</v>
      </c>
      <c r="G25" s="255">
        <v>2.4474939999999998</v>
      </c>
      <c r="H25" s="255">
        <v>3.4</v>
      </c>
      <c r="I25" s="255">
        <v>0.9</v>
      </c>
      <c r="J25" s="255">
        <v>1.95</v>
      </c>
      <c r="K25" s="255">
        <v>51.704300000000003</v>
      </c>
      <c r="L25" s="255">
        <v>0</v>
      </c>
      <c r="M25" s="255">
        <v>0</v>
      </c>
      <c r="N25" s="231">
        <v>0.15</v>
      </c>
      <c r="O25" s="231">
        <v>0.129167</v>
      </c>
      <c r="P25" s="231">
        <v>0.15</v>
      </c>
      <c r="Q25" s="255">
        <v>1.2</v>
      </c>
      <c r="R25" s="255">
        <v>1.2113590000000001</v>
      </c>
      <c r="S25" s="231">
        <v>0</v>
      </c>
      <c r="T25" s="231">
        <v>0.22583300000000001</v>
      </c>
      <c r="U25" s="231">
        <v>1</v>
      </c>
      <c r="V25" s="231">
        <v>0.77416700000000005</v>
      </c>
      <c r="W25" s="255">
        <v>20</v>
      </c>
      <c r="X25" s="231">
        <v>9.0360619999999994</v>
      </c>
      <c r="Y25" s="256">
        <v>9</v>
      </c>
      <c r="Z25" s="256">
        <v>0.149508</v>
      </c>
      <c r="AA25" s="256">
        <v>0.15868199999999999</v>
      </c>
      <c r="AB25" s="256">
        <v>0</v>
      </c>
      <c r="AC25" s="256">
        <v>9.2205370000000002</v>
      </c>
      <c r="AD25" s="256">
        <v>0.30868200000000001</v>
      </c>
      <c r="AE25" s="231">
        <v>0.27781400000000001</v>
      </c>
      <c r="AF25" s="231">
        <v>0.10249999999999999</v>
      </c>
      <c r="AG25" s="231">
        <v>0.55000000000000004</v>
      </c>
      <c r="AH25" s="231">
        <v>14.35</v>
      </c>
      <c r="AI25" s="231">
        <v>7.8925000000000001</v>
      </c>
      <c r="AJ25" s="231">
        <v>0</v>
      </c>
      <c r="AK25" s="231"/>
      <c r="AL25" s="231">
        <v>0</v>
      </c>
      <c r="AM25" s="256">
        <v>0.91073300000000001</v>
      </c>
      <c r="AN25" s="256">
        <v>0.295292</v>
      </c>
      <c r="AO25" s="256">
        <v>0.26576300000000003</v>
      </c>
      <c r="AP25" s="256">
        <v>8.7347070000000002</v>
      </c>
      <c r="AQ25" s="231">
        <v>8.7527489999999997</v>
      </c>
      <c r="AR25" s="255">
        <v>0</v>
      </c>
      <c r="AS25" s="231">
        <v>0</v>
      </c>
      <c r="AT25" s="231"/>
      <c r="AU25" s="231"/>
      <c r="AV25" s="231"/>
      <c r="AW25" s="231"/>
      <c r="AX25" s="231"/>
      <c r="AY25" s="231"/>
      <c r="AZ25" s="231"/>
      <c r="BA25" s="116" t="s">
        <v>132</v>
      </c>
    </row>
    <row r="26" spans="1:53">
      <c r="A26" s="69" t="str">
        <f t="shared" si="0"/>
        <v>Inicial</v>
      </c>
      <c r="B26" s="232">
        <v>42024</v>
      </c>
      <c r="C26" s="232" t="s">
        <v>130</v>
      </c>
      <c r="D26" s="231">
        <v>20</v>
      </c>
      <c r="E26" s="255">
        <v>5.8276839999999996</v>
      </c>
      <c r="F26" s="255">
        <v>-0.72472700000000001</v>
      </c>
      <c r="G26" s="255">
        <v>2.3514789999999999</v>
      </c>
      <c r="H26" s="255">
        <v>2.6</v>
      </c>
      <c r="I26" s="255">
        <v>0.53333299999999995</v>
      </c>
      <c r="J26" s="255">
        <v>5.52</v>
      </c>
      <c r="K26" s="255">
        <v>84.646133000000006</v>
      </c>
      <c r="L26" s="255">
        <v>0</v>
      </c>
      <c r="M26" s="255">
        <v>0</v>
      </c>
      <c r="N26" s="231">
        <v>0.15</v>
      </c>
      <c r="O26" s="231">
        <v>0.13333300000000001</v>
      </c>
      <c r="P26" s="231">
        <v>0.15</v>
      </c>
      <c r="Q26" s="255">
        <v>1.2</v>
      </c>
      <c r="R26" s="255">
        <v>1.147114</v>
      </c>
      <c r="S26" s="231">
        <v>0</v>
      </c>
      <c r="T26" s="231">
        <v>0.23666699999999999</v>
      </c>
      <c r="U26" s="231">
        <v>1</v>
      </c>
      <c r="V26" s="231">
        <v>0.76333300000000004</v>
      </c>
      <c r="W26" s="255">
        <v>20</v>
      </c>
      <c r="X26" s="231">
        <v>9.2205370000000002</v>
      </c>
      <c r="Y26" s="256">
        <v>9</v>
      </c>
      <c r="Z26" s="256">
        <v>0.14699300000000001</v>
      </c>
      <c r="AA26" s="256">
        <v>0.146568</v>
      </c>
      <c r="AB26" s="256">
        <v>0</v>
      </c>
      <c r="AC26" s="256">
        <v>9.3229430000000004</v>
      </c>
      <c r="AD26" s="256">
        <v>0.296568</v>
      </c>
      <c r="AE26" s="231">
        <v>0.15817000000000001</v>
      </c>
      <c r="AF26" s="231">
        <v>0.11</v>
      </c>
      <c r="AG26" s="231">
        <v>0.55000000000000004</v>
      </c>
      <c r="AH26" s="231">
        <v>15.4</v>
      </c>
      <c r="AI26" s="231">
        <v>8.4700000000000006</v>
      </c>
      <c r="AJ26" s="231">
        <v>0</v>
      </c>
      <c r="AK26" s="231"/>
      <c r="AL26" s="231">
        <v>0</v>
      </c>
      <c r="AM26" s="256">
        <v>0.96180299999999996</v>
      </c>
      <c r="AN26" s="256">
        <v>0.29083900000000001</v>
      </c>
      <c r="AO26" s="256">
        <v>0.155114</v>
      </c>
      <c r="AP26" s="256">
        <v>8.8898209999999995</v>
      </c>
      <c r="AQ26" s="231">
        <v>8.9109189999999998</v>
      </c>
      <c r="AR26" s="255">
        <v>0</v>
      </c>
      <c r="AS26" s="231">
        <v>0</v>
      </c>
      <c r="AT26" s="231"/>
      <c r="AU26" s="231"/>
      <c r="AV26" s="231"/>
      <c r="AW26" s="231"/>
      <c r="AX26" s="231"/>
      <c r="AY26" s="231"/>
      <c r="AZ26" s="231"/>
      <c r="BA26" s="116" t="s">
        <v>132</v>
      </c>
    </row>
    <row r="27" spans="1:53">
      <c r="A27" s="69" t="str">
        <f t="shared" si="0"/>
        <v>Inicial</v>
      </c>
      <c r="B27" s="232">
        <v>42025</v>
      </c>
      <c r="C27" s="232" t="s">
        <v>130</v>
      </c>
      <c r="D27" s="231">
        <v>21</v>
      </c>
      <c r="E27" s="255">
        <v>8.2972249999999992</v>
      </c>
      <c r="F27" s="255">
        <v>3.390288</v>
      </c>
      <c r="G27" s="255">
        <v>5.843756</v>
      </c>
      <c r="H27" s="255">
        <v>2.4</v>
      </c>
      <c r="I27" s="255">
        <v>0.83333299999999999</v>
      </c>
      <c r="J27" s="255">
        <v>5.61</v>
      </c>
      <c r="K27" s="255">
        <v>74.749066999999997</v>
      </c>
      <c r="L27" s="255">
        <v>0</v>
      </c>
      <c r="M27" s="255">
        <v>0</v>
      </c>
      <c r="N27" s="231">
        <v>0.15</v>
      </c>
      <c r="O27" s="231">
        <v>0.13750000000000001</v>
      </c>
      <c r="P27" s="231">
        <v>0.15</v>
      </c>
      <c r="Q27" s="255">
        <v>1.2</v>
      </c>
      <c r="R27" s="255">
        <v>1.159152</v>
      </c>
      <c r="S27" s="231">
        <v>0</v>
      </c>
      <c r="T27" s="231">
        <v>0.2475</v>
      </c>
      <c r="U27" s="231">
        <v>1</v>
      </c>
      <c r="V27" s="231">
        <v>0.75249999999999995</v>
      </c>
      <c r="W27" s="255">
        <v>20</v>
      </c>
      <c r="X27" s="231">
        <v>9.3229430000000004</v>
      </c>
      <c r="Y27" s="256">
        <v>9</v>
      </c>
      <c r="Z27" s="256">
        <v>0.145596</v>
      </c>
      <c r="AA27" s="256">
        <v>0.146929</v>
      </c>
      <c r="AB27" s="256">
        <v>0</v>
      </c>
      <c r="AC27" s="256">
        <v>9.4856540000000003</v>
      </c>
      <c r="AD27" s="256">
        <v>0.296929</v>
      </c>
      <c r="AE27" s="231">
        <v>0.24744099999999999</v>
      </c>
      <c r="AF27" s="231">
        <v>0.11749999999999999</v>
      </c>
      <c r="AG27" s="231">
        <v>0.55000000000000004</v>
      </c>
      <c r="AH27" s="231">
        <v>16.45</v>
      </c>
      <c r="AI27" s="231">
        <v>9.0474999999999994</v>
      </c>
      <c r="AJ27" s="231">
        <v>0</v>
      </c>
      <c r="AK27" s="231"/>
      <c r="AL27" s="231">
        <v>0</v>
      </c>
      <c r="AM27" s="256">
        <v>1</v>
      </c>
      <c r="AN27" s="256">
        <v>0.296929</v>
      </c>
      <c r="AO27" s="256">
        <v>0.24744099999999999</v>
      </c>
      <c r="AP27" s="256">
        <v>9.1372619999999998</v>
      </c>
      <c r="AQ27" s="231">
        <v>0</v>
      </c>
      <c r="AR27" s="255">
        <v>0</v>
      </c>
      <c r="AS27" s="231">
        <v>0</v>
      </c>
      <c r="AT27" s="231"/>
      <c r="AU27" s="231"/>
      <c r="AV27" s="231"/>
      <c r="AW27" s="231"/>
      <c r="AX27" s="231"/>
      <c r="AY27" s="231"/>
      <c r="AZ27" s="231"/>
      <c r="BA27" s="116" t="s">
        <v>132</v>
      </c>
    </row>
    <row r="28" spans="1:53">
      <c r="A28" s="69" t="str">
        <f t="shared" si="0"/>
        <v>Inicial</v>
      </c>
      <c r="B28" s="232">
        <v>42026</v>
      </c>
      <c r="C28" s="232" t="s">
        <v>130</v>
      </c>
      <c r="D28" s="231">
        <v>22</v>
      </c>
      <c r="E28" s="255">
        <v>10.044686</v>
      </c>
      <c r="F28" s="255">
        <v>2.2022529999999998</v>
      </c>
      <c r="G28" s="255">
        <v>6.3568030000000002</v>
      </c>
      <c r="H28" s="255">
        <v>3.2</v>
      </c>
      <c r="I28" s="255">
        <v>1.1666669999999999</v>
      </c>
      <c r="J28" s="255">
        <v>8.3000000000000007</v>
      </c>
      <c r="K28" s="255">
        <v>61.5991</v>
      </c>
      <c r="L28" s="255">
        <v>0</v>
      </c>
      <c r="M28" s="255">
        <v>0</v>
      </c>
      <c r="N28" s="231">
        <v>0.15</v>
      </c>
      <c r="O28" s="231">
        <v>0.14166699999999999</v>
      </c>
      <c r="P28" s="231">
        <v>0.15</v>
      </c>
      <c r="Q28" s="255">
        <v>1.2</v>
      </c>
      <c r="R28" s="255">
        <v>1.1926380000000001</v>
      </c>
      <c r="S28" s="231">
        <v>0</v>
      </c>
      <c r="T28" s="231">
        <v>0.25833299999999998</v>
      </c>
      <c r="U28" s="231">
        <v>1</v>
      </c>
      <c r="V28" s="231">
        <v>0.74166699999999997</v>
      </c>
      <c r="W28" s="255">
        <v>20</v>
      </c>
      <c r="X28" s="231">
        <v>9.4856540000000003</v>
      </c>
      <c r="Y28" s="256">
        <v>9</v>
      </c>
      <c r="Z28" s="256">
        <v>0.143377</v>
      </c>
      <c r="AA28" s="256">
        <v>0.14949100000000001</v>
      </c>
      <c r="AB28" s="256">
        <v>0</v>
      </c>
      <c r="AC28" s="256">
        <v>9.7208079999999999</v>
      </c>
      <c r="AD28" s="256">
        <v>0.29949100000000001</v>
      </c>
      <c r="AE28" s="231">
        <v>0.34940599999999999</v>
      </c>
      <c r="AF28" s="231">
        <v>0.125</v>
      </c>
      <c r="AG28" s="231">
        <v>0.55000000000000004</v>
      </c>
      <c r="AH28" s="231">
        <v>17.5</v>
      </c>
      <c r="AI28" s="231">
        <v>9.625</v>
      </c>
      <c r="AJ28" s="231">
        <v>0</v>
      </c>
      <c r="AK28" s="231"/>
      <c r="AL28" s="231">
        <v>0</v>
      </c>
      <c r="AM28" s="256">
        <v>1</v>
      </c>
      <c r="AN28" s="256">
        <v>0.29949100000000001</v>
      </c>
      <c r="AO28" s="256">
        <v>0.34940599999999999</v>
      </c>
      <c r="AP28" s="256">
        <v>9.4866679999999999</v>
      </c>
      <c r="AQ28" s="231">
        <v>0.34940599999999999</v>
      </c>
      <c r="AR28" s="255">
        <v>0</v>
      </c>
      <c r="AS28" s="231">
        <v>0</v>
      </c>
      <c r="AT28" s="231"/>
      <c r="AU28" s="231"/>
      <c r="AV28" s="231"/>
      <c r="AW28" s="231"/>
      <c r="AX28" s="231"/>
      <c r="AY28" s="231"/>
      <c r="AZ28" s="231"/>
      <c r="BA28" s="116" t="s">
        <v>132</v>
      </c>
    </row>
    <row r="29" spans="1:53">
      <c r="A29" s="69" t="str">
        <f t="shared" si="0"/>
        <v>Inicial</v>
      </c>
      <c r="B29" s="232">
        <v>42027</v>
      </c>
      <c r="C29" s="232" t="s">
        <v>130</v>
      </c>
      <c r="D29" s="231">
        <v>23</v>
      </c>
      <c r="E29" s="255">
        <v>9.5585500000000003</v>
      </c>
      <c r="F29" s="255">
        <v>1.6051569999999999</v>
      </c>
      <c r="G29" s="255">
        <v>5.4985210000000002</v>
      </c>
      <c r="H29" s="255">
        <v>1.4</v>
      </c>
      <c r="I29" s="255">
        <v>1.3</v>
      </c>
      <c r="J29" s="255">
        <v>9.07</v>
      </c>
      <c r="K29" s="255">
        <v>66.943832999999998</v>
      </c>
      <c r="L29" s="255">
        <v>0</v>
      </c>
      <c r="M29" s="255">
        <v>0</v>
      </c>
      <c r="N29" s="231">
        <v>0.15</v>
      </c>
      <c r="O29" s="231">
        <v>0.14583299999999999</v>
      </c>
      <c r="P29" s="231">
        <v>0.15</v>
      </c>
      <c r="Q29" s="255">
        <v>1.2</v>
      </c>
      <c r="R29" s="255">
        <v>1.1548799999999999</v>
      </c>
      <c r="S29" s="231">
        <v>0</v>
      </c>
      <c r="T29" s="231">
        <v>0.26916699999999999</v>
      </c>
      <c r="U29" s="231">
        <v>1</v>
      </c>
      <c r="V29" s="231">
        <v>0.73083299999999995</v>
      </c>
      <c r="W29" s="255">
        <v>20</v>
      </c>
      <c r="X29" s="231">
        <v>9.7208079999999999</v>
      </c>
      <c r="Y29" s="256">
        <v>9</v>
      </c>
      <c r="Z29" s="256">
        <v>0.14017099999999999</v>
      </c>
      <c r="AA29" s="256">
        <v>0.14085500000000001</v>
      </c>
      <c r="AB29" s="256">
        <v>0</v>
      </c>
      <c r="AC29" s="256">
        <v>9.9713600000000007</v>
      </c>
      <c r="AD29" s="256">
        <v>0.29085499999999997</v>
      </c>
      <c r="AE29" s="231">
        <v>0.37811099999999997</v>
      </c>
      <c r="AF29" s="231">
        <v>0.13250000000000001</v>
      </c>
      <c r="AG29" s="231">
        <v>0.55000000000000004</v>
      </c>
      <c r="AH29" s="231">
        <v>18.55</v>
      </c>
      <c r="AI29" s="231">
        <v>10.202500000000001</v>
      </c>
      <c r="AJ29" s="231">
        <v>0</v>
      </c>
      <c r="AK29" s="231"/>
      <c r="AL29" s="231">
        <v>0</v>
      </c>
      <c r="AM29" s="256">
        <v>1</v>
      </c>
      <c r="AN29" s="256">
        <v>0.29085499999999997</v>
      </c>
      <c r="AO29" s="256">
        <v>0.37811099999999997</v>
      </c>
      <c r="AP29" s="256">
        <v>9.8647790000000004</v>
      </c>
      <c r="AQ29" s="231">
        <v>0.72751699999999997</v>
      </c>
      <c r="AR29" s="255">
        <v>0</v>
      </c>
      <c r="AS29" s="231">
        <v>0</v>
      </c>
      <c r="AT29" s="231"/>
      <c r="AU29" s="231"/>
      <c r="AV29" s="231"/>
      <c r="AW29" s="231"/>
      <c r="AX29" s="231"/>
      <c r="AY29" s="231"/>
      <c r="AZ29" s="231"/>
      <c r="BA29" s="116" t="s">
        <v>132</v>
      </c>
    </row>
    <row r="30" spans="1:53">
      <c r="A30" s="69" t="str">
        <f t="shared" si="0"/>
        <v>Inicial</v>
      </c>
      <c r="B30" s="232">
        <v>42028</v>
      </c>
      <c r="C30" s="232" t="s">
        <v>130</v>
      </c>
      <c r="D30" s="231">
        <v>24</v>
      </c>
      <c r="E30" s="255">
        <v>11.01731</v>
      </c>
      <c r="F30" s="255">
        <v>2.982828</v>
      </c>
      <c r="G30" s="255">
        <v>6.6667350000000001</v>
      </c>
      <c r="H30" s="255">
        <v>2.6</v>
      </c>
      <c r="I30" s="255">
        <v>1.55</v>
      </c>
      <c r="J30" s="255">
        <v>10.86</v>
      </c>
      <c r="K30" s="255">
        <v>53.699466999999999</v>
      </c>
      <c r="L30" s="255">
        <v>0</v>
      </c>
      <c r="M30" s="255">
        <v>0</v>
      </c>
      <c r="N30" s="231">
        <v>0.15</v>
      </c>
      <c r="O30" s="231">
        <v>0.15</v>
      </c>
      <c r="P30" s="231">
        <v>0.15</v>
      </c>
      <c r="Q30" s="255">
        <v>1.2</v>
      </c>
      <c r="R30" s="255">
        <v>1.1956039999999999</v>
      </c>
      <c r="S30" s="231">
        <v>0</v>
      </c>
      <c r="T30" s="231">
        <v>0.28000000000000003</v>
      </c>
      <c r="U30" s="231">
        <v>1</v>
      </c>
      <c r="V30" s="231">
        <v>0.72</v>
      </c>
      <c r="W30" s="255">
        <v>20</v>
      </c>
      <c r="X30" s="231">
        <v>9.9713600000000007</v>
      </c>
      <c r="Y30" s="256">
        <v>9</v>
      </c>
      <c r="Z30" s="256">
        <v>0.13675399999999999</v>
      </c>
      <c r="AA30" s="256">
        <v>0.14299100000000001</v>
      </c>
      <c r="AB30" s="256">
        <v>0</v>
      </c>
      <c r="AC30" s="256">
        <v>10.279187</v>
      </c>
      <c r="AD30" s="256">
        <v>0.292991</v>
      </c>
      <c r="AE30" s="231">
        <v>0.45413599999999998</v>
      </c>
      <c r="AF30" s="231">
        <v>0.14000000000000001</v>
      </c>
      <c r="AG30" s="231">
        <v>0.55000000000000004</v>
      </c>
      <c r="AH30" s="231">
        <v>19.600000000000001</v>
      </c>
      <c r="AI30" s="231">
        <v>10.78</v>
      </c>
      <c r="AJ30" s="231">
        <v>0</v>
      </c>
      <c r="AK30" s="231"/>
      <c r="AL30" s="231">
        <v>0</v>
      </c>
      <c r="AM30" s="256">
        <v>1</v>
      </c>
      <c r="AN30" s="256">
        <v>0.292991</v>
      </c>
      <c r="AO30" s="256">
        <v>0.45413599999999998</v>
      </c>
      <c r="AP30" s="256">
        <v>10.318915000000001</v>
      </c>
      <c r="AQ30" s="231">
        <v>1.1816530000000001</v>
      </c>
      <c r="AR30" s="255">
        <v>0</v>
      </c>
      <c r="AS30" s="231">
        <v>0</v>
      </c>
      <c r="AT30" s="231"/>
      <c r="AU30" s="231"/>
      <c r="AV30" s="231"/>
      <c r="AW30" s="231"/>
      <c r="AX30" s="231"/>
      <c r="AY30" s="231"/>
      <c r="AZ30" s="231"/>
      <c r="BA30" s="116" t="s">
        <v>132</v>
      </c>
    </row>
    <row r="31" spans="1:53">
      <c r="A31" s="69" t="str">
        <f t="shared" si="0"/>
        <v>Inicial</v>
      </c>
      <c r="B31" s="232">
        <v>42029</v>
      </c>
      <c r="C31" s="232" t="s">
        <v>130</v>
      </c>
      <c r="D31" s="231">
        <v>25</v>
      </c>
      <c r="E31" s="255">
        <v>11.808645</v>
      </c>
      <c r="F31" s="255">
        <v>3.2590979999999998</v>
      </c>
      <c r="G31" s="255">
        <v>7.2172049999999999</v>
      </c>
      <c r="H31" s="255">
        <v>1.9</v>
      </c>
      <c r="I31" s="255">
        <v>1.45</v>
      </c>
      <c r="J31" s="255">
        <v>12.39</v>
      </c>
      <c r="K31" s="255">
        <v>62.135167000000003</v>
      </c>
      <c r="L31" s="255">
        <v>0</v>
      </c>
      <c r="M31" s="255">
        <v>0</v>
      </c>
      <c r="N31" s="231">
        <v>0.15</v>
      </c>
      <c r="O31" s="231">
        <v>0.154167</v>
      </c>
      <c r="P31" s="231">
        <v>0.15</v>
      </c>
      <c r="Q31" s="255">
        <v>1.2</v>
      </c>
      <c r="R31" s="255">
        <v>1.170226</v>
      </c>
      <c r="S31" s="231">
        <v>0</v>
      </c>
      <c r="T31" s="231">
        <v>0.29083300000000001</v>
      </c>
      <c r="U31" s="231">
        <v>1</v>
      </c>
      <c r="V31" s="231">
        <v>0.70916699999999999</v>
      </c>
      <c r="W31" s="255">
        <v>20</v>
      </c>
      <c r="X31" s="231">
        <v>10.279187</v>
      </c>
      <c r="Y31" s="256">
        <v>9</v>
      </c>
      <c r="Z31" s="256">
        <v>0.13255700000000001</v>
      </c>
      <c r="AA31" s="256">
        <v>0.135238</v>
      </c>
      <c r="AB31" s="256">
        <v>0</v>
      </c>
      <c r="AC31" s="256">
        <v>10.555700999999999</v>
      </c>
      <c r="AD31" s="256">
        <v>0.28523799999999999</v>
      </c>
      <c r="AE31" s="231">
        <v>0.41359400000000002</v>
      </c>
      <c r="AF31" s="231">
        <v>0.14749999999999999</v>
      </c>
      <c r="AG31" s="231">
        <v>0.55000000000000004</v>
      </c>
      <c r="AH31" s="231">
        <v>20.65</v>
      </c>
      <c r="AI31" s="231">
        <v>11.3575</v>
      </c>
      <c r="AJ31" s="231">
        <v>0</v>
      </c>
      <c r="AK31" s="231"/>
      <c r="AL31" s="231">
        <v>0</v>
      </c>
      <c r="AM31" s="256">
        <v>1</v>
      </c>
      <c r="AN31" s="256">
        <v>0.28523799999999999</v>
      </c>
      <c r="AO31" s="256">
        <v>0.41359400000000002</v>
      </c>
      <c r="AP31" s="256">
        <v>10.732509</v>
      </c>
      <c r="AQ31" s="231">
        <v>1.5952470000000001</v>
      </c>
      <c r="AR31" s="255">
        <v>0</v>
      </c>
      <c r="AS31" s="231">
        <v>0</v>
      </c>
      <c r="AT31" s="231"/>
      <c r="AU31" s="231"/>
      <c r="AV31" s="231"/>
      <c r="AW31" s="231"/>
      <c r="AX31" s="231"/>
      <c r="AY31" s="231"/>
      <c r="AZ31" s="231"/>
      <c r="BA31" s="116" t="s">
        <v>132</v>
      </c>
    </row>
    <row r="32" spans="1:53">
      <c r="A32" s="69" t="str">
        <f t="shared" si="0"/>
        <v>Inicial</v>
      </c>
      <c r="B32" s="232">
        <v>42030</v>
      </c>
      <c r="C32" s="232" t="s">
        <v>130</v>
      </c>
      <c r="D32" s="231">
        <v>26</v>
      </c>
      <c r="E32" s="255">
        <v>11.188689999999999</v>
      </c>
      <c r="F32" s="255">
        <v>2.993258</v>
      </c>
      <c r="G32" s="255">
        <v>7.1409739999999999</v>
      </c>
      <c r="H32" s="255">
        <v>1.9</v>
      </c>
      <c r="I32" s="255">
        <v>1.1499999999999999</v>
      </c>
      <c r="J32" s="255">
        <v>8.0299999999999994</v>
      </c>
      <c r="K32" s="255">
        <v>58.306699999999999</v>
      </c>
      <c r="L32" s="255">
        <v>0</v>
      </c>
      <c r="M32" s="255">
        <v>0</v>
      </c>
      <c r="N32" s="231">
        <v>0.15</v>
      </c>
      <c r="O32" s="231">
        <v>0.158333</v>
      </c>
      <c r="P32" s="231">
        <v>0.15</v>
      </c>
      <c r="Q32" s="255">
        <v>1.2</v>
      </c>
      <c r="R32" s="255">
        <v>1.176323</v>
      </c>
      <c r="S32" s="231">
        <v>0</v>
      </c>
      <c r="T32" s="231">
        <v>0.30166700000000002</v>
      </c>
      <c r="U32" s="231">
        <v>1</v>
      </c>
      <c r="V32" s="231">
        <v>0.69833299999999998</v>
      </c>
      <c r="W32" s="255">
        <v>20</v>
      </c>
      <c r="X32" s="231">
        <v>10.555700999999999</v>
      </c>
      <c r="Y32" s="256">
        <v>9</v>
      </c>
      <c r="Z32" s="256">
        <v>0.12878600000000001</v>
      </c>
      <c r="AA32" s="256">
        <v>0.13217599999999999</v>
      </c>
      <c r="AB32" s="256">
        <v>0</v>
      </c>
      <c r="AC32" s="256">
        <v>10.773365</v>
      </c>
      <c r="AD32" s="256">
        <v>0.28217599999999998</v>
      </c>
      <c r="AE32" s="231">
        <v>0.32450200000000001</v>
      </c>
      <c r="AF32" s="231">
        <v>0.155</v>
      </c>
      <c r="AG32" s="231">
        <v>0.55000000000000004</v>
      </c>
      <c r="AH32" s="231">
        <v>21.7</v>
      </c>
      <c r="AI32" s="231">
        <v>11.935</v>
      </c>
      <c r="AJ32" s="231">
        <v>0</v>
      </c>
      <c r="AK32" s="231"/>
      <c r="AL32" s="231">
        <v>0</v>
      </c>
      <c r="AM32" s="256">
        <v>1</v>
      </c>
      <c r="AN32" s="256">
        <v>0.28217599999999998</v>
      </c>
      <c r="AO32" s="256">
        <v>0.32450200000000001</v>
      </c>
      <c r="AP32" s="256">
        <v>11.057010999999999</v>
      </c>
      <c r="AQ32" s="231">
        <v>1.9197500000000001</v>
      </c>
      <c r="AR32" s="255">
        <v>0</v>
      </c>
      <c r="AS32" s="231">
        <v>0</v>
      </c>
      <c r="AT32" s="231"/>
      <c r="AU32" s="231"/>
      <c r="AV32" s="231"/>
      <c r="AW32" s="231"/>
      <c r="AX32" s="231"/>
      <c r="AY32" s="231"/>
      <c r="AZ32" s="231"/>
      <c r="BA32" s="116" t="s">
        <v>132</v>
      </c>
    </row>
    <row r="33" spans="1:53">
      <c r="A33" s="69" t="str">
        <f t="shared" si="0"/>
        <v>Inicial</v>
      </c>
      <c r="B33" s="232">
        <v>42031</v>
      </c>
      <c r="C33" s="232" t="s">
        <v>130</v>
      </c>
      <c r="D33" s="231">
        <v>27</v>
      </c>
      <c r="E33" s="255">
        <v>11.902691000000001</v>
      </c>
      <c r="F33" s="255">
        <v>2.9667729999999999</v>
      </c>
      <c r="G33" s="255">
        <v>7.4347320000000003</v>
      </c>
      <c r="H33" s="255">
        <v>3.3</v>
      </c>
      <c r="I33" s="255">
        <v>1.0333330000000001</v>
      </c>
      <c r="J33" s="255">
        <v>3.99</v>
      </c>
      <c r="K33" s="255">
        <v>68.256167000000005</v>
      </c>
      <c r="L33" s="255">
        <v>0</v>
      </c>
      <c r="M33" s="255">
        <v>0</v>
      </c>
      <c r="N33" s="231">
        <v>0.15</v>
      </c>
      <c r="O33" s="231">
        <v>0.16250000000000001</v>
      </c>
      <c r="P33" s="231">
        <v>0.15</v>
      </c>
      <c r="Q33" s="255">
        <v>1.2</v>
      </c>
      <c r="R33" s="255">
        <v>1.182893</v>
      </c>
      <c r="S33" s="231">
        <v>0</v>
      </c>
      <c r="T33" s="231">
        <v>0.3125</v>
      </c>
      <c r="U33" s="231">
        <v>1</v>
      </c>
      <c r="V33" s="231">
        <v>0.6875</v>
      </c>
      <c r="W33" s="255">
        <v>20</v>
      </c>
      <c r="X33" s="231">
        <v>10.773365</v>
      </c>
      <c r="Y33" s="256">
        <v>9</v>
      </c>
      <c r="Z33" s="256">
        <v>0.12581800000000001</v>
      </c>
      <c r="AA33" s="256">
        <v>0.12995599999999999</v>
      </c>
      <c r="AB33" s="256">
        <v>0</v>
      </c>
      <c r="AC33" s="256">
        <v>10.968693999999999</v>
      </c>
      <c r="AD33" s="256">
        <v>0.27995599999999998</v>
      </c>
      <c r="AE33" s="231">
        <v>0.28928799999999999</v>
      </c>
      <c r="AF33" s="231">
        <v>0.16250000000000001</v>
      </c>
      <c r="AG33" s="231">
        <v>0.55000000000000004</v>
      </c>
      <c r="AH33" s="231">
        <v>22.75</v>
      </c>
      <c r="AI33" s="231">
        <v>12.512499999999999</v>
      </c>
      <c r="AJ33" s="231">
        <v>0</v>
      </c>
      <c r="AK33" s="231"/>
      <c r="AL33" s="231">
        <v>0</v>
      </c>
      <c r="AM33" s="256">
        <v>1</v>
      </c>
      <c r="AN33" s="256">
        <v>0.27995599999999998</v>
      </c>
      <c r="AO33" s="256">
        <v>0.28928799999999999</v>
      </c>
      <c r="AP33" s="256">
        <v>11.346299999999999</v>
      </c>
      <c r="AQ33" s="231">
        <v>2.2090380000000001</v>
      </c>
      <c r="AR33" s="255">
        <v>0</v>
      </c>
      <c r="AS33" s="231">
        <v>0</v>
      </c>
      <c r="AT33" s="231"/>
      <c r="AU33" s="231"/>
      <c r="AV33" s="231"/>
      <c r="AW33" s="231"/>
      <c r="AX33" s="231"/>
      <c r="AY33" s="231"/>
      <c r="AZ33" s="231"/>
      <c r="BA33" s="116" t="s">
        <v>132</v>
      </c>
    </row>
    <row r="34" spans="1:53">
      <c r="A34" s="69" t="str">
        <f t="shared" si="0"/>
        <v>Inicial</v>
      </c>
      <c r="B34" s="232">
        <v>42032</v>
      </c>
      <c r="C34" s="232" t="s">
        <v>130</v>
      </c>
      <c r="D34" s="231">
        <v>28</v>
      </c>
      <c r="E34" s="255">
        <v>13.342463</v>
      </c>
      <c r="F34" s="255">
        <v>4.8954740000000001</v>
      </c>
      <c r="G34" s="255">
        <v>9.1356350000000006</v>
      </c>
      <c r="H34" s="255">
        <v>4.9000000000000004</v>
      </c>
      <c r="I34" s="255">
        <v>1.2</v>
      </c>
      <c r="J34" s="255">
        <v>12.75</v>
      </c>
      <c r="K34" s="255">
        <v>64.487499999999997</v>
      </c>
      <c r="L34" s="255">
        <v>0</v>
      </c>
      <c r="M34" s="255">
        <v>0</v>
      </c>
      <c r="N34" s="231">
        <v>0.15</v>
      </c>
      <c r="O34" s="231">
        <v>0.16666700000000001</v>
      </c>
      <c r="P34" s="231">
        <v>0.15</v>
      </c>
      <c r="Q34" s="255">
        <v>1.2</v>
      </c>
      <c r="R34" s="255">
        <v>1.2159869999999999</v>
      </c>
      <c r="S34" s="231">
        <v>0</v>
      </c>
      <c r="T34" s="231">
        <v>0.32333299999999998</v>
      </c>
      <c r="U34" s="231">
        <v>1</v>
      </c>
      <c r="V34" s="231">
        <v>0.67666700000000002</v>
      </c>
      <c r="W34" s="255">
        <v>20</v>
      </c>
      <c r="X34" s="231">
        <v>10.968693999999999</v>
      </c>
      <c r="Y34" s="256">
        <v>9</v>
      </c>
      <c r="Z34" s="256">
        <v>0.123154</v>
      </c>
      <c r="AA34" s="256">
        <v>0.13128100000000001</v>
      </c>
      <c r="AB34" s="256">
        <v>0</v>
      </c>
      <c r="AC34" s="256">
        <v>11.201506999999999</v>
      </c>
      <c r="AD34" s="256">
        <v>0.281281</v>
      </c>
      <c r="AE34" s="231">
        <v>0.33753699999999998</v>
      </c>
      <c r="AF34" s="231">
        <v>0.17</v>
      </c>
      <c r="AG34" s="231">
        <v>0.55000000000000004</v>
      </c>
      <c r="AH34" s="231">
        <v>23.8</v>
      </c>
      <c r="AI34" s="231">
        <v>13.09</v>
      </c>
      <c r="AJ34" s="231">
        <v>0</v>
      </c>
      <c r="AK34" s="231"/>
      <c r="AL34" s="231">
        <v>0</v>
      </c>
      <c r="AM34" s="256">
        <v>1</v>
      </c>
      <c r="AN34" s="256">
        <v>0.281281</v>
      </c>
      <c r="AO34" s="256">
        <v>0.33753699999999998</v>
      </c>
      <c r="AP34" s="256">
        <v>11.683837</v>
      </c>
      <c r="AQ34" s="231">
        <v>2.5465749999999998</v>
      </c>
      <c r="AR34" s="255">
        <v>0</v>
      </c>
      <c r="AS34" s="231">
        <v>0</v>
      </c>
      <c r="AT34" s="231"/>
      <c r="AU34" s="231"/>
      <c r="AV34" s="231"/>
      <c r="AW34" s="231"/>
      <c r="AX34" s="231"/>
      <c r="AY34" s="231"/>
      <c r="AZ34" s="231"/>
      <c r="BA34" s="116" t="s">
        <v>132</v>
      </c>
    </row>
    <row r="35" spans="1:53">
      <c r="A35" s="69" t="str">
        <f t="shared" si="0"/>
        <v>Inicial</v>
      </c>
      <c r="B35" s="232">
        <v>42033</v>
      </c>
      <c r="C35" s="232" t="s">
        <v>130</v>
      </c>
      <c r="D35" s="231">
        <v>29</v>
      </c>
      <c r="E35" s="255">
        <v>14.763585000000001</v>
      </c>
      <c r="F35" s="255">
        <v>4.6533910000000001</v>
      </c>
      <c r="G35" s="255">
        <v>9.7751549999999998</v>
      </c>
      <c r="H35" s="255">
        <v>1.2</v>
      </c>
      <c r="I35" s="255">
        <v>1.2</v>
      </c>
      <c r="J35" s="255">
        <v>6.86</v>
      </c>
      <c r="K35" s="255">
        <v>59.430933000000003</v>
      </c>
      <c r="L35" s="255">
        <v>0</v>
      </c>
      <c r="M35" s="255">
        <v>0</v>
      </c>
      <c r="N35" s="231">
        <v>0.15</v>
      </c>
      <c r="O35" s="231">
        <v>0.17083300000000001</v>
      </c>
      <c r="P35" s="231">
        <v>0.15</v>
      </c>
      <c r="Q35" s="255">
        <v>1.2</v>
      </c>
      <c r="R35" s="255">
        <v>1.162021</v>
      </c>
      <c r="S35" s="231">
        <v>0</v>
      </c>
      <c r="T35" s="231">
        <v>0.33416699999999999</v>
      </c>
      <c r="U35" s="231">
        <v>1</v>
      </c>
      <c r="V35" s="231">
        <v>0.66583300000000001</v>
      </c>
      <c r="W35" s="255">
        <v>20</v>
      </c>
      <c r="X35" s="231">
        <v>11.201506999999999</v>
      </c>
      <c r="Y35" s="256">
        <v>9</v>
      </c>
      <c r="Z35" s="256">
        <v>0.119979</v>
      </c>
      <c r="AA35" s="256">
        <v>0.121422</v>
      </c>
      <c r="AB35" s="256">
        <v>0</v>
      </c>
      <c r="AC35" s="256">
        <v>11.420339999999999</v>
      </c>
      <c r="AD35" s="256">
        <v>0.271422</v>
      </c>
      <c r="AE35" s="231">
        <v>0.325706</v>
      </c>
      <c r="AF35" s="231">
        <v>0.17749999999999999</v>
      </c>
      <c r="AG35" s="231">
        <v>0.55000000000000004</v>
      </c>
      <c r="AH35" s="231">
        <v>24.85</v>
      </c>
      <c r="AI35" s="231">
        <v>13.6675</v>
      </c>
      <c r="AJ35" s="231">
        <v>0</v>
      </c>
      <c r="AK35" s="231"/>
      <c r="AL35" s="231">
        <v>0</v>
      </c>
      <c r="AM35" s="256">
        <v>1</v>
      </c>
      <c r="AN35" s="256">
        <v>0.271422</v>
      </c>
      <c r="AO35" s="256">
        <v>0.325706</v>
      </c>
      <c r="AP35" s="256">
        <v>12.009543000000001</v>
      </c>
      <c r="AQ35" s="231">
        <v>2.8722810000000001</v>
      </c>
      <c r="AR35" s="255">
        <v>0</v>
      </c>
      <c r="AS35" s="231">
        <v>0</v>
      </c>
      <c r="AT35" s="231"/>
      <c r="AU35" s="231"/>
      <c r="AV35" s="231"/>
      <c r="AW35" s="231"/>
      <c r="AX35" s="231"/>
      <c r="AY35" s="231"/>
      <c r="AZ35" s="231"/>
      <c r="BA35" s="116" t="s">
        <v>132</v>
      </c>
    </row>
    <row r="36" spans="1:53">
      <c r="A36" s="69" t="str">
        <f t="shared" si="0"/>
        <v>Inicial</v>
      </c>
      <c r="B36" s="232">
        <v>42034</v>
      </c>
      <c r="C36" s="232" t="s">
        <v>130</v>
      </c>
      <c r="D36" s="231">
        <v>30</v>
      </c>
      <c r="E36" s="255">
        <v>13.975467</v>
      </c>
      <c r="F36" s="255">
        <v>5.025938</v>
      </c>
      <c r="G36" s="255">
        <v>9.8173689999999993</v>
      </c>
      <c r="H36" s="255">
        <v>1.5</v>
      </c>
      <c r="I36" s="255">
        <v>1.733333</v>
      </c>
      <c r="J36" s="255">
        <v>7.94</v>
      </c>
      <c r="K36" s="255">
        <v>57.892400000000002</v>
      </c>
      <c r="L36" s="255">
        <v>0</v>
      </c>
      <c r="M36" s="255">
        <v>0</v>
      </c>
      <c r="N36" s="231">
        <v>0.15</v>
      </c>
      <c r="O36" s="231">
        <v>0.17499999999999999</v>
      </c>
      <c r="P36" s="231">
        <v>0.15</v>
      </c>
      <c r="Q36" s="255">
        <v>1.2</v>
      </c>
      <c r="R36" s="255">
        <v>1.169486</v>
      </c>
      <c r="S36" s="231">
        <v>0</v>
      </c>
      <c r="T36" s="231">
        <v>0.34499999999999997</v>
      </c>
      <c r="U36" s="231">
        <v>1</v>
      </c>
      <c r="V36" s="231">
        <v>0.65500000000000003</v>
      </c>
      <c r="W36" s="255">
        <v>20</v>
      </c>
      <c r="X36" s="231">
        <v>11.420339999999999</v>
      </c>
      <c r="Y36" s="256">
        <v>9</v>
      </c>
      <c r="Z36" s="256">
        <v>0.116995</v>
      </c>
      <c r="AA36" s="256">
        <v>0.11927500000000001</v>
      </c>
      <c r="AB36" s="256">
        <v>0</v>
      </c>
      <c r="AC36" s="256">
        <v>11.735977999999999</v>
      </c>
      <c r="AD36" s="256">
        <v>0.26927499999999999</v>
      </c>
      <c r="AE36" s="231">
        <v>0.46674399999999999</v>
      </c>
      <c r="AF36" s="231">
        <v>0.185</v>
      </c>
      <c r="AG36" s="231">
        <v>0.55000000000000004</v>
      </c>
      <c r="AH36" s="231">
        <v>25.9</v>
      </c>
      <c r="AI36" s="231">
        <v>14.244999999999999</v>
      </c>
      <c r="AJ36" s="231">
        <v>0</v>
      </c>
      <c r="AK36" s="231"/>
      <c r="AL36" s="231">
        <v>0</v>
      </c>
      <c r="AM36" s="256">
        <v>1</v>
      </c>
      <c r="AN36" s="256">
        <v>0.26927499999999999</v>
      </c>
      <c r="AO36" s="256">
        <v>0.46674399999999999</v>
      </c>
      <c r="AP36" s="256">
        <v>12.476286</v>
      </c>
      <c r="AQ36" s="231">
        <v>3.3390240000000002</v>
      </c>
      <c r="AR36" s="255">
        <v>0</v>
      </c>
      <c r="AS36" s="231">
        <v>0</v>
      </c>
      <c r="AT36" s="231"/>
      <c r="AU36" s="231"/>
      <c r="AV36" s="231"/>
      <c r="AW36" s="231"/>
      <c r="AX36" s="231"/>
      <c r="AY36" s="231"/>
      <c r="AZ36" s="231"/>
      <c r="BA36" s="116" t="s">
        <v>132</v>
      </c>
    </row>
    <row r="37" spans="1:53">
      <c r="A37" s="69" t="str">
        <f t="shared" si="0"/>
        <v>Inicial</v>
      </c>
      <c r="B37" s="232">
        <v>42035</v>
      </c>
      <c r="C37" s="232" t="s">
        <v>130</v>
      </c>
      <c r="D37" s="231">
        <v>31</v>
      </c>
      <c r="E37" s="255">
        <v>14.233228</v>
      </c>
      <c r="F37" s="255">
        <v>4.5595299999999996</v>
      </c>
      <c r="G37" s="255">
        <v>8.8463790000000007</v>
      </c>
      <c r="H37" s="255">
        <v>1.5</v>
      </c>
      <c r="I37" s="255">
        <v>1.566667</v>
      </c>
      <c r="J37" s="255">
        <v>11.34</v>
      </c>
      <c r="K37" s="255">
        <v>61.252299999999998</v>
      </c>
      <c r="L37" s="255">
        <v>0</v>
      </c>
      <c r="M37" s="255">
        <v>0</v>
      </c>
      <c r="N37" s="231">
        <v>0.15</v>
      </c>
      <c r="O37" s="231">
        <v>0.17916699999999999</v>
      </c>
      <c r="P37" s="231">
        <v>0.15</v>
      </c>
      <c r="Q37" s="255">
        <v>1.2</v>
      </c>
      <c r="R37" s="255">
        <v>1.1634990000000001</v>
      </c>
      <c r="S37" s="231">
        <v>0</v>
      </c>
      <c r="T37" s="231">
        <v>0.35583300000000001</v>
      </c>
      <c r="U37" s="231">
        <v>1</v>
      </c>
      <c r="V37" s="231">
        <v>0.64416700000000005</v>
      </c>
      <c r="W37" s="255">
        <v>20</v>
      </c>
      <c r="X37" s="231">
        <v>11.735977999999999</v>
      </c>
      <c r="Y37" s="256">
        <v>9</v>
      </c>
      <c r="Z37" s="256">
        <v>0.112691</v>
      </c>
      <c r="AA37" s="256">
        <v>0.11421199999999999</v>
      </c>
      <c r="AB37" s="256">
        <v>0</v>
      </c>
      <c r="AC37" s="256">
        <v>12.013752</v>
      </c>
      <c r="AD37" s="256">
        <v>0.264212</v>
      </c>
      <c r="AE37" s="231">
        <v>0.413933</v>
      </c>
      <c r="AF37" s="231">
        <v>0.1925</v>
      </c>
      <c r="AG37" s="231">
        <v>0.55000000000000004</v>
      </c>
      <c r="AH37" s="231">
        <v>26.95</v>
      </c>
      <c r="AI37" s="231">
        <v>14.8225</v>
      </c>
      <c r="AJ37" s="231">
        <v>0</v>
      </c>
      <c r="AK37" s="231"/>
      <c r="AL37" s="231">
        <v>0</v>
      </c>
      <c r="AM37" s="256">
        <v>1</v>
      </c>
      <c r="AN37" s="256">
        <v>0.264212</v>
      </c>
      <c r="AO37" s="256">
        <v>0.413933</v>
      </c>
      <c r="AP37" s="256">
        <v>12.890219</v>
      </c>
      <c r="AQ37" s="231">
        <v>0</v>
      </c>
      <c r="AR37" s="255">
        <v>0</v>
      </c>
      <c r="AS37" s="231">
        <v>0</v>
      </c>
      <c r="AT37" s="231"/>
      <c r="AU37" s="231"/>
      <c r="AV37" s="231"/>
      <c r="AW37" s="231"/>
      <c r="AX37" s="231"/>
      <c r="AY37" s="231"/>
      <c r="AZ37" s="231"/>
      <c r="BA37" s="116" t="s">
        <v>132</v>
      </c>
    </row>
    <row r="38" spans="1:53">
      <c r="A38" s="69" t="str">
        <f t="shared" si="0"/>
        <v>Inicial</v>
      </c>
      <c r="B38" s="232">
        <v>42036</v>
      </c>
      <c r="C38" s="232" t="s">
        <v>130</v>
      </c>
      <c r="D38" s="231">
        <v>32</v>
      </c>
      <c r="E38" s="255">
        <v>13.563786</v>
      </c>
      <c r="F38" s="255">
        <v>4.92028</v>
      </c>
      <c r="G38" s="255">
        <v>9.292033</v>
      </c>
      <c r="H38" s="255">
        <v>2.7</v>
      </c>
      <c r="I38" s="255">
        <v>1.4</v>
      </c>
      <c r="J38" s="255">
        <v>8.15</v>
      </c>
      <c r="K38" s="255">
        <v>60.633333</v>
      </c>
      <c r="L38" s="255">
        <v>0</v>
      </c>
      <c r="M38" s="255">
        <v>0</v>
      </c>
      <c r="N38" s="231">
        <v>0.15</v>
      </c>
      <c r="O38" s="231">
        <v>0.183333</v>
      </c>
      <c r="P38" s="231">
        <v>0.15</v>
      </c>
      <c r="Q38" s="255">
        <v>1.2</v>
      </c>
      <c r="R38" s="255">
        <v>1.1850689999999999</v>
      </c>
      <c r="S38" s="231">
        <v>0</v>
      </c>
      <c r="T38" s="231">
        <v>0.36666700000000002</v>
      </c>
      <c r="U38" s="231">
        <v>1</v>
      </c>
      <c r="V38" s="231">
        <v>0.63333300000000003</v>
      </c>
      <c r="W38" s="255">
        <v>20</v>
      </c>
      <c r="X38" s="231">
        <v>12.013752</v>
      </c>
      <c r="Y38" s="256">
        <v>9</v>
      </c>
      <c r="Z38" s="256">
        <v>0.108903</v>
      </c>
      <c r="AA38" s="256">
        <v>0.112723</v>
      </c>
      <c r="AB38" s="256">
        <v>0</v>
      </c>
      <c r="AC38" s="256">
        <v>12.262929</v>
      </c>
      <c r="AD38" s="256">
        <v>0.26272299999999998</v>
      </c>
      <c r="AE38" s="231">
        <v>0.36781199999999997</v>
      </c>
      <c r="AF38" s="231">
        <v>0.2</v>
      </c>
      <c r="AG38" s="231">
        <v>0.55000000000000004</v>
      </c>
      <c r="AH38" s="231">
        <v>28</v>
      </c>
      <c r="AI38" s="231">
        <v>15.4</v>
      </c>
      <c r="AJ38" s="231">
        <v>0</v>
      </c>
      <c r="AK38" s="231"/>
      <c r="AL38" s="231">
        <v>0</v>
      </c>
      <c r="AM38" s="256">
        <v>1</v>
      </c>
      <c r="AN38" s="256">
        <v>0.26272299999999998</v>
      </c>
      <c r="AO38" s="256">
        <v>0.36781199999999997</v>
      </c>
      <c r="AP38" s="256">
        <v>13.258031000000001</v>
      </c>
      <c r="AQ38" s="231">
        <v>0.36781199999999997</v>
      </c>
      <c r="AR38" s="255">
        <v>0</v>
      </c>
      <c r="AS38" s="231">
        <v>0</v>
      </c>
      <c r="AT38" s="231"/>
      <c r="AU38" s="231"/>
      <c r="AV38" s="231"/>
      <c r="AW38" s="231"/>
      <c r="AX38" s="231"/>
      <c r="AY38" s="231"/>
      <c r="AZ38" s="231"/>
      <c r="BA38" s="116" t="s">
        <v>132</v>
      </c>
    </row>
    <row r="39" spans="1:53">
      <c r="A39" s="69" t="str">
        <f t="shared" si="0"/>
        <v>Inicial</v>
      </c>
      <c r="B39" s="232">
        <v>42037</v>
      </c>
      <c r="C39" s="232" t="s">
        <v>130</v>
      </c>
      <c r="D39" s="231">
        <v>33</v>
      </c>
      <c r="E39" s="255">
        <v>13.806673</v>
      </c>
      <c r="F39" s="255">
        <v>3.0104980000000001</v>
      </c>
      <c r="G39" s="255">
        <v>8.1252519999999997</v>
      </c>
      <c r="H39" s="255">
        <v>4.0999999999999996</v>
      </c>
      <c r="I39" s="255">
        <v>1.4666669999999999</v>
      </c>
      <c r="J39" s="255">
        <v>12.56</v>
      </c>
      <c r="K39" s="255">
        <v>49.991267000000001</v>
      </c>
      <c r="L39" s="255">
        <v>0</v>
      </c>
      <c r="M39" s="255">
        <v>0</v>
      </c>
      <c r="N39" s="231">
        <v>0.15</v>
      </c>
      <c r="O39" s="231">
        <v>0.1875</v>
      </c>
      <c r="P39" s="231">
        <v>0.15</v>
      </c>
      <c r="Q39" s="255">
        <v>1.2</v>
      </c>
      <c r="R39" s="255">
        <v>1.227873</v>
      </c>
      <c r="S39" s="231">
        <v>0</v>
      </c>
      <c r="T39" s="231">
        <v>0.3775</v>
      </c>
      <c r="U39" s="231">
        <v>1</v>
      </c>
      <c r="V39" s="231">
        <v>0.62250000000000005</v>
      </c>
      <c r="W39" s="255">
        <v>20</v>
      </c>
      <c r="X39" s="231">
        <v>12.262929</v>
      </c>
      <c r="Y39" s="256">
        <v>9</v>
      </c>
      <c r="Z39" s="256">
        <v>0.105506</v>
      </c>
      <c r="AA39" s="256">
        <v>0.113722</v>
      </c>
      <c r="AB39" s="256">
        <v>0</v>
      </c>
      <c r="AC39" s="256">
        <v>12.530867000000001</v>
      </c>
      <c r="AD39" s="256">
        <v>0.26372200000000001</v>
      </c>
      <c r="AE39" s="231">
        <v>0.38679200000000002</v>
      </c>
      <c r="AF39" s="231">
        <v>0.20749999999999999</v>
      </c>
      <c r="AG39" s="231">
        <v>0.55000000000000004</v>
      </c>
      <c r="AH39" s="231">
        <v>29.05</v>
      </c>
      <c r="AI39" s="231">
        <v>15.977499999999999</v>
      </c>
      <c r="AJ39" s="231">
        <v>0</v>
      </c>
      <c r="AK39" s="231"/>
      <c r="AL39" s="231">
        <v>0</v>
      </c>
      <c r="AM39" s="256">
        <v>1</v>
      </c>
      <c r="AN39" s="256">
        <v>0.26372200000000001</v>
      </c>
      <c r="AO39" s="256">
        <v>0.38679200000000002</v>
      </c>
      <c r="AP39" s="256">
        <v>13.644822</v>
      </c>
      <c r="AQ39" s="231">
        <v>0.75460300000000002</v>
      </c>
      <c r="AR39" s="255">
        <v>0</v>
      </c>
      <c r="AS39" s="231">
        <v>0</v>
      </c>
      <c r="AT39" s="231"/>
      <c r="AU39" s="231"/>
      <c r="AV39" s="231"/>
      <c r="AW39" s="231"/>
      <c r="AX39" s="231"/>
      <c r="AY39" s="231"/>
      <c r="AZ39" s="231"/>
      <c r="BA39" s="116" t="s">
        <v>132</v>
      </c>
    </row>
    <row r="40" spans="1:53">
      <c r="A40" s="69" t="str">
        <f t="shared" si="0"/>
        <v>Inicial</v>
      </c>
      <c r="B40" s="232">
        <v>42038</v>
      </c>
      <c r="C40" s="232" t="s">
        <v>130</v>
      </c>
      <c r="D40" s="231">
        <v>34</v>
      </c>
      <c r="E40" s="255">
        <v>14.674500999999999</v>
      </c>
      <c r="F40" s="255">
        <v>0.95276400000000006</v>
      </c>
      <c r="G40" s="255">
        <v>7.7469659999999996</v>
      </c>
      <c r="H40" s="255">
        <v>3.9</v>
      </c>
      <c r="I40" s="255">
        <v>1.4666669999999999</v>
      </c>
      <c r="J40" s="255">
        <v>14.13</v>
      </c>
      <c r="K40" s="255">
        <v>48.011733</v>
      </c>
      <c r="L40" s="255">
        <v>0</v>
      </c>
      <c r="M40" s="255">
        <v>0</v>
      </c>
      <c r="N40" s="231">
        <v>0.15</v>
      </c>
      <c r="O40" s="231">
        <v>0.191667</v>
      </c>
      <c r="P40" s="231">
        <v>0.15</v>
      </c>
      <c r="Q40" s="255">
        <v>1.2</v>
      </c>
      <c r="R40" s="255">
        <v>1.228021</v>
      </c>
      <c r="S40" s="231">
        <v>0</v>
      </c>
      <c r="T40" s="231">
        <v>0.38833299999999998</v>
      </c>
      <c r="U40" s="231">
        <v>1</v>
      </c>
      <c r="V40" s="231">
        <v>0.61166699999999996</v>
      </c>
      <c r="W40" s="255">
        <v>20</v>
      </c>
      <c r="X40" s="231">
        <v>12.530867000000001</v>
      </c>
      <c r="Y40" s="256">
        <v>9</v>
      </c>
      <c r="Z40" s="256">
        <v>0.101852</v>
      </c>
      <c r="AA40" s="256">
        <v>0.10979800000000001</v>
      </c>
      <c r="AB40" s="256">
        <v>0</v>
      </c>
      <c r="AC40" s="256">
        <v>12.794143999999999</v>
      </c>
      <c r="AD40" s="256">
        <v>0.25979799999999997</v>
      </c>
      <c r="AE40" s="231">
        <v>0.38103799999999999</v>
      </c>
      <c r="AF40" s="231">
        <v>0.215</v>
      </c>
      <c r="AG40" s="231">
        <v>0.55000000000000004</v>
      </c>
      <c r="AH40" s="231">
        <v>30.1</v>
      </c>
      <c r="AI40" s="231">
        <v>16.555</v>
      </c>
      <c r="AJ40" s="231">
        <v>0</v>
      </c>
      <c r="AK40" s="231"/>
      <c r="AL40" s="231">
        <v>0</v>
      </c>
      <c r="AM40" s="256">
        <v>1</v>
      </c>
      <c r="AN40" s="256">
        <v>0.25979799999999997</v>
      </c>
      <c r="AO40" s="256">
        <v>0.38103799999999999</v>
      </c>
      <c r="AP40" s="256">
        <v>14.02586</v>
      </c>
      <c r="AQ40" s="231">
        <v>1.1356409999999999</v>
      </c>
      <c r="AR40" s="255">
        <v>0</v>
      </c>
      <c r="AS40" s="231">
        <v>0</v>
      </c>
      <c r="AT40" s="231"/>
      <c r="AU40" s="231"/>
      <c r="AV40" s="231"/>
      <c r="AW40" s="231"/>
      <c r="AX40" s="231"/>
      <c r="AY40" s="231"/>
      <c r="AZ40" s="231"/>
      <c r="BA40" s="116" t="s">
        <v>132</v>
      </c>
    </row>
    <row r="41" spans="1:53">
      <c r="A41" s="69" t="str">
        <f t="shared" si="0"/>
        <v>Inicial</v>
      </c>
      <c r="B41" s="232">
        <v>42039</v>
      </c>
      <c r="C41" s="232" t="s">
        <v>130</v>
      </c>
      <c r="D41" s="231">
        <v>35</v>
      </c>
      <c r="E41" s="255">
        <v>12.740299</v>
      </c>
      <c r="F41" s="255">
        <v>2.3137759999999998</v>
      </c>
      <c r="G41" s="255">
        <v>7.4520369999999998</v>
      </c>
      <c r="H41" s="255">
        <v>2.2999999999999998</v>
      </c>
      <c r="I41" s="255">
        <v>1.2</v>
      </c>
      <c r="J41" s="255">
        <v>3.93</v>
      </c>
      <c r="K41" s="255">
        <v>50.367350000000002</v>
      </c>
      <c r="L41" s="255">
        <v>0</v>
      </c>
      <c r="M41" s="255">
        <v>0</v>
      </c>
      <c r="N41" s="231">
        <v>0.15</v>
      </c>
      <c r="O41" s="231">
        <v>0.19583300000000001</v>
      </c>
      <c r="P41" s="231">
        <v>0.15</v>
      </c>
      <c r="Q41" s="255">
        <v>1.2</v>
      </c>
      <c r="R41" s="255">
        <v>1.195824</v>
      </c>
      <c r="S41" s="231">
        <v>0</v>
      </c>
      <c r="T41" s="231">
        <v>0.39916699999999999</v>
      </c>
      <c r="U41" s="231">
        <v>1</v>
      </c>
      <c r="V41" s="231">
        <v>0.60083299999999995</v>
      </c>
      <c r="W41" s="255">
        <v>20</v>
      </c>
      <c r="X41" s="231">
        <v>12.794143999999999</v>
      </c>
      <c r="Y41" s="256">
        <v>9</v>
      </c>
      <c r="Z41" s="256">
        <v>9.8262000000000002E-2</v>
      </c>
      <c r="AA41" s="256">
        <v>0.10276399999999999</v>
      </c>
      <c r="AB41" s="256">
        <v>0</v>
      </c>
      <c r="AC41" s="256">
        <v>12.999388</v>
      </c>
      <c r="AD41" s="256">
        <v>0.25276399999999999</v>
      </c>
      <c r="AE41" s="231">
        <v>0.303317</v>
      </c>
      <c r="AF41" s="231">
        <v>0.2225</v>
      </c>
      <c r="AG41" s="231">
        <v>0.55000000000000004</v>
      </c>
      <c r="AH41" s="231">
        <v>31.15</v>
      </c>
      <c r="AI41" s="231">
        <v>17.1325</v>
      </c>
      <c r="AJ41" s="231">
        <v>0</v>
      </c>
      <c r="AK41" s="231"/>
      <c r="AL41" s="231">
        <v>0</v>
      </c>
      <c r="AM41" s="256">
        <v>1</v>
      </c>
      <c r="AN41" s="256">
        <v>0.25276399999999999</v>
      </c>
      <c r="AO41" s="256">
        <v>0.303317</v>
      </c>
      <c r="AP41" s="256">
        <v>14.329177</v>
      </c>
      <c r="AQ41" s="231">
        <v>1.438958</v>
      </c>
      <c r="AR41" s="255">
        <v>0</v>
      </c>
      <c r="AS41" s="231">
        <v>0</v>
      </c>
      <c r="AT41" s="231"/>
      <c r="AU41" s="231"/>
      <c r="AV41" s="231"/>
      <c r="AW41" s="231"/>
      <c r="AX41" s="231"/>
      <c r="AY41" s="231"/>
      <c r="AZ41" s="231"/>
      <c r="BA41" s="116" t="s">
        <v>132</v>
      </c>
    </row>
    <row r="42" spans="1:53">
      <c r="A42" s="69" t="str">
        <f t="shared" si="0"/>
        <v>Inicial</v>
      </c>
      <c r="B42" s="232">
        <v>42040</v>
      </c>
      <c r="C42" s="232" t="s">
        <v>130</v>
      </c>
      <c r="D42" s="231">
        <v>36</v>
      </c>
      <c r="E42" s="255">
        <v>7.440283</v>
      </c>
      <c r="F42" s="255">
        <v>0.92324200000000001</v>
      </c>
      <c r="G42" s="255">
        <v>3.956763</v>
      </c>
      <c r="H42" s="255">
        <v>1.1000000000000001</v>
      </c>
      <c r="I42" s="255">
        <v>1.05</v>
      </c>
      <c r="J42" s="255">
        <v>10.27</v>
      </c>
      <c r="K42" s="255">
        <v>67.389349999999993</v>
      </c>
      <c r="L42" s="255">
        <v>0</v>
      </c>
      <c r="M42" s="255">
        <v>0</v>
      </c>
      <c r="N42" s="231">
        <v>0.15</v>
      </c>
      <c r="O42" s="231">
        <v>0.2</v>
      </c>
      <c r="P42" s="231">
        <v>0.15</v>
      </c>
      <c r="Q42" s="255">
        <v>1.2</v>
      </c>
      <c r="R42" s="255">
        <v>1.14428</v>
      </c>
      <c r="S42" s="231">
        <v>0</v>
      </c>
      <c r="T42" s="231">
        <v>0.41</v>
      </c>
      <c r="U42" s="231">
        <v>1</v>
      </c>
      <c r="V42" s="231">
        <v>0.59</v>
      </c>
      <c r="W42" s="255">
        <v>20</v>
      </c>
      <c r="X42" s="231">
        <v>12.999388</v>
      </c>
      <c r="Y42" s="256">
        <v>9</v>
      </c>
      <c r="Z42" s="256">
        <v>9.5463000000000006E-2</v>
      </c>
      <c r="AA42" s="256">
        <v>9.4917000000000001E-2</v>
      </c>
      <c r="AB42" s="256">
        <v>0</v>
      </c>
      <c r="AC42" s="256">
        <v>13.168307</v>
      </c>
      <c r="AD42" s="256">
        <v>0.244917</v>
      </c>
      <c r="AE42" s="231">
        <v>0.25716299999999997</v>
      </c>
      <c r="AF42" s="231">
        <v>0.23</v>
      </c>
      <c r="AG42" s="231">
        <v>0.55000000000000004</v>
      </c>
      <c r="AH42" s="231">
        <v>32.200000000000003</v>
      </c>
      <c r="AI42" s="231">
        <v>17.71</v>
      </c>
      <c r="AJ42" s="231">
        <v>0</v>
      </c>
      <c r="AK42" s="231"/>
      <c r="AL42" s="231">
        <v>0</v>
      </c>
      <c r="AM42" s="256">
        <v>1</v>
      </c>
      <c r="AN42" s="256">
        <v>0.244917</v>
      </c>
      <c r="AO42" s="256">
        <v>0.25716299999999997</v>
      </c>
      <c r="AP42" s="256">
        <v>14.58634</v>
      </c>
      <c r="AQ42" s="231">
        <v>1.696121</v>
      </c>
      <c r="AR42" s="255">
        <v>0</v>
      </c>
      <c r="AS42" s="231">
        <v>0</v>
      </c>
      <c r="AT42" s="231"/>
      <c r="AU42" s="231"/>
      <c r="AV42" s="231"/>
      <c r="AW42" s="231"/>
      <c r="AX42" s="231"/>
      <c r="AY42" s="231"/>
      <c r="AZ42" s="231"/>
      <c r="BA42" s="116" t="s">
        <v>132</v>
      </c>
    </row>
    <row r="43" spans="1:53">
      <c r="A43" s="69" t="str">
        <f t="shared" si="0"/>
        <v>Inicial</v>
      </c>
      <c r="B43" s="232">
        <v>42041</v>
      </c>
      <c r="C43" s="232" t="s">
        <v>130</v>
      </c>
      <c r="D43" s="231">
        <v>37</v>
      </c>
      <c r="E43" s="255">
        <v>7.5065020000000002</v>
      </c>
      <c r="F43" s="255">
        <v>1.0187010000000001</v>
      </c>
      <c r="G43" s="255">
        <v>4.4626020000000004</v>
      </c>
      <c r="H43" s="255">
        <v>2.7</v>
      </c>
      <c r="I43" s="255">
        <v>1.1000000000000001</v>
      </c>
      <c r="J43" s="255">
        <v>2.85</v>
      </c>
      <c r="K43" s="255">
        <v>60.277549999999998</v>
      </c>
      <c r="L43" s="255">
        <v>0</v>
      </c>
      <c r="M43" s="255">
        <v>0</v>
      </c>
      <c r="N43" s="231">
        <v>0.15</v>
      </c>
      <c r="O43" s="231">
        <v>0.20416699999999999</v>
      </c>
      <c r="P43" s="231">
        <v>0.15</v>
      </c>
      <c r="Q43" s="255">
        <v>1.2</v>
      </c>
      <c r="R43" s="255">
        <v>1.1852149999999999</v>
      </c>
      <c r="S43" s="231">
        <v>0</v>
      </c>
      <c r="T43" s="231">
        <v>0.42083300000000001</v>
      </c>
      <c r="U43" s="231">
        <v>1</v>
      </c>
      <c r="V43" s="231">
        <v>0.57916699999999999</v>
      </c>
      <c r="W43" s="255">
        <v>20</v>
      </c>
      <c r="X43" s="231">
        <v>13.168307</v>
      </c>
      <c r="Y43" s="256">
        <v>9</v>
      </c>
      <c r="Z43" s="256">
        <v>9.3159000000000006E-2</v>
      </c>
      <c r="AA43" s="256">
        <v>9.6439999999999998E-2</v>
      </c>
      <c r="AB43" s="256">
        <v>0</v>
      </c>
      <c r="AC43" s="256">
        <v>13.351474</v>
      </c>
      <c r="AD43" s="256">
        <v>0.24643999999999999</v>
      </c>
      <c r="AE43" s="231">
        <v>0.27108399999999999</v>
      </c>
      <c r="AF43" s="231">
        <v>0.23749999999999999</v>
      </c>
      <c r="AG43" s="231">
        <v>0.55000000000000004</v>
      </c>
      <c r="AH43" s="231">
        <v>33.25</v>
      </c>
      <c r="AI43" s="231">
        <v>18.287500000000001</v>
      </c>
      <c r="AJ43" s="231">
        <v>0</v>
      </c>
      <c r="AK43" s="231"/>
      <c r="AL43" s="231">
        <v>0</v>
      </c>
      <c r="AM43" s="256">
        <v>1</v>
      </c>
      <c r="AN43" s="256">
        <v>0.24643999999999999</v>
      </c>
      <c r="AO43" s="256">
        <v>0.27108399999999999</v>
      </c>
      <c r="AP43" s="256">
        <v>14.857424</v>
      </c>
      <c r="AQ43" s="231">
        <v>1.9672050000000001</v>
      </c>
      <c r="AR43" s="255">
        <v>0</v>
      </c>
      <c r="AS43" s="231">
        <v>0</v>
      </c>
      <c r="AT43" s="231"/>
      <c r="AU43" s="231"/>
      <c r="AV43" s="231"/>
      <c r="AW43" s="231"/>
      <c r="AX43" s="231"/>
      <c r="AY43" s="231"/>
      <c r="AZ43" s="231"/>
      <c r="BA43" s="116" t="s">
        <v>132</v>
      </c>
    </row>
    <row r="44" spans="1:53">
      <c r="A44" s="69" t="str">
        <f t="shared" si="0"/>
        <v>Inicial</v>
      </c>
      <c r="B44" s="232">
        <v>42042</v>
      </c>
      <c r="C44" s="232" t="s">
        <v>130</v>
      </c>
      <c r="D44" s="231">
        <v>38</v>
      </c>
      <c r="E44" s="255">
        <v>9.3779889999999995</v>
      </c>
      <c r="F44" s="255">
        <v>-0.19151599999999999</v>
      </c>
      <c r="G44" s="255">
        <v>4.4182360000000003</v>
      </c>
      <c r="H44" s="255">
        <v>2</v>
      </c>
      <c r="I44" s="255">
        <v>1.1000000000000001</v>
      </c>
      <c r="J44" s="255">
        <v>14.51</v>
      </c>
      <c r="K44" s="255">
        <v>55.634650000000001</v>
      </c>
      <c r="L44" s="255">
        <v>0</v>
      </c>
      <c r="M44" s="255">
        <v>0</v>
      </c>
      <c r="N44" s="231">
        <v>0.15</v>
      </c>
      <c r="O44" s="231">
        <v>0.20833299999999999</v>
      </c>
      <c r="P44" s="231">
        <v>0.15</v>
      </c>
      <c r="Q44" s="255">
        <v>1.2</v>
      </c>
      <c r="R44" s="255">
        <v>1.1808890000000001</v>
      </c>
      <c r="S44" s="231">
        <v>0</v>
      </c>
      <c r="T44" s="231">
        <v>0.43166700000000002</v>
      </c>
      <c r="U44" s="231">
        <v>1</v>
      </c>
      <c r="V44" s="231">
        <v>0.56833299999999998</v>
      </c>
      <c r="W44" s="255">
        <v>20</v>
      </c>
      <c r="X44" s="231">
        <v>13.351474</v>
      </c>
      <c r="Y44" s="256">
        <v>9</v>
      </c>
      <c r="Z44" s="256">
        <v>9.0662000000000006E-2</v>
      </c>
      <c r="AA44" s="256">
        <v>9.3462000000000003E-2</v>
      </c>
      <c r="AB44" s="256">
        <v>0</v>
      </c>
      <c r="AC44" s="256">
        <v>13.532368999999999</v>
      </c>
      <c r="AD44" s="256">
        <v>0.24346200000000001</v>
      </c>
      <c r="AE44" s="231">
        <v>0.26780799999999999</v>
      </c>
      <c r="AF44" s="231">
        <v>0.245</v>
      </c>
      <c r="AG44" s="231">
        <v>0.55000000000000004</v>
      </c>
      <c r="AH44" s="231">
        <v>34.299999999999997</v>
      </c>
      <c r="AI44" s="231">
        <v>18.864999999999998</v>
      </c>
      <c r="AJ44" s="231">
        <v>0</v>
      </c>
      <c r="AK44" s="231"/>
      <c r="AL44" s="231">
        <v>0</v>
      </c>
      <c r="AM44" s="256">
        <v>1</v>
      </c>
      <c r="AN44" s="256">
        <v>0.24346200000000001</v>
      </c>
      <c r="AO44" s="256">
        <v>0.26780799999999999</v>
      </c>
      <c r="AP44" s="256">
        <v>15.125232</v>
      </c>
      <c r="AQ44" s="231">
        <v>2.2350129999999999</v>
      </c>
      <c r="AR44" s="255">
        <v>0</v>
      </c>
      <c r="AS44" s="231">
        <v>0</v>
      </c>
      <c r="AT44" s="231"/>
      <c r="AU44" s="231"/>
      <c r="AV44" s="231"/>
      <c r="AW44" s="231"/>
      <c r="AX44" s="231"/>
      <c r="AY44" s="231"/>
      <c r="AZ44" s="231"/>
      <c r="BA44" s="116" t="s">
        <v>132</v>
      </c>
    </row>
    <row r="45" spans="1:53">
      <c r="A45" s="69" t="str">
        <f t="shared" si="0"/>
        <v>Inicial</v>
      </c>
      <c r="B45" s="232">
        <v>42043</v>
      </c>
      <c r="C45" s="232" t="s">
        <v>130</v>
      </c>
      <c r="D45" s="231">
        <v>39</v>
      </c>
      <c r="E45" s="255">
        <v>9.8634769999999996</v>
      </c>
      <c r="F45" s="255">
        <v>-1.5874999999999999</v>
      </c>
      <c r="G45" s="255">
        <v>4.0379880000000004</v>
      </c>
      <c r="H45" s="255">
        <v>2</v>
      </c>
      <c r="I45" s="255">
        <v>1.2</v>
      </c>
      <c r="J45" s="255">
        <v>15.04</v>
      </c>
      <c r="K45" s="255">
        <v>50.328800000000001</v>
      </c>
      <c r="L45" s="255">
        <v>0</v>
      </c>
      <c r="M45" s="255">
        <v>0</v>
      </c>
      <c r="N45" s="231">
        <v>0.15</v>
      </c>
      <c r="O45" s="231">
        <v>0.21249999999999999</v>
      </c>
      <c r="P45" s="231">
        <v>0.15</v>
      </c>
      <c r="Q45" s="255">
        <v>1.2</v>
      </c>
      <c r="R45" s="255">
        <v>1.190367</v>
      </c>
      <c r="S45" s="231">
        <v>0</v>
      </c>
      <c r="T45" s="231">
        <v>0.4425</v>
      </c>
      <c r="U45" s="231">
        <v>1</v>
      </c>
      <c r="V45" s="231">
        <v>0.5575</v>
      </c>
      <c r="W45" s="255">
        <v>20</v>
      </c>
      <c r="X45" s="231">
        <v>13.532368999999999</v>
      </c>
      <c r="Y45" s="256">
        <v>9</v>
      </c>
      <c r="Z45" s="256">
        <v>8.8194999999999996E-2</v>
      </c>
      <c r="AA45" s="256">
        <v>9.1755000000000003E-2</v>
      </c>
      <c r="AB45" s="256">
        <v>0</v>
      </c>
      <c r="AC45" s="256">
        <v>13.729869000000001</v>
      </c>
      <c r="AD45" s="256">
        <v>0.241755</v>
      </c>
      <c r="AE45" s="231">
        <v>0.29010599999999998</v>
      </c>
      <c r="AF45" s="231">
        <v>0.2525</v>
      </c>
      <c r="AG45" s="231">
        <v>0.55000000000000004</v>
      </c>
      <c r="AH45" s="231">
        <v>35.35</v>
      </c>
      <c r="AI45" s="231">
        <v>19.442499999999999</v>
      </c>
      <c r="AJ45" s="231">
        <v>0</v>
      </c>
      <c r="AK45" s="231"/>
      <c r="AL45" s="231">
        <v>0</v>
      </c>
      <c r="AM45" s="256">
        <v>1</v>
      </c>
      <c r="AN45" s="256">
        <v>0.241755</v>
      </c>
      <c r="AO45" s="256">
        <v>0.29010599999999998</v>
      </c>
      <c r="AP45" s="256">
        <v>15.415338</v>
      </c>
      <c r="AQ45" s="231">
        <v>2.5251190000000001</v>
      </c>
      <c r="AR45" s="255">
        <v>0</v>
      </c>
      <c r="AS45" s="231">
        <v>0</v>
      </c>
      <c r="AT45" s="231"/>
      <c r="AU45" s="231"/>
      <c r="AV45" s="231"/>
      <c r="AW45" s="231"/>
      <c r="AX45" s="231"/>
      <c r="AY45" s="231"/>
      <c r="AZ45" s="231"/>
      <c r="BA45" s="116" t="s">
        <v>132</v>
      </c>
    </row>
    <row r="46" spans="1:53">
      <c r="A46" s="69" t="str">
        <f t="shared" si="0"/>
        <v>Inicial</v>
      </c>
      <c r="B46" s="232">
        <v>42044</v>
      </c>
      <c r="C46" s="232" t="s">
        <v>130</v>
      </c>
      <c r="D46" s="231">
        <v>40</v>
      </c>
      <c r="E46" s="255">
        <v>11.276562999999999</v>
      </c>
      <c r="F46" s="255">
        <v>-2.3883540000000001</v>
      </c>
      <c r="G46" s="255">
        <v>4.6441039999999996</v>
      </c>
      <c r="H46" s="255">
        <v>2.8</v>
      </c>
      <c r="I46" s="255">
        <v>1.4</v>
      </c>
      <c r="J46" s="255">
        <v>14.6</v>
      </c>
      <c r="K46" s="255">
        <v>45.917050000000003</v>
      </c>
      <c r="L46" s="255">
        <v>0</v>
      </c>
      <c r="M46" s="255">
        <v>0</v>
      </c>
      <c r="N46" s="231">
        <v>0.15</v>
      </c>
      <c r="O46" s="231">
        <v>0.216667</v>
      </c>
      <c r="P46" s="231">
        <v>0.15</v>
      </c>
      <c r="Q46" s="255">
        <v>1.2</v>
      </c>
      <c r="R46" s="255">
        <v>1.212879</v>
      </c>
      <c r="S46" s="231">
        <v>0</v>
      </c>
      <c r="T46" s="231">
        <v>0.45333299999999999</v>
      </c>
      <c r="U46" s="231">
        <v>1</v>
      </c>
      <c r="V46" s="231">
        <v>0.54666700000000001</v>
      </c>
      <c r="W46" s="255">
        <v>20</v>
      </c>
      <c r="X46" s="231">
        <v>13.729869000000001</v>
      </c>
      <c r="Y46" s="256">
        <v>9</v>
      </c>
      <c r="Z46" s="256">
        <v>8.5501999999999995E-2</v>
      </c>
      <c r="AA46" s="256">
        <v>9.0878E-2</v>
      </c>
      <c r="AB46" s="256">
        <v>0</v>
      </c>
      <c r="AC46" s="256">
        <v>13.962605</v>
      </c>
      <c r="AD46" s="256">
        <v>0.24087800000000001</v>
      </c>
      <c r="AE46" s="231">
        <v>0.337229</v>
      </c>
      <c r="AF46" s="231">
        <v>0.26</v>
      </c>
      <c r="AG46" s="231">
        <v>0.55000000000000004</v>
      </c>
      <c r="AH46" s="231">
        <v>36.4</v>
      </c>
      <c r="AI46" s="231">
        <v>20.02</v>
      </c>
      <c r="AJ46" s="231">
        <v>0</v>
      </c>
      <c r="AK46" s="231"/>
      <c r="AL46" s="231">
        <v>0</v>
      </c>
      <c r="AM46" s="256">
        <v>1</v>
      </c>
      <c r="AN46" s="256">
        <v>0.24087800000000001</v>
      </c>
      <c r="AO46" s="256">
        <v>0.337229</v>
      </c>
      <c r="AP46" s="256">
        <v>15.752568</v>
      </c>
      <c r="AQ46" s="231">
        <v>2.862349</v>
      </c>
      <c r="AR46" s="255">
        <v>0</v>
      </c>
      <c r="AS46" s="231">
        <v>0</v>
      </c>
      <c r="AT46" s="231"/>
      <c r="AU46" s="231"/>
      <c r="AV46" s="231"/>
      <c r="AW46" s="231"/>
      <c r="AX46" s="231"/>
      <c r="AY46" s="231"/>
      <c r="AZ46" s="231"/>
      <c r="BA46" s="116" t="s">
        <v>132</v>
      </c>
    </row>
    <row r="47" spans="1:53">
      <c r="A47" s="69" t="str">
        <f t="shared" si="0"/>
        <v>Inicial</v>
      </c>
      <c r="B47" s="232">
        <v>42045</v>
      </c>
      <c r="C47" s="232" t="s">
        <v>130</v>
      </c>
      <c r="D47" s="231">
        <v>41</v>
      </c>
      <c r="E47" s="255">
        <v>12.418695</v>
      </c>
      <c r="F47" s="255">
        <v>1.6018650000000001</v>
      </c>
      <c r="G47" s="255">
        <v>6.7352800000000004</v>
      </c>
      <c r="H47" s="255">
        <v>4.2</v>
      </c>
      <c r="I47" s="255">
        <v>1.7</v>
      </c>
      <c r="J47" s="255">
        <v>11.34</v>
      </c>
      <c r="K47" s="255">
        <v>49.251300000000001</v>
      </c>
      <c r="L47" s="255">
        <v>0</v>
      </c>
      <c r="M47" s="255">
        <v>0</v>
      </c>
      <c r="N47" s="231">
        <v>0.15</v>
      </c>
      <c r="O47" s="231">
        <v>0.220833</v>
      </c>
      <c r="P47" s="231">
        <v>0.15</v>
      </c>
      <c r="Q47" s="255">
        <v>1.2</v>
      </c>
      <c r="R47" s="255">
        <v>1.2324569999999999</v>
      </c>
      <c r="S47" s="231">
        <v>0</v>
      </c>
      <c r="T47" s="231">
        <v>0.464167</v>
      </c>
      <c r="U47" s="231">
        <v>1</v>
      </c>
      <c r="V47" s="231">
        <v>0.535833</v>
      </c>
      <c r="W47" s="255">
        <v>20</v>
      </c>
      <c r="X47" s="231">
        <v>13.962605</v>
      </c>
      <c r="Y47" s="256">
        <v>9</v>
      </c>
      <c r="Z47" s="256">
        <v>8.2327999999999998E-2</v>
      </c>
      <c r="AA47" s="256">
        <v>8.9117000000000002E-2</v>
      </c>
      <c r="AB47" s="256">
        <v>0</v>
      </c>
      <c r="AC47" s="256">
        <v>14.245339</v>
      </c>
      <c r="AD47" s="256">
        <v>0.239117</v>
      </c>
      <c r="AE47" s="231">
        <v>0.40649800000000003</v>
      </c>
      <c r="AF47" s="231">
        <v>0.26750000000000002</v>
      </c>
      <c r="AG47" s="231">
        <v>0.55000000000000004</v>
      </c>
      <c r="AH47" s="231">
        <v>37.450000000000003</v>
      </c>
      <c r="AI47" s="231">
        <v>20.5975</v>
      </c>
      <c r="AJ47" s="231">
        <v>0</v>
      </c>
      <c r="AK47" s="231"/>
      <c r="AL47" s="231">
        <v>0</v>
      </c>
      <c r="AM47" s="256">
        <v>1</v>
      </c>
      <c r="AN47" s="256">
        <v>0.239117</v>
      </c>
      <c r="AO47" s="256">
        <v>0.40649800000000003</v>
      </c>
      <c r="AP47" s="256">
        <v>16.159065999999999</v>
      </c>
      <c r="AQ47" s="231">
        <v>0</v>
      </c>
      <c r="AR47" s="255">
        <v>0</v>
      </c>
      <c r="AS47" s="231">
        <v>0</v>
      </c>
      <c r="AT47" s="231"/>
      <c r="AU47" s="231"/>
      <c r="AV47" s="231"/>
      <c r="AW47" s="231"/>
      <c r="AX47" s="231"/>
      <c r="AY47" s="231"/>
      <c r="AZ47" s="231"/>
      <c r="BA47" s="116" t="s">
        <v>132</v>
      </c>
    </row>
    <row r="48" spans="1:53">
      <c r="A48" s="69" t="str">
        <f t="shared" si="0"/>
        <v>Inicial</v>
      </c>
      <c r="B48" s="232">
        <v>42046</v>
      </c>
      <c r="C48" s="232" t="s">
        <v>130</v>
      </c>
      <c r="D48" s="231">
        <v>42</v>
      </c>
      <c r="E48" s="255">
        <v>16.465986000000001</v>
      </c>
      <c r="F48" s="255">
        <v>2.9585020000000002</v>
      </c>
      <c r="G48" s="255">
        <v>9.5622439999999997</v>
      </c>
      <c r="H48" s="255">
        <v>3.4</v>
      </c>
      <c r="I48" s="255">
        <v>1.85</v>
      </c>
      <c r="J48" s="255">
        <v>14.06</v>
      </c>
      <c r="K48" s="255">
        <v>50.685650000000003</v>
      </c>
      <c r="L48" s="255">
        <v>0</v>
      </c>
      <c r="M48" s="255">
        <v>0</v>
      </c>
      <c r="N48" s="231">
        <v>0.15</v>
      </c>
      <c r="O48" s="231">
        <v>0.22500000000000001</v>
      </c>
      <c r="P48" s="231">
        <v>0.15</v>
      </c>
      <c r="Q48" s="255">
        <v>1.2</v>
      </c>
      <c r="R48" s="255">
        <v>1.21529</v>
      </c>
      <c r="S48" s="231">
        <v>0</v>
      </c>
      <c r="T48" s="231">
        <v>0.47499999999999998</v>
      </c>
      <c r="U48" s="231">
        <v>1</v>
      </c>
      <c r="V48" s="231">
        <v>0.52500000000000002</v>
      </c>
      <c r="W48" s="255">
        <v>20</v>
      </c>
      <c r="X48" s="231">
        <v>14.245339</v>
      </c>
      <c r="Y48" s="256">
        <v>9</v>
      </c>
      <c r="Z48" s="256">
        <v>7.8473000000000001E-2</v>
      </c>
      <c r="AA48" s="256">
        <v>8.3596000000000004E-2</v>
      </c>
      <c r="AB48" s="256">
        <v>0</v>
      </c>
      <c r="AC48" s="256">
        <v>14.539916</v>
      </c>
      <c r="AD48" s="256">
        <v>0.233596</v>
      </c>
      <c r="AE48" s="231">
        <v>0.43215300000000001</v>
      </c>
      <c r="AF48" s="231">
        <v>0.27500000000000002</v>
      </c>
      <c r="AG48" s="231">
        <v>0.55000000000000004</v>
      </c>
      <c r="AH48" s="231">
        <v>38.5</v>
      </c>
      <c r="AI48" s="231">
        <v>21.175000000000001</v>
      </c>
      <c r="AJ48" s="231">
        <v>0</v>
      </c>
      <c r="AK48" s="231"/>
      <c r="AL48" s="231">
        <v>0</v>
      </c>
      <c r="AM48" s="256">
        <v>1</v>
      </c>
      <c r="AN48" s="256">
        <v>0.233596</v>
      </c>
      <c r="AO48" s="256">
        <v>0.43215300000000001</v>
      </c>
      <c r="AP48" s="256">
        <v>16.591218999999999</v>
      </c>
      <c r="AQ48" s="231">
        <v>0.43215300000000001</v>
      </c>
      <c r="AR48" s="255">
        <v>0</v>
      </c>
      <c r="AS48" s="231">
        <v>0</v>
      </c>
      <c r="AT48" s="231"/>
      <c r="AU48" s="231"/>
      <c r="AV48" s="231"/>
      <c r="AW48" s="231"/>
      <c r="AX48" s="231"/>
      <c r="AY48" s="231"/>
      <c r="AZ48" s="231"/>
      <c r="BA48" s="116" t="s">
        <v>132</v>
      </c>
    </row>
    <row r="49" spans="1:53">
      <c r="A49" s="69" t="str">
        <f t="shared" si="0"/>
        <v>Inicial</v>
      </c>
      <c r="B49" s="232">
        <v>42047</v>
      </c>
      <c r="C49" s="232" t="s">
        <v>130</v>
      </c>
      <c r="D49" s="231">
        <v>43</v>
      </c>
      <c r="E49" s="255">
        <v>11.601319</v>
      </c>
      <c r="F49" s="255">
        <v>3.9991210000000001</v>
      </c>
      <c r="G49" s="255">
        <v>8.6002200000000002</v>
      </c>
      <c r="H49" s="255">
        <v>2.8</v>
      </c>
      <c r="I49" s="255">
        <v>1.2</v>
      </c>
      <c r="J49" s="255">
        <v>2.5499999999999998</v>
      </c>
      <c r="K49" s="255">
        <v>61.7547</v>
      </c>
      <c r="L49" s="255">
        <v>0</v>
      </c>
      <c r="M49" s="255">
        <v>0</v>
      </c>
      <c r="N49" s="231">
        <v>0.15</v>
      </c>
      <c r="O49" s="231">
        <v>0.22916700000000001</v>
      </c>
      <c r="P49" s="231">
        <v>0.15</v>
      </c>
      <c r="Q49" s="255">
        <v>1.2</v>
      </c>
      <c r="R49" s="255">
        <v>1.1838109999999999</v>
      </c>
      <c r="S49" s="231">
        <v>0</v>
      </c>
      <c r="T49" s="231">
        <v>0.48583300000000001</v>
      </c>
      <c r="U49" s="231">
        <v>1</v>
      </c>
      <c r="V49" s="231">
        <v>0.51416700000000004</v>
      </c>
      <c r="W49" s="255">
        <v>20</v>
      </c>
      <c r="X49" s="231">
        <v>14.539916</v>
      </c>
      <c r="Y49" s="256">
        <v>9</v>
      </c>
      <c r="Z49" s="256">
        <v>7.4455999999999994E-2</v>
      </c>
      <c r="AA49" s="256">
        <v>7.6973E-2</v>
      </c>
      <c r="AB49" s="256">
        <v>0</v>
      </c>
      <c r="AC49" s="256">
        <v>14.719561000000001</v>
      </c>
      <c r="AD49" s="256">
        <v>0.22697300000000001</v>
      </c>
      <c r="AE49" s="231">
        <v>0.272368</v>
      </c>
      <c r="AF49" s="231">
        <v>0.28249999999999997</v>
      </c>
      <c r="AG49" s="231">
        <v>0.55000000000000004</v>
      </c>
      <c r="AH49" s="231">
        <v>39.549999999999997</v>
      </c>
      <c r="AI49" s="231">
        <v>21.752500000000001</v>
      </c>
      <c r="AJ49" s="231">
        <v>0</v>
      </c>
      <c r="AK49" s="231"/>
      <c r="AL49" s="231">
        <v>0</v>
      </c>
      <c r="AM49" s="256">
        <v>1</v>
      </c>
      <c r="AN49" s="256">
        <v>0.22697300000000001</v>
      </c>
      <c r="AO49" s="256">
        <v>0.272368</v>
      </c>
      <c r="AP49" s="256">
        <v>16.863586999999999</v>
      </c>
      <c r="AQ49" s="231">
        <v>0.70452099999999995</v>
      </c>
      <c r="AR49" s="255">
        <v>0</v>
      </c>
      <c r="AS49" s="231">
        <v>0</v>
      </c>
      <c r="AT49" s="231"/>
      <c r="AU49" s="231"/>
      <c r="AV49" s="231"/>
      <c r="AW49" s="231"/>
      <c r="AX49" s="231"/>
      <c r="AY49" s="231"/>
      <c r="AZ49" s="231"/>
      <c r="BA49" s="116" t="s">
        <v>132</v>
      </c>
    </row>
    <row r="50" spans="1:53">
      <c r="A50" s="69" t="str">
        <f t="shared" si="0"/>
        <v>Inicial</v>
      </c>
      <c r="B50" s="232">
        <v>42048</v>
      </c>
      <c r="C50" s="232" t="s">
        <v>130</v>
      </c>
      <c r="D50" s="231">
        <v>44</v>
      </c>
      <c r="E50" s="255">
        <v>12.789706000000001</v>
      </c>
      <c r="F50" s="255">
        <v>0.96288399999999996</v>
      </c>
      <c r="G50" s="255">
        <v>7.1762949999999996</v>
      </c>
      <c r="H50" s="255">
        <v>2.8</v>
      </c>
      <c r="I50" s="255">
        <v>1.8</v>
      </c>
      <c r="J50" s="255">
        <v>14.78</v>
      </c>
      <c r="K50" s="255">
        <v>48.160249999999998</v>
      </c>
      <c r="L50" s="255">
        <v>0</v>
      </c>
      <c r="M50" s="255">
        <v>0</v>
      </c>
      <c r="N50" s="231">
        <v>0.15</v>
      </c>
      <c r="O50" s="231">
        <v>0.23333300000000001</v>
      </c>
      <c r="P50" s="231">
        <v>0.15</v>
      </c>
      <c r="Q50" s="255">
        <v>1.2</v>
      </c>
      <c r="R50" s="255">
        <v>1.208998</v>
      </c>
      <c r="S50" s="231">
        <v>0</v>
      </c>
      <c r="T50" s="231">
        <v>0.49666700000000003</v>
      </c>
      <c r="U50" s="231">
        <v>1</v>
      </c>
      <c r="V50" s="231">
        <v>0.50333300000000003</v>
      </c>
      <c r="W50" s="255">
        <v>20</v>
      </c>
      <c r="X50" s="231">
        <v>14.719561000000001</v>
      </c>
      <c r="Y50" s="256">
        <v>9</v>
      </c>
      <c r="Z50" s="256">
        <v>7.2006000000000001E-2</v>
      </c>
      <c r="AA50" s="256">
        <v>7.6254000000000002E-2</v>
      </c>
      <c r="AB50" s="256">
        <v>0</v>
      </c>
      <c r="AC50" s="256">
        <v>14.992258</v>
      </c>
      <c r="AD50" s="256">
        <v>0.22625400000000001</v>
      </c>
      <c r="AE50" s="231">
        <v>0.40725800000000001</v>
      </c>
      <c r="AF50" s="231">
        <v>0.28999999999999998</v>
      </c>
      <c r="AG50" s="231">
        <v>0.55000000000000004</v>
      </c>
      <c r="AH50" s="231">
        <v>40.6</v>
      </c>
      <c r="AI50" s="231">
        <v>22.33</v>
      </c>
      <c r="AJ50" s="231">
        <v>0</v>
      </c>
      <c r="AK50" s="231"/>
      <c r="AL50" s="231">
        <v>0</v>
      </c>
      <c r="AM50" s="256">
        <v>1</v>
      </c>
      <c r="AN50" s="256">
        <v>0.22625400000000001</v>
      </c>
      <c r="AO50" s="256">
        <v>0.40725800000000001</v>
      </c>
      <c r="AP50" s="256">
        <v>17.270844</v>
      </c>
      <c r="AQ50" s="231">
        <v>1.1117779999999999</v>
      </c>
      <c r="AR50" s="255">
        <v>0</v>
      </c>
      <c r="AS50" s="231">
        <v>0</v>
      </c>
      <c r="AT50" s="231"/>
      <c r="AU50" s="231"/>
      <c r="AV50" s="231"/>
      <c r="AW50" s="231"/>
      <c r="AX50" s="231"/>
      <c r="AY50" s="231"/>
      <c r="AZ50" s="231"/>
      <c r="BA50" s="116" t="s">
        <v>132</v>
      </c>
    </row>
    <row r="51" spans="1:53">
      <c r="A51" s="69" t="str">
        <f t="shared" si="0"/>
        <v>Inicial</v>
      </c>
      <c r="B51" s="232">
        <v>42049</v>
      </c>
      <c r="C51" s="232" t="s">
        <v>130</v>
      </c>
      <c r="D51" s="231">
        <v>45</v>
      </c>
      <c r="E51" s="255">
        <v>13.752390999999999</v>
      </c>
      <c r="F51" s="255">
        <v>3.7429169999999998</v>
      </c>
      <c r="G51" s="255">
        <v>8.7976539999999996</v>
      </c>
      <c r="H51" s="255">
        <v>4.0999999999999996</v>
      </c>
      <c r="I51" s="255">
        <v>1.6</v>
      </c>
      <c r="J51" s="255">
        <v>6.75</v>
      </c>
      <c r="K51" s="255">
        <v>53.740400000000001</v>
      </c>
      <c r="L51" s="255">
        <v>0</v>
      </c>
      <c r="M51" s="255">
        <v>0</v>
      </c>
      <c r="N51" s="231">
        <v>0.15</v>
      </c>
      <c r="O51" s="231">
        <v>0.23749999999999999</v>
      </c>
      <c r="P51" s="231">
        <v>0.15</v>
      </c>
      <c r="Q51" s="255">
        <v>1.2</v>
      </c>
      <c r="R51" s="255">
        <v>1.2229140000000001</v>
      </c>
      <c r="S51" s="231">
        <v>0</v>
      </c>
      <c r="T51" s="231">
        <v>0.50749999999999995</v>
      </c>
      <c r="U51" s="231">
        <v>1</v>
      </c>
      <c r="V51" s="231">
        <v>0.49249999999999999</v>
      </c>
      <c r="W51" s="255">
        <v>20</v>
      </c>
      <c r="X51" s="231">
        <v>14.992258</v>
      </c>
      <c r="Y51" s="256">
        <v>9</v>
      </c>
      <c r="Z51" s="256">
        <v>6.8287E-2</v>
      </c>
      <c r="AA51" s="256">
        <v>7.3265999999999998E-2</v>
      </c>
      <c r="AB51" s="256">
        <v>0</v>
      </c>
      <c r="AC51" s="256">
        <v>15.230282000000001</v>
      </c>
      <c r="AD51" s="256">
        <v>0.22326599999999999</v>
      </c>
      <c r="AE51" s="231">
        <v>0.35722599999999999</v>
      </c>
      <c r="AF51" s="231">
        <v>0.29749999999999999</v>
      </c>
      <c r="AG51" s="231">
        <v>0.55000000000000004</v>
      </c>
      <c r="AH51" s="231">
        <v>41.65</v>
      </c>
      <c r="AI51" s="231">
        <v>22.907499999999999</v>
      </c>
      <c r="AJ51" s="231">
        <v>0</v>
      </c>
      <c r="AK51" s="231"/>
      <c r="AL51" s="231">
        <v>0</v>
      </c>
      <c r="AM51" s="256">
        <v>1</v>
      </c>
      <c r="AN51" s="256">
        <v>0.22326599999999999</v>
      </c>
      <c r="AO51" s="256">
        <v>0.35722599999999999</v>
      </c>
      <c r="AP51" s="256">
        <v>17.628070000000001</v>
      </c>
      <c r="AQ51" s="231">
        <v>1.4690049999999999</v>
      </c>
      <c r="AR51" s="255">
        <v>0</v>
      </c>
      <c r="AS51" s="231">
        <v>0</v>
      </c>
      <c r="AT51" s="231"/>
      <c r="AU51" s="231"/>
      <c r="AV51" s="231"/>
      <c r="AW51" s="231"/>
      <c r="AX51" s="231"/>
      <c r="AY51" s="231"/>
      <c r="AZ51" s="231"/>
      <c r="BA51" s="116" t="s">
        <v>132</v>
      </c>
    </row>
    <row r="52" spans="1:53">
      <c r="A52" s="69" t="str">
        <f t="shared" si="0"/>
        <v>Inicial</v>
      </c>
      <c r="B52" s="232">
        <v>42050</v>
      </c>
      <c r="C52" s="232" t="s">
        <v>130</v>
      </c>
      <c r="D52" s="231">
        <v>46</v>
      </c>
      <c r="E52" s="255">
        <v>16.560766999999998</v>
      </c>
      <c r="F52" s="255">
        <v>3.4160149999999998</v>
      </c>
      <c r="G52" s="255">
        <v>10.063390999999999</v>
      </c>
      <c r="H52" s="255">
        <v>2.4</v>
      </c>
      <c r="I52" s="255">
        <v>1.8</v>
      </c>
      <c r="J52" s="255">
        <v>14.84</v>
      </c>
      <c r="K52" s="255">
        <v>51.835999999999999</v>
      </c>
      <c r="L52" s="255">
        <v>0</v>
      </c>
      <c r="M52" s="255">
        <v>0</v>
      </c>
      <c r="N52" s="231">
        <v>0.15</v>
      </c>
      <c r="O52" s="231">
        <v>0.24166699999999999</v>
      </c>
      <c r="P52" s="231">
        <v>0.15</v>
      </c>
      <c r="Q52" s="255">
        <v>1.1000000000000001</v>
      </c>
      <c r="R52" s="255">
        <v>1.0946720000000001</v>
      </c>
      <c r="S52" s="231">
        <v>7.6</v>
      </c>
      <c r="T52" s="231">
        <v>0.51833300000000004</v>
      </c>
      <c r="U52" s="231">
        <v>1</v>
      </c>
      <c r="V52" s="231">
        <v>0.48166700000000001</v>
      </c>
      <c r="W52" s="255">
        <v>20</v>
      </c>
      <c r="X52" s="231">
        <v>8.7702819999999999</v>
      </c>
      <c r="Y52" s="256">
        <v>9</v>
      </c>
      <c r="Z52" s="256">
        <v>6.5042000000000003E-2</v>
      </c>
      <c r="AA52" s="256">
        <v>6.1442999999999998E-2</v>
      </c>
      <c r="AB52" s="256">
        <v>0</v>
      </c>
      <c r="AC52" s="256">
        <v>8.9998950000000004</v>
      </c>
      <c r="AD52" s="256">
        <v>0.21144299999999999</v>
      </c>
      <c r="AE52" s="231">
        <v>0.38059700000000002</v>
      </c>
      <c r="AF52" s="231">
        <v>0.30499999999999999</v>
      </c>
      <c r="AG52" s="231">
        <v>0.55000000000000004</v>
      </c>
      <c r="AH52" s="231">
        <v>42.7</v>
      </c>
      <c r="AI52" s="231">
        <v>23.484999999999999</v>
      </c>
      <c r="AJ52" s="231">
        <v>6.46</v>
      </c>
      <c r="AK52" s="231">
        <v>7.6</v>
      </c>
      <c r="AL52" s="231">
        <v>0</v>
      </c>
      <c r="AM52" s="256">
        <v>1</v>
      </c>
      <c r="AN52" s="256">
        <v>0.21144299999999999</v>
      </c>
      <c r="AO52" s="256">
        <v>0.38059700000000002</v>
      </c>
      <c r="AP52" s="256">
        <v>11.548667999999999</v>
      </c>
      <c r="AQ52" s="231">
        <v>1.849602</v>
      </c>
      <c r="AR52" s="255">
        <v>7.6</v>
      </c>
      <c r="AS52" s="231">
        <v>0</v>
      </c>
      <c r="AT52" s="231"/>
      <c r="AU52" s="231"/>
      <c r="AV52" s="231"/>
      <c r="AW52" s="231"/>
      <c r="AX52" s="231"/>
      <c r="AY52" s="231"/>
      <c r="AZ52" s="231"/>
      <c r="BA52" s="116" t="s">
        <v>132</v>
      </c>
    </row>
    <row r="53" spans="1:53">
      <c r="A53" s="69" t="str">
        <f t="shared" si="0"/>
        <v>Inicial</v>
      </c>
      <c r="B53" s="232">
        <v>42051</v>
      </c>
      <c r="C53" s="232" t="s">
        <v>130</v>
      </c>
      <c r="D53" s="231">
        <v>47</v>
      </c>
      <c r="E53" s="255">
        <v>17.582984</v>
      </c>
      <c r="F53" s="255">
        <v>2.0512450000000002</v>
      </c>
      <c r="G53" s="255">
        <v>9.0671140000000001</v>
      </c>
      <c r="H53" s="255">
        <v>1</v>
      </c>
      <c r="I53" s="255">
        <v>1.3</v>
      </c>
      <c r="J53" s="255">
        <v>11.12</v>
      </c>
      <c r="K53" s="255">
        <v>50.037199999999999</v>
      </c>
      <c r="L53" s="255">
        <v>0</v>
      </c>
      <c r="M53" s="255">
        <v>0</v>
      </c>
      <c r="N53" s="231">
        <v>0.15</v>
      </c>
      <c r="O53" s="231">
        <v>0.245833</v>
      </c>
      <c r="P53" s="231">
        <v>0.15</v>
      </c>
      <c r="Q53" s="255">
        <v>1.1000000000000001</v>
      </c>
      <c r="R53" s="255">
        <v>1.0716019999999999</v>
      </c>
      <c r="S53" s="231">
        <v>0</v>
      </c>
      <c r="T53" s="231">
        <v>0.52916700000000005</v>
      </c>
      <c r="U53" s="231">
        <v>1</v>
      </c>
      <c r="V53" s="231">
        <v>0.470833</v>
      </c>
      <c r="W53" s="255">
        <v>20</v>
      </c>
      <c r="X53" s="231">
        <v>8.9998950000000004</v>
      </c>
      <c r="Y53" s="256">
        <v>9</v>
      </c>
      <c r="Z53" s="256">
        <v>1</v>
      </c>
      <c r="AA53" s="256">
        <v>0.50454600000000005</v>
      </c>
      <c r="AB53" s="256">
        <v>0</v>
      </c>
      <c r="AC53" s="256">
        <v>10.392977999999999</v>
      </c>
      <c r="AD53" s="256">
        <v>0.65454599999999996</v>
      </c>
      <c r="AE53" s="231">
        <v>0.85091000000000006</v>
      </c>
      <c r="AF53" s="231">
        <v>0.3125</v>
      </c>
      <c r="AG53" s="231">
        <v>0.55000000000000004</v>
      </c>
      <c r="AH53" s="231">
        <v>43.75</v>
      </c>
      <c r="AI53" s="231">
        <v>24.0625</v>
      </c>
      <c r="AJ53" s="231">
        <v>0</v>
      </c>
      <c r="AK53" s="231"/>
      <c r="AL53" s="231">
        <v>0</v>
      </c>
      <c r="AM53" s="256">
        <v>1</v>
      </c>
      <c r="AN53" s="256">
        <v>0.65454599999999996</v>
      </c>
      <c r="AO53" s="256">
        <v>0.85091000000000006</v>
      </c>
      <c r="AP53" s="256">
        <v>12.399578</v>
      </c>
      <c r="AQ53" s="231">
        <v>2.7005119999999998</v>
      </c>
      <c r="AR53" s="255">
        <v>7.6</v>
      </c>
      <c r="AS53" s="231">
        <v>0</v>
      </c>
      <c r="AT53" s="231"/>
      <c r="AU53" s="231"/>
      <c r="AV53" s="231"/>
      <c r="AW53" s="231"/>
      <c r="AX53" s="231"/>
      <c r="AY53" s="231"/>
      <c r="AZ53" s="231"/>
      <c r="BA53" s="116" t="s">
        <v>132</v>
      </c>
    </row>
    <row r="54" spans="1:53">
      <c r="A54" s="69" t="str">
        <f t="shared" si="0"/>
        <v>Inicial</v>
      </c>
      <c r="B54" s="232">
        <v>42052</v>
      </c>
      <c r="C54" s="232" t="s">
        <v>130</v>
      </c>
      <c r="D54" s="231">
        <v>48</v>
      </c>
      <c r="E54" s="255">
        <v>16.445741000000002</v>
      </c>
      <c r="F54" s="255">
        <v>3.2531189999999999</v>
      </c>
      <c r="G54" s="255">
        <v>9.5744299999999996</v>
      </c>
      <c r="H54" s="255">
        <v>2.2000000000000002</v>
      </c>
      <c r="I54" s="255">
        <v>1.8</v>
      </c>
      <c r="J54" s="255">
        <v>13.63</v>
      </c>
      <c r="K54" s="255">
        <v>50.3063</v>
      </c>
      <c r="L54" s="255">
        <v>0</v>
      </c>
      <c r="M54" s="255">
        <v>0</v>
      </c>
      <c r="N54" s="231">
        <v>0.15</v>
      </c>
      <c r="O54" s="231">
        <v>0.25</v>
      </c>
      <c r="P54" s="231">
        <v>0.15</v>
      </c>
      <c r="Q54" s="255">
        <v>1.1499999999999999</v>
      </c>
      <c r="R54" s="255">
        <v>1.1437250000000001</v>
      </c>
      <c r="S54" s="231">
        <v>0</v>
      </c>
      <c r="T54" s="231">
        <v>0.54</v>
      </c>
      <c r="U54" s="231">
        <v>1</v>
      </c>
      <c r="V54" s="231">
        <v>0.46</v>
      </c>
      <c r="W54" s="255">
        <v>20</v>
      </c>
      <c r="X54" s="231">
        <v>10.392977999999999</v>
      </c>
      <c r="Y54" s="256">
        <v>9</v>
      </c>
      <c r="Z54" s="256">
        <v>0.13100500000000001</v>
      </c>
      <c r="AA54" s="256">
        <v>0.13018299999999999</v>
      </c>
      <c r="AB54" s="256">
        <v>0</v>
      </c>
      <c r="AC54" s="256">
        <v>10.902388999999999</v>
      </c>
      <c r="AD54" s="256">
        <v>0.28018300000000002</v>
      </c>
      <c r="AE54" s="231">
        <v>0.50432900000000003</v>
      </c>
      <c r="AF54" s="231">
        <v>0.32</v>
      </c>
      <c r="AG54" s="231">
        <v>0.55000000000000004</v>
      </c>
      <c r="AH54" s="231">
        <v>44.8</v>
      </c>
      <c r="AI54" s="231">
        <v>24.64</v>
      </c>
      <c r="AJ54" s="231">
        <v>0</v>
      </c>
      <c r="AK54" s="231"/>
      <c r="AL54" s="231">
        <v>0</v>
      </c>
      <c r="AM54" s="256">
        <v>1</v>
      </c>
      <c r="AN54" s="256">
        <v>0.28018300000000002</v>
      </c>
      <c r="AO54" s="256">
        <v>0.50432900000000003</v>
      </c>
      <c r="AP54" s="256">
        <v>12.903907</v>
      </c>
      <c r="AQ54" s="231">
        <v>3.2048410000000001</v>
      </c>
      <c r="AR54" s="255">
        <v>7.6</v>
      </c>
      <c r="AS54" s="231">
        <v>0</v>
      </c>
      <c r="AT54" s="231"/>
      <c r="AU54" s="231"/>
      <c r="AV54" s="231"/>
      <c r="AW54" s="231"/>
      <c r="AX54" s="231"/>
      <c r="AY54" s="231"/>
      <c r="AZ54" s="231"/>
      <c r="BA54" s="116" t="s">
        <v>132</v>
      </c>
    </row>
    <row r="55" spans="1:53">
      <c r="A55" s="69" t="str">
        <f t="shared" si="0"/>
        <v>Inicial</v>
      </c>
      <c r="B55" s="232">
        <v>42053</v>
      </c>
      <c r="C55" s="232" t="s">
        <v>130</v>
      </c>
      <c r="D55" s="231">
        <v>49</v>
      </c>
      <c r="E55" s="255">
        <v>13.053925</v>
      </c>
      <c r="F55" s="255">
        <v>3.7450329999999998</v>
      </c>
      <c r="G55" s="255">
        <v>8.5994790000000005</v>
      </c>
      <c r="H55" s="255">
        <v>1.1000000000000001</v>
      </c>
      <c r="I55" s="255">
        <v>1.25</v>
      </c>
      <c r="J55" s="255">
        <v>11.58</v>
      </c>
      <c r="K55" s="255">
        <v>56.67595</v>
      </c>
      <c r="L55" s="255">
        <v>0</v>
      </c>
      <c r="M55" s="255">
        <v>0</v>
      </c>
      <c r="N55" s="231">
        <v>0.15</v>
      </c>
      <c r="O55" s="231">
        <v>0.25416699999999998</v>
      </c>
      <c r="P55" s="231">
        <v>0.15</v>
      </c>
      <c r="Q55" s="255">
        <v>1.1499999999999999</v>
      </c>
      <c r="R55" s="255">
        <v>1.1105609999999999</v>
      </c>
      <c r="S55" s="231">
        <v>0</v>
      </c>
      <c r="T55" s="231">
        <v>0.55083300000000002</v>
      </c>
      <c r="U55" s="231">
        <v>1</v>
      </c>
      <c r="V55" s="231">
        <v>0.44916699999999998</v>
      </c>
      <c r="W55" s="255">
        <v>20</v>
      </c>
      <c r="X55" s="231">
        <v>10.902388999999999</v>
      </c>
      <c r="Y55" s="256">
        <v>9</v>
      </c>
      <c r="Z55" s="256">
        <v>0.124058</v>
      </c>
      <c r="AA55" s="256">
        <v>0.11916599999999999</v>
      </c>
      <c r="AB55" s="256">
        <v>0</v>
      </c>
      <c r="AC55" s="256">
        <v>11.234019</v>
      </c>
      <c r="AD55" s="256">
        <v>0.26916600000000002</v>
      </c>
      <c r="AE55" s="231">
        <v>0.33645700000000001</v>
      </c>
      <c r="AF55" s="231">
        <v>0.32750000000000001</v>
      </c>
      <c r="AG55" s="231">
        <v>0.55000000000000004</v>
      </c>
      <c r="AH55" s="231">
        <v>45.85</v>
      </c>
      <c r="AI55" s="231">
        <v>25.217500000000001</v>
      </c>
      <c r="AJ55" s="231">
        <v>0</v>
      </c>
      <c r="AK55" s="231"/>
      <c r="AL55" s="231">
        <v>0</v>
      </c>
      <c r="AM55" s="256">
        <v>1</v>
      </c>
      <c r="AN55" s="256">
        <v>0.26916600000000002</v>
      </c>
      <c r="AO55" s="256">
        <v>0.33645700000000001</v>
      </c>
      <c r="AP55" s="256">
        <v>13.240364</v>
      </c>
      <c r="AQ55" s="231">
        <v>3.5412979999999998</v>
      </c>
      <c r="AR55" s="255">
        <v>7.6</v>
      </c>
      <c r="AS55" s="231">
        <v>0</v>
      </c>
      <c r="AT55" s="231"/>
      <c r="AU55" s="231"/>
      <c r="AV55" s="231"/>
      <c r="AW55" s="231"/>
      <c r="AX55" s="231"/>
      <c r="AY55" s="231"/>
      <c r="AZ55" s="231"/>
      <c r="BA55" s="116" t="s">
        <v>132</v>
      </c>
    </row>
    <row r="56" spans="1:53">
      <c r="A56" s="69" t="str">
        <f t="shared" si="0"/>
        <v>Inicial</v>
      </c>
      <c r="B56" s="232">
        <v>42054</v>
      </c>
      <c r="C56" s="232" t="s">
        <v>130</v>
      </c>
      <c r="D56" s="231">
        <v>50</v>
      </c>
      <c r="E56" s="255">
        <v>14.559253</v>
      </c>
      <c r="F56" s="255">
        <v>1.8402350000000001</v>
      </c>
      <c r="G56" s="255">
        <v>7.8497440000000003</v>
      </c>
      <c r="H56" s="255">
        <v>1.1000000000000001</v>
      </c>
      <c r="I56" s="255">
        <v>1.6</v>
      </c>
      <c r="J56" s="255">
        <v>16.7</v>
      </c>
      <c r="K56" s="255">
        <v>42.76155</v>
      </c>
      <c r="L56" s="255">
        <v>0</v>
      </c>
      <c r="M56" s="255">
        <v>0</v>
      </c>
      <c r="N56" s="231">
        <v>0.15</v>
      </c>
      <c r="O56" s="231">
        <v>0.25833299999999998</v>
      </c>
      <c r="P56" s="231">
        <v>0.15</v>
      </c>
      <c r="Q56" s="255">
        <v>1.2</v>
      </c>
      <c r="R56" s="255">
        <v>1.187039</v>
      </c>
      <c r="S56" s="231">
        <v>0</v>
      </c>
      <c r="T56" s="231">
        <v>0.56166700000000003</v>
      </c>
      <c r="U56" s="231">
        <v>1</v>
      </c>
      <c r="V56" s="231">
        <v>0.43833299999999997</v>
      </c>
      <c r="W56" s="255">
        <v>20</v>
      </c>
      <c r="X56" s="231">
        <v>11.234019</v>
      </c>
      <c r="Y56" s="256">
        <v>9</v>
      </c>
      <c r="Z56" s="256">
        <v>0.119536</v>
      </c>
      <c r="AA56" s="256">
        <v>0.123964</v>
      </c>
      <c r="AB56" s="256">
        <v>0</v>
      </c>
      <c r="AC56" s="256">
        <v>11.68651</v>
      </c>
      <c r="AD56" s="256">
        <v>0.27396399999999999</v>
      </c>
      <c r="AE56" s="231">
        <v>0.43834200000000001</v>
      </c>
      <c r="AF56" s="231">
        <v>0.33500000000000002</v>
      </c>
      <c r="AG56" s="231">
        <v>0.55000000000000004</v>
      </c>
      <c r="AH56" s="231">
        <v>46.9</v>
      </c>
      <c r="AI56" s="231">
        <v>25.795000000000002</v>
      </c>
      <c r="AJ56" s="231">
        <v>0</v>
      </c>
      <c r="AK56" s="231"/>
      <c r="AL56" s="231">
        <v>0</v>
      </c>
      <c r="AM56" s="256">
        <v>1</v>
      </c>
      <c r="AN56" s="256">
        <v>0.27396399999999999</v>
      </c>
      <c r="AO56" s="256">
        <v>0.43834200000000001</v>
      </c>
      <c r="AP56" s="256">
        <v>13.678705000000001</v>
      </c>
      <c r="AQ56" s="231">
        <v>3.9796399999999998</v>
      </c>
      <c r="AR56" s="255">
        <v>7.6</v>
      </c>
      <c r="AS56" s="231">
        <v>0</v>
      </c>
      <c r="AT56" s="231"/>
      <c r="AU56" s="231"/>
      <c r="AV56" s="231"/>
      <c r="AW56" s="231"/>
      <c r="AX56" s="231"/>
      <c r="AY56" s="231"/>
      <c r="AZ56" s="231"/>
      <c r="BA56" s="116" t="s">
        <v>132</v>
      </c>
    </row>
    <row r="57" spans="1:53">
      <c r="A57" s="69" t="str">
        <f t="shared" si="0"/>
        <v>Inicial</v>
      </c>
      <c r="B57" s="232">
        <v>42055</v>
      </c>
      <c r="C57" s="232" t="s">
        <v>130</v>
      </c>
      <c r="D57" s="231">
        <v>51</v>
      </c>
      <c r="E57" s="255">
        <v>15.914918999999999</v>
      </c>
      <c r="F57" s="255">
        <v>2.5151520000000001</v>
      </c>
      <c r="G57" s="255">
        <v>9.0900359999999996</v>
      </c>
      <c r="H57" s="255">
        <v>3.4</v>
      </c>
      <c r="I57" s="255">
        <v>2.5</v>
      </c>
      <c r="J57" s="255">
        <v>14.91</v>
      </c>
      <c r="K57" s="255">
        <v>41.756300000000003</v>
      </c>
      <c r="L57" s="255">
        <v>0</v>
      </c>
      <c r="M57" s="255">
        <v>0</v>
      </c>
      <c r="N57" s="231">
        <v>0.15</v>
      </c>
      <c r="O57" s="231">
        <v>0.26250000000000001</v>
      </c>
      <c r="P57" s="231">
        <v>0.15</v>
      </c>
      <c r="Q57" s="255">
        <v>1.2</v>
      </c>
      <c r="R57" s="255">
        <v>1.233212</v>
      </c>
      <c r="S57" s="231">
        <v>0</v>
      </c>
      <c r="T57" s="231">
        <v>0.57250000000000001</v>
      </c>
      <c r="U57" s="231">
        <v>1</v>
      </c>
      <c r="V57" s="231">
        <v>0.42749999999999999</v>
      </c>
      <c r="W57" s="255">
        <v>20</v>
      </c>
      <c r="X57" s="231">
        <v>11.68651</v>
      </c>
      <c r="Y57" s="256">
        <v>9</v>
      </c>
      <c r="Z57" s="256">
        <v>0.11336599999999999</v>
      </c>
      <c r="AA57" s="256">
        <v>0.12279900000000001</v>
      </c>
      <c r="AB57" s="256">
        <v>0</v>
      </c>
      <c r="AC57" s="256">
        <v>12.404633</v>
      </c>
      <c r="AD57" s="256">
        <v>0.27279900000000001</v>
      </c>
      <c r="AE57" s="231">
        <v>0.68199799999999999</v>
      </c>
      <c r="AF57" s="231">
        <v>0.34250000000000003</v>
      </c>
      <c r="AG57" s="231">
        <v>0.55000000000000004</v>
      </c>
      <c r="AH57" s="231">
        <v>47.95</v>
      </c>
      <c r="AI57" s="231">
        <v>26.372499999999999</v>
      </c>
      <c r="AJ57" s="231">
        <v>0</v>
      </c>
      <c r="AK57" s="231"/>
      <c r="AL57" s="231">
        <v>0</v>
      </c>
      <c r="AM57" s="256">
        <v>1</v>
      </c>
      <c r="AN57" s="256">
        <v>0.27279900000000001</v>
      </c>
      <c r="AO57" s="256">
        <v>0.68199799999999999</v>
      </c>
      <c r="AP57" s="256">
        <v>14.360703000000001</v>
      </c>
      <c r="AQ57" s="231">
        <v>0</v>
      </c>
      <c r="AR57" s="255">
        <v>7.6</v>
      </c>
      <c r="AS57" s="231">
        <v>0</v>
      </c>
      <c r="AT57" s="231"/>
      <c r="AU57" s="231"/>
      <c r="AV57" s="231"/>
      <c r="AW57" s="231"/>
      <c r="AX57" s="231"/>
      <c r="AY57" s="231"/>
      <c r="AZ57" s="231"/>
      <c r="BA57" s="116" t="s">
        <v>132</v>
      </c>
    </row>
    <row r="58" spans="1:53">
      <c r="A58" s="69" t="str">
        <f t="shared" si="0"/>
        <v>Inicial</v>
      </c>
      <c r="B58" s="232">
        <v>42056</v>
      </c>
      <c r="C58" s="232" t="s">
        <v>130</v>
      </c>
      <c r="D58" s="231">
        <v>52</v>
      </c>
      <c r="E58" s="255">
        <v>14.181994</v>
      </c>
      <c r="F58" s="255">
        <v>0.39660800000000002</v>
      </c>
      <c r="G58" s="255">
        <v>7.1893010000000004</v>
      </c>
      <c r="H58" s="255">
        <v>3.1</v>
      </c>
      <c r="I58" s="255">
        <v>2.4</v>
      </c>
      <c r="J58" s="255">
        <v>13.91</v>
      </c>
      <c r="K58" s="255">
        <v>28.94755</v>
      </c>
      <c r="L58" s="255">
        <v>0</v>
      </c>
      <c r="M58" s="255">
        <v>0</v>
      </c>
      <c r="N58" s="231">
        <v>0.15</v>
      </c>
      <c r="O58" s="231">
        <v>0.26666699999999999</v>
      </c>
      <c r="P58" s="231">
        <v>0.15</v>
      </c>
      <c r="Q58" s="255">
        <v>1.1000000000000001</v>
      </c>
      <c r="R58" s="255">
        <v>1.1523509999999999</v>
      </c>
      <c r="S58" s="231">
        <v>6.3</v>
      </c>
      <c r="T58" s="231">
        <v>0.58333299999999999</v>
      </c>
      <c r="U58" s="231">
        <v>1</v>
      </c>
      <c r="V58" s="231">
        <v>0.41666700000000001</v>
      </c>
      <c r="W58" s="255">
        <v>20</v>
      </c>
      <c r="X58" s="231">
        <v>7.049633</v>
      </c>
      <c r="Y58" s="256">
        <v>9</v>
      </c>
      <c r="Z58" s="256">
        <v>0.103573</v>
      </c>
      <c r="AA58" s="256">
        <v>0.10381700000000001</v>
      </c>
      <c r="AB58" s="256">
        <v>0</v>
      </c>
      <c r="AC58" s="256">
        <v>7.6476170000000003</v>
      </c>
      <c r="AD58" s="256">
        <v>0.25381700000000001</v>
      </c>
      <c r="AE58" s="231">
        <v>0.60916000000000003</v>
      </c>
      <c r="AF58" s="231">
        <v>0.35</v>
      </c>
      <c r="AG58" s="231">
        <v>0.55000000000000004</v>
      </c>
      <c r="AH58" s="231">
        <v>49</v>
      </c>
      <c r="AI58" s="231">
        <v>26.95</v>
      </c>
      <c r="AJ58" s="231">
        <v>5.3550000000000004</v>
      </c>
      <c r="AK58" s="231">
        <v>6.3</v>
      </c>
      <c r="AL58" s="231">
        <v>0</v>
      </c>
      <c r="AM58" s="256">
        <v>1</v>
      </c>
      <c r="AN58" s="256">
        <v>0.25381700000000001</v>
      </c>
      <c r="AO58" s="256">
        <v>0.60916000000000003</v>
      </c>
      <c r="AP58" s="256">
        <v>9.6148629999999997</v>
      </c>
      <c r="AQ58" s="231">
        <v>0.60916000000000003</v>
      </c>
      <c r="AR58" s="255">
        <v>13.9</v>
      </c>
      <c r="AS58" s="231">
        <v>0</v>
      </c>
      <c r="AT58" s="231"/>
      <c r="AU58" s="231"/>
      <c r="AV58" s="231"/>
      <c r="AW58" s="231"/>
      <c r="AX58" s="231"/>
      <c r="AY58" s="231"/>
      <c r="AZ58" s="231"/>
      <c r="BA58" s="116" t="s">
        <v>132</v>
      </c>
    </row>
    <row r="59" spans="1:53">
      <c r="A59" s="69" t="str">
        <f t="shared" si="0"/>
        <v>Inicial</v>
      </c>
      <c r="B59" s="232">
        <v>42057</v>
      </c>
      <c r="C59" s="232" t="s">
        <v>130</v>
      </c>
      <c r="D59" s="231">
        <v>53</v>
      </c>
      <c r="E59" s="255">
        <v>14.587256</v>
      </c>
      <c r="F59" s="255">
        <v>-2.7659180000000001</v>
      </c>
      <c r="G59" s="255">
        <v>5.7356689999999997</v>
      </c>
      <c r="H59" s="255">
        <v>3.2</v>
      </c>
      <c r="I59" s="255">
        <v>2.5</v>
      </c>
      <c r="J59" s="255">
        <v>17.690000000000001</v>
      </c>
      <c r="K59" s="255">
        <v>25.157800000000002</v>
      </c>
      <c r="L59" s="255">
        <v>0</v>
      </c>
      <c r="M59" s="255">
        <v>0</v>
      </c>
      <c r="N59" s="231">
        <v>0.15</v>
      </c>
      <c r="O59" s="231">
        <v>0.27083299999999999</v>
      </c>
      <c r="P59" s="231">
        <v>0.15</v>
      </c>
      <c r="Q59" s="255">
        <v>1.1000000000000001</v>
      </c>
      <c r="R59" s="255">
        <v>1.161907</v>
      </c>
      <c r="S59" s="231">
        <v>0</v>
      </c>
      <c r="T59" s="231">
        <v>0.594167</v>
      </c>
      <c r="U59" s="231">
        <v>1</v>
      </c>
      <c r="V59" s="231">
        <v>0.405833</v>
      </c>
      <c r="W59" s="255">
        <v>20</v>
      </c>
      <c r="X59" s="231">
        <v>7.6476170000000003</v>
      </c>
      <c r="Y59" s="256">
        <v>9</v>
      </c>
      <c r="Z59" s="256">
        <v>1</v>
      </c>
      <c r="AA59" s="256">
        <v>0.47154000000000001</v>
      </c>
      <c r="AB59" s="256">
        <v>0</v>
      </c>
      <c r="AC59" s="256">
        <v>10.552384</v>
      </c>
      <c r="AD59" s="256">
        <v>0.62153999999999998</v>
      </c>
      <c r="AE59" s="231">
        <v>1.5538510000000001</v>
      </c>
      <c r="AF59" s="231">
        <v>0.35</v>
      </c>
      <c r="AG59" s="231">
        <v>0.55000000000000004</v>
      </c>
      <c r="AH59" s="231">
        <v>49</v>
      </c>
      <c r="AI59" s="231">
        <v>26.95</v>
      </c>
      <c r="AJ59" s="231">
        <v>0</v>
      </c>
      <c r="AK59" s="231"/>
      <c r="AL59" s="231">
        <v>0</v>
      </c>
      <c r="AM59" s="256">
        <v>1</v>
      </c>
      <c r="AN59" s="256">
        <v>0.62153999999999998</v>
      </c>
      <c r="AO59" s="256">
        <v>1.5538510000000001</v>
      </c>
      <c r="AP59" s="256">
        <v>11.168714</v>
      </c>
      <c r="AQ59" s="231">
        <v>2.163011</v>
      </c>
      <c r="AR59" s="255">
        <v>13.9</v>
      </c>
      <c r="AS59" s="231">
        <v>0</v>
      </c>
      <c r="AT59" s="231"/>
      <c r="AU59" s="231"/>
      <c r="AV59" s="231"/>
      <c r="AW59" s="231"/>
      <c r="AX59" s="231"/>
      <c r="AY59" s="231"/>
      <c r="AZ59" s="231"/>
      <c r="BA59" s="116" t="s">
        <v>132</v>
      </c>
    </row>
    <row r="60" spans="1:53">
      <c r="A60" s="69" t="str">
        <f t="shared" si="0"/>
        <v>Inicial</v>
      </c>
      <c r="B60" s="232">
        <v>42058</v>
      </c>
      <c r="C60" s="232" t="s">
        <v>130</v>
      </c>
      <c r="D60" s="231">
        <v>54</v>
      </c>
      <c r="E60" s="255">
        <v>13.510790999999999</v>
      </c>
      <c r="F60" s="255">
        <v>-3.3857659999999998</v>
      </c>
      <c r="G60" s="255">
        <v>4.8125119999999999</v>
      </c>
      <c r="H60" s="255">
        <v>0.9</v>
      </c>
      <c r="I60" s="255">
        <v>1.6</v>
      </c>
      <c r="J60" s="255">
        <v>18.14</v>
      </c>
      <c r="K60" s="255">
        <v>21.987449999999999</v>
      </c>
      <c r="L60" s="255">
        <v>0</v>
      </c>
      <c r="M60" s="255">
        <v>0</v>
      </c>
      <c r="N60" s="231">
        <v>0.15</v>
      </c>
      <c r="O60" s="231">
        <v>0.27500000000000002</v>
      </c>
      <c r="P60" s="231">
        <v>0.15</v>
      </c>
      <c r="Q60" s="255">
        <v>1.1499999999999999</v>
      </c>
      <c r="R60" s="255">
        <v>1.173462</v>
      </c>
      <c r="S60" s="231">
        <v>0</v>
      </c>
      <c r="T60" s="231">
        <v>0.60499999999999998</v>
      </c>
      <c r="U60" s="231">
        <v>1</v>
      </c>
      <c r="V60" s="231">
        <v>0.39500000000000002</v>
      </c>
      <c r="W60" s="255">
        <v>20</v>
      </c>
      <c r="X60" s="231">
        <v>10.552384</v>
      </c>
      <c r="Y60" s="256">
        <v>9</v>
      </c>
      <c r="Z60" s="256">
        <v>0.128831</v>
      </c>
      <c r="AA60" s="256">
        <v>0.131854</v>
      </c>
      <c r="AB60" s="256">
        <v>0</v>
      </c>
      <c r="AC60" s="256">
        <v>11.086475</v>
      </c>
      <c r="AD60" s="256">
        <v>0.28185399999999999</v>
      </c>
      <c r="AE60" s="231">
        <v>0.45096599999999998</v>
      </c>
      <c r="AF60" s="231">
        <v>0.35</v>
      </c>
      <c r="AG60" s="231">
        <v>0.55000000000000004</v>
      </c>
      <c r="AH60" s="231">
        <v>49</v>
      </c>
      <c r="AI60" s="231">
        <v>26.95</v>
      </c>
      <c r="AJ60" s="231">
        <v>0</v>
      </c>
      <c r="AK60" s="231"/>
      <c r="AL60" s="231">
        <v>0</v>
      </c>
      <c r="AM60" s="256">
        <v>1</v>
      </c>
      <c r="AN60" s="256">
        <v>0.28185399999999999</v>
      </c>
      <c r="AO60" s="256">
        <v>0.45096599999999998</v>
      </c>
      <c r="AP60" s="256">
        <v>11.619680000000001</v>
      </c>
      <c r="AQ60" s="231">
        <v>2.6139770000000002</v>
      </c>
      <c r="AR60" s="255">
        <v>13.9</v>
      </c>
      <c r="AS60" s="231">
        <v>0</v>
      </c>
      <c r="AT60" s="231"/>
      <c r="AU60" s="231"/>
      <c r="AV60" s="231"/>
      <c r="AW60" s="231"/>
      <c r="AX60" s="231"/>
      <c r="AY60" s="231"/>
      <c r="AZ60" s="231"/>
      <c r="BA60" s="116" t="s">
        <v>132</v>
      </c>
    </row>
    <row r="61" spans="1:53">
      <c r="A61" s="69" t="str">
        <f t="shared" si="0"/>
        <v>Inicial</v>
      </c>
      <c r="B61" s="232">
        <v>42059</v>
      </c>
      <c r="C61" s="232" t="s">
        <v>130</v>
      </c>
      <c r="D61" s="231">
        <v>55</v>
      </c>
      <c r="E61" s="255">
        <v>16.868289999999998</v>
      </c>
      <c r="F61" s="255">
        <v>-4.0251159999999997</v>
      </c>
      <c r="G61" s="255">
        <v>6.5715870000000001</v>
      </c>
      <c r="H61" s="255">
        <v>1.2</v>
      </c>
      <c r="I61" s="255">
        <v>1.95</v>
      </c>
      <c r="J61" s="255">
        <v>17.86</v>
      </c>
      <c r="K61" s="255">
        <v>21.05725</v>
      </c>
      <c r="L61" s="255">
        <v>0</v>
      </c>
      <c r="M61" s="255">
        <v>0</v>
      </c>
      <c r="N61" s="231">
        <v>0.15</v>
      </c>
      <c r="O61" s="231">
        <v>0.279167</v>
      </c>
      <c r="P61" s="231">
        <v>0.15</v>
      </c>
      <c r="Q61" s="255">
        <v>1.1499999999999999</v>
      </c>
      <c r="R61" s="255">
        <v>1.181279</v>
      </c>
      <c r="S61" s="231">
        <v>0</v>
      </c>
      <c r="T61" s="231">
        <v>0.61583299999999996</v>
      </c>
      <c r="U61" s="231">
        <v>1</v>
      </c>
      <c r="V61" s="231">
        <v>0.38416699999999998</v>
      </c>
      <c r="W61" s="255">
        <v>20</v>
      </c>
      <c r="X61" s="231">
        <v>11.086475</v>
      </c>
      <c r="Y61" s="256">
        <v>9</v>
      </c>
      <c r="Z61" s="256">
        <v>0.121548</v>
      </c>
      <c r="AA61" s="256">
        <v>0.12534999999999999</v>
      </c>
      <c r="AB61" s="256">
        <v>0</v>
      </c>
      <c r="AC61" s="256">
        <v>11.722740999999999</v>
      </c>
      <c r="AD61" s="256">
        <v>0.27534999999999998</v>
      </c>
      <c r="AE61" s="231">
        <v>0.53693199999999996</v>
      </c>
      <c r="AF61" s="231">
        <v>0.35</v>
      </c>
      <c r="AG61" s="231">
        <v>0.55000000000000004</v>
      </c>
      <c r="AH61" s="231">
        <v>49</v>
      </c>
      <c r="AI61" s="231">
        <v>26.95</v>
      </c>
      <c r="AJ61" s="231">
        <v>0</v>
      </c>
      <c r="AK61" s="231"/>
      <c r="AL61" s="231">
        <v>0</v>
      </c>
      <c r="AM61" s="256">
        <v>1</v>
      </c>
      <c r="AN61" s="256">
        <v>0.27534999999999998</v>
      </c>
      <c r="AO61" s="256">
        <v>0.53693199999999996</v>
      </c>
      <c r="AP61" s="256">
        <v>12.156613</v>
      </c>
      <c r="AQ61" s="231">
        <v>3.150909</v>
      </c>
      <c r="AR61" s="255">
        <v>13.9</v>
      </c>
      <c r="AS61" s="231">
        <v>0</v>
      </c>
      <c r="AT61" s="231"/>
      <c r="AU61" s="231"/>
      <c r="AV61" s="231"/>
      <c r="AW61" s="231"/>
      <c r="AX61" s="231"/>
      <c r="AY61" s="231"/>
      <c r="AZ61" s="231"/>
      <c r="BA61" s="116" t="s">
        <v>132</v>
      </c>
    </row>
    <row r="62" spans="1:53">
      <c r="A62" s="69" t="str">
        <f t="shared" si="0"/>
        <v>Inicial</v>
      </c>
      <c r="B62" s="232">
        <v>42060</v>
      </c>
      <c r="C62" s="232" t="s">
        <v>130</v>
      </c>
      <c r="D62" s="231">
        <v>56</v>
      </c>
      <c r="E62" s="255">
        <v>16.706499999999998</v>
      </c>
      <c r="F62" s="255">
        <v>-1.1258049999999999</v>
      </c>
      <c r="G62" s="255">
        <v>7.8403470000000004</v>
      </c>
      <c r="H62" s="255">
        <v>1.5</v>
      </c>
      <c r="I62" s="255">
        <v>2.4</v>
      </c>
      <c r="J62" s="255">
        <v>18.149999999999999</v>
      </c>
      <c r="K62" s="255">
        <v>14.602550000000001</v>
      </c>
      <c r="L62" s="255">
        <v>0</v>
      </c>
      <c r="M62" s="255">
        <v>0</v>
      </c>
      <c r="N62" s="231">
        <v>0.15</v>
      </c>
      <c r="O62" s="231">
        <v>0.283333</v>
      </c>
      <c r="P62" s="231">
        <v>0.15</v>
      </c>
      <c r="Q62" s="255">
        <v>1.2</v>
      </c>
      <c r="R62" s="255">
        <v>1.2500500000000001</v>
      </c>
      <c r="S62" s="231">
        <v>0</v>
      </c>
      <c r="T62" s="231">
        <v>0.62666699999999997</v>
      </c>
      <c r="U62" s="231">
        <v>1</v>
      </c>
      <c r="V62" s="231">
        <v>0.37333300000000003</v>
      </c>
      <c r="W62" s="255">
        <v>20</v>
      </c>
      <c r="X62" s="231">
        <v>11.722740999999999</v>
      </c>
      <c r="Y62" s="256">
        <v>9</v>
      </c>
      <c r="Z62" s="256">
        <v>0.112872</v>
      </c>
      <c r="AA62" s="256">
        <v>0.124165</v>
      </c>
      <c r="AB62" s="256">
        <v>0</v>
      </c>
      <c r="AC62" s="256">
        <v>12.520942</v>
      </c>
      <c r="AD62" s="256">
        <v>0.27416499999999999</v>
      </c>
      <c r="AE62" s="231">
        <v>0.657995</v>
      </c>
      <c r="AF62" s="231">
        <v>0.35</v>
      </c>
      <c r="AG62" s="231">
        <v>0.55000000000000004</v>
      </c>
      <c r="AH62" s="231">
        <v>49</v>
      </c>
      <c r="AI62" s="231">
        <v>26.95</v>
      </c>
      <c r="AJ62" s="231">
        <v>0</v>
      </c>
      <c r="AK62" s="231"/>
      <c r="AL62" s="231">
        <v>0</v>
      </c>
      <c r="AM62" s="256">
        <v>1</v>
      </c>
      <c r="AN62" s="256">
        <v>0.27416499999999999</v>
      </c>
      <c r="AO62" s="256">
        <v>0.657995</v>
      </c>
      <c r="AP62" s="256">
        <v>12.814608</v>
      </c>
      <c r="AQ62" s="231">
        <v>3.8089040000000001</v>
      </c>
      <c r="AR62" s="255">
        <v>13.9</v>
      </c>
      <c r="AS62" s="231">
        <v>0</v>
      </c>
      <c r="AT62" s="231"/>
      <c r="AU62" s="231"/>
      <c r="AV62" s="231"/>
      <c r="AW62" s="231"/>
      <c r="AX62" s="231"/>
      <c r="AY62" s="231"/>
      <c r="AZ62" s="231"/>
      <c r="BA62" s="116" t="s">
        <v>132</v>
      </c>
    </row>
    <row r="63" spans="1:53">
      <c r="A63" s="69" t="str">
        <f t="shared" si="0"/>
        <v>Inicial</v>
      </c>
      <c r="B63" s="232">
        <v>42061</v>
      </c>
      <c r="C63" s="232" t="s">
        <v>130</v>
      </c>
      <c r="D63" s="231">
        <v>57</v>
      </c>
      <c r="E63" s="255">
        <v>15.786913999999999</v>
      </c>
      <c r="F63" s="255">
        <v>-0.42316900000000002</v>
      </c>
      <c r="G63" s="255">
        <v>7.656873</v>
      </c>
      <c r="H63" s="255">
        <v>1.2</v>
      </c>
      <c r="I63" s="255">
        <v>2.2000000000000002</v>
      </c>
      <c r="J63" s="255">
        <v>18.28</v>
      </c>
      <c r="K63" s="255">
        <v>20.7563</v>
      </c>
      <c r="L63" s="255">
        <v>0</v>
      </c>
      <c r="M63" s="255">
        <v>0</v>
      </c>
      <c r="N63" s="231">
        <v>0.15</v>
      </c>
      <c r="O63" s="231">
        <v>0.28749999999999998</v>
      </c>
      <c r="P63" s="231">
        <v>0.15</v>
      </c>
      <c r="Q63" s="255">
        <v>1.2</v>
      </c>
      <c r="R63" s="255">
        <v>1.232151</v>
      </c>
      <c r="S63" s="231">
        <v>0</v>
      </c>
      <c r="T63" s="231">
        <v>0.63749999999999996</v>
      </c>
      <c r="U63" s="231">
        <v>1</v>
      </c>
      <c r="V63" s="231">
        <v>0.36249999999999999</v>
      </c>
      <c r="W63" s="255">
        <v>20</v>
      </c>
      <c r="X63" s="231">
        <v>12.520942</v>
      </c>
      <c r="Y63" s="256">
        <v>9</v>
      </c>
      <c r="Z63" s="256">
        <v>0.10198699999999999</v>
      </c>
      <c r="AA63" s="256">
        <v>0.11036600000000001</v>
      </c>
      <c r="AB63" s="256">
        <v>0</v>
      </c>
      <c r="AC63" s="256">
        <v>13.190746000000001</v>
      </c>
      <c r="AD63" s="256">
        <v>0.26036599999999999</v>
      </c>
      <c r="AE63" s="231">
        <v>0.57280399999999998</v>
      </c>
      <c r="AF63" s="231">
        <v>0.35</v>
      </c>
      <c r="AG63" s="231">
        <v>0.55000000000000004</v>
      </c>
      <c r="AH63" s="231">
        <v>49</v>
      </c>
      <c r="AI63" s="231">
        <v>26.95</v>
      </c>
      <c r="AJ63" s="231">
        <v>0</v>
      </c>
      <c r="AK63" s="231"/>
      <c r="AL63" s="231">
        <v>0</v>
      </c>
      <c r="AM63" s="256">
        <v>1</v>
      </c>
      <c r="AN63" s="256">
        <v>0.26036599999999999</v>
      </c>
      <c r="AO63" s="256">
        <v>0.57280399999999998</v>
      </c>
      <c r="AP63" s="256">
        <v>13.387411999999999</v>
      </c>
      <c r="AQ63" s="231">
        <v>4.3817079999999997</v>
      </c>
      <c r="AR63" s="255">
        <v>13.9</v>
      </c>
      <c r="AS63" s="231">
        <v>0</v>
      </c>
      <c r="AT63" s="231"/>
      <c r="AU63" s="231"/>
      <c r="AV63" s="231"/>
      <c r="AW63" s="231"/>
      <c r="AX63" s="231"/>
      <c r="AY63" s="231"/>
      <c r="AZ63" s="231"/>
      <c r="BA63" s="116" t="s">
        <v>132</v>
      </c>
    </row>
    <row r="64" spans="1:53">
      <c r="A64" s="69" t="str">
        <f t="shared" si="0"/>
        <v>Inicial</v>
      </c>
      <c r="B64" s="232">
        <v>42062</v>
      </c>
      <c r="C64" s="232" t="s">
        <v>130</v>
      </c>
      <c r="D64" s="231">
        <v>58</v>
      </c>
      <c r="E64" s="255">
        <v>12.421766</v>
      </c>
      <c r="F64" s="255">
        <v>2.4430869999999998</v>
      </c>
      <c r="G64" s="255">
        <v>7.8574270000000004</v>
      </c>
      <c r="H64" s="255">
        <v>1.8</v>
      </c>
      <c r="I64" s="255">
        <v>2.0499999999999998</v>
      </c>
      <c r="J64" s="255">
        <v>3.09</v>
      </c>
      <c r="K64" s="255">
        <v>49.028849999999998</v>
      </c>
      <c r="L64" s="255">
        <v>0</v>
      </c>
      <c r="M64" s="255">
        <v>0</v>
      </c>
      <c r="N64" s="231">
        <v>0.15</v>
      </c>
      <c r="O64" s="231">
        <v>0.29166700000000001</v>
      </c>
      <c r="P64" s="231">
        <v>0.15</v>
      </c>
      <c r="Q64" s="255">
        <v>1.2</v>
      </c>
      <c r="R64" s="255">
        <v>1.188015</v>
      </c>
      <c r="S64" s="231">
        <v>0</v>
      </c>
      <c r="T64" s="231">
        <v>0.64833300000000005</v>
      </c>
      <c r="U64" s="231">
        <v>1</v>
      </c>
      <c r="V64" s="231">
        <v>0.35166700000000001</v>
      </c>
      <c r="W64" s="255">
        <v>20</v>
      </c>
      <c r="X64" s="231">
        <v>13.190746000000001</v>
      </c>
      <c r="Y64" s="256">
        <v>9</v>
      </c>
      <c r="Z64" s="256">
        <v>9.2853000000000005E-2</v>
      </c>
      <c r="AA64" s="256">
        <v>9.6382999999999996E-2</v>
      </c>
      <c r="AB64" s="256">
        <v>0</v>
      </c>
      <c r="AC64" s="256">
        <v>13.752602</v>
      </c>
      <c r="AD64" s="256">
        <v>0.24638299999999999</v>
      </c>
      <c r="AE64" s="231">
        <v>0.50508600000000003</v>
      </c>
      <c r="AF64" s="231">
        <v>0.35</v>
      </c>
      <c r="AG64" s="231">
        <v>0.55000000000000004</v>
      </c>
      <c r="AH64" s="231">
        <v>49</v>
      </c>
      <c r="AI64" s="231">
        <v>26.95</v>
      </c>
      <c r="AJ64" s="231">
        <v>0</v>
      </c>
      <c r="AK64" s="231"/>
      <c r="AL64" s="231">
        <v>0</v>
      </c>
      <c r="AM64" s="256">
        <v>1</v>
      </c>
      <c r="AN64" s="256">
        <v>0.24638299999999999</v>
      </c>
      <c r="AO64" s="256">
        <v>0.50508600000000003</v>
      </c>
      <c r="AP64" s="256">
        <v>13.892498</v>
      </c>
      <c r="AQ64" s="231">
        <v>4.8867940000000001</v>
      </c>
      <c r="AR64" s="255">
        <v>13.9</v>
      </c>
      <c r="AS64" s="231">
        <v>0</v>
      </c>
      <c r="AT64" s="231"/>
      <c r="AU64" s="231"/>
      <c r="AV64" s="231"/>
      <c r="AW64" s="231"/>
      <c r="AX64" s="231"/>
      <c r="AY64" s="231"/>
      <c r="AZ64" s="231"/>
      <c r="BA64" s="116" t="s">
        <v>132</v>
      </c>
    </row>
    <row r="65" spans="1:53">
      <c r="A65" s="69" t="str">
        <f t="shared" si="0"/>
        <v>Inicial</v>
      </c>
      <c r="B65" s="232">
        <v>42063</v>
      </c>
      <c r="C65" s="232" t="s">
        <v>130</v>
      </c>
      <c r="D65" s="231">
        <v>59</v>
      </c>
      <c r="E65" s="255">
        <v>18.707450000000001</v>
      </c>
      <c r="F65" s="255">
        <v>3.7086950000000001</v>
      </c>
      <c r="G65" s="255">
        <v>10.783072000000001</v>
      </c>
      <c r="H65" s="255">
        <v>3.9</v>
      </c>
      <c r="I65" s="255">
        <v>2.2000000000000002</v>
      </c>
      <c r="J65" s="255">
        <v>6.75</v>
      </c>
      <c r="K65" s="255">
        <v>38.579250000000002</v>
      </c>
      <c r="L65" s="255">
        <v>0</v>
      </c>
      <c r="M65" s="255">
        <v>0</v>
      </c>
      <c r="N65" s="231">
        <v>0.15</v>
      </c>
      <c r="O65" s="231">
        <v>0.29583300000000001</v>
      </c>
      <c r="P65" s="231">
        <v>0.15</v>
      </c>
      <c r="Q65" s="255">
        <v>1.2</v>
      </c>
      <c r="R65" s="255">
        <v>1.2507490000000001</v>
      </c>
      <c r="S65" s="231">
        <v>0</v>
      </c>
      <c r="T65" s="231">
        <v>0.65916699999999995</v>
      </c>
      <c r="U65" s="231">
        <v>1</v>
      </c>
      <c r="V65" s="231">
        <v>0.340833</v>
      </c>
      <c r="W65" s="255">
        <v>20</v>
      </c>
      <c r="X65" s="231">
        <v>13.752602</v>
      </c>
      <c r="Y65" s="256">
        <v>9</v>
      </c>
      <c r="Z65" s="256">
        <v>8.5192000000000004E-2</v>
      </c>
      <c r="AA65" s="256">
        <v>9.3774999999999997E-2</v>
      </c>
      <c r="AB65" s="256">
        <v>0</v>
      </c>
      <c r="AC65" s="256">
        <v>14.357896</v>
      </c>
      <c r="AD65" s="256">
        <v>0.24377499999999999</v>
      </c>
      <c r="AE65" s="231">
        <v>0.536304</v>
      </c>
      <c r="AF65" s="231">
        <v>0.35</v>
      </c>
      <c r="AG65" s="231">
        <v>0.55000000000000004</v>
      </c>
      <c r="AH65" s="231">
        <v>49</v>
      </c>
      <c r="AI65" s="231">
        <v>26.95</v>
      </c>
      <c r="AJ65" s="231">
        <v>0</v>
      </c>
      <c r="AK65" s="231"/>
      <c r="AL65" s="231">
        <v>0</v>
      </c>
      <c r="AM65" s="256">
        <v>1</v>
      </c>
      <c r="AN65" s="256">
        <v>0.24377499999999999</v>
      </c>
      <c r="AO65" s="256">
        <v>0.536304</v>
      </c>
      <c r="AP65" s="256">
        <v>14.428801999999999</v>
      </c>
      <c r="AQ65" s="231">
        <v>5.4230989999999997</v>
      </c>
      <c r="AR65" s="255">
        <v>13.9</v>
      </c>
      <c r="AS65" s="231">
        <v>0</v>
      </c>
      <c r="AT65" s="231"/>
      <c r="AU65" s="231"/>
      <c r="AV65" s="231"/>
      <c r="AW65" s="231"/>
      <c r="AX65" s="231"/>
      <c r="AY65" s="231"/>
      <c r="AZ65" s="231"/>
      <c r="BA65" s="116" t="s">
        <v>132</v>
      </c>
    </row>
    <row r="66" spans="1:53">
      <c r="A66" s="69" t="str">
        <f t="shared" si="0"/>
        <v>Inicial</v>
      </c>
      <c r="B66" s="232">
        <v>42064</v>
      </c>
      <c r="C66" s="232" t="s">
        <v>130</v>
      </c>
      <c r="D66" s="231">
        <v>60</v>
      </c>
      <c r="E66" s="255">
        <v>14.664453</v>
      </c>
      <c r="F66" s="255">
        <v>6.8213629999999998</v>
      </c>
      <c r="G66" s="255">
        <v>10.592908</v>
      </c>
      <c r="H66" s="255">
        <v>4.9000000000000004</v>
      </c>
      <c r="I66" s="255">
        <v>2.2000000000000002</v>
      </c>
      <c r="J66" s="255">
        <v>6.51</v>
      </c>
      <c r="K66" s="255">
        <v>51.823149999999998</v>
      </c>
      <c r="L66" s="255">
        <v>0</v>
      </c>
      <c r="M66" s="255">
        <v>0</v>
      </c>
      <c r="N66" s="231">
        <v>0.15</v>
      </c>
      <c r="O66" s="231">
        <v>0.3</v>
      </c>
      <c r="P66" s="231">
        <v>0.15</v>
      </c>
      <c r="Q66" s="255">
        <v>1.1000000000000001</v>
      </c>
      <c r="R66" s="255">
        <v>1.1444589999999999</v>
      </c>
      <c r="S66" s="231">
        <v>7.6</v>
      </c>
      <c r="T66" s="231">
        <v>0.67</v>
      </c>
      <c r="U66" s="231">
        <v>1</v>
      </c>
      <c r="V66" s="231">
        <v>0.33</v>
      </c>
      <c r="W66" s="255">
        <v>20</v>
      </c>
      <c r="X66" s="231">
        <v>7.8978960000000002</v>
      </c>
      <c r="Y66" s="256">
        <v>9</v>
      </c>
      <c r="Z66" s="256">
        <v>7.6938000000000006E-2</v>
      </c>
      <c r="AA66" s="256">
        <v>7.6510999999999996E-2</v>
      </c>
      <c r="AB66" s="256">
        <v>0</v>
      </c>
      <c r="AC66" s="256">
        <v>8.4079730000000001</v>
      </c>
      <c r="AD66" s="256">
        <v>0.22651099999999999</v>
      </c>
      <c r="AE66" s="231">
        <v>0.49832500000000002</v>
      </c>
      <c r="AF66" s="231">
        <v>0.35</v>
      </c>
      <c r="AG66" s="231">
        <v>0.55000000000000004</v>
      </c>
      <c r="AH66" s="231">
        <v>49</v>
      </c>
      <c r="AI66" s="231">
        <v>26.95</v>
      </c>
      <c r="AJ66" s="231">
        <v>6.46</v>
      </c>
      <c r="AK66" s="231">
        <v>7.6</v>
      </c>
      <c r="AL66" s="231">
        <v>0</v>
      </c>
      <c r="AM66" s="256">
        <v>1</v>
      </c>
      <c r="AN66" s="256">
        <v>0.22651099999999999</v>
      </c>
      <c r="AO66" s="256">
        <v>0.49832500000000002</v>
      </c>
      <c r="AP66" s="256">
        <v>8.4671269999999996</v>
      </c>
      <c r="AQ66" s="231">
        <v>5.921424</v>
      </c>
      <c r="AR66" s="255">
        <v>21.5</v>
      </c>
      <c r="AS66" s="231">
        <v>0</v>
      </c>
      <c r="AT66" s="231"/>
      <c r="AU66" s="231"/>
      <c r="AV66" s="231"/>
      <c r="AW66" s="231"/>
      <c r="AX66" s="231"/>
      <c r="AY66" s="231"/>
      <c r="AZ66" s="231"/>
      <c r="BA66" s="116" t="s">
        <v>132</v>
      </c>
    </row>
    <row r="67" spans="1:53">
      <c r="A67" s="69" t="str">
        <f t="shared" si="0"/>
        <v>Inicial</v>
      </c>
      <c r="B67" s="232">
        <v>42065</v>
      </c>
      <c r="C67" s="232" t="s">
        <v>130</v>
      </c>
      <c r="D67" s="231">
        <v>61</v>
      </c>
      <c r="E67" s="255">
        <v>13.539151</v>
      </c>
      <c r="F67" s="255">
        <v>5.7383860000000002</v>
      </c>
      <c r="G67" s="255">
        <v>9.4637689999999992</v>
      </c>
      <c r="H67" s="255">
        <v>4.5999999999999996</v>
      </c>
      <c r="I67" s="255">
        <v>2.2000000000000002</v>
      </c>
      <c r="J67" s="255">
        <v>3.39</v>
      </c>
      <c r="K67" s="255">
        <v>57.464550000000003</v>
      </c>
      <c r="L67" s="255">
        <v>0</v>
      </c>
      <c r="M67" s="255">
        <v>0</v>
      </c>
      <c r="N67" s="231">
        <v>0.15</v>
      </c>
      <c r="O67" s="231">
        <v>0.30416700000000002</v>
      </c>
      <c r="P67" s="231">
        <v>0.15</v>
      </c>
      <c r="Q67" s="255">
        <v>1.1000000000000001</v>
      </c>
      <c r="R67" s="255">
        <v>1.127248</v>
      </c>
      <c r="S67" s="231">
        <v>0</v>
      </c>
      <c r="T67" s="231">
        <v>0.68083300000000002</v>
      </c>
      <c r="U67" s="231">
        <v>1</v>
      </c>
      <c r="V67" s="231">
        <v>0.31916699999999998</v>
      </c>
      <c r="W67" s="255">
        <v>20</v>
      </c>
      <c r="X67" s="231">
        <v>8.4079730000000001</v>
      </c>
      <c r="Y67" s="256">
        <v>9</v>
      </c>
      <c r="Z67" s="256">
        <v>1</v>
      </c>
      <c r="AA67" s="256">
        <v>0.35977999999999999</v>
      </c>
      <c r="AB67" s="256">
        <v>0</v>
      </c>
      <c r="AC67" s="256">
        <v>10.887917</v>
      </c>
      <c r="AD67" s="256">
        <v>0.50978000000000001</v>
      </c>
      <c r="AE67" s="231">
        <v>1.121516</v>
      </c>
      <c r="AF67" s="231">
        <v>0.35</v>
      </c>
      <c r="AG67" s="231">
        <v>0.55000000000000004</v>
      </c>
      <c r="AH67" s="231">
        <v>49</v>
      </c>
      <c r="AI67" s="231">
        <v>26.95</v>
      </c>
      <c r="AJ67" s="231">
        <v>0</v>
      </c>
      <c r="AK67" s="231"/>
      <c r="AL67" s="231">
        <v>0</v>
      </c>
      <c r="AM67" s="256">
        <v>1</v>
      </c>
      <c r="AN67" s="256">
        <v>0.50978000000000001</v>
      </c>
      <c r="AO67" s="256">
        <v>1.121516</v>
      </c>
      <c r="AP67" s="256">
        <v>9.5886429999999994</v>
      </c>
      <c r="AQ67" s="231">
        <v>0</v>
      </c>
      <c r="AR67" s="255">
        <v>21.5</v>
      </c>
      <c r="AS67" s="231">
        <v>0</v>
      </c>
      <c r="AT67" s="231"/>
      <c r="AU67" s="231"/>
      <c r="AV67" s="231"/>
      <c r="AW67" s="231"/>
      <c r="AX67" s="231"/>
      <c r="AY67" s="231"/>
      <c r="AZ67" s="231"/>
      <c r="BA67" s="116" t="s">
        <v>132</v>
      </c>
    </row>
    <row r="68" spans="1:53">
      <c r="A68" s="69" t="str">
        <f t="shared" si="0"/>
        <v>Inicial</v>
      </c>
      <c r="B68" s="232">
        <v>42066</v>
      </c>
      <c r="C68" s="232" t="s">
        <v>130</v>
      </c>
      <c r="D68" s="231">
        <v>62</v>
      </c>
      <c r="E68" s="255">
        <v>15.511072</v>
      </c>
      <c r="F68" s="255">
        <v>5.9605410000000001</v>
      </c>
      <c r="G68" s="255">
        <v>10.485806</v>
      </c>
      <c r="H68" s="255">
        <v>4.2</v>
      </c>
      <c r="I68" s="255">
        <v>2.4500000000000002</v>
      </c>
      <c r="J68" s="255">
        <v>11.2</v>
      </c>
      <c r="K68" s="255">
        <v>51.040500000000002</v>
      </c>
      <c r="L68" s="255">
        <v>0</v>
      </c>
      <c r="M68" s="255">
        <v>0</v>
      </c>
      <c r="N68" s="231">
        <v>0.15</v>
      </c>
      <c r="O68" s="231">
        <v>0.30833300000000002</v>
      </c>
      <c r="P68" s="231">
        <v>0.15</v>
      </c>
      <c r="Q68" s="255">
        <v>1.1499999999999999</v>
      </c>
      <c r="R68" s="255">
        <v>1.1822589999999999</v>
      </c>
      <c r="S68" s="231">
        <v>0</v>
      </c>
      <c r="T68" s="231">
        <v>0.69166700000000003</v>
      </c>
      <c r="U68" s="231">
        <v>1</v>
      </c>
      <c r="V68" s="231">
        <v>0.30833300000000002</v>
      </c>
      <c r="W68" s="255">
        <v>20</v>
      </c>
      <c r="X68" s="231">
        <v>10.887917</v>
      </c>
      <c r="Y68" s="256">
        <v>9</v>
      </c>
      <c r="Z68" s="256">
        <v>0.12425600000000001</v>
      </c>
      <c r="AA68" s="256">
        <v>0.12826399999999999</v>
      </c>
      <c r="AB68" s="256">
        <v>0</v>
      </c>
      <c r="AC68" s="256">
        <v>11.907095999999999</v>
      </c>
      <c r="AD68" s="256">
        <v>0.27826400000000001</v>
      </c>
      <c r="AE68" s="231">
        <v>0.68174699999999999</v>
      </c>
      <c r="AF68" s="231">
        <v>0.35</v>
      </c>
      <c r="AG68" s="231">
        <v>0.55000000000000004</v>
      </c>
      <c r="AH68" s="231">
        <v>49</v>
      </c>
      <c r="AI68" s="231">
        <v>26.95</v>
      </c>
      <c r="AJ68" s="231">
        <v>0</v>
      </c>
      <c r="AK68" s="231"/>
      <c r="AL68" s="231">
        <v>0</v>
      </c>
      <c r="AM68" s="256">
        <v>1</v>
      </c>
      <c r="AN68" s="256">
        <v>0.27826400000000001</v>
      </c>
      <c r="AO68" s="256">
        <v>0.68174699999999999</v>
      </c>
      <c r="AP68" s="256">
        <v>10.270390000000001</v>
      </c>
      <c r="AQ68" s="231">
        <v>0.68174699999999999</v>
      </c>
      <c r="AR68" s="255">
        <v>21.5</v>
      </c>
      <c r="AS68" s="231">
        <v>0</v>
      </c>
      <c r="AT68" s="231"/>
      <c r="AU68" s="231"/>
      <c r="AV68" s="231"/>
      <c r="AW68" s="231"/>
      <c r="AX68" s="231"/>
      <c r="AY68" s="231"/>
      <c r="AZ68" s="231"/>
      <c r="BA68" s="116" t="s">
        <v>132</v>
      </c>
    </row>
    <row r="69" spans="1:53">
      <c r="A69" s="69" t="str">
        <f t="shared" si="0"/>
        <v>Inicial</v>
      </c>
      <c r="B69" s="232">
        <v>42067</v>
      </c>
      <c r="C69" s="232" t="s">
        <v>130</v>
      </c>
      <c r="D69" s="231">
        <v>63</v>
      </c>
      <c r="E69" s="255">
        <v>14.636646000000001</v>
      </c>
      <c r="F69" s="255">
        <v>8.2483400000000007</v>
      </c>
      <c r="G69" s="255">
        <v>11.192493000000001</v>
      </c>
      <c r="H69" s="255">
        <v>2.9</v>
      </c>
      <c r="I69" s="255">
        <v>2.1</v>
      </c>
      <c r="J69" s="255">
        <v>10.210000000000001</v>
      </c>
      <c r="K69" s="255">
        <v>53.15155</v>
      </c>
      <c r="L69" s="255">
        <v>0</v>
      </c>
      <c r="M69" s="255">
        <v>0</v>
      </c>
      <c r="N69" s="231">
        <v>0.15</v>
      </c>
      <c r="O69" s="231">
        <v>0.3125</v>
      </c>
      <c r="P69" s="231">
        <v>0.15</v>
      </c>
      <c r="Q69" s="255">
        <v>1.1499999999999999</v>
      </c>
      <c r="R69" s="255">
        <v>1.1517219999999999</v>
      </c>
      <c r="S69" s="231">
        <v>0</v>
      </c>
      <c r="T69" s="231">
        <v>0.70250000000000001</v>
      </c>
      <c r="U69" s="231">
        <v>1</v>
      </c>
      <c r="V69" s="231">
        <v>0.29749999999999999</v>
      </c>
      <c r="W69" s="255">
        <v>20</v>
      </c>
      <c r="X69" s="231">
        <v>11.907095999999999</v>
      </c>
      <c r="Y69" s="256">
        <v>9</v>
      </c>
      <c r="Z69" s="256">
        <v>0.110358</v>
      </c>
      <c r="AA69" s="256">
        <v>0.11054799999999999</v>
      </c>
      <c r="AB69" s="256">
        <v>0</v>
      </c>
      <c r="AC69" s="256">
        <v>12.687434</v>
      </c>
      <c r="AD69" s="256">
        <v>0.260548</v>
      </c>
      <c r="AE69" s="231">
        <v>0.54715000000000003</v>
      </c>
      <c r="AF69" s="231">
        <v>0.35</v>
      </c>
      <c r="AG69" s="231">
        <v>0.55000000000000004</v>
      </c>
      <c r="AH69" s="231">
        <v>49</v>
      </c>
      <c r="AI69" s="231">
        <v>26.95</v>
      </c>
      <c r="AJ69" s="231">
        <v>0</v>
      </c>
      <c r="AK69" s="231"/>
      <c r="AL69" s="231">
        <v>0</v>
      </c>
      <c r="AM69" s="256">
        <v>1</v>
      </c>
      <c r="AN69" s="256">
        <v>0.260548</v>
      </c>
      <c r="AO69" s="256">
        <v>0.54715000000000003</v>
      </c>
      <c r="AP69" s="256">
        <v>10.817539999999999</v>
      </c>
      <c r="AQ69" s="231">
        <v>1.2288969999999999</v>
      </c>
      <c r="AR69" s="255">
        <v>21.5</v>
      </c>
      <c r="AS69" s="231">
        <v>0</v>
      </c>
      <c r="AT69" s="231"/>
      <c r="AU69" s="231"/>
      <c r="AV69" s="231"/>
      <c r="AW69" s="231"/>
      <c r="AX69" s="231"/>
      <c r="AY69" s="231"/>
      <c r="AZ69" s="231"/>
      <c r="BA69" s="116" t="s">
        <v>132</v>
      </c>
    </row>
    <row r="70" spans="1:53">
      <c r="A70" s="69" t="str">
        <f t="shared" si="0"/>
        <v>Inicial</v>
      </c>
      <c r="B70" s="232">
        <v>42068</v>
      </c>
      <c r="C70" s="232" t="s">
        <v>130</v>
      </c>
      <c r="D70" s="231">
        <v>64</v>
      </c>
      <c r="E70" s="255">
        <v>13.852255</v>
      </c>
      <c r="F70" s="255">
        <v>6.2664220000000004</v>
      </c>
      <c r="G70" s="255">
        <v>10.059338</v>
      </c>
      <c r="H70" s="255">
        <v>5.0999999999999996</v>
      </c>
      <c r="I70" s="255">
        <v>1.5</v>
      </c>
      <c r="J70" s="255">
        <v>9.84</v>
      </c>
      <c r="K70" s="255">
        <v>60.164099999999998</v>
      </c>
      <c r="L70" s="255">
        <v>0</v>
      </c>
      <c r="M70" s="255">
        <v>0</v>
      </c>
      <c r="N70" s="231">
        <v>0.15</v>
      </c>
      <c r="O70" s="231">
        <v>0.31666699999999998</v>
      </c>
      <c r="P70" s="231">
        <v>0.15</v>
      </c>
      <c r="Q70" s="255">
        <v>1.2</v>
      </c>
      <c r="R70" s="255">
        <v>1.2322660000000001</v>
      </c>
      <c r="S70" s="231">
        <v>0</v>
      </c>
      <c r="T70" s="231">
        <v>0.71333299999999999</v>
      </c>
      <c r="U70" s="231">
        <v>1</v>
      </c>
      <c r="V70" s="231">
        <v>0.28666700000000001</v>
      </c>
      <c r="W70" s="255">
        <v>20</v>
      </c>
      <c r="X70" s="231">
        <v>12.687434</v>
      </c>
      <c r="Y70" s="256">
        <v>9</v>
      </c>
      <c r="Z70" s="256">
        <v>9.9717E-2</v>
      </c>
      <c r="AA70" s="256">
        <v>0.10792</v>
      </c>
      <c r="AB70" s="256">
        <v>0</v>
      </c>
      <c r="AC70" s="256">
        <v>13.252132</v>
      </c>
      <c r="AD70" s="256">
        <v>0.25791999999999998</v>
      </c>
      <c r="AE70" s="231">
        <v>0.38688</v>
      </c>
      <c r="AF70" s="231">
        <v>0.35</v>
      </c>
      <c r="AG70" s="231">
        <v>0.55000000000000004</v>
      </c>
      <c r="AH70" s="231">
        <v>49</v>
      </c>
      <c r="AI70" s="231">
        <v>26.95</v>
      </c>
      <c r="AJ70" s="231">
        <v>0</v>
      </c>
      <c r="AK70" s="231"/>
      <c r="AL70" s="231">
        <v>0</v>
      </c>
      <c r="AM70" s="256">
        <v>1</v>
      </c>
      <c r="AN70" s="256">
        <v>0.25791999999999998</v>
      </c>
      <c r="AO70" s="256">
        <v>0.38688</v>
      </c>
      <c r="AP70" s="256">
        <v>11.204420000000001</v>
      </c>
      <c r="AQ70" s="231">
        <v>1.615777</v>
      </c>
      <c r="AR70" s="255">
        <v>21.5</v>
      </c>
      <c r="AS70" s="231">
        <v>0</v>
      </c>
      <c r="AT70" s="231"/>
      <c r="AU70" s="231"/>
      <c r="AV70" s="231"/>
      <c r="AW70" s="231"/>
      <c r="AX70" s="231"/>
      <c r="AY70" s="231"/>
      <c r="AZ70" s="231"/>
      <c r="BA70" s="116" t="s">
        <v>132</v>
      </c>
    </row>
    <row r="71" spans="1:53">
      <c r="A71" s="69" t="str">
        <f t="shared" si="0"/>
        <v>Inicial</v>
      </c>
      <c r="B71" s="232">
        <v>42069</v>
      </c>
      <c r="C71" s="232" t="s">
        <v>130</v>
      </c>
      <c r="D71" s="231">
        <v>65</v>
      </c>
      <c r="E71" s="255">
        <v>11.983676000000001</v>
      </c>
      <c r="F71" s="255">
        <v>4.9551819999999998</v>
      </c>
      <c r="G71" s="255">
        <v>8.2694290000000006</v>
      </c>
      <c r="H71" s="255">
        <v>5.9</v>
      </c>
      <c r="I71" s="255">
        <v>2.2000000000000002</v>
      </c>
      <c r="J71" s="255">
        <v>16.13</v>
      </c>
      <c r="K71" s="255">
        <v>44.630549999999999</v>
      </c>
      <c r="L71" s="255">
        <v>0</v>
      </c>
      <c r="M71" s="255">
        <v>0</v>
      </c>
      <c r="N71" s="231">
        <v>0.15</v>
      </c>
      <c r="O71" s="231">
        <v>0.32083299999999998</v>
      </c>
      <c r="P71" s="231">
        <v>0.15</v>
      </c>
      <c r="Q71" s="255">
        <v>1.2</v>
      </c>
      <c r="R71" s="255">
        <v>1.280532</v>
      </c>
      <c r="S71" s="231">
        <v>0</v>
      </c>
      <c r="T71" s="231">
        <v>0.72416700000000001</v>
      </c>
      <c r="U71" s="231">
        <v>1</v>
      </c>
      <c r="V71" s="231">
        <v>0.27583299999999999</v>
      </c>
      <c r="W71" s="255">
        <v>20</v>
      </c>
      <c r="X71" s="231">
        <v>13.252132</v>
      </c>
      <c r="Y71" s="256">
        <v>9</v>
      </c>
      <c r="Z71" s="256">
        <v>9.2016000000000001E-2</v>
      </c>
      <c r="AA71" s="256">
        <v>0.10402699999999999</v>
      </c>
      <c r="AB71" s="256">
        <v>0</v>
      </c>
      <c r="AC71" s="256">
        <v>14.081837</v>
      </c>
      <c r="AD71" s="256">
        <v>0.254027</v>
      </c>
      <c r="AE71" s="231">
        <v>0.55886000000000002</v>
      </c>
      <c r="AF71" s="231">
        <v>0.35</v>
      </c>
      <c r="AG71" s="231">
        <v>0.55000000000000004</v>
      </c>
      <c r="AH71" s="231">
        <v>49</v>
      </c>
      <c r="AI71" s="231">
        <v>26.95</v>
      </c>
      <c r="AJ71" s="231">
        <v>0</v>
      </c>
      <c r="AK71" s="231"/>
      <c r="AL71" s="231">
        <v>0</v>
      </c>
      <c r="AM71" s="256">
        <v>1</v>
      </c>
      <c r="AN71" s="256">
        <v>0.254027</v>
      </c>
      <c r="AO71" s="256">
        <v>0.55886000000000002</v>
      </c>
      <c r="AP71" s="256">
        <v>11.763280999999999</v>
      </c>
      <c r="AQ71" s="231">
        <v>2.1746379999999998</v>
      </c>
      <c r="AR71" s="255">
        <v>21.5</v>
      </c>
      <c r="AS71" s="231">
        <v>0</v>
      </c>
      <c r="AT71" s="231"/>
      <c r="AU71" s="231"/>
      <c r="AV71" s="231"/>
      <c r="AW71" s="231"/>
      <c r="AX71" s="231"/>
      <c r="AY71" s="231"/>
      <c r="AZ71" s="231"/>
      <c r="BA71" s="116" t="s">
        <v>132</v>
      </c>
    </row>
    <row r="72" spans="1:53">
      <c r="A72" s="69" t="str">
        <f t="shared" si="0"/>
        <v>Inicial</v>
      </c>
      <c r="B72" s="232">
        <v>42070</v>
      </c>
      <c r="C72" s="232" t="s">
        <v>130</v>
      </c>
      <c r="D72" s="231">
        <v>66</v>
      </c>
      <c r="E72" s="255">
        <v>13.876709</v>
      </c>
      <c r="F72" s="255">
        <v>2.8875000000000002</v>
      </c>
      <c r="G72" s="255">
        <v>8.1071050000000007</v>
      </c>
      <c r="H72" s="255">
        <v>2.4</v>
      </c>
      <c r="I72" s="255">
        <v>2.4</v>
      </c>
      <c r="J72" s="255">
        <v>17.989999999999998</v>
      </c>
      <c r="K72" s="255">
        <v>32.688600000000001</v>
      </c>
      <c r="L72" s="255">
        <v>0</v>
      </c>
      <c r="M72" s="255">
        <v>0</v>
      </c>
      <c r="N72" s="231">
        <v>0.15</v>
      </c>
      <c r="O72" s="231">
        <v>0.32500000000000001</v>
      </c>
      <c r="P72" s="231">
        <v>0.15</v>
      </c>
      <c r="Q72" s="255">
        <v>1.2</v>
      </c>
      <c r="R72" s="255">
        <v>1.233495</v>
      </c>
      <c r="S72" s="231">
        <v>0</v>
      </c>
      <c r="T72" s="231">
        <v>0.73499999999999999</v>
      </c>
      <c r="U72" s="231">
        <v>1</v>
      </c>
      <c r="V72" s="231">
        <v>0.26500000000000001</v>
      </c>
      <c r="W72" s="255">
        <v>20</v>
      </c>
      <c r="X72" s="231">
        <v>14.081837</v>
      </c>
      <c r="Y72" s="256">
        <v>9</v>
      </c>
      <c r="Z72" s="256">
        <v>8.0701999999999996E-2</v>
      </c>
      <c r="AA72" s="256">
        <v>8.7440000000000004E-2</v>
      </c>
      <c r="AB72" s="256">
        <v>0</v>
      </c>
      <c r="AC72" s="256">
        <v>14.873751</v>
      </c>
      <c r="AD72" s="256">
        <v>0.23744000000000001</v>
      </c>
      <c r="AE72" s="231">
        <v>0.56985699999999995</v>
      </c>
      <c r="AF72" s="231">
        <v>0.35</v>
      </c>
      <c r="AG72" s="231">
        <v>0.55000000000000004</v>
      </c>
      <c r="AH72" s="231">
        <v>49</v>
      </c>
      <c r="AI72" s="231">
        <v>26.95</v>
      </c>
      <c r="AJ72" s="231">
        <v>0</v>
      </c>
      <c r="AK72" s="231"/>
      <c r="AL72" s="231">
        <v>0</v>
      </c>
      <c r="AM72" s="256">
        <v>1</v>
      </c>
      <c r="AN72" s="256">
        <v>0.23744000000000001</v>
      </c>
      <c r="AO72" s="256">
        <v>0.56985699999999995</v>
      </c>
      <c r="AP72" s="256">
        <v>12.333138</v>
      </c>
      <c r="AQ72" s="231">
        <v>2.7444950000000001</v>
      </c>
      <c r="AR72" s="255">
        <v>21.5</v>
      </c>
      <c r="AS72" s="231">
        <v>0</v>
      </c>
      <c r="AT72" s="231"/>
      <c r="AU72" s="231"/>
      <c r="AV72" s="231"/>
      <c r="AW72" s="231"/>
      <c r="AX72" s="231"/>
      <c r="AY72" s="231"/>
      <c r="AZ72" s="231"/>
      <c r="BA72" s="116" t="s">
        <v>132</v>
      </c>
    </row>
    <row r="73" spans="1:53">
      <c r="A73" s="69" t="str">
        <f t="shared" si="0"/>
        <v>Inicial</v>
      </c>
      <c r="B73" s="232">
        <v>42071</v>
      </c>
      <c r="C73" s="232" t="s">
        <v>130</v>
      </c>
      <c r="D73" s="231">
        <v>67</v>
      </c>
      <c r="E73" s="255">
        <v>16.963867</v>
      </c>
      <c r="F73" s="255">
        <v>2.9687260000000002</v>
      </c>
      <c r="G73" s="255">
        <v>10.216296</v>
      </c>
      <c r="H73" s="255">
        <v>3.3</v>
      </c>
      <c r="I73" s="255">
        <v>1.5</v>
      </c>
      <c r="J73" s="255">
        <v>7.48</v>
      </c>
      <c r="K73" s="255">
        <v>45.078949999999999</v>
      </c>
      <c r="L73" s="255">
        <v>0</v>
      </c>
      <c r="M73" s="255">
        <v>0</v>
      </c>
      <c r="N73" s="231">
        <v>0.15</v>
      </c>
      <c r="O73" s="231">
        <v>0.32916699999999999</v>
      </c>
      <c r="P73" s="231">
        <v>0.15</v>
      </c>
      <c r="Q73" s="255">
        <v>1.1000000000000001</v>
      </c>
      <c r="R73" s="255">
        <v>1.1266350000000001</v>
      </c>
      <c r="S73" s="231">
        <v>6.3</v>
      </c>
      <c r="T73" s="231">
        <v>0.74583299999999997</v>
      </c>
      <c r="U73" s="231">
        <v>1</v>
      </c>
      <c r="V73" s="231">
        <v>0.25416699999999998</v>
      </c>
      <c r="W73" s="255">
        <v>20</v>
      </c>
      <c r="X73" s="231">
        <v>9.518751</v>
      </c>
      <c r="Y73" s="256">
        <v>9</v>
      </c>
      <c r="Z73" s="256">
        <v>6.9903000000000007E-2</v>
      </c>
      <c r="AA73" s="256">
        <v>6.8269999999999997E-2</v>
      </c>
      <c r="AB73" s="256">
        <v>0</v>
      </c>
      <c r="AC73" s="256">
        <v>9.9216560000000005</v>
      </c>
      <c r="AD73" s="256">
        <v>0.21826999999999999</v>
      </c>
      <c r="AE73" s="231">
        <v>0.327405</v>
      </c>
      <c r="AF73" s="231">
        <v>0.35</v>
      </c>
      <c r="AG73" s="231">
        <v>0.55000000000000004</v>
      </c>
      <c r="AH73" s="231">
        <v>49</v>
      </c>
      <c r="AI73" s="231">
        <v>26.95</v>
      </c>
      <c r="AJ73" s="231">
        <v>5.3550000000000004</v>
      </c>
      <c r="AK73" s="231">
        <v>6.3</v>
      </c>
      <c r="AL73" s="231">
        <v>0</v>
      </c>
      <c r="AM73" s="256">
        <v>1</v>
      </c>
      <c r="AN73" s="256">
        <v>0.21826999999999999</v>
      </c>
      <c r="AO73" s="256">
        <v>0.327405</v>
      </c>
      <c r="AP73" s="256">
        <v>7.3055430000000001</v>
      </c>
      <c r="AQ73" s="231">
        <v>3.0718999999999999</v>
      </c>
      <c r="AR73" s="255">
        <v>27.8</v>
      </c>
      <c r="AS73" s="231">
        <v>0</v>
      </c>
      <c r="AT73" s="231"/>
      <c r="AU73" s="231"/>
      <c r="AV73" s="231"/>
      <c r="AW73" s="231"/>
      <c r="AX73" s="231"/>
      <c r="AY73" s="231"/>
      <c r="AZ73" s="231"/>
      <c r="BA73" s="116" t="s">
        <v>132</v>
      </c>
    </row>
    <row r="74" spans="1:53">
      <c r="A74" s="69" t="str">
        <f t="shared" si="0"/>
        <v>Inicial</v>
      </c>
      <c r="B74" s="232">
        <v>42072</v>
      </c>
      <c r="C74" s="232" t="s">
        <v>130</v>
      </c>
      <c r="D74" s="231">
        <v>68</v>
      </c>
      <c r="E74" s="255">
        <v>18.077611999999998</v>
      </c>
      <c r="F74" s="255">
        <v>6.2801939999999998</v>
      </c>
      <c r="G74" s="255">
        <v>12.278903</v>
      </c>
      <c r="H74" s="255">
        <v>2.6</v>
      </c>
      <c r="I74" s="255">
        <v>3.15</v>
      </c>
      <c r="J74" s="255">
        <v>16.600000000000001</v>
      </c>
      <c r="K74" s="255">
        <v>35.441450000000003</v>
      </c>
      <c r="L74" s="255">
        <v>0</v>
      </c>
      <c r="M74" s="255">
        <v>0</v>
      </c>
      <c r="N74" s="231">
        <v>0.15</v>
      </c>
      <c r="O74" s="231">
        <v>0.33333299999999999</v>
      </c>
      <c r="P74" s="231">
        <v>0.15</v>
      </c>
      <c r="Q74" s="255">
        <v>1.1000000000000001</v>
      </c>
      <c r="R74" s="255">
        <v>1.132193</v>
      </c>
      <c r="S74" s="231">
        <v>0</v>
      </c>
      <c r="T74" s="231">
        <v>0.75666699999999998</v>
      </c>
      <c r="U74" s="231">
        <v>1</v>
      </c>
      <c r="V74" s="231">
        <v>0.24333299999999999</v>
      </c>
      <c r="W74" s="255">
        <v>20</v>
      </c>
      <c r="X74" s="231">
        <v>9.9216560000000005</v>
      </c>
      <c r="Y74" s="256">
        <v>9</v>
      </c>
      <c r="Z74" s="256">
        <v>0.137432</v>
      </c>
      <c r="AA74" s="256">
        <v>0.13498499999999999</v>
      </c>
      <c r="AB74" s="256">
        <v>0</v>
      </c>
      <c r="AC74" s="256">
        <v>11.66906</v>
      </c>
      <c r="AD74" s="256">
        <v>0.28498499999999999</v>
      </c>
      <c r="AE74" s="231">
        <v>0.897702</v>
      </c>
      <c r="AF74" s="231">
        <v>0.35</v>
      </c>
      <c r="AG74" s="231">
        <v>0.55000000000000004</v>
      </c>
      <c r="AH74" s="231">
        <v>49</v>
      </c>
      <c r="AI74" s="231">
        <v>26.95</v>
      </c>
      <c r="AJ74" s="231">
        <v>0</v>
      </c>
      <c r="AK74" s="231"/>
      <c r="AL74" s="231">
        <v>0</v>
      </c>
      <c r="AM74" s="256">
        <v>1</v>
      </c>
      <c r="AN74" s="256">
        <v>0.28498499999999999</v>
      </c>
      <c r="AO74" s="256">
        <v>0.897702</v>
      </c>
      <c r="AP74" s="256">
        <v>8.2032450000000008</v>
      </c>
      <c r="AQ74" s="231">
        <v>3.9696020000000001</v>
      </c>
      <c r="AR74" s="255">
        <v>27.8</v>
      </c>
      <c r="AS74" s="231">
        <v>0</v>
      </c>
      <c r="AT74" s="231"/>
      <c r="AU74" s="231"/>
      <c r="AV74" s="231"/>
      <c r="AW74" s="231"/>
      <c r="AX74" s="231"/>
      <c r="AY74" s="231"/>
      <c r="AZ74" s="231"/>
      <c r="BA74" s="116" t="s">
        <v>132</v>
      </c>
    </row>
    <row r="75" spans="1:53">
      <c r="A75" s="69" t="str">
        <f t="shared" si="0"/>
        <v>Inicial</v>
      </c>
      <c r="B75" s="232">
        <v>42073</v>
      </c>
      <c r="C75" s="232" t="s">
        <v>130</v>
      </c>
      <c r="D75" s="231">
        <v>69</v>
      </c>
      <c r="E75" s="255">
        <v>21.537053</v>
      </c>
      <c r="F75" s="255">
        <v>7.4752010000000002</v>
      </c>
      <c r="G75" s="255">
        <v>13.981127000000001</v>
      </c>
      <c r="H75" s="255">
        <v>3.2</v>
      </c>
      <c r="I75" s="255">
        <v>3.4</v>
      </c>
      <c r="J75" s="255">
        <v>11.32</v>
      </c>
      <c r="K75" s="255">
        <v>32.106099999999998</v>
      </c>
      <c r="L75" s="255">
        <v>0</v>
      </c>
      <c r="M75" s="255">
        <v>0</v>
      </c>
      <c r="N75" s="231">
        <v>0.15</v>
      </c>
      <c r="O75" s="231">
        <v>0.33750000000000002</v>
      </c>
      <c r="P75" s="231">
        <v>0.15</v>
      </c>
      <c r="Q75" s="255">
        <v>1.1499999999999999</v>
      </c>
      <c r="R75" s="255">
        <v>1.2017009999999999</v>
      </c>
      <c r="S75" s="231">
        <v>0</v>
      </c>
      <c r="T75" s="231">
        <v>0.76749999999999996</v>
      </c>
      <c r="U75" s="231">
        <v>1</v>
      </c>
      <c r="V75" s="231">
        <v>0.23250000000000001</v>
      </c>
      <c r="W75" s="255">
        <v>20</v>
      </c>
      <c r="X75" s="231">
        <v>11.66906</v>
      </c>
      <c r="Y75" s="256">
        <v>9</v>
      </c>
      <c r="Z75" s="256">
        <v>0.113604</v>
      </c>
      <c r="AA75" s="256">
        <v>0.119477</v>
      </c>
      <c r="AB75" s="256">
        <v>0</v>
      </c>
      <c r="AC75" s="256">
        <v>13.416252999999999</v>
      </c>
      <c r="AD75" s="256">
        <v>0.26947700000000002</v>
      </c>
      <c r="AE75" s="231">
        <v>0.91622199999999998</v>
      </c>
      <c r="AF75" s="231">
        <v>0.35</v>
      </c>
      <c r="AG75" s="231">
        <v>0.55000000000000004</v>
      </c>
      <c r="AH75" s="231">
        <v>49</v>
      </c>
      <c r="AI75" s="231">
        <v>26.95</v>
      </c>
      <c r="AJ75" s="231">
        <v>0</v>
      </c>
      <c r="AK75" s="231"/>
      <c r="AL75" s="231">
        <v>0</v>
      </c>
      <c r="AM75" s="256">
        <v>1</v>
      </c>
      <c r="AN75" s="256">
        <v>0.26947700000000002</v>
      </c>
      <c r="AO75" s="256">
        <v>0.91622199999999998</v>
      </c>
      <c r="AP75" s="256">
        <v>9.1194670000000002</v>
      </c>
      <c r="AQ75" s="231">
        <v>4.8858240000000004</v>
      </c>
      <c r="AR75" s="255">
        <v>27.8</v>
      </c>
      <c r="AS75" s="231">
        <v>0</v>
      </c>
      <c r="AT75" s="231"/>
      <c r="AU75" s="231"/>
      <c r="AV75" s="231"/>
      <c r="AW75" s="231"/>
      <c r="AX75" s="231"/>
      <c r="AY75" s="231"/>
      <c r="AZ75" s="231"/>
      <c r="BA75" s="116" t="s">
        <v>132</v>
      </c>
    </row>
    <row r="76" spans="1:53">
      <c r="A76" s="69" t="str">
        <f t="shared" si="0"/>
        <v>Inicial</v>
      </c>
      <c r="B76" s="232">
        <v>42074</v>
      </c>
      <c r="C76" s="232" t="s">
        <v>130</v>
      </c>
      <c r="D76" s="231">
        <v>70</v>
      </c>
      <c r="E76" s="255">
        <v>19.354590000000002</v>
      </c>
      <c r="F76" s="255">
        <v>5.8322510000000003</v>
      </c>
      <c r="G76" s="255">
        <v>12.268421</v>
      </c>
      <c r="H76" s="255">
        <v>5.5</v>
      </c>
      <c r="I76" s="255">
        <v>2.5499999999999998</v>
      </c>
      <c r="J76" s="255">
        <v>13.15</v>
      </c>
      <c r="K76" s="255">
        <v>40.210500000000003</v>
      </c>
      <c r="L76" s="255">
        <v>0</v>
      </c>
      <c r="M76" s="255">
        <v>0</v>
      </c>
      <c r="N76" s="231">
        <v>0.15</v>
      </c>
      <c r="O76" s="231">
        <v>0.341667</v>
      </c>
      <c r="P76" s="231">
        <v>0.15</v>
      </c>
      <c r="Q76" s="255">
        <v>1.1499999999999999</v>
      </c>
      <c r="R76" s="255">
        <v>1.232942</v>
      </c>
      <c r="S76" s="231">
        <v>0</v>
      </c>
      <c r="T76" s="231">
        <v>0.77833300000000005</v>
      </c>
      <c r="U76" s="231">
        <v>1</v>
      </c>
      <c r="V76" s="231">
        <v>0.221667</v>
      </c>
      <c r="W76" s="255">
        <v>20</v>
      </c>
      <c r="X76" s="231">
        <v>13.416252999999999</v>
      </c>
      <c r="Y76" s="256">
        <v>9</v>
      </c>
      <c r="Z76" s="256">
        <v>8.9777999999999997E-2</v>
      </c>
      <c r="AA76" s="256">
        <v>9.7225000000000006E-2</v>
      </c>
      <c r="AB76" s="256">
        <v>0</v>
      </c>
      <c r="AC76" s="256">
        <v>14.534703</v>
      </c>
      <c r="AD76" s="256">
        <v>0.247225</v>
      </c>
      <c r="AE76" s="231">
        <v>0.63042299999999996</v>
      </c>
      <c r="AF76" s="231">
        <v>0.35</v>
      </c>
      <c r="AG76" s="231">
        <v>0.55000000000000004</v>
      </c>
      <c r="AH76" s="231">
        <v>49</v>
      </c>
      <c r="AI76" s="231">
        <v>26.95</v>
      </c>
      <c r="AJ76" s="231">
        <v>0</v>
      </c>
      <c r="AK76" s="231"/>
      <c r="AL76" s="231">
        <v>0</v>
      </c>
      <c r="AM76" s="256">
        <v>1</v>
      </c>
      <c r="AN76" s="256">
        <v>0.247225</v>
      </c>
      <c r="AO76" s="256">
        <v>0.63042299999999996</v>
      </c>
      <c r="AP76" s="256">
        <v>9.7498900000000006</v>
      </c>
      <c r="AQ76" s="231">
        <v>5.5162469999999999</v>
      </c>
      <c r="AR76" s="255">
        <v>27.8</v>
      </c>
      <c r="AS76" s="231">
        <v>0</v>
      </c>
      <c r="AT76" s="231"/>
      <c r="AU76" s="231"/>
      <c r="AV76" s="231"/>
      <c r="AW76" s="231"/>
      <c r="AX76" s="231"/>
      <c r="AY76" s="231"/>
      <c r="AZ76" s="231"/>
      <c r="BA76" s="116" t="s">
        <v>132</v>
      </c>
    </row>
    <row r="77" spans="1:53">
      <c r="A77" s="69" t="str">
        <f t="shared" si="0"/>
        <v>Inicial</v>
      </c>
      <c r="B77" s="232">
        <v>42075</v>
      </c>
      <c r="C77" s="232" t="s">
        <v>130</v>
      </c>
      <c r="D77" s="231">
        <v>71</v>
      </c>
      <c r="E77" s="255">
        <v>20.147729999999999</v>
      </c>
      <c r="F77" s="255">
        <v>6.4547639999999999</v>
      </c>
      <c r="G77" s="255">
        <v>13.101247000000001</v>
      </c>
      <c r="H77" s="255">
        <v>5.9</v>
      </c>
      <c r="I77" s="255">
        <v>3.55</v>
      </c>
      <c r="J77" s="255">
        <v>16.059999999999999</v>
      </c>
      <c r="K77" s="255">
        <v>32.468699999999998</v>
      </c>
      <c r="L77" s="255">
        <v>0</v>
      </c>
      <c r="M77" s="255">
        <v>0</v>
      </c>
      <c r="N77" s="231">
        <v>0.15</v>
      </c>
      <c r="O77" s="231">
        <v>0.345833</v>
      </c>
      <c r="P77" s="231">
        <v>0.15</v>
      </c>
      <c r="Q77" s="255">
        <v>1.2</v>
      </c>
      <c r="R77" s="255">
        <v>1.307809</v>
      </c>
      <c r="S77" s="231">
        <v>0</v>
      </c>
      <c r="T77" s="231">
        <v>0.78916699999999995</v>
      </c>
      <c r="U77" s="231">
        <v>1</v>
      </c>
      <c r="V77" s="231">
        <v>0.21083299999999999</v>
      </c>
      <c r="W77" s="255">
        <v>20</v>
      </c>
      <c r="X77" s="231">
        <v>14.534703</v>
      </c>
      <c r="Y77" s="256">
        <v>9</v>
      </c>
      <c r="Z77" s="256">
        <v>7.4526999999999996E-2</v>
      </c>
      <c r="AA77" s="256">
        <v>8.6288000000000004E-2</v>
      </c>
      <c r="AB77" s="256">
        <v>0</v>
      </c>
      <c r="AC77" s="256">
        <v>15.987612</v>
      </c>
      <c r="AD77" s="256">
        <v>0.236288</v>
      </c>
      <c r="AE77" s="231">
        <v>0.83882199999999996</v>
      </c>
      <c r="AF77" s="231">
        <v>0.35</v>
      </c>
      <c r="AG77" s="231">
        <v>0.55000000000000004</v>
      </c>
      <c r="AH77" s="231">
        <v>49</v>
      </c>
      <c r="AI77" s="231">
        <v>26.95</v>
      </c>
      <c r="AJ77" s="231">
        <v>0</v>
      </c>
      <c r="AK77" s="231"/>
      <c r="AL77" s="231">
        <v>0</v>
      </c>
      <c r="AM77" s="256">
        <v>1</v>
      </c>
      <c r="AN77" s="256">
        <v>0.236288</v>
      </c>
      <c r="AO77" s="256">
        <v>0.83882199999999996</v>
      </c>
      <c r="AP77" s="256">
        <v>10.588711999999999</v>
      </c>
      <c r="AQ77" s="231">
        <v>0</v>
      </c>
      <c r="AR77" s="255">
        <v>27.8</v>
      </c>
      <c r="AS77" s="231">
        <v>0</v>
      </c>
      <c r="AT77" s="231"/>
      <c r="AU77" s="231"/>
      <c r="AV77" s="231"/>
      <c r="AW77" s="231"/>
      <c r="AX77" s="231"/>
      <c r="AY77" s="231"/>
      <c r="AZ77" s="231"/>
      <c r="BA77" s="116" t="s">
        <v>132</v>
      </c>
    </row>
    <row r="78" spans="1:53">
      <c r="A78" s="69" t="str">
        <f t="shared" si="0"/>
        <v>Desarrollo</v>
      </c>
      <c r="B78" s="232">
        <v>42076</v>
      </c>
      <c r="C78" s="232" t="s">
        <v>133</v>
      </c>
      <c r="D78" s="231">
        <v>72</v>
      </c>
      <c r="E78" s="255">
        <v>19.451898</v>
      </c>
      <c r="F78" s="255">
        <v>6.0458319999999999</v>
      </c>
      <c r="G78" s="255">
        <v>13.123865</v>
      </c>
      <c r="H78" s="255">
        <v>2.5</v>
      </c>
      <c r="I78" s="255">
        <v>2.9</v>
      </c>
      <c r="J78" s="255">
        <v>12.63</v>
      </c>
      <c r="K78" s="255">
        <v>38.650449999999999</v>
      </c>
      <c r="L78" s="255">
        <v>0</v>
      </c>
      <c r="M78" s="255">
        <v>0</v>
      </c>
      <c r="N78" s="231">
        <v>0.16727300000000001</v>
      </c>
      <c r="O78" s="231">
        <v>0.35</v>
      </c>
      <c r="P78" s="231">
        <v>0.15</v>
      </c>
      <c r="Q78" s="255">
        <v>1.2</v>
      </c>
      <c r="R78" s="255">
        <v>1.22383</v>
      </c>
      <c r="S78" s="231">
        <v>0</v>
      </c>
      <c r="T78" s="231">
        <v>0.8</v>
      </c>
      <c r="U78" s="231">
        <v>1</v>
      </c>
      <c r="V78" s="231">
        <v>0.2</v>
      </c>
      <c r="W78" s="255">
        <v>20</v>
      </c>
      <c r="X78" s="231">
        <v>15.987612</v>
      </c>
      <c r="Y78" s="256">
        <v>9</v>
      </c>
      <c r="Z78" s="256">
        <v>5.4713999999999999E-2</v>
      </c>
      <c r="AA78" s="256">
        <v>5.7808999999999999E-2</v>
      </c>
      <c r="AB78" s="256">
        <v>0</v>
      </c>
      <c r="AC78" s="256">
        <v>16.825839999999999</v>
      </c>
      <c r="AD78" s="256">
        <v>0.225082</v>
      </c>
      <c r="AE78" s="231">
        <v>0.65273700000000001</v>
      </c>
      <c r="AF78" s="231">
        <v>0.35</v>
      </c>
      <c r="AG78" s="231">
        <v>0.55000000000000004</v>
      </c>
      <c r="AH78" s="231">
        <v>49</v>
      </c>
      <c r="AI78" s="231">
        <v>26.95</v>
      </c>
      <c r="AJ78" s="231">
        <v>0</v>
      </c>
      <c r="AK78" s="231"/>
      <c r="AL78" s="231">
        <v>0</v>
      </c>
      <c r="AM78" s="256">
        <v>1</v>
      </c>
      <c r="AN78" s="256">
        <v>0.225082</v>
      </c>
      <c r="AO78" s="256">
        <v>0.65273700000000001</v>
      </c>
      <c r="AP78" s="256">
        <v>11.241448</v>
      </c>
      <c r="AQ78" s="231">
        <v>0.65273700000000001</v>
      </c>
      <c r="AR78" s="255">
        <v>27.8</v>
      </c>
      <c r="AS78" s="231">
        <v>0</v>
      </c>
      <c r="AT78" s="231"/>
      <c r="AU78" s="231"/>
      <c r="AV78" s="231"/>
      <c r="AW78" s="231"/>
      <c r="AX78" s="231"/>
      <c r="AY78" s="231"/>
      <c r="AZ78" s="231"/>
      <c r="BA78" s="116" t="s">
        <v>132</v>
      </c>
    </row>
    <row r="79" spans="1:53">
      <c r="A79" s="69" t="str">
        <f t="shared" si="0"/>
        <v>Desarrollo</v>
      </c>
      <c r="B79" s="232">
        <v>42077</v>
      </c>
      <c r="C79" s="232" t="s">
        <v>133</v>
      </c>
      <c r="D79" s="231">
        <v>73</v>
      </c>
      <c r="E79" s="255">
        <v>18.586841</v>
      </c>
      <c r="F79" s="255">
        <v>6.3833010000000003</v>
      </c>
      <c r="G79" s="255">
        <v>12.785071</v>
      </c>
      <c r="H79" s="255">
        <v>3.5</v>
      </c>
      <c r="I79" s="255">
        <v>2.4500000000000002</v>
      </c>
      <c r="J79" s="255">
        <v>8.86</v>
      </c>
      <c r="K79" s="255">
        <v>41.661099999999998</v>
      </c>
      <c r="L79" s="255">
        <v>0</v>
      </c>
      <c r="M79" s="255">
        <v>0</v>
      </c>
      <c r="N79" s="231">
        <v>0.18454499999999999</v>
      </c>
      <c r="O79" s="231">
        <v>0.35648099999999999</v>
      </c>
      <c r="P79" s="231">
        <v>0.15</v>
      </c>
      <c r="Q79" s="255">
        <v>1.2</v>
      </c>
      <c r="R79" s="255">
        <v>1.238718</v>
      </c>
      <c r="S79" s="231">
        <v>0</v>
      </c>
      <c r="T79" s="231">
        <v>0.8</v>
      </c>
      <c r="U79" s="231">
        <v>1</v>
      </c>
      <c r="V79" s="231">
        <v>0.2</v>
      </c>
      <c r="W79" s="255">
        <v>20</v>
      </c>
      <c r="X79" s="231">
        <v>16.825839999999999</v>
      </c>
      <c r="Y79" s="256">
        <v>9</v>
      </c>
      <c r="Z79" s="256">
        <v>4.3284000000000003E-2</v>
      </c>
      <c r="AA79" s="256">
        <v>4.5629000000000003E-2</v>
      </c>
      <c r="AB79" s="256">
        <v>0</v>
      </c>
      <c r="AC79" s="256">
        <v>17.384792999999998</v>
      </c>
      <c r="AD79" s="256">
        <v>0.23017399999999999</v>
      </c>
      <c r="AE79" s="231">
        <v>0.56392699999999996</v>
      </c>
      <c r="AF79" s="231">
        <v>0.35</v>
      </c>
      <c r="AG79" s="231">
        <v>0.55000000000000004</v>
      </c>
      <c r="AH79" s="231">
        <v>49</v>
      </c>
      <c r="AI79" s="231">
        <v>26.95</v>
      </c>
      <c r="AJ79" s="231">
        <v>0</v>
      </c>
      <c r="AK79" s="231"/>
      <c r="AL79" s="231">
        <v>0</v>
      </c>
      <c r="AM79" s="256">
        <v>1</v>
      </c>
      <c r="AN79" s="256">
        <v>0.23017399999999999</v>
      </c>
      <c r="AO79" s="256">
        <v>0.56392699999999996</v>
      </c>
      <c r="AP79" s="256">
        <v>11.805375</v>
      </c>
      <c r="AQ79" s="231">
        <v>1.216664</v>
      </c>
      <c r="AR79" s="255">
        <v>27.8</v>
      </c>
      <c r="AS79" s="231">
        <v>0</v>
      </c>
      <c r="AT79" s="231"/>
      <c r="AU79" s="231"/>
      <c r="AV79" s="231"/>
      <c r="AW79" s="231"/>
      <c r="AX79" s="231"/>
      <c r="AY79" s="231"/>
      <c r="AZ79" s="231"/>
      <c r="BA79" s="116" t="s">
        <v>132</v>
      </c>
    </row>
    <row r="80" spans="1:53">
      <c r="A80" s="69" t="str">
        <f t="shared" si="0"/>
        <v>Desarrollo</v>
      </c>
      <c r="B80" s="232">
        <v>42078</v>
      </c>
      <c r="C80" s="232" t="s">
        <v>133</v>
      </c>
      <c r="D80" s="231">
        <v>74</v>
      </c>
      <c r="E80" s="255">
        <v>15.755542</v>
      </c>
      <c r="F80" s="255">
        <v>7.4885739999999998</v>
      </c>
      <c r="G80" s="255">
        <v>11.297058</v>
      </c>
      <c r="H80" s="255">
        <v>4.0999999999999996</v>
      </c>
      <c r="I80" s="255">
        <v>2.5499999999999998</v>
      </c>
      <c r="J80" s="255">
        <v>13.59</v>
      </c>
      <c r="K80" s="255">
        <v>46.662999999999997</v>
      </c>
      <c r="L80" s="255">
        <v>0</v>
      </c>
      <c r="M80" s="255">
        <v>0</v>
      </c>
      <c r="N80" s="231">
        <v>0.201818</v>
      </c>
      <c r="O80" s="231">
        <v>0.36296299999999998</v>
      </c>
      <c r="P80" s="231">
        <v>0.15</v>
      </c>
      <c r="Q80" s="255">
        <v>1.1000000000000001</v>
      </c>
      <c r="R80" s="255">
        <v>1.141046</v>
      </c>
      <c r="S80" s="231">
        <v>8.4</v>
      </c>
      <c r="T80" s="231">
        <v>0.8</v>
      </c>
      <c r="U80" s="231">
        <v>1</v>
      </c>
      <c r="V80" s="231">
        <v>0.2</v>
      </c>
      <c r="W80" s="255">
        <v>20</v>
      </c>
      <c r="X80" s="231">
        <v>10.244793</v>
      </c>
      <c r="Y80" s="256">
        <v>9</v>
      </c>
      <c r="Z80" s="256">
        <v>3.5661999999999999E-2</v>
      </c>
      <c r="AA80" s="256">
        <v>3.3494999999999997E-2</v>
      </c>
      <c r="AB80" s="256">
        <v>0</v>
      </c>
      <c r="AC80" s="256">
        <v>10.671849999999999</v>
      </c>
      <c r="AD80" s="256">
        <v>0.23531299999999999</v>
      </c>
      <c r="AE80" s="231">
        <v>0.60004800000000003</v>
      </c>
      <c r="AF80" s="231">
        <v>0.35</v>
      </c>
      <c r="AG80" s="231">
        <v>0.55000000000000004</v>
      </c>
      <c r="AH80" s="231">
        <v>49</v>
      </c>
      <c r="AI80" s="231">
        <v>26.95</v>
      </c>
      <c r="AJ80" s="231">
        <v>7.14</v>
      </c>
      <c r="AK80" s="231">
        <v>8.4</v>
      </c>
      <c r="AL80" s="231">
        <v>0</v>
      </c>
      <c r="AM80" s="256">
        <v>1</v>
      </c>
      <c r="AN80" s="256">
        <v>0.23531299999999999</v>
      </c>
      <c r="AO80" s="256">
        <v>0.60004800000000003</v>
      </c>
      <c r="AP80" s="256">
        <v>5.2654230000000002</v>
      </c>
      <c r="AQ80" s="231">
        <v>1.816711</v>
      </c>
      <c r="AR80" s="255">
        <v>36.200000000000003</v>
      </c>
      <c r="AS80" s="231">
        <v>0</v>
      </c>
      <c r="AT80" s="231"/>
      <c r="AU80" s="231"/>
      <c r="AV80" s="231"/>
      <c r="AW80" s="231"/>
      <c r="AX80" s="231"/>
      <c r="AY80" s="231"/>
      <c r="AZ80" s="231"/>
      <c r="BA80" s="116" t="s">
        <v>132</v>
      </c>
    </row>
    <row r="81" spans="1:53">
      <c r="A81" s="69" t="str">
        <f t="shared" si="0"/>
        <v>Desarrollo</v>
      </c>
      <c r="B81" s="232">
        <v>42079</v>
      </c>
      <c r="C81" s="232" t="s">
        <v>133</v>
      </c>
      <c r="D81" s="231">
        <v>75</v>
      </c>
      <c r="E81" s="255">
        <v>11.087268999999999</v>
      </c>
      <c r="F81" s="255">
        <v>2.8289270000000002</v>
      </c>
      <c r="G81" s="255">
        <v>6.5830979999999997</v>
      </c>
      <c r="H81" s="255">
        <v>3.3</v>
      </c>
      <c r="I81" s="255">
        <v>1.8</v>
      </c>
      <c r="J81" s="255">
        <v>14.05</v>
      </c>
      <c r="K81" s="255">
        <v>60.457999999999998</v>
      </c>
      <c r="L81" s="255">
        <v>0</v>
      </c>
      <c r="M81" s="255">
        <v>0</v>
      </c>
      <c r="N81" s="231">
        <v>0.21909100000000001</v>
      </c>
      <c r="O81" s="231">
        <v>0.36944399999999999</v>
      </c>
      <c r="P81" s="231">
        <v>0.15</v>
      </c>
      <c r="Q81" s="255">
        <v>1.1000000000000001</v>
      </c>
      <c r="R81" s="255">
        <v>1.0947549999999999</v>
      </c>
      <c r="S81" s="231">
        <v>0</v>
      </c>
      <c r="T81" s="231">
        <v>0.8</v>
      </c>
      <c r="U81" s="231">
        <v>1</v>
      </c>
      <c r="V81" s="231">
        <v>0.2</v>
      </c>
      <c r="W81" s="255">
        <v>20</v>
      </c>
      <c r="X81" s="231">
        <v>10.671849999999999</v>
      </c>
      <c r="Y81" s="256">
        <v>9</v>
      </c>
      <c r="Z81" s="256">
        <v>0.12720200000000001</v>
      </c>
      <c r="AA81" s="256">
        <v>0.111386</v>
      </c>
      <c r="AB81" s="256">
        <v>0</v>
      </c>
      <c r="AC81" s="256">
        <v>11.674326000000001</v>
      </c>
      <c r="AD81" s="256">
        <v>0.33047700000000002</v>
      </c>
      <c r="AE81" s="231">
        <v>0.59485900000000003</v>
      </c>
      <c r="AF81" s="231">
        <v>0.35</v>
      </c>
      <c r="AG81" s="231">
        <v>0.55000000000000004</v>
      </c>
      <c r="AH81" s="231">
        <v>49</v>
      </c>
      <c r="AI81" s="231">
        <v>26.95</v>
      </c>
      <c r="AJ81" s="231">
        <v>0</v>
      </c>
      <c r="AK81" s="231"/>
      <c r="AL81" s="231">
        <v>0</v>
      </c>
      <c r="AM81" s="256">
        <v>1</v>
      </c>
      <c r="AN81" s="256">
        <v>0.33047700000000002</v>
      </c>
      <c r="AO81" s="256">
        <v>0.59485900000000003</v>
      </c>
      <c r="AP81" s="256">
        <v>5.8602819999999998</v>
      </c>
      <c r="AQ81" s="231">
        <v>2.4115700000000002</v>
      </c>
      <c r="AR81" s="255">
        <v>36.200000000000003</v>
      </c>
      <c r="AS81" s="231">
        <v>0</v>
      </c>
      <c r="AT81" s="231"/>
      <c r="AU81" s="231"/>
      <c r="AV81" s="231"/>
      <c r="AW81" s="231"/>
      <c r="AX81" s="231"/>
      <c r="AY81" s="231"/>
      <c r="AZ81" s="231"/>
      <c r="BA81" s="116" t="s">
        <v>132</v>
      </c>
    </row>
    <row r="82" spans="1:53">
      <c r="A82" s="69" t="str">
        <f t="shared" si="0"/>
        <v>Desarrollo</v>
      </c>
      <c r="B82" s="232">
        <v>42080</v>
      </c>
      <c r="C82" s="232" t="s">
        <v>133</v>
      </c>
      <c r="D82" s="231">
        <v>76</v>
      </c>
      <c r="E82" s="255">
        <v>11.557086</v>
      </c>
      <c r="F82" s="255">
        <v>2.5935950000000001</v>
      </c>
      <c r="G82" s="255">
        <v>6.5753399999999997</v>
      </c>
      <c r="H82" s="255">
        <v>5.2</v>
      </c>
      <c r="I82" s="255">
        <v>1.65</v>
      </c>
      <c r="J82" s="255">
        <v>10.48</v>
      </c>
      <c r="K82" s="255">
        <v>66.494349999999997</v>
      </c>
      <c r="L82" s="255">
        <v>0</v>
      </c>
      <c r="M82" s="255">
        <v>0</v>
      </c>
      <c r="N82" s="231">
        <v>0.23636399999999999</v>
      </c>
      <c r="O82" s="231">
        <v>0.37592599999999998</v>
      </c>
      <c r="P82" s="231">
        <v>0.15</v>
      </c>
      <c r="Q82" s="255">
        <v>1.1499999999999999</v>
      </c>
      <c r="R82" s="255">
        <v>1.172536</v>
      </c>
      <c r="S82" s="231">
        <v>0</v>
      </c>
      <c r="T82" s="231">
        <v>0.8</v>
      </c>
      <c r="U82" s="231">
        <v>1</v>
      </c>
      <c r="V82" s="231">
        <v>0.2</v>
      </c>
      <c r="W82" s="255">
        <v>20</v>
      </c>
      <c r="X82" s="231">
        <v>11.674326000000001</v>
      </c>
      <c r="Y82" s="256">
        <v>9</v>
      </c>
      <c r="Z82" s="256">
        <v>0.11353199999999999</v>
      </c>
      <c r="AA82" s="256">
        <v>0.106285</v>
      </c>
      <c r="AB82" s="256">
        <v>0</v>
      </c>
      <c r="AC82" s="256">
        <v>12.551181</v>
      </c>
      <c r="AD82" s="256">
        <v>0.34264899999999998</v>
      </c>
      <c r="AE82" s="231">
        <v>0.56537099999999996</v>
      </c>
      <c r="AF82" s="231">
        <v>0.35</v>
      </c>
      <c r="AG82" s="231">
        <v>0.55000000000000004</v>
      </c>
      <c r="AH82" s="231">
        <v>49</v>
      </c>
      <c r="AI82" s="231">
        <v>26.95</v>
      </c>
      <c r="AJ82" s="231">
        <v>0</v>
      </c>
      <c r="AK82" s="231"/>
      <c r="AL82" s="231">
        <v>0</v>
      </c>
      <c r="AM82" s="256">
        <v>1</v>
      </c>
      <c r="AN82" s="256">
        <v>0.34264899999999998</v>
      </c>
      <c r="AO82" s="256">
        <v>0.56537099999999996</v>
      </c>
      <c r="AP82" s="256">
        <v>6.4256529999999996</v>
      </c>
      <c r="AQ82" s="231">
        <v>2.9769410000000001</v>
      </c>
      <c r="AR82" s="255">
        <v>36.200000000000003</v>
      </c>
      <c r="AS82" s="231">
        <v>0</v>
      </c>
      <c r="AT82" s="231"/>
      <c r="AU82" s="231"/>
      <c r="AV82" s="231"/>
      <c r="AW82" s="231"/>
      <c r="AX82" s="231"/>
      <c r="AY82" s="231"/>
      <c r="AZ82" s="231"/>
      <c r="BA82" s="116" t="s">
        <v>132</v>
      </c>
    </row>
    <row r="83" spans="1:53">
      <c r="A83" s="69" t="str">
        <f t="shared" ref="A83:A146" si="1">C83</f>
        <v>Desarrollo</v>
      </c>
      <c r="B83" s="232">
        <v>42081</v>
      </c>
      <c r="C83" s="232" t="s">
        <v>133</v>
      </c>
      <c r="D83" s="231">
        <v>77</v>
      </c>
      <c r="E83" s="255">
        <v>13.092261000000001</v>
      </c>
      <c r="F83" s="255">
        <v>4.1584479999999999</v>
      </c>
      <c r="G83" s="255">
        <v>8.3503539999999994</v>
      </c>
      <c r="H83" s="255">
        <v>3.5</v>
      </c>
      <c r="I83" s="255">
        <v>2</v>
      </c>
      <c r="J83" s="255">
        <v>15.98</v>
      </c>
      <c r="K83" s="255">
        <v>48.581800000000001</v>
      </c>
      <c r="L83" s="255">
        <v>0</v>
      </c>
      <c r="M83" s="255">
        <v>0</v>
      </c>
      <c r="N83" s="231">
        <v>0.25363599999999997</v>
      </c>
      <c r="O83" s="231">
        <v>0.382407</v>
      </c>
      <c r="P83" s="231">
        <v>0.15</v>
      </c>
      <c r="Q83" s="255">
        <v>1.1499999999999999</v>
      </c>
      <c r="R83" s="255">
        <v>1.1746190000000001</v>
      </c>
      <c r="S83" s="231">
        <v>0</v>
      </c>
      <c r="T83" s="231">
        <v>0.8</v>
      </c>
      <c r="U83" s="231">
        <v>1</v>
      </c>
      <c r="V83" s="231">
        <v>0.2</v>
      </c>
      <c r="W83" s="255">
        <v>20</v>
      </c>
      <c r="X83" s="231">
        <v>12.551181</v>
      </c>
      <c r="Y83" s="256">
        <v>9</v>
      </c>
      <c r="Z83" s="256">
        <v>0.101575</v>
      </c>
      <c r="AA83" s="256">
        <v>9.3548999999999993E-2</v>
      </c>
      <c r="AB83" s="256">
        <v>0</v>
      </c>
      <c r="AC83" s="256">
        <v>13.486668</v>
      </c>
      <c r="AD83" s="256">
        <v>0.34718500000000002</v>
      </c>
      <c r="AE83" s="231">
        <v>0.69437000000000004</v>
      </c>
      <c r="AF83" s="231">
        <v>0.35</v>
      </c>
      <c r="AG83" s="231">
        <v>0.55000000000000004</v>
      </c>
      <c r="AH83" s="231">
        <v>49</v>
      </c>
      <c r="AI83" s="231">
        <v>26.95</v>
      </c>
      <c r="AJ83" s="231">
        <v>0</v>
      </c>
      <c r="AK83" s="231"/>
      <c r="AL83" s="231">
        <v>0</v>
      </c>
      <c r="AM83" s="256">
        <v>1</v>
      </c>
      <c r="AN83" s="256">
        <v>0.34718500000000002</v>
      </c>
      <c r="AO83" s="256">
        <v>0.69437000000000004</v>
      </c>
      <c r="AP83" s="256">
        <v>7.1200229999999998</v>
      </c>
      <c r="AQ83" s="231">
        <v>3.6713110000000002</v>
      </c>
      <c r="AR83" s="255">
        <v>36.200000000000003</v>
      </c>
      <c r="AS83" s="231">
        <v>0</v>
      </c>
      <c r="AT83" s="231"/>
      <c r="AU83" s="231"/>
      <c r="AV83" s="231"/>
      <c r="AW83" s="231"/>
      <c r="AX83" s="231"/>
      <c r="AY83" s="231"/>
      <c r="AZ83" s="231"/>
      <c r="BA83" s="116" t="s">
        <v>132</v>
      </c>
    </row>
    <row r="84" spans="1:53">
      <c r="A84" s="69" t="str">
        <f t="shared" si="1"/>
        <v>Desarrollo</v>
      </c>
      <c r="B84" s="232">
        <v>42082</v>
      </c>
      <c r="C84" s="232" t="s">
        <v>133</v>
      </c>
      <c r="D84" s="231">
        <v>78</v>
      </c>
      <c r="E84" s="255">
        <v>13.586551</v>
      </c>
      <c r="F84" s="255">
        <v>2.7110650000000001</v>
      </c>
      <c r="G84" s="255">
        <v>8.1738079999999993</v>
      </c>
      <c r="H84" s="255">
        <v>5.2</v>
      </c>
      <c r="I84" s="255">
        <v>2</v>
      </c>
      <c r="J84" s="255">
        <v>15.54</v>
      </c>
      <c r="K84" s="255">
        <v>57.095750000000002</v>
      </c>
      <c r="L84" s="255">
        <v>0</v>
      </c>
      <c r="M84" s="255">
        <v>0</v>
      </c>
      <c r="N84" s="231">
        <v>0.27090900000000001</v>
      </c>
      <c r="O84" s="231">
        <v>0.38888899999999998</v>
      </c>
      <c r="P84" s="231">
        <v>0.15</v>
      </c>
      <c r="Q84" s="255">
        <v>1.2</v>
      </c>
      <c r="R84" s="255">
        <v>1.243134</v>
      </c>
      <c r="S84" s="231">
        <v>0</v>
      </c>
      <c r="T84" s="231">
        <v>0.8</v>
      </c>
      <c r="U84" s="231">
        <v>1</v>
      </c>
      <c r="V84" s="231">
        <v>0.2</v>
      </c>
      <c r="W84" s="255">
        <v>20</v>
      </c>
      <c r="X84" s="231">
        <v>13.486668</v>
      </c>
      <c r="Y84" s="256">
        <v>9</v>
      </c>
      <c r="Z84" s="256">
        <v>8.8817999999999994E-2</v>
      </c>
      <c r="AA84" s="256">
        <v>8.6350999999999997E-2</v>
      </c>
      <c r="AB84" s="256">
        <v>0</v>
      </c>
      <c r="AC84" s="256">
        <v>14.35018</v>
      </c>
      <c r="AD84" s="256">
        <v>0.35726000000000002</v>
      </c>
      <c r="AE84" s="231">
        <v>0.71452099999999996</v>
      </c>
      <c r="AF84" s="231">
        <v>0.35</v>
      </c>
      <c r="AG84" s="231">
        <v>0.55000000000000004</v>
      </c>
      <c r="AH84" s="231">
        <v>49</v>
      </c>
      <c r="AI84" s="231">
        <v>26.95</v>
      </c>
      <c r="AJ84" s="231">
        <v>0</v>
      </c>
      <c r="AK84" s="231"/>
      <c r="AL84" s="231">
        <v>0</v>
      </c>
      <c r="AM84" s="256">
        <v>1</v>
      </c>
      <c r="AN84" s="256">
        <v>0.35726000000000002</v>
      </c>
      <c r="AO84" s="256">
        <v>0.71452099999999996</v>
      </c>
      <c r="AP84" s="256">
        <v>7.834543</v>
      </c>
      <c r="AQ84" s="231">
        <v>4.3858319999999997</v>
      </c>
      <c r="AR84" s="255">
        <v>36.200000000000003</v>
      </c>
      <c r="AS84" s="231">
        <v>0</v>
      </c>
      <c r="AT84" s="231"/>
      <c r="AU84" s="231"/>
      <c r="AV84" s="231"/>
      <c r="AW84" s="231"/>
      <c r="AX84" s="231"/>
      <c r="AY84" s="231"/>
      <c r="AZ84" s="231"/>
      <c r="BA84" s="116" t="s">
        <v>132</v>
      </c>
    </row>
    <row r="85" spans="1:53">
      <c r="A85" s="69" t="str">
        <f t="shared" si="1"/>
        <v>Desarrollo</v>
      </c>
      <c r="B85" s="232">
        <v>42083</v>
      </c>
      <c r="C85" s="232" t="s">
        <v>133</v>
      </c>
      <c r="D85" s="231">
        <v>79</v>
      </c>
      <c r="E85" s="255">
        <v>11.980313000000001</v>
      </c>
      <c r="F85" s="255">
        <v>2.245749</v>
      </c>
      <c r="G85" s="255">
        <v>7.2380310000000003</v>
      </c>
      <c r="H85" s="255">
        <v>4.4000000000000004</v>
      </c>
      <c r="I85" s="255">
        <v>2.1</v>
      </c>
      <c r="J85" s="255">
        <v>14</v>
      </c>
      <c r="K85" s="255">
        <v>49.223700000000001</v>
      </c>
      <c r="L85" s="255">
        <v>0</v>
      </c>
      <c r="M85" s="255">
        <v>0</v>
      </c>
      <c r="N85" s="231">
        <v>0.28818199999999999</v>
      </c>
      <c r="O85" s="231">
        <v>0.39537</v>
      </c>
      <c r="P85" s="231">
        <v>0.15</v>
      </c>
      <c r="Q85" s="255">
        <v>1.2</v>
      </c>
      <c r="R85" s="255">
        <v>1.2430699999999999</v>
      </c>
      <c r="S85" s="231">
        <v>0</v>
      </c>
      <c r="T85" s="231">
        <v>0.8</v>
      </c>
      <c r="U85" s="231">
        <v>1</v>
      </c>
      <c r="V85" s="231">
        <v>0.2</v>
      </c>
      <c r="W85" s="255">
        <v>20</v>
      </c>
      <c r="X85" s="231">
        <v>14.35018</v>
      </c>
      <c r="Y85" s="256">
        <v>9</v>
      </c>
      <c r="Z85" s="256">
        <v>7.7043E-2</v>
      </c>
      <c r="AA85" s="256">
        <v>7.3566999999999994E-2</v>
      </c>
      <c r="AB85" s="256">
        <v>0</v>
      </c>
      <c r="AC85" s="256">
        <v>15.122638</v>
      </c>
      <c r="AD85" s="256">
        <v>0.36174899999999999</v>
      </c>
      <c r="AE85" s="231">
        <v>0.75967300000000004</v>
      </c>
      <c r="AF85" s="231">
        <v>0.35</v>
      </c>
      <c r="AG85" s="231">
        <v>0.55000000000000004</v>
      </c>
      <c r="AH85" s="231">
        <v>49</v>
      </c>
      <c r="AI85" s="231">
        <v>26.95</v>
      </c>
      <c r="AJ85" s="231">
        <v>0</v>
      </c>
      <c r="AK85" s="231"/>
      <c r="AL85" s="231">
        <v>0</v>
      </c>
      <c r="AM85" s="256">
        <v>1</v>
      </c>
      <c r="AN85" s="256">
        <v>0.36174899999999999</v>
      </c>
      <c r="AO85" s="256">
        <v>0.75967300000000004</v>
      </c>
      <c r="AP85" s="256">
        <v>8.5942170000000004</v>
      </c>
      <c r="AQ85" s="231">
        <v>5.145505</v>
      </c>
      <c r="AR85" s="255">
        <v>36.200000000000003</v>
      </c>
      <c r="AS85" s="231">
        <v>0</v>
      </c>
      <c r="AT85" s="231"/>
      <c r="AU85" s="231"/>
      <c r="AV85" s="231"/>
      <c r="AW85" s="231"/>
      <c r="AX85" s="231"/>
      <c r="AY85" s="231"/>
      <c r="AZ85" s="231"/>
      <c r="BA85" s="116" t="s">
        <v>132</v>
      </c>
    </row>
    <row r="86" spans="1:53">
      <c r="A86" s="69" t="str">
        <f t="shared" si="1"/>
        <v>Desarrollo</v>
      </c>
      <c r="B86" s="232">
        <v>42084</v>
      </c>
      <c r="C86" s="232" t="s">
        <v>133</v>
      </c>
      <c r="D86" s="231">
        <v>80</v>
      </c>
      <c r="E86" s="255">
        <v>12.295557000000001</v>
      </c>
      <c r="F86" s="255">
        <v>0.35156300000000001</v>
      </c>
      <c r="G86" s="255">
        <v>5.8235599999999996</v>
      </c>
      <c r="H86" s="255">
        <v>3.5</v>
      </c>
      <c r="I86" s="255">
        <v>3.4</v>
      </c>
      <c r="J86" s="255">
        <v>22.05</v>
      </c>
      <c r="K86" s="255">
        <v>44.872750000000003</v>
      </c>
      <c r="L86" s="255">
        <v>0</v>
      </c>
      <c r="M86" s="255">
        <v>0</v>
      </c>
      <c r="N86" s="231">
        <v>0.30545499999999998</v>
      </c>
      <c r="O86" s="231">
        <v>0.40185199999999999</v>
      </c>
      <c r="P86" s="231">
        <v>0.15</v>
      </c>
      <c r="Q86" s="255">
        <v>1.2</v>
      </c>
      <c r="R86" s="255">
        <v>1.233106</v>
      </c>
      <c r="S86" s="231">
        <v>0</v>
      </c>
      <c r="T86" s="231">
        <v>0.8</v>
      </c>
      <c r="U86" s="231">
        <v>1</v>
      </c>
      <c r="V86" s="231">
        <v>0.2</v>
      </c>
      <c r="W86" s="255">
        <v>20</v>
      </c>
      <c r="X86" s="231">
        <v>15.122638</v>
      </c>
      <c r="Y86" s="256">
        <v>9</v>
      </c>
      <c r="Z86" s="256">
        <v>6.6508999999999999E-2</v>
      </c>
      <c r="AA86" s="256">
        <v>6.1698000000000003E-2</v>
      </c>
      <c r="AB86" s="256">
        <v>0</v>
      </c>
      <c r="AC86" s="256">
        <v>16.171496999999999</v>
      </c>
      <c r="AD86" s="256">
        <v>0.36715199999999998</v>
      </c>
      <c r="AE86" s="231">
        <v>1.2483169999999999</v>
      </c>
      <c r="AF86" s="231">
        <v>0.35</v>
      </c>
      <c r="AG86" s="231">
        <v>0.55000000000000004</v>
      </c>
      <c r="AH86" s="231">
        <v>49</v>
      </c>
      <c r="AI86" s="231">
        <v>26.95</v>
      </c>
      <c r="AJ86" s="231">
        <v>0</v>
      </c>
      <c r="AK86" s="231"/>
      <c r="AL86" s="231">
        <v>0</v>
      </c>
      <c r="AM86" s="256">
        <v>1</v>
      </c>
      <c r="AN86" s="256">
        <v>0.36715199999999998</v>
      </c>
      <c r="AO86" s="256">
        <v>1.2483169999999999</v>
      </c>
      <c r="AP86" s="256">
        <v>9.8425340000000006</v>
      </c>
      <c r="AQ86" s="231">
        <v>6.3938230000000003</v>
      </c>
      <c r="AR86" s="255">
        <v>36.200000000000003</v>
      </c>
      <c r="AS86" s="231">
        <v>0</v>
      </c>
      <c r="AT86" s="231"/>
      <c r="AU86" s="231"/>
      <c r="AV86" s="231"/>
      <c r="AW86" s="231"/>
      <c r="AX86" s="231"/>
      <c r="AY86" s="231"/>
      <c r="AZ86" s="231"/>
      <c r="BA86" s="116" t="s">
        <v>132</v>
      </c>
    </row>
    <row r="87" spans="1:53">
      <c r="A87" s="69" t="str">
        <f t="shared" si="1"/>
        <v>Desarrollo</v>
      </c>
      <c r="B87" s="232">
        <v>42085</v>
      </c>
      <c r="C87" s="232" t="s">
        <v>133</v>
      </c>
      <c r="D87" s="231">
        <v>81</v>
      </c>
      <c r="E87" s="255">
        <v>12.18125</v>
      </c>
      <c r="F87" s="255">
        <v>-1.2034910000000001</v>
      </c>
      <c r="G87" s="255">
        <v>5.36388</v>
      </c>
      <c r="H87" s="255">
        <v>3.3</v>
      </c>
      <c r="I87" s="255">
        <v>3.1</v>
      </c>
      <c r="J87" s="255">
        <v>23.27</v>
      </c>
      <c r="K87" s="255">
        <v>34.629649999999998</v>
      </c>
      <c r="L87" s="255">
        <v>0</v>
      </c>
      <c r="M87" s="255">
        <v>0</v>
      </c>
      <c r="N87" s="231">
        <v>0.32272699999999999</v>
      </c>
      <c r="O87" s="231">
        <v>0.408333</v>
      </c>
      <c r="P87" s="231">
        <v>0.15</v>
      </c>
      <c r="Q87" s="255">
        <v>1.2</v>
      </c>
      <c r="R87" s="255">
        <v>1.2513920000000001</v>
      </c>
      <c r="S87" s="231">
        <v>0</v>
      </c>
      <c r="T87" s="231">
        <v>0.8</v>
      </c>
      <c r="U87" s="231">
        <v>1</v>
      </c>
      <c r="V87" s="231">
        <v>0.2</v>
      </c>
      <c r="W87" s="255">
        <v>20</v>
      </c>
      <c r="X87" s="231">
        <v>16.171496999999999</v>
      </c>
      <c r="Y87" s="256">
        <v>9</v>
      </c>
      <c r="Z87" s="256">
        <v>5.2207000000000003E-2</v>
      </c>
      <c r="AA87" s="256">
        <v>4.8482999999999998E-2</v>
      </c>
      <c r="AB87" s="256">
        <v>0</v>
      </c>
      <c r="AC87" s="256">
        <v>16.922978000000001</v>
      </c>
      <c r="AD87" s="256">
        <v>0.37120999999999998</v>
      </c>
      <c r="AE87" s="231">
        <v>1.1507510000000001</v>
      </c>
      <c r="AF87" s="231">
        <v>0.35</v>
      </c>
      <c r="AG87" s="231">
        <v>0.55000000000000004</v>
      </c>
      <c r="AH87" s="231">
        <v>49</v>
      </c>
      <c r="AI87" s="231">
        <v>26.95</v>
      </c>
      <c r="AJ87" s="231">
        <v>0</v>
      </c>
      <c r="AK87" s="231"/>
      <c r="AL87" s="231">
        <v>0</v>
      </c>
      <c r="AM87" s="256">
        <v>1</v>
      </c>
      <c r="AN87" s="256">
        <v>0.37120999999999998</v>
      </c>
      <c r="AO87" s="256">
        <v>1.1507510000000001</v>
      </c>
      <c r="AP87" s="256">
        <v>10.993285</v>
      </c>
      <c r="AQ87" s="231">
        <v>0</v>
      </c>
      <c r="AR87" s="255">
        <v>36.200000000000003</v>
      </c>
      <c r="AS87" s="231">
        <v>0</v>
      </c>
      <c r="AT87" s="231"/>
      <c r="AU87" s="231"/>
      <c r="AV87" s="231"/>
      <c r="AW87" s="231"/>
      <c r="AX87" s="231"/>
      <c r="AY87" s="231"/>
      <c r="AZ87" s="231"/>
      <c r="BA87" s="116" t="s">
        <v>132</v>
      </c>
    </row>
    <row r="88" spans="1:53">
      <c r="A88" s="69" t="str">
        <f t="shared" si="1"/>
        <v>Desarrollo</v>
      </c>
      <c r="B88" s="232">
        <v>42086</v>
      </c>
      <c r="C88" s="232" t="s">
        <v>133</v>
      </c>
      <c r="D88" s="231">
        <v>82</v>
      </c>
      <c r="E88" s="255">
        <v>13.529104999999999</v>
      </c>
      <c r="F88" s="255">
        <v>3.650363</v>
      </c>
      <c r="G88" s="255">
        <v>8.5647339999999996</v>
      </c>
      <c r="H88" s="255">
        <v>4.8</v>
      </c>
      <c r="I88" s="255">
        <v>2.5499999999999998</v>
      </c>
      <c r="J88" s="255">
        <v>17.2</v>
      </c>
      <c r="K88" s="255">
        <v>53.365699999999997</v>
      </c>
      <c r="L88" s="255">
        <v>0</v>
      </c>
      <c r="M88" s="255">
        <v>0</v>
      </c>
      <c r="N88" s="231">
        <v>0.34</v>
      </c>
      <c r="O88" s="231">
        <v>0.41481499999999999</v>
      </c>
      <c r="P88" s="231">
        <v>0.15</v>
      </c>
      <c r="Q88" s="255">
        <v>1.2</v>
      </c>
      <c r="R88" s="255">
        <v>1.2433810000000001</v>
      </c>
      <c r="S88" s="231">
        <v>0</v>
      </c>
      <c r="T88" s="231">
        <v>0.8</v>
      </c>
      <c r="U88" s="231">
        <v>1</v>
      </c>
      <c r="V88" s="231">
        <v>0.2</v>
      </c>
      <c r="W88" s="255">
        <v>20</v>
      </c>
      <c r="X88" s="231">
        <v>16.922978000000001</v>
      </c>
      <c r="Y88" s="256">
        <v>9</v>
      </c>
      <c r="Z88" s="256">
        <v>4.1959000000000003E-2</v>
      </c>
      <c r="AA88" s="256">
        <v>3.7905000000000001E-2</v>
      </c>
      <c r="AB88" s="256">
        <v>0</v>
      </c>
      <c r="AC88" s="256">
        <v>17.406271</v>
      </c>
      <c r="AD88" s="256">
        <v>0.37790499999999999</v>
      </c>
      <c r="AE88" s="231">
        <v>0.96365900000000004</v>
      </c>
      <c r="AF88" s="231">
        <v>0.35</v>
      </c>
      <c r="AG88" s="231">
        <v>0.55000000000000004</v>
      </c>
      <c r="AH88" s="231">
        <v>49</v>
      </c>
      <c r="AI88" s="231">
        <v>26.95</v>
      </c>
      <c r="AJ88" s="231">
        <v>0</v>
      </c>
      <c r="AK88" s="231"/>
      <c r="AL88" s="231">
        <v>0</v>
      </c>
      <c r="AM88" s="256">
        <v>1</v>
      </c>
      <c r="AN88" s="256">
        <v>0.37790499999999999</v>
      </c>
      <c r="AO88" s="256">
        <v>0.96365900000000004</v>
      </c>
      <c r="AP88" s="256">
        <v>11.956943000000001</v>
      </c>
      <c r="AQ88" s="231">
        <v>0.96365900000000004</v>
      </c>
      <c r="AR88" s="255">
        <v>36.200000000000003</v>
      </c>
      <c r="AS88" s="231">
        <v>0</v>
      </c>
      <c r="AT88" s="231"/>
      <c r="AU88" s="231"/>
      <c r="AV88" s="231"/>
      <c r="AW88" s="231"/>
      <c r="AX88" s="231"/>
      <c r="AY88" s="231"/>
      <c r="AZ88" s="231"/>
      <c r="BA88" s="116" t="s">
        <v>132</v>
      </c>
    </row>
    <row r="89" spans="1:53">
      <c r="A89" s="69" t="str">
        <f t="shared" si="1"/>
        <v>Desarrollo</v>
      </c>
      <c r="B89" s="232">
        <v>42087</v>
      </c>
      <c r="C89" s="232" t="s">
        <v>133</v>
      </c>
      <c r="D89" s="231">
        <v>83</v>
      </c>
      <c r="E89" s="255">
        <v>9.9066089999999996</v>
      </c>
      <c r="F89" s="255">
        <v>2.5202819999999999</v>
      </c>
      <c r="G89" s="255">
        <v>6.7384459999999997</v>
      </c>
      <c r="H89" s="255">
        <v>7.3</v>
      </c>
      <c r="I89" s="255">
        <v>1.8</v>
      </c>
      <c r="J89" s="255">
        <v>15.16</v>
      </c>
      <c r="K89" s="255">
        <v>64.527050000000003</v>
      </c>
      <c r="L89" s="255">
        <v>0</v>
      </c>
      <c r="M89" s="255">
        <v>0</v>
      </c>
      <c r="N89" s="231">
        <v>0.35727300000000001</v>
      </c>
      <c r="O89" s="231">
        <v>0.421296</v>
      </c>
      <c r="P89" s="231">
        <v>0.15</v>
      </c>
      <c r="Q89" s="255">
        <v>1.2</v>
      </c>
      <c r="R89" s="255">
        <v>1.2743009999999999</v>
      </c>
      <c r="S89" s="231">
        <v>0</v>
      </c>
      <c r="T89" s="231">
        <v>0.8</v>
      </c>
      <c r="U89" s="231">
        <v>1</v>
      </c>
      <c r="V89" s="231">
        <v>0.2</v>
      </c>
      <c r="W89" s="255">
        <v>20</v>
      </c>
      <c r="X89" s="231">
        <v>17.406271</v>
      </c>
      <c r="Y89" s="256">
        <v>9</v>
      </c>
      <c r="Z89" s="256">
        <v>3.5368999999999998E-2</v>
      </c>
      <c r="AA89" s="256">
        <v>3.2433999999999998E-2</v>
      </c>
      <c r="AB89" s="256">
        <v>0</v>
      </c>
      <c r="AC89" s="256">
        <v>17.698180000000001</v>
      </c>
      <c r="AD89" s="256">
        <v>0.38970700000000003</v>
      </c>
      <c r="AE89" s="231">
        <v>0.70147300000000001</v>
      </c>
      <c r="AF89" s="231">
        <v>0.35</v>
      </c>
      <c r="AG89" s="231">
        <v>0.55000000000000004</v>
      </c>
      <c r="AH89" s="231">
        <v>49</v>
      </c>
      <c r="AI89" s="231">
        <v>26.95</v>
      </c>
      <c r="AJ89" s="231">
        <v>0</v>
      </c>
      <c r="AK89" s="231"/>
      <c r="AL89" s="231">
        <v>0</v>
      </c>
      <c r="AM89" s="256">
        <v>1</v>
      </c>
      <c r="AN89" s="256">
        <v>0.38970700000000003</v>
      </c>
      <c r="AO89" s="256">
        <v>0.70147300000000001</v>
      </c>
      <c r="AP89" s="256">
        <v>12.658416000000001</v>
      </c>
      <c r="AQ89" s="231">
        <v>1.6651309999999999</v>
      </c>
      <c r="AR89" s="255">
        <v>36.200000000000003</v>
      </c>
      <c r="AS89" s="231">
        <v>0</v>
      </c>
      <c r="AT89" s="231"/>
      <c r="AU89" s="231"/>
      <c r="AV89" s="231"/>
      <c r="AW89" s="231"/>
      <c r="AX89" s="231"/>
      <c r="AY89" s="231"/>
      <c r="AZ89" s="231"/>
      <c r="BA89" s="116" t="s">
        <v>132</v>
      </c>
    </row>
    <row r="90" spans="1:53">
      <c r="A90" s="69" t="str">
        <f t="shared" si="1"/>
        <v>Desarrollo</v>
      </c>
      <c r="B90" s="232">
        <v>42088</v>
      </c>
      <c r="C90" s="232" t="s">
        <v>133</v>
      </c>
      <c r="D90" s="231">
        <v>84</v>
      </c>
      <c r="E90" s="255">
        <v>10.614746</v>
      </c>
      <c r="F90" s="255">
        <v>3.1918700000000002</v>
      </c>
      <c r="G90" s="255">
        <v>6.6283079999999996</v>
      </c>
      <c r="H90" s="255">
        <v>3.7</v>
      </c>
      <c r="I90" s="255">
        <v>2.2000000000000002</v>
      </c>
      <c r="J90" s="255">
        <v>16.21</v>
      </c>
      <c r="K90" s="255">
        <v>44.795000000000002</v>
      </c>
      <c r="L90" s="255">
        <v>0</v>
      </c>
      <c r="M90" s="255">
        <v>0</v>
      </c>
      <c r="N90" s="231">
        <v>0.37454500000000002</v>
      </c>
      <c r="O90" s="231">
        <v>0.42777799999999999</v>
      </c>
      <c r="P90" s="231">
        <v>0.15</v>
      </c>
      <c r="Q90" s="255">
        <v>1.2</v>
      </c>
      <c r="R90" s="255">
        <v>1.2383660000000001</v>
      </c>
      <c r="S90" s="231">
        <v>0</v>
      </c>
      <c r="T90" s="231">
        <v>0.8</v>
      </c>
      <c r="U90" s="231">
        <v>1</v>
      </c>
      <c r="V90" s="231">
        <v>0.2</v>
      </c>
      <c r="W90" s="255">
        <v>20</v>
      </c>
      <c r="X90" s="231">
        <v>17.698180000000001</v>
      </c>
      <c r="Y90" s="256">
        <v>9</v>
      </c>
      <c r="Z90" s="256">
        <v>3.1387999999999999E-2</v>
      </c>
      <c r="AA90" s="256">
        <v>2.7113999999999999E-2</v>
      </c>
      <c r="AB90" s="256">
        <v>0</v>
      </c>
      <c r="AC90" s="256">
        <v>17.996434000000001</v>
      </c>
      <c r="AD90" s="256">
        <v>0.40165899999999999</v>
      </c>
      <c r="AE90" s="231">
        <v>0.88365099999999996</v>
      </c>
      <c r="AF90" s="231">
        <v>0.35</v>
      </c>
      <c r="AG90" s="231">
        <v>0.55000000000000004</v>
      </c>
      <c r="AH90" s="231">
        <v>49</v>
      </c>
      <c r="AI90" s="231">
        <v>26.95</v>
      </c>
      <c r="AJ90" s="231">
        <v>0</v>
      </c>
      <c r="AK90" s="231"/>
      <c r="AL90" s="231">
        <v>0</v>
      </c>
      <c r="AM90" s="256">
        <v>1</v>
      </c>
      <c r="AN90" s="256">
        <v>0.40165899999999999</v>
      </c>
      <c r="AO90" s="256">
        <v>0.88365099999999996</v>
      </c>
      <c r="AP90" s="256">
        <v>13.542066999999999</v>
      </c>
      <c r="AQ90" s="231">
        <v>2.5487820000000001</v>
      </c>
      <c r="AR90" s="255">
        <v>36.200000000000003</v>
      </c>
      <c r="AS90" s="231">
        <v>0</v>
      </c>
      <c r="AT90" s="231"/>
      <c r="AU90" s="231"/>
      <c r="AV90" s="231"/>
      <c r="AW90" s="231"/>
      <c r="AX90" s="231"/>
      <c r="AY90" s="231"/>
      <c r="AZ90" s="231"/>
      <c r="BA90" s="116" t="s">
        <v>132</v>
      </c>
    </row>
    <row r="91" spans="1:53">
      <c r="A91" s="69" t="str">
        <f t="shared" si="1"/>
        <v>Desarrollo</v>
      </c>
      <c r="B91" s="232">
        <v>42089</v>
      </c>
      <c r="C91" s="232" t="s">
        <v>133</v>
      </c>
      <c r="D91" s="231">
        <v>85</v>
      </c>
      <c r="E91" s="255">
        <v>13.796692999999999</v>
      </c>
      <c r="F91" s="255">
        <v>1.301169</v>
      </c>
      <c r="G91" s="255">
        <v>7.7239310000000003</v>
      </c>
      <c r="H91" s="255">
        <v>3.5</v>
      </c>
      <c r="I91" s="255">
        <v>2.75</v>
      </c>
      <c r="J91" s="255">
        <v>19.13</v>
      </c>
      <c r="K91" s="255">
        <v>43.888950000000001</v>
      </c>
      <c r="L91" s="255">
        <v>0</v>
      </c>
      <c r="M91" s="255">
        <v>0</v>
      </c>
      <c r="N91" s="231">
        <v>0.391818</v>
      </c>
      <c r="O91" s="231">
        <v>0.43425900000000001</v>
      </c>
      <c r="P91" s="231">
        <v>0.15</v>
      </c>
      <c r="Q91" s="255">
        <v>1.2</v>
      </c>
      <c r="R91" s="255">
        <v>1.236089</v>
      </c>
      <c r="S91" s="231">
        <v>0</v>
      </c>
      <c r="T91" s="231">
        <v>0.8</v>
      </c>
      <c r="U91" s="231">
        <v>1</v>
      </c>
      <c r="V91" s="231">
        <v>0.2</v>
      </c>
      <c r="W91" s="255">
        <v>20</v>
      </c>
      <c r="X91" s="231">
        <v>17.996434000000001</v>
      </c>
      <c r="Y91" s="256">
        <v>9</v>
      </c>
      <c r="Z91" s="256">
        <v>2.7321000000000002E-2</v>
      </c>
      <c r="AA91" s="256">
        <v>2.3067000000000001E-2</v>
      </c>
      <c r="AB91" s="256">
        <v>0</v>
      </c>
      <c r="AC91" s="256">
        <v>18.313600000000001</v>
      </c>
      <c r="AD91" s="256">
        <v>0.414885</v>
      </c>
      <c r="AE91" s="231">
        <v>1.140933</v>
      </c>
      <c r="AF91" s="231">
        <v>0.35</v>
      </c>
      <c r="AG91" s="231">
        <v>0.55000000000000004</v>
      </c>
      <c r="AH91" s="231">
        <v>49</v>
      </c>
      <c r="AI91" s="231">
        <v>26.95</v>
      </c>
      <c r="AJ91" s="231">
        <v>0</v>
      </c>
      <c r="AK91" s="231"/>
      <c r="AL91" s="231">
        <v>0</v>
      </c>
      <c r="AM91" s="256">
        <v>1</v>
      </c>
      <c r="AN91" s="256">
        <v>0.414885</v>
      </c>
      <c r="AO91" s="256">
        <v>1.140933</v>
      </c>
      <c r="AP91" s="256">
        <v>14.683</v>
      </c>
      <c r="AQ91" s="231">
        <v>3.6897150000000001</v>
      </c>
      <c r="AR91" s="255">
        <v>36.200000000000003</v>
      </c>
      <c r="AS91" s="231">
        <v>0</v>
      </c>
      <c r="AT91" s="231"/>
      <c r="AU91" s="231"/>
      <c r="AV91" s="231"/>
      <c r="AW91" s="231"/>
      <c r="AX91" s="231"/>
      <c r="AY91" s="231"/>
      <c r="AZ91" s="231"/>
      <c r="BA91" s="116" t="s">
        <v>132</v>
      </c>
    </row>
    <row r="92" spans="1:53">
      <c r="A92" s="69" t="str">
        <f t="shared" si="1"/>
        <v>Desarrollo</v>
      </c>
      <c r="B92" s="232">
        <v>42090</v>
      </c>
      <c r="C92" s="232" t="s">
        <v>133</v>
      </c>
      <c r="D92" s="231">
        <v>86</v>
      </c>
      <c r="E92" s="255">
        <v>13.561820000000001</v>
      </c>
      <c r="F92" s="255">
        <v>0.476325</v>
      </c>
      <c r="G92" s="255">
        <v>7.4940720000000001</v>
      </c>
      <c r="H92" s="255">
        <v>2.6</v>
      </c>
      <c r="I92" s="255">
        <v>2.5</v>
      </c>
      <c r="J92" s="255">
        <v>23.49</v>
      </c>
      <c r="K92" s="255">
        <v>52.45055</v>
      </c>
      <c r="L92" s="255">
        <v>0</v>
      </c>
      <c r="M92" s="255">
        <v>0</v>
      </c>
      <c r="N92" s="231">
        <v>0.40909099999999998</v>
      </c>
      <c r="O92" s="231">
        <v>0.44074099999999999</v>
      </c>
      <c r="P92" s="231">
        <v>0.15</v>
      </c>
      <c r="Q92" s="255">
        <v>1.2</v>
      </c>
      <c r="R92" s="255">
        <v>1.196736</v>
      </c>
      <c r="S92" s="231">
        <v>0</v>
      </c>
      <c r="T92" s="231">
        <v>0.8</v>
      </c>
      <c r="U92" s="231">
        <v>1</v>
      </c>
      <c r="V92" s="231">
        <v>0.2</v>
      </c>
      <c r="W92" s="255">
        <v>20</v>
      </c>
      <c r="X92" s="231">
        <v>18.313600000000001</v>
      </c>
      <c r="Y92" s="256">
        <v>9</v>
      </c>
      <c r="Z92" s="256">
        <v>2.2995999999999999E-2</v>
      </c>
      <c r="AA92" s="256">
        <v>1.8113000000000001E-2</v>
      </c>
      <c r="AB92" s="256">
        <v>0</v>
      </c>
      <c r="AC92" s="256">
        <v>18.540012000000001</v>
      </c>
      <c r="AD92" s="256">
        <v>0.42720399999999997</v>
      </c>
      <c r="AE92" s="231">
        <v>1.0680099999999999</v>
      </c>
      <c r="AF92" s="231">
        <v>0.35</v>
      </c>
      <c r="AG92" s="231">
        <v>0.55000000000000004</v>
      </c>
      <c r="AH92" s="231">
        <v>49</v>
      </c>
      <c r="AI92" s="231">
        <v>26.95</v>
      </c>
      <c r="AJ92" s="231">
        <v>0</v>
      </c>
      <c r="AK92" s="231"/>
      <c r="AL92" s="231">
        <v>0</v>
      </c>
      <c r="AM92" s="256">
        <v>1</v>
      </c>
      <c r="AN92" s="256">
        <v>0.42720399999999997</v>
      </c>
      <c r="AO92" s="256">
        <v>1.0680099999999999</v>
      </c>
      <c r="AP92" s="256">
        <v>15.751010000000001</v>
      </c>
      <c r="AQ92" s="231">
        <v>4.7577249999999998</v>
      </c>
      <c r="AR92" s="255">
        <v>36.200000000000003</v>
      </c>
      <c r="AS92" s="231">
        <v>0</v>
      </c>
      <c r="AT92" s="231"/>
      <c r="AU92" s="231"/>
      <c r="AV92" s="231"/>
      <c r="AW92" s="231"/>
      <c r="AX92" s="231"/>
      <c r="AY92" s="231"/>
      <c r="AZ92" s="231"/>
      <c r="BA92" s="116" t="s">
        <v>132</v>
      </c>
    </row>
    <row r="93" spans="1:53">
      <c r="A93" s="69" t="str">
        <f t="shared" si="1"/>
        <v>Desarrollo</v>
      </c>
      <c r="B93" s="232">
        <v>42091</v>
      </c>
      <c r="C93" s="232" t="s">
        <v>133</v>
      </c>
      <c r="D93" s="231">
        <v>87</v>
      </c>
      <c r="E93" s="255">
        <v>15.421094</v>
      </c>
      <c r="F93" s="255">
        <v>0.79011299999999995</v>
      </c>
      <c r="G93" s="255">
        <v>8.6556029999999993</v>
      </c>
      <c r="H93" s="255">
        <v>2.2999999999999998</v>
      </c>
      <c r="I93" s="255">
        <v>2.8</v>
      </c>
      <c r="J93" s="255">
        <v>23.76</v>
      </c>
      <c r="K93" s="255">
        <v>47.504249999999999</v>
      </c>
      <c r="L93" s="255">
        <v>0</v>
      </c>
      <c r="M93" s="255">
        <v>0</v>
      </c>
      <c r="N93" s="231">
        <v>0.42636400000000002</v>
      </c>
      <c r="O93" s="231">
        <v>0.44722200000000001</v>
      </c>
      <c r="P93" s="231">
        <v>0.15</v>
      </c>
      <c r="Q93" s="255">
        <v>1.2</v>
      </c>
      <c r="R93" s="255">
        <v>1.20112</v>
      </c>
      <c r="S93" s="231">
        <v>0</v>
      </c>
      <c r="T93" s="231">
        <v>0.8</v>
      </c>
      <c r="U93" s="231">
        <v>1</v>
      </c>
      <c r="V93" s="231">
        <v>0.2</v>
      </c>
      <c r="W93" s="255">
        <v>20</v>
      </c>
      <c r="X93" s="231">
        <v>18.540012000000001</v>
      </c>
      <c r="Y93" s="256">
        <v>9</v>
      </c>
      <c r="Z93" s="256">
        <v>1.9909E-2</v>
      </c>
      <c r="AA93" s="256">
        <v>1.5424999999999999E-2</v>
      </c>
      <c r="AB93" s="256">
        <v>0</v>
      </c>
      <c r="AC93" s="256">
        <v>18.755956000000001</v>
      </c>
      <c r="AD93" s="256">
        <v>0.44178800000000001</v>
      </c>
      <c r="AE93" s="231">
        <v>1.237007</v>
      </c>
      <c r="AF93" s="231">
        <v>0.35</v>
      </c>
      <c r="AG93" s="231">
        <v>0.55000000000000004</v>
      </c>
      <c r="AH93" s="231">
        <v>49</v>
      </c>
      <c r="AI93" s="231">
        <v>26.95</v>
      </c>
      <c r="AJ93" s="231">
        <v>0</v>
      </c>
      <c r="AK93" s="231"/>
      <c r="AL93" s="231">
        <v>0</v>
      </c>
      <c r="AM93" s="256">
        <v>1</v>
      </c>
      <c r="AN93" s="256">
        <v>0.44178800000000001</v>
      </c>
      <c r="AO93" s="256">
        <v>1.237007</v>
      </c>
      <c r="AP93" s="256">
        <v>16.988016999999999</v>
      </c>
      <c r="AQ93" s="231">
        <v>5.9947319999999999</v>
      </c>
      <c r="AR93" s="255">
        <v>36.200000000000003</v>
      </c>
      <c r="AS93" s="231">
        <v>0</v>
      </c>
      <c r="AT93" s="231"/>
      <c r="AU93" s="231"/>
      <c r="AV93" s="231"/>
      <c r="AW93" s="231"/>
      <c r="AX93" s="231"/>
      <c r="AY93" s="231"/>
      <c r="AZ93" s="231"/>
      <c r="BA93" s="116" t="s">
        <v>132</v>
      </c>
    </row>
    <row r="94" spans="1:53">
      <c r="A94" s="69" t="str">
        <f t="shared" si="1"/>
        <v>Desarrollo</v>
      </c>
      <c r="B94" s="232">
        <v>42092</v>
      </c>
      <c r="C94" s="232" t="s">
        <v>133</v>
      </c>
      <c r="D94" s="231">
        <v>88</v>
      </c>
      <c r="E94" s="255">
        <v>15.953514999999999</v>
      </c>
      <c r="F94" s="255">
        <v>2.054468</v>
      </c>
      <c r="G94" s="255">
        <v>8.9539919999999995</v>
      </c>
      <c r="H94" s="255">
        <v>3.4</v>
      </c>
      <c r="I94" s="255">
        <v>3.1</v>
      </c>
      <c r="J94" s="255">
        <v>22.88</v>
      </c>
      <c r="K94" s="255">
        <v>39.532850000000003</v>
      </c>
      <c r="L94" s="255">
        <v>0</v>
      </c>
      <c r="M94" s="255">
        <v>0</v>
      </c>
      <c r="N94" s="231">
        <v>0.44363599999999997</v>
      </c>
      <c r="O94" s="231">
        <v>0.453704</v>
      </c>
      <c r="P94" s="231">
        <v>0.15</v>
      </c>
      <c r="Q94" s="255">
        <v>1.2</v>
      </c>
      <c r="R94" s="255">
        <v>1.244183</v>
      </c>
      <c r="S94" s="231">
        <v>0</v>
      </c>
      <c r="T94" s="231">
        <v>0.8</v>
      </c>
      <c r="U94" s="231">
        <v>1</v>
      </c>
      <c r="V94" s="231">
        <v>0.2</v>
      </c>
      <c r="W94" s="255">
        <v>20</v>
      </c>
      <c r="X94" s="231">
        <v>18.755956000000001</v>
      </c>
      <c r="Y94" s="256">
        <v>9</v>
      </c>
      <c r="Z94" s="256">
        <v>1.6964E-2</v>
      </c>
      <c r="AA94" s="256">
        <v>1.3580999999999999E-2</v>
      </c>
      <c r="AB94" s="256">
        <v>0</v>
      </c>
      <c r="AC94" s="256">
        <v>18.966456999999998</v>
      </c>
      <c r="AD94" s="256">
        <v>0.45721699999999998</v>
      </c>
      <c r="AE94" s="231">
        <v>1.417373</v>
      </c>
      <c r="AF94" s="231">
        <v>0.35</v>
      </c>
      <c r="AG94" s="231">
        <v>0.55000000000000004</v>
      </c>
      <c r="AH94" s="231">
        <v>49</v>
      </c>
      <c r="AI94" s="231">
        <v>26.95</v>
      </c>
      <c r="AJ94" s="231">
        <v>0</v>
      </c>
      <c r="AK94" s="231"/>
      <c r="AL94" s="231">
        <v>0</v>
      </c>
      <c r="AM94" s="256">
        <v>1</v>
      </c>
      <c r="AN94" s="256">
        <v>0.45721699999999998</v>
      </c>
      <c r="AO94" s="256">
        <v>1.417373</v>
      </c>
      <c r="AP94" s="256">
        <v>18.405390000000001</v>
      </c>
      <c r="AQ94" s="231">
        <v>7.4121050000000004</v>
      </c>
      <c r="AR94" s="255">
        <v>36.200000000000003</v>
      </c>
      <c r="AS94" s="231">
        <v>0</v>
      </c>
      <c r="AT94" s="231"/>
      <c r="AU94" s="231"/>
      <c r="AV94" s="231"/>
      <c r="AW94" s="231"/>
      <c r="AX94" s="231"/>
      <c r="AY94" s="231"/>
      <c r="AZ94" s="231"/>
      <c r="BA94" s="116" t="s">
        <v>132</v>
      </c>
    </row>
    <row r="95" spans="1:53">
      <c r="A95" s="69" t="str">
        <f t="shared" si="1"/>
        <v>Desarrollo</v>
      </c>
      <c r="B95" s="232">
        <v>42093</v>
      </c>
      <c r="C95" s="232" t="s">
        <v>133</v>
      </c>
      <c r="D95" s="231">
        <v>89</v>
      </c>
      <c r="E95" s="255">
        <v>11.749528</v>
      </c>
      <c r="F95" s="255">
        <v>4.8342609999999997</v>
      </c>
      <c r="G95" s="255">
        <v>8.0418939999999992</v>
      </c>
      <c r="H95" s="255">
        <v>4.9000000000000004</v>
      </c>
      <c r="I95" s="255">
        <v>2.25</v>
      </c>
      <c r="J95" s="255">
        <v>17.36</v>
      </c>
      <c r="K95" s="255">
        <v>49.869149999999998</v>
      </c>
      <c r="L95" s="255">
        <v>0</v>
      </c>
      <c r="M95" s="255">
        <v>0</v>
      </c>
      <c r="N95" s="231">
        <v>0.46090900000000001</v>
      </c>
      <c r="O95" s="231">
        <v>0.46018500000000001</v>
      </c>
      <c r="P95" s="231">
        <v>0.15</v>
      </c>
      <c r="Q95" s="255">
        <v>1.2</v>
      </c>
      <c r="R95" s="255">
        <v>1.255002</v>
      </c>
      <c r="S95" s="231">
        <v>0</v>
      </c>
      <c r="T95" s="231">
        <v>0.8</v>
      </c>
      <c r="U95" s="231">
        <v>1</v>
      </c>
      <c r="V95" s="231">
        <v>0.2</v>
      </c>
      <c r="W95" s="255">
        <v>20</v>
      </c>
      <c r="X95" s="231">
        <v>18.966456999999998</v>
      </c>
      <c r="Y95" s="256">
        <v>9</v>
      </c>
      <c r="Z95" s="256">
        <v>1.4094000000000001E-2</v>
      </c>
      <c r="AA95" s="256">
        <v>1.1192000000000001E-2</v>
      </c>
      <c r="AB95" s="256">
        <v>0</v>
      </c>
      <c r="AC95" s="256">
        <v>19.092364</v>
      </c>
      <c r="AD95" s="256">
        <v>0.47210099999999999</v>
      </c>
      <c r="AE95" s="231">
        <v>1.062227</v>
      </c>
      <c r="AF95" s="231">
        <v>0.35</v>
      </c>
      <c r="AG95" s="231">
        <v>0.55000000000000004</v>
      </c>
      <c r="AH95" s="231">
        <v>49</v>
      </c>
      <c r="AI95" s="231">
        <v>26.95</v>
      </c>
      <c r="AJ95" s="231">
        <v>0</v>
      </c>
      <c r="AK95" s="231"/>
      <c r="AL95" s="231">
        <v>0</v>
      </c>
      <c r="AM95" s="256">
        <v>1</v>
      </c>
      <c r="AN95" s="256">
        <v>0.47210099999999999</v>
      </c>
      <c r="AO95" s="256">
        <v>1.062227</v>
      </c>
      <c r="AP95" s="256">
        <v>19.467617000000001</v>
      </c>
      <c r="AQ95" s="231">
        <v>8.4743320000000004</v>
      </c>
      <c r="AR95" s="255">
        <v>36.200000000000003</v>
      </c>
      <c r="AS95" s="231">
        <v>0</v>
      </c>
      <c r="AT95" s="231"/>
      <c r="AU95" s="231"/>
      <c r="AV95" s="231"/>
      <c r="AW95" s="231"/>
      <c r="AX95" s="231"/>
      <c r="AY95" s="231"/>
      <c r="AZ95" s="231"/>
      <c r="BA95" s="116" t="s">
        <v>132</v>
      </c>
    </row>
    <row r="96" spans="1:53">
      <c r="A96" s="69" t="str">
        <f t="shared" si="1"/>
        <v>Desarrollo</v>
      </c>
      <c r="B96" s="232">
        <v>42094</v>
      </c>
      <c r="C96" s="232" t="s">
        <v>133</v>
      </c>
      <c r="D96" s="231">
        <v>90</v>
      </c>
      <c r="E96" s="255">
        <v>11.938162</v>
      </c>
      <c r="F96" s="255">
        <v>2.558951</v>
      </c>
      <c r="G96" s="255">
        <v>7.1985570000000001</v>
      </c>
      <c r="H96" s="255">
        <v>4.8</v>
      </c>
      <c r="I96" s="255">
        <v>2.35</v>
      </c>
      <c r="J96" s="255">
        <v>20.57</v>
      </c>
      <c r="K96" s="255">
        <v>56.100850000000001</v>
      </c>
      <c r="L96" s="255">
        <v>0</v>
      </c>
      <c r="M96" s="255">
        <v>0</v>
      </c>
      <c r="N96" s="231">
        <v>0.478182</v>
      </c>
      <c r="O96" s="231">
        <v>0.466667</v>
      </c>
      <c r="P96" s="231">
        <v>0.15</v>
      </c>
      <c r="Q96" s="255">
        <v>1.2</v>
      </c>
      <c r="R96" s="255">
        <v>1.23868</v>
      </c>
      <c r="S96" s="231">
        <v>0</v>
      </c>
      <c r="T96" s="231">
        <v>0.8</v>
      </c>
      <c r="U96" s="231">
        <v>1</v>
      </c>
      <c r="V96" s="231">
        <v>0.2</v>
      </c>
      <c r="W96" s="255">
        <v>20</v>
      </c>
      <c r="X96" s="231">
        <v>19.092364</v>
      </c>
      <c r="Y96" s="256">
        <v>9</v>
      </c>
      <c r="Z96" s="256">
        <v>1.2377000000000001E-2</v>
      </c>
      <c r="AA96" s="256">
        <v>9.4129999999999995E-3</v>
      </c>
      <c r="AB96" s="256">
        <v>0</v>
      </c>
      <c r="AC96" s="256">
        <v>19.202961999999999</v>
      </c>
      <c r="AD96" s="256">
        <v>0.48759400000000003</v>
      </c>
      <c r="AE96" s="231">
        <v>1.1458470000000001</v>
      </c>
      <c r="AF96" s="231">
        <v>0.35</v>
      </c>
      <c r="AG96" s="231">
        <v>0.55000000000000004</v>
      </c>
      <c r="AH96" s="231">
        <v>49</v>
      </c>
      <c r="AI96" s="231">
        <v>26.95</v>
      </c>
      <c r="AJ96" s="231">
        <v>0</v>
      </c>
      <c r="AK96" s="231"/>
      <c r="AL96" s="231">
        <v>0</v>
      </c>
      <c r="AM96" s="256">
        <v>1</v>
      </c>
      <c r="AN96" s="256">
        <v>0.48759400000000003</v>
      </c>
      <c r="AO96" s="256">
        <v>1.1458470000000001</v>
      </c>
      <c r="AP96" s="256">
        <v>20.613462999999999</v>
      </c>
      <c r="AQ96" s="231">
        <v>9.6201790000000003</v>
      </c>
      <c r="AR96" s="255">
        <v>36.200000000000003</v>
      </c>
      <c r="AS96" s="231">
        <v>0</v>
      </c>
      <c r="AT96" s="231"/>
      <c r="AU96" s="231"/>
      <c r="AV96" s="231"/>
      <c r="AW96" s="231"/>
      <c r="AX96" s="231"/>
      <c r="AY96" s="231"/>
      <c r="AZ96" s="231"/>
      <c r="BA96" s="116" t="s">
        <v>132</v>
      </c>
    </row>
    <row r="97" spans="1:53">
      <c r="A97" s="69" t="str">
        <f t="shared" si="1"/>
        <v>Desarrollo</v>
      </c>
      <c r="B97" s="232">
        <v>42095</v>
      </c>
      <c r="C97" s="232" t="s">
        <v>133</v>
      </c>
      <c r="D97" s="231">
        <v>91</v>
      </c>
      <c r="E97" s="255">
        <v>13.532031</v>
      </c>
      <c r="F97" s="255">
        <v>3.0165289999999998</v>
      </c>
      <c r="G97" s="255">
        <v>8.5242799999999992</v>
      </c>
      <c r="H97" s="255">
        <v>2.2999999999999998</v>
      </c>
      <c r="I97" s="255">
        <v>2.5499999999999998</v>
      </c>
      <c r="J97" s="255">
        <v>21.94</v>
      </c>
      <c r="K97" s="255">
        <v>44.50665</v>
      </c>
      <c r="L97" s="255">
        <v>0</v>
      </c>
      <c r="M97" s="255">
        <v>0</v>
      </c>
      <c r="N97" s="231">
        <v>0.49545499999999998</v>
      </c>
      <c r="O97" s="231">
        <v>0.47314800000000001</v>
      </c>
      <c r="P97" s="231">
        <v>0.15</v>
      </c>
      <c r="Q97" s="255">
        <v>1.2</v>
      </c>
      <c r="R97" s="255">
        <v>1.208029</v>
      </c>
      <c r="S97" s="231">
        <v>0</v>
      </c>
      <c r="T97" s="231">
        <v>0.8</v>
      </c>
      <c r="U97" s="231">
        <v>1</v>
      </c>
      <c r="V97" s="231">
        <v>0.2</v>
      </c>
      <c r="W97" s="255">
        <v>20</v>
      </c>
      <c r="X97" s="231">
        <v>19.202961999999999</v>
      </c>
      <c r="Y97" s="256">
        <v>9</v>
      </c>
      <c r="Z97" s="256">
        <v>1.0869E-2</v>
      </c>
      <c r="AA97" s="256">
        <v>7.7450000000000001E-3</v>
      </c>
      <c r="AB97" s="256">
        <v>0</v>
      </c>
      <c r="AC97" s="256">
        <v>19.301707</v>
      </c>
      <c r="AD97" s="256">
        <v>0.50319899999999995</v>
      </c>
      <c r="AE97" s="231">
        <v>1.283158</v>
      </c>
      <c r="AF97" s="231">
        <v>0.35</v>
      </c>
      <c r="AG97" s="231">
        <v>0.55000000000000004</v>
      </c>
      <c r="AH97" s="231">
        <v>49</v>
      </c>
      <c r="AI97" s="231">
        <v>26.95</v>
      </c>
      <c r="AJ97" s="231">
        <v>0</v>
      </c>
      <c r="AK97" s="231"/>
      <c r="AL97" s="231">
        <v>0</v>
      </c>
      <c r="AM97" s="256">
        <v>1</v>
      </c>
      <c r="AN97" s="256">
        <v>0.50319899999999995</v>
      </c>
      <c r="AO97" s="256">
        <v>1.283158</v>
      </c>
      <c r="AP97" s="256">
        <v>21.896622000000001</v>
      </c>
      <c r="AQ97" s="231">
        <v>0</v>
      </c>
      <c r="AR97" s="255">
        <v>36.200000000000003</v>
      </c>
      <c r="AS97" s="231">
        <v>0</v>
      </c>
      <c r="AT97" s="231"/>
      <c r="AU97" s="231"/>
      <c r="AV97" s="231"/>
      <c r="AW97" s="231"/>
      <c r="AX97" s="231"/>
      <c r="AY97" s="231"/>
      <c r="AZ97" s="231"/>
      <c r="BA97" s="116" t="s">
        <v>132</v>
      </c>
    </row>
    <row r="98" spans="1:53">
      <c r="A98" s="69" t="str">
        <f t="shared" si="1"/>
        <v>Desarrollo</v>
      </c>
      <c r="B98" s="232">
        <v>42096</v>
      </c>
      <c r="C98" s="232" t="s">
        <v>133</v>
      </c>
      <c r="D98" s="231">
        <v>92</v>
      </c>
      <c r="E98" s="255">
        <v>14.610780999999999</v>
      </c>
      <c r="F98" s="255">
        <v>2.9031319999999998</v>
      </c>
      <c r="G98" s="255">
        <v>8.9319559999999996</v>
      </c>
      <c r="H98" s="255">
        <v>2</v>
      </c>
      <c r="I98" s="255">
        <v>2.65</v>
      </c>
      <c r="J98" s="255">
        <v>20.59</v>
      </c>
      <c r="K98" s="255">
        <v>48.060299999999998</v>
      </c>
      <c r="L98" s="255">
        <v>0</v>
      </c>
      <c r="M98" s="255">
        <v>0</v>
      </c>
      <c r="N98" s="231">
        <v>0.51272700000000004</v>
      </c>
      <c r="O98" s="231">
        <v>0.47963</v>
      </c>
      <c r="P98" s="231">
        <v>0.15</v>
      </c>
      <c r="Q98" s="255">
        <v>1.2</v>
      </c>
      <c r="R98" s="255">
        <v>1.1929369999999999</v>
      </c>
      <c r="S98" s="231">
        <v>0</v>
      </c>
      <c r="T98" s="231">
        <v>0.8</v>
      </c>
      <c r="U98" s="231">
        <v>1</v>
      </c>
      <c r="V98" s="231">
        <v>0.2</v>
      </c>
      <c r="W98" s="255">
        <v>20</v>
      </c>
      <c r="X98" s="231">
        <v>19.301707</v>
      </c>
      <c r="Y98" s="256">
        <v>9</v>
      </c>
      <c r="Z98" s="256">
        <v>9.5219999999999992E-3</v>
      </c>
      <c r="AA98" s="256">
        <v>6.4770000000000001E-3</v>
      </c>
      <c r="AB98" s="256">
        <v>0</v>
      </c>
      <c r="AC98" s="256">
        <v>19.387529000000001</v>
      </c>
      <c r="AD98" s="256">
        <v>0.519204</v>
      </c>
      <c r="AE98" s="231">
        <v>1.3758919999999999</v>
      </c>
      <c r="AF98" s="231">
        <v>0.35</v>
      </c>
      <c r="AG98" s="231">
        <v>0.55000000000000004</v>
      </c>
      <c r="AH98" s="231">
        <v>49</v>
      </c>
      <c r="AI98" s="231">
        <v>26.95</v>
      </c>
      <c r="AJ98" s="231">
        <v>0</v>
      </c>
      <c r="AK98" s="231"/>
      <c r="AL98" s="231">
        <v>0</v>
      </c>
      <c r="AM98" s="256">
        <v>1</v>
      </c>
      <c r="AN98" s="256">
        <v>0.519204</v>
      </c>
      <c r="AO98" s="256">
        <v>1.3758919999999999</v>
      </c>
      <c r="AP98" s="256">
        <v>23.272513</v>
      </c>
      <c r="AQ98" s="231">
        <v>1.3758919999999999</v>
      </c>
      <c r="AR98" s="255">
        <v>36.200000000000003</v>
      </c>
      <c r="AS98" s="231">
        <v>0</v>
      </c>
      <c r="AT98" s="231"/>
      <c r="AU98" s="231"/>
      <c r="AV98" s="231"/>
      <c r="AW98" s="231"/>
      <c r="AX98" s="231"/>
      <c r="AY98" s="231"/>
      <c r="AZ98" s="231"/>
      <c r="BA98" s="116" t="s">
        <v>132</v>
      </c>
    </row>
    <row r="99" spans="1:53">
      <c r="A99" s="69" t="str">
        <f t="shared" si="1"/>
        <v>Desarrollo</v>
      </c>
      <c r="B99" s="232">
        <v>42097</v>
      </c>
      <c r="C99" s="232" t="s">
        <v>133</v>
      </c>
      <c r="D99" s="231">
        <v>93</v>
      </c>
      <c r="E99" s="255">
        <v>16.222771999999999</v>
      </c>
      <c r="F99" s="255">
        <v>3.7347190000000001</v>
      </c>
      <c r="G99" s="255">
        <v>10.228745</v>
      </c>
      <c r="H99" s="255">
        <v>1.5</v>
      </c>
      <c r="I99" s="255">
        <v>2.75</v>
      </c>
      <c r="J99" s="255">
        <v>21.92</v>
      </c>
      <c r="K99" s="255">
        <v>51.993200000000002</v>
      </c>
      <c r="L99" s="255">
        <v>0</v>
      </c>
      <c r="M99" s="255">
        <v>0</v>
      </c>
      <c r="N99" s="231">
        <v>0.53</v>
      </c>
      <c r="O99" s="231">
        <v>0.48611100000000002</v>
      </c>
      <c r="P99" s="231">
        <v>0.15</v>
      </c>
      <c r="Q99" s="255">
        <v>1.2</v>
      </c>
      <c r="R99" s="255">
        <v>1.1722109999999999</v>
      </c>
      <c r="S99" s="231">
        <v>0</v>
      </c>
      <c r="T99" s="231">
        <v>0.8</v>
      </c>
      <c r="U99" s="231">
        <v>1</v>
      </c>
      <c r="V99" s="231">
        <v>0.2</v>
      </c>
      <c r="W99" s="255">
        <v>20</v>
      </c>
      <c r="X99" s="231">
        <v>19.387529000000001</v>
      </c>
      <c r="Y99" s="256">
        <v>9</v>
      </c>
      <c r="Z99" s="256">
        <v>8.352E-3</v>
      </c>
      <c r="AA99" s="256">
        <v>5.3639999999999998E-3</v>
      </c>
      <c r="AB99" s="256">
        <v>0</v>
      </c>
      <c r="AC99" s="256">
        <v>19.461279000000001</v>
      </c>
      <c r="AD99" s="256">
        <v>0.53536399999999995</v>
      </c>
      <c r="AE99" s="231">
        <v>1.4722500000000001</v>
      </c>
      <c r="AF99" s="231">
        <v>0.35</v>
      </c>
      <c r="AG99" s="231">
        <v>0.55000000000000004</v>
      </c>
      <c r="AH99" s="231">
        <v>49</v>
      </c>
      <c r="AI99" s="231">
        <v>26.95</v>
      </c>
      <c r="AJ99" s="231">
        <v>0</v>
      </c>
      <c r="AK99" s="231"/>
      <c r="AL99" s="231">
        <v>0</v>
      </c>
      <c r="AM99" s="256">
        <v>1</v>
      </c>
      <c r="AN99" s="256">
        <v>0.53536399999999995</v>
      </c>
      <c r="AO99" s="256">
        <v>1.4722500000000001</v>
      </c>
      <c r="AP99" s="256">
        <v>24.744762999999999</v>
      </c>
      <c r="AQ99" s="231">
        <v>2.8481420000000002</v>
      </c>
      <c r="AR99" s="255">
        <v>36.200000000000003</v>
      </c>
      <c r="AS99" s="231">
        <v>0</v>
      </c>
      <c r="AT99" s="231"/>
      <c r="AU99" s="231"/>
      <c r="AV99" s="231"/>
      <c r="AW99" s="231"/>
      <c r="AX99" s="231"/>
      <c r="AY99" s="231"/>
      <c r="AZ99" s="231"/>
      <c r="BA99" s="116" t="s">
        <v>132</v>
      </c>
    </row>
    <row r="100" spans="1:53">
      <c r="A100" s="69" t="str">
        <f t="shared" si="1"/>
        <v>Desarrollo</v>
      </c>
      <c r="B100" s="232">
        <v>42098</v>
      </c>
      <c r="C100" s="232" t="s">
        <v>133</v>
      </c>
      <c r="D100" s="231">
        <v>94</v>
      </c>
      <c r="E100" s="255">
        <v>17.459595</v>
      </c>
      <c r="F100" s="255">
        <v>2.819556</v>
      </c>
      <c r="G100" s="255">
        <v>10.514575000000001</v>
      </c>
      <c r="H100" s="255">
        <v>1.3</v>
      </c>
      <c r="I100" s="255">
        <v>3.35</v>
      </c>
      <c r="J100" s="255">
        <v>22.76</v>
      </c>
      <c r="K100" s="255">
        <v>38.588000000000001</v>
      </c>
      <c r="L100" s="255">
        <v>0</v>
      </c>
      <c r="M100" s="255">
        <v>0</v>
      </c>
      <c r="N100" s="231">
        <v>0.54727300000000001</v>
      </c>
      <c r="O100" s="231">
        <v>0.492593</v>
      </c>
      <c r="P100" s="231">
        <v>0.15</v>
      </c>
      <c r="Q100" s="255">
        <v>1.1000000000000001</v>
      </c>
      <c r="R100" s="255">
        <v>1.0986320000000001</v>
      </c>
      <c r="S100" s="231">
        <v>12.6</v>
      </c>
      <c r="T100" s="231">
        <v>0.8</v>
      </c>
      <c r="U100" s="231">
        <v>1</v>
      </c>
      <c r="V100" s="231">
        <v>0.2</v>
      </c>
      <c r="W100" s="255">
        <v>20</v>
      </c>
      <c r="X100" s="231">
        <v>8.7512790000000003</v>
      </c>
      <c r="Y100" s="256">
        <v>9</v>
      </c>
      <c r="Z100" s="256">
        <v>7.3460000000000001E-3</v>
      </c>
      <c r="AA100" s="256">
        <v>4.0499999999999998E-3</v>
      </c>
      <c r="AB100" s="256">
        <v>0</v>
      </c>
      <c r="AC100" s="256">
        <v>8.8191229999999994</v>
      </c>
      <c r="AD100" s="256">
        <v>0.55132300000000001</v>
      </c>
      <c r="AE100" s="231">
        <v>1.846932</v>
      </c>
      <c r="AF100" s="231">
        <v>0.35</v>
      </c>
      <c r="AG100" s="231">
        <v>0.55000000000000004</v>
      </c>
      <c r="AH100" s="231">
        <v>49</v>
      </c>
      <c r="AI100" s="231">
        <v>26.95</v>
      </c>
      <c r="AJ100" s="231">
        <v>10.71</v>
      </c>
      <c r="AK100" s="231">
        <v>12.6</v>
      </c>
      <c r="AL100" s="231">
        <v>0</v>
      </c>
      <c r="AM100" s="256">
        <v>1</v>
      </c>
      <c r="AN100" s="256">
        <v>0.55132300000000001</v>
      </c>
      <c r="AO100" s="256">
        <v>1.846932</v>
      </c>
      <c r="AP100" s="256">
        <v>15.881696</v>
      </c>
      <c r="AQ100" s="231">
        <v>4.695074</v>
      </c>
      <c r="AR100" s="255">
        <v>48.8</v>
      </c>
      <c r="AS100" s="231">
        <v>0</v>
      </c>
      <c r="AT100" s="231"/>
      <c r="AU100" s="231"/>
      <c r="AV100" s="231"/>
      <c r="AW100" s="231"/>
      <c r="AX100" s="231"/>
      <c r="AY100" s="231"/>
      <c r="AZ100" s="231"/>
      <c r="BA100" s="116" t="s">
        <v>132</v>
      </c>
    </row>
    <row r="101" spans="1:53">
      <c r="A101" s="69" t="str">
        <f t="shared" si="1"/>
        <v>Desarrollo</v>
      </c>
      <c r="B101" s="232">
        <v>42099</v>
      </c>
      <c r="C101" s="232" t="s">
        <v>133</v>
      </c>
      <c r="D101" s="231">
        <v>95</v>
      </c>
      <c r="E101" s="255">
        <v>19.420362000000001</v>
      </c>
      <c r="F101" s="255">
        <v>7.6467530000000004</v>
      </c>
      <c r="G101" s="255">
        <v>13.058557</v>
      </c>
      <c r="H101" s="255">
        <v>1.7</v>
      </c>
      <c r="I101" s="255">
        <v>3.45</v>
      </c>
      <c r="J101" s="255">
        <v>22.63</v>
      </c>
      <c r="K101" s="255">
        <v>41.180250000000001</v>
      </c>
      <c r="L101" s="255">
        <v>0</v>
      </c>
      <c r="M101" s="255">
        <v>0</v>
      </c>
      <c r="N101" s="231">
        <v>0.56454499999999996</v>
      </c>
      <c r="O101" s="231">
        <v>0.49907400000000002</v>
      </c>
      <c r="P101" s="231">
        <v>0.15</v>
      </c>
      <c r="Q101" s="255">
        <v>1.1000000000000001</v>
      </c>
      <c r="R101" s="255">
        <v>1.1019140000000001</v>
      </c>
      <c r="S101" s="231">
        <v>9.4</v>
      </c>
      <c r="T101" s="231">
        <v>0.8</v>
      </c>
      <c r="U101" s="231">
        <v>1</v>
      </c>
      <c r="V101" s="231">
        <v>0.2</v>
      </c>
      <c r="W101" s="255">
        <v>20</v>
      </c>
      <c r="X101" s="231">
        <v>0.82912300000000005</v>
      </c>
      <c r="Y101" s="256">
        <v>9</v>
      </c>
      <c r="Z101" s="256">
        <v>1</v>
      </c>
      <c r="AA101" s="256">
        <v>0.220383</v>
      </c>
      <c r="AB101" s="256">
        <v>0</v>
      </c>
      <c r="AC101" s="256">
        <v>4.6307280000000004</v>
      </c>
      <c r="AD101" s="256">
        <v>0.78492799999999996</v>
      </c>
      <c r="AE101" s="231">
        <v>2.7080030000000002</v>
      </c>
      <c r="AF101" s="231">
        <v>0.35</v>
      </c>
      <c r="AG101" s="231">
        <v>0.55000000000000004</v>
      </c>
      <c r="AH101" s="231">
        <v>49</v>
      </c>
      <c r="AI101" s="231">
        <v>26.95</v>
      </c>
      <c r="AJ101" s="231">
        <v>7.99</v>
      </c>
      <c r="AK101" s="231">
        <v>9.4</v>
      </c>
      <c r="AL101" s="231">
        <v>0</v>
      </c>
      <c r="AM101" s="256">
        <v>1</v>
      </c>
      <c r="AN101" s="256">
        <v>0.78492799999999996</v>
      </c>
      <c r="AO101" s="256">
        <v>2.7080030000000002</v>
      </c>
      <c r="AP101" s="256">
        <v>10.599698999999999</v>
      </c>
      <c r="AQ101" s="231">
        <v>7.4030769999999997</v>
      </c>
      <c r="AR101" s="255">
        <v>58.2</v>
      </c>
      <c r="AS101" s="231">
        <v>0</v>
      </c>
      <c r="AT101" s="231"/>
      <c r="AU101" s="231"/>
      <c r="AV101" s="231"/>
      <c r="AW101" s="231"/>
      <c r="AX101" s="231"/>
      <c r="AY101" s="231"/>
      <c r="AZ101" s="231"/>
      <c r="BA101" s="116" t="s">
        <v>132</v>
      </c>
    </row>
    <row r="102" spans="1:53">
      <c r="A102" s="69" t="str">
        <f t="shared" si="1"/>
        <v>Desarrollo</v>
      </c>
      <c r="B102" s="232">
        <v>42100</v>
      </c>
      <c r="C102" s="232" t="s">
        <v>133</v>
      </c>
      <c r="D102" s="231">
        <v>96</v>
      </c>
      <c r="E102" s="255">
        <v>20.276482999999999</v>
      </c>
      <c r="F102" s="255">
        <v>5.4581030000000004</v>
      </c>
      <c r="G102" s="255">
        <v>13.117293</v>
      </c>
      <c r="H102" s="255">
        <v>2.2999999999999998</v>
      </c>
      <c r="I102" s="255">
        <v>3.25</v>
      </c>
      <c r="J102" s="255">
        <v>18.940000000000001</v>
      </c>
      <c r="K102" s="255">
        <v>47.243850000000002</v>
      </c>
      <c r="L102" s="255">
        <v>0</v>
      </c>
      <c r="M102" s="255">
        <v>0</v>
      </c>
      <c r="N102" s="231">
        <v>0.58181799999999995</v>
      </c>
      <c r="O102" s="231">
        <v>0.50555600000000001</v>
      </c>
      <c r="P102" s="231">
        <v>0.15</v>
      </c>
      <c r="Q102" s="255">
        <v>1.1000000000000001</v>
      </c>
      <c r="R102" s="255">
        <v>1.1017729999999999</v>
      </c>
      <c r="S102" s="231">
        <v>0</v>
      </c>
      <c r="T102" s="231">
        <v>0.8</v>
      </c>
      <c r="U102" s="231">
        <v>1</v>
      </c>
      <c r="V102" s="231">
        <v>0.2</v>
      </c>
      <c r="W102" s="255">
        <v>20</v>
      </c>
      <c r="X102" s="231">
        <v>4.6307280000000004</v>
      </c>
      <c r="Y102" s="256">
        <v>9</v>
      </c>
      <c r="Z102" s="256">
        <v>1</v>
      </c>
      <c r="AA102" s="256">
        <v>0.220355</v>
      </c>
      <c r="AB102" s="256">
        <v>0</v>
      </c>
      <c r="AC102" s="256">
        <v>8.2114899999999995</v>
      </c>
      <c r="AD102" s="256">
        <v>0.80217300000000002</v>
      </c>
      <c r="AE102" s="231">
        <v>2.6070609999999999</v>
      </c>
      <c r="AF102" s="231">
        <v>0.35</v>
      </c>
      <c r="AG102" s="231">
        <v>0.55000000000000004</v>
      </c>
      <c r="AH102" s="231">
        <v>49</v>
      </c>
      <c r="AI102" s="231">
        <v>26.95</v>
      </c>
      <c r="AJ102" s="231">
        <v>0</v>
      </c>
      <c r="AK102" s="231"/>
      <c r="AL102" s="231">
        <v>0</v>
      </c>
      <c r="AM102" s="256">
        <v>1</v>
      </c>
      <c r="AN102" s="256">
        <v>0.80217300000000002</v>
      </c>
      <c r="AO102" s="256">
        <v>2.6070609999999999</v>
      </c>
      <c r="AP102" s="256">
        <v>13.206759999999999</v>
      </c>
      <c r="AQ102" s="231">
        <v>10.010138</v>
      </c>
      <c r="AR102" s="255">
        <v>58.2</v>
      </c>
      <c r="AS102" s="231">
        <v>0</v>
      </c>
      <c r="AT102" s="231"/>
      <c r="AU102" s="231"/>
      <c r="AV102" s="231"/>
      <c r="AW102" s="231"/>
      <c r="AX102" s="231"/>
      <c r="AY102" s="231"/>
      <c r="AZ102" s="231"/>
      <c r="BA102" s="116" t="s">
        <v>132</v>
      </c>
    </row>
    <row r="103" spans="1:53">
      <c r="A103" s="69" t="str">
        <f t="shared" si="1"/>
        <v>Desarrollo</v>
      </c>
      <c r="B103" s="232">
        <v>42101</v>
      </c>
      <c r="C103" s="232" t="s">
        <v>133</v>
      </c>
      <c r="D103" s="231">
        <v>97</v>
      </c>
      <c r="E103" s="255">
        <v>16.456572000000001</v>
      </c>
      <c r="F103" s="255">
        <v>6.4564899999999996</v>
      </c>
      <c r="G103" s="255">
        <v>11.731531</v>
      </c>
      <c r="H103" s="255">
        <v>3.1</v>
      </c>
      <c r="I103" s="255">
        <v>3.3</v>
      </c>
      <c r="J103" s="255">
        <v>18.62</v>
      </c>
      <c r="K103" s="255">
        <v>38.780450000000002</v>
      </c>
      <c r="L103" s="255">
        <v>0</v>
      </c>
      <c r="M103" s="255">
        <v>0</v>
      </c>
      <c r="N103" s="231">
        <v>0.59909100000000004</v>
      </c>
      <c r="O103" s="231">
        <v>0.51203699999999996</v>
      </c>
      <c r="P103" s="231">
        <v>0.15</v>
      </c>
      <c r="Q103" s="255">
        <v>1.1499999999999999</v>
      </c>
      <c r="R103" s="255">
        <v>1.190526</v>
      </c>
      <c r="S103" s="231">
        <v>0</v>
      </c>
      <c r="T103" s="231">
        <v>0.8</v>
      </c>
      <c r="U103" s="231">
        <v>1</v>
      </c>
      <c r="V103" s="231">
        <v>0.2</v>
      </c>
      <c r="W103" s="255">
        <v>20</v>
      </c>
      <c r="X103" s="231">
        <v>8.2114899999999995</v>
      </c>
      <c r="Y103" s="256">
        <v>9</v>
      </c>
      <c r="Z103" s="256">
        <v>1</v>
      </c>
      <c r="AA103" s="256">
        <v>0.23810500000000001</v>
      </c>
      <c r="AB103" s="256">
        <v>0</v>
      </c>
      <c r="AC103" s="256">
        <v>12.140226</v>
      </c>
      <c r="AD103" s="256">
        <v>0.83719600000000005</v>
      </c>
      <c r="AE103" s="231">
        <v>2.7627470000000001</v>
      </c>
      <c r="AF103" s="231">
        <v>0.35</v>
      </c>
      <c r="AG103" s="231">
        <v>0.55000000000000004</v>
      </c>
      <c r="AH103" s="231">
        <v>49</v>
      </c>
      <c r="AI103" s="231">
        <v>26.95</v>
      </c>
      <c r="AJ103" s="231">
        <v>0</v>
      </c>
      <c r="AK103" s="231"/>
      <c r="AL103" s="231">
        <v>0</v>
      </c>
      <c r="AM103" s="256">
        <v>1</v>
      </c>
      <c r="AN103" s="256">
        <v>0.83719600000000005</v>
      </c>
      <c r="AO103" s="256">
        <v>2.7627470000000001</v>
      </c>
      <c r="AP103" s="256">
        <v>15.969507</v>
      </c>
      <c r="AQ103" s="231">
        <v>12.772886</v>
      </c>
      <c r="AR103" s="255">
        <v>58.2</v>
      </c>
      <c r="AS103" s="231">
        <v>0</v>
      </c>
      <c r="AT103" s="231"/>
      <c r="AU103" s="231"/>
      <c r="AV103" s="231"/>
      <c r="AW103" s="231"/>
      <c r="AX103" s="231"/>
      <c r="AY103" s="231"/>
      <c r="AZ103" s="231"/>
      <c r="BA103" s="116" t="s">
        <v>132</v>
      </c>
    </row>
    <row r="104" spans="1:53">
      <c r="A104" s="69" t="str">
        <f t="shared" si="1"/>
        <v>Desarrollo</v>
      </c>
      <c r="B104" s="232">
        <v>42102</v>
      </c>
      <c r="C104" s="232" t="s">
        <v>133</v>
      </c>
      <c r="D104" s="231">
        <v>98</v>
      </c>
      <c r="E104" s="255">
        <v>17.564551000000002</v>
      </c>
      <c r="F104" s="255">
        <v>4.3771240000000002</v>
      </c>
      <c r="G104" s="255">
        <v>10.745837999999999</v>
      </c>
      <c r="H104" s="255">
        <v>2.7</v>
      </c>
      <c r="I104" s="255">
        <v>3.65</v>
      </c>
      <c r="J104" s="255">
        <v>27.6</v>
      </c>
      <c r="K104" s="255">
        <v>33.417099999999998</v>
      </c>
      <c r="L104" s="255">
        <v>0</v>
      </c>
      <c r="M104" s="255">
        <v>0</v>
      </c>
      <c r="N104" s="231">
        <v>0.61636400000000002</v>
      </c>
      <c r="O104" s="231">
        <v>0.51851899999999995</v>
      </c>
      <c r="P104" s="231">
        <v>0.15</v>
      </c>
      <c r="Q104" s="255">
        <v>1.1499999999999999</v>
      </c>
      <c r="R104" s="255">
        <v>1.1939</v>
      </c>
      <c r="S104" s="231">
        <v>0</v>
      </c>
      <c r="T104" s="231">
        <v>0.8</v>
      </c>
      <c r="U104" s="231">
        <v>1</v>
      </c>
      <c r="V104" s="231">
        <v>0.2</v>
      </c>
      <c r="W104" s="255">
        <v>20</v>
      </c>
      <c r="X104" s="231">
        <v>12.140226</v>
      </c>
      <c r="Y104" s="256">
        <v>9</v>
      </c>
      <c r="Z104" s="256">
        <v>0.107179</v>
      </c>
      <c r="AA104" s="256">
        <v>6.1899999999999997E-2</v>
      </c>
      <c r="AB104" s="256">
        <v>0</v>
      </c>
      <c r="AC104" s="256">
        <v>13.269895</v>
      </c>
      <c r="AD104" s="256">
        <v>0.67826299999999995</v>
      </c>
      <c r="AE104" s="231">
        <v>2.4756610000000001</v>
      </c>
      <c r="AF104" s="231">
        <v>0.35</v>
      </c>
      <c r="AG104" s="231">
        <v>0.55000000000000004</v>
      </c>
      <c r="AH104" s="231">
        <v>49</v>
      </c>
      <c r="AI104" s="231">
        <v>26.95</v>
      </c>
      <c r="AJ104" s="231">
        <v>0</v>
      </c>
      <c r="AK104" s="231"/>
      <c r="AL104" s="231">
        <v>0</v>
      </c>
      <c r="AM104" s="256">
        <v>1</v>
      </c>
      <c r="AN104" s="256">
        <v>0.67826299999999995</v>
      </c>
      <c r="AO104" s="256">
        <v>2.4756610000000001</v>
      </c>
      <c r="AP104" s="256">
        <v>18.445167999999999</v>
      </c>
      <c r="AQ104" s="231">
        <v>15.248547</v>
      </c>
      <c r="AR104" s="255">
        <v>58.2</v>
      </c>
      <c r="AS104" s="231">
        <v>0</v>
      </c>
      <c r="AT104" s="231"/>
      <c r="AU104" s="231"/>
      <c r="AV104" s="231"/>
      <c r="AW104" s="231"/>
      <c r="AX104" s="231"/>
      <c r="AY104" s="231"/>
      <c r="AZ104" s="231"/>
      <c r="BA104" s="116" t="s">
        <v>132</v>
      </c>
    </row>
    <row r="105" spans="1:53">
      <c r="A105" s="69" t="str">
        <f t="shared" si="1"/>
        <v>Desarrollo</v>
      </c>
      <c r="B105" s="232">
        <v>42103</v>
      </c>
      <c r="C105" s="232" t="s">
        <v>133</v>
      </c>
      <c r="D105" s="231">
        <v>99</v>
      </c>
      <c r="E105" s="255">
        <v>18.817582999999999</v>
      </c>
      <c r="F105" s="255">
        <v>4.1609119999999997</v>
      </c>
      <c r="G105" s="255">
        <v>11.839248</v>
      </c>
      <c r="H105" s="255">
        <v>2.5</v>
      </c>
      <c r="I105" s="255">
        <v>3.8</v>
      </c>
      <c r="J105" s="255">
        <v>26.9</v>
      </c>
      <c r="K105" s="255">
        <v>35.158949999999997</v>
      </c>
      <c r="L105" s="255">
        <v>0</v>
      </c>
      <c r="M105" s="255">
        <v>0</v>
      </c>
      <c r="N105" s="231">
        <v>0.63363599999999998</v>
      </c>
      <c r="O105" s="231">
        <v>0.52500000000000002</v>
      </c>
      <c r="P105" s="231">
        <v>0.15</v>
      </c>
      <c r="Q105" s="255">
        <v>1.2</v>
      </c>
      <c r="R105" s="255">
        <v>1.2351909999999999</v>
      </c>
      <c r="S105" s="231">
        <v>0</v>
      </c>
      <c r="T105" s="231">
        <v>0.8</v>
      </c>
      <c r="U105" s="231">
        <v>1</v>
      </c>
      <c r="V105" s="231">
        <v>0.2</v>
      </c>
      <c r="W105" s="255">
        <v>20</v>
      </c>
      <c r="X105" s="231">
        <v>13.269895</v>
      </c>
      <c r="Y105" s="256">
        <v>9</v>
      </c>
      <c r="Z105" s="256">
        <v>9.1773999999999994E-2</v>
      </c>
      <c r="AA105" s="256">
        <v>5.5206999999999999E-2</v>
      </c>
      <c r="AB105" s="256">
        <v>0</v>
      </c>
      <c r="AC105" s="256">
        <v>14.318832</v>
      </c>
      <c r="AD105" s="256">
        <v>0.68884400000000001</v>
      </c>
      <c r="AE105" s="231">
        <v>2.6176059999999999</v>
      </c>
      <c r="AF105" s="231">
        <v>0.35</v>
      </c>
      <c r="AG105" s="231">
        <v>0.55000000000000004</v>
      </c>
      <c r="AH105" s="231">
        <v>49</v>
      </c>
      <c r="AI105" s="231">
        <v>26.95</v>
      </c>
      <c r="AJ105" s="231">
        <v>0</v>
      </c>
      <c r="AK105" s="231"/>
      <c r="AL105" s="231">
        <v>0</v>
      </c>
      <c r="AM105" s="256">
        <v>1</v>
      </c>
      <c r="AN105" s="256">
        <v>0.68884400000000001</v>
      </c>
      <c r="AO105" s="256">
        <v>2.6176059999999999</v>
      </c>
      <c r="AP105" s="256">
        <v>21.062774000000001</v>
      </c>
      <c r="AQ105" s="231">
        <v>17.866152</v>
      </c>
      <c r="AR105" s="255">
        <v>58.2</v>
      </c>
      <c r="AS105" s="231">
        <v>0</v>
      </c>
      <c r="AT105" s="231"/>
      <c r="AU105" s="231"/>
      <c r="AV105" s="231"/>
      <c r="AW105" s="231"/>
      <c r="AX105" s="231"/>
      <c r="AY105" s="231"/>
      <c r="AZ105" s="231"/>
      <c r="BA105" s="116" t="s">
        <v>132</v>
      </c>
    </row>
    <row r="106" spans="1:53">
      <c r="A106" s="69" t="str">
        <f t="shared" si="1"/>
        <v>Desarrollo</v>
      </c>
      <c r="B106" s="232">
        <v>42104</v>
      </c>
      <c r="C106" s="232" t="s">
        <v>133</v>
      </c>
      <c r="D106" s="231">
        <v>100</v>
      </c>
      <c r="E106" s="255">
        <v>16.967946000000001</v>
      </c>
      <c r="F106" s="255">
        <v>6.5553679999999996</v>
      </c>
      <c r="G106" s="255">
        <v>11.211657000000001</v>
      </c>
      <c r="H106" s="255">
        <v>3.7</v>
      </c>
      <c r="I106" s="255">
        <v>3.45</v>
      </c>
      <c r="J106" s="255">
        <v>20.02</v>
      </c>
      <c r="K106" s="255">
        <v>39.26585</v>
      </c>
      <c r="L106" s="255">
        <v>0</v>
      </c>
      <c r="M106" s="255">
        <v>0</v>
      </c>
      <c r="N106" s="231">
        <v>0.65090899999999996</v>
      </c>
      <c r="O106" s="231">
        <v>0.53148099999999998</v>
      </c>
      <c r="P106" s="231">
        <v>0.15</v>
      </c>
      <c r="Q106" s="255">
        <v>1.2</v>
      </c>
      <c r="R106" s="255">
        <v>1.2541059999999999</v>
      </c>
      <c r="S106" s="231">
        <v>0</v>
      </c>
      <c r="T106" s="231">
        <v>0.8</v>
      </c>
      <c r="U106" s="231">
        <v>1</v>
      </c>
      <c r="V106" s="231">
        <v>0.2</v>
      </c>
      <c r="W106" s="255">
        <v>20</v>
      </c>
      <c r="X106" s="231">
        <v>14.318832</v>
      </c>
      <c r="Y106" s="256">
        <v>9</v>
      </c>
      <c r="Z106" s="256">
        <v>7.7469999999999997E-2</v>
      </c>
      <c r="AA106" s="256">
        <v>4.6730000000000001E-2</v>
      </c>
      <c r="AB106" s="256">
        <v>0</v>
      </c>
      <c r="AC106" s="256">
        <v>15.124924</v>
      </c>
      <c r="AD106" s="256">
        <v>0.69763900000000001</v>
      </c>
      <c r="AE106" s="231">
        <v>2.4068550000000002</v>
      </c>
      <c r="AF106" s="231">
        <v>0.35</v>
      </c>
      <c r="AG106" s="231">
        <v>0.55000000000000004</v>
      </c>
      <c r="AH106" s="231">
        <v>49</v>
      </c>
      <c r="AI106" s="231">
        <v>26.95</v>
      </c>
      <c r="AJ106" s="231">
        <v>0</v>
      </c>
      <c r="AK106" s="231"/>
      <c r="AL106" s="231">
        <v>0</v>
      </c>
      <c r="AM106" s="256">
        <v>1</v>
      </c>
      <c r="AN106" s="256">
        <v>0.69763900000000001</v>
      </c>
      <c r="AO106" s="256">
        <v>2.4068550000000002</v>
      </c>
      <c r="AP106" s="256">
        <v>23.469629000000001</v>
      </c>
      <c r="AQ106" s="231">
        <v>20.273007</v>
      </c>
      <c r="AR106" s="255">
        <v>58.2</v>
      </c>
      <c r="AS106" s="231">
        <v>0</v>
      </c>
      <c r="AT106" s="231"/>
      <c r="AU106" s="231"/>
      <c r="AV106" s="231"/>
      <c r="AW106" s="231"/>
      <c r="AX106" s="231"/>
      <c r="AY106" s="231"/>
      <c r="AZ106" s="231"/>
      <c r="BA106" s="116" t="s">
        <v>132</v>
      </c>
    </row>
    <row r="107" spans="1:53">
      <c r="A107" s="69" t="str">
        <f t="shared" si="1"/>
        <v>Desarrollo</v>
      </c>
      <c r="B107" s="232">
        <v>42105</v>
      </c>
      <c r="C107" s="232" t="s">
        <v>133</v>
      </c>
      <c r="D107" s="231">
        <v>101</v>
      </c>
      <c r="E107" s="255">
        <v>14.030347000000001</v>
      </c>
      <c r="F107" s="255">
        <v>3.916992</v>
      </c>
      <c r="G107" s="255">
        <v>9.1736690000000003</v>
      </c>
      <c r="H107" s="255">
        <v>4.2</v>
      </c>
      <c r="I107" s="255">
        <v>2.8</v>
      </c>
      <c r="J107" s="255">
        <v>14.97</v>
      </c>
      <c r="K107" s="255">
        <v>44.1952</v>
      </c>
      <c r="L107" s="255">
        <v>0</v>
      </c>
      <c r="M107" s="255">
        <v>0</v>
      </c>
      <c r="N107" s="231">
        <v>0.66818200000000005</v>
      </c>
      <c r="O107" s="231">
        <v>0.53796299999999997</v>
      </c>
      <c r="P107" s="231">
        <v>0.15</v>
      </c>
      <c r="Q107" s="255">
        <v>1.2</v>
      </c>
      <c r="R107" s="255">
        <v>1.254472</v>
      </c>
      <c r="S107" s="231">
        <v>0</v>
      </c>
      <c r="T107" s="231">
        <v>0.8</v>
      </c>
      <c r="U107" s="231">
        <v>1</v>
      </c>
      <c r="V107" s="231">
        <v>0.2</v>
      </c>
      <c r="W107" s="255">
        <v>20</v>
      </c>
      <c r="X107" s="231">
        <v>15.124924</v>
      </c>
      <c r="Y107" s="256">
        <v>9</v>
      </c>
      <c r="Z107" s="256">
        <v>6.6477999999999995E-2</v>
      </c>
      <c r="AA107" s="256">
        <v>3.8975999999999997E-2</v>
      </c>
      <c r="AB107" s="256">
        <v>0</v>
      </c>
      <c r="AC107" s="256">
        <v>15.670582</v>
      </c>
      <c r="AD107" s="256">
        <v>0.70715700000000004</v>
      </c>
      <c r="AE107" s="231">
        <v>1.9800409999999999</v>
      </c>
      <c r="AF107" s="231">
        <v>0.35</v>
      </c>
      <c r="AG107" s="231">
        <v>0.55000000000000004</v>
      </c>
      <c r="AH107" s="231">
        <v>49</v>
      </c>
      <c r="AI107" s="231">
        <v>26.95</v>
      </c>
      <c r="AJ107" s="231">
        <v>0</v>
      </c>
      <c r="AK107" s="231"/>
      <c r="AL107" s="231">
        <v>0</v>
      </c>
      <c r="AM107" s="256">
        <v>1</v>
      </c>
      <c r="AN107" s="256">
        <v>0.70715700000000004</v>
      </c>
      <c r="AO107" s="256">
        <v>1.9800409999999999</v>
      </c>
      <c r="AP107" s="256">
        <v>25.449669</v>
      </c>
      <c r="AQ107" s="231">
        <v>0</v>
      </c>
      <c r="AR107" s="255">
        <v>58.2</v>
      </c>
      <c r="AS107" s="231">
        <v>0</v>
      </c>
      <c r="AT107" s="231"/>
      <c r="AU107" s="231"/>
      <c r="AV107" s="231"/>
      <c r="AW107" s="231"/>
      <c r="AX107" s="231"/>
      <c r="AY107" s="231"/>
      <c r="AZ107" s="231"/>
      <c r="BA107" s="116" t="s">
        <v>132</v>
      </c>
    </row>
    <row r="108" spans="1:53">
      <c r="A108" s="69" t="str">
        <f t="shared" si="1"/>
        <v>Desarrollo</v>
      </c>
      <c r="B108" s="232">
        <v>42106</v>
      </c>
      <c r="C108" s="232" t="s">
        <v>133</v>
      </c>
      <c r="D108" s="231">
        <v>102</v>
      </c>
      <c r="E108" s="255">
        <v>15.791283999999999</v>
      </c>
      <c r="F108" s="255">
        <v>4.5775389999999998</v>
      </c>
      <c r="G108" s="255">
        <v>10.234412000000001</v>
      </c>
      <c r="H108" s="255">
        <v>3.3</v>
      </c>
      <c r="I108" s="255">
        <v>3.4</v>
      </c>
      <c r="J108" s="255">
        <v>26.15</v>
      </c>
      <c r="K108" s="255">
        <v>34.2684</v>
      </c>
      <c r="L108" s="255">
        <v>0</v>
      </c>
      <c r="M108" s="255">
        <v>0</v>
      </c>
      <c r="N108" s="231">
        <v>0.68545500000000004</v>
      </c>
      <c r="O108" s="231">
        <v>0.54444400000000004</v>
      </c>
      <c r="P108" s="231">
        <v>0.15</v>
      </c>
      <c r="Q108" s="255">
        <v>1.1000000000000001</v>
      </c>
      <c r="R108" s="255">
        <v>1.15689</v>
      </c>
      <c r="S108" s="231">
        <v>11</v>
      </c>
      <c r="T108" s="231">
        <v>0.8</v>
      </c>
      <c r="U108" s="231">
        <v>1</v>
      </c>
      <c r="V108" s="231">
        <v>0.2</v>
      </c>
      <c r="W108" s="255">
        <v>20</v>
      </c>
      <c r="X108" s="231">
        <v>6.3205819999999999</v>
      </c>
      <c r="Y108" s="256">
        <v>9</v>
      </c>
      <c r="Z108" s="256">
        <v>5.9038E-2</v>
      </c>
      <c r="AA108" s="256">
        <v>2.7831999999999999E-2</v>
      </c>
      <c r="AB108" s="256">
        <v>0</v>
      </c>
      <c r="AC108" s="256">
        <v>6.7937329999999996</v>
      </c>
      <c r="AD108" s="256">
        <v>0.713287</v>
      </c>
      <c r="AE108" s="231">
        <v>2.425176</v>
      </c>
      <c r="AF108" s="231">
        <v>0.35</v>
      </c>
      <c r="AG108" s="231">
        <v>0.55000000000000004</v>
      </c>
      <c r="AH108" s="231">
        <v>49</v>
      </c>
      <c r="AI108" s="231">
        <v>26.95</v>
      </c>
      <c r="AJ108" s="231">
        <v>9.35</v>
      </c>
      <c r="AK108" s="231">
        <v>11</v>
      </c>
      <c r="AL108" s="231">
        <v>0</v>
      </c>
      <c r="AM108" s="256">
        <v>1</v>
      </c>
      <c r="AN108" s="256">
        <v>0.713287</v>
      </c>
      <c r="AO108" s="256">
        <v>2.425176</v>
      </c>
      <c r="AP108" s="256">
        <v>18.524844999999999</v>
      </c>
      <c r="AQ108" s="231">
        <v>2.425176</v>
      </c>
      <c r="AR108" s="255">
        <v>69.2</v>
      </c>
      <c r="AS108" s="231">
        <v>0</v>
      </c>
      <c r="AT108" s="231"/>
      <c r="AU108" s="231"/>
      <c r="AV108" s="231"/>
      <c r="AW108" s="231"/>
      <c r="AX108" s="231"/>
      <c r="AY108" s="231"/>
      <c r="AZ108" s="231"/>
      <c r="BA108" s="116" t="s">
        <v>132</v>
      </c>
    </row>
    <row r="109" spans="1:53">
      <c r="A109" s="69" t="str">
        <f t="shared" si="1"/>
        <v>Desarrollo</v>
      </c>
      <c r="B109" s="232">
        <v>42107</v>
      </c>
      <c r="C109" s="232" t="s">
        <v>133</v>
      </c>
      <c r="D109" s="231">
        <v>103</v>
      </c>
      <c r="E109" s="255">
        <v>17.546700999999999</v>
      </c>
      <c r="F109" s="255">
        <v>4.9637000000000002</v>
      </c>
      <c r="G109" s="255">
        <v>11.355200999999999</v>
      </c>
      <c r="H109" s="255">
        <v>2.2000000000000002</v>
      </c>
      <c r="I109" s="255">
        <v>3.6</v>
      </c>
      <c r="J109" s="255">
        <v>28.39</v>
      </c>
      <c r="K109" s="255">
        <v>39.638399999999997</v>
      </c>
      <c r="L109" s="255">
        <v>0</v>
      </c>
      <c r="M109" s="255">
        <v>0</v>
      </c>
      <c r="N109" s="231">
        <v>0.70272699999999999</v>
      </c>
      <c r="O109" s="231">
        <v>0.55092600000000003</v>
      </c>
      <c r="P109" s="231">
        <v>0.15</v>
      </c>
      <c r="Q109" s="255">
        <v>1.1000000000000001</v>
      </c>
      <c r="R109" s="255">
        <v>1.11771</v>
      </c>
      <c r="S109" s="231">
        <v>0</v>
      </c>
      <c r="T109" s="231">
        <v>0.8</v>
      </c>
      <c r="U109" s="231">
        <v>1</v>
      </c>
      <c r="V109" s="231">
        <v>0.2</v>
      </c>
      <c r="W109" s="255">
        <v>20</v>
      </c>
      <c r="X109" s="231">
        <v>6.7937329999999996</v>
      </c>
      <c r="Y109" s="256">
        <v>9</v>
      </c>
      <c r="Z109" s="256">
        <v>1</v>
      </c>
      <c r="AA109" s="256">
        <v>0.22354199999999999</v>
      </c>
      <c r="AB109" s="256">
        <v>0</v>
      </c>
      <c r="AC109" s="256">
        <v>10.817489999999999</v>
      </c>
      <c r="AD109" s="256">
        <v>0.92626900000000001</v>
      </c>
      <c r="AE109" s="231">
        <v>3.3345699999999998</v>
      </c>
      <c r="AF109" s="231">
        <v>0.35</v>
      </c>
      <c r="AG109" s="231">
        <v>0.55000000000000004</v>
      </c>
      <c r="AH109" s="231">
        <v>49</v>
      </c>
      <c r="AI109" s="231">
        <v>26.95</v>
      </c>
      <c r="AJ109" s="231">
        <v>0</v>
      </c>
      <c r="AK109" s="231"/>
      <c r="AL109" s="231">
        <v>0</v>
      </c>
      <c r="AM109" s="256">
        <v>1</v>
      </c>
      <c r="AN109" s="256">
        <v>0.92626900000000001</v>
      </c>
      <c r="AO109" s="256">
        <v>3.3345699999999998</v>
      </c>
      <c r="AP109" s="256">
        <v>21.859414000000001</v>
      </c>
      <c r="AQ109" s="231">
        <v>5.7597449999999997</v>
      </c>
      <c r="AR109" s="255">
        <v>69.2</v>
      </c>
      <c r="AS109" s="231">
        <v>0</v>
      </c>
      <c r="AT109" s="231"/>
      <c r="AU109" s="231"/>
      <c r="AV109" s="231"/>
      <c r="AW109" s="231"/>
      <c r="AX109" s="231"/>
      <c r="AY109" s="231"/>
      <c r="AZ109" s="231"/>
      <c r="BA109" s="116" t="s">
        <v>132</v>
      </c>
    </row>
    <row r="110" spans="1:53">
      <c r="A110" s="69" t="str">
        <f t="shared" si="1"/>
        <v>Desarrollo</v>
      </c>
      <c r="B110" s="232">
        <v>42108</v>
      </c>
      <c r="C110" s="232" t="s">
        <v>133</v>
      </c>
      <c r="D110" s="231">
        <v>104</v>
      </c>
      <c r="E110" s="255">
        <v>17.895251999999999</v>
      </c>
      <c r="F110" s="255">
        <v>4.9703280000000003</v>
      </c>
      <c r="G110" s="255">
        <v>12.03279</v>
      </c>
      <c r="H110" s="255">
        <v>1.8</v>
      </c>
      <c r="I110" s="255">
        <v>3</v>
      </c>
      <c r="J110" s="255">
        <v>20.2</v>
      </c>
      <c r="K110" s="255">
        <v>50.154899999999998</v>
      </c>
      <c r="L110" s="255">
        <v>0</v>
      </c>
      <c r="M110" s="255">
        <v>0</v>
      </c>
      <c r="N110" s="231">
        <v>0.72</v>
      </c>
      <c r="O110" s="231">
        <v>0.55740699999999999</v>
      </c>
      <c r="P110" s="231">
        <v>0.15</v>
      </c>
      <c r="Q110" s="255">
        <v>1.1499999999999999</v>
      </c>
      <c r="R110" s="255">
        <v>1.132727</v>
      </c>
      <c r="S110" s="231">
        <v>0</v>
      </c>
      <c r="T110" s="231">
        <v>0.8</v>
      </c>
      <c r="U110" s="231">
        <v>1</v>
      </c>
      <c r="V110" s="231">
        <v>0.2</v>
      </c>
      <c r="W110" s="255">
        <v>20</v>
      </c>
      <c r="X110" s="231">
        <v>10.817489999999999</v>
      </c>
      <c r="Y110" s="256">
        <v>9</v>
      </c>
      <c r="Z110" s="256">
        <v>0.12521599999999999</v>
      </c>
      <c r="AA110" s="256">
        <v>5.1679999999999997E-2</v>
      </c>
      <c r="AB110" s="256">
        <v>0</v>
      </c>
      <c r="AC110" s="256">
        <v>11.592689</v>
      </c>
      <c r="AD110" s="256">
        <v>0.77168000000000003</v>
      </c>
      <c r="AE110" s="231">
        <v>2.3150400000000002</v>
      </c>
      <c r="AF110" s="231">
        <v>0.35</v>
      </c>
      <c r="AG110" s="231">
        <v>0.55000000000000004</v>
      </c>
      <c r="AH110" s="231">
        <v>49</v>
      </c>
      <c r="AI110" s="231">
        <v>26.95</v>
      </c>
      <c r="AJ110" s="231">
        <v>0</v>
      </c>
      <c r="AK110" s="231"/>
      <c r="AL110" s="231">
        <v>0</v>
      </c>
      <c r="AM110" s="256">
        <v>1</v>
      </c>
      <c r="AN110" s="256">
        <v>0.77168000000000003</v>
      </c>
      <c r="AO110" s="256">
        <v>2.3150400000000002</v>
      </c>
      <c r="AP110" s="256">
        <v>24.174454000000001</v>
      </c>
      <c r="AQ110" s="231">
        <v>8.0747850000000003</v>
      </c>
      <c r="AR110" s="255">
        <v>69.2</v>
      </c>
      <c r="AS110" s="231">
        <v>0</v>
      </c>
      <c r="AT110" s="231"/>
      <c r="AU110" s="231"/>
      <c r="AV110" s="231"/>
      <c r="AW110" s="231"/>
      <c r="AX110" s="231"/>
      <c r="AY110" s="231"/>
      <c r="AZ110" s="231"/>
      <c r="BA110" s="116" t="s">
        <v>132</v>
      </c>
    </row>
    <row r="111" spans="1:53">
      <c r="A111" s="69" t="str">
        <f t="shared" si="1"/>
        <v>Desarrollo</v>
      </c>
      <c r="B111" s="232">
        <v>42109</v>
      </c>
      <c r="C111" s="232" t="s">
        <v>133</v>
      </c>
      <c r="D111" s="231">
        <v>105</v>
      </c>
      <c r="E111" s="255">
        <v>15.317724999999999</v>
      </c>
      <c r="F111" s="255">
        <v>6.4918449999999996</v>
      </c>
      <c r="G111" s="255">
        <v>10.729785</v>
      </c>
      <c r="H111" s="255">
        <v>3.1</v>
      </c>
      <c r="I111" s="255">
        <v>2.7</v>
      </c>
      <c r="J111" s="255">
        <v>21.64</v>
      </c>
      <c r="K111" s="255">
        <v>51.587800000000001</v>
      </c>
      <c r="L111" s="255">
        <v>0</v>
      </c>
      <c r="M111" s="255">
        <v>0</v>
      </c>
      <c r="N111" s="231">
        <v>0.73727299999999996</v>
      </c>
      <c r="O111" s="231">
        <v>0.56388899999999997</v>
      </c>
      <c r="P111" s="231">
        <v>0.15</v>
      </c>
      <c r="Q111" s="255">
        <v>1.1499999999999999</v>
      </c>
      <c r="R111" s="255">
        <v>1.1606890000000001</v>
      </c>
      <c r="S111" s="231">
        <v>0</v>
      </c>
      <c r="T111" s="231">
        <v>0.8</v>
      </c>
      <c r="U111" s="231">
        <v>1</v>
      </c>
      <c r="V111" s="231">
        <v>0.2</v>
      </c>
      <c r="W111" s="255">
        <v>20</v>
      </c>
      <c r="X111" s="231">
        <v>11.592689</v>
      </c>
      <c r="Y111" s="256">
        <v>9</v>
      </c>
      <c r="Z111" s="256">
        <v>0.114645</v>
      </c>
      <c r="AA111" s="256">
        <v>4.8543000000000003E-2</v>
      </c>
      <c r="AB111" s="256">
        <v>0</v>
      </c>
      <c r="AC111" s="256">
        <v>12.248015000000001</v>
      </c>
      <c r="AD111" s="256">
        <v>0.78581500000000004</v>
      </c>
      <c r="AE111" s="231">
        <v>2.1217009999999998</v>
      </c>
      <c r="AF111" s="231">
        <v>0.35</v>
      </c>
      <c r="AG111" s="231">
        <v>0.55000000000000004</v>
      </c>
      <c r="AH111" s="231">
        <v>49</v>
      </c>
      <c r="AI111" s="231">
        <v>26.95</v>
      </c>
      <c r="AJ111" s="231">
        <v>0</v>
      </c>
      <c r="AK111" s="231"/>
      <c r="AL111" s="231">
        <v>0</v>
      </c>
      <c r="AM111" s="256">
        <v>1</v>
      </c>
      <c r="AN111" s="256">
        <v>0.78581500000000004</v>
      </c>
      <c r="AO111" s="256">
        <v>2.1217009999999998</v>
      </c>
      <c r="AP111" s="256">
        <v>26.296156</v>
      </c>
      <c r="AQ111" s="231">
        <v>10.196486</v>
      </c>
      <c r="AR111" s="255">
        <v>69.2</v>
      </c>
      <c r="AS111" s="231">
        <v>0</v>
      </c>
      <c r="AT111" s="231"/>
      <c r="AU111" s="231"/>
      <c r="AV111" s="231"/>
      <c r="AW111" s="231"/>
      <c r="AX111" s="231"/>
      <c r="AY111" s="231"/>
      <c r="AZ111" s="231"/>
      <c r="BA111" s="116" t="s">
        <v>132</v>
      </c>
    </row>
    <row r="112" spans="1:53">
      <c r="A112" s="69" t="str">
        <f t="shared" si="1"/>
        <v>Desarrollo</v>
      </c>
      <c r="B112" s="232">
        <v>42110</v>
      </c>
      <c r="C112" s="232" t="s">
        <v>133</v>
      </c>
      <c r="D112" s="231">
        <v>106</v>
      </c>
      <c r="E112" s="255">
        <v>18.028369000000001</v>
      </c>
      <c r="F112" s="255">
        <v>4.8531979999999999</v>
      </c>
      <c r="G112" s="255">
        <v>11.165784</v>
      </c>
      <c r="H112" s="255">
        <v>2.8</v>
      </c>
      <c r="I112" s="255">
        <v>3.45</v>
      </c>
      <c r="J112" s="255">
        <v>19.78</v>
      </c>
      <c r="K112" s="255">
        <v>42.768500000000003</v>
      </c>
      <c r="L112" s="255">
        <v>0</v>
      </c>
      <c r="M112" s="255">
        <v>0</v>
      </c>
      <c r="N112" s="231">
        <v>0.75454500000000002</v>
      </c>
      <c r="O112" s="231">
        <v>0.57037000000000004</v>
      </c>
      <c r="P112" s="231">
        <v>0.15</v>
      </c>
      <c r="Q112" s="255">
        <v>1.2</v>
      </c>
      <c r="R112" s="255">
        <v>1.224872</v>
      </c>
      <c r="S112" s="231">
        <v>0</v>
      </c>
      <c r="T112" s="231">
        <v>0.8</v>
      </c>
      <c r="U112" s="231">
        <v>1</v>
      </c>
      <c r="V112" s="231">
        <v>0.2</v>
      </c>
      <c r="W112" s="255">
        <v>20</v>
      </c>
      <c r="X112" s="231">
        <v>12.248015000000001</v>
      </c>
      <c r="Y112" s="256">
        <v>9</v>
      </c>
      <c r="Z112" s="256">
        <v>0.105709</v>
      </c>
      <c r="AA112" s="256">
        <v>4.9717999999999998E-2</v>
      </c>
      <c r="AB112" s="256">
        <v>0</v>
      </c>
      <c r="AC112" s="256">
        <v>13.105645000000001</v>
      </c>
      <c r="AD112" s="256">
        <v>0.80426299999999995</v>
      </c>
      <c r="AE112" s="231">
        <v>2.774708</v>
      </c>
      <c r="AF112" s="231">
        <v>0.35</v>
      </c>
      <c r="AG112" s="231">
        <v>0.55000000000000004</v>
      </c>
      <c r="AH112" s="231">
        <v>49</v>
      </c>
      <c r="AI112" s="231">
        <v>26.95</v>
      </c>
      <c r="AJ112" s="231">
        <v>0</v>
      </c>
      <c r="AK112" s="231"/>
      <c r="AL112" s="231">
        <v>0</v>
      </c>
      <c r="AM112" s="256">
        <v>1</v>
      </c>
      <c r="AN112" s="256">
        <v>0.80426299999999995</v>
      </c>
      <c r="AO112" s="256">
        <v>2.774708</v>
      </c>
      <c r="AP112" s="256">
        <v>29.070864</v>
      </c>
      <c r="AQ112" s="231">
        <v>12.971194000000001</v>
      </c>
      <c r="AR112" s="255">
        <v>69.2</v>
      </c>
      <c r="AS112" s="231">
        <v>0</v>
      </c>
      <c r="AT112" s="231"/>
      <c r="AU112" s="231"/>
      <c r="AV112" s="231"/>
      <c r="AW112" s="231"/>
      <c r="AX112" s="231"/>
      <c r="AY112" s="231"/>
      <c r="AZ112" s="231"/>
      <c r="BA112" s="116" t="s">
        <v>132</v>
      </c>
    </row>
    <row r="113" spans="1:53">
      <c r="A113" s="69" t="str">
        <f t="shared" si="1"/>
        <v>Desarrollo</v>
      </c>
      <c r="B113" s="232">
        <v>42111</v>
      </c>
      <c r="C113" s="232" t="s">
        <v>133</v>
      </c>
      <c r="D113" s="231">
        <v>107</v>
      </c>
      <c r="E113" s="255">
        <v>17.724463</v>
      </c>
      <c r="F113" s="255">
        <v>6.8913089999999997</v>
      </c>
      <c r="G113" s="255">
        <v>12.132885999999999</v>
      </c>
      <c r="H113" s="255">
        <v>1.9</v>
      </c>
      <c r="I113" s="255">
        <v>3.2</v>
      </c>
      <c r="J113" s="255">
        <v>17.8</v>
      </c>
      <c r="K113" s="255">
        <v>46.948050000000002</v>
      </c>
      <c r="L113" s="255">
        <v>0</v>
      </c>
      <c r="M113" s="255">
        <v>0</v>
      </c>
      <c r="N113" s="231">
        <v>0.771818</v>
      </c>
      <c r="O113" s="231">
        <v>0.57685200000000003</v>
      </c>
      <c r="P113" s="231">
        <v>0.15</v>
      </c>
      <c r="Q113" s="255">
        <v>1.1000000000000001</v>
      </c>
      <c r="R113" s="255">
        <v>1.0928089999999999</v>
      </c>
      <c r="S113" s="231">
        <v>12.6</v>
      </c>
      <c r="T113" s="231">
        <v>0.8</v>
      </c>
      <c r="U113" s="231">
        <v>1</v>
      </c>
      <c r="V113" s="231">
        <v>0.2</v>
      </c>
      <c r="W113" s="255">
        <v>20</v>
      </c>
      <c r="X113" s="231">
        <v>2.395645</v>
      </c>
      <c r="Y113" s="256">
        <v>9</v>
      </c>
      <c r="Z113" s="256">
        <v>9.4014E-2</v>
      </c>
      <c r="AA113" s="256">
        <v>3.0178E-2</v>
      </c>
      <c r="AB113" s="256">
        <v>0</v>
      </c>
      <c r="AC113" s="256">
        <v>2.8784869999999998</v>
      </c>
      <c r="AD113" s="256">
        <v>0.80199600000000004</v>
      </c>
      <c r="AE113" s="231">
        <v>2.5663870000000002</v>
      </c>
      <c r="AF113" s="231">
        <v>0.35</v>
      </c>
      <c r="AG113" s="231">
        <v>0.55000000000000004</v>
      </c>
      <c r="AH113" s="231">
        <v>49</v>
      </c>
      <c r="AI113" s="231">
        <v>26.95</v>
      </c>
      <c r="AJ113" s="231">
        <v>10.71</v>
      </c>
      <c r="AK113" s="231">
        <v>12.6</v>
      </c>
      <c r="AL113" s="231">
        <v>0</v>
      </c>
      <c r="AM113" s="256">
        <v>0.90381599999999995</v>
      </c>
      <c r="AN113" s="256">
        <v>0.72775900000000004</v>
      </c>
      <c r="AO113" s="256">
        <v>2.3288289999999998</v>
      </c>
      <c r="AP113" s="256">
        <v>20.689692999999998</v>
      </c>
      <c r="AQ113" s="231">
        <v>15.537580999999999</v>
      </c>
      <c r="AR113" s="255">
        <v>81.8</v>
      </c>
      <c r="AS113" s="231">
        <v>0</v>
      </c>
      <c r="AT113" s="231"/>
      <c r="AU113" s="231"/>
      <c r="AV113" s="231"/>
      <c r="AW113" s="231"/>
      <c r="AX113" s="231"/>
      <c r="AY113" s="231"/>
      <c r="AZ113" s="231"/>
      <c r="BA113" s="116" t="s">
        <v>132</v>
      </c>
    </row>
    <row r="114" spans="1:53">
      <c r="A114" s="69" t="str">
        <f t="shared" si="1"/>
        <v>Desarrollo</v>
      </c>
      <c r="B114" s="232">
        <v>42112</v>
      </c>
      <c r="C114" s="232" t="s">
        <v>133</v>
      </c>
      <c r="D114" s="231">
        <v>108</v>
      </c>
      <c r="E114" s="255">
        <v>17.427026000000001</v>
      </c>
      <c r="F114" s="255">
        <v>7.8911379999999998</v>
      </c>
      <c r="G114" s="255">
        <v>12.134081999999999</v>
      </c>
      <c r="H114" s="255">
        <v>1.6</v>
      </c>
      <c r="I114" s="255">
        <v>2.75</v>
      </c>
      <c r="J114" s="255">
        <v>17.63</v>
      </c>
      <c r="K114" s="255">
        <v>55.64425</v>
      </c>
      <c r="L114" s="255">
        <v>0</v>
      </c>
      <c r="M114" s="255">
        <v>0</v>
      </c>
      <c r="N114" s="231">
        <v>0.78909099999999999</v>
      </c>
      <c r="O114" s="231">
        <v>0.58333299999999999</v>
      </c>
      <c r="P114" s="231">
        <v>0.15</v>
      </c>
      <c r="Q114" s="255">
        <v>1.1000000000000001</v>
      </c>
      <c r="R114" s="255">
        <v>1.06416</v>
      </c>
      <c r="S114" s="231">
        <v>0</v>
      </c>
      <c r="T114" s="231">
        <v>0.8</v>
      </c>
      <c r="U114" s="231">
        <v>1</v>
      </c>
      <c r="V114" s="231">
        <v>0.2</v>
      </c>
      <c r="W114" s="255">
        <v>20</v>
      </c>
      <c r="X114" s="231">
        <v>2.8784869999999998</v>
      </c>
      <c r="Y114" s="256">
        <v>9</v>
      </c>
      <c r="Z114" s="256">
        <v>1</v>
      </c>
      <c r="AA114" s="256">
        <v>0.21283199999999999</v>
      </c>
      <c r="AB114" s="256">
        <v>0</v>
      </c>
      <c r="AC114" s="256">
        <v>5.8049270000000002</v>
      </c>
      <c r="AD114" s="256">
        <v>1.0019229999999999</v>
      </c>
      <c r="AE114" s="231">
        <v>2.7552880000000002</v>
      </c>
      <c r="AF114" s="231">
        <v>0.35</v>
      </c>
      <c r="AG114" s="231">
        <v>0.55000000000000004</v>
      </c>
      <c r="AH114" s="231">
        <v>49</v>
      </c>
      <c r="AI114" s="231">
        <v>26.95</v>
      </c>
      <c r="AJ114" s="231">
        <v>0</v>
      </c>
      <c r="AK114" s="231"/>
      <c r="AL114" s="231">
        <v>0</v>
      </c>
      <c r="AM114" s="256">
        <v>1</v>
      </c>
      <c r="AN114" s="256">
        <v>1.0019229999999999</v>
      </c>
      <c r="AO114" s="256">
        <v>2.7552880000000002</v>
      </c>
      <c r="AP114" s="256">
        <v>23.444980999999999</v>
      </c>
      <c r="AQ114" s="231">
        <v>18.292869</v>
      </c>
      <c r="AR114" s="255">
        <v>81.8</v>
      </c>
      <c r="AS114" s="231">
        <v>0</v>
      </c>
      <c r="AT114" s="231"/>
      <c r="AU114" s="231"/>
      <c r="AV114" s="231"/>
      <c r="AW114" s="231"/>
      <c r="AX114" s="231"/>
      <c r="AY114" s="231"/>
      <c r="AZ114" s="231"/>
      <c r="BA114" s="116" t="s">
        <v>132</v>
      </c>
    </row>
    <row r="115" spans="1:53">
      <c r="A115" s="69" t="str">
        <f t="shared" si="1"/>
        <v>Desarrollo</v>
      </c>
      <c r="B115" s="232">
        <v>42113</v>
      </c>
      <c r="C115" s="232" t="s">
        <v>133</v>
      </c>
      <c r="D115" s="231">
        <v>109</v>
      </c>
      <c r="E115" s="255">
        <v>17.241626</v>
      </c>
      <c r="F115" s="255">
        <v>6.5792479999999998</v>
      </c>
      <c r="G115" s="255">
        <v>11.535437</v>
      </c>
      <c r="H115" s="255">
        <v>1.4</v>
      </c>
      <c r="I115" s="255">
        <v>2.6</v>
      </c>
      <c r="J115" s="255">
        <v>11.36</v>
      </c>
      <c r="K115" s="255">
        <v>64.320899999999995</v>
      </c>
      <c r="L115" s="255">
        <v>0</v>
      </c>
      <c r="M115" s="255">
        <v>0</v>
      </c>
      <c r="N115" s="231">
        <v>0.80636399999999997</v>
      </c>
      <c r="O115" s="231">
        <v>0.58981499999999998</v>
      </c>
      <c r="P115" s="231">
        <v>0.15</v>
      </c>
      <c r="Q115" s="255">
        <v>1.1499999999999999</v>
      </c>
      <c r="R115" s="255">
        <v>1.087825</v>
      </c>
      <c r="S115" s="231">
        <v>0</v>
      </c>
      <c r="T115" s="231">
        <v>0.8</v>
      </c>
      <c r="U115" s="231">
        <v>1</v>
      </c>
      <c r="V115" s="231">
        <v>0.2</v>
      </c>
      <c r="W115" s="255">
        <v>20</v>
      </c>
      <c r="X115" s="231">
        <v>5.8049270000000002</v>
      </c>
      <c r="Y115" s="256">
        <v>9</v>
      </c>
      <c r="Z115" s="256">
        <v>1</v>
      </c>
      <c r="AA115" s="256">
        <v>0.21756500000000001</v>
      </c>
      <c r="AB115" s="256">
        <v>0</v>
      </c>
      <c r="AC115" s="256">
        <v>8.6332719999999998</v>
      </c>
      <c r="AD115" s="256">
        <v>1.0239290000000001</v>
      </c>
      <c r="AE115" s="231">
        <v>2.6622140000000001</v>
      </c>
      <c r="AF115" s="231">
        <v>0.35</v>
      </c>
      <c r="AG115" s="231">
        <v>0.55000000000000004</v>
      </c>
      <c r="AH115" s="231">
        <v>49</v>
      </c>
      <c r="AI115" s="231">
        <v>26.95</v>
      </c>
      <c r="AJ115" s="231">
        <v>0</v>
      </c>
      <c r="AK115" s="231"/>
      <c r="AL115" s="231">
        <v>0</v>
      </c>
      <c r="AM115" s="256">
        <v>1</v>
      </c>
      <c r="AN115" s="256">
        <v>1.0239290000000001</v>
      </c>
      <c r="AO115" s="256">
        <v>2.6622140000000001</v>
      </c>
      <c r="AP115" s="256">
        <v>26.107195000000001</v>
      </c>
      <c r="AQ115" s="231">
        <v>20.955082999999998</v>
      </c>
      <c r="AR115" s="255">
        <v>81.8</v>
      </c>
      <c r="AS115" s="231">
        <v>0</v>
      </c>
      <c r="AT115" s="231"/>
      <c r="AU115" s="231"/>
      <c r="AV115" s="231"/>
      <c r="AW115" s="231"/>
      <c r="AX115" s="231"/>
      <c r="AY115" s="231"/>
      <c r="AZ115" s="231"/>
      <c r="BA115" s="116" t="s">
        <v>132</v>
      </c>
    </row>
    <row r="116" spans="1:53">
      <c r="A116" s="69" t="str">
        <f t="shared" si="1"/>
        <v>Desarrollo</v>
      </c>
      <c r="B116" s="232">
        <v>42114</v>
      </c>
      <c r="C116" s="232" t="s">
        <v>133</v>
      </c>
      <c r="D116" s="231">
        <v>110</v>
      </c>
      <c r="E116" s="255">
        <v>17.615475</v>
      </c>
      <c r="F116" s="255">
        <v>5.4290649999999996</v>
      </c>
      <c r="G116" s="255">
        <v>11.422269999999999</v>
      </c>
      <c r="H116" s="255">
        <v>1.4</v>
      </c>
      <c r="I116" s="255">
        <v>3.4</v>
      </c>
      <c r="J116" s="255">
        <v>20.03</v>
      </c>
      <c r="K116" s="255">
        <v>42.438249999999996</v>
      </c>
      <c r="L116" s="255">
        <v>0</v>
      </c>
      <c r="M116" s="255">
        <v>0</v>
      </c>
      <c r="N116" s="231">
        <v>0.82363600000000003</v>
      </c>
      <c r="O116" s="231">
        <v>0.59629600000000005</v>
      </c>
      <c r="P116" s="231">
        <v>0.15</v>
      </c>
      <c r="Q116" s="255">
        <v>1.1499999999999999</v>
      </c>
      <c r="R116" s="255">
        <v>1.1415299999999999</v>
      </c>
      <c r="S116" s="231">
        <v>0</v>
      </c>
      <c r="T116" s="231">
        <v>0.8</v>
      </c>
      <c r="U116" s="231">
        <v>1</v>
      </c>
      <c r="V116" s="231">
        <v>0.2</v>
      </c>
      <c r="W116" s="255">
        <v>20</v>
      </c>
      <c r="X116" s="231">
        <v>8.6332719999999998</v>
      </c>
      <c r="Y116" s="256">
        <v>9</v>
      </c>
      <c r="Z116" s="256">
        <v>1</v>
      </c>
      <c r="AA116" s="256">
        <v>0.22830600000000001</v>
      </c>
      <c r="AB116" s="256">
        <v>0</v>
      </c>
      <c r="AC116" s="256">
        <v>12.514473000000001</v>
      </c>
      <c r="AD116" s="256">
        <v>1.0519419999999999</v>
      </c>
      <c r="AE116" s="231">
        <v>3.5766040000000001</v>
      </c>
      <c r="AF116" s="231">
        <v>0.35</v>
      </c>
      <c r="AG116" s="231">
        <v>0.55000000000000004</v>
      </c>
      <c r="AH116" s="231">
        <v>49</v>
      </c>
      <c r="AI116" s="231">
        <v>26.95</v>
      </c>
      <c r="AJ116" s="231">
        <v>0</v>
      </c>
      <c r="AK116" s="231"/>
      <c r="AL116" s="231">
        <v>0</v>
      </c>
      <c r="AM116" s="256">
        <v>1</v>
      </c>
      <c r="AN116" s="256">
        <v>1.0519419999999999</v>
      </c>
      <c r="AO116" s="256">
        <v>3.5766040000000001</v>
      </c>
      <c r="AP116" s="256">
        <v>29.683799</v>
      </c>
      <c r="AQ116" s="231">
        <v>24.531687000000002</v>
      </c>
      <c r="AR116" s="255">
        <v>81.8</v>
      </c>
      <c r="AS116" s="231">
        <v>0</v>
      </c>
      <c r="AT116" s="231"/>
      <c r="AU116" s="231"/>
      <c r="AV116" s="231"/>
      <c r="AW116" s="231"/>
      <c r="AX116" s="231"/>
      <c r="AY116" s="231"/>
      <c r="AZ116" s="231"/>
      <c r="BA116" s="116" t="s">
        <v>132</v>
      </c>
    </row>
    <row r="117" spans="1:53">
      <c r="A117" s="69" t="str">
        <f t="shared" si="1"/>
        <v>Desarrollo</v>
      </c>
      <c r="B117" s="232">
        <v>42115</v>
      </c>
      <c r="C117" s="232" t="s">
        <v>133</v>
      </c>
      <c r="D117" s="231">
        <v>111</v>
      </c>
      <c r="E117" s="255">
        <v>17.047398000000001</v>
      </c>
      <c r="F117" s="255">
        <v>3.4975489999999998</v>
      </c>
      <c r="G117" s="255">
        <v>10.297473</v>
      </c>
      <c r="H117" s="255">
        <v>1.2</v>
      </c>
      <c r="I117" s="255">
        <v>3.05</v>
      </c>
      <c r="J117" s="255">
        <v>24.14</v>
      </c>
      <c r="K117" s="255">
        <v>50.0822</v>
      </c>
      <c r="L117" s="255">
        <v>0</v>
      </c>
      <c r="M117" s="255">
        <v>0</v>
      </c>
      <c r="N117" s="231">
        <v>0.84090900000000002</v>
      </c>
      <c r="O117" s="231">
        <v>0.60277800000000004</v>
      </c>
      <c r="P117" s="231">
        <v>0.15</v>
      </c>
      <c r="Q117" s="255">
        <v>1.2</v>
      </c>
      <c r="R117" s="255">
        <v>1.167667</v>
      </c>
      <c r="S117" s="231">
        <v>0</v>
      </c>
      <c r="T117" s="231">
        <v>0.8</v>
      </c>
      <c r="U117" s="231">
        <v>1</v>
      </c>
      <c r="V117" s="231">
        <v>0.2</v>
      </c>
      <c r="W117" s="255">
        <v>20</v>
      </c>
      <c r="X117" s="231">
        <v>12.514473000000001</v>
      </c>
      <c r="Y117" s="256">
        <v>9</v>
      </c>
      <c r="Z117" s="256">
        <v>0.102075</v>
      </c>
      <c r="AA117" s="256">
        <v>3.3354000000000002E-2</v>
      </c>
      <c r="AB117" s="256">
        <v>0</v>
      </c>
      <c r="AC117" s="256">
        <v>13.02312</v>
      </c>
      <c r="AD117" s="256">
        <v>0.87426300000000001</v>
      </c>
      <c r="AE117" s="231">
        <v>2.6665019999999999</v>
      </c>
      <c r="AF117" s="231">
        <v>0.35</v>
      </c>
      <c r="AG117" s="231">
        <v>0.55000000000000004</v>
      </c>
      <c r="AH117" s="231">
        <v>49</v>
      </c>
      <c r="AI117" s="231">
        <v>26.95</v>
      </c>
      <c r="AJ117" s="231">
        <v>0</v>
      </c>
      <c r="AK117" s="231"/>
      <c r="AL117" s="231">
        <v>0</v>
      </c>
      <c r="AM117" s="256">
        <v>0.87601799999999996</v>
      </c>
      <c r="AN117" s="256">
        <v>0.77000599999999997</v>
      </c>
      <c r="AO117" s="256">
        <v>2.3485170000000002</v>
      </c>
      <c r="AP117" s="256">
        <v>32.032316000000002</v>
      </c>
      <c r="AQ117" s="231">
        <v>0</v>
      </c>
      <c r="AR117" s="255">
        <v>81.8</v>
      </c>
      <c r="AS117" s="231">
        <v>0</v>
      </c>
      <c r="AT117" s="231"/>
      <c r="AU117" s="231"/>
      <c r="AV117" s="231"/>
      <c r="AW117" s="231"/>
      <c r="AX117" s="231"/>
      <c r="AY117" s="231"/>
      <c r="AZ117" s="231"/>
      <c r="BA117" s="116" t="s">
        <v>132</v>
      </c>
    </row>
    <row r="118" spans="1:53">
      <c r="A118" s="69" t="str">
        <f t="shared" si="1"/>
        <v>Desarrollo</v>
      </c>
      <c r="B118" s="232">
        <v>42116</v>
      </c>
      <c r="C118" s="232" t="s">
        <v>133</v>
      </c>
      <c r="D118" s="231">
        <v>112</v>
      </c>
      <c r="E118" s="255">
        <v>18.727198000000001</v>
      </c>
      <c r="F118" s="255">
        <v>4.4743899999999996</v>
      </c>
      <c r="G118" s="255">
        <v>11.800794</v>
      </c>
      <c r="H118" s="255">
        <v>0.8</v>
      </c>
      <c r="I118" s="255">
        <v>3.15</v>
      </c>
      <c r="J118" s="255">
        <v>26.61</v>
      </c>
      <c r="K118" s="255">
        <v>39.152500000000003</v>
      </c>
      <c r="L118" s="255">
        <v>0</v>
      </c>
      <c r="M118" s="255">
        <v>0</v>
      </c>
      <c r="N118" s="231">
        <v>0.858182</v>
      </c>
      <c r="O118" s="231">
        <v>0.609259</v>
      </c>
      <c r="P118" s="231">
        <v>0.15</v>
      </c>
      <c r="Q118" s="255">
        <v>1.2</v>
      </c>
      <c r="R118" s="255">
        <v>1.1847449999999999</v>
      </c>
      <c r="S118" s="231">
        <v>0</v>
      </c>
      <c r="T118" s="231">
        <v>0.8</v>
      </c>
      <c r="U118" s="231">
        <v>1</v>
      </c>
      <c r="V118" s="231">
        <v>0.2</v>
      </c>
      <c r="W118" s="255">
        <v>20</v>
      </c>
      <c r="X118" s="231">
        <v>13.02312</v>
      </c>
      <c r="Y118" s="256">
        <v>9</v>
      </c>
      <c r="Z118" s="256">
        <v>9.5139000000000001E-2</v>
      </c>
      <c r="AA118" s="256">
        <v>3.1068999999999999E-2</v>
      </c>
      <c r="AB118" s="256">
        <v>0</v>
      </c>
      <c r="AC118" s="256">
        <v>13.512456</v>
      </c>
      <c r="AD118" s="256">
        <v>0.88925100000000001</v>
      </c>
      <c r="AE118" s="231">
        <v>2.8011400000000002</v>
      </c>
      <c r="AF118" s="231">
        <v>0.35</v>
      </c>
      <c r="AG118" s="231">
        <v>0.55000000000000004</v>
      </c>
      <c r="AH118" s="231">
        <v>49</v>
      </c>
      <c r="AI118" s="231">
        <v>26.95</v>
      </c>
      <c r="AJ118" s="231">
        <v>0</v>
      </c>
      <c r="AK118" s="231"/>
      <c r="AL118" s="231">
        <v>0</v>
      </c>
      <c r="AM118" s="256">
        <v>0.769509</v>
      </c>
      <c r="AN118" s="256">
        <v>0.69144799999999995</v>
      </c>
      <c r="AO118" s="256">
        <v>2.178061</v>
      </c>
      <c r="AP118" s="256">
        <v>34.210377000000001</v>
      </c>
      <c r="AQ118" s="231">
        <v>2.8011400000000002</v>
      </c>
      <c r="AR118" s="255">
        <v>81.8</v>
      </c>
      <c r="AS118" s="231">
        <v>0</v>
      </c>
      <c r="AT118" s="231"/>
      <c r="AU118" s="231"/>
      <c r="AV118" s="231"/>
      <c r="AW118" s="231"/>
      <c r="AX118" s="231"/>
      <c r="AY118" s="231"/>
      <c r="AZ118" s="231"/>
      <c r="BA118" s="116" t="s">
        <v>132</v>
      </c>
    </row>
    <row r="119" spans="1:53">
      <c r="A119" s="69" t="str">
        <f t="shared" si="1"/>
        <v>Desarrollo</v>
      </c>
      <c r="B119" s="232">
        <v>42117</v>
      </c>
      <c r="C119" s="232" t="s">
        <v>133</v>
      </c>
      <c r="D119" s="231">
        <v>113</v>
      </c>
      <c r="E119" s="255">
        <v>21.462458999999999</v>
      </c>
      <c r="F119" s="255">
        <v>5.4326689999999997</v>
      </c>
      <c r="G119" s="255">
        <v>13.322564</v>
      </c>
      <c r="H119" s="255">
        <v>0.8</v>
      </c>
      <c r="I119" s="255">
        <v>3.85</v>
      </c>
      <c r="J119" s="255">
        <v>29.03</v>
      </c>
      <c r="K119" s="255">
        <v>36.616700000000002</v>
      </c>
      <c r="L119" s="255">
        <v>0</v>
      </c>
      <c r="M119" s="255">
        <v>0</v>
      </c>
      <c r="N119" s="231">
        <v>0.87545499999999998</v>
      </c>
      <c r="O119" s="231">
        <v>0.61574099999999998</v>
      </c>
      <c r="P119" s="231">
        <v>0.15</v>
      </c>
      <c r="Q119" s="255">
        <v>1.2</v>
      </c>
      <c r="R119" s="255">
        <v>1.191004</v>
      </c>
      <c r="S119" s="231">
        <v>0</v>
      </c>
      <c r="T119" s="231">
        <v>0.8</v>
      </c>
      <c r="U119" s="231">
        <v>1</v>
      </c>
      <c r="V119" s="231">
        <v>0.2</v>
      </c>
      <c r="W119" s="255">
        <v>20</v>
      </c>
      <c r="X119" s="231">
        <v>13.512456</v>
      </c>
      <c r="Y119" s="256">
        <v>9</v>
      </c>
      <c r="Z119" s="256">
        <v>8.8467000000000004E-2</v>
      </c>
      <c r="AA119" s="256">
        <v>2.7916E-2</v>
      </c>
      <c r="AB119" s="256">
        <v>0</v>
      </c>
      <c r="AC119" s="256">
        <v>14.04983</v>
      </c>
      <c r="AD119" s="256">
        <v>0.90337000000000001</v>
      </c>
      <c r="AE119" s="231">
        <v>3.4779749999999998</v>
      </c>
      <c r="AF119" s="231">
        <v>0.35</v>
      </c>
      <c r="AG119" s="231">
        <v>0.55000000000000004</v>
      </c>
      <c r="AH119" s="231">
        <v>49</v>
      </c>
      <c r="AI119" s="231">
        <v>26.95</v>
      </c>
      <c r="AJ119" s="231">
        <v>0</v>
      </c>
      <c r="AK119" s="231"/>
      <c r="AL119" s="231">
        <v>0</v>
      </c>
      <c r="AM119" s="256">
        <v>0.67073099999999997</v>
      </c>
      <c r="AN119" s="256">
        <v>0.61511000000000005</v>
      </c>
      <c r="AO119" s="256">
        <v>2.3681739999999998</v>
      </c>
      <c r="AP119" s="256">
        <v>36.578550999999997</v>
      </c>
      <c r="AQ119" s="231">
        <v>6.279115</v>
      </c>
      <c r="AR119" s="255">
        <v>81.8</v>
      </c>
      <c r="AS119" s="231">
        <v>0</v>
      </c>
      <c r="AT119" s="231"/>
      <c r="AU119" s="231"/>
      <c r="AV119" s="231"/>
      <c r="AW119" s="231"/>
      <c r="AX119" s="231"/>
      <c r="AY119" s="231"/>
      <c r="AZ119" s="231"/>
      <c r="BA119" s="116" t="s">
        <v>132</v>
      </c>
    </row>
    <row r="120" spans="1:53">
      <c r="A120" s="69" t="str">
        <f t="shared" si="1"/>
        <v>Desarrollo</v>
      </c>
      <c r="B120" s="232">
        <v>42118</v>
      </c>
      <c r="C120" s="232" t="s">
        <v>133</v>
      </c>
      <c r="D120" s="231">
        <v>114</v>
      </c>
      <c r="E120" s="255">
        <v>22.718793000000002</v>
      </c>
      <c r="F120" s="255">
        <v>5.1861030000000001</v>
      </c>
      <c r="G120" s="255">
        <v>14.327448</v>
      </c>
      <c r="H120" s="255">
        <v>0.6</v>
      </c>
      <c r="I120" s="255">
        <v>4.1500000000000004</v>
      </c>
      <c r="J120" s="255">
        <v>29.08</v>
      </c>
      <c r="K120" s="255">
        <v>29.59665</v>
      </c>
      <c r="L120" s="255">
        <v>0</v>
      </c>
      <c r="M120" s="255">
        <v>0</v>
      </c>
      <c r="N120" s="231">
        <v>0.89272700000000005</v>
      </c>
      <c r="O120" s="231">
        <v>0.62222200000000005</v>
      </c>
      <c r="P120" s="231">
        <v>0.15</v>
      </c>
      <c r="Q120" s="255">
        <v>1.2</v>
      </c>
      <c r="R120" s="255">
        <v>1.2035020000000001</v>
      </c>
      <c r="S120" s="231">
        <v>0</v>
      </c>
      <c r="T120" s="231">
        <v>0.8</v>
      </c>
      <c r="U120" s="231">
        <v>1</v>
      </c>
      <c r="V120" s="231">
        <v>0.2</v>
      </c>
      <c r="W120" s="255">
        <v>20</v>
      </c>
      <c r="X120" s="231">
        <v>14.04983</v>
      </c>
      <c r="Y120" s="256">
        <v>9</v>
      </c>
      <c r="Z120" s="256">
        <v>8.1139000000000003E-2</v>
      </c>
      <c r="AA120" s="256">
        <v>2.5215999999999999E-2</v>
      </c>
      <c r="AB120" s="256">
        <v>0</v>
      </c>
      <c r="AC120" s="256">
        <v>14.573059000000001</v>
      </c>
      <c r="AD120" s="256">
        <v>0.91794299999999995</v>
      </c>
      <c r="AE120" s="231">
        <v>3.8094640000000002</v>
      </c>
      <c r="AF120" s="231">
        <v>0.35</v>
      </c>
      <c r="AG120" s="231">
        <v>0.55000000000000004</v>
      </c>
      <c r="AH120" s="231">
        <v>49</v>
      </c>
      <c r="AI120" s="231">
        <v>26.95</v>
      </c>
      <c r="AJ120" s="231">
        <v>0</v>
      </c>
      <c r="AK120" s="231"/>
      <c r="AL120" s="231">
        <v>0</v>
      </c>
      <c r="AM120" s="256">
        <v>0.56333100000000003</v>
      </c>
      <c r="AN120" s="256">
        <v>0.52811699999999995</v>
      </c>
      <c r="AO120" s="256">
        <v>2.1916850000000001</v>
      </c>
      <c r="AP120" s="256">
        <v>38.770235999999997</v>
      </c>
      <c r="AQ120" s="231">
        <v>10.088578999999999</v>
      </c>
      <c r="AR120" s="255">
        <v>81.8</v>
      </c>
      <c r="AS120" s="231">
        <v>0</v>
      </c>
      <c r="AT120" s="231"/>
      <c r="AU120" s="231"/>
      <c r="AV120" s="231"/>
      <c r="AW120" s="231"/>
      <c r="AX120" s="231"/>
      <c r="AY120" s="231"/>
      <c r="AZ120" s="231"/>
      <c r="BA120" s="116" t="s">
        <v>132</v>
      </c>
    </row>
    <row r="121" spans="1:53">
      <c r="A121" s="69" t="str">
        <f t="shared" si="1"/>
        <v>Desarrollo</v>
      </c>
      <c r="B121" s="232">
        <v>42119</v>
      </c>
      <c r="C121" s="232" t="s">
        <v>133</v>
      </c>
      <c r="D121" s="231">
        <v>115</v>
      </c>
      <c r="E121" s="255">
        <v>20.198584</v>
      </c>
      <c r="F121" s="255">
        <v>6.8005129999999996</v>
      </c>
      <c r="G121" s="255">
        <v>13.424548</v>
      </c>
      <c r="H121" s="255">
        <v>1.9</v>
      </c>
      <c r="I121" s="255">
        <v>3.85</v>
      </c>
      <c r="J121" s="255">
        <v>21.78</v>
      </c>
      <c r="K121" s="255">
        <v>33.923299999999998</v>
      </c>
      <c r="L121" s="255">
        <v>0</v>
      </c>
      <c r="M121" s="255">
        <v>0</v>
      </c>
      <c r="N121" s="231">
        <v>0.91</v>
      </c>
      <c r="O121" s="231">
        <v>0.62870400000000004</v>
      </c>
      <c r="P121" s="231">
        <v>0.15</v>
      </c>
      <c r="Q121" s="255">
        <v>1.1000000000000001</v>
      </c>
      <c r="R121" s="255">
        <v>1.1252219999999999</v>
      </c>
      <c r="S121" s="231">
        <v>12.6</v>
      </c>
      <c r="T121" s="231">
        <v>0.8</v>
      </c>
      <c r="U121" s="231">
        <v>1</v>
      </c>
      <c r="V121" s="231">
        <v>0.2</v>
      </c>
      <c r="W121" s="255">
        <v>20</v>
      </c>
      <c r="X121" s="231">
        <v>3.8630589999999998</v>
      </c>
      <c r="Y121" s="256">
        <v>9</v>
      </c>
      <c r="Z121" s="256">
        <v>7.4004E-2</v>
      </c>
      <c r="AA121" s="256">
        <v>1.5927E-2</v>
      </c>
      <c r="AB121" s="256">
        <v>0</v>
      </c>
      <c r="AC121" s="256">
        <v>4.1696580000000001</v>
      </c>
      <c r="AD121" s="256">
        <v>0.92592699999999994</v>
      </c>
      <c r="AE121" s="231">
        <v>3.5648200000000001</v>
      </c>
      <c r="AF121" s="231">
        <v>0.35</v>
      </c>
      <c r="AG121" s="231">
        <v>0.55000000000000004</v>
      </c>
      <c r="AH121" s="231">
        <v>49</v>
      </c>
      <c r="AI121" s="231">
        <v>26.95</v>
      </c>
      <c r="AJ121" s="231">
        <v>10.71</v>
      </c>
      <c r="AK121" s="231">
        <v>12.6</v>
      </c>
      <c r="AL121" s="231">
        <v>0</v>
      </c>
      <c r="AM121" s="256">
        <v>0.46393499999999999</v>
      </c>
      <c r="AN121" s="256">
        <v>0.438108</v>
      </c>
      <c r="AO121" s="256">
        <v>1.6867160000000001</v>
      </c>
      <c r="AP121" s="256">
        <v>29.746952</v>
      </c>
      <c r="AQ121" s="231">
        <v>13.653397999999999</v>
      </c>
      <c r="AR121" s="255">
        <v>94.4</v>
      </c>
      <c r="AS121" s="231">
        <v>0</v>
      </c>
      <c r="AT121" s="231"/>
      <c r="AU121" s="231"/>
      <c r="AV121" s="231"/>
      <c r="AW121" s="231"/>
      <c r="AX121" s="231"/>
      <c r="AY121" s="231"/>
      <c r="AZ121" s="231"/>
      <c r="BA121" s="116" t="s">
        <v>132</v>
      </c>
    </row>
    <row r="122" spans="1:53">
      <c r="A122" s="69" t="str">
        <f t="shared" si="1"/>
        <v>Desarrollo</v>
      </c>
      <c r="B122" s="232">
        <v>42120</v>
      </c>
      <c r="C122" s="232" t="s">
        <v>133</v>
      </c>
      <c r="D122" s="231">
        <v>116</v>
      </c>
      <c r="E122" s="255">
        <v>17.779344999999999</v>
      </c>
      <c r="F122" s="255">
        <v>8.122071</v>
      </c>
      <c r="G122" s="255">
        <v>12.950708000000001</v>
      </c>
      <c r="H122" s="255">
        <v>2.2000000000000002</v>
      </c>
      <c r="I122" s="255">
        <v>3.9</v>
      </c>
      <c r="J122" s="255">
        <v>24.11</v>
      </c>
      <c r="K122" s="255">
        <v>39.540649999999999</v>
      </c>
      <c r="L122" s="255">
        <v>0</v>
      </c>
      <c r="M122" s="255">
        <v>0</v>
      </c>
      <c r="N122" s="231">
        <v>0.92727300000000001</v>
      </c>
      <c r="O122" s="231">
        <v>0.635185</v>
      </c>
      <c r="P122" s="231">
        <v>0.15</v>
      </c>
      <c r="Q122" s="255">
        <v>1.1000000000000001</v>
      </c>
      <c r="R122" s="255">
        <v>1.1187279999999999</v>
      </c>
      <c r="S122" s="231">
        <v>0</v>
      </c>
      <c r="T122" s="231">
        <v>0.8</v>
      </c>
      <c r="U122" s="231">
        <v>1</v>
      </c>
      <c r="V122" s="231">
        <v>0.2</v>
      </c>
      <c r="W122" s="255">
        <v>20</v>
      </c>
      <c r="X122" s="231">
        <v>4.1696580000000001</v>
      </c>
      <c r="Y122" s="256">
        <v>9</v>
      </c>
      <c r="Z122" s="256">
        <v>1</v>
      </c>
      <c r="AA122" s="256">
        <v>0.19145499999999999</v>
      </c>
      <c r="AB122" s="256">
        <v>0</v>
      </c>
      <c r="AC122" s="256">
        <v>7.9030379999999996</v>
      </c>
      <c r="AD122" s="256">
        <v>1.1187279999999999</v>
      </c>
      <c r="AE122" s="231">
        <v>4.3630399999999998</v>
      </c>
      <c r="AF122" s="231">
        <v>0.35</v>
      </c>
      <c r="AG122" s="231">
        <v>0.55000000000000004</v>
      </c>
      <c r="AH122" s="231">
        <v>49</v>
      </c>
      <c r="AI122" s="231">
        <v>26.95</v>
      </c>
      <c r="AJ122" s="231">
        <v>0</v>
      </c>
      <c r="AK122" s="231"/>
      <c r="AL122" s="231">
        <v>0</v>
      </c>
      <c r="AM122" s="256">
        <v>0.87315399999999999</v>
      </c>
      <c r="AN122" s="256">
        <v>1.001107</v>
      </c>
      <c r="AO122" s="256">
        <v>3.9043190000000001</v>
      </c>
      <c r="AP122" s="256">
        <v>33.651271000000001</v>
      </c>
      <c r="AQ122" s="231">
        <v>18.016438000000001</v>
      </c>
      <c r="AR122" s="255">
        <v>94.4</v>
      </c>
      <c r="AS122" s="231">
        <v>0</v>
      </c>
      <c r="AT122" s="231"/>
      <c r="AU122" s="231"/>
      <c r="AV122" s="231"/>
      <c r="AW122" s="231"/>
      <c r="AX122" s="231"/>
      <c r="AY122" s="231"/>
      <c r="AZ122" s="231"/>
      <c r="BA122" s="116" t="s">
        <v>132</v>
      </c>
    </row>
    <row r="123" spans="1:53">
      <c r="A123" s="69" t="str">
        <f t="shared" si="1"/>
        <v>Desarrollo</v>
      </c>
      <c r="B123" s="232">
        <v>42121</v>
      </c>
      <c r="C123" s="232" t="s">
        <v>133</v>
      </c>
      <c r="D123" s="231">
        <v>117</v>
      </c>
      <c r="E123" s="255">
        <v>18.225608000000001</v>
      </c>
      <c r="F123" s="255">
        <v>5.1900639999999996</v>
      </c>
      <c r="G123" s="255">
        <v>12.357836000000001</v>
      </c>
      <c r="H123" s="255">
        <v>2.2999999999999998</v>
      </c>
      <c r="I123" s="255">
        <v>3.85</v>
      </c>
      <c r="J123" s="255">
        <v>27.99</v>
      </c>
      <c r="K123" s="255">
        <v>40.905200000000001</v>
      </c>
      <c r="L123" s="255">
        <v>0</v>
      </c>
      <c r="M123" s="255">
        <v>0</v>
      </c>
      <c r="N123" s="231">
        <v>0.94454499999999997</v>
      </c>
      <c r="O123" s="231">
        <v>0.64166699999999999</v>
      </c>
      <c r="P123" s="231">
        <v>0.15</v>
      </c>
      <c r="Q123" s="255">
        <v>1.1000000000000001</v>
      </c>
      <c r="R123" s="255">
        <v>1.1178669999999999</v>
      </c>
      <c r="S123" s="231">
        <v>12.6</v>
      </c>
      <c r="T123" s="231">
        <v>0.8</v>
      </c>
      <c r="U123" s="231">
        <v>1</v>
      </c>
      <c r="V123" s="231">
        <v>0.2</v>
      </c>
      <c r="W123" s="255">
        <v>20</v>
      </c>
      <c r="X123" s="231">
        <v>0</v>
      </c>
      <c r="Y123" s="256">
        <v>9</v>
      </c>
      <c r="Z123" s="256">
        <v>1</v>
      </c>
      <c r="AA123" s="256">
        <v>0.173322</v>
      </c>
      <c r="AB123" s="256">
        <v>2.806962</v>
      </c>
      <c r="AC123" s="256">
        <v>3.3364440000000002</v>
      </c>
      <c r="AD123" s="256">
        <v>1.1178669999999999</v>
      </c>
      <c r="AE123" s="231">
        <v>4.3037890000000001</v>
      </c>
      <c r="AF123" s="231">
        <v>0.35</v>
      </c>
      <c r="AG123" s="231">
        <v>0.55000000000000004</v>
      </c>
      <c r="AH123" s="231">
        <v>49</v>
      </c>
      <c r="AI123" s="231">
        <v>26.95</v>
      </c>
      <c r="AJ123" s="231">
        <v>10.71</v>
      </c>
      <c r="AK123" s="231">
        <v>12.6</v>
      </c>
      <c r="AL123" s="231">
        <v>0</v>
      </c>
      <c r="AM123" s="256">
        <v>0.69608800000000004</v>
      </c>
      <c r="AN123" s="256">
        <v>0.83080799999999999</v>
      </c>
      <c r="AO123" s="256">
        <v>3.1986110000000001</v>
      </c>
      <c r="AP123" s="256">
        <v>26.139882</v>
      </c>
      <c r="AQ123" s="231">
        <v>22.320226999999999</v>
      </c>
      <c r="AR123" s="255">
        <v>107</v>
      </c>
      <c r="AS123" s="231">
        <v>0</v>
      </c>
      <c r="AT123" s="231"/>
      <c r="AU123" s="231"/>
      <c r="AV123" s="231"/>
      <c r="AW123" s="231"/>
      <c r="AX123" s="231"/>
      <c r="AY123" s="231"/>
      <c r="AZ123" s="231"/>
      <c r="BA123" s="116" t="s">
        <v>132</v>
      </c>
    </row>
    <row r="124" spans="1:53">
      <c r="A124" s="69" t="str">
        <f t="shared" si="1"/>
        <v>Desarrollo</v>
      </c>
      <c r="B124" s="232">
        <v>42122</v>
      </c>
      <c r="C124" s="232" t="s">
        <v>133</v>
      </c>
      <c r="D124" s="231">
        <v>118</v>
      </c>
      <c r="E124" s="255">
        <v>17.185168000000001</v>
      </c>
      <c r="F124" s="255">
        <v>8.0592769999999998</v>
      </c>
      <c r="G124" s="255">
        <v>12.322222</v>
      </c>
      <c r="H124" s="255">
        <v>3</v>
      </c>
      <c r="I124" s="255">
        <v>3.65</v>
      </c>
      <c r="J124" s="255">
        <v>20.23</v>
      </c>
      <c r="K124" s="255">
        <v>41.54</v>
      </c>
      <c r="L124" s="255">
        <v>0</v>
      </c>
      <c r="M124" s="255">
        <v>0</v>
      </c>
      <c r="N124" s="231">
        <v>0.96181799999999995</v>
      </c>
      <c r="O124" s="231">
        <v>0.64814799999999995</v>
      </c>
      <c r="P124" s="231">
        <v>0.15</v>
      </c>
      <c r="Q124" s="255">
        <v>1.1000000000000001</v>
      </c>
      <c r="R124" s="255">
        <v>1.133999</v>
      </c>
      <c r="S124" s="231">
        <v>0</v>
      </c>
      <c r="T124" s="231">
        <v>0.8</v>
      </c>
      <c r="U124" s="231">
        <v>1</v>
      </c>
      <c r="V124" s="231">
        <v>0.2</v>
      </c>
      <c r="W124" s="255">
        <v>20</v>
      </c>
      <c r="X124" s="231">
        <v>3.3364440000000002</v>
      </c>
      <c r="Y124" s="256">
        <v>9</v>
      </c>
      <c r="Z124" s="256">
        <v>1</v>
      </c>
      <c r="AA124" s="256">
        <v>0.172181</v>
      </c>
      <c r="AB124" s="256">
        <v>0</v>
      </c>
      <c r="AC124" s="256">
        <v>6.4787509999999999</v>
      </c>
      <c r="AD124" s="256">
        <v>1.133999</v>
      </c>
      <c r="AE124" s="231">
        <v>4.1390979999999997</v>
      </c>
      <c r="AF124" s="231">
        <v>0.35</v>
      </c>
      <c r="AG124" s="231">
        <v>0.55000000000000004</v>
      </c>
      <c r="AH124" s="231">
        <v>49</v>
      </c>
      <c r="AI124" s="231">
        <v>26.95</v>
      </c>
      <c r="AJ124" s="231">
        <v>0</v>
      </c>
      <c r="AK124" s="231"/>
      <c r="AL124" s="231">
        <v>0</v>
      </c>
      <c r="AM124" s="256">
        <v>1</v>
      </c>
      <c r="AN124" s="256">
        <v>1.133999</v>
      </c>
      <c r="AO124" s="256">
        <v>4.1390979999999997</v>
      </c>
      <c r="AP124" s="256">
        <v>30.278979</v>
      </c>
      <c r="AQ124" s="231">
        <v>26.459325</v>
      </c>
      <c r="AR124" s="255">
        <v>107</v>
      </c>
      <c r="AS124" s="231">
        <v>0</v>
      </c>
      <c r="AT124" s="231"/>
      <c r="AU124" s="231"/>
      <c r="AV124" s="231"/>
      <c r="AW124" s="231"/>
      <c r="AX124" s="231"/>
      <c r="AY124" s="231"/>
      <c r="AZ124" s="231"/>
      <c r="BA124" s="116" t="s">
        <v>132</v>
      </c>
    </row>
    <row r="125" spans="1:53">
      <c r="A125" s="69" t="str">
        <f t="shared" si="1"/>
        <v>Desarrollo</v>
      </c>
      <c r="B125" s="232">
        <v>42123</v>
      </c>
      <c r="C125" s="232" t="s">
        <v>133</v>
      </c>
      <c r="D125" s="231">
        <v>119</v>
      </c>
      <c r="E125" s="255">
        <v>20.480834999999999</v>
      </c>
      <c r="F125" s="255">
        <v>5.7258060000000004</v>
      </c>
      <c r="G125" s="255">
        <v>13.10332</v>
      </c>
      <c r="H125" s="255">
        <v>1.6</v>
      </c>
      <c r="I125" s="255">
        <v>4.75</v>
      </c>
      <c r="J125" s="255">
        <v>30.26</v>
      </c>
      <c r="K125" s="255">
        <v>31.523</v>
      </c>
      <c r="L125" s="255">
        <v>0</v>
      </c>
      <c r="M125" s="255">
        <v>0</v>
      </c>
      <c r="N125" s="231">
        <v>0.97909100000000004</v>
      </c>
      <c r="O125" s="231">
        <v>0.65463000000000005</v>
      </c>
      <c r="P125" s="231">
        <v>0.15</v>
      </c>
      <c r="Q125" s="255">
        <v>1.1499999999999999</v>
      </c>
      <c r="R125" s="255">
        <v>1.17401</v>
      </c>
      <c r="S125" s="231">
        <v>0</v>
      </c>
      <c r="T125" s="231">
        <v>0.8</v>
      </c>
      <c r="U125" s="231">
        <v>1</v>
      </c>
      <c r="V125" s="231">
        <v>0.2</v>
      </c>
      <c r="W125" s="255">
        <v>20</v>
      </c>
      <c r="X125" s="231">
        <v>6.4787509999999999</v>
      </c>
      <c r="Y125" s="256">
        <v>9</v>
      </c>
      <c r="Z125" s="256">
        <v>1</v>
      </c>
      <c r="AA125" s="256">
        <v>0.19491900000000001</v>
      </c>
      <c r="AB125" s="256">
        <v>0</v>
      </c>
      <c r="AC125" s="256">
        <v>11.108079999999999</v>
      </c>
      <c r="AD125" s="256">
        <v>1.17401</v>
      </c>
      <c r="AE125" s="231">
        <v>5.5765479999999998</v>
      </c>
      <c r="AF125" s="231">
        <v>0.35</v>
      </c>
      <c r="AG125" s="231">
        <v>0.55000000000000004</v>
      </c>
      <c r="AH125" s="231">
        <v>49</v>
      </c>
      <c r="AI125" s="231">
        <v>26.95</v>
      </c>
      <c r="AJ125" s="231">
        <v>0</v>
      </c>
      <c r="AK125" s="231"/>
      <c r="AL125" s="231">
        <v>0</v>
      </c>
      <c r="AM125" s="256">
        <v>0.84902599999999995</v>
      </c>
      <c r="AN125" s="256">
        <v>1.0261929999999999</v>
      </c>
      <c r="AO125" s="256">
        <v>4.8744149999999999</v>
      </c>
      <c r="AP125" s="256">
        <v>35.153393999999999</v>
      </c>
      <c r="AQ125" s="231">
        <v>32.035871999999998</v>
      </c>
      <c r="AR125" s="255">
        <v>107</v>
      </c>
      <c r="AS125" s="231">
        <v>0</v>
      </c>
      <c r="AT125" s="231"/>
      <c r="AU125" s="231"/>
      <c r="AV125" s="231"/>
      <c r="AW125" s="231"/>
      <c r="AX125" s="231"/>
      <c r="AY125" s="231"/>
      <c r="AZ125" s="231"/>
      <c r="BA125" s="116" t="s">
        <v>132</v>
      </c>
    </row>
    <row r="126" spans="1:53">
      <c r="A126" s="69" t="str">
        <f t="shared" si="1"/>
        <v>Desarrollo</v>
      </c>
      <c r="B126" s="232">
        <v>42124</v>
      </c>
      <c r="C126" s="232" t="s">
        <v>133</v>
      </c>
      <c r="D126" s="231">
        <v>120</v>
      </c>
      <c r="E126" s="255">
        <v>19.641570999999999</v>
      </c>
      <c r="F126" s="255">
        <v>8.1688580000000002</v>
      </c>
      <c r="G126" s="255">
        <v>14.555213999999999</v>
      </c>
      <c r="H126" s="255">
        <v>1.9</v>
      </c>
      <c r="I126" s="255">
        <v>3.85</v>
      </c>
      <c r="J126" s="255">
        <v>20.92</v>
      </c>
      <c r="K126" s="255">
        <v>36.399450000000002</v>
      </c>
      <c r="L126" s="255">
        <v>0</v>
      </c>
      <c r="M126" s="255">
        <v>0</v>
      </c>
      <c r="N126" s="231">
        <v>0.99636400000000003</v>
      </c>
      <c r="O126" s="231">
        <v>0.661111</v>
      </c>
      <c r="P126" s="231">
        <v>0.15</v>
      </c>
      <c r="Q126" s="255">
        <v>1.1499999999999999</v>
      </c>
      <c r="R126" s="255">
        <v>1.169313</v>
      </c>
      <c r="S126" s="231">
        <v>0</v>
      </c>
      <c r="T126" s="231">
        <v>0.8</v>
      </c>
      <c r="U126" s="231">
        <v>1</v>
      </c>
      <c r="V126" s="231">
        <v>0.2</v>
      </c>
      <c r="W126" s="255">
        <v>20</v>
      </c>
      <c r="X126" s="231">
        <v>11.108079999999999</v>
      </c>
      <c r="Y126" s="256">
        <v>9</v>
      </c>
      <c r="Z126" s="256">
        <v>0.121253</v>
      </c>
      <c r="AA126" s="256">
        <v>2.0971E-2</v>
      </c>
      <c r="AB126" s="256">
        <v>0</v>
      </c>
      <c r="AC126" s="256">
        <v>11.511767000000001</v>
      </c>
      <c r="AD126" s="256">
        <v>1.017334</v>
      </c>
      <c r="AE126" s="231">
        <v>3.9167369999999999</v>
      </c>
      <c r="AF126" s="231">
        <v>0.35</v>
      </c>
      <c r="AG126" s="231">
        <v>0.55000000000000004</v>
      </c>
      <c r="AH126" s="231">
        <v>49</v>
      </c>
      <c r="AI126" s="231">
        <v>26.95</v>
      </c>
      <c r="AJ126" s="231">
        <v>0</v>
      </c>
      <c r="AK126" s="231"/>
      <c r="AL126" s="231">
        <v>0</v>
      </c>
      <c r="AM126" s="256">
        <v>0.62796399999999997</v>
      </c>
      <c r="AN126" s="256">
        <v>0.64665099999999998</v>
      </c>
      <c r="AO126" s="256">
        <v>2.4896069999999999</v>
      </c>
      <c r="AP126" s="256">
        <v>37.643000999999998</v>
      </c>
      <c r="AQ126" s="231">
        <v>35.95261</v>
      </c>
      <c r="AR126" s="255">
        <v>107</v>
      </c>
      <c r="AS126" s="231">
        <v>0</v>
      </c>
      <c r="AT126" s="231"/>
      <c r="AU126" s="231"/>
      <c r="AV126" s="231"/>
      <c r="AW126" s="231"/>
      <c r="AX126" s="231"/>
      <c r="AY126" s="231"/>
      <c r="AZ126" s="231"/>
      <c r="BA126" s="116" t="s">
        <v>132</v>
      </c>
    </row>
    <row r="127" spans="1:53">
      <c r="A127" s="69" t="str">
        <f t="shared" si="1"/>
        <v>Desarrollo</v>
      </c>
      <c r="B127" s="232">
        <v>42125</v>
      </c>
      <c r="C127" s="232" t="s">
        <v>133</v>
      </c>
      <c r="D127" s="231">
        <v>121</v>
      </c>
      <c r="E127" s="255">
        <v>20.384146999999999</v>
      </c>
      <c r="F127" s="255">
        <v>6.4595250000000002</v>
      </c>
      <c r="G127" s="255">
        <v>13.521836</v>
      </c>
      <c r="H127" s="255">
        <v>0.7</v>
      </c>
      <c r="I127" s="255">
        <v>4.1500000000000004</v>
      </c>
      <c r="J127" s="255">
        <v>21.65</v>
      </c>
      <c r="K127" s="255">
        <v>39.273699999999998</v>
      </c>
      <c r="L127" s="255">
        <v>0</v>
      </c>
      <c r="M127" s="255">
        <v>0</v>
      </c>
      <c r="N127" s="231">
        <v>1.013636</v>
      </c>
      <c r="O127" s="231">
        <v>0.66759299999999999</v>
      </c>
      <c r="P127" s="231">
        <v>0.15</v>
      </c>
      <c r="Q127" s="255">
        <v>1.1000000000000001</v>
      </c>
      <c r="R127" s="255">
        <v>1.0814630000000001</v>
      </c>
      <c r="S127" s="231">
        <v>12.6</v>
      </c>
      <c r="T127" s="231">
        <v>0.8</v>
      </c>
      <c r="U127" s="231">
        <v>1</v>
      </c>
      <c r="V127" s="231">
        <v>0.2</v>
      </c>
      <c r="W127" s="255">
        <v>20</v>
      </c>
      <c r="X127" s="231">
        <v>0.80176700000000001</v>
      </c>
      <c r="Y127" s="256">
        <v>9</v>
      </c>
      <c r="Z127" s="256">
        <v>0.115749</v>
      </c>
      <c r="AA127" s="256">
        <v>7.8510000000000003E-3</v>
      </c>
      <c r="AB127" s="256">
        <v>0</v>
      </c>
      <c r="AC127" s="256">
        <v>0.96467199999999997</v>
      </c>
      <c r="AD127" s="256">
        <v>1.021487</v>
      </c>
      <c r="AE127" s="231">
        <v>4.2391719999999999</v>
      </c>
      <c r="AF127" s="231">
        <v>0.35</v>
      </c>
      <c r="AG127" s="231">
        <v>0.55000000000000004</v>
      </c>
      <c r="AH127" s="231">
        <v>49</v>
      </c>
      <c r="AI127" s="231">
        <v>26.95</v>
      </c>
      <c r="AJ127" s="231">
        <v>10.71</v>
      </c>
      <c r="AK127" s="231">
        <v>12.6</v>
      </c>
      <c r="AL127" s="231">
        <v>0</v>
      </c>
      <c r="AM127" s="256">
        <v>0.51505699999999999</v>
      </c>
      <c r="AN127" s="256">
        <v>0.52993100000000004</v>
      </c>
      <c r="AO127" s="256">
        <v>2.199214</v>
      </c>
      <c r="AP127" s="256">
        <v>29.132214999999999</v>
      </c>
      <c r="AQ127" s="231">
        <v>0</v>
      </c>
      <c r="AR127" s="255">
        <v>119.6</v>
      </c>
      <c r="AS127" s="231">
        <v>0</v>
      </c>
      <c r="AT127" s="231"/>
      <c r="AU127" s="231"/>
      <c r="AV127" s="231"/>
      <c r="AW127" s="231"/>
      <c r="AX127" s="231"/>
      <c r="AY127" s="231"/>
      <c r="AZ127" s="231"/>
      <c r="BA127" s="116" t="s">
        <v>132</v>
      </c>
    </row>
    <row r="128" spans="1:53">
      <c r="A128" s="69" t="str">
        <f t="shared" si="1"/>
        <v>Desarrollo</v>
      </c>
      <c r="B128" s="232">
        <v>42126</v>
      </c>
      <c r="C128" s="232" t="s">
        <v>133</v>
      </c>
      <c r="D128" s="231">
        <v>122</v>
      </c>
      <c r="E128" s="255">
        <v>22.913281000000001</v>
      </c>
      <c r="F128" s="255">
        <v>6.9420169999999999</v>
      </c>
      <c r="G128" s="255">
        <v>14.927649000000001</v>
      </c>
      <c r="H128" s="255">
        <v>1</v>
      </c>
      <c r="I128" s="255">
        <v>4.3499999999999996</v>
      </c>
      <c r="J128" s="255">
        <v>27.35</v>
      </c>
      <c r="K128" s="255">
        <v>32.800800000000002</v>
      </c>
      <c r="L128" s="255">
        <v>0</v>
      </c>
      <c r="M128" s="255">
        <v>0</v>
      </c>
      <c r="N128" s="231">
        <v>1.0309090000000001</v>
      </c>
      <c r="O128" s="231">
        <v>0.67407399999999995</v>
      </c>
      <c r="P128" s="231">
        <v>0.15</v>
      </c>
      <c r="Q128" s="255">
        <v>1.1000000000000001</v>
      </c>
      <c r="R128" s="255">
        <v>1.105621</v>
      </c>
      <c r="S128" s="231">
        <v>0</v>
      </c>
      <c r="T128" s="231">
        <v>0.8</v>
      </c>
      <c r="U128" s="231">
        <v>1</v>
      </c>
      <c r="V128" s="231">
        <v>0.2</v>
      </c>
      <c r="W128" s="255">
        <v>20</v>
      </c>
      <c r="X128" s="231">
        <v>0.96467199999999997</v>
      </c>
      <c r="Y128" s="256">
        <v>9</v>
      </c>
      <c r="Z128" s="256">
        <v>1</v>
      </c>
      <c r="AA128" s="256">
        <v>7.4712000000000001E-2</v>
      </c>
      <c r="AB128" s="256">
        <v>0</v>
      </c>
      <c r="AC128" s="256">
        <v>2.5896530000000002</v>
      </c>
      <c r="AD128" s="256">
        <v>1.105621</v>
      </c>
      <c r="AE128" s="231">
        <v>4.8094510000000001</v>
      </c>
      <c r="AF128" s="231">
        <v>0.35</v>
      </c>
      <c r="AG128" s="231">
        <v>0.55000000000000004</v>
      </c>
      <c r="AH128" s="231">
        <v>49</v>
      </c>
      <c r="AI128" s="231">
        <v>26.95</v>
      </c>
      <c r="AJ128" s="231">
        <v>0</v>
      </c>
      <c r="AK128" s="231"/>
      <c r="AL128" s="231">
        <v>0</v>
      </c>
      <c r="AM128" s="256">
        <v>0.90103299999999997</v>
      </c>
      <c r="AN128" s="256">
        <v>1.003595</v>
      </c>
      <c r="AO128" s="256">
        <v>4.3656389999999998</v>
      </c>
      <c r="AP128" s="256">
        <v>33.497853999999997</v>
      </c>
      <c r="AQ128" s="231">
        <v>4.8094510000000001</v>
      </c>
      <c r="AR128" s="255">
        <v>119.6</v>
      </c>
      <c r="AS128" s="231">
        <v>0</v>
      </c>
      <c r="AT128" s="231"/>
      <c r="AU128" s="231"/>
      <c r="AV128" s="231"/>
      <c r="AW128" s="231"/>
      <c r="AX128" s="231"/>
      <c r="AY128" s="231"/>
      <c r="AZ128" s="231"/>
      <c r="BA128" s="116" t="s">
        <v>132</v>
      </c>
    </row>
    <row r="129" spans="1:53">
      <c r="A129" s="69" t="str">
        <f t="shared" si="1"/>
        <v>Desarrollo</v>
      </c>
      <c r="B129" s="232">
        <v>42127</v>
      </c>
      <c r="C129" s="232" t="s">
        <v>133</v>
      </c>
      <c r="D129" s="231">
        <v>123</v>
      </c>
      <c r="E129" s="255">
        <v>24.532616999999998</v>
      </c>
      <c r="F129" s="255">
        <v>5.5726079999999998</v>
      </c>
      <c r="G129" s="255">
        <v>15.477612000000001</v>
      </c>
      <c r="H129" s="255">
        <v>1.1000000000000001</v>
      </c>
      <c r="I129" s="255">
        <v>4.45</v>
      </c>
      <c r="J129" s="255">
        <v>26.5</v>
      </c>
      <c r="K129" s="255">
        <v>32.167549999999999</v>
      </c>
      <c r="L129" s="255">
        <v>0</v>
      </c>
      <c r="M129" s="255">
        <v>0</v>
      </c>
      <c r="N129" s="231">
        <v>1.0481819999999999</v>
      </c>
      <c r="O129" s="231">
        <v>0.68055600000000005</v>
      </c>
      <c r="P129" s="231">
        <v>0.15</v>
      </c>
      <c r="Q129" s="255">
        <v>1.1000000000000001</v>
      </c>
      <c r="R129" s="255">
        <v>1.109823</v>
      </c>
      <c r="S129" s="231">
        <v>12.6</v>
      </c>
      <c r="T129" s="231">
        <v>0.8</v>
      </c>
      <c r="U129" s="231">
        <v>1</v>
      </c>
      <c r="V129" s="231">
        <v>0.2</v>
      </c>
      <c r="W129" s="255">
        <v>20</v>
      </c>
      <c r="X129" s="231">
        <v>0</v>
      </c>
      <c r="Y129" s="256">
        <v>9</v>
      </c>
      <c r="Z129" s="256">
        <v>1</v>
      </c>
      <c r="AA129" s="256">
        <v>6.1642000000000002E-2</v>
      </c>
      <c r="AB129" s="256">
        <v>8.1203470000000006</v>
      </c>
      <c r="AC129" s="256">
        <v>1.371524</v>
      </c>
      <c r="AD129" s="256">
        <v>1.109823</v>
      </c>
      <c r="AE129" s="231">
        <v>4.938714</v>
      </c>
      <c r="AF129" s="231">
        <v>0.35</v>
      </c>
      <c r="AG129" s="231">
        <v>0.55000000000000004</v>
      </c>
      <c r="AH129" s="231">
        <v>49</v>
      </c>
      <c r="AI129" s="231">
        <v>26.95</v>
      </c>
      <c r="AJ129" s="231">
        <v>10.71</v>
      </c>
      <c r="AK129" s="231">
        <v>12.6</v>
      </c>
      <c r="AL129" s="231">
        <v>0</v>
      </c>
      <c r="AM129" s="256">
        <v>0.70304500000000003</v>
      </c>
      <c r="AN129" s="256">
        <v>0.79856099999999997</v>
      </c>
      <c r="AO129" s="256">
        <v>3.5535950000000001</v>
      </c>
      <c r="AP129" s="256">
        <v>26.341449000000001</v>
      </c>
      <c r="AQ129" s="231">
        <v>9.7481639999999992</v>
      </c>
      <c r="AR129" s="255">
        <v>132.19999999999999</v>
      </c>
      <c r="AS129" s="231">
        <v>0</v>
      </c>
      <c r="AT129" s="231"/>
      <c r="AU129" s="231"/>
      <c r="AV129" s="231"/>
      <c r="AW129" s="231"/>
      <c r="AX129" s="231"/>
      <c r="AY129" s="231"/>
      <c r="AZ129" s="231"/>
      <c r="BA129" s="116" t="s">
        <v>132</v>
      </c>
    </row>
    <row r="130" spans="1:53">
      <c r="A130" s="69" t="str">
        <f t="shared" si="1"/>
        <v>Desarrollo</v>
      </c>
      <c r="B130" s="232">
        <v>42128</v>
      </c>
      <c r="C130" s="232" t="s">
        <v>133</v>
      </c>
      <c r="D130" s="231">
        <v>124</v>
      </c>
      <c r="E130" s="255">
        <v>25.100792999999999</v>
      </c>
      <c r="F130" s="255">
        <v>10.262093999999999</v>
      </c>
      <c r="G130" s="255">
        <v>17.656444</v>
      </c>
      <c r="H130" s="255">
        <v>1.1000000000000001</v>
      </c>
      <c r="I130" s="255">
        <v>5.6</v>
      </c>
      <c r="J130" s="255">
        <v>25.33</v>
      </c>
      <c r="K130" s="255">
        <v>27.820049999999998</v>
      </c>
      <c r="L130" s="255">
        <v>0</v>
      </c>
      <c r="M130" s="255">
        <v>0</v>
      </c>
      <c r="N130" s="231">
        <v>1.065455</v>
      </c>
      <c r="O130" s="231">
        <v>0.68703700000000001</v>
      </c>
      <c r="P130" s="231">
        <v>0.15</v>
      </c>
      <c r="Q130" s="255">
        <v>1.1000000000000001</v>
      </c>
      <c r="R130" s="255">
        <v>1.121027</v>
      </c>
      <c r="S130" s="231">
        <v>12.6</v>
      </c>
      <c r="T130" s="231">
        <v>0.8</v>
      </c>
      <c r="U130" s="231">
        <v>1</v>
      </c>
      <c r="V130" s="231">
        <v>0.2</v>
      </c>
      <c r="W130" s="255">
        <v>20</v>
      </c>
      <c r="X130" s="231">
        <v>0</v>
      </c>
      <c r="Y130" s="256">
        <v>9</v>
      </c>
      <c r="Z130" s="256">
        <v>1</v>
      </c>
      <c r="AA130" s="256">
        <v>5.5572000000000003E-2</v>
      </c>
      <c r="AB130" s="256">
        <v>9.338476</v>
      </c>
      <c r="AC130" s="256">
        <v>1.556017</v>
      </c>
      <c r="AD130" s="256">
        <v>1.121027</v>
      </c>
      <c r="AE130" s="231">
        <v>6.277749</v>
      </c>
      <c r="AF130" s="231">
        <v>0.35</v>
      </c>
      <c r="AG130" s="231">
        <v>0.55000000000000004</v>
      </c>
      <c r="AH130" s="231">
        <v>49</v>
      </c>
      <c r="AI130" s="231">
        <v>26.95</v>
      </c>
      <c r="AJ130" s="231">
        <v>10.71</v>
      </c>
      <c r="AK130" s="231">
        <v>12.6</v>
      </c>
      <c r="AL130" s="231">
        <v>0</v>
      </c>
      <c r="AM130" s="256">
        <v>1</v>
      </c>
      <c r="AN130" s="256">
        <v>1.121027</v>
      </c>
      <c r="AO130" s="256">
        <v>6.277749</v>
      </c>
      <c r="AP130" s="256">
        <v>21.909198</v>
      </c>
      <c r="AQ130" s="231">
        <v>16.025912999999999</v>
      </c>
      <c r="AR130" s="255">
        <v>144.80000000000001</v>
      </c>
      <c r="AS130" s="231">
        <v>0</v>
      </c>
      <c r="AT130" s="231"/>
      <c r="AU130" s="231"/>
      <c r="AV130" s="231"/>
      <c r="AW130" s="231"/>
      <c r="AX130" s="231"/>
      <c r="AY130" s="231"/>
      <c r="AZ130" s="231"/>
      <c r="BA130" s="116" t="s">
        <v>132</v>
      </c>
    </row>
    <row r="131" spans="1:53">
      <c r="A131" s="69" t="str">
        <f t="shared" si="1"/>
        <v>Desarrollo</v>
      </c>
      <c r="B131" s="232">
        <v>42129</v>
      </c>
      <c r="C131" s="232" t="s">
        <v>133</v>
      </c>
      <c r="D131" s="231">
        <v>125</v>
      </c>
      <c r="E131" s="255">
        <v>25.729275000000001</v>
      </c>
      <c r="F131" s="255">
        <v>8.3697970000000002</v>
      </c>
      <c r="G131" s="255">
        <v>17.349536000000001</v>
      </c>
      <c r="H131" s="255">
        <v>1.1000000000000001</v>
      </c>
      <c r="I131" s="255">
        <v>5.3</v>
      </c>
      <c r="J131" s="255">
        <v>29.65</v>
      </c>
      <c r="K131" s="255">
        <v>25.376100000000001</v>
      </c>
      <c r="L131" s="255">
        <v>0</v>
      </c>
      <c r="M131" s="255">
        <v>0</v>
      </c>
      <c r="N131" s="231">
        <v>1.082727</v>
      </c>
      <c r="O131" s="231">
        <v>0.693519</v>
      </c>
      <c r="P131" s="231">
        <v>0.15</v>
      </c>
      <c r="Q131" s="255">
        <v>1.1000000000000001</v>
      </c>
      <c r="R131" s="255">
        <v>1.132727</v>
      </c>
      <c r="S131" s="231">
        <v>0</v>
      </c>
      <c r="T131" s="231">
        <v>0.8</v>
      </c>
      <c r="U131" s="231">
        <v>1</v>
      </c>
      <c r="V131" s="231">
        <v>0.2</v>
      </c>
      <c r="W131" s="255">
        <v>20</v>
      </c>
      <c r="X131" s="231">
        <v>1.556017</v>
      </c>
      <c r="Y131" s="256">
        <v>9</v>
      </c>
      <c r="Z131" s="256">
        <v>1</v>
      </c>
      <c r="AA131" s="256">
        <v>0.05</v>
      </c>
      <c r="AB131" s="256">
        <v>0</v>
      </c>
      <c r="AC131" s="256">
        <v>2.8810169999999999</v>
      </c>
      <c r="AD131" s="256">
        <v>1.132727</v>
      </c>
      <c r="AE131" s="231">
        <v>6.0034549999999998</v>
      </c>
      <c r="AF131" s="231">
        <v>0.35</v>
      </c>
      <c r="AG131" s="231">
        <v>0.55000000000000004</v>
      </c>
      <c r="AH131" s="231">
        <v>49</v>
      </c>
      <c r="AI131" s="231">
        <v>26.95</v>
      </c>
      <c r="AJ131" s="231">
        <v>0</v>
      </c>
      <c r="AK131" s="231"/>
      <c r="AL131" s="231">
        <v>0</v>
      </c>
      <c r="AM131" s="256">
        <v>1</v>
      </c>
      <c r="AN131" s="256">
        <v>1.132727</v>
      </c>
      <c r="AO131" s="256">
        <v>6.0034549999999998</v>
      </c>
      <c r="AP131" s="256">
        <v>27.912652999999999</v>
      </c>
      <c r="AQ131" s="231">
        <v>22.029368000000002</v>
      </c>
      <c r="AR131" s="255">
        <v>144.80000000000001</v>
      </c>
      <c r="AS131" s="231">
        <v>0</v>
      </c>
      <c r="AT131" s="231"/>
      <c r="AU131" s="231"/>
      <c r="AV131" s="231"/>
      <c r="AW131" s="231"/>
      <c r="AX131" s="231"/>
      <c r="AY131" s="231"/>
      <c r="AZ131" s="231"/>
      <c r="BA131" s="116" t="s">
        <v>132</v>
      </c>
    </row>
    <row r="132" spans="1:53">
      <c r="A132" s="69" t="str">
        <f t="shared" si="1"/>
        <v>Mediados</v>
      </c>
      <c r="B132" s="232">
        <v>42130</v>
      </c>
      <c r="C132" s="232" t="s">
        <v>134</v>
      </c>
      <c r="D132" s="231">
        <v>126</v>
      </c>
      <c r="E132" s="255">
        <v>25.722021999999999</v>
      </c>
      <c r="F132" s="255">
        <v>7.3555669999999997</v>
      </c>
      <c r="G132" s="255">
        <v>17.363793999999999</v>
      </c>
      <c r="H132" s="255">
        <v>1.1000000000000001</v>
      </c>
      <c r="I132" s="255">
        <v>5.15</v>
      </c>
      <c r="J132" s="255">
        <v>28.5</v>
      </c>
      <c r="K132" s="255">
        <v>23.318750000000001</v>
      </c>
      <c r="L132" s="255">
        <v>0</v>
      </c>
      <c r="M132" s="255">
        <v>0</v>
      </c>
      <c r="N132" s="231">
        <v>1.1000000000000001</v>
      </c>
      <c r="O132" s="231">
        <v>0.7</v>
      </c>
      <c r="P132" s="231">
        <v>0.15</v>
      </c>
      <c r="Q132" s="255">
        <v>1.1499999999999999</v>
      </c>
      <c r="R132" s="255">
        <v>1.1827799999999999</v>
      </c>
      <c r="S132" s="231">
        <v>0</v>
      </c>
      <c r="T132" s="231">
        <v>0.8</v>
      </c>
      <c r="U132" s="231">
        <v>1</v>
      </c>
      <c r="V132" s="231">
        <v>0.2</v>
      </c>
      <c r="W132" s="255">
        <v>20</v>
      </c>
      <c r="X132" s="231">
        <v>2.8810169999999999</v>
      </c>
      <c r="Y132" s="256">
        <v>9</v>
      </c>
      <c r="Z132" s="256">
        <v>1</v>
      </c>
      <c r="AA132" s="256">
        <v>8.2780000000000006E-2</v>
      </c>
      <c r="AB132" s="256">
        <v>0</v>
      </c>
      <c r="AC132" s="256">
        <v>5.012613</v>
      </c>
      <c r="AD132" s="256">
        <v>1.1827799999999999</v>
      </c>
      <c r="AE132" s="231">
        <v>6.0913190000000004</v>
      </c>
      <c r="AF132" s="231">
        <v>0.35</v>
      </c>
      <c r="AG132" s="231">
        <v>0.55000000000000004</v>
      </c>
      <c r="AH132" s="231">
        <v>49</v>
      </c>
      <c r="AI132" s="231">
        <v>26.95</v>
      </c>
      <c r="AJ132" s="231">
        <v>0</v>
      </c>
      <c r="AK132" s="231"/>
      <c r="AL132" s="231">
        <v>0</v>
      </c>
      <c r="AM132" s="256">
        <v>0.95634200000000003</v>
      </c>
      <c r="AN132" s="256">
        <v>1.134757</v>
      </c>
      <c r="AO132" s="256">
        <v>5.843998</v>
      </c>
      <c r="AP132" s="256">
        <v>33.756650999999998</v>
      </c>
      <c r="AQ132" s="231">
        <v>28.120687</v>
      </c>
      <c r="AR132" s="255">
        <v>144.80000000000001</v>
      </c>
      <c r="AS132" s="231">
        <v>0</v>
      </c>
      <c r="AT132" s="231"/>
      <c r="AU132" s="231"/>
      <c r="AV132" s="231"/>
      <c r="AW132" s="231"/>
      <c r="AX132" s="231"/>
      <c r="AY132" s="231"/>
      <c r="AZ132" s="231"/>
      <c r="BA132" s="116" t="s">
        <v>132</v>
      </c>
    </row>
    <row r="133" spans="1:53">
      <c r="A133" s="69" t="str">
        <f t="shared" si="1"/>
        <v>Mediados</v>
      </c>
      <c r="B133" s="232">
        <v>42131</v>
      </c>
      <c r="C133" s="232" t="s">
        <v>134</v>
      </c>
      <c r="D133" s="231">
        <v>127</v>
      </c>
      <c r="E133" s="255">
        <v>25.262661999999999</v>
      </c>
      <c r="F133" s="255">
        <v>12.224807999999999</v>
      </c>
      <c r="G133" s="255">
        <v>18.743735000000001</v>
      </c>
      <c r="H133" s="255">
        <v>1.1000000000000001</v>
      </c>
      <c r="I133" s="255">
        <v>5.0999999999999996</v>
      </c>
      <c r="J133" s="255">
        <v>27.65</v>
      </c>
      <c r="K133" s="255">
        <v>31.693100000000001</v>
      </c>
      <c r="L133" s="255">
        <v>0</v>
      </c>
      <c r="M133" s="255">
        <v>0</v>
      </c>
      <c r="N133" s="231">
        <v>1.1000000000000001</v>
      </c>
      <c r="O133" s="231">
        <v>0.7</v>
      </c>
      <c r="P133" s="231">
        <v>0.15</v>
      </c>
      <c r="Q133" s="255">
        <v>1.1499999999999999</v>
      </c>
      <c r="R133" s="255">
        <v>1.161133</v>
      </c>
      <c r="S133" s="231">
        <v>0</v>
      </c>
      <c r="T133" s="231">
        <v>0.8</v>
      </c>
      <c r="U133" s="231">
        <v>1</v>
      </c>
      <c r="V133" s="231">
        <v>0.2</v>
      </c>
      <c r="W133" s="255">
        <v>20</v>
      </c>
      <c r="X133" s="231">
        <v>5.012613</v>
      </c>
      <c r="Y133" s="256">
        <v>9</v>
      </c>
      <c r="Z133" s="256">
        <v>1</v>
      </c>
      <c r="AA133" s="256">
        <v>6.1133E-2</v>
      </c>
      <c r="AB133" s="256">
        <v>0</v>
      </c>
      <c r="AC133" s="256">
        <v>6.5715089999999998</v>
      </c>
      <c r="AD133" s="256">
        <v>1.161133</v>
      </c>
      <c r="AE133" s="231">
        <v>5.9217789999999999</v>
      </c>
      <c r="AF133" s="231">
        <v>0.35</v>
      </c>
      <c r="AG133" s="231">
        <v>0.55000000000000004</v>
      </c>
      <c r="AH133" s="231">
        <v>49</v>
      </c>
      <c r="AI133" s="231">
        <v>26.95</v>
      </c>
      <c r="AJ133" s="231">
        <v>0</v>
      </c>
      <c r="AK133" s="231"/>
      <c r="AL133" s="231">
        <v>0</v>
      </c>
      <c r="AM133" s="256">
        <v>0.69130800000000003</v>
      </c>
      <c r="AN133" s="256">
        <v>0.82157199999999997</v>
      </c>
      <c r="AO133" s="256">
        <v>4.1900190000000004</v>
      </c>
      <c r="AP133" s="256">
        <v>37.946669999999997</v>
      </c>
      <c r="AQ133" s="231">
        <v>34.042465999999997</v>
      </c>
      <c r="AR133" s="255">
        <v>144.80000000000001</v>
      </c>
      <c r="AS133" s="231">
        <v>0</v>
      </c>
      <c r="AT133" s="231"/>
      <c r="AU133" s="231"/>
      <c r="AV133" s="231"/>
      <c r="AW133" s="231"/>
      <c r="AX133" s="231"/>
      <c r="AY133" s="231"/>
      <c r="AZ133" s="231"/>
      <c r="BA133" s="116" t="s">
        <v>132</v>
      </c>
    </row>
    <row r="134" spans="1:53">
      <c r="A134" s="69" t="str">
        <f t="shared" si="1"/>
        <v>Mediados</v>
      </c>
      <c r="B134" s="232">
        <v>42132</v>
      </c>
      <c r="C134" s="232" t="s">
        <v>134</v>
      </c>
      <c r="D134" s="231">
        <v>128</v>
      </c>
      <c r="E134" s="255">
        <v>26.439323999999999</v>
      </c>
      <c r="F134" s="255">
        <v>5.7368740000000003</v>
      </c>
      <c r="G134" s="255">
        <v>19.513099</v>
      </c>
      <c r="H134" s="255">
        <v>1</v>
      </c>
      <c r="I134" s="255">
        <v>4.5</v>
      </c>
      <c r="J134" s="255">
        <v>14.59</v>
      </c>
      <c r="K134" s="255">
        <v>13.617150000000001</v>
      </c>
      <c r="L134" s="255">
        <v>0</v>
      </c>
      <c r="M134" s="255">
        <v>0</v>
      </c>
      <c r="N134" s="231">
        <v>1.1000000000000001</v>
      </c>
      <c r="O134" s="231">
        <v>0.7</v>
      </c>
      <c r="P134" s="231">
        <v>0.15</v>
      </c>
      <c r="Q134" s="255">
        <v>1.1000000000000001</v>
      </c>
      <c r="R134" s="255">
        <v>1.1552739999999999</v>
      </c>
      <c r="S134" s="231">
        <v>12.6</v>
      </c>
      <c r="T134" s="231">
        <v>0.8</v>
      </c>
      <c r="U134" s="231">
        <v>1</v>
      </c>
      <c r="V134" s="231">
        <v>0.2</v>
      </c>
      <c r="W134" s="255">
        <v>20</v>
      </c>
      <c r="X134" s="231">
        <v>0</v>
      </c>
      <c r="Y134" s="256">
        <v>9</v>
      </c>
      <c r="Z134" s="256">
        <v>1</v>
      </c>
      <c r="AA134" s="256">
        <v>5.5273999999999997E-2</v>
      </c>
      <c r="AB134" s="256">
        <v>4.1384910000000001</v>
      </c>
      <c r="AC134" s="256">
        <v>1.2436579999999999</v>
      </c>
      <c r="AD134" s="256">
        <v>1.1552739999999999</v>
      </c>
      <c r="AE134" s="231">
        <v>5.1987319999999997</v>
      </c>
      <c r="AF134" s="231">
        <v>0.35</v>
      </c>
      <c r="AG134" s="231">
        <v>0.55000000000000004</v>
      </c>
      <c r="AH134" s="231">
        <v>49</v>
      </c>
      <c r="AI134" s="231">
        <v>26.95</v>
      </c>
      <c r="AJ134" s="231">
        <v>10.71</v>
      </c>
      <c r="AK134" s="231">
        <v>12.6</v>
      </c>
      <c r="AL134" s="231">
        <v>0</v>
      </c>
      <c r="AM134" s="256">
        <v>0.50128499999999998</v>
      </c>
      <c r="AN134" s="256">
        <v>0.60668699999999998</v>
      </c>
      <c r="AO134" s="256">
        <v>2.730092</v>
      </c>
      <c r="AP134" s="256">
        <v>29.966761000000002</v>
      </c>
      <c r="AQ134" s="231">
        <v>39.241197999999997</v>
      </c>
      <c r="AR134" s="255">
        <v>157.4</v>
      </c>
      <c r="AS134" s="231">
        <v>0</v>
      </c>
      <c r="AT134" s="231"/>
      <c r="AU134" s="231"/>
      <c r="AV134" s="231"/>
      <c r="AW134" s="231"/>
      <c r="AX134" s="231"/>
      <c r="AY134" s="231"/>
      <c r="AZ134" s="231"/>
      <c r="BA134" s="116" t="s">
        <v>132</v>
      </c>
    </row>
    <row r="135" spans="1:53">
      <c r="A135" s="69" t="str">
        <f t="shared" si="1"/>
        <v>Mediados</v>
      </c>
      <c r="B135" s="232">
        <v>42133</v>
      </c>
      <c r="C135" s="232" t="s">
        <v>134</v>
      </c>
      <c r="D135" s="231">
        <v>129</v>
      </c>
      <c r="E135" s="255">
        <v>26.725659</v>
      </c>
      <c r="F135" s="255">
        <v>11.510645</v>
      </c>
      <c r="G135" s="255">
        <v>19.368151999999998</v>
      </c>
      <c r="H135" s="255">
        <v>1.6</v>
      </c>
      <c r="I135" s="255">
        <v>5.15</v>
      </c>
      <c r="J135" s="255">
        <v>27.83</v>
      </c>
      <c r="K135" s="255">
        <v>29.216799999999999</v>
      </c>
      <c r="L135" s="255">
        <v>0</v>
      </c>
      <c r="M135" s="255">
        <v>0</v>
      </c>
      <c r="N135" s="231">
        <v>1.1000000000000001</v>
      </c>
      <c r="O135" s="231">
        <v>0.7</v>
      </c>
      <c r="P135" s="231">
        <v>0.15</v>
      </c>
      <c r="Q135" s="255">
        <v>1.1000000000000001</v>
      </c>
      <c r="R135" s="255">
        <v>1.1499999999999999</v>
      </c>
      <c r="S135" s="231">
        <v>0</v>
      </c>
      <c r="T135" s="231">
        <v>0.8</v>
      </c>
      <c r="U135" s="231">
        <v>1</v>
      </c>
      <c r="V135" s="231">
        <v>0.2</v>
      </c>
      <c r="W135" s="255">
        <v>20</v>
      </c>
      <c r="X135" s="231">
        <v>1.2436579999999999</v>
      </c>
      <c r="Y135" s="256">
        <v>9</v>
      </c>
      <c r="Z135" s="256">
        <v>1</v>
      </c>
      <c r="AA135" s="256">
        <v>0.05</v>
      </c>
      <c r="AB135" s="256">
        <v>0</v>
      </c>
      <c r="AC135" s="256">
        <v>2.531158</v>
      </c>
      <c r="AD135" s="256">
        <v>1.1499999999999999</v>
      </c>
      <c r="AE135" s="231">
        <v>5.9225000000000003</v>
      </c>
      <c r="AF135" s="231">
        <v>0.35</v>
      </c>
      <c r="AG135" s="231">
        <v>0.55000000000000004</v>
      </c>
      <c r="AH135" s="231">
        <v>49</v>
      </c>
      <c r="AI135" s="231">
        <v>26.95</v>
      </c>
      <c r="AJ135" s="231">
        <v>0</v>
      </c>
      <c r="AK135" s="231"/>
      <c r="AL135" s="231">
        <v>0</v>
      </c>
      <c r="AM135" s="256">
        <v>0.86318499999999998</v>
      </c>
      <c r="AN135" s="256">
        <v>0.99950399999999995</v>
      </c>
      <c r="AO135" s="256">
        <v>5.1474450000000003</v>
      </c>
      <c r="AP135" s="256">
        <v>35.114207</v>
      </c>
      <c r="AQ135" s="231">
        <v>45.163697999999997</v>
      </c>
      <c r="AR135" s="255">
        <v>157.4</v>
      </c>
      <c r="AS135" s="231">
        <v>0</v>
      </c>
      <c r="AT135" s="231"/>
      <c r="AU135" s="231"/>
      <c r="AV135" s="231"/>
      <c r="AW135" s="231"/>
      <c r="AX135" s="231"/>
      <c r="AY135" s="231"/>
      <c r="AZ135" s="231"/>
      <c r="BA135" s="116" t="s">
        <v>132</v>
      </c>
    </row>
    <row r="136" spans="1:53">
      <c r="A136" s="69" t="str">
        <f t="shared" si="1"/>
        <v>Mediados</v>
      </c>
      <c r="B136" s="232">
        <v>42134</v>
      </c>
      <c r="C136" s="232" t="s">
        <v>134</v>
      </c>
      <c r="D136" s="231">
        <v>130</v>
      </c>
      <c r="E136" s="255">
        <v>21.913111000000001</v>
      </c>
      <c r="F136" s="255">
        <v>11.665820999999999</v>
      </c>
      <c r="G136" s="255">
        <v>16.689465999999999</v>
      </c>
      <c r="H136" s="255">
        <v>1.4</v>
      </c>
      <c r="I136" s="255">
        <v>4.8499999999999996</v>
      </c>
      <c r="J136" s="255">
        <v>24.59</v>
      </c>
      <c r="K136" s="255">
        <v>32.819800000000001</v>
      </c>
      <c r="L136" s="255">
        <v>0</v>
      </c>
      <c r="M136" s="255">
        <v>0</v>
      </c>
      <c r="N136" s="231">
        <v>1.1000000000000001</v>
      </c>
      <c r="O136" s="231">
        <v>0.7</v>
      </c>
      <c r="P136" s="231">
        <v>0.15</v>
      </c>
      <c r="Q136" s="255">
        <v>1.1000000000000001</v>
      </c>
      <c r="R136" s="255">
        <v>1.1499999999999999</v>
      </c>
      <c r="S136" s="231">
        <v>12.6</v>
      </c>
      <c r="T136" s="231">
        <v>0.8</v>
      </c>
      <c r="U136" s="231">
        <v>1</v>
      </c>
      <c r="V136" s="231">
        <v>0.2</v>
      </c>
      <c r="W136" s="255">
        <v>20</v>
      </c>
      <c r="X136" s="231">
        <v>0</v>
      </c>
      <c r="Y136" s="256">
        <v>9</v>
      </c>
      <c r="Z136" s="256">
        <v>1</v>
      </c>
      <c r="AA136" s="256">
        <v>0.05</v>
      </c>
      <c r="AB136" s="256">
        <v>8.1788419999999995</v>
      </c>
      <c r="AC136" s="256">
        <v>1.2124999999999999</v>
      </c>
      <c r="AD136" s="256">
        <v>1.1499999999999999</v>
      </c>
      <c r="AE136" s="231">
        <v>5.5774999999999997</v>
      </c>
      <c r="AF136" s="231">
        <v>0.35</v>
      </c>
      <c r="AG136" s="231">
        <v>0.55000000000000004</v>
      </c>
      <c r="AH136" s="231">
        <v>49</v>
      </c>
      <c r="AI136" s="231">
        <v>26.95</v>
      </c>
      <c r="AJ136" s="231">
        <v>10.71</v>
      </c>
      <c r="AK136" s="231">
        <v>12.6</v>
      </c>
      <c r="AL136" s="231">
        <v>0</v>
      </c>
      <c r="AM136" s="256">
        <v>0.629741</v>
      </c>
      <c r="AN136" s="256">
        <v>0.74271500000000001</v>
      </c>
      <c r="AO136" s="256">
        <v>3.602169</v>
      </c>
      <c r="AP136" s="256">
        <v>28.006375999999999</v>
      </c>
      <c r="AQ136" s="231">
        <v>50.741197999999997</v>
      </c>
      <c r="AR136" s="255">
        <v>170</v>
      </c>
      <c r="AS136" s="231">
        <v>0</v>
      </c>
      <c r="AT136" s="231"/>
      <c r="AU136" s="231"/>
      <c r="AV136" s="231"/>
      <c r="AW136" s="231"/>
      <c r="AX136" s="231"/>
      <c r="AY136" s="231"/>
      <c r="AZ136" s="231"/>
      <c r="BA136" s="116" t="s">
        <v>132</v>
      </c>
    </row>
    <row r="137" spans="1:53">
      <c r="A137" s="69" t="str">
        <f t="shared" si="1"/>
        <v>Mediados</v>
      </c>
      <c r="B137" s="232">
        <v>42135</v>
      </c>
      <c r="C137" s="232" t="s">
        <v>134</v>
      </c>
      <c r="D137" s="231">
        <v>131</v>
      </c>
      <c r="E137" s="255">
        <v>22.797452</v>
      </c>
      <c r="F137" s="255">
        <v>8.8872719999999994</v>
      </c>
      <c r="G137" s="255">
        <v>16.142361999999999</v>
      </c>
      <c r="H137" s="255">
        <v>1.2</v>
      </c>
      <c r="I137" s="255">
        <v>4.3499999999999996</v>
      </c>
      <c r="J137" s="255">
        <v>28.69</v>
      </c>
      <c r="K137" s="255">
        <v>39.200000000000003</v>
      </c>
      <c r="L137" s="255">
        <v>0</v>
      </c>
      <c r="M137" s="255">
        <v>0</v>
      </c>
      <c r="N137" s="231">
        <v>1.1000000000000001</v>
      </c>
      <c r="O137" s="231">
        <v>0.7</v>
      </c>
      <c r="P137" s="231">
        <v>0.15</v>
      </c>
      <c r="Q137" s="255">
        <v>1.1000000000000001</v>
      </c>
      <c r="R137" s="255">
        <v>1.1499999999999999</v>
      </c>
      <c r="S137" s="231">
        <v>0</v>
      </c>
      <c r="T137" s="231">
        <v>0.8</v>
      </c>
      <c r="U137" s="231">
        <v>1</v>
      </c>
      <c r="V137" s="231">
        <v>0.2</v>
      </c>
      <c r="W137" s="255">
        <v>20</v>
      </c>
      <c r="X137" s="231">
        <v>1.2124999999999999</v>
      </c>
      <c r="Y137" s="256">
        <v>9</v>
      </c>
      <c r="Z137" s="256">
        <v>1</v>
      </c>
      <c r="AA137" s="256">
        <v>0.05</v>
      </c>
      <c r="AB137" s="256">
        <v>0</v>
      </c>
      <c r="AC137" s="256">
        <v>2.2999999999999998</v>
      </c>
      <c r="AD137" s="256">
        <v>1.1499999999999999</v>
      </c>
      <c r="AE137" s="231">
        <v>5.0025000000000004</v>
      </c>
      <c r="AF137" s="231">
        <v>0.35</v>
      </c>
      <c r="AG137" s="231">
        <v>0.55000000000000004</v>
      </c>
      <c r="AH137" s="231">
        <v>49</v>
      </c>
      <c r="AI137" s="231">
        <v>26.95</v>
      </c>
      <c r="AJ137" s="231">
        <v>0</v>
      </c>
      <c r="AK137" s="231"/>
      <c r="AL137" s="231">
        <v>0</v>
      </c>
      <c r="AM137" s="256">
        <v>0.95209200000000005</v>
      </c>
      <c r="AN137" s="256">
        <v>1.0973010000000001</v>
      </c>
      <c r="AO137" s="256">
        <v>4.7732590000000004</v>
      </c>
      <c r="AP137" s="256">
        <v>32.779634999999999</v>
      </c>
      <c r="AQ137" s="231">
        <v>0</v>
      </c>
      <c r="AR137" s="255">
        <v>170</v>
      </c>
      <c r="AS137" s="231">
        <v>0</v>
      </c>
      <c r="AT137" s="231"/>
      <c r="AU137" s="231"/>
      <c r="AV137" s="231"/>
      <c r="AW137" s="231"/>
      <c r="AX137" s="231"/>
      <c r="AY137" s="231"/>
      <c r="AZ137" s="231"/>
      <c r="BA137" s="116" t="s">
        <v>132</v>
      </c>
    </row>
    <row r="138" spans="1:53">
      <c r="A138" s="69" t="str">
        <f t="shared" si="1"/>
        <v>Mediados</v>
      </c>
      <c r="B138" s="232">
        <v>42136</v>
      </c>
      <c r="C138" s="232" t="s">
        <v>134</v>
      </c>
      <c r="D138" s="231">
        <v>132</v>
      </c>
      <c r="E138" s="255">
        <v>17.206980999999999</v>
      </c>
      <c r="F138" s="255">
        <v>9.5343680000000006</v>
      </c>
      <c r="G138" s="255">
        <v>13.245673999999999</v>
      </c>
      <c r="H138" s="255">
        <v>1.9</v>
      </c>
      <c r="I138" s="255">
        <v>2.4500000000000002</v>
      </c>
      <c r="J138" s="255">
        <v>18.3</v>
      </c>
      <c r="K138" s="255">
        <v>65.832250000000002</v>
      </c>
      <c r="L138" s="255">
        <v>0</v>
      </c>
      <c r="M138" s="255">
        <v>0</v>
      </c>
      <c r="N138" s="231">
        <v>1.1000000000000001</v>
      </c>
      <c r="O138" s="231">
        <v>0.7</v>
      </c>
      <c r="P138" s="231">
        <v>0.15</v>
      </c>
      <c r="Q138" s="255">
        <v>1.1499999999999999</v>
      </c>
      <c r="R138" s="255">
        <v>1.1499999999999999</v>
      </c>
      <c r="S138" s="231">
        <v>0</v>
      </c>
      <c r="T138" s="231">
        <v>0.8</v>
      </c>
      <c r="U138" s="231">
        <v>1</v>
      </c>
      <c r="V138" s="231">
        <v>0.2</v>
      </c>
      <c r="W138" s="255">
        <v>20</v>
      </c>
      <c r="X138" s="231">
        <v>2.2999999999999998</v>
      </c>
      <c r="Y138" s="256">
        <v>9</v>
      </c>
      <c r="Z138" s="256">
        <v>1</v>
      </c>
      <c r="AA138" s="256">
        <v>0.05</v>
      </c>
      <c r="AB138" s="256">
        <v>0</v>
      </c>
      <c r="AC138" s="256">
        <v>2.9125000000000001</v>
      </c>
      <c r="AD138" s="256">
        <v>1.1499999999999999</v>
      </c>
      <c r="AE138" s="231">
        <v>2.8174999999999999</v>
      </c>
      <c r="AF138" s="231">
        <v>0.35</v>
      </c>
      <c r="AG138" s="231">
        <v>0.55000000000000004</v>
      </c>
      <c r="AH138" s="231">
        <v>49</v>
      </c>
      <c r="AI138" s="231">
        <v>26.95</v>
      </c>
      <c r="AJ138" s="231">
        <v>0</v>
      </c>
      <c r="AK138" s="231"/>
      <c r="AL138" s="231">
        <v>0</v>
      </c>
      <c r="AM138" s="256">
        <v>0.73561699999999997</v>
      </c>
      <c r="AN138" s="256">
        <v>0.85917900000000003</v>
      </c>
      <c r="AO138" s="256">
        <v>2.1049890000000002</v>
      </c>
      <c r="AP138" s="256">
        <v>34.884624000000002</v>
      </c>
      <c r="AQ138" s="231">
        <v>2.8174999999999999</v>
      </c>
      <c r="AR138" s="255">
        <v>170</v>
      </c>
      <c r="AS138" s="231">
        <v>0</v>
      </c>
      <c r="AT138" s="231"/>
      <c r="AU138" s="231"/>
      <c r="AV138" s="231"/>
      <c r="AW138" s="231"/>
      <c r="AX138" s="231"/>
      <c r="AY138" s="231"/>
      <c r="AZ138" s="231"/>
      <c r="BA138" s="116" t="s">
        <v>132</v>
      </c>
    </row>
    <row r="139" spans="1:53">
      <c r="A139" s="69" t="str">
        <f t="shared" si="1"/>
        <v>Mediados</v>
      </c>
      <c r="B139" s="232">
        <v>42137</v>
      </c>
      <c r="C139" s="232" t="s">
        <v>134</v>
      </c>
      <c r="D139" s="231">
        <v>133</v>
      </c>
      <c r="E139" s="255">
        <v>20.131298999999999</v>
      </c>
      <c r="F139" s="255">
        <v>9.0125250000000001</v>
      </c>
      <c r="G139" s="255">
        <v>14.221912</v>
      </c>
      <c r="H139" s="255">
        <v>1.9</v>
      </c>
      <c r="I139" s="255">
        <v>4.1500000000000004</v>
      </c>
      <c r="J139" s="255">
        <v>23.45</v>
      </c>
      <c r="K139" s="255">
        <v>44.721899999999998</v>
      </c>
      <c r="L139" s="255">
        <v>0</v>
      </c>
      <c r="M139" s="255">
        <v>0</v>
      </c>
      <c r="N139" s="231">
        <v>1.1000000000000001</v>
      </c>
      <c r="O139" s="231">
        <v>0.7</v>
      </c>
      <c r="P139" s="231">
        <v>0.15</v>
      </c>
      <c r="Q139" s="255">
        <v>1.1000000000000001</v>
      </c>
      <c r="R139" s="255">
        <v>1.1499999999999999</v>
      </c>
      <c r="S139" s="231">
        <v>12.6</v>
      </c>
      <c r="T139" s="231">
        <v>0.8</v>
      </c>
      <c r="U139" s="231">
        <v>1</v>
      </c>
      <c r="V139" s="231">
        <v>0.2</v>
      </c>
      <c r="W139" s="255">
        <v>20</v>
      </c>
      <c r="X139" s="231">
        <v>0</v>
      </c>
      <c r="Y139" s="256">
        <v>9</v>
      </c>
      <c r="Z139" s="256">
        <v>1</v>
      </c>
      <c r="AA139" s="256">
        <v>0.05</v>
      </c>
      <c r="AB139" s="256">
        <v>7.7975000000000003</v>
      </c>
      <c r="AC139" s="256">
        <v>1.0375000000000001</v>
      </c>
      <c r="AD139" s="256">
        <v>1.1499999999999999</v>
      </c>
      <c r="AE139" s="231">
        <v>4.7725</v>
      </c>
      <c r="AF139" s="231">
        <v>0.35</v>
      </c>
      <c r="AG139" s="231">
        <v>0.55000000000000004</v>
      </c>
      <c r="AH139" s="231">
        <v>49</v>
      </c>
      <c r="AI139" s="231">
        <v>26.95</v>
      </c>
      <c r="AJ139" s="231">
        <v>10.71</v>
      </c>
      <c r="AK139" s="231">
        <v>12.6</v>
      </c>
      <c r="AL139" s="231">
        <v>0</v>
      </c>
      <c r="AM139" s="256">
        <v>0.64015299999999997</v>
      </c>
      <c r="AN139" s="256">
        <v>0.75416799999999995</v>
      </c>
      <c r="AO139" s="256">
        <v>3.1297990000000002</v>
      </c>
      <c r="AP139" s="256">
        <v>27.304423</v>
      </c>
      <c r="AQ139" s="231">
        <v>7.59</v>
      </c>
      <c r="AR139" s="255">
        <v>182.6</v>
      </c>
      <c r="AS139" s="231">
        <v>0</v>
      </c>
      <c r="AT139" s="231"/>
      <c r="AU139" s="231"/>
      <c r="AV139" s="231"/>
      <c r="AW139" s="231"/>
      <c r="AX139" s="231"/>
      <c r="AY139" s="231"/>
      <c r="AZ139" s="231"/>
      <c r="BA139" s="116" t="s">
        <v>132</v>
      </c>
    </row>
    <row r="140" spans="1:53">
      <c r="A140" s="69" t="str">
        <f t="shared" si="1"/>
        <v>Mediados</v>
      </c>
      <c r="B140" s="232">
        <v>42138</v>
      </c>
      <c r="C140" s="232" t="s">
        <v>134</v>
      </c>
      <c r="D140" s="231">
        <v>134</v>
      </c>
      <c r="E140" s="255">
        <v>19.354075000000002</v>
      </c>
      <c r="F140" s="255">
        <v>9.7400179999999992</v>
      </c>
      <c r="G140" s="255">
        <v>13.397046</v>
      </c>
      <c r="H140" s="255">
        <v>1.7</v>
      </c>
      <c r="I140" s="255">
        <v>2.8</v>
      </c>
      <c r="J140" s="255">
        <v>15.64</v>
      </c>
      <c r="K140" s="255">
        <v>54.681350000000002</v>
      </c>
      <c r="L140" s="255">
        <v>0</v>
      </c>
      <c r="M140" s="255">
        <v>0</v>
      </c>
      <c r="N140" s="231">
        <v>1.1000000000000001</v>
      </c>
      <c r="O140" s="231">
        <v>0.7</v>
      </c>
      <c r="P140" s="231">
        <v>0.15</v>
      </c>
      <c r="Q140" s="255">
        <v>1.1000000000000001</v>
      </c>
      <c r="R140" s="255">
        <v>1.1499999999999999</v>
      </c>
      <c r="S140" s="231">
        <v>0</v>
      </c>
      <c r="T140" s="231">
        <v>0.8</v>
      </c>
      <c r="U140" s="231">
        <v>1</v>
      </c>
      <c r="V140" s="231">
        <v>0.2</v>
      </c>
      <c r="W140" s="255">
        <v>20</v>
      </c>
      <c r="X140" s="231">
        <v>1.0375000000000001</v>
      </c>
      <c r="Y140" s="256">
        <v>9</v>
      </c>
      <c r="Z140" s="256">
        <v>1</v>
      </c>
      <c r="AA140" s="256">
        <v>0.05</v>
      </c>
      <c r="AB140" s="256">
        <v>0</v>
      </c>
      <c r="AC140" s="256">
        <v>1.7375</v>
      </c>
      <c r="AD140" s="256">
        <v>1.1499999999999999</v>
      </c>
      <c r="AE140" s="231">
        <v>3.22</v>
      </c>
      <c r="AF140" s="231">
        <v>0.35</v>
      </c>
      <c r="AG140" s="231">
        <v>0.55000000000000004</v>
      </c>
      <c r="AH140" s="231">
        <v>49</v>
      </c>
      <c r="AI140" s="231">
        <v>26.95</v>
      </c>
      <c r="AJ140" s="231">
        <v>0</v>
      </c>
      <c r="AK140" s="231"/>
      <c r="AL140" s="231">
        <v>0</v>
      </c>
      <c r="AM140" s="256">
        <v>0.98392599999999997</v>
      </c>
      <c r="AN140" s="256">
        <v>1.1323190000000001</v>
      </c>
      <c r="AO140" s="256">
        <v>3.170493</v>
      </c>
      <c r="AP140" s="256">
        <v>30.474916</v>
      </c>
      <c r="AQ140" s="231">
        <v>10.81</v>
      </c>
      <c r="AR140" s="255">
        <v>182.6</v>
      </c>
      <c r="AS140" s="231">
        <v>0</v>
      </c>
      <c r="AT140" s="231"/>
      <c r="AU140" s="231"/>
      <c r="AV140" s="231"/>
      <c r="AW140" s="231"/>
      <c r="AX140" s="231"/>
      <c r="AY140" s="231"/>
      <c r="AZ140" s="231"/>
      <c r="BA140" s="116" t="s">
        <v>132</v>
      </c>
    </row>
    <row r="141" spans="1:53">
      <c r="A141" s="69" t="str">
        <f t="shared" si="1"/>
        <v>Mediados</v>
      </c>
      <c r="B141" s="232">
        <v>42139</v>
      </c>
      <c r="C141" s="232" t="s">
        <v>134</v>
      </c>
      <c r="D141" s="231">
        <v>135</v>
      </c>
      <c r="E141" s="255">
        <v>17.775897000000001</v>
      </c>
      <c r="F141" s="255">
        <v>6.8082830000000003</v>
      </c>
      <c r="G141" s="255">
        <v>12.092090000000001</v>
      </c>
      <c r="H141" s="255">
        <v>2.5</v>
      </c>
      <c r="I141" s="255">
        <v>3.1</v>
      </c>
      <c r="J141" s="255">
        <v>19.05</v>
      </c>
      <c r="K141" s="255">
        <v>58.140949999999997</v>
      </c>
      <c r="L141" s="255">
        <v>0</v>
      </c>
      <c r="M141" s="255">
        <v>0</v>
      </c>
      <c r="N141" s="231">
        <v>1.1000000000000001</v>
      </c>
      <c r="O141" s="231">
        <v>0.7</v>
      </c>
      <c r="P141" s="231">
        <v>0.15</v>
      </c>
      <c r="Q141" s="255">
        <v>1.1499999999999999</v>
      </c>
      <c r="R141" s="255">
        <v>1.1499999999999999</v>
      </c>
      <c r="S141" s="231">
        <v>0</v>
      </c>
      <c r="T141" s="231">
        <v>0.8</v>
      </c>
      <c r="U141" s="231">
        <v>1</v>
      </c>
      <c r="V141" s="231">
        <v>0.2</v>
      </c>
      <c r="W141" s="255">
        <v>20</v>
      </c>
      <c r="X141" s="231">
        <v>1.7375</v>
      </c>
      <c r="Y141" s="256">
        <v>9</v>
      </c>
      <c r="Z141" s="256">
        <v>1</v>
      </c>
      <c r="AA141" s="256">
        <v>0.05</v>
      </c>
      <c r="AB141" s="256">
        <v>0</v>
      </c>
      <c r="AC141" s="256">
        <v>2.5125000000000002</v>
      </c>
      <c r="AD141" s="256">
        <v>1.1499999999999999</v>
      </c>
      <c r="AE141" s="231">
        <v>3.5649999999999999</v>
      </c>
      <c r="AF141" s="231">
        <v>0.35</v>
      </c>
      <c r="AG141" s="231">
        <v>0.55000000000000004</v>
      </c>
      <c r="AH141" s="231">
        <v>49</v>
      </c>
      <c r="AI141" s="231">
        <v>26.95</v>
      </c>
      <c r="AJ141" s="231">
        <v>0</v>
      </c>
      <c r="AK141" s="231"/>
      <c r="AL141" s="231">
        <v>0</v>
      </c>
      <c r="AM141" s="256">
        <v>0.84014</v>
      </c>
      <c r="AN141" s="256">
        <v>0.97415399999999996</v>
      </c>
      <c r="AO141" s="256">
        <v>3.0198770000000001</v>
      </c>
      <c r="AP141" s="256">
        <v>33.494793000000001</v>
      </c>
      <c r="AQ141" s="231">
        <v>14.375</v>
      </c>
      <c r="AR141" s="255">
        <v>182.6</v>
      </c>
      <c r="AS141" s="231">
        <v>0</v>
      </c>
      <c r="AT141" s="231"/>
      <c r="AU141" s="231"/>
      <c r="AV141" s="231"/>
      <c r="AW141" s="231"/>
      <c r="AX141" s="231"/>
      <c r="AY141" s="231"/>
      <c r="AZ141" s="231"/>
      <c r="BA141" s="116" t="s">
        <v>132</v>
      </c>
    </row>
    <row r="142" spans="1:53">
      <c r="A142" s="69" t="str">
        <f t="shared" si="1"/>
        <v>Mediados</v>
      </c>
      <c r="B142" s="232">
        <v>42140</v>
      </c>
      <c r="C142" s="232" t="s">
        <v>134</v>
      </c>
      <c r="D142" s="231">
        <v>136</v>
      </c>
      <c r="E142" s="255">
        <v>16.046264999999998</v>
      </c>
      <c r="F142" s="255">
        <v>5.395581</v>
      </c>
      <c r="G142" s="255">
        <v>10.870922999999999</v>
      </c>
      <c r="H142" s="255">
        <v>2.2999999999999998</v>
      </c>
      <c r="I142" s="255">
        <v>3.15</v>
      </c>
      <c r="J142" s="255">
        <v>18.079999999999998</v>
      </c>
      <c r="K142" s="255">
        <v>52.708199999999998</v>
      </c>
      <c r="L142" s="255">
        <v>0</v>
      </c>
      <c r="M142" s="255">
        <v>0</v>
      </c>
      <c r="N142" s="231">
        <v>1.1000000000000001</v>
      </c>
      <c r="O142" s="231">
        <v>0.7</v>
      </c>
      <c r="P142" s="231">
        <v>0.15</v>
      </c>
      <c r="Q142" s="255">
        <v>1.1000000000000001</v>
      </c>
      <c r="R142" s="255">
        <v>1.1499999999999999</v>
      </c>
      <c r="S142" s="231">
        <v>7.6</v>
      </c>
      <c r="T142" s="231">
        <v>0.8</v>
      </c>
      <c r="U142" s="231">
        <v>1</v>
      </c>
      <c r="V142" s="231">
        <v>0.2</v>
      </c>
      <c r="W142" s="255">
        <v>20</v>
      </c>
      <c r="X142" s="231">
        <v>0</v>
      </c>
      <c r="Y142" s="256">
        <v>9</v>
      </c>
      <c r="Z142" s="256">
        <v>1</v>
      </c>
      <c r="AA142" s="256">
        <v>0.05</v>
      </c>
      <c r="AB142" s="256">
        <v>3.9474999999999998</v>
      </c>
      <c r="AC142" s="256">
        <v>0.78749999999999998</v>
      </c>
      <c r="AD142" s="256">
        <v>1.1499999999999999</v>
      </c>
      <c r="AE142" s="231">
        <v>3.6225000000000001</v>
      </c>
      <c r="AF142" s="231">
        <v>0.35</v>
      </c>
      <c r="AG142" s="231">
        <v>0.55000000000000004</v>
      </c>
      <c r="AH142" s="231">
        <v>49</v>
      </c>
      <c r="AI142" s="231">
        <v>26.95</v>
      </c>
      <c r="AJ142" s="231">
        <v>6.46</v>
      </c>
      <c r="AK142" s="231">
        <v>7.6</v>
      </c>
      <c r="AL142" s="231">
        <v>0</v>
      </c>
      <c r="AM142" s="256">
        <v>0.70318400000000003</v>
      </c>
      <c r="AN142" s="256">
        <v>0.82350199999999996</v>
      </c>
      <c r="AO142" s="256">
        <v>2.5940319999999999</v>
      </c>
      <c r="AP142" s="256">
        <v>29.628826</v>
      </c>
      <c r="AQ142" s="231">
        <v>17.997499999999999</v>
      </c>
      <c r="AR142" s="255">
        <v>190.2</v>
      </c>
      <c r="AS142" s="231">
        <v>0</v>
      </c>
      <c r="AT142" s="231"/>
      <c r="AU142" s="231"/>
      <c r="AV142" s="231"/>
      <c r="AW142" s="231"/>
      <c r="AX142" s="231"/>
      <c r="AY142" s="231"/>
      <c r="AZ142" s="231"/>
      <c r="BA142" s="116" t="s">
        <v>132</v>
      </c>
    </row>
    <row r="143" spans="1:53">
      <c r="A143" s="69" t="str">
        <f t="shared" si="1"/>
        <v>Mediados</v>
      </c>
      <c r="B143" s="232">
        <v>42141</v>
      </c>
      <c r="C143" s="232" t="s">
        <v>134</v>
      </c>
      <c r="D143" s="231">
        <v>137</v>
      </c>
      <c r="E143" s="255">
        <v>16.393628</v>
      </c>
      <c r="F143" s="255">
        <v>7.1749510000000001</v>
      </c>
      <c r="G143" s="255">
        <v>11.334289999999999</v>
      </c>
      <c r="H143" s="255">
        <v>2.7</v>
      </c>
      <c r="I143" s="255">
        <v>3.05</v>
      </c>
      <c r="J143" s="255">
        <v>12.93</v>
      </c>
      <c r="K143" s="255">
        <v>53.655299999999997</v>
      </c>
      <c r="L143" s="255">
        <v>0</v>
      </c>
      <c r="M143" s="255">
        <v>0</v>
      </c>
      <c r="N143" s="231">
        <v>1.1000000000000001</v>
      </c>
      <c r="O143" s="231">
        <v>0.7</v>
      </c>
      <c r="P143" s="231">
        <v>0.15</v>
      </c>
      <c r="Q143" s="255">
        <v>1.1000000000000001</v>
      </c>
      <c r="R143" s="255">
        <v>1.1499999999999999</v>
      </c>
      <c r="S143" s="231">
        <v>9.4</v>
      </c>
      <c r="T143" s="231">
        <v>0.8</v>
      </c>
      <c r="U143" s="231">
        <v>1</v>
      </c>
      <c r="V143" s="231">
        <v>0.2</v>
      </c>
      <c r="W143" s="255">
        <v>20</v>
      </c>
      <c r="X143" s="231">
        <v>0</v>
      </c>
      <c r="Y143" s="256">
        <v>9</v>
      </c>
      <c r="Z143" s="256">
        <v>1</v>
      </c>
      <c r="AA143" s="256">
        <v>0.05</v>
      </c>
      <c r="AB143" s="256">
        <v>7.2024999999999997</v>
      </c>
      <c r="AC143" s="256">
        <v>0.76249999999999996</v>
      </c>
      <c r="AD143" s="256">
        <v>1.1499999999999999</v>
      </c>
      <c r="AE143" s="231">
        <v>3.5074999999999998</v>
      </c>
      <c r="AF143" s="231">
        <v>0.35</v>
      </c>
      <c r="AG143" s="231">
        <v>0.55000000000000004</v>
      </c>
      <c r="AH143" s="231">
        <v>49</v>
      </c>
      <c r="AI143" s="231">
        <v>26.95</v>
      </c>
      <c r="AJ143" s="231">
        <v>7.99</v>
      </c>
      <c r="AK143" s="231">
        <v>9.4</v>
      </c>
      <c r="AL143" s="231">
        <v>0</v>
      </c>
      <c r="AM143" s="256">
        <v>0.87851100000000004</v>
      </c>
      <c r="AN143" s="256">
        <v>1.016362</v>
      </c>
      <c r="AO143" s="256">
        <v>3.0999050000000001</v>
      </c>
      <c r="AP143" s="256">
        <v>24.738731000000001</v>
      </c>
      <c r="AQ143" s="231">
        <v>21.504999999999999</v>
      </c>
      <c r="AR143" s="255">
        <v>199.6</v>
      </c>
      <c r="AS143" s="231">
        <v>0</v>
      </c>
      <c r="AT143" s="231"/>
      <c r="AU143" s="231"/>
      <c r="AV143" s="231"/>
      <c r="AW143" s="231"/>
      <c r="AX143" s="231"/>
      <c r="AY143" s="231"/>
      <c r="AZ143" s="231"/>
      <c r="BA143" s="116" t="s">
        <v>132</v>
      </c>
    </row>
    <row r="144" spans="1:53">
      <c r="A144" s="69" t="str">
        <f t="shared" si="1"/>
        <v>Mediados</v>
      </c>
      <c r="B144" s="232">
        <v>42142</v>
      </c>
      <c r="C144" s="232" t="s">
        <v>134</v>
      </c>
      <c r="D144" s="231">
        <v>138</v>
      </c>
      <c r="E144" s="255">
        <v>17.830428000000001</v>
      </c>
      <c r="F144" s="255">
        <v>6.0969480000000003</v>
      </c>
      <c r="G144" s="255">
        <v>11.788688</v>
      </c>
      <c r="H144" s="255">
        <v>3.1</v>
      </c>
      <c r="I144" s="255">
        <v>3.8</v>
      </c>
      <c r="J144" s="255">
        <v>21.31</v>
      </c>
      <c r="K144" s="255">
        <v>44.923250000000003</v>
      </c>
      <c r="L144" s="255">
        <v>0</v>
      </c>
      <c r="M144" s="255">
        <v>0</v>
      </c>
      <c r="N144" s="231">
        <v>1.1000000000000001</v>
      </c>
      <c r="O144" s="231">
        <v>0.7</v>
      </c>
      <c r="P144" s="231">
        <v>0.15</v>
      </c>
      <c r="Q144" s="255">
        <v>1.1000000000000001</v>
      </c>
      <c r="R144" s="255">
        <v>1.1499999999999999</v>
      </c>
      <c r="S144" s="231">
        <v>9.4</v>
      </c>
      <c r="T144" s="231">
        <v>0.8</v>
      </c>
      <c r="U144" s="231">
        <v>1</v>
      </c>
      <c r="V144" s="231">
        <v>0.2</v>
      </c>
      <c r="W144" s="255">
        <v>20</v>
      </c>
      <c r="X144" s="231">
        <v>0</v>
      </c>
      <c r="Y144" s="256">
        <v>9</v>
      </c>
      <c r="Z144" s="256">
        <v>1</v>
      </c>
      <c r="AA144" s="256">
        <v>0.05</v>
      </c>
      <c r="AB144" s="256">
        <v>7.2275</v>
      </c>
      <c r="AC144" s="256">
        <v>0.95</v>
      </c>
      <c r="AD144" s="256">
        <v>1.1499999999999999</v>
      </c>
      <c r="AE144" s="231">
        <v>4.37</v>
      </c>
      <c r="AF144" s="231">
        <v>0.35</v>
      </c>
      <c r="AG144" s="231">
        <v>0.55000000000000004</v>
      </c>
      <c r="AH144" s="231">
        <v>49</v>
      </c>
      <c r="AI144" s="231">
        <v>26.95</v>
      </c>
      <c r="AJ144" s="231">
        <v>7.99</v>
      </c>
      <c r="AK144" s="231">
        <v>9.4</v>
      </c>
      <c r="AL144" s="231">
        <v>0</v>
      </c>
      <c r="AM144" s="256">
        <v>1</v>
      </c>
      <c r="AN144" s="256">
        <v>1.1499999999999999</v>
      </c>
      <c r="AO144" s="256">
        <v>4.37</v>
      </c>
      <c r="AP144" s="256">
        <v>21.118731</v>
      </c>
      <c r="AQ144" s="231">
        <v>25.875</v>
      </c>
      <c r="AR144" s="255">
        <v>209</v>
      </c>
      <c r="AS144" s="231">
        <v>0</v>
      </c>
      <c r="AT144" s="231"/>
      <c r="AU144" s="231"/>
      <c r="AV144" s="231"/>
      <c r="AW144" s="231"/>
      <c r="AX144" s="231"/>
      <c r="AY144" s="231"/>
      <c r="AZ144" s="231"/>
      <c r="BA144" s="116" t="s">
        <v>132</v>
      </c>
    </row>
    <row r="145" spans="1:53">
      <c r="A145" s="69" t="str">
        <f t="shared" si="1"/>
        <v>Mediados</v>
      </c>
      <c r="B145" s="232">
        <v>42143</v>
      </c>
      <c r="C145" s="232" t="s">
        <v>134</v>
      </c>
      <c r="D145" s="231">
        <v>139</v>
      </c>
      <c r="E145" s="255">
        <v>20.535471999999999</v>
      </c>
      <c r="F145" s="255">
        <v>6.3156309999999998</v>
      </c>
      <c r="G145" s="255">
        <v>13.125552000000001</v>
      </c>
      <c r="H145" s="255">
        <v>2</v>
      </c>
      <c r="I145" s="255">
        <v>4.3</v>
      </c>
      <c r="J145" s="255">
        <v>23.31</v>
      </c>
      <c r="K145" s="255">
        <v>30.5016</v>
      </c>
      <c r="L145" s="255">
        <v>0</v>
      </c>
      <c r="M145" s="255">
        <v>0</v>
      </c>
      <c r="N145" s="231">
        <v>1.1000000000000001</v>
      </c>
      <c r="O145" s="231">
        <v>0.7</v>
      </c>
      <c r="P145" s="231">
        <v>0.15</v>
      </c>
      <c r="Q145" s="255">
        <v>1.1000000000000001</v>
      </c>
      <c r="R145" s="255">
        <v>1.1499999999999999</v>
      </c>
      <c r="S145" s="231">
        <v>0</v>
      </c>
      <c r="T145" s="231">
        <v>0.8</v>
      </c>
      <c r="U145" s="231">
        <v>1</v>
      </c>
      <c r="V145" s="231">
        <v>0.2</v>
      </c>
      <c r="W145" s="255">
        <v>20</v>
      </c>
      <c r="X145" s="231">
        <v>0.95</v>
      </c>
      <c r="Y145" s="256">
        <v>9</v>
      </c>
      <c r="Z145" s="256">
        <v>1</v>
      </c>
      <c r="AA145" s="256">
        <v>0.05</v>
      </c>
      <c r="AB145" s="256">
        <v>0</v>
      </c>
      <c r="AC145" s="256">
        <v>2.0249999999999999</v>
      </c>
      <c r="AD145" s="256">
        <v>1.1499999999999999</v>
      </c>
      <c r="AE145" s="231">
        <v>4.9450000000000003</v>
      </c>
      <c r="AF145" s="231">
        <v>0.35</v>
      </c>
      <c r="AG145" s="231">
        <v>0.55000000000000004</v>
      </c>
      <c r="AH145" s="231">
        <v>49</v>
      </c>
      <c r="AI145" s="231">
        <v>26.95</v>
      </c>
      <c r="AJ145" s="231">
        <v>0</v>
      </c>
      <c r="AK145" s="231"/>
      <c r="AL145" s="231">
        <v>0</v>
      </c>
      <c r="AM145" s="256">
        <v>1</v>
      </c>
      <c r="AN145" s="256">
        <v>1.1499999999999999</v>
      </c>
      <c r="AO145" s="256">
        <v>4.9450000000000003</v>
      </c>
      <c r="AP145" s="256">
        <v>26.063731000000001</v>
      </c>
      <c r="AQ145" s="231">
        <v>30.82</v>
      </c>
      <c r="AR145" s="255">
        <v>209</v>
      </c>
      <c r="AS145" s="231">
        <v>0</v>
      </c>
      <c r="AT145" s="231"/>
      <c r="AU145" s="231"/>
      <c r="AV145" s="231"/>
      <c r="AW145" s="231"/>
      <c r="AX145" s="231"/>
      <c r="AY145" s="231"/>
      <c r="AZ145" s="231"/>
      <c r="BA145" s="116" t="s">
        <v>132</v>
      </c>
    </row>
    <row r="146" spans="1:53">
      <c r="A146" s="69" t="str">
        <f t="shared" si="1"/>
        <v>Mediados</v>
      </c>
      <c r="B146" s="232">
        <v>42144</v>
      </c>
      <c r="C146" s="232" t="s">
        <v>134</v>
      </c>
      <c r="D146" s="231">
        <v>140</v>
      </c>
      <c r="E146" s="255">
        <v>21.081323000000001</v>
      </c>
      <c r="F146" s="255">
        <v>5.9344239999999999</v>
      </c>
      <c r="G146" s="255">
        <v>13.682874</v>
      </c>
      <c r="H146" s="255">
        <v>0.9</v>
      </c>
      <c r="I146" s="255">
        <v>3.8</v>
      </c>
      <c r="J146" s="255">
        <v>19.2</v>
      </c>
      <c r="K146" s="255">
        <v>37.791400000000003</v>
      </c>
      <c r="L146" s="255">
        <v>0</v>
      </c>
      <c r="M146" s="255">
        <v>0</v>
      </c>
      <c r="N146" s="231">
        <v>1.1000000000000001</v>
      </c>
      <c r="O146" s="231">
        <v>0.7</v>
      </c>
      <c r="P146" s="231">
        <v>0.15</v>
      </c>
      <c r="Q146" s="255">
        <v>1.1499999999999999</v>
      </c>
      <c r="R146" s="255">
        <v>1.1499999999999999</v>
      </c>
      <c r="S146" s="231">
        <v>0</v>
      </c>
      <c r="T146" s="231">
        <v>0.8</v>
      </c>
      <c r="U146" s="231">
        <v>1</v>
      </c>
      <c r="V146" s="231">
        <v>0.2</v>
      </c>
      <c r="W146" s="255">
        <v>20</v>
      </c>
      <c r="X146" s="231">
        <v>2.0249999999999999</v>
      </c>
      <c r="Y146" s="256">
        <v>9</v>
      </c>
      <c r="Z146" s="256">
        <v>1</v>
      </c>
      <c r="AA146" s="256">
        <v>0.05</v>
      </c>
      <c r="AB146" s="256">
        <v>0</v>
      </c>
      <c r="AC146" s="256">
        <v>2.9750000000000001</v>
      </c>
      <c r="AD146" s="256">
        <v>1.1499999999999999</v>
      </c>
      <c r="AE146" s="231">
        <v>4.37</v>
      </c>
      <c r="AF146" s="231">
        <v>0.35</v>
      </c>
      <c r="AG146" s="231">
        <v>0.55000000000000004</v>
      </c>
      <c r="AH146" s="231">
        <v>49</v>
      </c>
      <c r="AI146" s="231">
        <v>26.95</v>
      </c>
      <c r="AJ146" s="231">
        <v>0</v>
      </c>
      <c r="AK146" s="231"/>
      <c r="AL146" s="231">
        <v>0</v>
      </c>
      <c r="AM146" s="256">
        <v>1</v>
      </c>
      <c r="AN146" s="256">
        <v>1.1499999999999999</v>
      </c>
      <c r="AO146" s="256">
        <v>4.37</v>
      </c>
      <c r="AP146" s="256">
        <v>30.433731000000002</v>
      </c>
      <c r="AQ146" s="231">
        <v>35.19</v>
      </c>
      <c r="AR146" s="255">
        <v>209</v>
      </c>
      <c r="AS146" s="231">
        <v>0</v>
      </c>
      <c r="AT146" s="231"/>
      <c r="AU146" s="231"/>
      <c r="AV146" s="231"/>
      <c r="AW146" s="231"/>
      <c r="AX146" s="231"/>
      <c r="AY146" s="231"/>
      <c r="AZ146" s="231"/>
      <c r="BA146" s="116" t="s">
        <v>132</v>
      </c>
    </row>
    <row r="147" spans="1:53">
      <c r="A147" s="69" t="str">
        <f t="shared" ref="A147:A190" si="2">C147</f>
        <v>Mediados</v>
      </c>
      <c r="B147" s="232">
        <v>42145</v>
      </c>
      <c r="C147" s="232" t="s">
        <v>134</v>
      </c>
      <c r="D147" s="231">
        <v>141</v>
      </c>
      <c r="E147" s="255">
        <v>23.999192000000001</v>
      </c>
      <c r="F147" s="255">
        <v>7.3447789999999999</v>
      </c>
      <c r="G147" s="255">
        <v>15.546984999999999</v>
      </c>
      <c r="H147" s="255">
        <v>1.3</v>
      </c>
      <c r="I147" s="255">
        <v>4.7</v>
      </c>
      <c r="J147" s="255">
        <v>23.63</v>
      </c>
      <c r="K147" s="255">
        <v>29.024799999999999</v>
      </c>
      <c r="L147" s="255">
        <v>0</v>
      </c>
      <c r="M147" s="255">
        <v>0</v>
      </c>
      <c r="N147" s="231">
        <v>1.1000000000000001</v>
      </c>
      <c r="O147" s="231">
        <v>0.7</v>
      </c>
      <c r="P147" s="231">
        <v>0.15</v>
      </c>
      <c r="Q147" s="255">
        <v>1.1000000000000001</v>
      </c>
      <c r="R147" s="255">
        <v>1.1499999999999999</v>
      </c>
      <c r="S147" s="231">
        <v>12.6</v>
      </c>
      <c r="T147" s="231">
        <v>0.8</v>
      </c>
      <c r="U147" s="231">
        <v>1</v>
      </c>
      <c r="V147" s="231">
        <v>0.2</v>
      </c>
      <c r="W147" s="255">
        <v>20</v>
      </c>
      <c r="X147" s="231">
        <v>0</v>
      </c>
      <c r="Y147" s="256">
        <v>9</v>
      </c>
      <c r="Z147" s="256">
        <v>1</v>
      </c>
      <c r="AA147" s="256">
        <v>0.05</v>
      </c>
      <c r="AB147" s="256">
        <v>7.7350000000000003</v>
      </c>
      <c r="AC147" s="256">
        <v>1.175</v>
      </c>
      <c r="AD147" s="256">
        <v>1.1499999999999999</v>
      </c>
      <c r="AE147" s="231">
        <v>5.4050000000000002</v>
      </c>
      <c r="AF147" s="231">
        <v>0.35</v>
      </c>
      <c r="AG147" s="231">
        <v>0.55000000000000004</v>
      </c>
      <c r="AH147" s="231">
        <v>49</v>
      </c>
      <c r="AI147" s="231">
        <v>26.95</v>
      </c>
      <c r="AJ147" s="231">
        <v>10.71</v>
      </c>
      <c r="AK147" s="231">
        <v>12.6</v>
      </c>
      <c r="AL147" s="231">
        <v>0</v>
      </c>
      <c r="AM147" s="256">
        <v>0.84200799999999998</v>
      </c>
      <c r="AN147" s="256">
        <v>0.97620799999999996</v>
      </c>
      <c r="AO147" s="256">
        <v>4.5881800000000004</v>
      </c>
      <c r="AP147" s="256">
        <v>24.311910999999998</v>
      </c>
      <c r="AQ147" s="231">
        <v>0</v>
      </c>
      <c r="AR147" s="255">
        <v>221.6</v>
      </c>
      <c r="AS147" s="231">
        <v>0</v>
      </c>
      <c r="AT147" s="231"/>
      <c r="AU147" s="231"/>
      <c r="AV147" s="231"/>
      <c r="AW147" s="231"/>
      <c r="AX147" s="231"/>
      <c r="AY147" s="231"/>
      <c r="AZ147" s="231"/>
      <c r="BA147" s="116" t="s">
        <v>132</v>
      </c>
    </row>
    <row r="148" spans="1:53">
      <c r="A148" s="69" t="str">
        <f t="shared" si="2"/>
        <v>Mediados</v>
      </c>
      <c r="B148" s="232">
        <v>42146</v>
      </c>
      <c r="C148" s="232" t="s">
        <v>134</v>
      </c>
      <c r="D148" s="231">
        <v>142</v>
      </c>
      <c r="E148" s="255">
        <v>26.390205000000002</v>
      </c>
      <c r="F148" s="255">
        <v>8.3025760000000002</v>
      </c>
      <c r="G148" s="255">
        <v>17.671389999999999</v>
      </c>
      <c r="H148" s="255">
        <v>1.9</v>
      </c>
      <c r="I148" s="255">
        <v>5.5</v>
      </c>
      <c r="J148" s="255">
        <v>29.46</v>
      </c>
      <c r="K148" s="255">
        <v>28.7469</v>
      </c>
      <c r="L148" s="255">
        <v>0</v>
      </c>
      <c r="M148" s="255">
        <v>0</v>
      </c>
      <c r="N148" s="231">
        <v>1.1000000000000001</v>
      </c>
      <c r="O148" s="231">
        <v>0.7</v>
      </c>
      <c r="P148" s="231">
        <v>0.15</v>
      </c>
      <c r="Q148" s="255">
        <v>1.1000000000000001</v>
      </c>
      <c r="R148" s="255">
        <v>1.1499999999999999</v>
      </c>
      <c r="S148" s="231">
        <v>6.3</v>
      </c>
      <c r="T148" s="231">
        <v>0.8</v>
      </c>
      <c r="U148" s="231">
        <v>1</v>
      </c>
      <c r="V148" s="231">
        <v>0.2</v>
      </c>
      <c r="W148" s="255">
        <v>20</v>
      </c>
      <c r="X148" s="231">
        <v>0</v>
      </c>
      <c r="Y148" s="256">
        <v>9</v>
      </c>
      <c r="Z148" s="256">
        <v>1</v>
      </c>
      <c r="AA148" s="256">
        <v>0.05</v>
      </c>
      <c r="AB148" s="256">
        <v>4.18</v>
      </c>
      <c r="AC148" s="256">
        <v>1.375</v>
      </c>
      <c r="AD148" s="256">
        <v>1.1499999999999999</v>
      </c>
      <c r="AE148" s="231">
        <v>6.3250000000000002</v>
      </c>
      <c r="AF148" s="231">
        <v>0.35</v>
      </c>
      <c r="AG148" s="231">
        <v>0.55000000000000004</v>
      </c>
      <c r="AH148" s="231">
        <v>49</v>
      </c>
      <c r="AI148" s="231">
        <v>26.95</v>
      </c>
      <c r="AJ148" s="231">
        <v>5.3550000000000004</v>
      </c>
      <c r="AK148" s="231">
        <v>6.3</v>
      </c>
      <c r="AL148" s="231">
        <v>0</v>
      </c>
      <c r="AM148" s="256">
        <v>1</v>
      </c>
      <c r="AN148" s="256">
        <v>1.1499999999999999</v>
      </c>
      <c r="AO148" s="256">
        <v>6.3250000000000002</v>
      </c>
      <c r="AP148" s="256">
        <v>25.281911000000001</v>
      </c>
      <c r="AQ148" s="231">
        <v>6.3250000000000002</v>
      </c>
      <c r="AR148" s="255">
        <v>227.9</v>
      </c>
      <c r="AS148" s="231">
        <v>0</v>
      </c>
      <c r="AT148" s="231"/>
      <c r="AU148" s="231"/>
      <c r="AV148" s="231"/>
      <c r="AW148" s="231"/>
      <c r="AX148" s="231"/>
      <c r="AY148" s="231"/>
      <c r="AZ148" s="231"/>
      <c r="BA148" s="116" t="s">
        <v>132</v>
      </c>
    </row>
    <row r="149" spans="1:53">
      <c r="A149" s="69" t="str">
        <f t="shared" si="2"/>
        <v>Mediados</v>
      </c>
      <c r="B149" s="232">
        <v>42147</v>
      </c>
      <c r="C149" s="232" t="s">
        <v>134</v>
      </c>
      <c r="D149" s="231">
        <v>143</v>
      </c>
      <c r="E149" s="255">
        <v>26.611939</v>
      </c>
      <c r="F149" s="255">
        <v>10.849682</v>
      </c>
      <c r="G149" s="255">
        <v>18.705811000000001</v>
      </c>
      <c r="H149" s="255">
        <v>2</v>
      </c>
      <c r="I149" s="255">
        <v>5.95</v>
      </c>
      <c r="J149" s="255">
        <v>31.48</v>
      </c>
      <c r="K149" s="255">
        <v>25.289249999999999</v>
      </c>
      <c r="L149" s="255">
        <v>0</v>
      </c>
      <c r="M149" s="255">
        <v>0</v>
      </c>
      <c r="N149" s="231">
        <v>1.1000000000000001</v>
      </c>
      <c r="O149" s="231">
        <v>0.7</v>
      </c>
      <c r="P149" s="231">
        <v>0.15</v>
      </c>
      <c r="Q149" s="255">
        <v>1.1000000000000001</v>
      </c>
      <c r="R149" s="255">
        <v>1.1509510000000001</v>
      </c>
      <c r="S149" s="231">
        <v>6.3</v>
      </c>
      <c r="T149" s="231">
        <v>0.8</v>
      </c>
      <c r="U149" s="231">
        <v>1</v>
      </c>
      <c r="V149" s="231">
        <v>0.2</v>
      </c>
      <c r="W149" s="255">
        <v>20</v>
      </c>
      <c r="X149" s="231">
        <v>0</v>
      </c>
      <c r="Y149" s="256">
        <v>9</v>
      </c>
      <c r="Z149" s="256">
        <v>1</v>
      </c>
      <c r="AA149" s="256">
        <v>5.0951000000000003E-2</v>
      </c>
      <c r="AB149" s="256">
        <v>3.98</v>
      </c>
      <c r="AC149" s="256">
        <v>1.5158039999999999</v>
      </c>
      <c r="AD149" s="256">
        <v>1.1509510000000001</v>
      </c>
      <c r="AE149" s="231">
        <v>6.8481610000000002</v>
      </c>
      <c r="AF149" s="231">
        <v>0.35</v>
      </c>
      <c r="AG149" s="231">
        <v>0.55000000000000004</v>
      </c>
      <c r="AH149" s="231">
        <v>49</v>
      </c>
      <c r="AI149" s="231">
        <v>26.95</v>
      </c>
      <c r="AJ149" s="231">
        <v>5.3550000000000004</v>
      </c>
      <c r="AK149" s="231">
        <v>6.3</v>
      </c>
      <c r="AL149" s="231">
        <v>0</v>
      </c>
      <c r="AM149" s="256">
        <v>1</v>
      </c>
      <c r="AN149" s="256">
        <v>1.1509510000000001</v>
      </c>
      <c r="AO149" s="256">
        <v>6.8481610000000002</v>
      </c>
      <c r="AP149" s="256">
        <v>26.775072000000002</v>
      </c>
      <c r="AQ149" s="231">
        <v>13.173161</v>
      </c>
      <c r="AR149" s="255">
        <v>234.2</v>
      </c>
      <c r="AS149" s="231">
        <v>0</v>
      </c>
      <c r="AT149" s="231"/>
      <c r="AU149" s="231"/>
      <c r="AV149" s="231"/>
      <c r="AW149" s="231"/>
      <c r="AX149" s="231"/>
      <c r="AY149" s="231"/>
      <c r="AZ149" s="231"/>
      <c r="BA149" s="116" t="s">
        <v>132</v>
      </c>
    </row>
    <row r="150" spans="1:53">
      <c r="A150" s="69" t="str">
        <f t="shared" si="2"/>
        <v>Mediados</v>
      </c>
      <c r="B150" s="232">
        <v>42148</v>
      </c>
      <c r="C150" s="232" t="s">
        <v>134</v>
      </c>
      <c r="D150" s="231">
        <v>144</v>
      </c>
      <c r="E150" s="255">
        <v>26.193750000000001</v>
      </c>
      <c r="F150" s="255">
        <v>9.3199459999999998</v>
      </c>
      <c r="G150" s="255">
        <v>18.456848000000001</v>
      </c>
      <c r="H150" s="255">
        <v>1.5</v>
      </c>
      <c r="I150" s="255">
        <v>5.9</v>
      </c>
      <c r="J150" s="255">
        <v>29.59</v>
      </c>
      <c r="K150" s="255">
        <v>26.099049999999998</v>
      </c>
      <c r="L150" s="255">
        <v>0</v>
      </c>
      <c r="M150" s="255">
        <v>0</v>
      </c>
      <c r="N150" s="231">
        <v>1.1000000000000001</v>
      </c>
      <c r="O150" s="231">
        <v>0.7</v>
      </c>
      <c r="P150" s="231">
        <v>0.15</v>
      </c>
      <c r="Q150" s="255">
        <v>1.1000000000000001</v>
      </c>
      <c r="R150" s="255">
        <v>1.1499999999999999</v>
      </c>
      <c r="S150" s="231">
        <v>6.3</v>
      </c>
      <c r="T150" s="231">
        <v>0.8</v>
      </c>
      <c r="U150" s="231">
        <v>1</v>
      </c>
      <c r="V150" s="231">
        <v>0.2</v>
      </c>
      <c r="W150" s="255">
        <v>20</v>
      </c>
      <c r="X150" s="231">
        <v>0</v>
      </c>
      <c r="Y150" s="256">
        <v>9</v>
      </c>
      <c r="Z150" s="256">
        <v>1</v>
      </c>
      <c r="AA150" s="256">
        <v>0.05</v>
      </c>
      <c r="AB150" s="256">
        <v>3.8391959999999998</v>
      </c>
      <c r="AC150" s="256">
        <v>1.4750000000000001</v>
      </c>
      <c r="AD150" s="256">
        <v>1.1499999999999999</v>
      </c>
      <c r="AE150" s="231">
        <v>6.7850000000000001</v>
      </c>
      <c r="AF150" s="231">
        <v>0.35</v>
      </c>
      <c r="AG150" s="231">
        <v>0.55000000000000004</v>
      </c>
      <c r="AH150" s="231">
        <v>49</v>
      </c>
      <c r="AI150" s="231">
        <v>26.95</v>
      </c>
      <c r="AJ150" s="231">
        <v>5.3550000000000004</v>
      </c>
      <c r="AK150" s="231">
        <v>6.3</v>
      </c>
      <c r="AL150" s="231">
        <v>0</v>
      </c>
      <c r="AM150" s="256">
        <v>1</v>
      </c>
      <c r="AN150" s="256">
        <v>1.1499999999999999</v>
      </c>
      <c r="AO150" s="256">
        <v>6.7850000000000001</v>
      </c>
      <c r="AP150" s="256">
        <v>28.205072000000001</v>
      </c>
      <c r="AQ150" s="231">
        <v>19.958161</v>
      </c>
      <c r="AR150" s="255">
        <v>240.5</v>
      </c>
      <c r="AS150" s="231">
        <v>0</v>
      </c>
      <c r="AT150" s="231"/>
      <c r="AU150" s="231"/>
      <c r="AV150" s="231"/>
      <c r="AW150" s="231"/>
      <c r="AX150" s="231"/>
      <c r="AY150" s="231"/>
      <c r="AZ150" s="231"/>
      <c r="BA150" s="116" t="s">
        <v>132</v>
      </c>
    </row>
    <row r="151" spans="1:53">
      <c r="A151" s="69" t="str">
        <f t="shared" si="2"/>
        <v>Mediados</v>
      </c>
      <c r="B151" s="232">
        <v>42149</v>
      </c>
      <c r="C151" s="232" t="s">
        <v>134</v>
      </c>
      <c r="D151" s="231">
        <v>145</v>
      </c>
      <c r="E151" s="255">
        <v>25.721665000000002</v>
      </c>
      <c r="F151" s="255">
        <v>8.8586670000000005</v>
      </c>
      <c r="G151" s="255">
        <v>17.890166000000001</v>
      </c>
      <c r="H151" s="255">
        <v>1.2</v>
      </c>
      <c r="I151" s="255">
        <v>5.65</v>
      </c>
      <c r="J151" s="255">
        <v>31.06</v>
      </c>
      <c r="K151" s="255">
        <v>30.6403</v>
      </c>
      <c r="L151" s="255">
        <v>0</v>
      </c>
      <c r="M151" s="255">
        <v>0</v>
      </c>
      <c r="N151" s="231">
        <v>1.1000000000000001</v>
      </c>
      <c r="O151" s="231">
        <v>0.7</v>
      </c>
      <c r="P151" s="231">
        <v>0.15</v>
      </c>
      <c r="Q151" s="255">
        <v>1.1000000000000001</v>
      </c>
      <c r="R151" s="255">
        <v>1.1499999999999999</v>
      </c>
      <c r="S151" s="231">
        <v>5.4</v>
      </c>
      <c r="T151" s="231">
        <v>0.8</v>
      </c>
      <c r="U151" s="231">
        <v>1</v>
      </c>
      <c r="V151" s="231">
        <v>0.2</v>
      </c>
      <c r="W151" s="255">
        <v>20</v>
      </c>
      <c r="X151" s="231">
        <v>0</v>
      </c>
      <c r="Y151" s="256">
        <v>9</v>
      </c>
      <c r="Z151" s="256">
        <v>1</v>
      </c>
      <c r="AA151" s="256">
        <v>0.05</v>
      </c>
      <c r="AB151" s="256">
        <v>3.1150000000000002</v>
      </c>
      <c r="AC151" s="256">
        <v>1.4125000000000001</v>
      </c>
      <c r="AD151" s="256">
        <v>1.1499999999999999</v>
      </c>
      <c r="AE151" s="231">
        <v>6.4974999999999996</v>
      </c>
      <c r="AF151" s="231">
        <v>0.35</v>
      </c>
      <c r="AG151" s="231">
        <v>0.55000000000000004</v>
      </c>
      <c r="AH151" s="231">
        <v>49</v>
      </c>
      <c r="AI151" s="231">
        <v>26.95</v>
      </c>
      <c r="AJ151" s="231">
        <v>4.59</v>
      </c>
      <c r="AK151" s="231">
        <v>5.4</v>
      </c>
      <c r="AL151" s="231">
        <v>0</v>
      </c>
      <c r="AM151" s="256">
        <v>0.94308099999999995</v>
      </c>
      <c r="AN151" s="256">
        <v>1.0873889999999999</v>
      </c>
      <c r="AO151" s="256">
        <v>6.1437460000000002</v>
      </c>
      <c r="AP151" s="256">
        <v>29.758818000000002</v>
      </c>
      <c r="AQ151" s="231">
        <v>26.455660999999999</v>
      </c>
      <c r="AR151" s="255">
        <v>245.9</v>
      </c>
      <c r="AS151" s="231">
        <v>0</v>
      </c>
      <c r="AT151" s="231"/>
      <c r="AU151" s="231"/>
      <c r="AV151" s="231"/>
      <c r="AW151" s="231"/>
      <c r="AX151" s="231"/>
      <c r="AY151" s="231"/>
      <c r="AZ151" s="231"/>
      <c r="BA151" s="116" t="s">
        <v>132</v>
      </c>
    </row>
    <row r="152" spans="1:53">
      <c r="A152" s="69" t="str">
        <f t="shared" si="2"/>
        <v>Mediados</v>
      </c>
      <c r="B152" s="232">
        <v>42150</v>
      </c>
      <c r="C152" s="232" t="s">
        <v>134</v>
      </c>
      <c r="D152" s="231">
        <v>146</v>
      </c>
      <c r="E152" s="255">
        <v>23.728296</v>
      </c>
      <c r="F152" s="255">
        <v>12.202686</v>
      </c>
      <c r="G152" s="255">
        <v>17.665490999999999</v>
      </c>
      <c r="H152" s="255">
        <v>2.7</v>
      </c>
      <c r="I152" s="255">
        <v>5.05</v>
      </c>
      <c r="J152" s="255">
        <v>27.59</v>
      </c>
      <c r="K152" s="255">
        <v>43.910350000000001</v>
      </c>
      <c r="L152" s="255">
        <v>0</v>
      </c>
      <c r="M152" s="255">
        <v>0</v>
      </c>
      <c r="N152" s="231">
        <v>1.1000000000000001</v>
      </c>
      <c r="O152" s="231">
        <v>0.7</v>
      </c>
      <c r="P152" s="231">
        <v>0.15</v>
      </c>
      <c r="Q152" s="255">
        <v>1.1000000000000001</v>
      </c>
      <c r="R152" s="255">
        <v>1.1499999999999999</v>
      </c>
      <c r="S152" s="231">
        <v>0</v>
      </c>
      <c r="T152" s="231">
        <v>0.8</v>
      </c>
      <c r="U152" s="231">
        <v>1</v>
      </c>
      <c r="V152" s="231">
        <v>0.2</v>
      </c>
      <c r="W152" s="255">
        <v>20</v>
      </c>
      <c r="X152" s="231">
        <v>1.4125000000000001</v>
      </c>
      <c r="Y152" s="256">
        <v>9</v>
      </c>
      <c r="Z152" s="256">
        <v>1</v>
      </c>
      <c r="AA152" s="256">
        <v>0.05</v>
      </c>
      <c r="AB152" s="256">
        <v>0</v>
      </c>
      <c r="AC152" s="256">
        <v>2.6749999999999998</v>
      </c>
      <c r="AD152" s="256">
        <v>1.1499999999999999</v>
      </c>
      <c r="AE152" s="231">
        <v>5.8075000000000001</v>
      </c>
      <c r="AF152" s="231">
        <v>0.35</v>
      </c>
      <c r="AG152" s="231">
        <v>0.55000000000000004</v>
      </c>
      <c r="AH152" s="231">
        <v>49</v>
      </c>
      <c r="AI152" s="231">
        <v>26.95</v>
      </c>
      <c r="AJ152" s="231">
        <v>0</v>
      </c>
      <c r="AK152" s="231"/>
      <c r="AL152" s="231">
        <v>0</v>
      </c>
      <c r="AM152" s="256">
        <v>0.87261599999999995</v>
      </c>
      <c r="AN152" s="256">
        <v>1.0098780000000001</v>
      </c>
      <c r="AO152" s="256">
        <v>5.099882</v>
      </c>
      <c r="AP152" s="256">
        <v>34.858699999999999</v>
      </c>
      <c r="AQ152" s="231">
        <v>32.263160999999997</v>
      </c>
      <c r="AR152" s="255">
        <v>245.9</v>
      </c>
      <c r="AS152" s="231">
        <v>0</v>
      </c>
      <c r="AT152" s="231"/>
      <c r="AU152" s="231"/>
      <c r="AV152" s="231"/>
      <c r="AW152" s="231"/>
      <c r="AX152" s="231"/>
      <c r="AY152" s="231"/>
      <c r="AZ152" s="231"/>
      <c r="BA152" s="116" t="s">
        <v>132</v>
      </c>
    </row>
    <row r="153" spans="1:53">
      <c r="A153" s="69" t="str">
        <f t="shared" si="2"/>
        <v>Mediados</v>
      </c>
      <c r="B153" s="232">
        <v>42151</v>
      </c>
      <c r="C153" s="232" t="s">
        <v>134</v>
      </c>
      <c r="D153" s="231">
        <v>147</v>
      </c>
      <c r="E153" s="255">
        <v>24.120142000000001</v>
      </c>
      <c r="F153" s="255">
        <v>10.286401</v>
      </c>
      <c r="G153" s="255">
        <v>17.053272</v>
      </c>
      <c r="H153" s="255">
        <v>2.2999999999999998</v>
      </c>
      <c r="I153" s="255">
        <v>5.45</v>
      </c>
      <c r="J153" s="255">
        <v>26.65</v>
      </c>
      <c r="K153" s="255">
        <v>29.927499999999998</v>
      </c>
      <c r="L153" s="255">
        <v>0</v>
      </c>
      <c r="M153" s="255">
        <v>0</v>
      </c>
      <c r="N153" s="231">
        <v>1.1000000000000001</v>
      </c>
      <c r="O153" s="231">
        <v>0.7</v>
      </c>
      <c r="P153" s="231">
        <v>0.15</v>
      </c>
      <c r="Q153" s="255">
        <v>1.1000000000000001</v>
      </c>
      <c r="R153" s="255">
        <v>1.1499999999999999</v>
      </c>
      <c r="S153" s="231">
        <v>5.4</v>
      </c>
      <c r="T153" s="231">
        <v>0.8</v>
      </c>
      <c r="U153" s="231">
        <v>1</v>
      </c>
      <c r="V153" s="231">
        <v>0.2</v>
      </c>
      <c r="W153" s="255">
        <v>20</v>
      </c>
      <c r="X153" s="231">
        <v>0</v>
      </c>
      <c r="Y153" s="256">
        <v>9</v>
      </c>
      <c r="Z153" s="256">
        <v>1</v>
      </c>
      <c r="AA153" s="256">
        <v>0.05</v>
      </c>
      <c r="AB153" s="256">
        <v>1.915</v>
      </c>
      <c r="AC153" s="256">
        <v>1.3625</v>
      </c>
      <c r="AD153" s="256">
        <v>1.1499999999999999</v>
      </c>
      <c r="AE153" s="231">
        <v>6.2675000000000001</v>
      </c>
      <c r="AF153" s="231">
        <v>0.35</v>
      </c>
      <c r="AG153" s="231">
        <v>0.55000000000000004</v>
      </c>
      <c r="AH153" s="231">
        <v>49</v>
      </c>
      <c r="AI153" s="231">
        <v>26.95</v>
      </c>
      <c r="AJ153" s="231">
        <v>4.59</v>
      </c>
      <c r="AK153" s="231">
        <v>5.4</v>
      </c>
      <c r="AL153" s="231">
        <v>0</v>
      </c>
      <c r="AM153" s="256">
        <v>0.64132900000000004</v>
      </c>
      <c r="AN153" s="256">
        <v>0.75546199999999997</v>
      </c>
      <c r="AO153" s="256">
        <v>4.1172659999999999</v>
      </c>
      <c r="AP153" s="256">
        <v>34.385966000000003</v>
      </c>
      <c r="AQ153" s="231">
        <v>38.530661000000002</v>
      </c>
      <c r="AR153" s="255">
        <v>251.3</v>
      </c>
      <c r="AS153" s="231">
        <v>0</v>
      </c>
      <c r="AT153" s="231"/>
      <c r="AU153" s="231"/>
      <c r="AV153" s="231"/>
      <c r="AW153" s="231"/>
      <c r="AX153" s="231"/>
      <c r="AY153" s="231"/>
      <c r="AZ153" s="231"/>
      <c r="BA153" s="116" t="s">
        <v>132</v>
      </c>
    </row>
    <row r="154" spans="1:53">
      <c r="A154" s="69" t="str">
        <f t="shared" si="2"/>
        <v>Mediados</v>
      </c>
      <c r="B154" s="232">
        <v>42152</v>
      </c>
      <c r="C154" s="232" t="s">
        <v>134</v>
      </c>
      <c r="D154" s="231">
        <v>148</v>
      </c>
      <c r="E154" s="255">
        <v>22.032039000000001</v>
      </c>
      <c r="F154" s="255">
        <v>10.359423</v>
      </c>
      <c r="G154" s="255">
        <v>16.495730999999999</v>
      </c>
      <c r="H154" s="255">
        <v>2.6</v>
      </c>
      <c r="I154" s="255">
        <v>5</v>
      </c>
      <c r="J154" s="255">
        <v>22.7</v>
      </c>
      <c r="K154" s="255">
        <v>35.669499999999999</v>
      </c>
      <c r="L154" s="255">
        <v>0</v>
      </c>
      <c r="M154" s="255">
        <v>0</v>
      </c>
      <c r="N154" s="231">
        <v>1.1000000000000001</v>
      </c>
      <c r="O154" s="231">
        <v>0.7</v>
      </c>
      <c r="P154" s="231">
        <v>0.15</v>
      </c>
      <c r="Q154" s="255">
        <v>1.1000000000000001</v>
      </c>
      <c r="R154" s="255">
        <v>1.1499999999999999</v>
      </c>
      <c r="S154" s="231">
        <v>9.4</v>
      </c>
      <c r="T154" s="231">
        <v>0.8</v>
      </c>
      <c r="U154" s="231">
        <v>1</v>
      </c>
      <c r="V154" s="231">
        <v>0.2</v>
      </c>
      <c r="W154" s="255">
        <v>20</v>
      </c>
      <c r="X154" s="231">
        <v>0</v>
      </c>
      <c r="Y154" s="256">
        <v>9</v>
      </c>
      <c r="Z154" s="256">
        <v>1</v>
      </c>
      <c r="AA154" s="256">
        <v>0.05</v>
      </c>
      <c r="AB154" s="256">
        <v>6.6275000000000004</v>
      </c>
      <c r="AC154" s="256">
        <v>1.25</v>
      </c>
      <c r="AD154" s="256">
        <v>1.1499999999999999</v>
      </c>
      <c r="AE154" s="231">
        <v>5.75</v>
      </c>
      <c r="AF154" s="231">
        <v>0.35</v>
      </c>
      <c r="AG154" s="231">
        <v>0.55000000000000004</v>
      </c>
      <c r="AH154" s="231">
        <v>49</v>
      </c>
      <c r="AI154" s="231">
        <v>26.95</v>
      </c>
      <c r="AJ154" s="231">
        <v>7.99</v>
      </c>
      <c r="AK154" s="231">
        <v>9.4</v>
      </c>
      <c r="AL154" s="231">
        <v>0</v>
      </c>
      <c r="AM154" s="256">
        <v>0.66276800000000002</v>
      </c>
      <c r="AN154" s="256">
        <v>0.77904499999999999</v>
      </c>
      <c r="AO154" s="256">
        <v>3.8952239999999998</v>
      </c>
      <c r="AP154" s="256">
        <v>30.29119</v>
      </c>
      <c r="AQ154" s="231">
        <v>44.280661000000002</v>
      </c>
      <c r="AR154" s="255">
        <v>260.7</v>
      </c>
      <c r="AS154" s="231">
        <v>0</v>
      </c>
      <c r="AT154" s="231"/>
      <c r="AU154" s="231"/>
      <c r="AV154" s="231"/>
      <c r="AW154" s="231"/>
      <c r="AX154" s="231"/>
      <c r="AY154" s="231"/>
      <c r="AZ154" s="231"/>
      <c r="BA154" s="116" t="s">
        <v>132</v>
      </c>
    </row>
    <row r="155" spans="1:53">
      <c r="A155" s="69" t="str">
        <f t="shared" si="2"/>
        <v>Mediados</v>
      </c>
      <c r="B155" s="232">
        <v>42153</v>
      </c>
      <c r="C155" s="232" t="s">
        <v>134</v>
      </c>
      <c r="D155" s="231">
        <v>149</v>
      </c>
      <c r="E155" s="255">
        <v>23.352115999999999</v>
      </c>
      <c r="F155" s="255">
        <v>8.3482029999999998</v>
      </c>
      <c r="G155" s="255">
        <v>16.175159000000001</v>
      </c>
      <c r="H155" s="255">
        <v>2.7</v>
      </c>
      <c r="I155" s="255">
        <v>5.75</v>
      </c>
      <c r="J155" s="255">
        <v>30.25</v>
      </c>
      <c r="K155" s="255">
        <v>22.265999999999998</v>
      </c>
      <c r="L155" s="255">
        <v>0</v>
      </c>
      <c r="M155" s="255">
        <v>0</v>
      </c>
      <c r="N155" s="231">
        <v>1.1000000000000001</v>
      </c>
      <c r="O155" s="231">
        <v>0.7</v>
      </c>
      <c r="P155" s="231">
        <v>0.15</v>
      </c>
      <c r="Q155" s="255">
        <v>1.1000000000000001</v>
      </c>
      <c r="R155" s="255">
        <v>1.1768609999999999</v>
      </c>
      <c r="S155" s="231">
        <v>0</v>
      </c>
      <c r="T155" s="231">
        <v>0.8</v>
      </c>
      <c r="U155" s="231">
        <v>1</v>
      </c>
      <c r="V155" s="231">
        <v>0.2</v>
      </c>
      <c r="W155" s="255">
        <v>20</v>
      </c>
      <c r="X155" s="231">
        <v>1.25</v>
      </c>
      <c r="Y155" s="256">
        <v>9</v>
      </c>
      <c r="Z155" s="256">
        <v>1</v>
      </c>
      <c r="AA155" s="256">
        <v>7.6860999999999999E-2</v>
      </c>
      <c r="AB155" s="256">
        <v>0</v>
      </c>
      <c r="AC155" s="256">
        <v>3.4597549999999999</v>
      </c>
      <c r="AD155" s="256">
        <v>1.1768609999999999</v>
      </c>
      <c r="AE155" s="231">
        <v>6.7669509999999997</v>
      </c>
      <c r="AF155" s="231">
        <v>0.35</v>
      </c>
      <c r="AG155" s="231">
        <v>0.55000000000000004</v>
      </c>
      <c r="AH155" s="231">
        <v>49</v>
      </c>
      <c r="AI155" s="231">
        <v>26.95</v>
      </c>
      <c r="AJ155" s="231">
        <v>0</v>
      </c>
      <c r="AK155" s="231"/>
      <c r="AL155" s="231">
        <v>0</v>
      </c>
      <c r="AM155" s="256">
        <v>0.848472</v>
      </c>
      <c r="AN155" s="256">
        <v>1.0101800000000001</v>
      </c>
      <c r="AO155" s="256">
        <v>5.8085370000000003</v>
      </c>
      <c r="AP155" s="256">
        <v>36.099727000000001</v>
      </c>
      <c r="AQ155" s="231">
        <v>51.047612000000001</v>
      </c>
      <c r="AR155" s="255">
        <v>260.7</v>
      </c>
      <c r="AS155" s="231">
        <v>0</v>
      </c>
      <c r="AT155" s="231"/>
      <c r="AU155" s="231"/>
      <c r="AV155" s="231"/>
      <c r="AW155" s="231"/>
      <c r="AX155" s="231"/>
      <c r="AY155" s="231"/>
      <c r="AZ155" s="231"/>
      <c r="BA155" s="116" t="s">
        <v>132</v>
      </c>
    </row>
    <row r="156" spans="1:53">
      <c r="A156" s="69" t="str">
        <f t="shared" si="2"/>
        <v>Mediados</v>
      </c>
      <c r="B156" s="232">
        <v>42154</v>
      </c>
      <c r="C156" s="232" t="s">
        <v>134</v>
      </c>
      <c r="D156" s="231">
        <v>150</v>
      </c>
      <c r="E156" s="255">
        <v>23.131397</v>
      </c>
      <c r="F156" s="255">
        <v>9.2550050000000006</v>
      </c>
      <c r="G156" s="255">
        <v>16.118200999999999</v>
      </c>
      <c r="H156" s="255">
        <v>2.4</v>
      </c>
      <c r="I156" s="255">
        <v>3.45</v>
      </c>
      <c r="J156" s="255">
        <v>29.03</v>
      </c>
      <c r="K156" s="255">
        <v>30.169650000000001</v>
      </c>
      <c r="L156" s="255">
        <v>0</v>
      </c>
      <c r="M156" s="255">
        <v>0</v>
      </c>
      <c r="N156" s="231">
        <v>1.1000000000000001</v>
      </c>
      <c r="O156" s="231">
        <v>0.7</v>
      </c>
      <c r="P156" s="231">
        <v>0.15</v>
      </c>
      <c r="Q156" s="255">
        <v>1.1499999999999999</v>
      </c>
      <c r="R156" s="255">
        <v>1.1986760000000001</v>
      </c>
      <c r="S156" s="231">
        <v>0</v>
      </c>
      <c r="T156" s="231">
        <v>0.8</v>
      </c>
      <c r="U156" s="231">
        <v>1</v>
      </c>
      <c r="V156" s="231">
        <v>0.2</v>
      </c>
      <c r="W156" s="255">
        <v>20</v>
      </c>
      <c r="X156" s="231">
        <v>3.4597549999999999</v>
      </c>
      <c r="Y156" s="256">
        <v>9</v>
      </c>
      <c r="Z156" s="256">
        <v>1</v>
      </c>
      <c r="AA156" s="256">
        <v>9.8676E-2</v>
      </c>
      <c r="AB156" s="256">
        <v>0</v>
      </c>
      <c r="AC156" s="256">
        <v>5.1619099999999998</v>
      </c>
      <c r="AD156" s="256">
        <v>1.1986760000000001</v>
      </c>
      <c r="AE156" s="231">
        <v>4.1354309999999996</v>
      </c>
      <c r="AF156" s="231">
        <v>0.35</v>
      </c>
      <c r="AG156" s="231">
        <v>0.55000000000000004</v>
      </c>
      <c r="AH156" s="231">
        <v>49</v>
      </c>
      <c r="AI156" s="231">
        <v>26.95</v>
      </c>
      <c r="AJ156" s="231">
        <v>0</v>
      </c>
      <c r="AK156" s="231"/>
      <c r="AL156" s="231">
        <v>0</v>
      </c>
      <c r="AM156" s="256">
        <v>0.58504599999999995</v>
      </c>
      <c r="AN156" s="256">
        <v>0.74222699999999997</v>
      </c>
      <c r="AO156" s="256">
        <v>2.5606819999999999</v>
      </c>
      <c r="AP156" s="256">
        <v>38.660409000000001</v>
      </c>
      <c r="AQ156" s="231">
        <v>55.183042999999998</v>
      </c>
      <c r="AR156" s="255">
        <v>260.7</v>
      </c>
      <c r="AS156" s="231">
        <v>0</v>
      </c>
      <c r="AT156" s="231"/>
      <c r="AU156" s="231"/>
      <c r="AV156" s="231"/>
      <c r="AW156" s="231"/>
      <c r="AX156" s="231"/>
      <c r="AY156" s="231"/>
      <c r="AZ156" s="231"/>
      <c r="BA156" s="116" t="s">
        <v>132</v>
      </c>
    </row>
    <row r="157" spans="1:53">
      <c r="A157" s="69" t="str">
        <f t="shared" si="2"/>
        <v>Mediados</v>
      </c>
      <c r="B157" s="232">
        <v>42155</v>
      </c>
      <c r="C157" s="232" t="s">
        <v>134</v>
      </c>
      <c r="D157" s="231">
        <v>151</v>
      </c>
      <c r="E157" s="255">
        <v>24.719263000000002</v>
      </c>
      <c r="F157" s="255">
        <v>9.0639160000000007</v>
      </c>
      <c r="G157" s="255">
        <v>17.016589</v>
      </c>
      <c r="H157" s="255">
        <v>2.5</v>
      </c>
      <c r="I157" s="255">
        <v>3.35</v>
      </c>
      <c r="J157" s="255">
        <v>29.16</v>
      </c>
      <c r="K157" s="255">
        <v>23.290600000000001</v>
      </c>
      <c r="L157" s="255">
        <v>0</v>
      </c>
      <c r="M157" s="255">
        <v>0</v>
      </c>
      <c r="N157" s="231">
        <v>1.1000000000000001</v>
      </c>
      <c r="O157" s="231">
        <v>0.7</v>
      </c>
      <c r="P157" s="231">
        <v>0.15</v>
      </c>
      <c r="Q157" s="255">
        <v>1.1000000000000001</v>
      </c>
      <c r="R157" s="255">
        <v>1.1690430000000001</v>
      </c>
      <c r="S157" s="231">
        <v>20</v>
      </c>
      <c r="T157" s="231">
        <v>0.8</v>
      </c>
      <c r="U157" s="231">
        <v>1</v>
      </c>
      <c r="V157" s="231">
        <v>0.2</v>
      </c>
      <c r="W157" s="255">
        <v>20</v>
      </c>
      <c r="X157" s="231">
        <v>0</v>
      </c>
      <c r="Y157" s="256">
        <v>9</v>
      </c>
      <c r="Z157" s="256">
        <v>1</v>
      </c>
      <c r="AA157" s="256">
        <v>6.9042999999999993E-2</v>
      </c>
      <c r="AB157" s="256">
        <v>11.838089999999999</v>
      </c>
      <c r="AC157" s="256">
        <v>1.1564639999999999</v>
      </c>
      <c r="AD157" s="256">
        <v>1.1690430000000001</v>
      </c>
      <c r="AE157" s="231">
        <v>3.916293</v>
      </c>
      <c r="AF157" s="231">
        <v>0.35</v>
      </c>
      <c r="AG157" s="231">
        <v>0.55000000000000004</v>
      </c>
      <c r="AH157" s="231">
        <v>49</v>
      </c>
      <c r="AI157" s="231">
        <v>26.95</v>
      </c>
      <c r="AJ157" s="231">
        <v>17</v>
      </c>
      <c r="AK157" s="231">
        <v>20</v>
      </c>
      <c r="AL157" s="231">
        <v>0</v>
      </c>
      <c r="AM157" s="256">
        <v>0.468916</v>
      </c>
      <c r="AN157" s="256">
        <v>0.58484999999999998</v>
      </c>
      <c r="AO157" s="256">
        <v>1.959247</v>
      </c>
      <c r="AP157" s="256">
        <v>23.619655999999999</v>
      </c>
      <c r="AQ157" s="231">
        <v>0</v>
      </c>
      <c r="AR157" s="255">
        <v>280.7</v>
      </c>
      <c r="AS157" s="231">
        <v>0</v>
      </c>
      <c r="AT157" s="231"/>
      <c r="AU157" s="231"/>
      <c r="AV157" s="231"/>
      <c r="AW157" s="231"/>
      <c r="AX157" s="231"/>
      <c r="AY157" s="231"/>
      <c r="AZ157" s="231"/>
      <c r="BA157" s="116" t="s">
        <v>132</v>
      </c>
    </row>
    <row r="158" spans="1:53">
      <c r="A158" s="69" t="str">
        <f t="shared" si="2"/>
        <v>Mediados</v>
      </c>
      <c r="B158" s="232">
        <v>42156</v>
      </c>
      <c r="C158" s="232" t="s">
        <v>134</v>
      </c>
      <c r="D158" s="231">
        <v>152</v>
      </c>
      <c r="E158" s="255">
        <v>26.955985999999999</v>
      </c>
      <c r="F158" s="255">
        <v>12.466735999999999</v>
      </c>
      <c r="G158" s="255">
        <v>19.886361000000001</v>
      </c>
      <c r="H158" s="255">
        <v>2.2999999999999998</v>
      </c>
      <c r="I158" s="255">
        <v>5.5</v>
      </c>
      <c r="J158" s="255">
        <v>29.13</v>
      </c>
      <c r="K158" s="255">
        <v>29.357749999999999</v>
      </c>
      <c r="L158" s="255">
        <v>0</v>
      </c>
      <c r="M158" s="255">
        <v>0</v>
      </c>
      <c r="N158" s="231">
        <v>1.1000000000000001</v>
      </c>
      <c r="O158" s="231">
        <v>0.7</v>
      </c>
      <c r="P158" s="231">
        <v>0.15</v>
      </c>
      <c r="Q158" s="255">
        <v>1.1000000000000001</v>
      </c>
      <c r="R158" s="255">
        <v>1.1499999999999999</v>
      </c>
      <c r="S158" s="231">
        <v>0</v>
      </c>
      <c r="T158" s="231">
        <v>0.8</v>
      </c>
      <c r="U158" s="231">
        <v>1</v>
      </c>
      <c r="V158" s="231">
        <v>0.2</v>
      </c>
      <c r="W158" s="255">
        <v>20</v>
      </c>
      <c r="X158" s="231">
        <v>1.1564639999999999</v>
      </c>
      <c r="Y158" s="256">
        <v>9</v>
      </c>
      <c r="Z158" s="256">
        <v>1</v>
      </c>
      <c r="AA158" s="256">
        <v>0.05</v>
      </c>
      <c r="AB158" s="256">
        <v>0</v>
      </c>
      <c r="AC158" s="256">
        <v>2.5314640000000002</v>
      </c>
      <c r="AD158" s="256">
        <v>1.1499999999999999</v>
      </c>
      <c r="AE158" s="231">
        <v>6.3250000000000002</v>
      </c>
      <c r="AF158" s="231">
        <v>0.35</v>
      </c>
      <c r="AG158" s="231">
        <v>0.55000000000000004</v>
      </c>
      <c r="AH158" s="231">
        <v>49</v>
      </c>
      <c r="AI158" s="231">
        <v>26.95</v>
      </c>
      <c r="AJ158" s="231">
        <v>0</v>
      </c>
      <c r="AK158" s="231"/>
      <c r="AL158" s="231">
        <v>0</v>
      </c>
      <c r="AM158" s="256">
        <v>1</v>
      </c>
      <c r="AN158" s="256">
        <v>1.1499999999999999</v>
      </c>
      <c r="AO158" s="256">
        <v>6.3250000000000002</v>
      </c>
      <c r="AP158" s="256">
        <v>29.944655999999998</v>
      </c>
      <c r="AQ158" s="231">
        <v>6.3250000000000002</v>
      </c>
      <c r="AR158" s="255">
        <v>280.7</v>
      </c>
      <c r="AS158" s="231">
        <v>0</v>
      </c>
      <c r="AT158" s="231"/>
      <c r="AU158" s="231"/>
      <c r="AV158" s="231"/>
      <c r="AW158" s="231"/>
      <c r="AX158" s="231"/>
      <c r="AY158" s="231"/>
      <c r="AZ158" s="231"/>
      <c r="BA158" s="116" t="s">
        <v>132</v>
      </c>
    </row>
    <row r="159" spans="1:53">
      <c r="A159" s="69" t="str">
        <f t="shared" si="2"/>
        <v>Mediados</v>
      </c>
      <c r="B159" s="232">
        <v>42157</v>
      </c>
      <c r="C159" s="232" t="s">
        <v>134</v>
      </c>
      <c r="D159" s="231">
        <v>153</v>
      </c>
      <c r="E159" s="255">
        <v>25.645052</v>
      </c>
      <c r="F159" s="255">
        <v>11.564389</v>
      </c>
      <c r="G159" s="255">
        <v>18.254721</v>
      </c>
      <c r="H159" s="255">
        <v>1.8</v>
      </c>
      <c r="I159" s="255">
        <v>2.4</v>
      </c>
      <c r="J159" s="255">
        <v>11.61</v>
      </c>
      <c r="K159" s="255">
        <v>39.290900000000001</v>
      </c>
      <c r="L159" s="255">
        <v>0</v>
      </c>
      <c r="M159" s="255">
        <v>0</v>
      </c>
      <c r="N159" s="231">
        <v>1.1000000000000001</v>
      </c>
      <c r="O159" s="231">
        <v>0.7</v>
      </c>
      <c r="P159" s="231">
        <v>0.15</v>
      </c>
      <c r="Q159" s="255">
        <v>1.1000000000000001</v>
      </c>
      <c r="R159" s="255">
        <v>1.1499999999999999</v>
      </c>
      <c r="S159" s="231">
        <v>7.6</v>
      </c>
      <c r="T159" s="231">
        <v>0.8</v>
      </c>
      <c r="U159" s="231">
        <v>1</v>
      </c>
      <c r="V159" s="231">
        <v>0.2</v>
      </c>
      <c r="W159" s="255">
        <v>20</v>
      </c>
      <c r="X159" s="231">
        <v>0</v>
      </c>
      <c r="Y159" s="256">
        <v>9</v>
      </c>
      <c r="Z159" s="256">
        <v>1</v>
      </c>
      <c r="AA159" s="256">
        <v>0.05</v>
      </c>
      <c r="AB159" s="256">
        <v>3.9285359999999998</v>
      </c>
      <c r="AC159" s="256">
        <v>0.6</v>
      </c>
      <c r="AD159" s="256">
        <v>1.1499999999999999</v>
      </c>
      <c r="AE159" s="231">
        <v>2.76</v>
      </c>
      <c r="AF159" s="231">
        <v>0.35</v>
      </c>
      <c r="AG159" s="231">
        <v>0.55000000000000004</v>
      </c>
      <c r="AH159" s="231">
        <v>49</v>
      </c>
      <c r="AI159" s="231">
        <v>26.95</v>
      </c>
      <c r="AJ159" s="231">
        <v>6.46</v>
      </c>
      <c r="AK159" s="231">
        <v>7.6</v>
      </c>
      <c r="AL159" s="231">
        <v>0</v>
      </c>
      <c r="AM159" s="256">
        <v>0.86418799999999996</v>
      </c>
      <c r="AN159" s="256">
        <v>1.000607</v>
      </c>
      <c r="AO159" s="256">
        <v>2.401456</v>
      </c>
      <c r="AP159" s="256">
        <v>25.886112000000001</v>
      </c>
      <c r="AQ159" s="231">
        <v>9.0850000000000009</v>
      </c>
      <c r="AR159" s="255">
        <v>288.3</v>
      </c>
      <c r="AS159" s="231">
        <v>0</v>
      </c>
      <c r="AT159" s="231"/>
      <c r="AU159" s="231"/>
      <c r="AV159" s="231"/>
      <c r="AW159" s="231"/>
      <c r="AX159" s="231"/>
      <c r="AY159" s="231"/>
      <c r="AZ159" s="231"/>
      <c r="BA159" s="116" t="s">
        <v>132</v>
      </c>
    </row>
    <row r="160" spans="1:53">
      <c r="A160" s="69" t="str">
        <f t="shared" si="2"/>
        <v>Final</v>
      </c>
      <c r="B160" s="232">
        <v>42158</v>
      </c>
      <c r="C160" s="232" t="s">
        <v>135</v>
      </c>
      <c r="D160" s="231">
        <v>154</v>
      </c>
      <c r="E160" s="255">
        <v>26.368897</v>
      </c>
      <c r="F160" s="255">
        <v>13.604517</v>
      </c>
      <c r="G160" s="255">
        <v>19.786707</v>
      </c>
      <c r="H160" s="255">
        <v>2.1</v>
      </c>
      <c r="I160" s="255">
        <v>4.4000000000000004</v>
      </c>
      <c r="J160" s="255">
        <v>25.6</v>
      </c>
      <c r="K160" s="255">
        <v>35.9422</v>
      </c>
      <c r="L160" s="255">
        <v>0</v>
      </c>
      <c r="M160" s="255">
        <v>0</v>
      </c>
      <c r="N160" s="231">
        <v>1.0693550000000001</v>
      </c>
      <c r="O160" s="231">
        <v>0.7</v>
      </c>
      <c r="P160" s="231">
        <v>0.15</v>
      </c>
      <c r="Q160" s="255">
        <v>1.1000000000000001</v>
      </c>
      <c r="R160" s="255">
        <v>1.125999</v>
      </c>
      <c r="S160" s="231">
        <v>0</v>
      </c>
      <c r="T160" s="231">
        <v>0.77741899999999997</v>
      </c>
      <c r="U160" s="231">
        <v>1</v>
      </c>
      <c r="V160" s="231">
        <v>0.222581</v>
      </c>
      <c r="W160" s="255">
        <v>20</v>
      </c>
      <c r="X160" s="231">
        <v>0.6</v>
      </c>
      <c r="Y160" s="256">
        <v>9</v>
      </c>
      <c r="Z160" s="256">
        <v>1</v>
      </c>
      <c r="AA160" s="256">
        <v>5.6644E-2</v>
      </c>
      <c r="AB160" s="256">
        <v>0</v>
      </c>
      <c r="AC160" s="256">
        <v>1.7197480000000001</v>
      </c>
      <c r="AD160" s="256">
        <v>1.125999</v>
      </c>
      <c r="AE160" s="231">
        <v>4.9543949999999999</v>
      </c>
      <c r="AF160" s="231">
        <v>0.35</v>
      </c>
      <c r="AG160" s="231">
        <v>0.55000000000000004</v>
      </c>
      <c r="AH160" s="231">
        <v>49</v>
      </c>
      <c r="AI160" s="231">
        <v>26.95</v>
      </c>
      <c r="AJ160" s="231">
        <v>0</v>
      </c>
      <c r="AK160" s="231"/>
      <c r="AL160" s="231">
        <v>0</v>
      </c>
      <c r="AM160" s="256">
        <v>1</v>
      </c>
      <c r="AN160" s="256">
        <v>1.125999</v>
      </c>
      <c r="AO160" s="256">
        <v>4.9543949999999999</v>
      </c>
      <c r="AP160" s="256">
        <v>30.840508</v>
      </c>
      <c r="AQ160" s="231">
        <v>14.039395000000001</v>
      </c>
      <c r="AR160" s="255">
        <v>288.3</v>
      </c>
      <c r="AS160" s="231">
        <v>0</v>
      </c>
      <c r="AT160" s="231"/>
      <c r="AU160" s="231"/>
      <c r="AV160" s="231"/>
      <c r="AW160" s="231"/>
      <c r="AX160" s="231"/>
      <c r="AY160" s="231"/>
      <c r="AZ160" s="231"/>
      <c r="BA160" s="116" t="s">
        <v>132</v>
      </c>
    </row>
    <row r="161" spans="1:53">
      <c r="A161" s="69" t="str">
        <f t="shared" si="2"/>
        <v>Final</v>
      </c>
      <c r="B161" s="232">
        <v>42159</v>
      </c>
      <c r="C161" s="232" t="s">
        <v>135</v>
      </c>
      <c r="D161" s="231">
        <v>155</v>
      </c>
      <c r="E161" s="255">
        <v>22.758966000000001</v>
      </c>
      <c r="F161" s="255">
        <v>12.119946000000001</v>
      </c>
      <c r="G161" s="255">
        <v>17.739456000000001</v>
      </c>
      <c r="H161" s="255">
        <v>2.1</v>
      </c>
      <c r="I161" s="255">
        <v>4.7</v>
      </c>
      <c r="J161" s="255">
        <v>25.5</v>
      </c>
      <c r="K161" s="255">
        <v>40.3215</v>
      </c>
      <c r="L161" s="255">
        <v>0</v>
      </c>
      <c r="M161" s="255">
        <v>0</v>
      </c>
      <c r="N161" s="231">
        <v>1.03871</v>
      </c>
      <c r="O161" s="231">
        <v>0.7</v>
      </c>
      <c r="P161" s="231">
        <v>0.15</v>
      </c>
      <c r="Q161" s="255">
        <v>1.1000000000000001</v>
      </c>
      <c r="R161" s="255">
        <v>1.114679</v>
      </c>
      <c r="S161" s="231">
        <v>9.4</v>
      </c>
      <c r="T161" s="231">
        <v>0.75483900000000004</v>
      </c>
      <c r="U161" s="231">
        <v>1</v>
      </c>
      <c r="V161" s="231">
        <v>0.24516099999999999</v>
      </c>
      <c r="W161" s="255">
        <v>20</v>
      </c>
      <c r="X161" s="231">
        <v>0</v>
      </c>
      <c r="Y161" s="256">
        <v>9</v>
      </c>
      <c r="Z161" s="256">
        <v>1</v>
      </c>
      <c r="AA161" s="256">
        <v>7.5968999999999995E-2</v>
      </c>
      <c r="AB161" s="256">
        <v>6.2702520000000002</v>
      </c>
      <c r="AC161" s="256">
        <v>1.4564060000000001</v>
      </c>
      <c r="AD161" s="256">
        <v>1.114679</v>
      </c>
      <c r="AE161" s="231">
        <v>5.2389900000000003</v>
      </c>
      <c r="AF161" s="231">
        <v>0.35</v>
      </c>
      <c r="AG161" s="231">
        <v>0.55000000000000004</v>
      </c>
      <c r="AH161" s="231">
        <v>49</v>
      </c>
      <c r="AI161" s="231">
        <v>26.95</v>
      </c>
      <c r="AJ161" s="231">
        <v>7.99</v>
      </c>
      <c r="AK161" s="231">
        <v>9.4</v>
      </c>
      <c r="AL161" s="231">
        <v>0</v>
      </c>
      <c r="AM161" s="256">
        <v>0.82355999999999996</v>
      </c>
      <c r="AN161" s="256">
        <v>0.93140800000000001</v>
      </c>
      <c r="AO161" s="256">
        <v>4.3776200000000003</v>
      </c>
      <c r="AP161" s="256">
        <v>27.228127000000001</v>
      </c>
      <c r="AQ161" s="231">
        <v>19.278385</v>
      </c>
      <c r="AR161" s="255">
        <v>297.7</v>
      </c>
      <c r="AS161" s="231">
        <v>0</v>
      </c>
      <c r="AT161" s="231"/>
      <c r="AU161" s="231"/>
      <c r="AV161" s="231"/>
      <c r="AW161" s="231"/>
      <c r="AX161" s="231"/>
      <c r="AY161" s="231"/>
      <c r="AZ161" s="231"/>
      <c r="BA161" s="116" t="s">
        <v>132</v>
      </c>
    </row>
    <row r="162" spans="1:53">
      <c r="A162" s="69" t="str">
        <f t="shared" si="2"/>
        <v>Final</v>
      </c>
      <c r="B162" s="232">
        <v>42160</v>
      </c>
      <c r="C162" s="232" t="s">
        <v>135</v>
      </c>
      <c r="D162" s="231">
        <v>156</v>
      </c>
      <c r="E162" s="255">
        <v>23.305472999999999</v>
      </c>
      <c r="F162" s="255">
        <v>12.20322</v>
      </c>
      <c r="G162" s="255">
        <v>17.454346000000001</v>
      </c>
      <c r="H162" s="255">
        <v>1.9</v>
      </c>
      <c r="I162" s="255">
        <v>4.95</v>
      </c>
      <c r="J162" s="255">
        <v>20.010000000000002</v>
      </c>
      <c r="K162" s="255">
        <v>36.712350000000001</v>
      </c>
      <c r="L162" s="255">
        <v>0</v>
      </c>
      <c r="M162" s="255">
        <v>0</v>
      </c>
      <c r="N162" s="231">
        <v>1.008065</v>
      </c>
      <c r="O162" s="231">
        <v>0.7</v>
      </c>
      <c r="P162" s="231">
        <v>0.15</v>
      </c>
      <c r="Q162" s="255">
        <v>1.1000000000000001</v>
      </c>
      <c r="R162" s="255">
        <v>1.118838</v>
      </c>
      <c r="S162" s="231">
        <v>0</v>
      </c>
      <c r="T162" s="231">
        <v>0.73225799999999996</v>
      </c>
      <c r="U162" s="231">
        <v>1</v>
      </c>
      <c r="V162" s="231">
        <v>0.26774199999999998</v>
      </c>
      <c r="W162" s="255">
        <v>20</v>
      </c>
      <c r="X162" s="231">
        <v>1.4564060000000001</v>
      </c>
      <c r="Y162" s="256">
        <v>9</v>
      </c>
      <c r="Z162" s="256">
        <v>1</v>
      </c>
      <c r="AA162" s="256">
        <v>0.110774</v>
      </c>
      <c r="AB162" s="256">
        <v>0</v>
      </c>
      <c r="AC162" s="256">
        <v>3.5043850000000001</v>
      </c>
      <c r="AD162" s="256">
        <v>1.118838</v>
      </c>
      <c r="AE162" s="231">
        <v>5.5382490000000004</v>
      </c>
      <c r="AF162" s="231">
        <v>0.35</v>
      </c>
      <c r="AG162" s="231">
        <v>0.55000000000000004</v>
      </c>
      <c r="AH162" s="231">
        <v>49</v>
      </c>
      <c r="AI162" s="231">
        <v>26.95</v>
      </c>
      <c r="AJ162" s="231">
        <v>0</v>
      </c>
      <c r="AK162" s="231"/>
      <c r="AL162" s="231">
        <v>0</v>
      </c>
      <c r="AM162" s="256">
        <v>0.98738700000000001</v>
      </c>
      <c r="AN162" s="256">
        <v>1.106123</v>
      </c>
      <c r="AO162" s="256">
        <v>5.4753090000000002</v>
      </c>
      <c r="AP162" s="256">
        <v>32.703436000000004</v>
      </c>
      <c r="AQ162" s="231">
        <v>24.816635000000002</v>
      </c>
      <c r="AR162" s="255">
        <v>297.7</v>
      </c>
      <c r="AS162" s="231">
        <v>0</v>
      </c>
      <c r="AT162" s="231"/>
      <c r="AU162" s="231"/>
      <c r="AV162" s="231"/>
      <c r="AW162" s="231"/>
      <c r="AX162" s="231"/>
      <c r="AY162" s="231"/>
      <c r="AZ162" s="231"/>
      <c r="BA162" s="116" t="s">
        <v>132</v>
      </c>
    </row>
    <row r="163" spans="1:53">
      <c r="A163" s="69" t="str">
        <f t="shared" si="2"/>
        <v>Final</v>
      </c>
      <c r="B163" s="232">
        <v>42161</v>
      </c>
      <c r="C163" s="232" t="s">
        <v>135</v>
      </c>
      <c r="D163" s="231">
        <v>157</v>
      </c>
      <c r="E163" s="255">
        <v>21.915821000000001</v>
      </c>
      <c r="F163" s="255">
        <v>12.650463999999999</v>
      </c>
      <c r="G163" s="255">
        <v>17.108142000000001</v>
      </c>
      <c r="H163" s="255">
        <v>1.8</v>
      </c>
      <c r="I163" s="255">
        <v>4.5999999999999996</v>
      </c>
      <c r="J163" s="255">
        <v>11.31</v>
      </c>
      <c r="K163" s="255">
        <v>45.2607</v>
      </c>
      <c r="L163" s="255">
        <v>0</v>
      </c>
      <c r="M163" s="255">
        <v>0</v>
      </c>
      <c r="N163" s="231">
        <v>0.97741900000000004</v>
      </c>
      <c r="O163" s="231">
        <v>0.7</v>
      </c>
      <c r="P163" s="231">
        <v>0.15</v>
      </c>
      <c r="Q163" s="255">
        <v>1.1000000000000001</v>
      </c>
      <c r="R163" s="255">
        <v>1.0941559999999999</v>
      </c>
      <c r="S163" s="231">
        <v>9.4</v>
      </c>
      <c r="T163" s="231">
        <v>0.709677</v>
      </c>
      <c r="U163" s="231">
        <v>1</v>
      </c>
      <c r="V163" s="231">
        <v>0.290323</v>
      </c>
      <c r="W163" s="255">
        <v>20</v>
      </c>
      <c r="X163" s="231">
        <v>0</v>
      </c>
      <c r="Y163" s="256">
        <v>9</v>
      </c>
      <c r="Z163" s="256">
        <v>1</v>
      </c>
      <c r="AA163" s="256">
        <v>0.11673699999999999</v>
      </c>
      <c r="AB163" s="256">
        <v>4.4856150000000001</v>
      </c>
      <c r="AC163" s="256">
        <v>1.8496300000000001</v>
      </c>
      <c r="AD163" s="256">
        <v>1.0941559999999999</v>
      </c>
      <c r="AE163" s="231">
        <v>5.033118</v>
      </c>
      <c r="AF163" s="231">
        <v>0.35</v>
      </c>
      <c r="AG163" s="231">
        <v>0.55000000000000004</v>
      </c>
      <c r="AH163" s="231">
        <v>49</v>
      </c>
      <c r="AI163" s="231">
        <v>26.95</v>
      </c>
      <c r="AJ163" s="231">
        <v>7.99</v>
      </c>
      <c r="AK163" s="231">
        <v>9.4</v>
      </c>
      <c r="AL163" s="231">
        <v>0</v>
      </c>
      <c r="AM163" s="256">
        <v>0.73907299999999998</v>
      </c>
      <c r="AN163" s="256">
        <v>0.83912100000000001</v>
      </c>
      <c r="AO163" s="256">
        <v>3.8599579999999998</v>
      </c>
      <c r="AP163" s="256">
        <v>28.573394</v>
      </c>
      <c r="AQ163" s="231">
        <v>29.849753</v>
      </c>
      <c r="AR163" s="255">
        <v>307.10000000000002</v>
      </c>
      <c r="AS163" s="231">
        <v>0</v>
      </c>
      <c r="AT163" s="231"/>
      <c r="AU163" s="231"/>
      <c r="AV163" s="231"/>
      <c r="AW163" s="231"/>
      <c r="AX163" s="231"/>
      <c r="AY163" s="231"/>
      <c r="AZ163" s="231"/>
      <c r="BA163" s="116" t="s">
        <v>132</v>
      </c>
    </row>
    <row r="164" spans="1:53">
      <c r="A164" s="69" t="str">
        <f t="shared" si="2"/>
        <v>Final</v>
      </c>
      <c r="B164" s="232">
        <v>42162</v>
      </c>
      <c r="C164" s="232" t="s">
        <v>135</v>
      </c>
      <c r="D164" s="231">
        <v>158</v>
      </c>
      <c r="E164" s="255">
        <v>23.891625999999999</v>
      </c>
      <c r="F164" s="255">
        <v>12.611743000000001</v>
      </c>
      <c r="G164" s="255">
        <v>18.401685000000001</v>
      </c>
      <c r="H164" s="255">
        <v>1.7</v>
      </c>
      <c r="I164" s="255">
        <v>5.05</v>
      </c>
      <c r="J164" s="255">
        <v>24.17</v>
      </c>
      <c r="K164" s="255">
        <v>38.531350000000003</v>
      </c>
      <c r="L164" s="255">
        <v>0</v>
      </c>
      <c r="M164" s="255">
        <v>0</v>
      </c>
      <c r="N164" s="231">
        <v>0.946774</v>
      </c>
      <c r="O164" s="231">
        <v>0.7</v>
      </c>
      <c r="P164" s="231">
        <v>0.15</v>
      </c>
      <c r="Q164" s="255">
        <v>1.1000000000000001</v>
      </c>
      <c r="R164" s="255">
        <v>1.1089659999999999</v>
      </c>
      <c r="S164" s="231">
        <v>12.6</v>
      </c>
      <c r="T164" s="231">
        <v>0.68709699999999996</v>
      </c>
      <c r="U164" s="231">
        <v>1</v>
      </c>
      <c r="V164" s="231">
        <v>0.31290299999999999</v>
      </c>
      <c r="W164" s="255">
        <v>20</v>
      </c>
      <c r="X164" s="231">
        <v>0</v>
      </c>
      <c r="Y164" s="256">
        <v>9</v>
      </c>
      <c r="Z164" s="256">
        <v>1</v>
      </c>
      <c r="AA164" s="256">
        <v>0.162192</v>
      </c>
      <c r="AB164" s="256">
        <v>8.8603699999999996</v>
      </c>
      <c r="AC164" s="256">
        <v>2.6176469999999998</v>
      </c>
      <c r="AD164" s="256">
        <v>1.1089659999999999</v>
      </c>
      <c r="AE164" s="231">
        <v>5.6002799999999997</v>
      </c>
      <c r="AF164" s="231">
        <v>0.35</v>
      </c>
      <c r="AG164" s="231">
        <v>0.55000000000000004</v>
      </c>
      <c r="AH164" s="231">
        <v>49</v>
      </c>
      <c r="AI164" s="231">
        <v>26.95</v>
      </c>
      <c r="AJ164" s="231">
        <v>10.71</v>
      </c>
      <c r="AK164" s="231">
        <v>12.6</v>
      </c>
      <c r="AL164" s="231">
        <v>0</v>
      </c>
      <c r="AM164" s="256">
        <v>0.92637700000000001</v>
      </c>
      <c r="AN164" s="256">
        <v>1.0392619999999999</v>
      </c>
      <c r="AO164" s="256">
        <v>5.2482709999999999</v>
      </c>
      <c r="AP164" s="256">
        <v>23.111666</v>
      </c>
      <c r="AQ164" s="231">
        <v>35.450032999999998</v>
      </c>
      <c r="AR164" s="255">
        <v>319.7</v>
      </c>
      <c r="AS164" s="231">
        <v>0</v>
      </c>
      <c r="AT164" s="231"/>
      <c r="AU164" s="231"/>
      <c r="AV164" s="231"/>
      <c r="AW164" s="231"/>
      <c r="AX164" s="231"/>
      <c r="AY164" s="231"/>
      <c r="AZ164" s="231"/>
      <c r="BA164" s="116" t="s">
        <v>132</v>
      </c>
    </row>
    <row r="165" spans="1:53">
      <c r="A165" s="69" t="str">
        <f t="shared" si="2"/>
        <v>Final</v>
      </c>
      <c r="B165" s="232">
        <v>42163</v>
      </c>
      <c r="C165" s="232" t="s">
        <v>135</v>
      </c>
      <c r="D165" s="231">
        <v>159</v>
      </c>
      <c r="E165" s="255">
        <v>25.075382000000001</v>
      </c>
      <c r="F165" s="255">
        <v>11.264505</v>
      </c>
      <c r="G165" s="255">
        <v>18.094943000000001</v>
      </c>
      <c r="H165" s="255">
        <v>1.1000000000000001</v>
      </c>
      <c r="I165" s="255">
        <v>4.3</v>
      </c>
      <c r="J165" s="255">
        <v>21.67</v>
      </c>
      <c r="K165" s="255">
        <v>33.486550000000001</v>
      </c>
      <c r="L165" s="255">
        <v>0</v>
      </c>
      <c r="M165" s="255">
        <v>0</v>
      </c>
      <c r="N165" s="231">
        <v>0.91612899999999997</v>
      </c>
      <c r="O165" s="231">
        <v>0.7</v>
      </c>
      <c r="P165" s="231">
        <v>0.15</v>
      </c>
      <c r="Q165" s="255">
        <v>1.1000000000000001</v>
      </c>
      <c r="R165" s="255">
        <v>1.1064970000000001</v>
      </c>
      <c r="S165" s="231">
        <v>0</v>
      </c>
      <c r="T165" s="231">
        <v>0.664516</v>
      </c>
      <c r="U165" s="231">
        <v>1</v>
      </c>
      <c r="V165" s="231">
        <v>0.335484</v>
      </c>
      <c r="W165" s="255">
        <v>20</v>
      </c>
      <c r="X165" s="231">
        <v>2.6176469999999998</v>
      </c>
      <c r="Y165" s="256">
        <v>9</v>
      </c>
      <c r="Z165" s="256">
        <v>1</v>
      </c>
      <c r="AA165" s="256">
        <v>0.19036800000000001</v>
      </c>
      <c r="AB165" s="256">
        <v>0</v>
      </c>
      <c r="AC165" s="256">
        <v>5.0576540000000003</v>
      </c>
      <c r="AD165" s="256">
        <v>1.1064970000000001</v>
      </c>
      <c r="AE165" s="231">
        <v>4.7579380000000002</v>
      </c>
      <c r="AF165" s="231">
        <v>0.35</v>
      </c>
      <c r="AG165" s="231">
        <v>0.55000000000000004</v>
      </c>
      <c r="AH165" s="231">
        <v>49</v>
      </c>
      <c r="AI165" s="231">
        <v>26.95</v>
      </c>
      <c r="AJ165" s="231">
        <v>0</v>
      </c>
      <c r="AK165" s="231"/>
      <c r="AL165" s="231">
        <v>0</v>
      </c>
      <c r="AM165" s="256">
        <v>1</v>
      </c>
      <c r="AN165" s="256">
        <v>1.1064970000000001</v>
      </c>
      <c r="AO165" s="256">
        <v>4.7579380000000002</v>
      </c>
      <c r="AP165" s="256">
        <v>27.869603000000001</v>
      </c>
      <c r="AQ165" s="231">
        <v>40.207971000000001</v>
      </c>
      <c r="AR165" s="255">
        <v>319.7</v>
      </c>
      <c r="AS165" s="231">
        <v>0</v>
      </c>
      <c r="AT165" s="231"/>
      <c r="AU165" s="231"/>
      <c r="AV165" s="231"/>
      <c r="AW165" s="231"/>
      <c r="AX165" s="231"/>
      <c r="AY165" s="231"/>
      <c r="AZ165" s="231"/>
      <c r="BA165" s="116" t="s">
        <v>132</v>
      </c>
    </row>
    <row r="166" spans="1:53">
      <c r="A166" s="69" t="str">
        <f t="shared" si="2"/>
        <v>Final</v>
      </c>
      <c r="B166" s="232">
        <v>42164</v>
      </c>
      <c r="C166" s="232" t="s">
        <v>135</v>
      </c>
      <c r="D166" s="231">
        <v>160</v>
      </c>
      <c r="E166" s="255">
        <v>23.889709</v>
      </c>
      <c r="F166" s="255">
        <v>10.257028</v>
      </c>
      <c r="G166" s="255">
        <v>16.698369</v>
      </c>
      <c r="H166" s="255">
        <v>1.5</v>
      </c>
      <c r="I166" s="255">
        <v>3.8</v>
      </c>
      <c r="J166" s="255">
        <v>20.5</v>
      </c>
      <c r="K166" s="255">
        <v>33.669550000000001</v>
      </c>
      <c r="L166" s="255">
        <v>0</v>
      </c>
      <c r="M166" s="255">
        <v>0</v>
      </c>
      <c r="N166" s="231">
        <v>0.88548400000000005</v>
      </c>
      <c r="O166" s="231">
        <v>0.7</v>
      </c>
      <c r="P166" s="231">
        <v>0.15</v>
      </c>
      <c r="Q166" s="255">
        <v>1.1000000000000001</v>
      </c>
      <c r="R166" s="255">
        <v>1.1163639999999999</v>
      </c>
      <c r="S166" s="231">
        <v>9.4</v>
      </c>
      <c r="T166" s="231">
        <v>0.64193500000000003</v>
      </c>
      <c r="U166" s="231">
        <v>1</v>
      </c>
      <c r="V166" s="231">
        <v>0.35806500000000002</v>
      </c>
      <c r="W166" s="255">
        <v>20</v>
      </c>
      <c r="X166" s="231">
        <v>0</v>
      </c>
      <c r="Y166" s="256">
        <v>9</v>
      </c>
      <c r="Z166" s="256">
        <v>1</v>
      </c>
      <c r="AA166" s="256">
        <v>0.23088</v>
      </c>
      <c r="AB166" s="256">
        <v>2.9323459999999999</v>
      </c>
      <c r="AC166" s="256">
        <v>2.4502410000000001</v>
      </c>
      <c r="AD166" s="256">
        <v>1.1163639999999999</v>
      </c>
      <c r="AE166" s="231">
        <v>4.2421829999999998</v>
      </c>
      <c r="AF166" s="231">
        <v>0.35</v>
      </c>
      <c r="AG166" s="231">
        <v>0.55000000000000004</v>
      </c>
      <c r="AH166" s="231">
        <v>49</v>
      </c>
      <c r="AI166" s="231">
        <v>26.95</v>
      </c>
      <c r="AJ166" s="231">
        <v>7.99</v>
      </c>
      <c r="AK166" s="231">
        <v>9.4</v>
      </c>
      <c r="AL166" s="231">
        <v>0</v>
      </c>
      <c r="AM166" s="256">
        <v>0.95829500000000001</v>
      </c>
      <c r="AN166" s="256">
        <v>1.0794349999999999</v>
      </c>
      <c r="AO166" s="256">
        <v>4.1018509999999999</v>
      </c>
      <c r="AP166" s="256">
        <v>23.981453999999999</v>
      </c>
      <c r="AQ166" s="231">
        <v>44.450153999999998</v>
      </c>
      <c r="AR166" s="255">
        <v>329.1</v>
      </c>
      <c r="AS166" s="231">
        <v>0</v>
      </c>
      <c r="AT166" s="231"/>
      <c r="AU166" s="231"/>
      <c r="AV166" s="231"/>
      <c r="AW166" s="231"/>
      <c r="AX166" s="231"/>
      <c r="AY166" s="231"/>
      <c r="AZ166" s="231"/>
      <c r="BA166" s="116" t="s">
        <v>132</v>
      </c>
    </row>
    <row r="167" spans="1:53">
      <c r="A167" s="69" t="str">
        <f t="shared" si="2"/>
        <v>Final</v>
      </c>
      <c r="B167" s="232">
        <v>42165</v>
      </c>
      <c r="C167" s="232" t="s">
        <v>135</v>
      </c>
      <c r="D167" s="231">
        <v>161</v>
      </c>
      <c r="E167" s="255">
        <v>24.778466999999999</v>
      </c>
      <c r="F167" s="255">
        <v>10.808057</v>
      </c>
      <c r="G167" s="255">
        <v>17.493262000000001</v>
      </c>
      <c r="H167" s="255">
        <v>2</v>
      </c>
      <c r="I167" s="255">
        <v>5</v>
      </c>
      <c r="J167" s="255">
        <v>27.12</v>
      </c>
      <c r="K167" s="255">
        <v>27.129300000000001</v>
      </c>
      <c r="L167" s="255">
        <v>0</v>
      </c>
      <c r="M167" s="255">
        <v>0</v>
      </c>
      <c r="N167" s="231">
        <v>0.85483900000000002</v>
      </c>
      <c r="O167" s="231">
        <v>0.7</v>
      </c>
      <c r="P167" s="231">
        <v>0.15</v>
      </c>
      <c r="Q167" s="255">
        <v>1.1000000000000001</v>
      </c>
      <c r="R167" s="255">
        <v>1.1461950000000001</v>
      </c>
      <c r="S167" s="231">
        <v>12.6</v>
      </c>
      <c r="T167" s="231">
        <v>0.61935499999999999</v>
      </c>
      <c r="U167" s="231">
        <v>1</v>
      </c>
      <c r="V167" s="231">
        <v>0.38064500000000001</v>
      </c>
      <c r="W167" s="255">
        <v>20</v>
      </c>
      <c r="X167" s="231">
        <v>0</v>
      </c>
      <c r="Y167" s="256">
        <v>9</v>
      </c>
      <c r="Z167" s="256">
        <v>1</v>
      </c>
      <c r="AA167" s="256">
        <v>0.291356</v>
      </c>
      <c r="AB167" s="256">
        <v>8.2597590000000007</v>
      </c>
      <c r="AC167" s="256">
        <v>3.827137</v>
      </c>
      <c r="AD167" s="256">
        <v>1.1461950000000001</v>
      </c>
      <c r="AE167" s="231">
        <v>5.7309749999999999</v>
      </c>
      <c r="AF167" s="231">
        <v>0.35</v>
      </c>
      <c r="AG167" s="231">
        <v>0.55000000000000004</v>
      </c>
      <c r="AH167" s="231">
        <v>49</v>
      </c>
      <c r="AI167" s="231">
        <v>26.95</v>
      </c>
      <c r="AJ167" s="231">
        <v>10.71</v>
      </c>
      <c r="AK167" s="231">
        <v>12.6</v>
      </c>
      <c r="AL167" s="231">
        <v>0</v>
      </c>
      <c r="AM167" s="256">
        <v>1</v>
      </c>
      <c r="AN167" s="256">
        <v>1.1461950000000001</v>
      </c>
      <c r="AO167" s="256">
        <v>5.7309749999999999</v>
      </c>
      <c r="AP167" s="256">
        <v>19.002428999999999</v>
      </c>
      <c r="AQ167" s="231">
        <v>0</v>
      </c>
      <c r="AR167" s="255">
        <v>341.7</v>
      </c>
      <c r="AS167" s="231">
        <v>0</v>
      </c>
      <c r="AT167" s="231"/>
      <c r="AU167" s="231"/>
      <c r="AV167" s="231"/>
      <c r="AW167" s="231"/>
      <c r="AX167" s="231"/>
      <c r="AY167" s="231"/>
      <c r="AZ167" s="231"/>
      <c r="BA167" s="116" t="s">
        <v>132</v>
      </c>
    </row>
    <row r="168" spans="1:53">
      <c r="A168" s="69" t="str">
        <f t="shared" si="2"/>
        <v>Final</v>
      </c>
      <c r="B168" s="232">
        <v>42166</v>
      </c>
      <c r="C168" s="232" t="s">
        <v>135</v>
      </c>
      <c r="D168" s="231">
        <v>162</v>
      </c>
      <c r="E168" s="255">
        <v>24.768491000000001</v>
      </c>
      <c r="F168" s="255">
        <v>12.748227</v>
      </c>
      <c r="G168" s="255">
        <v>18.883358999999999</v>
      </c>
      <c r="H168" s="255">
        <v>2.2999999999999998</v>
      </c>
      <c r="I168" s="255">
        <v>6.4</v>
      </c>
      <c r="J168" s="255">
        <v>23.38</v>
      </c>
      <c r="K168" s="255">
        <v>31.45355</v>
      </c>
      <c r="L168" s="255">
        <v>0</v>
      </c>
      <c r="M168" s="255">
        <v>0</v>
      </c>
      <c r="N168" s="231">
        <v>0.82419399999999998</v>
      </c>
      <c r="O168" s="231">
        <v>0.7</v>
      </c>
      <c r="P168" s="231">
        <v>0.15</v>
      </c>
      <c r="Q168" s="255">
        <v>1.1000000000000001</v>
      </c>
      <c r="R168" s="255">
        <v>1.1427719999999999</v>
      </c>
      <c r="S168" s="231">
        <v>0</v>
      </c>
      <c r="T168" s="231">
        <v>0.59677400000000003</v>
      </c>
      <c r="U168" s="231">
        <v>1</v>
      </c>
      <c r="V168" s="231">
        <v>0.40322599999999997</v>
      </c>
      <c r="W168" s="255">
        <v>20</v>
      </c>
      <c r="X168" s="231">
        <v>3.827137</v>
      </c>
      <c r="Y168" s="256">
        <v>9</v>
      </c>
      <c r="Z168" s="256">
        <v>1</v>
      </c>
      <c r="AA168" s="256">
        <v>0.31857799999999997</v>
      </c>
      <c r="AB168" s="256">
        <v>0</v>
      </c>
      <c r="AC168" s="256">
        <v>8.8836119999999994</v>
      </c>
      <c r="AD168" s="256">
        <v>1.1427719999999999</v>
      </c>
      <c r="AE168" s="231">
        <v>7.3137400000000001</v>
      </c>
      <c r="AF168" s="231">
        <v>0.35</v>
      </c>
      <c r="AG168" s="231">
        <v>0.55000000000000004</v>
      </c>
      <c r="AH168" s="231">
        <v>49</v>
      </c>
      <c r="AI168" s="231">
        <v>26.95</v>
      </c>
      <c r="AJ168" s="231">
        <v>0</v>
      </c>
      <c r="AK168" s="231"/>
      <c r="AL168" s="231">
        <v>0</v>
      </c>
      <c r="AM168" s="256">
        <v>1</v>
      </c>
      <c r="AN168" s="256">
        <v>1.1427719999999999</v>
      </c>
      <c r="AO168" s="256">
        <v>7.3137400000000001</v>
      </c>
      <c r="AP168" s="256">
        <v>26.316168999999999</v>
      </c>
      <c r="AQ168" s="231">
        <v>7.3137400000000001</v>
      </c>
      <c r="AR168" s="255">
        <v>341.7</v>
      </c>
      <c r="AS168" s="231">
        <v>0</v>
      </c>
      <c r="AT168" s="231"/>
      <c r="AU168" s="231"/>
      <c r="AV168" s="231"/>
      <c r="AW168" s="231"/>
      <c r="AX168" s="231"/>
      <c r="AY168" s="231"/>
      <c r="AZ168" s="231"/>
      <c r="BA168" s="116" t="s">
        <v>132</v>
      </c>
    </row>
    <row r="169" spans="1:53">
      <c r="A169" s="69" t="str">
        <f t="shared" si="2"/>
        <v>Final</v>
      </c>
      <c r="B169" s="232">
        <v>42167</v>
      </c>
      <c r="C169" s="232" t="s">
        <v>135</v>
      </c>
      <c r="D169" s="231">
        <v>163</v>
      </c>
      <c r="E169" s="255">
        <v>24.343793000000002</v>
      </c>
      <c r="F169" s="255">
        <v>10.687525000000001</v>
      </c>
      <c r="G169" s="255">
        <v>17.865659000000001</v>
      </c>
      <c r="H169" s="255">
        <v>2.2000000000000002</v>
      </c>
      <c r="I169" s="255">
        <v>6.4</v>
      </c>
      <c r="J169" s="255">
        <v>29.61</v>
      </c>
      <c r="K169" s="255">
        <v>26.062650000000001</v>
      </c>
      <c r="L169" s="255">
        <v>0</v>
      </c>
      <c r="M169" s="255">
        <v>0</v>
      </c>
      <c r="N169" s="231">
        <v>0.79354800000000003</v>
      </c>
      <c r="O169" s="231">
        <v>0.7</v>
      </c>
      <c r="P169" s="231">
        <v>0.15</v>
      </c>
      <c r="Q169" s="255">
        <v>1.1499999999999999</v>
      </c>
      <c r="R169" s="255">
        <v>1.2041219999999999</v>
      </c>
      <c r="S169" s="231">
        <v>0</v>
      </c>
      <c r="T169" s="231">
        <v>0.57419399999999998</v>
      </c>
      <c r="U169" s="231">
        <v>1</v>
      </c>
      <c r="V169" s="231">
        <v>0.42580600000000002</v>
      </c>
      <c r="W169" s="255">
        <v>20</v>
      </c>
      <c r="X169" s="231">
        <v>8.8836119999999994</v>
      </c>
      <c r="Y169" s="256">
        <v>9</v>
      </c>
      <c r="Z169" s="256">
        <v>1</v>
      </c>
      <c r="AA169" s="256">
        <v>0.41057399999999999</v>
      </c>
      <c r="AB169" s="256">
        <v>0</v>
      </c>
      <c r="AC169" s="256">
        <v>15.054658999999999</v>
      </c>
      <c r="AD169" s="256">
        <v>1.2041219999999999</v>
      </c>
      <c r="AE169" s="231">
        <v>7.7063819999999996</v>
      </c>
      <c r="AF169" s="231">
        <v>0.35</v>
      </c>
      <c r="AG169" s="231">
        <v>0.55000000000000004</v>
      </c>
      <c r="AH169" s="231">
        <v>49</v>
      </c>
      <c r="AI169" s="231">
        <v>26.95</v>
      </c>
      <c r="AJ169" s="231">
        <v>0</v>
      </c>
      <c r="AK169" s="231"/>
      <c r="AL169" s="231">
        <v>0</v>
      </c>
      <c r="AM169" s="256">
        <v>1</v>
      </c>
      <c r="AN169" s="256">
        <v>1.2041219999999999</v>
      </c>
      <c r="AO169" s="256">
        <v>7.7063819999999996</v>
      </c>
      <c r="AP169" s="256">
        <v>34.022550000000003</v>
      </c>
      <c r="AQ169" s="231">
        <v>15.020121</v>
      </c>
      <c r="AR169" s="255">
        <v>341.7</v>
      </c>
      <c r="AS169" s="231">
        <v>0</v>
      </c>
      <c r="AT169" s="231"/>
      <c r="AU169" s="231"/>
      <c r="AV169" s="231"/>
      <c r="AW169" s="231"/>
      <c r="AX169" s="231"/>
      <c r="AY169" s="231"/>
      <c r="AZ169" s="231"/>
      <c r="BA169" s="116" t="s">
        <v>132</v>
      </c>
    </row>
    <row r="170" spans="1:53">
      <c r="A170" s="69" t="str">
        <f t="shared" si="2"/>
        <v>Final</v>
      </c>
      <c r="B170" s="232">
        <v>42168</v>
      </c>
      <c r="C170" s="232" t="s">
        <v>135</v>
      </c>
      <c r="D170" s="231">
        <v>164</v>
      </c>
      <c r="E170" s="255">
        <v>25.034717000000001</v>
      </c>
      <c r="F170" s="255">
        <v>10.082056</v>
      </c>
      <c r="G170" s="255">
        <v>17.808385999999999</v>
      </c>
      <c r="H170" s="255">
        <v>2.4</v>
      </c>
      <c r="I170" s="255">
        <v>6.2</v>
      </c>
      <c r="J170" s="255">
        <v>31.59</v>
      </c>
      <c r="K170" s="255">
        <v>21.081849999999999</v>
      </c>
      <c r="L170" s="255">
        <v>0</v>
      </c>
      <c r="M170" s="255">
        <v>0</v>
      </c>
      <c r="N170" s="231">
        <v>0.762903</v>
      </c>
      <c r="O170" s="231">
        <v>0.7</v>
      </c>
      <c r="P170" s="231">
        <v>0.15</v>
      </c>
      <c r="Q170" s="255">
        <v>1.1000000000000001</v>
      </c>
      <c r="R170" s="255">
        <v>1.172167</v>
      </c>
      <c r="S170" s="231">
        <v>9.4</v>
      </c>
      <c r="T170" s="231">
        <v>0.55161300000000002</v>
      </c>
      <c r="U170" s="231">
        <v>1</v>
      </c>
      <c r="V170" s="231">
        <v>0.44838699999999998</v>
      </c>
      <c r="W170" s="255">
        <v>20</v>
      </c>
      <c r="X170" s="231">
        <v>7.0646589999999998</v>
      </c>
      <c r="Y170" s="256">
        <v>9</v>
      </c>
      <c r="Z170" s="256">
        <v>6.7435999999999996E-2</v>
      </c>
      <c r="AA170" s="256">
        <v>2.7598999999999999E-2</v>
      </c>
      <c r="AB170" s="256">
        <v>0</v>
      </c>
      <c r="AC170" s="256">
        <v>7.4462840000000003</v>
      </c>
      <c r="AD170" s="256">
        <v>0.79050299999999996</v>
      </c>
      <c r="AE170" s="231">
        <v>4.901116</v>
      </c>
      <c r="AF170" s="231">
        <v>0.35</v>
      </c>
      <c r="AG170" s="231">
        <v>0.55000000000000004</v>
      </c>
      <c r="AH170" s="231">
        <v>49</v>
      </c>
      <c r="AI170" s="231">
        <v>26.95</v>
      </c>
      <c r="AJ170" s="231">
        <v>7.99</v>
      </c>
      <c r="AK170" s="231">
        <v>9.4</v>
      </c>
      <c r="AL170" s="231">
        <v>0</v>
      </c>
      <c r="AM170" s="256">
        <v>0.67924899999999999</v>
      </c>
      <c r="AN170" s="256">
        <v>0.54580099999999998</v>
      </c>
      <c r="AO170" s="256">
        <v>3.3839649999999999</v>
      </c>
      <c r="AP170" s="256">
        <v>29.416516000000001</v>
      </c>
      <c r="AQ170" s="231">
        <v>19.921237000000001</v>
      </c>
      <c r="AR170" s="255">
        <v>351.1</v>
      </c>
      <c r="AS170" s="231">
        <v>0</v>
      </c>
      <c r="AT170" s="231"/>
      <c r="AU170" s="231"/>
      <c r="AV170" s="231"/>
      <c r="AW170" s="231"/>
      <c r="AX170" s="231"/>
      <c r="AY170" s="231"/>
      <c r="AZ170" s="231"/>
      <c r="BA170" s="116" t="s">
        <v>132</v>
      </c>
    </row>
    <row r="171" spans="1:53">
      <c r="A171" s="69" t="str">
        <f t="shared" si="2"/>
        <v>Final</v>
      </c>
      <c r="B171" s="232">
        <v>42169</v>
      </c>
      <c r="C171" s="232" t="s">
        <v>135</v>
      </c>
      <c r="D171" s="231">
        <v>165</v>
      </c>
      <c r="E171" s="255">
        <v>26.746874999999999</v>
      </c>
      <c r="F171" s="255">
        <v>9.924512</v>
      </c>
      <c r="G171" s="255">
        <v>18.810693000000001</v>
      </c>
      <c r="H171" s="255">
        <v>1.8</v>
      </c>
      <c r="I171" s="255">
        <v>6.05</v>
      </c>
      <c r="J171" s="255">
        <v>31.38</v>
      </c>
      <c r="K171" s="255">
        <v>18.213100000000001</v>
      </c>
      <c r="L171" s="255">
        <v>0</v>
      </c>
      <c r="M171" s="255">
        <v>0</v>
      </c>
      <c r="N171" s="231">
        <v>0.73225799999999996</v>
      </c>
      <c r="O171" s="231">
        <v>0.7</v>
      </c>
      <c r="P171" s="231">
        <v>0.15</v>
      </c>
      <c r="Q171" s="255">
        <v>1.1000000000000001</v>
      </c>
      <c r="R171" s="255">
        <v>1.1640729999999999</v>
      </c>
      <c r="S171" s="231">
        <v>12.6</v>
      </c>
      <c r="T171" s="231">
        <v>0.52903199999999995</v>
      </c>
      <c r="U171" s="231">
        <v>1</v>
      </c>
      <c r="V171" s="231">
        <v>0.470968</v>
      </c>
      <c r="W171" s="255">
        <v>20</v>
      </c>
      <c r="X171" s="231">
        <v>0</v>
      </c>
      <c r="Y171" s="256">
        <v>9</v>
      </c>
      <c r="Z171" s="256">
        <v>1</v>
      </c>
      <c r="AA171" s="256">
        <v>0.431815</v>
      </c>
      <c r="AB171" s="256">
        <v>3.2637160000000001</v>
      </c>
      <c r="AC171" s="256">
        <v>5.5470480000000002</v>
      </c>
      <c r="AD171" s="256">
        <v>1.1640729999999999</v>
      </c>
      <c r="AE171" s="231">
        <v>7.0426419999999998</v>
      </c>
      <c r="AF171" s="231">
        <v>0.35</v>
      </c>
      <c r="AG171" s="231">
        <v>0.55000000000000004</v>
      </c>
      <c r="AH171" s="231">
        <v>49</v>
      </c>
      <c r="AI171" s="231">
        <v>26.95</v>
      </c>
      <c r="AJ171" s="231">
        <v>10.71</v>
      </c>
      <c r="AK171" s="231">
        <v>12.6</v>
      </c>
      <c r="AL171" s="231">
        <v>0</v>
      </c>
      <c r="AM171" s="256">
        <v>0.88814000000000004</v>
      </c>
      <c r="AN171" s="256">
        <v>1.082163</v>
      </c>
      <c r="AO171" s="256">
        <v>6.5470829999999998</v>
      </c>
      <c r="AP171" s="256">
        <v>25.253599000000001</v>
      </c>
      <c r="AQ171" s="231">
        <v>26.963878999999999</v>
      </c>
      <c r="AR171" s="255">
        <v>363.7</v>
      </c>
      <c r="AS171" s="231">
        <v>0</v>
      </c>
      <c r="AT171" s="231"/>
      <c r="AU171" s="231"/>
      <c r="AV171" s="231"/>
      <c r="AW171" s="231"/>
      <c r="AX171" s="231"/>
      <c r="AY171" s="231"/>
      <c r="AZ171" s="231"/>
      <c r="BA171" s="116" t="s">
        <v>132</v>
      </c>
    </row>
    <row r="172" spans="1:53">
      <c r="A172" s="69" t="str">
        <f t="shared" si="2"/>
        <v>Final</v>
      </c>
      <c r="B172" s="232">
        <v>42170</v>
      </c>
      <c r="C172" s="232" t="s">
        <v>135</v>
      </c>
      <c r="D172" s="231">
        <v>166</v>
      </c>
      <c r="E172" s="255">
        <v>29.533677000000001</v>
      </c>
      <c r="F172" s="255">
        <v>11.137314</v>
      </c>
      <c r="G172" s="255">
        <v>20.860496000000001</v>
      </c>
      <c r="H172" s="255">
        <v>1.4</v>
      </c>
      <c r="I172" s="255">
        <v>6.1</v>
      </c>
      <c r="J172" s="255">
        <v>31.35</v>
      </c>
      <c r="K172" s="255">
        <v>17.18385</v>
      </c>
      <c r="L172" s="255">
        <v>0</v>
      </c>
      <c r="M172" s="255">
        <v>0</v>
      </c>
      <c r="N172" s="231">
        <v>0.70161300000000004</v>
      </c>
      <c r="O172" s="231">
        <v>0.7</v>
      </c>
      <c r="P172" s="231">
        <v>0.15</v>
      </c>
      <c r="Q172" s="255">
        <v>1.1000000000000001</v>
      </c>
      <c r="R172" s="255">
        <v>1.1563939999999999</v>
      </c>
      <c r="S172" s="231">
        <v>9.4</v>
      </c>
      <c r="T172" s="231">
        <v>0.50645200000000001</v>
      </c>
      <c r="U172" s="231">
        <v>1</v>
      </c>
      <c r="V172" s="231">
        <v>0.49354799999999999</v>
      </c>
      <c r="W172" s="255">
        <v>20</v>
      </c>
      <c r="X172" s="231">
        <v>0</v>
      </c>
      <c r="Y172" s="256">
        <v>9</v>
      </c>
      <c r="Z172" s="256">
        <v>1</v>
      </c>
      <c r="AA172" s="256">
        <v>0.45478099999999999</v>
      </c>
      <c r="AB172" s="256">
        <v>2.442952</v>
      </c>
      <c r="AC172" s="256">
        <v>5.6208539999999996</v>
      </c>
      <c r="AD172" s="256">
        <v>1.1563939999999999</v>
      </c>
      <c r="AE172" s="231">
        <v>7.0540019999999997</v>
      </c>
      <c r="AF172" s="231">
        <v>0.35</v>
      </c>
      <c r="AG172" s="231">
        <v>0.55000000000000004</v>
      </c>
      <c r="AH172" s="231">
        <v>49</v>
      </c>
      <c r="AI172" s="231">
        <v>26.95</v>
      </c>
      <c r="AJ172" s="231">
        <v>7.99</v>
      </c>
      <c r="AK172" s="231">
        <v>9.4</v>
      </c>
      <c r="AL172" s="231">
        <v>0</v>
      </c>
      <c r="AM172" s="256">
        <v>1</v>
      </c>
      <c r="AN172" s="256">
        <v>1.1563939999999999</v>
      </c>
      <c r="AO172" s="256">
        <v>7.0540019999999997</v>
      </c>
      <c r="AP172" s="256">
        <v>24.317601</v>
      </c>
      <c r="AQ172" s="231">
        <v>34.017881000000003</v>
      </c>
      <c r="AR172" s="255">
        <v>373.1</v>
      </c>
      <c r="AS172" s="231">
        <v>0</v>
      </c>
      <c r="AT172" s="231"/>
      <c r="AU172" s="231"/>
      <c r="AV172" s="231"/>
      <c r="AW172" s="231"/>
      <c r="AX172" s="231"/>
      <c r="AY172" s="231"/>
      <c r="AZ172" s="231"/>
      <c r="BA172" s="116" t="s">
        <v>132</v>
      </c>
    </row>
    <row r="173" spans="1:53">
      <c r="A173" s="69" t="str">
        <f t="shared" si="2"/>
        <v>Final</v>
      </c>
      <c r="B173" s="232">
        <v>42171</v>
      </c>
      <c r="C173" s="232" t="s">
        <v>135</v>
      </c>
      <c r="D173" s="231">
        <v>167</v>
      </c>
      <c r="E173" s="255">
        <v>29.893775000000002</v>
      </c>
      <c r="F173" s="255">
        <v>14.559056999999999</v>
      </c>
      <c r="G173" s="255">
        <v>22.301416</v>
      </c>
      <c r="H173" s="255">
        <v>2.2999999999999998</v>
      </c>
      <c r="I173" s="255">
        <v>6.6</v>
      </c>
      <c r="J173" s="255">
        <v>27.71</v>
      </c>
      <c r="K173" s="255">
        <v>25.260349999999999</v>
      </c>
      <c r="L173" s="255">
        <v>0</v>
      </c>
      <c r="M173" s="255">
        <v>0</v>
      </c>
      <c r="N173" s="231">
        <v>0.67096800000000001</v>
      </c>
      <c r="O173" s="231">
        <v>0.7</v>
      </c>
      <c r="P173" s="231">
        <v>0.15</v>
      </c>
      <c r="Q173" s="255">
        <v>1.1000000000000001</v>
      </c>
      <c r="R173" s="255">
        <v>1.1587810000000001</v>
      </c>
      <c r="S173" s="231">
        <v>0</v>
      </c>
      <c r="T173" s="231">
        <v>0.483871</v>
      </c>
      <c r="U173" s="231">
        <v>1</v>
      </c>
      <c r="V173" s="231">
        <v>0.51612899999999995</v>
      </c>
      <c r="W173" s="255">
        <v>20</v>
      </c>
      <c r="X173" s="231">
        <v>5.6208539999999996</v>
      </c>
      <c r="Y173" s="256">
        <v>9</v>
      </c>
      <c r="Z173" s="256">
        <v>1</v>
      </c>
      <c r="AA173" s="256">
        <v>0.487813</v>
      </c>
      <c r="AB173" s="256">
        <v>0</v>
      </c>
      <c r="AC173" s="256">
        <v>11.858765</v>
      </c>
      <c r="AD173" s="256">
        <v>1.1587810000000001</v>
      </c>
      <c r="AE173" s="231">
        <v>7.6479540000000004</v>
      </c>
      <c r="AF173" s="231">
        <v>0.35</v>
      </c>
      <c r="AG173" s="231">
        <v>0.55000000000000004</v>
      </c>
      <c r="AH173" s="231">
        <v>49</v>
      </c>
      <c r="AI173" s="231">
        <v>26.95</v>
      </c>
      <c r="AJ173" s="231">
        <v>0</v>
      </c>
      <c r="AK173" s="231"/>
      <c r="AL173" s="231">
        <v>0</v>
      </c>
      <c r="AM173" s="256">
        <v>1</v>
      </c>
      <c r="AN173" s="256">
        <v>1.1587810000000001</v>
      </c>
      <c r="AO173" s="256">
        <v>7.6479540000000004</v>
      </c>
      <c r="AP173" s="256">
        <v>31.965555999999999</v>
      </c>
      <c r="AQ173" s="231">
        <v>41.665835000000001</v>
      </c>
      <c r="AR173" s="255">
        <v>373.1</v>
      </c>
      <c r="AS173" s="231">
        <v>0</v>
      </c>
      <c r="AT173" s="231"/>
      <c r="AU173" s="231"/>
      <c r="AV173" s="231"/>
      <c r="AW173" s="231"/>
      <c r="AX173" s="231"/>
      <c r="AY173" s="231"/>
      <c r="AZ173" s="231"/>
      <c r="BA173" s="116" t="s">
        <v>132</v>
      </c>
    </row>
    <row r="174" spans="1:53">
      <c r="A174" s="69" t="str">
        <f t="shared" si="2"/>
        <v>Final</v>
      </c>
      <c r="B174" s="232">
        <v>42172</v>
      </c>
      <c r="C174" s="232" t="s">
        <v>135</v>
      </c>
      <c r="D174" s="231">
        <v>168</v>
      </c>
      <c r="E174" s="255">
        <v>29.849829</v>
      </c>
      <c r="F174" s="255">
        <v>14.656713999999999</v>
      </c>
      <c r="G174" s="255">
        <v>22.478272</v>
      </c>
      <c r="H174" s="255">
        <v>1.3</v>
      </c>
      <c r="I174" s="255">
        <v>6.4</v>
      </c>
      <c r="J174" s="255">
        <v>31.52</v>
      </c>
      <c r="K174" s="255">
        <v>17.675599999999999</v>
      </c>
      <c r="L174" s="255">
        <v>0</v>
      </c>
      <c r="M174" s="255">
        <v>0</v>
      </c>
      <c r="N174" s="231">
        <v>0.64032299999999998</v>
      </c>
      <c r="O174" s="231">
        <v>0.7</v>
      </c>
      <c r="P174" s="231">
        <v>0.15</v>
      </c>
      <c r="Q174" s="255">
        <v>1.1499999999999999</v>
      </c>
      <c r="R174" s="255">
        <v>1.2025380000000001</v>
      </c>
      <c r="S174" s="231">
        <v>0</v>
      </c>
      <c r="T174" s="231">
        <v>0.46128999999999998</v>
      </c>
      <c r="U174" s="231">
        <v>1</v>
      </c>
      <c r="V174" s="231">
        <v>0.53871000000000002</v>
      </c>
      <c r="W174" s="255">
        <v>20</v>
      </c>
      <c r="X174" s="231">
        <v>11.858765</v>
      </c>
      <c r="Y174" s="256">
        <v>9</v>
      </c>
      <c r="Z174" s="256">
        <v>0.111017</v>
      </c>
      <c r="AA174" s="256">
        <v>6.2414999999999998E-2</v>
      </c>
      <c r="AB174" s="256">
        <v>0</v>
      </c>
      <c r="AC174" s="256">
        <v>12.600275</v>
      </c>
      <c r="AD174" s="256">
        <v>0.70273799999999997</v>
      </c>
      <c r="AE174" s="231">
        <v>4.4975230000000002</v>
      </c>
      <c r="AF174" s="231">
        <v>0.35</v>
      </c>
      <c r="AG174" s="231">
        <v>0.55000000000000004</v>
      </c>
      <c r="AH174" s="231">
        <v>49</v>
      </c>
      <c r="AI174" s="231">
        <v>26.95</v>
      </c>
      <c r="AJ174" s="231">
        <v>0</v>
      </c>
      <c r="AK174" s="231"/>
      <c r="AL174" s="231">
        <v>0</v>
      </c>
      <c r="AM174" s="256">
        <v>0.77253700000000003</v>
      </c>
      <c r="AN174" s="256">
        <v>0.55708800000000003</v>
      </c>
      <c r="AO174" s="256">
        <v>3.5653649999999999</v>
      </c>
      <c r="AP174" s="256">
        <v>35.530920999999999</v>
      </c>
      <c r="AQ174" s="231">
        <v>46.163358000000002</v>
      </c>
      <c r="AR174" s="255">
        <v>373.1</v>
      </c>
      <c r="AS174" s="231">
        <v>0</v>
      </c>
      <c r="AT174" s="231"/>
      <c r="AU174" s="231"/>
      <c r="AV174" s="231"/>
      <c r="AW174" s="231"/>
      <c r="AX174" s="231"/>
      <c r="AY174" s="231"/>
      <c r="AZ174" s="231"/>
      <c r="BA174" s="116" t="s">
        <v>132</v>
      </c>
    </row>
    <row r="175" spans="1:53">
      <c r="A175" s="69" t="str">
        <f t="shared" si="2"/>
        <v>Final</v>
      </c>
      <c r="B175" s="232">
        <v>42173</v>
      </c>
      <c r="C175" s="232" t="s">
        <v>135</v>
      </c>
      <c r="D175" s="231">
        <v>169</v>
      </c>
      <c r="E175" s="255">
        <v>31.001031999999999</v>
      </c>
      <c r="F175" s="255">
        <v>12.422582999999999</v>
      </c>
      <c r="G175" s="255">
        <v>21.786808000000001</v>
      </c>
      <c r="H175" s="255">
        <v>1.4</v>
      </c>
      <c r="I175" s="255">
        <v>6.25</v>
      </c>
      <c r="J175" s="255">
        <v>31.17</v>
      </c>
      <c r="K175" s="255">
        <v>18.9419</v>
      </c>
      <c r="L175" s="255">
        <v>0</v>
      </c>
      <c r="M175" s="255">
        <v>0</v>
      </c>
      <c r="N175" s="231">
        <v>0.60967700000000002</v>
      </c>
      <c r="O175" s="231">
        <v>0.7</v>
      </c>
      <c r="P175" s="231">
        <v>0.15</v>
      </c>
      <c r="Q175" s="255">
        <v>1.1000000000000001</v>
      </c>
      <c r="R175" s="255">
        <v>1.1518489999999999</v>
      </c>
      <c r="S175" s="231">
        <v>9.4</v>
      </c>
      <c r="T175" s="231">
        <v>0.43870999999999999</v>
      </c>
      <c r="U175" s="231">
        <v>1</v>
      </c>
      <c r="V175" s="231">
        <v>0.56128999999999996</v>
      </c>
      <c r="W175" s="255">
        <v>20</v>
      </c>
      <c r="X175" s="231">
        <v>4.6102749999999997</v>
      </c>
      <c r="Y175" s="256">
        <v>9</v>
      </c>
      <c r="Z175" s="256">
        <v>0.10090499999999999</v>
      </c>
      <c r="AA175" s="256">
        <v>5.4708E-2</v>
      </c>
      <c r="AB175" s="256">
        <v>0</v>
      </c>
      <c r="AC175" s="256">
        <v>5.2194520000000004</v>
      </c>
      <c r="AD175" s="256">
        <v>0.664385</v>
      </c>
      <c r="AE175" s="231">
        <v>4.1524089999999996</v>
      </c>
      <c r="AF175" s="231">
        <v>0.35</v>
      </c>
      <c r="AG175" s="231">
        <v>0.55000000000000004</v>
      </c>
      <c r="AH175" s="231">
        <v>49</v>
      </c>
      <c r="AI175" s="231">
        <v>26.95</v>
      </c>
      <c r="AJ175" s="231">
        <v>7.99</v>
      </c>
      <c r="AK175" s="231">
        <v>9.4</v>
      </c>
      <c r="AL175" s="231">
        <v>0</v>
      </c>
      <c r="AM175" s="256">
        <v>0.61084300000000002</v>
      </c>
      <c r="AN175" s="256">
        <v>0.42712499999999998</v>
      </c>
      <c r="AO175" s="256">
        <v>2.6695310000000001</v>
      </c>
      <c r="AP175" s="256">
        <v>30.210452</v>
      </c>
      <c r="AQ175" s="231">
        <v>50.315767000000001</v>
      </c>
      <c r="AR175" s="255">
        <v>382.5</v>
      </c>
      <c r="AS175" s="231">
        <v>0</v>
      </c>
      <c r="AT175" s="231"/>
      <c r="AU175" s="231"/>
      <c r="AV175" s="231"/>
      <c r="AW175" s="231"/>
      <c r="AX175" s="231"/>
      <c r="AY175" s="231"/>
      <c r="AZ175" s="231"/>
      <c r="BA175" s="116" t="s">
        <v>132</v>
      </c>
    </row>
    <row r="176" spans="1:53">
      <c r="A176" s="69" t="str">
        <f t="shared" si="2"/>
        <v>Final</v>
      </c>
      <c r="B176" s="232">
        <v>42174</v>
      </c>
      <c r="C176" s="232" t="s">
        <v>135</v>
      </c>
      <c r="D176" s="231">
        <v>170</v>
      </c>
      <c r="E176" s="255">
        <v>29.527394999999999</v>
      </c>
      <c r="F176" s="255">
        <v>14.689786</v>
      </c>
      <c r="G176" s="255">
        <v>22.333590000000001</v>
      </c>
      <c r="H176" s="255">
        <v>3.6</v>
      </c>
      <c r="I176" s="255">
        <v>6.75</v>
      </c>
      <c r="J176" s="255">
        <v>31.43</v>
      </c>
      <c r="K176" s="255">
        <v>23.89875</v>
      </c>
      <c r="L176" s="255">
        <v>0</v>
      </c>
      <c r="M176" s="255">
        <v>0</v>
      </c>
      <c r="N176" s="231">
        <v>0.57903199999999999</v>
      </c>
      <c r="O176" s="231">
        <v>0.7</v>
      </c>
      <c r="P176" s="231">
        <v>0.15</v>
      </c>
      <c r="Q176" s="255">
        <v>1.1000000000000001</v>
      </c>
      <c r="R176" s="255">
        <v>1.195905</v>
      </c>
      <c r="S176" s="231">
        <v>0</v>
      </c>
      <c r="T176" s="231">
        <v>0.41612900000000003</v>
      </c>
      <c r="U176" s="231">
        <v>1</v>
      </c>
      <c r="V176" s="231">
        <v>0.58387100000000003</v>
      </c>
      <c r="W176" s="255">
        <v>20</v>
      </c>
      <c r="X176" s="231">
        <v>5.2194520000000004</v>
      </c>
      <c r="Y176" s="256">
        <v>9</v>
      </c>
      <c r="Z176" s="256">
        <v>1</v>
      </c>
      <c r="AA176" s="256">
        <v>0.616873</v>
      </c>
      <c r="AB176" s="256">
        <v>0</v>
      </c>
      <c r="AC176" s="256">
        <v>12.350979000000001</v>
      </c>
      <c r="AD176" s="256">
        <v>1.195905</v>
      </c>
      <c r="AE176" s="231">
        <v>8.0723590000000005</v>
      </c>
      <c r="AF176" s="231">
        <v>0.35</v>
      </c>
      <c r="AG176" s="231">
        <v>0.55000000000000004</v>
      </c>
      <c r="AH176" s="231">
        <v>49</v>
      </c>
      <c r="AI176" s="231">
        <v>26.95</v>
      </c>
      <c r="AJ176" s="231">
        <v>0</v>
      </c>
      <c r="AK176" s="231"/>
      <c r="AL176" s="231">
        <v>0</v>
      </c>
      <c r="AM176" s="256">
        <v>0.85213399999999995</v>
      </c>
      <c r="AN176" s="256">
        <v>1.1102860000000001</v>
      </c>
      <c r="AO176" s="256">
        <v>7.4944290000000002</v>
      </c>
      <c r="AP176" s="256">
        <v>37.704881</v>
      </c>
      <c r="AQ176" s="231">
        <v>58.388126</v>
      </c>
      <c r="AR176" s="255">
        <v>382.5</v>
      </c>
      <c r="AS176" s="231">
        <v>0</v>
      </c>
      <c r="AT176" s="231"/>
      <c r="AU176" s="231"/>
      <c r="AV176" s="231"/>
      <c r="AW176" s="231"/>
      <c r="AX176" s="231"/>
      <c r="AY176" s="231"/>
      <c r="AZ176" s="231"/>
      <c r="BA176" s="116" t="s">
        <v>132</v>
      </c>
    </row>
    <row r="177" spans="1:53">
      <c r="A177" s="69" t="str">
        <f t="shared" si="2"/>
        <v>Final</v>
      </c>
      <c r="B177" s="232">
        <v>42175</v>
      </c>
      <c r="C177" s="232" t="s">
        <v>135</v>
      </c>
      <c r="D177" s="231">
        <v>171</v>
      </c>
      <c r="E177" s="255">
        <v>31.273731000000002</v>
      </c>
      <c r="F177" s="255">
        <v>13.370336999999999</v>
      </c>
      <c r="G177" s="255">
        <v>22.722034000000001</v>
      </c>
      <c r="H177" s="255">
        <v>2.7</v>
      </c>
      <c r="I177" s="255">
        <v>6.7</v>
      </c>
      <c r="J177" s="255">
        <v>31.34</v>
      </c>
      <c r="K177" s="255">
        <v>19.919750000000001</v>
      </c>
      <c r="L177" s="255">
        <v>0</v>
      </c>
      <c r="M177" s="255">
        <v>0</v>
      </c>
      <c r="N177" s="231">
        <v>0.54838699999999996</v>
      </c>
      <c r="O177" s="231">
        <v>0.7</v>
      </c>
      <c r="P177" s="231">
        <v>0.15</v>
      </c>
      <c r="Q177" s="255">
        <v>1.1000000000000001</v>
      </c>
      <c r="R177" s="255">
        <v>1.1829259999999999</v>
      </c>
      <c r="S177" s="231">
        <v>8.4</v>
      </c>
      <c r="T177" s="231">
        <v>0.39354800000000001</v>
      </c>
      <c r="U177" s="231">
        <v>1</v>
      </c>
      <c r="V177" s="231">
        <v>0.60645199999999999</v>
      </c>
      <c r="W177" s="255">
        <v>20</v>
      </c>
      <c r="X177" s="231">
        <v>5.210979</v>
      </c>
      <c r="Y177" s="256">
        <v>9</v>
      </c>
      <c r="Z177" s="256">
        <v>0.10430499999999999</v>
      </c>
      <c r="AA177" s="256">
        <v>6.6184999999999994E-2</v>
      </c>
      <c r="AB177" s="256">
        <v>0</v>
      </c>
      <c r="AC177" s="256">
        <v>5.9421869999999997</v>
      </c>
      <c r="AD177" s="256">
        <v>0.61457300000000004</v>
      </c>
      <c r="AE177" s="231">
        <v>4.1176360000000001</v>
      </c>
      <c r="AF177" s="231">
        <v>0.35</v>
      </c>
      <c r="AG177" s="231">
        <v>0.55000000000000004</v>
      </c>
      <c r="AH177" s="231">
        <v>49</v>
      </c>
      <c r="AI177" s="231">
        <v>26.95</v>
      </c>
      <c r="AJ177" s="231">
        <v>7.14</v>
      </c>
      <c r="AK177" s="231">
        <v>8.4</v>
      </c>
      <c r="AL177" s="231">
        <v>0</v>
      </c>
      <c r="AM177" s="256">
        <v>0.51224999999999998</v>
      </c>
      <c r="AN177" s="256">
        <v>0.34709699999999999</v>
      </c>
      <c r="AO177" s="256">
        <v>2.3255490000000001</v>
      </c>
      <c r="AP177" s="256">
        <v>32.890430000000002</v>
      </c>
      <c r="AQ177" s="231">
        <v>0</v>
      </c>
      <c r="AR177" s="255">
        <v>390.9</v>
      </c>
      <c r="AS177" s="231">
        <v>0</v>
      </c>
      <c r="AT177" s="231"/>
      <c r="AU177" s="231"/>
      <c r="AV177" s="231"/>
      <c r="AW177" s="231"/>
      <c r="AX177" s="231"/>
      <c r="AY177" s="231"/>
      <c r="AZ177" s="231"/>
      <c r="BA177" s="116" t="s">
        <v>132</v>
      </c>
    </row>
    <row r="178" spans="1:53">
      <c r="A178" s="69" t="str">
        <f t="shared" si="2"/>
        <v>Final</v>
      </c>
      <c r="B178" s="232">
        <v>42176</v>
      </c>
      <c r="C178" s="232" t="s">
        <v>135</v>
      </c>
      <c r="D178" s="231">
        <v>172</v>
      </c>
      <c r="E178" s="255">
        <v>32.737524999999998</v>
      </c>
      <c r="F178" s="255">
        <v>13.473388999999999</v>
      </c>
      <c r="G178" s="255">
        <v>23.355457000000001</v>
      </c>
      <c r="H178" s="255">
        <v>2</v>
      </c>
      <c r="I178" s="255">
        <v>6.75</v>
      </c>
      <c r="J178" s="255">
        <v>31.59</v>
      </c>
      <c r="K178" s="255">
        <v>15.89395</v>
      </c>
      <c r="L178" s="255">
        <v>0</v>
      </c>
      <c r="M178" s="255">
        <v>0</v>
      </c>
      <c r="N178" s="231">
        <v>0.51774200000000004</v>
      </c>
      <c r="O178" s="231">
        <v>0.7</v>
      </c>
      <c r="P178" s="231">
        <v>0.15</v>
      </c>
      <c r="Q178" s="255">
        <v>1.1000000000000001</v>
      </c>
      <c r="R178" s="255">
        <v>1.175238</v>
      </c>
      <c r="S178" s="231">
        <v>0</v>
      </c>
      <c r="T178" s="231">
        <v>0.37096800000000002</v>
      </c>
      <c r="U178" s="231">
        <v>1</v>
      </c>
      <c r="V178" s="231">
        <v>0.62903200000000004</v>
      </c>
      <c r="W178" s="255">
        <v>20</v>
      </c>
      <c r="X178" s="231">
        <v>5.9421869999999997</v>
      </c>
      <c r="Y178" s="256">
        <v>9</v>
      </c>
      <c r="Z178" s="256">
        <v>1</v>
      </c>
      <c r="AA178" s="256">
        <v>0.65749599999999997</v>
      </c>
      <c r="AB178" s="256">
        <v>0</v>
      </c>
      <c r="AC178" s="256">
        <v>12.997624</v>
      </c>
      <c r="AD178" s="256">
        <v>1.175238</v>
      </c>
      <c r="AE178" s="231">
        <v>7.932855</v>
      </c>
      <c r="AF178" s="231">
        <v>0.35</v>
      </c>
      <c r="AG178" s="231">
        <v>0.55000000000000004</v>
      </c>
      <c r="AH178" s="231">
        <v>49</v>
      </c>
      <c r="AI178" s="231">
        <v>26.95</v>
      </c>
      <c r="AJ178" s="231">
        <v>0</v>
      </c>
      <c r="AK178" s="231"/>
      <c r="AL178" s="231">
        <v>0</v>
      </c>
      <c r="AM178" s="256">
        <v>0.73059300000000005</v>
      </c>
      <c r="AN178" s="256">
        <v>1.0357540000000001</v>
      </c>
      <c r="AO178" s="256">
        <v>6.9913420000000004</v>
      </c>
      <c r="AP178" s="256">
        <v>39.881771999999998</v>
      </c>
      <c r="AQ178" s="231">
        <v>7.932855</v>
      </c>
      <c r="AR178" s="255">
        <v>390.9</v>
      </c>
      <c r="AS178" s="231">
        <v>0</v>
      </c>
      <c r="AT178" s="231"/>
      <c r="AU178" s="231"/>
      <c r="AV178" s="231"/>
      <c r="AW178" s="231"/>
      <c r="AX178" s="231"/>
      <c r="AY178" s="231"/>
      <c r="AZ178" s="231"/>
      <c r="BA178" s="116" t="s">
        <v>132</v>
      </c>
    </row>
    <row r="179" spans="1:53">
      <c r="A179" s="69" t="str">
        <f t="shared" si="2"/>
        <v>Final</v>
      </c>
      <c r="B179" s="232">
        <v>42177</v>
      </c>
      <c r="C179" s="232" t="s">
        <v>135</v>
      </c>
      <c r="D179" s="231">
        <v>173</v>
      </c>
      <c r="E179" s="255">
        <v>32.636068999999999</v>
      </c>
      <c r="F179" s="255">
        <v>14.623094999999999</v>
      </c>
      <c r="G179" s="255">
        <v>24.404582000000001</v>
      </c>
      <c r="H179" s="255">
        <v>2.1</v>
      </c>
      <c r="I179" s="255">
        <v>7.7</v>
      </c>
      <c r="J179" s="255">
        <v>31.37</v>
      </c>
      <c r="K179" s="255">
        <v>22.016349999999999</v>
      </c>
      <c r="L179" s="255">
        <v>0</v>
      </c>
      <c r="M179" s="255">
        <v>0</v>
      </c>
      <c r="N179" s="231">
        <v>0.487097</v>
      </c>
      <c r="O179" s="231">
        <v>0.7</v>
      </c>
      <c r="P179" s="231">
        <v>0.15</v>
      </c>
      <c r="Q179" s="255">
        <v>1.1000000000000001</v>
      </c>
      <c r="R179" s="255">
        <v>1.1619969999999999</v>
      </c>
      <c r="S179" s="231">
        <v>12.6</v>
      </c>
      <c r="T179" s="231">
        <v>0.348387</v>
      </c>
      <c r="U179" s="231">
        <v>1</v>
      </c>
      <c r="V179" s="231">
        <v>0.651613</v>
      </c>
      <c r="W179" s="255">
        <v>20</v>
      </c>
      <c r="X179" s="231">
        <v>2.2876240000000001</v>
      </c>
      <c r="Y179" s="256">
        <v>9</v>
      </c>
      <c r="Z179" s="256">
        <v>9.5487000000000002E-2</v>
      </c>
      <c r="AA179" s="256">
        <v>6.4444000000000001E-2</v>
      </c>
      <c r="AB179" s="256">
        <v>0</v>
      </c>
      <c r="AC179" s="256">
        <v>3.04915</v>
      </c>
      <c r="AD179" s="256">
        <v>0.55154099999999995</v>
      </c>
      <c r="AE179" s="231">
        <v>4.2468649999999997</v>
      </c>
      <c r="AF179" s="231">
        <v>0.35</v>
      </c>
      <c r="AG179" s="231">
        <v>0.55000000000000004</v>
      </c>
      <c r="AH179" s="231">
        <v>49</v>
      </c>
      <c r="AI179" s="231">
        <v>26.95</v>
      </c>
      <c r="AJ179" s="231">
        <v>10.71</v>
      </c>
      <c r="AK179" s="231">
        <v>12.6</v>
      </c>
      <c r="AL179" s="231">
        <v>0</v>
      </c>
      <c r="AM179" s="256">
        <v>0.41352499999999998</v>
      </c>
      <c r="AN179" s="256">
        <v>0.26587100000000002</v>
      </c>
      <c r="AO179" s="256">
        <v>2.0472060000000001</v>
      </c>
      <c r="AP179" s="256">
        <v>31.218978</v>
      </c>
      <c r="AQ179" s="231">
        <v>12.17972</v>
      </c>
      <c r="AR179" s="255">
        <v>403.5</v>
      </c>
      <c r="AS179" s="231">
        <v>0</v>
      </c>
      <c r="AT179" s="231"/>
      <c r="AU179" s="231"/>
      <c r="AV179" s="231"/>
      <c r="AW179" s="231"/>
      <c r="AX179" s="231"/>
      <c r="AY179" s="231"/>
      <c r="AZ179" s="231"/>
      <c r="BA179" s="116" t="s">
        <v>132</v>
      </c>
    </row>
    <row r="180" spans="1:53">
      <c r="A180" s="69" t="str">
        <f t="shared" si="2"/>
        <v>Final</v>
      </c>
      <c r="B180" s="232">
        <v>42178</v>
      </c>
      <c r="C180" s="232" t="s">
        <v>135</v>
      </c>
      <c r="D180" s="231">
        <v>174</v>
      </c>
      <c r="E180" s="255">
        <v>32.462651999999999</v>
      </c>
      <c r="F180" s="255">
        <v>16.061878</v>
      </c>
      <c r="G180" s="255">
        <v>24.512264999999999</v>
      </c>
      <c r="H180" s="255">
        <v>2.9</v>
      </c>
      <c r="I180" s="255">
        <v>8.15</v>
      </c>
      <c r="J180" s="255">
        <v>30.83</v>
      </c>
      <c r="K180" s="255">
        <v>22.677949999999999</v>
      </c>
      <c r="L180" s="255">
        <v>0</v>
      </c>
      <c r="M180" s="255">
        <v>0</v>
      </c>
      <c r="N180" s="231">
        <v>0.45645200000000002</v>
      </c>
      <c r="O180" s="231">
        <v>0.7</v>
      </c>
      <c r="P180" s="231">
        <v>0.15</v>
      </c>
      <c r="Q180" s="255">
        <v>1.1000000000000001</v>
      </c>
      <c r="R180" s="255">
        <v>1.180966</v>
      </c>
      <c r="S180" s="231">
        <v>0</v>
      </c>
      <c r="T180" s="231">
        <v>0.32580599999999998</v>
      </c>
      <c r="U180" s="231">
        <v>1</v>
      </c>
      <c r="V180" s="231">
        <v>0.67419399999999996</v>
      </c>
      <c r="W180" s="255">
        <v>20</v>
      </c>
      <c r="X180" s="231">
        <v>3.04915</v>
      </c>
      <c r="Y180" s="256">
        <v>9</v>
      </c>
      <c r="Z180" s="256">
        <v>1</v>
      </c>
      <c r="AA180" s="256">
        <v>0.72451399999999999</v>
      </c>
      <c r="AB180" s="256">
        <v>0</v>
      </c>
      <c r="AC180" s="256">
        <v>11.807454999999999</v>
      </c>
      <c r="AD180" s="256">
        <v>1.180966</v>
      </c>
      <c r="AE180" s="231">
        <v>9.6248740000000002</v>
      </c>
      <c r="AF180" s="231">
        <v>0.35</v>
      </c>
      <c r="AG180" s="231">
        <v>0.55000000000000004</v>
      </c>
      <c r="AH180" s="231">
        <v>49</v>
      </c>
      <c r="AI180" s="231">
        <v>26.95</v>
      </c>
      <c r="AJ180" s="231">
        <v>0</v>
      </c>
      <c r="AK180" s="231"/>
      <c r="AL180" s="231">
        <v>0</v>
      </c>
      <c r="AM180" s="256">
        <v>0.806396</v>
      </c>
      <c r="AN180" s="256">
        <v>1.092595</v>
      </c>
      <c r="AO180" s="256">
        <v>8.9046500000000002</v>
      </c>
      <c r="AP180" s="256">
        <v>40.123626999999999</v>
      </c>
      <c r="AQ180" s="231">
        <v>21.804594000000002</v>
      </c>
      <c r="AR180" s="255">
        <v>403.5</v>
      </c>
      <c r="AS180" s="231">
        <v>0</v>
      </c>
      <c r="AT180" s="231"/>
      <c r="AU180" s="231"/>
      <c r="AV180" s="231"/>
      <c r="AW180" s="231"/>
      <c r="AX180" s="231"/>
      <c r="AY180" s="231"/>
      <c r="AZ180" s="231"/>
      <c r="BA180" s="116" t="s">
        <v>132</v>
      </c>
    </row>
    <row r="181" spans="1:53">
      <c r="A181" s="69" t="str">
        <f t="shared" si="2"/>
        <v>Final</v>
      </c>
      <c r="B181" s="232">
        <v>42179</v>
      </c>
      <c r="C181" s="232" t="s">
        <v>135</v>
      </c>
      <c r="D181" s="231">
        <v>175</v>
      </c>
      <c r="E181" s="255">
        <v>34.561864999999997</v>
      </c>
      <c r="F181" s="255">
        <v>16.614820000000002</v>
      </c>
      <c r="G181" s="255">
        <v>25.538342</v>
      </c>
      <c r="H181" s="255">
        <v>2.2000000000000002</v>
      </c>
      <c r="I181" s="255">
        <v>7.25</v>
      </c>
      <c r="J181" s="255">
        <v>30.08</v>
      </c>
      <c r="K181" s="255">
        <v>18.207850000000001</v>
      </c>
      <c r="L181" s="255">
        <v>0</v>
      </c>
      <c r="M181" s="255">
        <v>0</v>
      </c>
      <c r="N181" s="231">
        <v>0.42580600000000002</v>
      </c>
      <c r="O181" s="231">
        <v>0.7</v>
      </c>
      <c r="P181" s="231">
        <v>0.15</v>
      </c>
      <c r="Q181" s="255">
        <v>1.1499999999999999</v>
      </c>
      <c r="R181" s="255">
        <v>1.224426</v>
      </c>
      <c r="S181" s="231">
        <v>0</v>
      </c>
      <c r="T181" s="231">
        <v>0.303226</v>
      </c>
      <c r="U181" s="231">
        <v>1</v>
      </c>
      <c r="V181" s="231">
        <v>0.696774</v>
      </c>
      <c r="W181" s="255">
        <v>20</v>
      </c>
      <c r="X181" s="231">
        <v>11.807454999999999</v>
      </c>
      <c r="Y181" s="256">
        <v>9</v>
      </c>
      <c r="Z181" s="256">
        <v>0.111717</v>
      </c>
      <c r="AA181" s="256">
        <v>8.9219000000000007E-2</v>
      </c>
      <c r="AB181" s="256">
        <v>0</v>
      </c>
      <c r="AC181" s="256">
        <v>12.735787</v>
      </c>
      <c r="AD181" s="256">
        <v>0.51502499999999996</v>
      </c>
      <c r="AE181" s="231">
        <v>3.7339349999999998</v>
      </c>
      <c r="AF181" s="231">
        <v>0.35</v>
      </c>
      <c r="AG181" s="231">
        <v>0.55000000000000004</v>
      </c>
      <c r="AH181" s="231">
        <v>49</v>
      </c>
      <c r="AI181" s="231">
        <v>26.95</v>
      </c>
      <c r="AJ181" s="231">
        <v>0</v>
      </c>
      <c r="AK181" s="231"/>
      <c r="AL181" s="231">
        <v>0</v>
      </c>
      <c r="AM181" s="256">
        <v>0.402557</v>
      </c>
      <c r="AN181" s="256">
        <v>0.26062999999999997</v>
      </c>
      <c r="AO181" s="256">
        <v>1.8895690000000001</v>
      </c>
      <c r="AP181" s="256">
        <v>42.013196999999998</v>
      </c>
      <c r="AQ181" s="231">
        <v>25.538529</v>
      </c>
      <c r="AR181" s="255">
        <v>403.5</v>
      </c>
      <c r="AS181" s="231">
        <v>0</v>
      </c>
      <c r="AT181" s="231"/>
      <c r="AU181" s="231"/>
      <c r="AV181" s="231"/>
      <c r="AW181" s="231"/>
      <c r="AX181" s="231"/>
      <c r="AY181" s="231"/>
      <c r="AZ181" s="231"/>
      <c r="BA181" s="116" t="s">
        <v>132</v>
      </c>
    </row>
    <row r="182" spans="1:53">
      <c r="A182" s="69" t="str">
        <f t="shared" si="2"/>
        <v>Final</v>
      </c>
      <c r="B182" s="232">
        <v>42180</v>
      </c>
      <c r="C182" s="232" t="s">
        <v>135</v>
      </c>
      <c r="D182" s="231">
        <v>176</v>
      </c>
      <c r="E182" s="255">
        <v>34.509545000000003</v>
      </c>
      <c r="F182" s="255">
        <v>16.638210999999998</v>
      </c>
      <c r="G182" s="255">
        <v>25.323878000000001</v>
      </c>
      <c r="H182" s="255">
        <v>2.5</v>
      </c>
      <c r="I182" s="255">
        <v>7.95</v>
      </c>
      <c r="J182" s="255">
        <v>29.35</v>
      </c>
      <c r="K182" s="255">
        <v>21.435500000000001</v>
      </c>
      <c r="L182" s="255">
        <v>0</v>
      </c>
      <c r="M182" s="255">
        <v>0</v>
      </c>
      <c r="N182" s="231">
        <v>0.39516099999999998</v>
      </c>
      <c r="O182" s="231">
        <v>0.7</v>
      </c>
      <c r="P182" s="231">
        <v>0.15</v>
      </c>
      <c r="Q182" s="255">
        <v>1.1000000000000001</v>
      </c>
      <c r="R182" s="255">
        <v>1.1738379999999999</v>
      </c>
      <c r="S182" s="231">
        <v>9.4</v>
      </c>
      <c r="T182" s="231">
        <v>0.28064499999999998</v>
      </c>
      <c r="U182" s="231">
        <v>1</v>
      </c>
      <c r="V182" s="231">
        <v>0.71935499999999997</v>
      </c>
      <c r="W182" s="255">
        <v>20</v>
      </c>
      <c r="X182" s="231">
        <v>4.745787</v>
      </c>
      <c r="Y182" s="256">
        <v>9</v>
      </c>
      <c r="Z182" s="256">
        <v>9.9057000000000006E-2</v>
      </c>
      <c r="AA182" s="256">
        <v>7.7133999999999994E-2</v>
      </c>
      <c r="AB182" s="256">
        <v>0</v>
      </c>
      <c r="AC182" s="256">
        <v>5.598236</v>
      </c>
      <c r="AD182" s="256">
        <v>0.47229500000000002</v>
      </c>
      <c r="AE182" s="231">
        <v>3.7547450000000002</v>
      </c>
      <c r="AF182" s="231">
        <v>0.35</v>
      </c>
      <c r="AG182" s="231">
        <v>0.55000000000000004</v>
      </c>
      <c r="AH182" s="231">
        <v>49</v>
      </c>
      <c r="AI182" s="231">
        <v>26.95</v>
      </c>
      <c r="AJ182" s="231">
        <v>7.99</v>
      </c>
      <c r="AK182" s="231">
        <v>9.4</v>
      </c>
      <c r="AL182" s="231">
        <v>0</v>
      </c>
      <c r="AM182" s="256">
        <v>0.31686199999999998</v>
      </c>
      <c r="AN182" s="256">
        <v>0.202345</v>
      </c>
      <c r="AO182" s="256">
        <v>1.6086450000000001</v>
      </c>
      <c r="AP182" s="256">
        <v>35.631841000000001</v>
      </c>
      <c r="AQ182" s="231">
        <v>29.293274</v>
      </c>
      <c r="AR182" s="255">
        <v>412.9</v>
      </c>
      <c r="AS182" s="231">
        <v>0</v>
      </c>
      <c r="AT182" s="231"/>
      <c r="AU182" s="231"/>
      <c r="AV182" s="231"/>
      <c r="AW182" s="231"/>
      <c r="AX182" s="231"/>
      <c r="AY182" s="231"/>
      <c r="AZ182" s="231"/>
      <c r="BA182" s="116" t="s">
        <v>132</v>
      </c>
    </row>
    <row r="183" spans="1:53">
      <c r="A183" s="69" t="str">
        <f t="shared" si="2"/>
        <v>Final</v>
      </c>
      <c r="B183" s="232">
        <v>42181</v>
      </c>
      <c r="C183" s="232" t="s">
        <v>135</v>
      </c>
      <c r="D183" s="231">
        <v>177</v>
      </c>
      <c r="E183" s="255">
        <v>33.227843</v>
      </c>
      <c r="F183" s="255">
        <v>17.349551999999999</v>
      </c>
      <c r="G183" s="255">
        <v>25.088698000000001</v>
      </c>
      <c r="H183" s="255">
        <v>2.6</v>
      </c>
      <c r="I183" s="255">
        <v>7.5</v>
      </c>
      <c r="J183" s="255">
        <v>28.06</v>
      </c>
      <c r="K183" s="255">
        <v>22.9299</v>
      </c>
      <c r="L183" s="255">
        <v>0</v>
      </c>
      <c r="M183" s="255">
        <v>0</v>
      </c>
      <c r="N183" s="231">
        <v>0.36451600000000001</v>
      </c>
      <c r="O183" s="231">
        <v>0.7</v>
      </c>
      <c r="P183" s="231">
        <v>0.15</v>
      </c>
      <c r="Q183" s="255">
        <v>1.1000000000000001</v>
      </c>
      <c r="R183" s="255">
        <v>1.17256</v>
      </c>
      <c r="S183" s="231">
        <v>0</v>
      </c>
      <c r="T183" s="231">
        <v>0.25806499999999999</v>
      </c>
      <c r="U183" s="231">
        <v>1</v>
      </c>
      <c r="V183" s="231">
        <v>0.74193500000000001</v>
      </c>
      <c r="W183" s="255">
        <v>20</v>
      </c>
      <c r="X183" s="231">
        <v>5.598236</v>
      </c>
      <c r="Y183" s="256">
        <v>9</v>
      </c>
      <c r="Z183" s="256">
        <v>1</v>
      </c>
      <c r="AA183" s="256">
        <v>0.80804399999999998</v>
      </c>
      <c r="AB183" s="256">
        <v>0</v>
      </c>
      <c r="AC183" s="256">
        <v>13.766505</v>
      </c>
      <c r="AD183" s="256">
        <v>1.17256</v>
      </c>
      <c r="AE183" s="231">
        <v>8.7942</v>
      </c>
      <c r="AF183" s="231">
        <v>0.35</v>
      </c>
      <c r="AG183" s="231">
        <v>0.55000000000000004</v>
      </c>
      <c r="AH183" s="231">
        <v>49</v>
      </c>
      <c r="AI183" s="231">
        <v>26.95</v>
      </c>
      <c r="AJ183" s="231">
        <v>0</v>
      </c>
      <c r="AK183" s="231"/>
      <c r="AL183" s="231">
        <v>0</v>
      </c>
      <c r="AM183" s="256">
        <v>0.60626599999999997</v>
      </c>
      <c r="AN183" s="256">
        <v>1.029037</v>
      </c>
      <c r="AO183" s="256">
        <v>7.7177809999999996</v>
      </c>
      <c r="AP183" s="256">
        <v>43.349621999999997</v>
      </c>
      <c r="AQ183" s="231">
        <v>38.087474</v>
      </c>
      <c r="AR183" s="255">
        <v>412.9</v>
      </c>
      <c r="AS183" s="231">
        <v>0</v>
      </c>
      <c r="AT183" s="231"/>
      <c r="AU183" s="231"/>
      <c r="AV183" s="231"/>
      <c r="AW183" s="231"/>
      <c r="AX183" s="231"/>
      <c r="AY183" s="231"/>
      <c r="AZ183" s="231"/>
      <c r="BA183" s="116" t="s">
        <v>132</v>
      </c>
    </row>
    <row r="184" spans="1:53">
      <c r="A184" s="69" t="str">
        <f t="shared" si="2"/>
        <v>Final</v>
      </c>
      <c r="B184" s="232">
        <v>42182</v>
      </c>
      <c r="C184" s="232" t="s">
        <v>135</v>
      </c>
      <c r="D184" s="231">
        <v>178</v>
      </c>
      <c r="E184" s="255">
        <v>33.058081000000001</v>
      </c>
      <c r="F184" s="255">
        <v>17.462572999999999</v>
      </c>
      <c r="G184" s="255">
        <v>25.385327</v>
      </c>
      <c r="H184" s="255">
        <v>2.4</v>
      </c>
      <c r="I184" s="255">
        <v>7.2</v>
      </c>
      <c r="J184" s="255">
        <v>29.32</v>
      </c>
      <c r="K184" s="255">
        <v>21.536799999999999</v>
      </c>
      <c r="L184" s="255">
        <v>0</v>
      </c>
      <c r="M184" s="255">
        <v>0</v>
      </c>
      <c r="N184" s="231">
        <v>0.33387099999999997</v>
      </c>
      <c r="O184" s="231">
        <v>0.7</v>
      </c>
      <c r="P184" s="231">
        <v>0.15</v>
      </c>
      <c r="Q184" s="255">
        <v>1.1499999999999999</v>
      </c>
      <c r="R184" s="255">
        <v>1.2209909999999999</v>
      </c>
      <c r="S184" s="231">
        <v>0</v>
      </c>
      <c r="T184" s="231">
        <v>0.235484</v>
      </c>
      <c r="U184" s="231">
        <v>1</v>
      </c>
      <c r="V184" s="231">
        <v>0.76451599999999997</v>
      </c>
      <c r="W184" s="255">
        <v>20</v>
      </c>
      <c r="X184" s="231">
        <v>13.766505</v>
      </c>
      <c r="Y184" s="256">
        <v>9</v>
      </c>
      <c r="Z184" s="256">
        <v>8.5001999999999994E-2</v>
      </c>
      <c r="AA184" s="256">
        <v>7.5407000000000002E-2</v>
      </c>
      <c r="AB184" s="256">
        <v>0</v>
      </c>
      <c r="AC184" s="256">
        <v>14.476668999999999</v>
      </c>
      <c r="AD184" s="256">
        <v>0.40927799999999998</v>
      </c>
      <c r="AE184" s="231">
        <v>2.9468030000000001</v>
      </c>
      <c r="AF184" s="231">
        <v>0.35</v>
      </c>
      <c r="AG184" s="231">
        <v>0.55000000000000004</v>
      </c>
      <c r="AH184" s="231">
        <v>49</v>
      </c>
      <c r="AI184" s="231">
        <v>26.95</v>
      </c>
      <c r="AJ184" s="231">
        <v>0</v>
      </c>
      <c r="AK184" s="231"/>
      <c r="AL184" s="231">
        <v>0</v>
      </c>
      <c r="AM184" s="256">
        <v>0.25625300000000001</v>
      </c>
      <c r="AN184" s="256">
        <v>0.16096299999999999</v>
      </c>
      <c r="AO184" s="256">
        <v>1.1589309999999999</v>
      </c>
      <c r="AP184" s="256">
        <v>44.508552999999999</v>
      </c>
      <c r="AQ184" s="231">
        <v>41.034275999999998</v>
      </c>
      <c r="AR184" s="255">
        <v>412.9</v>
      </c>
      <c r="AS184" s="231">
        <v>0</v>
      </c>
      <c r="AT184" s="231"/>
      <c r="AU184" s="231"/>
      <c r="AV184" s="231"/>
      <c r="AW184" s="231"/>
      <c r="AX184" s="231"/>
      <c r="AY184" s="231"/>
      <c r="AZ184" s="231"/>
      <c r="BA184" s="116" t="s">
        <v>132</v>
      </c>
    </row>
    <row r="185" spans="1:53">
      <c r="A185" s="69" t="str">
        <f t="shared" si="2"/>
        <v>Final</v>
      </c>
      <c r="B185" s="232">
        <v>42183</v>
      </c>
      <c r="C185" s="232" t="s">
        <v>135</v>
      </c>
      <c r="D185" s="231">
        <v>179</v>
      </c>
      <c r="E185" s="255">
        <v>33.580176000000002</v>
      </c>
      <c r="F185" s="255">
        <v>16.057154000000001</v>
      </c>
      <c r="G185" s="255">
        <v>24.893664999999999</v>
      </c>
      <c r="H185" s="255">
        <v>1.6</v>
      </c>
      <c r="I185" s="255">
        <v>6.5</v>
      </c>
      <c r="J185" s="255">
        <v>25.57</v>
      </c>
      <c r="K185" s="255">
        <v>20.092300000000002</v>
      </c>
      <c r="L185" s="255">
        <v>0</v>
      </c>
      <c r="M185" s="255">
        <v>0</v>
      </c>
      <c r="N185" s="231">
        <v>0.303226</v>
      </c>
      <c r="O185" s="231">
        <v>0.7</v>
      </c>
      <c r="P185" s="231">
        <v>0.15</v>
      </c>
      <c r="Q185" s="255">
        <v>1.1000000000000001</v>
      </c>
      <c r="R185" s="255">
        <v>1.154045</v>
      </c>
      <c r="S185" s="231">
        <v>9.4</v>
      </c>
      <c r="T185" s="231">
        <v>0.21290300000000001</v>
      </c>
      <c r="U185" s="231">
        <v>1</v>
      </c>
      <c r="V185" s="231">
        <v>0.78709700000000005</v>
      </c>
      <c r="W185" s="255">
        <v>20</v>
      </c>
      <c r="X185" s="231">
        <v>6.486669</v>
      </c>
      <c r="Y185" s="256">
        <v>9</v>
      </c>
      <c r="Z185" s="256">
        <v>7.5317999999999996E-2</v>
      </c>
      <c r="AA185" s="256">
        <v>6.4082E-2</v>
      </c>
      <c r="AB185" s="256">
        <v>0</v>
      </c>
      <c r="AC185" s="256">
        <v>7.0158719999999999</v>
      </c>
      <c r="AD185" s="256">
        <v>0.36730800000000002</v>
      </c>
      <c r="AE185" s="231">
        <v>2.387502</v>
      </c>
      <c r="AF185" s="231">
        <v>0.35</v>
      </c>
      <c r="AG185" s="231">
        <v>0.55000000000000004</v>
      </c>
      <c r="AH185" s="231">
        <v>49</v>
      </c>
      <c r="AI185" s="231">
        <v>26.95</v>
      </c>
      <c r="AJ185" s="231">
        <v>7.99</v>
      </c>
      <c r="AK185" s="231">
        <v>9.4</v>
      </c>
      <c r="AL185" s="231">
        <v>0</v>
      </c>
      <c r="AM185" s="256">
        <v>0.20369399999999999</v>
      </c>
      <c r="AN185" s="256">
        <v>0.12584699999999999</v>
      </c>
      <c r="AO185" s="256">
        <v>0.81800799999999996</v>
      </c>
      <c r="AP185" s="256">
        <v>37.336561000000003</v>
      </c>
      <c r="AQ185" s="231">
        <v>43.421778000000003</v>
      </c>
      <c r="AR185" s="255">
        <v>422.3</v>
      </c>
      <c r="AS185" s="231">
        <v>0</v>
      </c>
      <c r="AT185" s="231"/>
      <c r="AU185" s="231"/>
      <c r="AV185" s="231"/>
      <c r="AW185" s="231"/>
      <c r="AX185" s="231"/>
      <c r="AY185" s="231"/>
      <c r="AZ185" s="231"/>
      <c r="BA185" s="116" t="s">
        <v>132</v>
      </c>
    </row>
    <row r="186" spans="1:53">
      <c r="A186" s="69" t="str">
        <f t="shared" si="2"/>
        <v>Final</v>
      </c>
      <c r="B186" s="232">
        <v>42184</v>
      </c>
      <c r="C186" s="232" t="s">
        <v>135</v>
      </c>
      <c r="D186" s="231">
        <v>180</v>
      </c>
      <c r="E186" s="255">
        <v>33.127485999999998</v>
      </c>
      <c r="F186" s="255">
        <v>17.488962000000001</v>
      </c>
      <c r="G186" s="255">
        <v>25.158224000000001</v>
      </c>
      <c r="H186" s="255">
        <v>2.8</v>
      </c>
      <c r="I186" s="255">
        <v>6.4</v>
      </c>
      <c r="J186" s="255">
        <v>26.09</v>
      </c>
      <c r="K186" s="255">
        <v>25.28755</v>
      </c>
      <c r="L186" s="255">
        <v>0</v>
      </c>
      <c r="M186" s="255">
        <v>0</v>
      </c>
      <c r="N186" s="231">
        <v>0.27258100000000002</v>
      </c>
      <c r="O186" s="231">
        <v>0.7</v>
      </c>
      <c r="P186" s="231">
        <v>0.15</v>
      </c>
      <c r="Q186" s="255">
        <v>1.1000000000000001</v>
      </c>
      <c r="R186" s="255">
        <v>1.171635</v>
      </c>
      <c r="S186" s="231">
        <v>0</v>
      </c>
      <c r="T186" s="231">
        <v>0.19032299999999999</v>
      </c>
      <c r="U186" s="231">
        <v>1</v>
      </c>
      <c r="V186" s="231">
        <v>0.80967699999999998</v>
      </c>
      <c r="W186" s="255">
        <v>20</v>
      </c>
      <c r="X186" s="231">
        <v>7.0158719999999999</v>
      </c>
      <c r="Y186" s="256">
        <v>9</v>
      </c>
      <c r="Z186" s="256">
        <v>1</v>
      </c>
      <c r="AA186" s="256">
        <v>0.89905500000000005</v>
      </c>
      <c r="AB186" s="256">
        <v>0</v>
      </c>
      <c r="AC186" s="256">
        <v>14.122344999999999</v>
      </c>
      <c r="AD186" s="256">
        <v>1.171635</v>
      </c>
      <c r="AE186" s="231">
        <v>7.4984669999999998</v>
      </c>
      <c r="AF186" s="231">
        <v>0.35</v>
      </c>
      <c r="AG186" s="231">
        <v>0.55000000000000004</v>
      </c>
      <c r="AH186" s="231">
        <v>49</v>
      </c>
      <c r="AI186" s="231">
        <v>26.95</v>
      </c>
      <c r="AJ186" s="231">
        <v>0</v>
      </c>
      <c r="AK186" s="231"/>
      <c r="AL186" s="231">
        <v>0</v>
      </c>
      <c r="AM186" s="256">
        <v>0.52895400000000004</v>
      </c>
      <c r="AN186" s="256">
        <v>1.043237</v>
      </c>
      <c r="AO186" s="256">
        <v>6.6767200000000004</v>
      </c>
      <c r="AP186" s="256">
        <v>44.013280999999999</v>
      </c>
      <c r="AQ186" s="231">
        <v>50.920245000000001</v>
      </c>
      <c r="AR186" s="255">
        <v>422.3</v>
      </c>
      <c r="AS186" s="231">
        <v>0</v>
      </c>
      <c r="AT186" s="231"/>
      <c r="AU186" s="231"/>
      <c r="AV186" s="231"/>
      <c r="AW186" s="231"/>
      <c r="AX186" s="231"/>
      <c r="AY186" s="231"/>
      <c r="AZ186" s="231"/>
      <c r="BA186" s="116" t="s">
        <v>132</v>
      </c>
    </row>
    <row r="187" spans="1:53">
      <c r="A187" s="69" t="str">
        <f t="shared" si="2"/>
        <v>Final</v>
      </c>
      <c r="B187" s="232">
        <v>42185</v>
      </c>
      <c r="C187" s="232" t="s">
        <v>135</v>
      </c>
      <c r="D187" s="231">
        <v>181</v>
      </c>
      <c r="E187" s="255">
        <v>32.950740000000003</v>
      </c>
      <c r="F187" s="255">
        <v>17.709143000000001</v>
      </c>
      <c r="G187" s="255">
        <v>25.304942</v>
      </c>
      <c r="H187" s="255">
        <v>2.5</v>
      </c>
      <c r="I187" s="255">
        <v>6.5</v>
      </c>
      <c r="J187" s="255">
        <v>29.46</v>
      </c>
      <c r="K187" s="255">
        <v>25.970849999999999</v>
      </c>
      <c r="L187" s="255">
        <v>0</v>
      </c>
      <c r="M187" s="255">
        <v>0</v>
      </c>
      <c r="N187" s="231">
        <v>0.24193500000000001</v>
      </c>
      <c r="O187" s="231">
        <v>0.7</v>
      </c>
      <c r="P187" s="231">
        <v>0.15</v>
      </c>
      <c r="Q187" s="255">
        <v>1.1499999999999999</v>
      </c>
      <c r="R187" s="255">
        <v>1.2121139999999999</v>
      </c>
      <c r="S187" s="231">
        <v>0</v>
      </c>
      <c r="T187" s="231">
        <v>0.167742</v>
      </c>
      <c r="U187" s="231">
        <v>1</v>
      </c>
      <c r="V187" s="231">
        <v>0.83225800000000005</v>
      </c>
      <c r="W187" s="255">
        <v>20</v>
      </c>
      <c r="X187" s="231">
        <v>14.122344999999999</v>
      </c>
      <c r="Y187" s="256">
        <v>9</v>
      </c>
      <c r="Z187" s="256">
        <v>8.0149999999999999E-2</v>
      </c>
      <c r="AA187" s="256">
        <v>7.7759999999999996E-2</v>
      </c>
      <c r="AB187" s="256">
        <v>0</v>
      </c>
      <c r="AC187" s="256">
        <v>14.729654</v>
      </c>
      <c r="AD187" s="256">
        <v>0.31969500000000001</v>
      </c>
      <c r="AE187" s="231">
        <v>2.0780189999999998</v>
      </c>
      <c r="AF187" s="231">
        <v>0.35</v>
      </c>
      <c r="AG187" s="231">
        <v>0.55000000000000004</v>
      </c>
      <c r="AH187" s="231">
        <v>49</v>
      </c>
      <c r="AI187" s="231">
        <v>26.95</v>
      </c>
      <c r="AJ187" s="231">
        <v>0</v>
      </c>
      <c r="AK187" s="231"/>
      <c r="AL187" s="231">
        <v>0</v>
      </c>
      <c r="AM187" s="256">
        <v>0.22615499999999999</v>
      </c>
      <c r="AN187" s="256">
        <v>0.13247500000000001</v>
      </c>
      <c r="AO187" s="256">
        <v>0.86108499999999999</v>
      </c>
      <c r="AP187" s="256">
        <v>44.874366000000002</v>
      </c>
      <c r="AQ187" s="231">
        <v>0</v>
      </c>
      <c r="AR187" s="255">
        <v>422.3</v>
      </c>
      <c r="AS187" s="231">
        <v>0</v>
      </c>
      <c r="AT187" s="231"/>
      <c r="AU187" s="231"/>
      <c r="AV187" s="231"/>
      <c r="AW187" s="231"/>
      <c r="AX187" s="231"/>
      <c r="AY187" s="231"/>
      <c r="AZ187" s="231"/>
      <c r="BA187" s="116" t="s">
        <v>132</v>
      </c>
    </row>
    <row r="188" spans="1:53">
      <c r="A188" s="69" t="str">
        <f t="shared" si="2"/>
        <v>Final</v>
      </c>
      <c r="B188" s="232">
        <v>42186</v>
      </c>
      <c r="C188" s="232" t="s">
        <v>135</v>
      </c>
      <c r="D188" s="231">
        <v>182</v>
      </c>
      <c r="E188" s="255">
        <v>32.391309</v>
      </c>
      <c r="F188" s="255">
        <v>17.545165999999998</v>
      </c>
      <c r="G188" s="255">
        <v>25.568237</v>
      </c>
      <c r="H188" s="255">
        <v>2.7</v>
      </c>
      <c r="I188" s="255">
        <v>7</v>
      </c>
      <c r="J188" s="255">
        <v>30.98</v>
      </c>
      <c r="K188" s="255">
        <v>15.58745</v>
      </c>
      <c r="L188" s="255">
        <v>0</v>
      </c>
      <c r="M188" s="255">
        <v>0</v>
      </c>
      <c r="N188" s="231">
        <v>0.21129000000000001</v>
      </c>
      <c r="O188" s="231">
        <v>0.7</v>
      </c>
      <c r="P188" s="231">
        <v>0.15</v>
      </c>
      <c r="Q188" s="255">
        <v>1.1000000000000001</v>
      </c>
      <c r="R188" s="255">
        <v>1.1941250000000001</v>
      </c>
      <c r="S188" s="231">
        <v>5.4</v>
      </c>
      <c r="T188" s="231">
        <v>0.14516100000000001</v>
      </c>
      <c r="U188" s="231">
        <v>1</v>
      </c>
      <c r="V188" s="231">
        <v>0.85483900000000002</v>
      </c>
      <c r="W188" s="255">
        <v>20</v>
      </c>
      <c r="X188" s="231">
        <v>10.139654</v>
      </c>
      <c r="Y188" s="256">
        <v>9</v>
      </c>
      <c r="Z188" s="256">
        <v>7.1868000000000001E-2</v>
      </c>
      <c r="AA188" s="256">
        <v>7.0635000000000003E-2</v>
      </c>
      <c r="AB188" s="256">
        <v>0</v>
      </c>
      <c r="AC188" s="256">
        <v>10.718059</v>
      </c>
      <c r="AD188" s="256">
        <v>0.28192499999999998</v>
      </c>
      <c r="AE188" s="231">
        <v>1.9734750000000001</v>
      </c>
      <c r="AF188" s="231">
        <v>0.35</v>
      </c>
      <c r="AG188" s="231">
        <v>0.55000000000000004</v>
      </c>
      <c r="AH188" s="231">
        <v>49</v>
      </c>
      <c r="AI188" s="231">
        <v>26.95</v>
      </c>
      <c r="AJ188" s="231">
        <v>4.59</v>
      </c>
      <c r="AK188" s="231">
        <v>5.4</v>
      </c>
      <c r="AL188" s="231">
        <v>0</v>
      </c>
      <c r="AM188" s="256">
        <v>0.18710399999999999</v>
      </c>
      <c r="AN188" s="256">
        <v>0.110168</v>
      </c>
      <c r="AO188" s="256">
        <v>0.77117500000000005</v>
      </c>
      <c r="AP188" s="256">
        <v>41.055540999999998</v>
      </c>
      <c r="AQ188" s="231">
        <v>1.9734750000000001</v>
      </c>
      <c r="AR188" s="255">
        <v>427.7</v>
      </c>
      <c r="AS188" s="231">
        <v>0</v>
      </c>
      <c r="AT188" s="231"/>
      <c r="AU188" s="231"/>
      <c r="AV188" s="231"/>
      <c r="AW188" s="231"/>
      <c r="AX188" s="231"/>
      <c r="AY188" s="231"/>
      <c r="AZ188" s="231"/>
      <c r="BA188" s="116" t="s">
        <v>132</v>
      </c>
    </row>
    <row r="189" spans="1:53">
      <c r="A189" s="69" t="str">
        <f t="shared" si="2"/>
        <v>Final</v>
      </c>
      <c r="B189" s="232">
        <v>42187</v>
      </c>
      <c r="C189" s="232" t="s">
        <v>135</v>
      </c>
      <c r="D189" s="231">
        <v>183</v>
      </c>
      <c r="E189" s="255">
        <v>31.025022</v>
      </c>
      <c r="F189" s="255">
        <v>17.561413999999999</v>
      </c>
      <c r="G189" s="255">
        <v>23.843218</v>
      </c>
      <c r="H189" s="255">
        <v>1.8</v>
      </c>
      <c r="I189" s="255">
        <v>7.35</v>
      </c>
      <c r="J189" s="255">
        <v>19.55</v>
      </c>
      <c r="K189" s="255">
        <v>22.075199999999999</v>
      </c>
      <c r="L189" s="255">
        <v>0</v>
      </c>
      <c r="M189" s="255">
        <v>0</v>
      </c>
      <c r="N189" s="231">
        <v>0.180645</v>
      </c>
      <c r="O189" s="231">
        <v>0.7</v>
      </c>
      <c r="P189" s="231">
        <v>0.15</v>
      </c>
      <c r="Q189" s="255">
        <v>1.1000000000000001</v>
      </c>
      <c r="R189" s="255">
        <v>1.1540900000000001</v>
      </c>
      <c r="S189" s="231">
        <v>0</v>
      </c>
      <c r="T189" s="231">
        <v>0.122581</v>
      </c>
      <c r="U189" s="231">
        <v>1</v>
      </c>
      <c r="V189" s="231">
        <v>0.87741899999999995</v>
      </c>
      <c r="W189" s="255">
        <v>20</v>
      </c>
      <c r="X189" s="231">
        <v>10.718059</v>
      </c>
      <c r="Y189" s="256">
        <v>9</v>
      </c>
      <c r="Z189" s="256">
        <v>0.12657199999999999</v>
      </c>
      <c r="AA189" s="256">
        <v>0.123211</v>
      </c>
      <c r="AB189" s="256">
        <v>0</v>
      </c>
      <c r="AC189" s="256">
        <v>11.750175</v>
      </c>
      <c r="AD189" s="256">
        <v>0.30385600000000001</v>
      </c>
      <c r="AE189" s="231">
        <v>2.2333409999999998</v>
      </c>
      <c r="AF189" s="231">
        <v>0.35</v>
      </c>
      <c r="AG189" s="231">
        <v>0.55000000000000004</v>
      </c>
      <c r="AH189" s="231">
        <v>49</v>
      </c>
      <c r="AI189" s="231">
        <v>26.95</v>
      </c>
      <c r="AJ189" s="231">
        <v>0</v>
      </c>
      <c r="AK189" s="231"/>
      <c r="AL189" s="231">
        <v>0</v>
      </c>
      <c r="AM189" s="256">
        <v>0.36029299999999997</v>
      </c>
      <c r="AN189" s="256">
        <v>0.18829599999999999</v>
      </c>
      <c r="AO189" s="256">
        <v>1.383975</v>
      </c>
      <c r="AP189" s="256">
        <v>42.439515999999998</v>
      </c>
      <c r="AQ189" s="231">
        <v>4.2068159999999999</v>
      </c>
      <c r="AR189" s="255">
        <v>427.7</v>
      </c>
      <c r="AS189" s="231">
        <v>0</v>
      </c>
      <c r="AT189" s="231"/>
      <c r="AU189" s="231"/>
      <c r="AV189" s="231"/>
      <c r="AW189" s="231"/>
      <c r="AX189" s="231"/>
      <c r="AY189" s="231"/>
      <c r="AZ189" s="231"/>
      <c r="BA189" s="116" t="s">
        <v>132</v>
      </c>
    </row>
    <row r="190" spans="1:53">
      <c r="A190" s="69" t="str">
        <f t="shared" si="2"/>
        <v>Final</v>
      </c>
      <c r="B190" s="232">
        <v>42188</v>
      </c>
      <c r="C190" s="232" t="s">
        <v>135</v>
      </c>
      <c r="D190" s="231">
        <v>184</v>
      </c>
      <c r="E190" s="255">
        <v>30.294055</v>
      </c>
      <c r="F190" s="255">
        <v>15.561078</v>
      </c>
      <c r="G190" s="255">
        <v>22.552567</v>
      </c>
      <c r="H190" s="255">
        <v>2.7</v>
      </c>
      <c r="I190" s="255">
        <v>6.15</v>
      </c>
      <c r="J190" s="255">
        <v>23.5</v>
      </c>
      <c r="K190" s="255">
        <v>22.054099999999998</v>
      </c>
      <c r="L190" s="255">
        <v>0</v>
      </c>
      <c r="M190" s="255">
        <v>0</v>
      </c>
      <c r="N190" s="231">
        <v>0.15</v>
      </c>
      <c r="O190" s="231">
        <v>0.7</v>
      </c>
      <c r="P190" s="231">
        <v>0.15</v>
      </c>
      <c r="Q190" s="255">
        <v>1.1000000000000001</v>
      </c>
      <c r="R190" s="255">
        <v>1.1774089999999999</v>
      </c>
      <c r="S190" s="231">
        <v>0</v>
      </c>
      <c r="T190" s="231">
        <v>0.1</v>
      </c>
      <c r="U190" s="231">
        <v>1</v>
      </c>
      <c r="V190" s="231">
        <v>0.9</v>
      </c>
      <c r="W190" s="255">
        <v>20</v>
      </c>
      <c r="X190" s="231">
        <v>0</v>
      </c>
      <c r="Y190" s="256">
        <v>9</v>
      </c>
      <c r="Z190" s="256">
        <v>0.112498</v>
      </c>
      <c r="AA190" s="256">
        <v>0.115581</v>
      </c>
      <c r="AB190" s="256">
        <v>30.689340000000001</v>
      </c>
      <c r="AC190" s="256">
        <v>0.78980399999999995</v>
      </c>
      <c r="AD190" s="256">
        <v>0.26558100000000001</v>
      </c>
      <c r="AE190" s="231">
        <v>1.6333230000000001</v>
      </c>
      <c r="AF190" s="231">
        <v>0.35</v>
      </c>
      <c r="AG190" s="231">
        <v>0.55000000000000004</v>
      </c>
      <c r="AH190" s="231">
        <v>49</v>
      </c>
      <c r="AI190" s="231">
        <v>26.95</v>
      </c>
      <c r="AJ190" s="231">
        <v>42.439515999999998</v>
      </c>
      <c r="AK190" s="231"/>
      <c r="AL190" s="231">
        <v>0</v>
      </c>
      <c r="AM190" s="256">
        <v>0.29752800000000001</v>
      </c>
      <c r="AN190" s="256">
        <v>0.16020999999999999</v>
      </c>
      <c r="AO190" s="256">
        <v>0.98529299999999997</v>
      </c>
      <c r="AP190" s="256">
        <v>0.98529299999999997</v>
      </c>
      <c r="AQ190" s="231">
        <v>0</v>
      </c>
      <c r="AR190" s="255">
        <v>427.7</v>
      </c>
      <c r="AS190" s="231">
        <v>0</v>
      </c>
      <c r="AT190" s="231">
        <v>0.85</v>
      </c>
      <c r="AU190" s="231">
        <v>58.96</v>
      </c>
      <c r="AV190" s="231"/>
      <c r="AW190" s="231">
        <v>20.805332</v>
      </c>
      <c r="AX190" s="231">
        <v>49.928842000000003</v>
      </c>
      <c r="AY190" s="231">
        <v>2.39981</v>
      </c>
      <c r="AZ190" s="231" t="s">
        <v>676</v>
      </c>
      <c r="BA190" s="116" t="s">
        <v>132</v>
      </c>
    </row>
    <row r="191" spans="1:53">
      <c r="A191" s="69"/>
      <c r="B191" s="231"/>
      <c r="C191" s="232"/>
      <c r="D191" s="231"/>
      <c r="E191" s="255"/>
      <c r="F191" s="255"/>
      <c r="G191" s="255"/>
      <c r="H191" s="255"/>
      <c r="I191" s="255"/>
      <c r="J191" s="255"/>
      <c r="K191" s="255"/>
      <c r="L191" s="255"/>
      <c r="M191" s="255"/>
      <c r="N191" s="231"/>
      <c r="O191" s="231"/>
      <c r="P191" s="231"/>
      <c r="Q191" s="255"/>
      <c r="R191" s="255"/>
      <c r="S191" s="231"/>
      <c r="T191" s="231"/>
      <c r="U191" s="231"/>
      <c r="V191" s="231"/>
      <c r="W191" s="255"/>
      <c r="X191" s="231"/>
      <c r="Y191" s="256"/>
      <c r="Z191" s="256"/>
      <c r="AA191" s="256"/>
      <c r="AB191" s="256"/>
      <c r="AC191" s="256"/>
      <c r="AD191" s="256"/>
      <c r="AE191" s="231"/>
      <c r="AF191" s="231"/>
      <c r="AG191" s="231"/>
      <c r="AH191" s="231"/>
      <c r="AI191" s="231"/>
      <c r="AJ191" s="231"/>
      <c r="AK191" s="231"/>
      <c r="AL191" s="231"/>
      <c r="AM191" s="256"/>
      <c r="AN191" s="256"/>
      <c r="AO191" s="256"/>
      <c r="AP191" s="256"/>
      <c r="AQ191" s="231"/>
      <c r="AR191" s="255"/>
      <c r="AS191" s="231"/>
      <c r="AT191" s="231"/>
      <c r="AU191" s="231"/>
      <c r="AV191" s="231"/>
      <c r="AW191" s="231"/>
      <c r="AX191" s="231"/>
      <c r="AY191" s="231"/>
      <c r="AZ191" s="231"/>
    </row>
    <row r="192" spans="1:53">
      <c r="A192" s="69"/>
      <c r="B192" s="231"/>
      <c r="C192" s="232"/>
      <c r="D192" s="231"/>
      <c r="E192" s="255"/>
      <c r="F192" s="255"/>
      <c r="G192" s="255"/>
      <c r="H192" s="255"/>
      <c r="I192" s="255"/>
      <c r="J192" s="255"/>
      <c r="K192" s="255"/>
      <c r="L192" s="255"/>
      <c r="M192" s="255"/>
      <c r="N192" s="231"/>
      <c r="O192" s="231"/>
      <c r="P192" s="231"/>
      <c r="Q192" s="255"/>
      <c r="R192" s="255"/>
      <c r="S192" s="231"/>
      <c r="T192" s="231"/>
      <c r="U192" s="231"/>
      <c r="V192" s="231"/>
      <c r="W192" s="255"/>
      <c r="X192" s="231"/>
      <c r="Y192" s="256"/>
      <c r="Z192" s="256"/>
      <c r="AA192" s="256"/>
      <c r="AB192" s="256"/>
      <c r="AC192" s="256"/>
      <c r="AD192" s="256"/>
      <c r="AE192" s="231"/>
      <c r="AF192" s="231"/>
      <c r="AG192" s="231"/>
      <c r="AH192" s="231"/>
      <c r="AI192" s="231"/>
      <c r="AJ192" s="231"/>
      <c r="AK192" s="231"/>
      <c r="AL192" s="231"/>
      <c r="AM192" s="256"/>
      <c r="AN192" s="256"/>
      <c r="AO192" s="256"/>
      <c r="AP192" s="256"/>
      <c r="AQ192" s="231"/>
      <c r="AR192" s="255"/>
      <c r="AS192" s="231"/>
      <c r="AT192" s="231"/>
      <c r="AU192" s="231"/>
      <c r="AV192" s="231"/>
      <c r="AW192" s="231"/>
      <c r="AX192" s="231"/>
      <c r="AY192" s="231"/>
      <c r="AZ192" s="231"/>
    </row>
    <row r="193" spans="1:52">
      <c r="A193" s="69"/>
      <c r="B193" s="231"/>
      <c r="C193" s="232"/>
      <c r="D193" s="231"/>
      <c r="E193" s="255"/>
      <c r="F193" s="255"/>
      <c r="G193" s="255"/>
      <c r="H193" s="255"/>
      <c r="I193" s="255"/>
      <c r="J193" s="255"/>
      <c r="K193" s="255"/>
      <c r="L193" s="255"/>
      <c r="M193" s="255"/>
      <c r="N193" s="231"/>
      <c r="O193" s="231"/>
      <c r="P193" s="231"/>
      <c r="Q193" s="255"/>
      <c r="R193" s="255"/>
      <c r="S193" s="231"/>
      <c r="T193" s="231"/>
      <c r="U193" s="231"/>
      <c r="V193" s="231"/>
      <c r="W193" s="255"/>
      <c r="X193" s="231"/>
      <c r="Y193" s="256"/>
      <c r="Z193" s="256"/>
      <c r="AA193" s="256"/>
      <c r="AB193" s="256"/>
      <c r="AC193" s="256"/>
      <c r="AD193" s="256"/>
      <c r="AE193" s="231"/>
      <c r="AF193" s="231"/>
      <c r="AG193" s="231"/>
      <c r="AH193" s="231"/>
      <c r="AI193" s="231"/>
      <c r="AJ193" s="231"/>
      <c r="AK193" s="231"/>
      <c r="AL193" s="231"/>
      <c r="AM193" s="256"/>
      <c r="AN193" s="256"/>
      <c r="AO193" s="256"/>
      <c r="AP193" s="256"/>
      <c r="AQ193" s="231"/>
      <c r="AR193" s="255"/>
      <c r="AS193" s="231"/>
      <c r="AT193" s="231"/>
      <c r="AU193" s="231"/>
      <c r="AV193" s="231"/>
      <c r="AW193" s="231"/>
      <c r="AX193" s="231"/>
      <c r="AY193" s="231"/>
      <c r="AZ193" s="231"/>
    </row>
    <row r="194" spans="1:52">
      <c r="A194" s="69"/>
      <c r="B194" s="231"/>
      <c r="C194" s="232"/>
      <c r="D194" s="231"/>
      <c r="E194" s="255"/>
      <c r="F194" s="255"/>
      <c r="G194" s="255"/>
      <c r="H194" s="255"/>
      <c r="I194" s="255"/>
      <c r="J194" s="255"/>
      <c r="K194" s="255"/>
      <c r="L194" s="255"/>
      <c r="M194" s="255"/>
      <c r="N194" s="231"/>
      <c r="O194" s="231"/>
      <c r="P194" s="231"/>
      <c r="Q194" s="255"/>
      <c r="R194" s="255"/>
      <c r="S194" s="231"/>
      <c r="T194" s="231"/>
      <c r="U194" s="231"/>
      <c r="V194" s="231"/>
      <c r="W194" s="255"/>
      <c r="X194" s="231"/>
      <c r="Y194" s="256"/>
      <c r="Z194" s="256"/>
      <c r="AA194" s="256"/>
      <c r="AB194" s="256"/>
      <c r="AC194" s="256"/>
      <c r="AD194" s="256"/>
      <c r="AE194" s="231"/>
      <c r="AF194" s="231"/>
      <c r="AG194" s="231"/>
      <c r="AH194" s="231"/>
      <c r="AI194" s="231"/>
      <c r="AJ194" s="231"/>
      <c r="AK194" s="231"/>
      <c r="AL194" s="231"/>
      <c r="AM194" s="256"/>
      <c r="AN194" s="256"/>
      <c r="AO194" s="256"/>
      <c r="AP194" s="256"/>
      <c r="AQ194" s="231"/>
      <c r="AR194" s="255"/>
      <c r="AS194" s="231"/>
      <c r="AT194" s="231"/>
      <c r="AU194" s="231"/>
      <c r="AV194" s="231"/>
      <c r="AW194" s="231"/>
      <c r="AX194" s="231"/>
      <c r="AY194" s="231"/>
      <c r="AZ194" s="231"/>
    </row>
    <row r="195" spans="1:52">
      <c r="A195" s="69"/>
      <c r="B195" s="231"/>
      <c r="C195" s="232"/>
      <c r="D195" s="231"/>
      <c r="E195" s="255"/>
      <c r="F195" s="255"/>
      <c r="G195" s="255"/>
      <c r="H195" s="255"/>
      <c r="I195" s="255"/>
      <c r="J195" s="255"/>
      <c r="K195" s="255"/>
      <c r="L195" s="255"/>
      <c r="M195" s="255"/>
      <c r="N195" s="231"/>
      <c r="O195" s="231"/>
      <c r="P195" s="231"/>
      <c r="Q195" s="255"/>
      <c r="R195" s="255"/>
      <c r="S195" s="231"/>
      <c r="T195" s="231"/>
      <c r="U195" s="231"/>
      <c r="V195" s="231"/>
      <c r="W195" s="255"/>
      <c r="X195" s="231"/>
      <c r="Y195" s="256"/>
      <c r="Z195" s="256"/>
      <c r="AA195" s="256"/>
      <c r="AB195" s="256"/>
      <c r="AC195" s="256"/>
      <c r="AD195" s="256"/>
      <c r="AE195" s="231"/>
      <c r="AF195" s="231"/>
      <c r="AG195" s="231"/>
      <c r="AH195" s="231"/>
      <c r="AI195" s="231"/>
      <c r="AJ195" s="231"/>
      <c r="AK195" s="231"/>
      <c r="AL195" s="231"/>
      <c r="AM195" s="256"/>
      <c r="AN195" s="256"/>
      <c r="AO195" s="256"/>
      <c r="AP195" s="256"/>
      <c r="AQ195" s="231"/>
      <c r="AR195" s="255"/>
      <c r="AS195" s="231"/>
      <c r="AT195" s="231"/>
      <c r="AU195" s="231"/>
      <c r="AV195" s="231"/>
      <c r="AW195" s="231"/>
      <c r="AX195" s="231"/>
      <c r="AY195" s="231"/>
      <c r="AZ195" s="231"/>
    </row>
    <row r="196" spans="1:52">
      <c r="A196" s="69"/>
      <c r="B196" s="231"/>
      <c r="C196" s="232"/>
      <c r="D196" s="231"/>
      <c r="E196" s="255"/>
      <c r="F196" s="255"/>
      <c r="G196" s="255"/>
      <c r="H196" s="255"/>
      <c r="I196" s="255"/>
      <c r="J196" s="255"/>
      <c r="K196" s="255"/>
      <c r="L196" s="255"/>
      <c r="M196" s="255"/>
      <c r="N196" s="231"/>
      <c r="O196" s="231"/>
      <c r="P196" s="231"/>
      <c r="Q196" s="255"/>
      <c r="R196" s="255"/>
      <c r="S196" s="231"/>
      <c r="T196" s="231"/>
      <c r="U196" s="231"/>
      <c r="V196" s="231"/>
      <c r="W196" s="255"/>
      <c r="X196" s="231"/>
      <c r="Y196" s="256"/>
      <c r="Z196" s="256"/>
      <c r="AA196" s="256"/>
      <c r="AB196" s="256"/>
      <c r="AC196" s="256"/>
      <c r="AD196" s="256"/>
      <c r="AE196" s="231"/>
      <c r="AF196" s="231"/>
      <c r="AG196" s="231"/>
      <c r="AH196" s="231"/>
      <c r="AI196" s="231"/>
      <c r="AJ196" s="231"/>
      <c r="AK196" s="231"/>
      <c r="AL196" s="231"/>
      <c r="AM196" s="256"/>
      <c r="AN196" s="256"/>
      <c r="AO196" s="256"/>
      <c r="AP196" s="256"/>
      <c r="AQ196" s="231"/>
      <c r="AR196" s="255"/>
      <c r="AS196" s="231"/>
      <c r="AT196" s="231"/>
      <c r="AU196" s="231"/>
      <c r="AV196" s="231"/>
      <c r="AW196" s="231"/>
      <c r="AX196" s="231"/>
      <c r="AY196" s="231"/>
      <c r="AZ196" s="231"/>
    </row>
    <row r="197" spans="1:52">
      <c r="A197" s="69"/>
      <c r="B197" s="231"/>
      <c r="C197" s="232"/>
      <c r="D197" s="231"/>
      <c r="E197" s="255"/>
      <c r="F197" s="255"/>
      <c r="G197" s="255"/>
      <c r="H197" s="255"/>
      <c r="I197" s="255"/>
      <c r="J197" s="255"/>
      <c r="K197" s="255"/>
      <c r="L197" s="255"/>
      <c r="M197" s="255"/>
      <c r="N197" s="231"/>
      <c r="O197" s="231"/>
      <c r="P197" s="231"/>
      <c r="Q197" s="255"/>
      <c r="R197" s="255"/>
      <c r="S197" s="231"/>
      <c r="T197" s="231"/>
      <c r="U197" s="231"/>
      <c r="V197" s="231"/>
      <c r="W197" s="255"/>
      <c r="X197" s="231"/>
      <c r="Y197" s="256"/>
      <c r="Z197" s="256"/>
      <c r="AA197" s="256"/>
      <c r="AB197" s="256"/>
      <c r="AC197" s="256"/>
      <c r="AD197" s="256"/>
      <c r="AE197" s="231"/>
      <c r="AF197" s="231"/>
      <c r="AG197" s="231"/>
      <c r="AH197" s="231"/>
      <c r="AI197" s="231"/>
      <c r="AJ197" s="231"/>
      <c r="AK197" s="231"/>
      <c r="AL197" s="231"/>
      <c r="AM197" s="256"/>
      <c r="AN197" s="256"/>
      <c r="AO197" s="256"/>
      <c r="AP197" s="256"/>
      <c r="AQ197" s="231"/>
      <c r="AR197" s="255"/>
      <c r="AS197" s="231"/>
      <c r="AT197" s="231"/>
      <c r="AU197" s="231"/>
      <c r="AV197" s="231"/>
      <c r="AW197" s="231"/>
      <c r="AX197" s="231"/>
      <c r="AY197" s="231"/>
      <c r="AZ197" s="231"/>
    </row>
    <row r="198" spans="1:52">
      <c r="A198" s="69"/>
      <c r="B198" s="231"/>
      <c r="C198" s="232"/>
      <c r="D198" s="231"/>
      <c r="E198" s="255"/>
      <c r="F198" s="255"/>
      <c r="G198" s="255"/>
      <c r="H198" s="255"/>
      <c r="I198" s="255"/>
      <c r="J198" s="255"/>
      <c r="K198" s="255"/>
      <c r="L198" s="255"/>
      <c r="M198" s="255"/>
      <c r="N198" s="231"/>
      <c r="O198" s="231"/>
      <c r="P198" s="231"/>
      <c r="Q198" s="255"/>
      <c r="R198" s="255"/>
      <c r="S198" s="231"/>
      <c r="T198" s="231"/>
      <c r="U198" s="231"/>
      <c r="V198" s="231"/>
      <c r="W198" s="255"/>
      <c r="X198" s="231"/>
      <c r="Y198" s="256"/>
      <c r="Z198" s="256"/>
      <c r="AA198" s="256"/>
      <c r="AB198" s="256"/>
      <c r="AC198" s="256"/>
      <c r="AD198" s="256"/>
      <c r="AE198" s="231"/>
      <c r="AF198" s="231"/>
      <c r="AG198" s="231"/>
      <c r="AH198" s="231"/>
      <c r="AI198" s="231"/>
      <c r="AJ198" s="231"/>
      <c r="AK198" s="231"/>
      <c r="AL198" s="231"/>
      <c r="AM198" s="256"/>
      <c r="AN198" s="256"/>
      <c r="AO198" s="256"/>
      <c r="AP198" s="256"/>
      <c r="AQ198" s="231"/>
      <c r="AR198" s="255"/>
      <c r="AS198" s="231"/>
      <c r="AT198" s="231"/>
      <c r="AU198" s="231"/>
      <c r="AV198" s="231"/>
      <c r="AW198" s="231"/>
      <c r="AX198" s="231"/>
      <c r="AY198" s="231"/>
      <c r="AZ198" s="231"/>
    </row>
    <row r="199" spans="1:52">
      <c r="A199" s="69"/>
      <c r="B199" s="231"/>
      <c r="C199" s="232"/>
      <c r="D199" s="231"/>
      <c r="E199" s="255"/>
      <c r="F199" s="255"/>
      <c r="G199" s="255"/>
      <c r="H199" s="255"/>
      <c r="I199" s="255"/>
      <c r="J199" s="255"/>
      <c r="K199" s="255"/>
      <c r="L199" s="255"/>
      <c r="M199" s="255"/>
      <c r="N199" s="231"/>
      <c r="O199" s="231"/>
      <c r="P199" s="231"/>
      <c r="Q199" s="255"/>
      <c r="R199" s="255"/>
      <c r="S199" s="231"/>
      <c r="T199" s="231"/>
      <c r="U199" s="231"/>
      <c r="V199" s="231"/>
      <c r="W199" s="255"/>
      <c r="X199" s="231"/>
      <c r="Y199" s="256"/>
      <c r="Z199" s="256"/>
      <c r="AA199" s="256"/>
      <c r="AB199" s="256"/>
      <c r="AC199" s="256"/>
      <c r="AD199" s="256"/>
      <c r="AE199" s="231"/>
      <c r="AF199" s="231"/>
      <c r="AG199" s="231"/>
      <c r="AH199" s="231"/>
      <c r="AI199" s="231"/>
      <c r="AJ199" s="231"/>
      <c r="AK199" s="231"/>
      <c r="AL199" s="231"/>
      <c r="AM199" s="256"/>
      <c r="AN199" s="256"/>
      <c r="AO199" s="256"/>
      <c r="AP199" s="256"/>
      <c r="AQ199" s="231"/>
      <c r="AR199" s="255"/>
      <c r="AS199" s="231"/>
      <c r="AT199" s="231"/>
      <c r="AU199" s="231"/>
      <c r="AV199" s="231"/>
      <c r="AW199" s="231"/>
      <c r="AX199" s="231"/>
      <c r="AY199" s="231"/>
      <c r="AZ199" s="231"/>
    </row>
    <row r="200" spans="1:52">
      <c r="A200" s="69"/>
      <c r="B200" s="231"/>
      <c r="C200" s="232"/>
      <c r="D200" s="231"/>
      <c r="E200" s="231"/>
      <c r="F200" s="231"/>
      <c r="G200" s="231"/>
      <c r="H200" s="231"/>
      <c r="I200" s="231"/>
      <c r="J200" s="231"/>
      <c r="K200" s="231"/>
      <c r="L200" s="231"/>
      <c r="M200" s="231"/>
      <c r="N200" s="231"/>
      <c r="O200" s="231"/>
      <c r="P200" s="231"/>
      <c r="Q200" s="231"/>
      <c r="R200" s="231"/>
      <c r="S200" s="231"/>
      <c r="T200" s="231"/>
      <c r="U200" s="231"/>
      <c r="V200" s="231"/>
      <c r="W200" s="231"/>
      <c r="X200" s="231"/>
      <c r="Y200" s="231"/>
      <c r="Z200" s="231"/>
      <c r="AA200" s="231"/>
      <c r="AB200" s="231"/>
      <c r="AC200" s="231"/>
      <c r="AD200" s="231"/>
      <c r="AE200" s="231"/>
      <c r="AF200" s="231"/>
      <c r="AG200" s="231"/>
      <c r="AH200" s="231"/>
      <c r="AI200" s="231"/>
      <c r="AJ200" s="231"/>
      <c r="AK200" s="231"/>
      <c r="AL200" s="231"/>
      <c r="AM200" s="231"/>
      <c r="AN200" s="231"/>
      <c r="AO200" s="231"/>
      <c r="AP200" s="231"/>
      <c r="AQ200" s="231"/>
      <c r="AR200" s="231"/>
      <c r="AS200" s="231"/>
      <c r="AT200" s="231"/>
      <c r="AU200" s="231"/>
      <c r="AV200" s="231"/>
      <c r="AW200" s="231"/>
      <c r="AX200" s="231"/>
      <c r="AY200" s="231"/>
      <c r="AZ200" s="231"/>
    </row>
    <row r="201" spans="1:52">
      <c r="A201" s="69"/>
      <c r="B201" s="231"/>
      <c r="C201" s="232"/>
      <c r="D201" s="231"/>
      <c r="E201" s="231"/>
      <c r="F201" s="231"/>
      <c r="G201" s="231"/>
      <c r="H201" s="231"/>
      <c r="I201" s="231"/>
      <c r="J201" s="231"/>
      <c r="K201" s="231"/>
      <c r="L201" s="231"/>
      <c r="M201" s="231"/>
      <c r="N201" s="231"/>
      <c r="O201" s="231"/>
      <c r="P201" s="231"/>
      <c r="Q201" s="231"/>
      <c r="R201" s="231"/>
      <c r="S201" s="231"/>
      <c r="T201" s="231"/>
      <c r="U201" s="231"/>
      <c r="V201" s="231"/>
      <c r="W201" s="231"/>
      <c r="X201" s="231"/>
      <c r="Y201" s="231"/>
      <c r="Z201" s="231"/>
      <c r="AA201" s="231"/>
      <c r="AB201" s="231"/>
      <c r="AC201" s="231"/>
      <c r="AD201" s="231"/>
      <c r="AE201" s="231"/>
      <c r="AF201" s="231"/>
      <c r="AG201" s="231"/>
      <c r="AH201" s="231"/>
      <c r="AI201" s="231"/>
      <c r="AJ201" s="231"/>
      <c r="AK201" s="231"/>
      <c r="AL201" s="231"/>
      <c r="AM201" s="231"/>
      <c r="AN201" s="231"/>
      <c r="AO201" s="231"/>
      <c r="AP201" s="231"/>
      <c r="AQ201" s="231"/>
      <c r="AR201" s="231"/>
      <c r="AS201" s="231"/>
      <c r="AT201" s="231"/>
      <c r="AU201" s="231"/>
      <c r="AV201" s="231"/>
      <c r="AW201" s="231"/>
      <c r="AX201" s="231"/>
      <c r="AY201" s="231"/>
      <c r="AZ201" s="231"/>
    </row>
    <row r="202" spans="1:52">
      <c r="A202" s="69"/>
      <c r="B202" s="231"/>
      <c r="C202" s="232"/>
      <c r="D202" s="231"/>
      <c r="E202" s="231"/>
      <c r="F202" s="231"/>
      <c r="G202" s="231"/>
      <c r="H202" s="231"/>
      <c r="I202" s="231"/>
      <c r="J202" s="231"/>
      <c r="K202" s="231"/>
      <c r="L202" s="231"/>
      <c r="M202" s="231"/>
      <c r="N202" s="231"/>
      <c r="O202" s="231"/>
      <c r="P202" s="231"/>
      <c r="Q202" s="231"/>
      <c r="R202" s="231"/>
      <c r="S202" s="231"/>
      <c r="T202" s="231"/>
      <c r="U202" s="231"/>
      <c r="V202" s="231"/>
      <c r="W202" s="231"/>
      <c r="X202" s="231"/>
      <c r="Y202" s="231"/>
      <c r="Z202" s="231"/>
      <c r="AA202" s="231"/>
      <c r="AB202" s="231"/>
      <c r="AC202" s="231"/>
      <c r="AD202" s="231"/>
      <c r="AE202" s="231"/>
      <c r="AF202" s="231"/>
      <c r="AG202" s="231"/>
      <c r="AH202" s="231"/>
      <c r="AI202" s="231"/>
      <c r="AJ202" s="231"/>
      <c r="AK202" s="231"/>
      <c r="AL202" s="231"/>
      <c r="AM202" s="231"/>
      <c r="AN202" s="231"/>
      <c r="AO202" s="231"/>
      <c r="AP202" s="231"/>
      <c r="AQ202" s="231"/>
      <c r="AR202" s="231"/>
      <c r="AS202" s="231"/>
      <c r="AT202" s="231"/>
      <c r="AU202" s="231"/>
      <c r="AV202" s="231"/>
      <c r="AW202" s="231"/>
      <c r="AX202" s="231"/>
      <c r="AY202" s="231"/>
      <c r="AZ202" s="231"/>
    </row>
    <row r="203" spans="1:52">
      <c r="A203" s="69"/>
      <c r="B203" s="231"/>
      <c r="C203" s="232"/>
      <c r="D203" s="231"/>
      <c r="E203" s="231"/>
      <c r="F203" s="231"/>
      <c r="G203" s="231"/>
      <c r="H203" s="231"/>
      <c r="I203" s="231"/>
      <c r="J203" s="231"/>
      <c r="K203" s="231"/>
      <c r="L203" s="231"/>
      <c r="M203" s="231"/>
      <c r="N203" s="231"/>
      <c r="O203" s="231"/>
      <c r="P203" s="231"/>
      <c r="Q203" s="231"/>
      <c r="R203" s="231"/>
      <c r="S203" s="231"/>
      <c r="T203" s="231"/>
      <c r="U203" s="231"/>
      <c r="V203" s="231"/>
      <c r="W203" s="231"/>
      <c r="X203" s="231"/>
      <c r="Y203" s="231"/>
      <c r="Z203" s="231"/>
      <c r="AA203" s="231"/>
      <c r="AB203" s="231"/>
      <c r="AC203" s="231"/>
      <c r="AD203" s="231"/>
      <c r="AE203" s="231"/>
      <c r="AF203" s="231"/>
      <c r="AG203" s="231"/>
      <c r="AH203" s="231"/>
      <c r="AI203" s="231"/>
      <c r="AJ203" s="231"/>
      <c r="AK203" s="231"/>
      <c r="AL203" s="231"/>
      <c r="AM203" s="231"/>
      <c r="AN203" s="231"/>
      <c r="AO203" s="231"/>
      <c r="AP203" s="231"/>
      <c r="AQ203" s="231"/>
      <c r="AR203" s="231"/>
      <c r="AS203" s="231"/>
      <c r="AT203" s="231"/>
      <c r="AU203" s="231"/>
      <c r="AV203" s="231"/>
      <c r="AW203" s="231"/>
      <c r="AX203" s="231"/>
      <c r="AY203" s="231"/>
      <c r="AZ203" s="231"/>
    </row>
    <row r="204" spans="1:52">
      <c r="A204" s="69"/>
      <c r="B204" s="231"/>
      <c r="C204" s="232"/>
      <c r="D204" s="231"/>
      <c r="E204" s="231"/>
      <c r="F204" s="231"/>
      <c r="G204" s="231"/>
      <c r="H204" s="231"/>
      <c r="I204" s="231"/>
      <c r="J204" s="231"/>
      <c r="K204" s="231"/>
      <c r="L204" s="231"/>
      <c r="M204" s="231"/>
      <c r="N204" s="231"/>
      <c r="O204" s="231"/>
      <c r="P204" s="231"/>
      <c r="Q204" s="231"/>
      <c r="R204" s="231"/>
      <c r="S204" s="231"/>
      <c r="T204" s="231"/>
      <c r="U204" s="231"/>
      <c r="V204" s="231"/>
      <c r="W204" s="231"/>
      <c r="X204" s="231"/>
      <c r="Y204" s="231"/>
      <c r="Z204" s="231"/>
      <c r="AA204" s="231"/>
      <c r="AB204" s="231"/>
      <c r="AC204" s="231"/>
      <c r="AD204" s="231"/>
      <c r="AE204" s="231"/>
      <c r="AF204" s="231"/>
      <c r="AG204" s="231"/>
      <c r="AH204" s="231"/>
      <c r="AI204" s="231"/>
      <c r="AJ204" s="231"/>
      <c r="AK204" s="231"/>
      <c r="AL204" s="231"/>
      <c r="AM204" s="231"/>
      <c r="AN204" s="231"/>
      <c r="AO204" s="231"/>
      <c r="AP204" s="231"/>
      <c r="AQ204" s="231"/>
      <c r="AR204" s="231"/>
      <c r="AS204" s="231"/>
      <c r="AT204" s="231"/>
      <c r="AU204" s="231"/>
      <c r="AV204" s="231"/>
      <c r="AW204" s="231"/>
      <c r="AX204" s="231"/>
      <c r="AY204" s="231"/>
      <c r="AZ204" s="231"/>
    </row>
    <row r="205" spans="1:52">
      <c r="A205" s="69"/>
      <c r="B205" s="231"/>
      <c r="C205" s="232"/>
      <c r="D205" s="231"/>
      <c r="E205" s="231"/>
      <c r="F205" s="231"/>
      <c r="G205" s="231"/>
      <c r="H205" s="231"/>
      <c r="I205" s="231"/>
      <c r="J205" s="231"/>
      <c r="K205" s="231"/>
      <c r="L205" s="231"/>
      <c r="M205" s="231"/>
      <c r="N205" s="231"/>
      <c r="O205" s="231"/>
      <c r="P205" s="231"/>
      <c r="Q205" s="231"/>
      <c r="R205" s="231"/>
      <c r="S205" s="231"/>
      <c r="T205" s="231"/>
      <c r="U205" s="231"/>
      <c r="V205" s="231"/>
      <c r="W205" s="231"/>
      <c r="X205" s="231"/>
      <c r="Y205" s="231"/>
      <c r="Z205" s="231"/>
      <c r="AA205" s="231"/>
      <c r="AB205" s="231"/>
      <c r="AC205" s="231"/>
      <c r="AD205" s="231"/>
      <c r="AE205" s="231"/>
      <c r="AF205" s="231"/>
      <c r="AG205" s="231"/>
      <c r="AH205" s="231"/>
      <c r="AI205" s="231"/>
      <c r="AJ205" s="231"/>
      <c r="AK205" s="231"/>
      <c r="AL205" s="231"/>
      <c r="AM205" s="231"/>
      <c r="AN205" s="231"/>
      <c r="AO205" s="231"/>
      <c r="AP205" s="231"/>
      <c r="AQ205" s="231"/>
      <c r="AR205" s="231"/>
      <c r="AS205" s="231"/>
      <c r="AT205" s="231"/>
      <c r="AU205" s="231"/>
      <c r="AV205" s="231"/>
      <c r="AW205" s="231"/>
      <c r="AX205" s="231"/>
      <c r="AY205" s="231"/>
      <c r="AZ205" s="231"/>
    </row>
    <row r="206" spans="1:52">
      <c r="A206" s="69"/>
      <c r="C206" s="69"/>
      <c r="AD206" s="116">
        <v>0</v>
      </c>
    </row>
    <row r="207" spans="1:52">
      <c r="A207" s="69"/>
      <c r="C207" s="69"/>
      <c r="AD207" s="116">
        <v>0</v>
      </c>
    </row>
    <row r="208" spans="1:52">
      <c r="A208" s="69"/>
      <c r="C208" s="69"/>
      <c r="AD208" s="116">
        <v>0</v>
      </c>
    </row>
    <row r="209" spans="1:30">
      <c r="A209" s="69"/>
      <c r="C209" s="69"/>
      <c r="AD209" s="116">
        <v>0</v>
      </c>
    </row>
    <row r="210" spans="1:30" hidden="1">
      <c r="A210" s="69"/>
      <c r="C210" s="69"/>
      <c r="AD210" s="116">
        <v>0</v>
      </c>
    </row>
    <row r="211" spans="1:30" hidden="1">
      <c r="A211" s="69"/>
      <c r="C211" s="69"/>
      <c r="AD211" s="116">
        <v>0</v>
      </c>
    </row>
    <row r="212" spans="1:30" hidden="1">
      <c r="A212" s="69"/>
      <c r="C212" s="69"/>
      <c r="AD212" s="116">
        <v>0</v>
      </c>
    </row>
    <row r="213" spans="1:30" hidden="1">
      <c r="A213" s="69"/>
      <c r="C213" s="69"/>
      <c r="AD213" s="116">
        <v>0</v>
      </c>
    </row>
    <row r="214" spans="1:30" hidden="1">
      <c r="A214" s="69"/>
      <c r="C214" s="69"/>
      <c r="AD214" s="116">
        <v>0</v>
      </c>
    </row>
    <row r="215" spans="1:30" hidden="1">
      <c r="A215" s="69"/>
      <c r="C215" s="69"/>
      <c r="AD215" s="116">
        <v>0</v>
      </c>
    </row>
    <row r="216" spans="1:30" hidden="1">
      <c r="A216" s="69"/>
      <c r="C216" s="69"/>
      <c r="AD216" s="116">
        <v>0</v>
      </c>
    </row>
    <row r="217" spans="1:30" hidden="1">
      <c r="A217" s="69"/>
      <c r="C217" s="69"/>
      <c r="AD217" s="116">
        <v>0</v>
      </c>
    </row>
    <row r="218" spans="1:30" hidden="1">
      <c r="A218" s="69"/>
      <c r="C218" s="69"/>
      <c r="AD218" s="116">
        <v>0</v>
      </c>
    </row>
    <row r="219" spans="1:30" hidden="1">
      <c r="A219" s="69"/>
      <c r="C219" s="69"/>
      <c r="AD219" s="116">
        <v>0</v>
      </c>
    </row>
    <row r="220" spans="1:30" hidden="1">
      <c r="A220" s="69"/>
      <c r="C220" s="69"/>
      <c r="AD220" s="116">
        <v>0</v>
      </c>
    </row>
    <row r="221" spans="1:30" hidden="1">
      <c r="A221" s="69"/>
      <c r="C221" s="69"/>
      <c r="AD221" s="116">
        <v>0</v>
      </c>
    </row>
    <row r="222" spans="1:30" hidden="1">
      <c r="A222" s="69"/>
      <c r="C222" s="69"/>
      <c r="AD222" s="116">
        <v>0</v>
      </c>
    </row>
    <row r="223" spans="1:30" hidden="1">
      <c r="A223" s="69"/>
      <c r="C223" s="69"/>
      <c r="AD223" s="116">
        <v>0</v>
      </c>
    </row>
    <row r="224" spans="1:30" hidden="1">
      <c r="A224" s="69"/>
      <c r="C224" s="69"/>
      <c r="AD224" s="116">
        <v>0</v>
      </c>
    </row>
    <row r="225" spans="1:30" hidden="1">
      <c r="A225" s="69"/>
      <c r="C225" s="69"/>
      <c r="AD225" s="116">
        <v>0</v>
      </c>
    </row>
    <row r="226" spans="1:30" hidden="1">
      <c r="A226" s="69"/>
      <c r="C226" s="69"/>
      <c r="AD226" s="116">
        <v>0</v>
      </c>
    </row>
    <row r="227" spans="1:30" hidden="1">
      <c r="A227" s="69"/>
      <c r="C227" s="69"/>
      <c r="AD227" s="116">
        <v>0</v>
      </c>
    </row>
    <row r="228" spans="1:30" hidden="1">
      <c r="A228" s="69"/>
      <c r="C228" s="69"/>
      <c r="AD228" s="116">
        <v>0</v>
      </c>
    </row>
    <row r="229" spans="1:30" hidden="1">
      <c r="A229" s="69"/>
      <c r="C229" s="69"/>
      <c r="AD229" s="116">
        <v>0</v>
      </c>
    </row>
    <row r="230" spans="1:30" hidden="1">
      <c r="A230" s="69"/>
      <c r="C230" s="69"/>
      <c r="AD230" s="116">
        <v>0</v>
      </c>
    </row>
    <row r="231" spans="1:30" hidden="1">
      <c r="A231" s="69"/>
      <c r="C231" s="69"/>
      <c r="AD231" s="116">
        <v>0</v>
      </c>
    </row>
    <row r="232" spans="1:30" hidden="1">
      <c r="A232" s="69"/>
      <c r="C232" s="69"/>
      <c r="AD232" s="116">
        <v>0</v>
      </c>
    </row>
    <row r="233" spans="1:30" hidden="1">
      <c r="A233" s="69"/>
      <c r="C233" s="69"/>
      <c r="AD233" s="116">
        <v>0</v>
      </c>
    </row>
    <row r="234" spans="1:30" hidden="1">
      <c r="A234" s="69"/>
      <c r="C234" s="69"/>
      <c r="AD234" s="116">
        <v>0</v>
      </c>
    </row>
    <row r="235" spans="1:30" hidden="1">
      <c r="A235" s="69"/>
      <c r="C235" s="69"/>
      <c r="AD235" s="116">
        <v>0</v>
      </c>
    </row>
    <row r="236" spans="1:30" hidden="1">
      <c r="A236" s="69"/>
      <c r="C236" s="69"/>
      <c r="AD236" s="116">
        <v>0</v>
      </c>
    </row>
    <row r="237" spans="1:30" hidden="1">
      <c r="A237" s="69"/>
      <c r="C237" s="69"/>
      <c r="AD237" s="116">
        <v>0</v>
      </c>
    </row>
    <row r="238" spans="1:30" hidden="1">
      <c r="A238" s="69"/>
      <c r="C238" s="69"/>
      <c r="AD238" s="116">
        <v>0</v>
      </c>
    </row>
    <row r="239" spans="1:30" hidden="1">
      <c r="A239" s="69"/>
      <c r="C239" s="69"/>
      <c r="AD239" s="116">
        <v>0</v>
      </c>
    </row>
    <row r="240" spans="1:30" hidden="1">
      <c r="A240" s="69"/>
      <c r="C240" s="69"/>
      <c r="AD240" s="116">
        <v>0</v>
      </c>
    </row>
    <row r="241" spans="1:30" hidden="1">
      <c r="A241" s="69"/>
      <c r="C241" s="69"/>
      <c r="AD241" s="116">
        <v>0</v>
      </c>
    </row>
    <row r="242" spans="1:30" hidden="1">
      <c r="A242" s="69"/>
      <c r="C242" s="69"/>
      <c r="AD242" s="116">
        <v>0</v>
      </c>
    </row>
    <row r="243" spans="1:30" hidden="1">
      <c r="A243" s="69"/>
      <c r="C243" s="69"/>
      <c r="AD243" s="116">
        <v>0</v>
      </c>
    </row>
    <row r="244" spans="1:30" hidden="1">
      <c r="A244" s="69"/>
      <c r="C244" s="69"/>
      <c r="AD244" s="116">
        <v>0</v>
      </c>
    </row>
    <row r="245" spans="1:30" hidden="1">
      <c r="A245" s="69"/>
      <c r="C245" s="69"/>
      <c r="AD245" s="116">
        <v>0</v>
      </c>
    </row>
    <row r="246" spans="1:30" hidden="1">
      <c r="A246" s="69"/>
      <c r="C246" s="69"/>
      <c r="AD246" s="116">
        <v>0</v>
      </c>
    </row>
    <row r="247" spans="1:30" hidden="1">
      <c r="A247" s="69"/>
      <c r="C247" s="69"/>
      <c r="AD247" s="116">
        <v>0</v>
      </c>
    </row>
    <row r="248" spans="1:30" hidden="1">
      <c r="A248" s="69"/>
      <c r="C248" s="69"/>
      <c r="AD248" s="116">
        <v>0</v>
      </c>
    </row>
    <row r="249" spans="1:30" hidden="1">
      <c r="A249" s="69"/>
      <c r="C249" s="69"/>
      <c r="AD249" s="116">
        <v>0</v>
      </c>
    </row>
    <row r="250" spans="1:30" hidden="1">
      <c r="A250" s="69"/>
      <c r="C250" s="69"/>
      <c r="AD250" s="116">
        <v>0</v>
      </c>
    </row>
    <row r="251" spans="1:30" hidden="1">
      <c r="A251" s="69"/>
      <c r="C251" s="69"/>
      <c r="AD251" s="116">
        <v>0</v>
      </c>
    </row>
    <row r="252" spans="1:30" hidden="1">
      <c r="A252" s="69"/>
      <c r="C252" s="69"/>
      <c r="AD252" s="116">
        <v>0</v>
      </c>
    </row>
    <row r="253" spans="1:30" hidden="1">
      <c r="A253" s="69"/>
      <c r="C253" s="69"/>
      <c r="AD253" s="116">
        <v>0</v>
      </c>
    </row>
    <row r="254" spans="1:30" hidden="1">
      <c r="A254" s="69"/>
      <c r="C254" s="69"/>
      <c r="AD254" s="116">
        <v>0</v>
      </c>
    </row>
    <row r="255" spans="1:30" hidden="1">
      <c r="A255" s="69"/>
      <c r="C255" s="69"/>
      <c r="AD255" s="116">
        <v>0</v>
      </c>
    </row>
    <row r="256" spans="1:30" hidden="1">
      <c r="A256" s="69"/>
      <c r="C256" s="69"/>
      <c r="AD256" s="116">
        <v>0</v>
      </c>
    </row>
    <row r="257" spans="1:30" hidden="1">
      <c r="A257" s="69"/>
      <c r="C257" s="69"/>
      <c r="AD257" s="116">
        <v>0</v>
      </c>
    </row>
    <row r="258" spans="1:30" hidden="1">
      <c r="A258" s="69"/>
      <c r="C258" s="69"/>
      <c r="AD258" s="116">
        <v>0</v>
      </c>
    </row>
    <row r="259" spans="1:30" hidden="1">
      <c r="A259" s="69"/>
      <c r="C259" s="69"/>
      <c r="AD259" s="116">
        <v>0</v>
      </c>
    </row>
    <row r="260" spans="1:30" hidden="1">
      <c r="A260" s="69"/>
      <c r="C260" s="69"/>
      <c r="AD260" s="116">
        <v>0</v>
      </c>
    </row>
    <row r="261" spans="1:30" hidden="1">
      <c r="A261" s="69"/>
      <c r="C261" s="69"/>
      <c r="AD261" s="116">
        <v>0</v>
      </c>
    </row>
    <row r="262" spans="1:30" hidden="1">
      <c r="A262" s="69"/>
      <c r="C262" s="69"/>
      <c r="AD262" s="116">
        <v>0</v>
      </c>
    </row>
    <row r="263" spans="1:30" hidden="1">
      <c r="A263" s="69"/>
      <c r="C263" s="69"/>
      <c r="AD263" s="116">
        <v>0</v>
      </c>
    </row>
    <row r="264" spans="1:30" hidden="1">
      <c r="A264" s="69"/>
      <c r="C264" s="69"/>
      <c r="AD264" s="116">
        <v>0</v>
      </c>
    </row>
    <row r="265" spans="1:30" hidden="1">
      <c r="A265" s="69"/>
      <c r="C265" s="69"/>
      <c r="AD265" s="116">
        <v>0</v>
      </c>
    </row>
    <row r="266" spans="1:30" hidden="1">
      <c r="A266" s="69"/>
      <c r="C266" s="69"/>
      <c r="AD266" s="116">
        <v>0</v>
      </c>
    </row>
    <row r="267" spans="1:30" hidden="1">
      <c r="A267" s="69"/>
      <c r="C267" s="69"/>
      <c r="AD267" s="116">
        <v>0</v>
      </c>
    </row>
    <row r="268" spans="1:30" hidden="1">
      <c r="A268" s="69"/>
      <c r="C268" s="69"/>
      <c r="AD268" s="116">
        <v>0</v>
      </c>
    </row>
    <row r="269" spans="1:30" hidden="1">
      <c r="A269" s="69"/>
      <c r="C269" s="69"/>
      <c r="AD269" s="116">
        <v>0</v>
      </c>
    </row>
    <row r="270" spans="1:30" hidden="1">
      <c r="A270" s="69"/>
      <c r="C270" s="69"/>
      <c r="AD270" s="116">
        <v>0</v>
      </c>
    </row>
    <row r="271" spans="1:30" hidden="1">
      <c r="A271" s="69"/>
      <c r="C271" s="69"/>
      <c r="AD271" s="116">
        <v>0</v>
      </c>
    </row>
    <row r="272" spans="1:30" hidden="1">
      <c r="A272" s="69"/>
      <c r="C272" s="69"/>
      <c r="AD272" s="116">
        <v>0</v>
      </c>
    </row>
    <row r="273" spans="1:30" hidden="1">
      <c r="A273" s="69"/>
      <c r="C273" s="69"/>
      <c r="AD273" s="116">
        <v>0</v>
      </c>
    </row>
    <row r="274" spans="1:30" hidden="1">
      <c r="A274" s="69"/>
      <c r="C274" s="69"/>
      <c r="AD274" s="116">
        <v>0</v>
      </c>
    </row>
    <row r="275" spans="1:30" hidden="1">
      <c r="A275" s="69"/>
      <c r="C275" s="69"/>
      <c r="AD275" s="116">
        <v>0</v>
      </c>
    </row>
    <row r="276" spans="1:30" hidden="1">
      <c r="A276" s="69"/>
      <c r="C276" s="69"/>
      <c r="AD276" s="116">
        <v>0</v>
      </c>
    </row>
    <row r="277" spans="1:30" hidden="1">
      <c r="A277" s="69"/>
      <c r="C277" s="69"/>
      <c r="AD277" s="116">
        <v>0</v>
      </c>
    </row>
    <row r="278" spans="1:30" hidden="1">
      <c r="A278" s="69"/>
      <c r="C278" s="69"/>
      <c r="AD278" s="116">
        <v>0</v>
      </c>
    </row>
    <row r="279" spans="1:30" hidden="1">
      <c r="A279" s="69"/>
      <c r="C279" s="69"/>
      <c r="AD279" s="116">
        <v>0</v>
      </c>
    </row>
    <row r="280" spans="1:30" hidden="1">
      <c r="A280" s="69"/>
      <c r="C280" s="69"/>
      <c r="AD280" s="116">
        <v>0</v>
      </c>
    </row>
    <row r="281" spans="1:30" hidden="1">
      <c r="A281" s="69"/>
      <c r="C281" s="69"/>
      <c r="AD281" s="116">
        <v>0</v>
      </c>
    </row>
    <row r="282" spans="1:30" hidden="1">
      <c r="A282" s="69"/>
      <c r="C282" s="69"/>
      <c r="AD282" s="116">
        <v>0</v>
      </c>
    </row>
    <row r="283" spans="1:30" hidden="1">
      <c r="A283" s="69"/>
      <c r="C283" s="69"/>
      <c r="AD283" s="116">
        <v>0</v>
      </c>
    </row>
    <row r="284" spans="1:30" hidden="1">
      <c r="A284" s="69"/>
      <c r="C284" s="69"/>
      <c r="AD284" s="116">
        <v>0</v>
      </c>
    </row>
    <row r="285" spans="1:30" hidden="1">
      <c r="A285" s="69"/>
      <c r="C285" s="69"/>
      <c r="AD285" s="116">
        <v>0</v>
      </c>
    </row>
    <row r="286" spans="1:30" hidden="1">
      <c r="A286" s="69"/>
      <c r="C286" s="69"/>
      <c r="AD286" s="116">
        <v>0</v>
      </c>
    </row>
    <row r="287" spans="1:30" hidden="1">
      <c r="A287" s="69"/>
      <c r="C287" s="69"/>
      <c r="AD287" s="116">
        <v>0</v>
      </c>
    </row>
    <row r="288" spans="1:30" hidden="1">
      <c r="A288" s="69"/>
      <c r="C288" s="69"/>
      <c r="AD288" s="116">
        <v>0</v>
      </c>
    </row>
    <row r="289" spans="1:30" hidden="1">
      <c r="A289" s="69"/>
      <c r="C289" s="69"/>
      <c r="AD289" s="116">
        <v>0</v>
      </c>
    </row>
    <row r="290" spans="1:30" hidden="1">
      <c r="A290" s="69"/>
      <c r="C290" s="69"/>
      <c r="AD290" s="116">
        <v>0</v>
      </c>
    </row>
    <row r="291" spans="1:30" hidden="1">
      <c r="A291" s="69"/>
      <c r="C291" s="69"/>
      <c r="AD291" s="116">
        <v>0</v>
      </c>
    </row>
    <row r="292" spans="1:30" hidden="1">
      <c r="A292" s="69"/>
      <c r="C292" s="69"/>
      <c r="AD292" s="116">
        <v>0</v>
      </c>
    </row>
    <row r="293" spans="1:30" hidden="1">
      <c r="A293" s="69"/>
      <c r="C293" s="69"/>
      <c r="AD293" s="116">
        <v>0</v>
      </c>
    </row>
    <row r="294" spans="1:30" hidden="1">
      <c r="A294" s="69"/>
      <c r="C294" s="69"/>
      <c r="AD294" s="116">
        <v>0</v>
      </c>
    </row>
    <row r="295" spans="1:30" hidden="1">
      <c r="A295" s="69"/>
      <c r="C295" s="69"/>
      <c r="AD295" s="116">
        <v>0</v>
      </c>
    </row>
    <row r="296" spans="1:30" hidden="1">
      <c r="A296" s="69"/>
      <c r="C296" s="69"/>
      <c r="AD296" s="116">
        <v>0</v>
      </c>
    </row>
    <row r="297" spans="1:30" hidden="1">
      <c r="A297" s="69"/>
      <c r="C297" s="69"/>
      <c r="AD297" s="116">
        <v>0</v>
      </c>
    </row>
    <row r="298" spans="1:30" hidden="1">
      <c r="A298" s="69"/>
      <c r="C298" s="69"/>
      <c r="AD298" s="116">
        <v>0</v>
      </c>
    </row>
    <row r="299" spans="1:30" hidden="1">
      <c r="A299" s="69"/>
      <c r="C299" s="69"/>
      <c r="AD299" s="116">
        <v>0</v>
      </c>
    </row>
    <row r="300" spans="1:30" hidden="1">
      <c r="A300" s="69"/>
      <c r="C300" s="69"/>
      <c r="AD300" s="116">
        <v>0</v>
      </c>
    </row>
    <row r="301" spans="1:30" hidden="1">
      <c r="A301" s="69"/>
      <c r="C301" s="69"/>
      <c r="AD301" s="116">
        <v>0</v>
      </c>
    </row>
    <row r="302" spans="1:30" hidden="1">
      <c r="A302" s="69"/>
      <c r="C302" s="69"/>
      <c r="AD302" s="116">
        <v>0</v>
      </c>
    </row>
    <row r="303" spans="1:30" hidden="1">
      <c r="A303" s="69"/>
      <c r="C303" s="69"/>
      <c r="AD303" s="116">
        <v>0</v>
      </c>
    </row>
    <row r="304" spans="1:30" hidden="1">
      <c r="A304" s="69"/>
      <c r="C304" s="69"/>
      <c r="AD304" s="116">
        <v>0</v>
      </c>
    </row>
    <row r="305" spans="1:30" hidden="1">
      <c r="A305" s="69"/>
      <c r="C305" s="69"/>
      <c r="AD305" s="116">
        <v>0</v>
      </c>
    </row>
    <row r="306" spans="1:30" hidden="1">
      <c r="A306" s="69"/>
      <c r="C306" s="69"/>
      <c r="AD306" s="116">
        <v>0</v>
      </c>
    </row>
    <row r="307" spans="1:30" hidden="1">
      <c r="A307" s="69"/>
      <c r="C307" s="69"/>
      <c r="AD307" s="116">
        <v>0</v>
      </c>
    </row>
    <row r="308" spans="1:30" hidden="1">
      <c r="A308" s="69"/>
      <c r="C308" s="69"/>
      <c r="AD308" s="116">
        <v>0</v>
      </c>
    </row>
    <row r="309" spans="1:30" hidden="1">
      <c r="A309" s="69"/>
      <c r="C309" s="69"/>
      <c r="AD309" s="116">
        <v>0</v>
      </c>
    </row>
    <row r="310" spans="1:30" hidden="1">
      <c r="A310" s="69"/>
      <c r="C310" s="69"/>
      <c r="AD310" s="116">
        <v>0</v>
      </c>
    </row>
    <row r="311" spans="1:30" hidden="1">
      <c r="A311" s="69"/>
      <c r="C311" s="69"/>
      <c r="AD311" s="116">
        <v>0</v>
      </c>
    </row>
    <row r="312" spans="1:30" hidden="1">
      <c r="A312" s="69"/>
      <c r="C312" s="69"/>
      <c r="AD312" s="116">
        <v>0</v>
      </c>
    </row>
    <row r="313" spans="1:30" hidden="1">
      <c r="A313" s="69"/>
      <c r="C313" s="69"/>
      <c r="AD313" s="116">
        <v>0</v>
      </c>
    </row>
    <row r="314" spans="1:30" hidden="1">
      <c r="A314" s="69"/>
      <c r="C314" s="69"/>
      <c r="AD314" s="116">
        <v>0</v>
      </c>
    </row>
    <row r="315" spans="1:30" hidden="1">
      <c r="A315" s="69"/>
      <c r="C315" s="69"/>
      <c r="AD315" s="116">
        <v>0</v>
      </c>
    </row>
    <row r="316" spans="1:30" hidden="1">
      <c r="A316" s="69"/>
      <c r="C316" s="69"/>
      <c r="AD316" s="116">
        <v>0</v>
      </c>
    </row>
    <row r="317" spans="1:30" hidden="1">
      <c r="A317" s="69"/>
      <c r="C317" s="69"/>
      <c r="AD317" s="116">
        <v>0</v>
      </c>
    </row>
    <row r="318" spans="1:30" hidden="1">
      <c r="A318" s="69"/>
      <c r="C318" s="69"/>
      <c r="AD318" s="116">
        <v>0</v>
      </c>
    </row>
    <row r="319" spans="1:30" hidden="1">
      <c r="A319" s="69"/>
      <c r="C319" s="69"/>
      <c r="AD319" s="116">
        <v>0</v>
      </c>
    </row>
    <row r="320" spans="1:30" hidden="1">
      <c r="A320" s="69"/>
      <c r="C320" s="69"/>
      <c r="AD320" s="116">
        <v>0</v>
      </c>
    </row>
    <row r="321" spans="1:30" hidden="1">
      <c r="A321" s="69"/>
      <c r="C321" s="69"/>
      <c r="AD321" s="116">
        <v>0</v>
      </c>
    </row>
    <row r="322" spans="1:30" hidden="1">
      <c r="A322" s="69"/>
      <c r="C322" s="69"/>
      <c r="AD322" s="116">
        <v>0</v>
      </c>
    </row>
    <row r="323" spans="1:30" hidden="1">
      <c r="A323" s="69"/>
      <c r="C323" s="69"/>
      <c r="AD323" s="116">
        <v>0</v>
      </c>
    </row>
    <row r="324" spans="1:30" hidden="1">
      <c r="A324" s="69"/>
      <c r="C324" s="69"/>
      <c r="AD324" s="116">
        <v>0</v>
      </c>
    </row>
    <row r="325" spans="1:30" hidden="1">
      <c r="A325" s="69"/>
      <c r="C325" s="69"/>
      <c r="AD325" s="116">
        <v>0</v>
      </c>
    </row>
    <row r="326" spans="1:30" hidden="1">
      <c r="A326" s="69"/>
      <c r="C326" s="69"/>
      <c r="AD326" s="116">
        <v>0</v>
      </c>
    </row>
    <row r="327" spans="1:30" hidden="1">
      <c r="A327" s="69"/>
      <c r="C327" s="69"/>
      <c r="AD327" s="116">
        <v>0</v>
      </c>
    </row>
    <row r="328" spans="1:30" hidden="1">
      <c r="A328" s="69"/>
      <c r="C328" s="69"/>
      <c r="AD328" s="116">
        <v>0</v>
      </c>
    </row>
    <row r="329" spans="1:30" hidden="1">
      <c r="A329" s="69"/>
      <c r="C329" s="69"/>
      <c r="AD329" s="116">
        <v>0</v>
      </c>
    </row>
    <row r="330" spans="1:30" hidden="1">
      <c r="A330" s="69"/>
      <c r="C330" s="69"/>
      <c r="AD330" s="116">
        <v>0</v>
      </c>
    </row>
    <row r="331" spans="1:30" hidden="1">
      <c r="A331" s="69"/>
      <c r="C331" s="69"/>
      <c r="AD331" s="116">
        <v>0</v>
      </c>
    </row>
    <row r="332" spans="1:30" hidden="1">
      <c r="A332" s="69"/>
      <c r="C332" s="69"/>
      <c r="AD332" s="116">
        <v>0</v>
      </c>
    </row>
    <row r="333" spans="1:30" hidden="1">
      <c r="A333" s="69"/>
      <c r="C333" s="69"/>
      <c r="AD333" s="116">
        <v>0</v>
      </c>
    </row>
    <row r="334" spans="1:30" hidden="1">
      <c r="A334" s="69"/>
      <c r="C334" s="69"/>
      <c r="AD334" s="116">
        <v>0</v>
      </c>
    </row>
    <row r="335" spans="1:30" hidden="1">
      <c r="A335" s="69"/>
      <c r="C335" s="69"/>
      <c r="AD335" s="116">
        <v>0</v>
      </c>
    </row>
    <row r="336" spans="1:30" hidden="1">
      <c r="A336" s="69"/>
      <c r="C336" s="69"/>
      <c r="AD336" s="116">
        <v>0</v>
      </c>
    </row>
    <row r="337" spans="1:30" hidden="1">
      <c r="A337" s="69"/>
      <c r="C337" s="69"/>
      <c r="AD337" s="116">
        <v>0</v>
      </c>
    </row>
    <row r="338" spans="1:30" hidden="1">
      <c r="A338" s="69"/>
      <c r="C338" s="69"/>
      <c r="AD338" s="116">
        <v>0</v>
      </c>
    </row>
    <row r="339" spans="1:30" hidden="1">
      <c r="A339" s="69"/>
      <c r="C339" s="69"/>
      <c r="AD339" s="116">
        <v>0</v>
      </c>
    </row>
    <row r="340" spans="1:30" hidden="1">
      <c r="A340" s="69"/>
      <c r="C340" s="69"/>
      <c r="AD340" s="116">
        <v>0</v>
      </c>
    </row>
    <row r="341" spans="1:30" hidden="1">
      <c r="A341" s="69"/>
      <c r="C341" s="69"/>
      <c r="AD341" s="116">
        <v>0</v>
      </c>
    </row>
    <row r="342" spans="1:30" hidden="1">
      <c r="A342" s="69"/>
      <c r="C342" s="69"/>
      <c r="AD342" s="116">
        <v>0</v>
      </c>
    </row>
    <row r="343" spans="1:30" hidden="1">
      <c r="A343" s="69"/>
      <c r="C343" s="69"/>
      <c r="AD343" s="116">
        <v>0</v>
      </c>
    </row>
    <row r="344" spans="1:30" hidden="1">
      <c r="A344" s="69">
        <f>C344</f>
        <v>0</v>
      </c>
      <c r="C344" s="69"/>
      <c r="AD344" s="116">
        <v>0</v>
      </c>
    </row>
    <row r="345" spans="1:30" hidden="1">
      <c r="C345" s="69"/>
    </row>
    <row r="346" spans="1:30" hidden="1">
      <c r="C346" s="69"/>
    </row>
    <row r="347" spans="1:30" hidden="1">
      <c r="C347" s="69"/>
    </row>
    <row r="348" spans="1:30" hidden="1">
      <c r="C348" s="69"/>
    </row>
    <row r="349" spans="1:30" hidden="1">
      <c r="C349" s="69"/>
    </row>
    <row r="350" spans="1:30" hidden="1">
      <c r="C350" s="69"/>
    </row>
    <row r="351" spans="1:30" hidden="1">
      <c r="C351" s="69"/>
    </row>
    <row r="352" spans="1:30" hidden="1">
      <c r="C352" s="69"/>
    </row>
    <row r="353" spans="3:3" hidden="1">
      <c r="C353" s="69"/>
    </row>
    <row r="354" spans="3:3" hidden="1">
      <c r="C354" s="69"/>
    </row>
    <row r="355" spans="3:3" hidden="1">
      <c r="C355" s="69"/>
    </row>
    <row r="356" spans="3:3" hidden="1">
      <c r="C356" s="69"/>
    </row>
    <row r="357" spans="3:3" hidden="1">
      <c r="C357" s="69"/>
    </row>
    <row r="358" spans="3:3" hidden="1">
      <c r="C358" s="69"/>
    </row>
    <row r="359" spans="3:3" hidden="1">
      <c r="C359" s="69"/>
    </row>
    <row r="360" spans="3:3" hidden="1">
      <c r="C360" s="69"/>
    </row>
    <row r="361" spans="3:3" hidden="1">
      <c r="C361" s="69"/>
    </row>
    <row r="362" spans="3:3" hidden="1">
      <c r="C362" s="69"/>
    </row>
    <row r="363" spans="3:3" hidden="1">
      <c r="C363" s="69"/>
    </row>
    <row r="364" spans="3:3" hidden="1">
      <c r="C364" s="69"/>
    </row>
    <row r="365" spans="3:3" hidden="1">
      <c r="C365" s="69"/>
    </row>
    <row r="366" spans="3:3" hidden="1">
      <c r="C366" s="69"/>
    </row>
    <row r="367" spans="3:3" hidden="1">
      <c r="C367" s="69"/>
    </row>
    <row r="368" spans="3:3" hidden="1">
      <c r="C368" s="69"/>
    </row>
    <row r="369" spans="3:3" hidden="1">
      <c r="C369" s="69"/>
    </row>
    <row r="370" spans="3:3" hidden="1">
      <c r="C370" s="69"/>
    </row>
    <row r="371" spans="3:3" hidden="1">
      <c r="C371" s="69"/>
    </row>
    <row r="372" spans="3:3" hidden="1">
      <c r="C372" s="69"/>
    </row>
    <row r="373" spans="3:3" hidden="1">
      <c r="C373" s="69"/>
    </row>
    <row r="374" spans="3:3" hidden="1">
      <c r="C374" s="69"/>
    </row>
    <row r="375" spans="3:3" hidden="1">
      <c r="C375" s="69"/>
    </row>
    <row r="376" spans="3:3" hidden="1">
      <c r="C376" s="69"/>
    </row>
    <row r="377" spans="3:3" hidden="1">
      <c r="C377" s="69"/>
    </row>
    <row r="378" spans="3:3" hidden="1">
      <c r="C378" s="69"/>
    </row>
    <row r="379" spans="3:3" hidden="1">
      <c r="C379" s="69"/>
    </row>
    <row r="380" spans="3:3" hidden="1">
      <c r="C380" s="69"/>
    </row>
    <row r="381" spans="3:3" hidden="1">
      <c r="C381" s="69"/>
    </row>
    <row r="382" spans="3:3" hidden="1">
      <c r="C382" s="69"/>
    </row>
    <row r="383" spans="3:3" hidden="1">
      <c r="C383" s="69"/>
    </row>
    <row r="384" spans="3:3" hidden="1">
      <c r="C384" s="69"/>
    </row>
    <row r="385" spans="3:3" hidden="1">
      <c r="C385" s="69"/>
    </row>
    <row r="386" spans="3:3" hidden="1">
      <c r="C386" s="69"/>
    </row>
    <row r="387" spans="3:3" hidden="1">
      <c r="C387" s="69"/>
    </row>
    <row r="388" spans="3:3" hidden="1">
      <c r="C388" s="69"/>
    </row>
    <row r="389" spans="3:3" hidden="1">
      <c r="C389" s="69"/>
    </row>
    <row r="390" spans="3:3" hidden="1">
      <c r="C390" s="69"/>
    </row>
    <row r="391" spans="3:3" hidden="1">
      <c r="C391" s="69"/>
    </row>
    <row r="392" spans="3:3" hidden="1">
      <c r="C392" s="69"/>
    </row>
    <row r="393" spans="3:3" hidden="1">
      <c r="C393" s="69"/>
    </row>
    <row r="394" spans="3:3" hidden="1">
      <c r="C394" s="69"/>
    </row>
    <row r="395" spans="3:3" hidden="1">
      <c r="C395" s="69"/>
    </row>
    <row r="396" spans="3:3" hidden="1">
      <c r="C396" s="69"/>
    </row>
    <row r="397" spans="3:3" hidden="1">
      <c r="C397" s="69"/>
    </row>
    <row r="398" spans="3:3" hidden="1">
      <c r="C398" s="69"/>
    </row>
    <row r="399" spans="3:3" hidden="1">
      <c r="C399" s="69"/>
    </row>
    <row r="400" spans="3:3" hidden="1">
      <c r="C400" s="69"/>
    </row>
    <row r="401" spans="3:3" hidden="1">
      <c r="C401" s="69"/>
    </row>
    <row r="402" spans="3:3" hidden="1">
      <c r="C402" s="69"/>
    </row>
    <row r="403" spans="3:3" hidden="1">
      <c r="C403" s="69"/>
    </row>
    <row r="404" spans="3:3" hidden="1">
      <c r="C404" s="69"/>
    </row>
    <row r="405" spans="3:3" hidden="1">
      <c r="C405" s="69"/>
    </row>
    <row r="406" spans="3:3" hidden="1">
      <c r="C406" s="69"/>
    </row>
    <row r="407" spans="3:3" hidden="1">
      <c r="C407" s="69"/>
    </row>
    <row r="408" spans="3:3" hidden="1">
      <c r="C408" s="69"/>
    </row>
    <row r="409" spans="3:3" hidden="1">
      <c r="C409" s="69"/>
    </row>
    <row r="410" spans="3:3" hidden="1">
      <c r="C410" s="69"/>
    </row>
    <row r="411" spans="3:3" hidden="1">
      <c r="C411" s="69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4">
    <tabColor theme="7" tint="-0.249977111117893"/>
  </sheetPr>
  <dimension ref="A1:BB640"/>
  <sheetViews>
    <sheetView workbookViewId="0">
      <selection activeCell="N20" sqref="N20"/>
    </sheetView>
  </sheetViews>
  <sheetFormatPr baseColWidth="10" defaultColWidth="0" defaultRowHeight="15" zeroHeight="1"/>
  <cols>
    <col min="1" max="1" width="24.42578125" style="101" customWidth="1"/>
    <col min="2" max="2" width="18.5703125" style="101" customWidth="1"/>
    <col min="3" max="3" width="11.5703125" style="101" bestFit="1" customWidth="1"/>
    <col min="4" max="4" width="11.140625" style="101" customWidth="1"/>
    <col min="5" max="9" width="6.7109375" style="101" customWidth="1"/>
    <col min="10" max="10" width="3.28515625" style="101" bestFit="1" customWidth="1"/>
    <col min="11" max="11" width="7.28515625" style="101" bestFit="1" customWidth="1"/>
    <col min="12" max="12" width="4.5703125" style="101" bestFit="1" customWidth="1"/>
    <col min="13" max="13" width="6.28515625" style="101" bestFit="1" customWidth="1"/>
    <col min="14" max="14" width="6.5703125" style="101" bestFit="1" customWidth="1"/>
    <col min="15" max="15" width="6.140625" style="101" bestFit="1" customWidth="1"/>
    <col min="16" max="16" width="6.85546875" style="101" bestFit="1" customWidth="1"/>
    <col min="17" max="17" width="6.5703125" style="101" bestFit="1" customWidth="1"/>
    <col min="18" max="18" width="7.140625" style="101" bestFit="1" customWidth="1"/>
    <col min="19" max="19" width="8.7109375" style="101" bestFit="1" customWidth="1"/>
    <col min="20" max="20" width="9" style="101" bestFit="1" customWidth="1"/>
    <col min="21" max="21" width="3.28515625" style="101" bestFit="1" customWidth="1"/>
    <col min="22" max="22" width="9" style="101" bestFit="1" customWidth="1"/>
    <col min="23" max="23" width="5" style="101" bestFit="1" customWidth="1"/>
    <col min="24" max="24" width="7.5703125" style="101" bestFit="1" customWidth="1"/>
    <col min="25" max="25" width="5" style="101" bestFit="1" customWidth="1"/>
    <col min="26" max="26" width="9" style="101" bestFit="1" customWidth="1"/>
    <col min="27" max="27" width="6.5703125" style="101" bestFit="1" customWidth="1"/>
    <col min="28" max="28" width="10" style="101" bestFit="1" customWidth="1"/>
    <col min="29" max="29" width="7.5703125" style="101" bestFit="1" customWidth="1"/>
    <col min="30" max="30" width="6.5703125" style="101" bestFit="1" customWidth="1"/>
    <col min="31" max="31" width="7.5703125" style="101" bestFit="1" customWidth="1"/>
    <col min="32" max="32" width="9" style="101" bestFit="1" customWidth="1"/>
    <col min="33" max="33" width="5" style="101" bestFit="1" customWidth="1"/>
    <col min="34" max="35" width="10" style="101" bestFit="1" customWidth="1"/>
    <col min="36" max="36" width="14.28515625" style="101" bestFit="1" customWidth="1"/>
    <col min="37" max="37" width="13.28515625" style="101" bestFit="1" customWidth="1"/>
    <col min="38" max="39" width="12" style="101" bestFit="1" customWidth="1"/>
    <col min="40" max="40" width="10.85546875" style="101" bestFit="1" customWidth="1"/>
    <col min="41" max="41" width="11.7109375" style="101" bestFit="1" customWidth="1"/>
    <col min="42" max="42" width="7.5703125" style="101" bestFit="1" customWidth="1"/>
    <col min="43" max="43" width="13.85546875" style="101" bestFit="1" customWidth="1"/>
    <col min="44" max="44" width="12.7109375" style="101" bestFit="1" customWidth="1"/>
    <col min="45" max="45" width="14.140625" style="101" bestFit="1" customWidth="1"/>
    <col min="46" max="46" width="5" style="101" bestFit="1" customWidth="1"/>
    <col min="47" max="47" width="6" style="101" bestFit="1" customWidth="1"/>
    <col min="48" max="48" width="3" style="101" bestFit="1" customWidth="1"/>
    <col min="49" max="49" width="9" style="101" bestFit="1" customWidth="1"/>
    <col min="50" max="51" width="10" style="101" bestFit="1" customWidth="1"/>
    <col min="52" max="52" width="12.42578125" style="101" bestFit="1" customWidth="1"/>
    <col min="53" max="53" width="12.85546875" style="101" bestFit="1" customWidth="1"/>
    <col min="54" max="54" width="6.7109375" style="101" customWidth="1"/>
    <col min="55" max="16384" width="6.7109375" style="101" hidden="1"/>
  </cols>
  <sheetData>
    <row r="1" spans="1:53">
      <c r="A1" s="101" t="s">
        <v>70</v>
      </c>
      <c r="B1" s="101" t="s">
        <v>560</v>
      </c>
    </row>
    <row r="2" spans="1:53">
      <c r="A2" s="101" t="s">
        <v>71</v>
      </c>
      <c r="B2" s="69">
        <v>42198</v>
      </c>
      <c r="C2" s="69"/>
    </row>
    <row r="3" spans="1:53">
      <c r="A3" s="101" t="s">
        <v>58</v>
      </c>
      <c r="B3" s="101" t="s">
        <v>376</v>
      </c>
    </row>
    <row r="4" spans="1:53">
      <c r="A4" s="101" t="s">
        <v>72</v>
      </c>
      <c r="B4" s="101" t="s">
        <v>303</v>
      </c>
    </row>
    <row r="5" spans="1:53">
      <c r="A5" s="101" t="s">
        <v>73</v>
      </c>
      <c r="B5" s="116">
        <v>0.5</v>
      </c>
    </row>
    <row r="6" spans="1:53">
      <c r="A6" s="101" t="s">
        <v>74</v>
      </c>
      <c r="B6" s="116">
        <v>0</v>
      </c>
    </row>
    <row r="7" spans="1:53">
      <c r="A7" s="101" t="s">
        <v>75</v>
      </c>
      <c r="B7" s="116">
        <v>41.25</v>
      </c>
    </row>
    <row r="8" spans="1:53">
      <c r="A8" s="101" t="s">
        <v>76</v>
      </c>
      <c r="B8" s="69">
        <v>42165</v>
      </c>
      <c r="C8" s="69"/>
    </row>
    <row r="9" spans="1:53">
      <c r="A9" s="101" t="s">
        <v>77</v>
      </c>
      <c r="B9" s="101" t="s">
        <v>304</v>
      </c>
      <c r="D9" s="101" t="s">
        <v>561</v>
      </c>
      <c r="E9" s="101" t="s">
        <v>562</v>
      </c>
      <c r="F9" s="101" t="s">
        <v>305</v>
      </c>
    </row>
    <row r="10" spans="1:53">
      <c r="A10" s="101" t="s">
        <v>78</v>
      </c>
      <c r="B10" s="101" t="s">
        <v>563</v>
      </c>
      <c r="D10" s="101" t="s">
        <v>564</v>
      </c>
      <c r="E10" s="101" t="s">
        <v>565</v>
      </c>
      <c r="F10" s="101" t="s">
        <v>566</v>
      </c>
    </row>
    <row r="11" spans="1:53">
      <c r="A11" s="101" t="s">
        <v>79</v>
      </c>
      <c r="B11" s="101" t="s">
        <v>306</v>
      </c>
      <c r="D11" s="101" t="s">
        <v>307</v>
      </c>
      <c r="E11" s="101" t="s">
        <v>308</v>
      </c>
      <c r="F11" s="101" t="s">
        <v>309</v>
      </c>
    </row>
    <row r="12" spans="1:53">
      <c r="A12" s="101" t="s">
        <v>80</v>
      </c>
      <c r="B12" s="101" t="str">
        <f>VLOOKUP($A42,CSVSWB,3)</f>
        <v>J</v>
      </c>
      <c r="D12" s="101" t="s">
        <v>567</v>
      </c>
      <c r="E12" s="101" t="s">
        <v>568</v>
      </c>
      <c r="F12" s="101" t="s">
        <v>569</v>
      </c>
    </row>
    <row r="13" spans="1:53">
      <c r="A13" s="101" t="s">
        <v>81</v>
      </c>
      <c r="B13" s="101" t="s">
        <v>311</v>
      </c>
    </row>
    <row r="14" spans="1:53">
      <c r="A14" s="101" t="s">
        <v>82</v>
      </c>
      <c r="B14" s="101" t="s">
        <v>570</v>
      </c>
      <c r="D14" s="101" t="s">
        <v>312</v>
      </c>
      <c r="E14" s="101" t="s">
        <v>313</v>
      </c>
    </row>
    <row r="15" spans="1:53" s="116" customFormat="1">
      <c r="B15" s="116">
        <v>1</v>
      </c>
      <c r="C15" s="116">
        <v>2</v>
      </c>
      <c r="D15" s="116">
        <v>3</v>
      </c>
      <c r="E15" s="116">
        <v>4</v>
      </c>
      <c r="F15" s="116">
        <v>5</v>
      </c>
      <c r="G15" s="116">
        <v>6</v>
      </c>
      <c r="H15" s="116">
        <v>7</v>
      </c>
      <c r="I15" s="116">
        <v>8</v>
      </c>
      <c r="J15" s="116">
        <v>9</v>
      </c>
      <c r="K15" s="116">
        <v>10</v>
      </c>
      <c r="L15" s="116">
        <v>11</v>
      </c>
      <c r="M15" s="116">
        <v>12</v>
      </c>
      <c r="N15" s="116">
        <v>13</v>
      </c>
      <c r="O15" s="116">
        <v>14</v>
      </c>
      <c r="P15" s="116">
        <v>15</v>
      </c>
      <c r="Q15" s="116">
        <v>16</v>
      </c>
      <c r="R15" s="116">
        <v>17</v>
      </c>
      <c r="S15" s="116">
        <v>18</v>
      </c>
      <c r="T15" s="116">
        <v>19</v>
      </c>
      <c r="U15" s="116">
        <v>20</v>
      </c>
      <c r="V15" s="116">
        <v>21</v>
      </c>
      <c r="W15" s="116">
        <v>22</v>
      </c>
      <c r="X15" s="116">
        <v>23</v>
      </c>
      <c r="Y15" s="116">
        <v>24</v>
      </c>
      <c r="Z15" s="116">
        <v>25</v>
      </c>
      <c r="AA15" s="116">
        <v>26</v>
      </c>
      <c r="AB15" s="116">
        <v>27</v>
      </c>
      <c r="AC15" s="116">
        <v>28</v>
      </c>
      <c r="AD15" s="116">
        <v>29</v>
      </c>
      <c r="AE15" s="116">
        <v>30</v>
      </c>
      <c r="AF15" s="116">
        <v>31</v>
      </c>
      <c r="AG15" s="116">
        <v>32</v>
      </c>
      <c r="AH15" s="116">
        <v>33</v>
      </c>
      <c r="AI15" s="116">
        <v>34</v>
      </c>
      <c r="AJ15" s="116">
        <v>35</v>
      </c>
      <c r="AK15" s="116">
        <v>36</v>
      </c>
      <c r="AL15" s="116">
        <v>37</v>
      </c>
      <c r="AM15" s="116">
        <v>38</v>
      </c>
      <c r="AN15" s="116">
        <v>39</v>
      </c>
      <c r="AO15" s="116">
        <v>40</v>
      </c>
      <c r="AP15" s="116">
        <v>41</v>
      </c>
      <c r="AQ15" s="116">
        <v>42</v>
      </c>
      <c r="AR15" s="116">
        <v>43</v>
      </c>
      <c r="AS15" s="116">
        <v>44</v>
      </c>
      <c r="AT15" s="116">
        <v>45</v>
      </c>
      <c r="AU15" s="116">
        <v>46</v>
      </c>
      <c r="AV15" s="116">
        <v>47</v>
      </c>
      <c r="AW15" s="116">
        <v>48</v>
      </c>
      <c r="AX15" s="116">
        <v>49</v>
      </c>
      <c r="AY15" s="116">
        <v>50</v>
      </c>
      <c r="AZ15" s="116">
        <v>51</v>
      </c>
      <c r="BA15" s="116">
        <v>52</v>
      </c>
    </row>
    <row r="16" spans="1:53">
      <c r="A16" s="101" t="s">
        <v>83</v>
      </c>
      <c r="B16" s="101" t="s">
        <v>84</v>
      </c>
      <c r="C16" s="101" t="s">
        <v>83</v>
      </c>
      <c r="D16" s="101" t="s">
        <v>10</v>
      </c>
      <c r="E16" s="101" t="s">
        <v>85</v>
      </c>
      <c r="F16" s="101" t="s">
        <v>86</v>
      </c>
      <c r="G16" s="101" t="s">
        <v>87</v>
      </c>
      <c r="H16" s="101" t="s">
        <v>88</v>
      </c>
      <c r="I16" s="101" t="s">
        <v>89</v>
      </c>
      <c r="J16" s="101" t="s">
        <v>90</v>
      </c>
      <c r="K16" s="101" t="s">
        <v>91</v>
      </c>
      <c r="L16" s="101" t="s">
        <v>3</v>
      </c>
      <c r="M16" s="101" t="s">
        <v>92</v>
      </c>
      <c r="N16" s="101" t="s">
        <v>93</v>
      </c>
      <c r="O16" s="101" t="s">
        <v>94</v>
      </c>
      <c r="P16" s="101" t="s">
        <v>95</v>
      </c>
      <c r="Q16" s="101" t="s">
        <v>96</v>
      </c>
      <c r="R16" s="101" t="s">
        <v>97</v>
      </c>
      <c r="S16" s="101" t="s">
        <v>571</v>
      </c>
      <c r="T16" s="101" t="s">
        <v>98</v>
      </c>
      <c r="U16" s="101" t="s">
        <v>99</v>
      </c>
      <c r="V16" s="101" t="s">
        <v>100</v>
      </c>
      <c r="W16" s="101" t="s">
        <v>101</v>
      </c>
      <c r="X16" s="101" t="s">
        <v>102</v>
      </c>
      <c r="Y16" s="101" t="s">
        <v>103</v>
      </c>
      <c r="Z16" s="101" t="s">
        <v>104</v>
      </c>
      <c r="AA16" s="101" t="s">
        <v>105</v>
      </c>
      <c r="AB16" s="101" t="s">
        <v>106</v>
      </c>
      <c r="AC16" s="101" t="s">
        <v>107</v>
      </c>
      <c r="AD16" s="101" t="s">
        <v>108</v>
      </c>
      <c r="AE16" s="101" t="s">
        <v>109</v>
      </c>
      <c r="AF16" s="101" t="s">
        <v>110</v>
      </c>
      <c r="AG16" s="101" t="s">
        <v>111</v>
      </c>
      <c r="AH16" s="101" t="s">
        <v>112</v>
      </c>
      <c r="AI16" s="101" t="s">
        <v>113</v>
      </c>
      <c r="AJ16" s="101" t="s">
        <v>572</v>
      </c>
      <c r="AK16" s="101" t="s">
        <v>573</v>
      </c>
      <c r="AL16" s="101" t="s">
        <v>114</v>
      </c>
      <c r="AM16" s="101" t="s">
        <v>115</v>
      </c>
      <c r="AN16" s="101" t="s">
        <v>116</v>
      </c>
      <c r="AO16" s="101" t="s">
        <v>117</v>
      </c>
      <c r="AP16" s="101" t="s">
        <v>118</v>
      </c>
      <c r="AQ16" s="101" t="s">
        <v>119</v>
      </c>
      <c r="AR16" s="101" t="s">
        <v>120</v>
      </c>
      <c r="AS16" s="101" t="s">
        <v>121</v>
      </c>
      <c r="AT16" s="101" t="s">
        <v>122</v>
      </c>
      <c r="AU16" s="101" t="s">
        <v>123</v>
      </c>
      <c r="AV16" s="101" t="s">
        <v>124</v>
      </c>
      <c r="AW16" s="101" t="s">
        <v>125</v>
      </c>
      <c r="AX16" s="101" t="s">
        <v>126</v>
      </c>
      <c r="AY16" s="101" t="s">
        <v>127</v>
      </c>
      <c r="AZ16" s="101" t="s">
        <v>128</v>
      </c>
      <c r="BA16" s="101" t="s">
        <v>129</v>
      </c>
    </row>
    <row r="17" spans="1:54">
      <c r="A17" s="101" t="s">
        <v>130</v>
      </c>
      <c r="B17" s="69">
        <f>Inputs!I8</f>
        <v>42016</v>
      </c>
      <c r="C17" s="101" t="s">
        <v>130</v>
      </c>
      <c r="D17" s="116">
        <f>VLOOKUP(B17,SWB!$C$15:$H$244,6,FALSE)</f>
        <v>12</v>
      </c>
      <c r="E17" s="102">
        <f>VLOOKUP($B17,Clima!$W$8:$AI$1506,3,FALSE)</f>
        <v>13.3</v>
      </c>
      <c r="F17" s="102">
        <f>VLOOKUP($B17,Clima!$W$8:$AI$1506,4,FALSE)</f>
        <v>-1.6</v>
      </c>
      <c r="G17" s="102">
        <f>VLOOKUP($B17,Clima!$W$8:$AI$1506,2,FALSE)</f>
        <v>5.5</v>
      </c>
      <c r="H17" s="102"/>
      <c r="I17" s="102">
        <f>VLOOKUP($B17,Clima!$W$8:$AI$1506,13,FALSE)</f>
        <v>1.3</v>
      </c>
      <c r="J17" s="102"/>
      <c r="K17" s="102"/>
      <c r="L17" s="102">
        <f>VLOOKUP($B17,Clima!$W$8:$AI$1506,12,FALSE)</f>
        <v>0</v>
      </c>
      <c r="M17" s="102">
        <f>L17</f>
        <v>0</v>
      </c>
      <c r="N17" s="257">
        <f>VLOOKUP(B17,SWB!$C$15:$S$244,17,FALSE)</f>
        <v>0.26952098631111099</v>
      </c>
      <c r="O17" s="116"/>
      <c r="P17" s="116">
        <f>SWB!$M$4</f>
        <v>0.15</v>
      </c>
      <c r="Q17" s="257">
        <f>VLOOKUP(B17,SWB!$C$15:$AJ$244,34,FALSE)</f>
        <v>0.2811266565267489</v>
      </c>
      <c r="R17" s="257">
        <f>VLOOKUP(B17,SWB!$C$15:$V$244,20,FALSE)</f>
        <v>1.0218052055948148</v>
      </c>
      <c r="S17" s="116">
        <v>0</v>
      </c>
      <c r="T17" s="116">
        <v>0</v>
      </c>
      <c r="U17" s="116">
        <v>1</v>
      </c>
      <c r="V17" s="116">
        <v>1</v>
      </c>
      <c r="W17" s="116">
        <v>23.5</v>
      </c>
      <c r="X17" s="257">
        <v>0</v>
      </c>
      <c r="Y17" s="116">
        <v>9.51</v>
      </c>
      <c r="Z17" s="116">
        <v>1</v>
      </c>
      <c r="AA17" s="257">
        <v>1.0582039999999999</v>
      </c>
      <c r="AB17" s="116">
        <v>0</v>
      </c>
      <c r="AC17" s="257">
        <v>1.1640250000000001</v>
      </c>
      <c r="AD17" s="257">
        <v>1.2082040000000001</v>
      </c>
      <c r="AE17" s="257">
        <v>1.3290249999999999</v>
      </c>
      <c r="AF17" s="116">
        <v>0.1</v>
      </c>
      <c r="AG17" s="116">
        <v>0.55000000000000004</v>
      </c>
      <c r="AH17" s="116">
        <v>15</v>
      </c>
      <c r="AI17" s="116">
        <v>8.25</v>
      </c>
      <c r="AJ17" s="116">
        <f>IFERROR(VLOOKUP($B17,SWB!C15:BE398,37,FALSE),0)</f>
        <v>0</v>
      </c>
      <c r="AK17" s="116">
        <f>AJ17</f>
        <v>0</v>
      </c>
      <c r="AL17" s="116">
        <f>IFERROR(VLOOKUP($B17,SWB!C15:BE398,38,FALSE),0)</f>
        <v>0</v>
      </c>
      <c r="AM17" s="116">
        <f>IFERROR(VLOOKUP($B17,SWB!C15:BE398,38,FALSE),0)</f>
        <v>0</v>
      </c>
      <c r="AN17" s="257">
        <f>IFERROR(VLOOKUP($B17,SWB!C15:BE398,40,FALSE),0)</f>
        <v>0.26952098631111099</v>
      </c>
      <c r="AO17" s="257">
        <f>IFERROR(VLOOKUP($B17,SWB!C15:BE398,43,FALSE),0)</f>
        <v>0.26952098631111099</v>
      </c>
      <c r="AP17" s="257">
        <v>1.3290249999999999</v>
      </c>
      <c r="AQ17" s="257">
        <f>IFERROR(VLOOKUP($B17,SWB!C15:BE398,44,FALSE),0)</f>
        <v>0.26952098631111099</v>
      </c>
      <c r="AR17" s="116">
        <f>AK17</f>
        <v>0</v>
      </c>
      <c r="AS17" s="116">
        <v>0</v>
      </c>
      <c r="AT17" s="116" t="s">
        <v>131</v>
      </c>
      <c r="AU17" s="116" t="s">
        <v>131</v>
      </c>
      <c r="AV17" s="116" t="s">
        <v>131</v>
      </c>
      <c r="AW17" s="116" t="s">
        <v>131</v>
      </c>
      <c r="AX17" s="116" t="s">
        <v>131</v>
      </c>
      <c r="AY17" s="116" t="s">
        <v>131</v>
      </c>
      <c r="AZ17" s="116"/>
      <c r="BA17" s="116" t="s">
        <v>132</v>
      </c>
      <c r="BB17" s="116"/>
    </row>
    <row r="18" spans="1:54">
      <c r="A18" s="101" t="s">
        <v>130</v>
      </c>
      <c r="B18" s="69">
        <f>B17+1</f>
        <v>42017</v>
      </c>
      <c r="C18" s="101" t="s">
        <v>130</v>
      </c>
      <c r="D18" s="116">
        <f>VLOOKUP(B18,SWB!$C$15:$H$244,6,FALSE)</f>
        <v>13</v>
      </c>
      <c r="E18" s="102">
        <f>VLOOKUP($B18,Clima!$W$8:$AI$1506,3,FALSE)</f>
        <v>15.4</v>
      </c>
      <c r="F18" s="102">
        <f>VLOOKUP($B18,Clima!$W$8:$AI$1506,4,FALSE)</f>
        <v>-0.7</v>
      </c>
      <c r="G18" s="102">
        <f>VLOOKUP($B18,Clima!$W$8:$AI$1506,2,FALSE)</f>
        <v>6.8</v>
      </c>
      <c r="H18" s="102"/>
      <c r="I18" s="102">
        <f>VLOOKUP($B18,Clima!$W$8:$AI$1506,13,FALSE)</f>
        <v>1.1000000000000001</v>
      </c>
      <c r="J18" s="102"/>
      <c r="K18" s="102"/>
      <c r="L18" s="102">
        <f>VLOOKUP($B18,Clima!$W$8:$AI$1506,12,FALSE)</f>
        <v>0</v>
      </c>
      <c r="M18" s="102">
        <f t="shared" ref="M18:M81" si="0">L18</f>
        <v>0</v>
      </c>
      <c r="N18" s="257">
        <f>VLOOKUP(B18,SWB!$C$15:$S$244,17,FALSE)</f>
        <v>0.27347160355555544</v>
      </c>
      <c r="O18" s="116"/>
      <c r="P18" s="116">
        <f>SWB!$M$4</f>
        <v>0.15</v>
      </c>
      <c r="Q18" s="257">
        <f>VLOOKUP(B18,SWB!$C$15:$AJ$244,34,FALSE)</f>
        <v>0.28405303967078183</v>
      </c>
      <c r="R18" s="257">
        <f>VLOOKUP(B18,SWB!$C$15:$V$244,20,FALSE)</f>
        <v>1.0222949175240741</v>
      </c>
      <c r="S18" s="116">
        <v>0</v>
      </c>
      <c r="T18" s="116">
        <v>0</v>
      </c>
      <c r="U18" s="116">
        <v>1</v>
      </c>
      <c r="V18" s="116">
        <v>1</v>
      </c>
      <c r="W18" s="116">
        <v>23.5</v>
      </c>
      <c r="X18" s="257">
        <v>1.1640250000000001</v>
      </c>
      <c r="Y18" s="116">
        <v>9.51</v>
      </c>
      <c r="Z18" s="116">
        <v>1</v>
      </c>
      <c r="AA18" s="257">
        <v>1.0749439999999999</v>
      </c>
      <c r="AB18" s="116">
        <v>0</v>
      </c>
      <c r="AC18" s="257">
        <v>3.131173</v>
      </c>
      <c r="AD18" s="257">
        <v>1.224944</v>
      </c>
      <c r="AE18" s="257">
        <v>2.2416480000000001</v>
      </c>
      <c r="AF18" s="116">
        <v>0.1</v>
      </c>
      <c r="AG18" s="116">
        <v>0.55000000000000004</v>
      </c>
      <c r="AH18" s="116">
        <v>15</v>
      </c>
      <c r="AI18" s="116">
        <v>8.25</v>
      </c>
      <c r="AJ18" s="116">
        <f>IFERROR(VLOOKUP($B18,SWB!C16:BE399,37,FALSE),0)</f>
        <v>0</v>
      </c>
      <c r="AK18" s="116">
        <f t="shared" ref="AK18:AK81" si="1">AJ18</f>
        <v>0</v>
      </c>
      <c r="AL18" s="116">
        <f>IFERROR(VLOOKUP($B18,SWB!C16:BE399,38,FALSE),0)</f>
        <v>0</v>
      </c>
      <c r="AM18" s="116">
        <f>IFERROR(VLOOKUP($B18,SWB!C16:BE399,38,FALSE),0)</f>
        <v>0</v>
      </c>
      <c r="AN18" s="257">
        <f>IFERROR(VLOOKUP($B18,SWB!C16:BE399,40,FALSE),0)</f>
        <v>0.27347160355555544</v>
      </c>
      <c r="AO18" s="257">
        <f>IFERROR(VLOOKUP($B18,SWB!C16:BE399,43,FALSE),0)</f>
        <v>0.1914301224888888</v>
      </c>
      <c r="AP18" s="257">
        <v>3.5706730000000002</v>
      </c>
      <c r="AQ18" s="257">
        <f>IFERROR(VLOOKUP($B18,SWB!C16:BE399,44,FALSE),0)</f>
        <v>0.46095110879999979</v>
      </c>
      <c r="AR18" s="116">
        <f>AK17+AR17</f>
        <v>0</v>
      </c>
      <c r="AS18" s="116">
        <v>0</v>
      </c>
      <c r="AT18" s="116" t="s">
        <v>131</v>
      </c>
      <c r="AU18" s="116" t="s">
        <v>131</v>
      </c>
      <c r="AV18" s="116" t="s">
        <v>131</v>
      </c>
      <c r="AW18" s="116" t="s">
        <v>131</v>
      </c>
      <c r="AX18" s="116" t="s">
        <v>131</v>
      </c>
      <c r="AY18" s="116" t="s">
        <v>131</v>
      </c>
      <c r="AZ18" s="116"/>
      <c r="BA18" s="116" t="s">
        <v>132</v>
      </c>
      <c r="BB18" s="116"/>
    </row>
    <row r="19" spans="1:54">
      <c r="A19" s="101" t="s">
        <v>130</v>
      </c>
      <c r="B19" s="69">
        <f t="shared" ref="B19:B82" si="2">B18+1</f>
        <v>42018</v>
      </c>
      <c r="C19" s="101" t="s">
        <v>130</v>
      </c>
      <c r="D19" s="116">
        <f>VLOOKUP(B19,SWB!$C$15:$H$244,6,FALSE)</f>
        <v>14</v>
      </c>
      <c r="E19" s="102">
        <f>VLOOKUP($B19,Clima!$W$8:$AI$1506,3,FALSE)</f>
        <v>14.4</v>
      </c>
      <c r="F19" s="102">
        <f>VLOOKUP($B19,Clima!$W$8:$AI$1506,4,FALSE)</f>
        <v>-2.2000000000000002</v>
      </c>
      <c r="G19" s="102">
        <f>VLOOKUP($B19,Clima!$W$8:$AI$1506,2,FALSE)</f>
        <v>4.5</v>
      </c>
      <c r="H19" s="102"/>
      <c r="I19" s="102">
        <f>VLOOKUP($B19,Clima!$W$8:$AI$1506,13,FALSE)</f>
        <v>1.1000000000000001</v>
      </c>
      <c r="J19" s="102"/>
      <c r="K19" s="102"/>
      <c r="L19" s="102">
        <f>VLOOKUP($B19,Clima!$W$8:$AI$1506,12,FALSE)</f>
        <v>0</v>
      </c>
      <c r="M19" s="102">
        <f t="shared" si="0"/>
        <v>0</v>
      </c>
      <c r="N19" s="257">
        <f>VLOOKUP(B19,SWB!$C$15:$S$244,17,FALSE)</f>
        <v>0.2774222207999999</v>
      </c>
      <c r="O19" s="116"/>
      <c r="P19" s="116">
        <f>SWB!$M$4</f>
        <v>0.15</v>
      </c>
      <c r="Q19" s="257">
        <f>VLOOKUP(B19,SWB!$C$15:$AJ$244,34,FALSE)</f>
        <v>0.28697942281481476</v>
      </c>
      <c r="R19" s="257">
        <f>VLOOKUP(B19,SWB!$C$15:$V$244,20,FALSE)</f>
        <v>1.0227846294533334</v>
      </c>
      <c r="S19" s="116">
        <v>0</v>
      </c>
      <c r="T19" s="116">
        <v>0</v>
      </c>
      <c r="U19" s="116">
        <v>1</v>
      </c>
      <c r="V19" s="116">
        <v>1</v>
      </c>
      <c r="W19" s="116">
        <v>23.5</v>
      </c>
      <c r="X19" s="257">
        <v>3.131173</v>
      </c>
      <c r="Y19" s="116">
        <v>9.51</v>
      </c>
      <c r="Z19" s="116">
        <v>1</v>
      </c>
      <c r="AA19" s="257">
        <v>1.063741</v>
      </c>
      <c r="AB19" s="116">
        <v>0</v>
      </c>
      <c r="AC19" s="257">
        <v>5.0139940000000003</v>
      </c>
      <c r="AD19" s="257">
        <v>1.213741</v>
      </c>
      <c r="AE19" s="257">
        <v>2.1483210000000001</v>
      </c>
      <c r="AF19" s="116">
        <v>0.1</v>
      </c>
      <c r="AG19" s="116">
        <v>0.55000000000000004</v>
      </c>
      <c r="AH19" s="116">
        <v>15</v>
      </c>
      <c r="AI19" s="116">
        <v>8.25</v>
      </c>
      <c r="AJ19" s="116">
        <f>IFERROR(VLOOKUP($B19,SWB!C17:BE400,37,FALSE),0)</f>
        <v>0</v>
      </c>
      <c r="AK19" s="116">
        <f t="shared" si="1"/>
        <v>0</v>
      </c>
      <c r="AL19" s="116">
        <f>IFERROR(VLOOKUP($B19,SWB!C17:BE400,38,FALSE),0)</f>
        <v>0</v>
      </c>
      <c r="AM19" s="116">
        <f>IFERROR(VLOOKUP($B19,SWB!C17:BE400,38,FALSE),0)</f>
        <v>0</v>
      </c>
      <c r="AN19" s="257">
        <f>IFERROR(VLOOKUP($B19,SWB!C17:BE400,40,FALSE),0)</f>
        <v>0.2774222207999999</v>
      </c>
      <c r="AO19" s="257">
        <f>IFERROR(VLOOKUP($B19,SWB!C17:BE400,43,FALSE),0)</f>
        <v>0.30516444287999989</v>
      </c>
      <c r="AP19" s="257">
        <v>5.7189940000000004</v>
      </c>
      <c r="AQ19" s="257">
        <f>IFERROR(VLOOKUP($B19,SWB!C17:BE400,44,FALSE),0)</f>
        <v>0.76611555167999967</v>
      </c>
      <c r="AR19" s="116">
        <f t="shared" ref="AR19:AR82" si="3">AK18+AR18</f>
        <v>0</v>
      </c>
      <c r="AS19" s="116">
        <v>0</v>
      </c>
      <c r="AT19" s="116" t="s">
        <v>131</v>
      </c>
      <c r="AU19" s="116" t="s">
        <v>131</v>
      </c>
      <c r="AV19" s="116" t="s">
        <v>131</v>
      </c>
      <c r="AW19" s="116" t="s">
        <v>131</v>
      </c>
      <c r="AX19" s="116" t="s">
        <v>131</v>
      </c>
      <c r="AY19" s="116" t="s">
        <v>131</v>
      </c>
      <c r="AZ19" s="116"/>
      <c r="BA19" s="116" t="s">
        <v>132</v>
      </c>
      <c r="BB19" s="116"/>
    </row>
    <row r="20" spans="1:54">
      <c r="A20" s="101" t="s">
        <v>130</v>
      </c>
      <c r="B20" s="69">
        <f t="shared" si="2"/>
        <v>42019</v>
      </c>
      <c r="C20" s="101" t="s">
        <v>130</v>
      </c>
      <c r="D20" s="116">
        <f>VLOOKUP(B20,SWB!$C$15:$H$244,6,FALSE)</f>
        <v>15</v>
      </c>
      <c r="E20" s="102">
        <f>VLOOKUP($B20,Clima!$W$8:$AI$1506,3,FALSE)</f>
        <v>15.9</v>
      </c>
      <c r="F20" s="102">
        <f>VLOOKUP($B20,Clima!$W$8:$AI$1506,4,FALSE)</f>
        <v>-3</v>
      </c>
      <c r="G20" s="102">
        <f>VLOOKUP($B20,Clima!$W$8:$AI$1506,2,FALSE)</f>
        <v>6.6</v>
      </c>
      <c r="H20" s="102"/>
      <c r="I20" s="102">
        <f>VLOOKUP($B20,Clima!$W$8:$AI$1506,13,FALSE)</f>
        <v>1.8</v>
      </c>
      <c r="J20" s="102"/>
      <c r="K20" s="102"/>
      <c r="L20" s="102">
        <f>VLOOKUP($B20,Clima!$W$8:$AI$1506,12,FALSE)</f>
        <v>0</v>
      </c>
      <c r="M20" s="102">
        <f t="shared" si="0"/>
        <v>0</v>
      </c>
      <c r="N20" s="257">
        <f>VLOOKUP(B20,SWB!$C$15:$S$244,17,FALSE)</f>
        <v>0.27726666526666666</v>
      </c>
      <c r="O20" s="116"/>
      <c r="P20" s="116">
        <f>SWB!$M$4</f>
        <v>0.15</v>
      </c>
      <c r="Q20" s="257">
        <f>VLOOKUP(B20,SWB!$C$15:$AJ$244,34,FALSE)</f>
        <v>0.28697942281481476</v>
      </c>
      <c r="R20" s="257">
        <f>VLOOKUP(B20,SWB!$C$15:$V$244,20,FALSE)</f>
        <v>1.0227846294533334</v>
      </c>
      <c r="S20" s="116">
        <v>0</v>
      </c>
      <c r="T20" s="116">
        <v>0</v>
      </c>
      <c r="U20" s="116">
        <v>1</v>
      </c>
      <c r="V20" s="116">
        <v>1</v>
      </c>
      <c r="W20" s="116">
        <v>23.5</v>
      </c>
      <c r="X20" s="257">
        <v>5.0139940000000003</v>
      </c>
      <c r="Y20" s="116">
        <v>9.51</v>
      </c>
      <c r="Z20" s="116">
        <v>1</v>
      </c>
      <c r="AA20" s="257">
        <v>1.0406709999999999</v>
      </c>
      <c r="AB20" s="116">
        <v>0</v>
      </c>
      <c r="AC20" s="257">
        <v>6.3148330000000001</v>
      </c>
      <c r="AD20" s="257">
        <v>1.190671</v>
      </c>
      <c r="AE20" s="257">
        <v>1.4883390000000001</v>
      </c>
      <c r="AF20" s="116">
        <v>0.1</v>
      </c>
      <c r="AG20" s="116">
        <v>0.55000000000000004</v>
      </c>
      <c r="AH20" s="116">
        <v>15</v>
      </c>
      <c r="AI20" s="116">
        <v>8.25</v>
      </c>
      <c r="AJ20" s="116">
        <f>IFERROR(VLOOKUP($B20,SWB!C18:BE401,37,FALSE),0)</f>
        <v>0</v>
      </c>
      <c r="AK20" s="116">
        <f t="shared" si="1"/>
        <v>0</v>
      </c>
      <c r="AL20" s="116">
        <f>IFERROR(VLOOKUP($B20,SWB!C18:BE401,38,FALSE),0)</f>
        <v>0</v>
      </c>
      <c r="AM20" s="116">
        <f>IFERROR(VLOOKUP($B20,SWB!C18:BE401,38,FALSE),0)</f>
        <v>0</v>
      </c>
      <c r="AN20" s="257">
        <f>IFERROR(VLOOKUP($B20,SWB!C18:BE401,40,FALSE),0)</f>
        <v>0.27726666526666666</v>
      </c>
      <c r="AO20" s="257">
        <f>IFERROR(VLOOKUP($B20,SWB!C18:BE401,43,FALSE),0)</f>
        <v>0.33271999831999999</v>
      </c>
      <c r="AP20" s="257">
        <v>7.2073330000000002</v>
      </c>
      <c r="AQ20" s="257">
        <f>IFERROR(VLOOKUP($B20,SWB!C18:BE401,44,FALSE),0)</f>
        <v>1.0988355499999996</v>
      </c>
      <c r="AR20" s="116">
        <f t="shared" si="3"/>
        <v>0</v>
      </c>
      <c r="AS20" s="116">
        <v>0</v>
      </c>
      <c r="AT20" s="116" t="s">
        <v>131</v>
      </c>
      <c r="AU20" s="116" t="s">
        <v>131</v>
      </c>
      <c r="AV20" s="116" t="s">
        <v>131</v>
      </c>
      <c r="AW20" s="116" t="s">
        <v>131</v>
      </c>
      <c r="AX20" s="116" t="s">
        <v>131</v>
      </c>
      <c r="AY20" s="116" t="s">
        <v>131</v>
      </c>
      <c r="AZ20" s="116"/>
      <c r="BA20" s="116" t="s">
        <v>132</v>
      </c>
      <c r="BB20" s="116"/>
    </row>
    <row r="21" spans="1:54">
      <c r="A21" s="101" t="s">
        <v>130</v>
      </c>
      <c r="B21" s="69">
        <f t="shared" si="2"/>
        <v>42020</v>
      </c>
      <c r="C21" s="101" t="s">
        <v>130</v>
      </c>
      <c r="D21" s="116">
        <f>VLOOKUP(B21,SWB!$C$15:$H$244,6,FALSE)</f>
        <v>16</v>
      </c>
      <c r="E21" s="102">
        <f>VLOOKUP($B21,Clima!$W$8:$AI$1506,3,FALSE)</f>
        <v>9.1999999999999993</v>
      </c>
      <c r="F21" s="102">
        <f>VLOOKUP($B21,Clima!$W$8:$AI$1506,4,FALSE)</f>
        <v>1.3</v>
      </c>
      <c r="G21" s="102">
        <f>VLOOKUP($B21,Clima!$W$8:$AI$1506,2,FALSE)</f>
        <v>6.3</v>
      </c>
      <c r="H21" s="102"/>
      <c r="I21" s="102">
        <f>VLOOKUP($B21,Clima!$W$8:$AI$1506,13,FALSE)</f>
        <v>1.8</v>
      </c>
      <c r="J21" s="102"/>
      <c r="K21" s="102"/>
      <c r="L21" s="102">
        <f>VLOOKUP($B21,Clima!$W$8:$AI$1506,12,FALSE)</f>
        <v>0.6</v>
      </c>
      <c r="M21" s="102">
        <f t="shared" si="0"/>
        <v>0.6</v>
      </c>
      <c r="N21" s="257">
        <f>VLOOKUP(B21,SWB!$C$15:$S$244,17,FALSE)</f>
        <v>0.27711110973333331</v>
      </c>
      <c r="O21" s="116"/>
      <c r="P21" s="116">
        <f>SWB!$M$4</f>
        <v>0.15</v>
      </c>
      <c r="Q21" s="257">
        <f>VLOOKUP(B21,SWB!$C$15:$AJ$244,34,FALSE)</f>
        <v>0.28697942281481476</v>
      </c>
      <c r="R21" s="257">
        <f>VLOOKUP(B21,SWB!$C$15:$V$244,20,FALSE)</f>
        <v>1.0227846294533334</v>
      </c>
      <c r="S21" s="116">
        <v>0</v>
      </c>
      <c r="T21" s="116">
        <v>0</v>
      </c>
      <c r="U21" s="116">
        <v>1</v>
      </c>
      <c r="V21" s="116">
        <v>1</v>
      </c>
      <c r="W21" s="116">
        <v>23.5</v>
      </c>
      <c r="X21" s="257">
        <v>6.3148330000000001</v>
      </c>
      <c r="Y21" s="116">
        <v>9.51</v>
      </c>
      <c r="Z21" s="116">
        <v>1</v>
      </c>
      <c r="AA21" s="257">
        <v>1.042762</v>
      </c>
      <c r="AB21" s="116">
        <v>0</v>
      </c>
      <c r="AC21" s="257">
        <v>7.5140089999999997</v>
      </c>
      <c r="AD21" s="257">
        <v>1.1927620000000001</v>
      </c>
      <c r="AE21" s="257">
        <v>1.3716759999999999</v>
      </c>
      <c r="AF21" s="116">
        <v>0.1</v>
      </c>
      <c r="AG21" s="116">
        <v>0.55000000000000004</v>
      </c>
      <c r="AH21" s="116">
        <v>15</v>
      </c>
      <c r="AI21" s="116">
        <v>8.25</v>
      </c>
      <c r="AJ21" s="116">
        <f>IFERROR(VLOOKUP($B21,SWB!C19:BE402,37,FALSE),0)</f>
        <v>0</v>
      </c>
      <c r="AK21" s="116">
        <f t="shared" si="1"/>
        <v>0</v>
      </c>
      <c r="AL21" s="116">
        <f>IFERROR(VLOOKUP($B21,SWB!C19:BE402,38,FALSE),0)</f>
        <v>0</v>
      </c>
      <c r="AM21" s="116">
        <f>IFERROR(VLOOKUP($B21,SWB!C19:BE402,38,FALSE),0)</f>
        <v>0</v>
      </c>
      <c r="AN21" s="257">
        <f>IFERROR(VLOOKUP($B21,SWB!C19:BE402,40,FALSE),0)</f>
        <v>0.29388876392703328</v>
      </c>
      <c r="AO21" s="257">
        <f>IFERROR(VLOOKUP($B21,SWB!C19:BE402,43,FALSE),0)</f>
        <v>0.41144426949784657</v>
      </c>
      <c r="AP21" s="257">
        <v>8.5790089999999992</v>
      </c>
      <c r="AQ21" s="257">
        <f>IFERROR(VLOOKUP($B21,SWB!C19:BE402,44,FALSE),0)</f>
        <v>1.5102798194978462</v>
      </c>
      <c r="AR21" s="116">
        <f t="shared" si="3"/>
        <v>0</v>
      </c>
      <c r="AS21" s="116">
        <v>0</v>
      </c>
      <c r="AT21" s="116" t="s">
        <v>131</v>
      </c>
      <c r="AU21" s="116" t="s">
        <v>131</v>
      </c>
      <c r="AV21" s="116" t="s">
        <v>131</v>
      </c>
      <c r="AW21" s="116" t="s">
        <v>131</v>
      </c>
      <c r="AX21" s="116" t="s">
        <v>131</v>
      </c>
      <c r="AY21" s="116" t="s">
        <v>131</v>
      </c>
      <c r="AZ21" s="116"/>
      <c r="BA21" s="116" t="s">
        <v>132</v>
      </c>
      <c r="BB21" s="116"/>
    </row>
    <row r="22" spans="1:54">
      <c r="A22" s="101" t="s">
        <v>130</v>
      </c>
      <c r="B22" s="69">
        <f t="shared" si="2"/>
        <v>42021</v>
      </c>
      <c r="C22" s="101" t="s">
        <v>130</v>
      </c>
      <c r="D22" s="116">
        <f>VLOOKUP(B22,SWB!$C$15:$H$244,6,FALSE)</f>
        <v>17</v>
      </c>
      <c r="E22" s="102">
        <f>VLOOKUP($B22,Clima!$W$8:$AI$1506,3,FALSE)</f>
        <v>7.7</v>
      </c>
      <c r="F22" s="102">
        <f>VLOOKUP($B22,Clima!$W$8:$AI$1506,4,FALSE)</f>
        <v>-5</v>
      </c>
      <c r="G22" s="102">
        <f>VLOOKUP($B22,Clima!$W$8:$AI$1506,2,FALSE)</f>
        <v>1.3</v>
      </c>
      <c r="H22" s="102"/>
      <c r="I22" s="102">
        <f>VLOOKUP($B22,Clima!$W$8:$AI$1506,13,FALSE)</f>
        <v>1.4</v>
      </c>
      <c r="J22" s="102"/>
      <c r="K22" s="102"/>
      <c r="L22" s="102">
        <f>VLOOKUP($B22,Clima!$W$8:$AI$1506,12,FALSE)</f>
        <v>0</v>
      </c>
      <c r="M22" s="102">
        <f t="shared" si="0"/>
        <v>0</v>
      </c>
      <c r="N22" s="257">
        <f>VLOOKUP(B22,SWB!$C$15:$S$244,17,FALSE)</f>
        <v>0.27695555419999995</v>
      </c>
      <c r="O22" s="116"/>
      <c r="P22" s="116">
        <f>SWB!$M$4</f>
        <v>0.15</v>
      </c>
      <c r="Q22" s="257">
        <f>VLOOKUP(B22,SWB!$C$15:$AJ$244,34,FALSE)</f>
        <v>0.28697942281481476</v>
      </c>
      <c r="R22" s="257">
        <f>VLOOKUP(B22,SWB!$C$15:$V$244,20,FALSE)</f>
        <v>1.0227846294533334</v>
      </c>
      <c r="S22" s="116">
        <v>0</v>
      </c>
      <c r="T22" s="116">
        <v>0</v>
      </c>
      <c r="U22" s="116">
        <v>1</v>
      </c>
      <c r="V22" s="116">
        <v>1</v>
      </c>
      <c r="W22" s="116">
        <v>23.5</v>
      </c>
      <c r="X22" s="257">
        <v>7.5140089999999997</v>
      </c>
      <c r="Y22" s="116">
        <v>9.51</v>
      </c>
      <c r="Z22" s="116">
        <v>1</v>
      </c>
      <c r="AA22" s="257">
        <v>1.0367200000000001</v>
      </c>
      <c r="AB22" s="116">
        <v>0</v>
      </c>
      <c r="AC22" s="257">
        <v>8.6544019999999993</v>
      </c>
      <c r="AD22" s="257">
        <v>1.18672</v>
      </c>
      <c r="AE22" s="257">
        <v>1.3053920000000001</v>
      </c>
      <c r="AF22" s="116">
        <v>0.1</v>
      </c>
      <c r="AG22" s="116">
        <v>0.55000000000000004</v>
      </c>
      <c r="AH22" s="116">
        <v>15</v>
      </c>
      <c r="AI22" s="116">
        <v>8.25</v>
      </c>
      <c r="AJ22" s="116">
        <f>IFERROR(VLOOKUP($B22,SWB!C20:BE403,37,FALSE),0)</f>
        <v>0</v>
      </c>
      <c r="AK22" s="116">
        <f t="shared" si="1"/>
        <v>0</v>
      </c>
      <c r="AL22" s="116">
        <f>IFERROR(VLOOKUP($B22,SWB!C20:BE403,38,FALSE),0)</f>
        <v>0</v>
      </c>
      <c r="AM22" s="116">
        <f>IFERROR(VLOOKUP($B22,SWB!C20:BE403,38,FALSE),0)</f>
        <v>0</v>
      </c>
      <c r="AN22" s="257">
        <f>IFERROR(VLOOKUP($B22,SWB!C20:BE403,40,FALSE),0)</f>
        <v>0.29296210120316324</v>
      </c>
      <c r="AO22" s="257">
        <f>IFERROR(VLOOKUP($B22,SWB!C20:BE403,43,FALSE),0)</f>
        <v>0.29296210120316324</v>
      </c>
      <c r="AP22" s="257">
        <v>9.8763590000000008</v>
      </c>
      <c r="AQ22" s="257">
        <f>IFERROR(VLOOKUP($B22,SWB!C20:BE403,44,FALSE),0)</f>
        <v>1.8032419207010095</v>
      </c>
      <c r="AR22" s="116">
        <f t="shared" si="3"/>
        <v>0</v>
      </c>
      <c r="AS22" s="116">
        <v>0</v>
      </c>
      <c r="AT22" s="116" t="s">
        <v>131</v>
      </c>
      <c r="AU22" s="116" t="s">
        <v>131</v>
      </c>
      <c r="AV22" s="116" t="s">
        <v>131</v>
      </c>
      <c r="AW22" s="116" t="s">
        <v>131</v>
      </c>
      <c r="AX22" s="116" t="s">
        <v>131</v>
      </c>
      <c r="AY22" s="116" t="s">
        <v>131</v>
      </c>
      <c r="AZ22" s="116"/>
      <c r="BA22" s="116" t="s">
        <v>132</v>
      </c>
      <c r="BB22" s="116"/>
    </row>
    <row r="23" spans="1:54">
      <c r="A23" s="101" t="s">
        <v>130</v>
      </c>
      <c r="B23" s="69">
        <f t="shared" si="2"/>
        <v>42022</v>
      </c>
      <c r="C23" s="101" t="s">
        <v>130</v>
      </c>
      <c r="D23" s="116">
        <f>VLOOKUP(B23,SWB!$C$15:$H$244,6,FALSE)</f>
        <v>18</v>
      </c>
      <c r="E23" s="102">
        <f>VLOOKUP($B23,Clima!$W$8:$AI$1506,3,FALSE)</f>
        <v>3.8</v>
      </c>
      <c r="F23" s="102">
        <f>VLOOKUP($B23,Clima!$W$8:$AI$1506,4,FALSE)</f>
        <v>-6.9</v>
      </c>
      <c r="G23" s="102">
        <f>VLOOKUP($B23,Clima!$W$8:$AI$1506,2,FALSE)</f>
        <v>-0.4</v>
      </c>
      <c r="H23" s="102"/>
      <c r="I23" s="102">
        <f>VLOOKUP($B23,Clima!$W$8:$AI$1506,13,FALSE)</f>
        <v>0.6</v>
      </c>
      <c r="J23" s="102"/>
      <c r="K23" s="102"/>
      <c r="L23" s="102">
        <f>VLOOKUP($B23,Clima!$W$8:$AI$1506,12,FALSE)</f>
        <v>4.0999999999999996</v>
      </c>
      <c r="M23" s="102">
        <f t="shared" si="0"/>
        <v>4.0999999999999996</v>
      </c>
      <c r="N23" s="257">
        <f>VLOOKUP(B23,SWB!$C$15:$S$244,17,FALSE)</f>
        <v>0.27679999866666671</v>
      </c>
      <c r="O23" s="116"/>
      <c r="P23" s="116">
        <f>SWB!$M$4</f>
        <v>0.15</v>
      </c>
      <c r="Q23" s="257">
        <f>VLOOKUP(B23,SWB!$C$15:$AJ$244,34,FALSE)</f>
        <v>0.28697942281481476</v>
      </c>
      <c r="R23" s="257">
        <f>VLOOKUP(B23,SWB!$C$15:$V$244,20,FALSE)</f>
        <v>1.0227846294533334</v>
      </c>
      <c r="S23" s="116">
        <v>0</v>
      </c>
      <c r="T23" s="116">
        <v>0</v>
      </c>
      <c r="U23" s="116">
        <v>1</v>
      </c>
      <c r="V23" s="116">
        <v>1</v>
      </c>
      <c r="W23" s="116">
        <v>23.5</v>
      </c>
      <c r="X23" s="257">
        <v>8.6544019999999993</v>
      </c>
      <c r="Y23" s="116">
        <v>9.51</v>
      </c>
      <c r="Z23" s="116">
        <v>1</v>
      </c>
      <c r="AA23" s="257">
        <v>1.0669420000000001</v>
      </c>
      <c r="AB23" s="116">
        <v>0</v>
      </c>
      <c r="AC23" s="257">
        <v>10.606904999999999</v>
      </c>
      <c r="AD23" s="257">
        <v>1.216942</v>
      </c>
      <c r="AE23" s="257">
        <v>2.227004</v>
      </c>
      <c r="AF23" s="116">
        <v>0.1</v>
      </c>
      <c r="AG23" s="116">
        <v>0.55000000000000004</v>
      </c>
      <c r="AH23" s="116">
        <v>15</v>
      </c>
      <c r="AI23" s="116">
        <v>8.25</v>
      </c>
      <c r="AJ23" s="116">
        <f>IFERROR(VLOOKUP($B23,SWB!C21:BE404,37,FALSE),0)</f>
        <v>0</v>
      </c>
      <c r="AK23" s="116">
        <f t="shared" si="1"/>
        <v>0</v>
      </c>
      <c r="AL23" s="116">
        <f>IFERROR(VLOOKUP($B23,SWB!C21:BE404,38,FALSE),0)</f>
        <v>0</v>
      </c>
      <c r="AM23" s="116">
        <f>IFERROR(VLOOKUP($B23,SWB!C21:BE404,38,FALSE),0)</f>
        <v>0</v>
      </c>
      <c r="AN23" s="257">
        <f>IFERROR(VLOOKUP($B23,SWB!C21:BE404,40,FALSE),0)</f>
        <v>1.0227846294533334</v>
      </c>
      <c r="AO23" s="257">
        <f>IFERROR(VLOOKUP($B23,SWB!C21:BE404,43,FALSE),0)</f>
        <v>1.6364554071253334</v>
      </c>
      <c r="AP23" s="257">
        <v>12.037224</v>
      </c>
      <c r="AQ23" s="257">
        <f>IFERROR(VLOOKUP($B23,SWB!C21:BE404,44,FALSE),0)</f>
        <v>3.4396973278263427</v>
      </c>
      <c r="AR23" s="116">
        <f t="shared" si="3"/>
        <v>0</v>
      </c>
      <c r="AS23" s="116">
        <v>0</v>
      </c>
      <c r="AT23" s="116" t="s">
        <v>131</v>
      </c>
      <c r="AU23" s="116" t="s">
        <v>131</v>
      </c>
      <c r="AV23" s="116" t="s">
        <v>131</v>
      </c>
      <c r="AW23" s="116" t="s">
        <v>131</v>
      </c>
      <c r="AX23" s="116" t="s">
        <v>131</v>
      </c>
      <c r="AY23" s="116" t="s">
        <v>131</v>
      </c>
      <c r="AZ23" s="116"/>
      <c r="BA23" s="116" t="s">
        <v>132</v>
      </c>
      <c r="BB23" s="116"/>
    </row>
    <row r="24" spans="1:54">
      <c r="A24" s="101" t="s">
        <v>130</v>
      </c>
      <c r="B24" s="69">
        <f t="shared" si="2"/>
        <v>42023</v>
      </c>
      <c r="C24" s="101" t="s">
        <v>130</v>
      </c>
      <c r="D24" s="116">
        <f>VLOOKUP(B24,SWB!$C$15:$H$244,6,FALSE)</f>
        <v>19</v>
      </c>
      <c r="E24" s="102">
        <f>VLOOKUP($B24,Clima!$W$8:$AI$1506,3,FALSE)</f>
        <v>6.9</v>
      </c>
      <c r="F24" s="102">
        <f>VLOOKUP($B24,Clima!$W$8:$AI$1506,4,FALSE)</f>
        <v>-0.5</v>
      </c>
      <c r="G24" s="102">
        <f>VLOOKUP($B24,Clima!$W$8:$AI$1506,2,FALSE)</f>
        <v>3.2</v>
      </c>
      <c r="H24" s="102"/>
      <c r="I24" s="102">
        <f>VLOOKUP($B24,Clima!$W$8:$AI$1506,13,FALSE)</f>
        <v>1</v>
      </c>
      <c r="J24" s="102"/>
      <c r="K24" s="102"/>
      <c r="L24" s="102">
        <f>VLOOKUP($B24,Clima!$W$8:$AI$1506,12,FALSE)</f>
        <v>2.4</v>
      </c>
      <c r="M24" s="102">
        <f t="shared" si="0"/>
        <v>2.4</v>
      </c>
      <c r="N24" s="257">
        <f>VLOOKUP(B24,SWB!$C$15:$S$244,17,FALSE)</f>
        <v>0.27664444313333336</v>
      </c>
      <c r="O24" s="116"/>
      <c r="P24" s="116">
        <f>SWB!$M$4</f>
        <v>0.15</v>
      </c>
      <c r="Q24" s="257">
        <f>VLOOKUP(B24,SWB!$C$15:$AJ$244,34,FALSE)</f>
        <v>0.28697942281481476</v>
      </c>
      <c r="R24" s="257">
        <f>VLOOKUP(B24,SWB!$C$15:$V$244,20,FALSE)</f>
        <v>1.0227846294533334</v>
      </c>
      <c r="S24" s="116">
        <v>0</v>
      </c>
      <c r="T24" s="116">
        <v>0</v>
      </c>
      <c r="U24" s="116">
        <v>1</v>
      </c>
      <c r="V24" s="116">
        <v>1</v>
      </c>
      <c r="W24" s="116">
        <v>23.5</v>
      </c>
      <c r="X24" s="257">
        <v>10.016905</v>
      </c>
      <c r="Y24" s="116">
        <v>9.51</v>
      </c>
      <c r="Z24" s="257">
        <v>0.96376700000000004</v>
      </c>
      <c r="AA24" s="257">
        <v>0.95551600000000003</v>
      </c>
      <c r="AB24" s="116">
        <v>0</v>
      </c>
      <c r="AC24" s="257">
        <v>11.689057999999999</v>
      </c>
      <c r="AD24" s="257">
        <v>1.1055159999999999</v>
      </c>
      <c r="AE24" s="257">
        <v>1.934653</v>
      </c>
      <c r="AF24" s="116">
        <v>0.1</v>
      </c>
      <c r="AG24" s="116">
        <v>0.55000000000000004</v>
      </c>
      <c r="AH24" s="116">
        <v>15</v>
      </c>
      <c r="AI24" s="116">
        <v>8.25</v>
      </c>
      <c r="AJ24" s="116">
        <f>IFERROR(VLOOKUP($B24,SWB!C22:BE405,37,FALSE),0)</f>
        <v>0</v>
      </c>
      <c r="AK24" s="116">
        <f t="shared" si="1"/>
        <v>0</v>
      </c>
      <c r="AL24" s="116">
        <f>IFERROR(VLOOKUP($B24,SWB!C22:BE405,38,FALSE),0)</f>
        <v>0</v>
      </c>
      <c r="AM24" s="116">
        <f>IFERROR(VLOOKUP($B24,SWB!C22:BE405,38,FALSE),0)</f>
        <v>0</v>
      </c>
      <c r="AN24" s="257">
        <f>IFERROR(VLOOKUP($B24,SWB!C22:BE405,40,FALSE),0)</f>
        <v>1.0227846294533334</v>
      </c>
      <c r="AO24" s="257">
        <f>IFERROR(VLOOKUP($B24,SWB!C22:BE405,43,FALSE),0)</f>
        <v>0.81822770356266672</v>
      </c>
      <c r="AP24" s="257">
        <v>13.234596</v>
      </c>
      <c r="AQ24" s="257">
        <f>IFERROR(VLOOKUP($B24,SWB!C22:BE405,44,FALSE),0)</f>
        <v>4.2579250313890098</v>
      </c>
      <c r="AR24" s="116">
        <f t="shared" si="3"/>
        <v>0</v>
      </c>
      <c r="AS24" s="116">
        <v>0.59</v>
      </c>
      <c r="AT24" s="116" t="s">
        <v>131</v>
      </c>
      <c r="AU24" s="116" t="s">
        <v>131</v>
      </c>
      <c r="AV24" s="116" t="s">
        <v>131</v>
      </c>
      <c r="AW24" s="116" t="s">
        <v>131</v>
      </c>
      <c r="AX24" s="116" t="s">
        <v>131</v>
      </c>
      <c r="AY24" s="116" t="s">
        <v>131</v>
      </c>
      <c r="AZ24" s="116"/>
      <c r="BA24" s="116" t="s">
        <v>132</v>
      </c>
      <c r="BB24" s="116"/>
    </row>
    <row r="25" spans="1:54">
      <c r="A25" s="101" t="s">
        <v>130</v>
      </c>
      <c r="B25" s="69">
        <f t="shared" si="2"/>
        <v>42024</v>
      </c>
      <c r="C25" s="101" t="s">
        <v>130</v>
      </c>
      <c r="D25" s="116">
        <f>VLOOKUP(B25,SWB!$C$15:$H$244,6,FALSE)</f>
        <v>20</v>
      </c>
      <c r="E25" s="102">
        <f>VLOOKUP($B25,Clima!$W$8:$AI$1506,3,FALSE)</f>
        <v>6.4</v>
      </c>
      <c r="F25" s="102">
        <f>VLOOKUP($B25,Clima!$W$8:$AI$1506,4,FALSE)</f>
        <v>-2.1</v>
      </c>
      <c r="G25" s="102">
        <f>VLOOKUP($B25,Clima!$W$8:$AI$1506,2,FALSE)</f>
        <v>1.1000000000000001</v>
      </c>
      <c r="H25" s="102"/>
      <c r="I25" s="102">
        <f>VLOOKUP($B25,Clima!$W$8:$AI$1506,13,FALSE)</f>
        <v>1.1000000000000001</v>
      </c>
      <c r="J25" s="102"/>
      <c r="K25" s="102"/>
      <c r="L25" s="102">
        <f>VLOOKUP($B25,Clima!$W$8:$AI$1506,12,FALSE)</f>
        <v>0</v>
      </c>
      <c r="M25" s="102">
        <f t="shared" si="0"/>
        <v>0</v>
      </c>
      <c r="N25" s="257">
        <f>VLOOKUP(B25,SWB!$C$15:$S$244,17,FALSE)</f>
        <v>0.27648888760000001</v>
      </c>
      <c r="O25" s="116"/>
      <c r="P25" s="116">
        <f>SWB!$M$4</f>
        <v>0.15</v>
      </c>
      <c r="Q25" s="257">
        <f>VLOOKUP(B25,SWB!$C$15:$AJ$244,34,FALSE)</f>
        <v>0.28697942281481476</v>
      </c>
      <c r="R25" s="257">
        <f>VLOOKUP(B25,SWB!$C$15:$V$244,20,FALSE)</f>
        <v>1.0227846294533334</v>
      </c>
      <c r="S25" s="116">
        <v>0</v>
      </c>
      <c r="T25" s="116">
        <v>0</v>
      </c>
      <c r="U25" s="116">
        <v>1</v>
      </c>
      <c r="V25" s="116">
        <v>1</v>
      </c>
      <c r="W25" s="116">
        <v>23.5</v>
      </c>
      <c r="X25" s="257">
        <v>11.689057999999999</v>
      </c>
      <c r="Y25" s="116">
        <v>9.51</v>
      </c>
      <c r="Z25" s="257">
        <v>0.84424200000000005</v>
      </c>
      <c r="AA25" s="257">
        <v>0.82065399999999999</v>
      </c>
      <c r="AB25" s="116">
        <v>0</v>
      </c>
      <c r="AC25" s="257">
        <v>12.821561000000001</v>
      </c>
      <c r="AD25" s="257">
        <v>0.97065400000000002</v>
      </c>
      <c r="AE25" s="257">
        <v>1.3395030000000001</v>
      </c>
      <c r="AF25" s="116">
        <v>0.1</v>
      </c>
      <c r="AG25" s="116">
        <v>0.55000000000000004</v>
      </c>
      <c r="AH25" s="116">
        <v>15</v>
      </c>
      <c r="AI25" s="116">
        <v>8.25</v>
      </c>
      <c r="AJ25" s="116">
        <f>IFERROR(VLOOKUP($B25,SWB!C23:BE406,37,FALSE),0)</f>
        <v>0</v>
      </c>
      <c r="AK25" s="116">
        <f t="shared" si="1"/>
        <v>0</v>
      </c>
      <c r="AL25" s="116">
        <f>IFERROR(VLOOKUP($B25,SWB!C23:BE406,38,FALSE),0)</f>
        <v>0</v>
      </c>
      <c r="AM25" s="116">
        <f>IFERROR(VLOOKUP($B25,SWB!C23:BE406,38,FALSE),0)</f>
        <v>0</v>
      </c>
      <c r="AN25" s="257">
        <f>IFERROR(VLOOKUP($B25,SWB!C23:BE406,40,FALSE),0)</f>
        <v>1.0227846294533334</v>
      </c>
      <c r="AO25" s="257">
        <f>IFERROR(VLOOKUP($B25,SWB!C23:BE406,43,FALSE),0)</f>
        <v>0.81822770356266672</v>
      </c>
      <c r="AP25" s="257">
        <v>14.421238000000001</v>
      </c>
      <c r="AQ25" s="257">
        <f>IFERROR(VLOOKUP($B25,SWB!C23:BE406,44,FALSE),0)</f>
        <v>5.0761527349516768</v>
      </c>
      <c r="AR25" s="116">
        <f t="shared" si="3"/>
        <v>0</v>
      </c>
      <c r="AS25" s="116">
        <v>0.59</v>
      </c>
      <c r="AT25" s="116" t="s">
        <v>131</v>
      </c>
      <c r="AU25" s="116" t="s">
        <v>131</v>
      </c>
      <c r="AV25" s="116" t="s">
        <v>131</v>
      </c>
      <c r="AW25" s="116" t="s">
        <v>131</v>
      </c>
      <c r="AX25" s="116" t="s">
        <v>131</v>
      </c>
      <c r="AY25" s="116" t="s">
        <v>131</v>
      </c>
      <c r="AZ25" s="116"/>
      <c r="BA25" s="116" t="s">
        <v>132</v>
      </c>
      <c r="BB25" s="116"/>
    </row>
    <row r="26" spans="1:54">
      <c r="A26" s="101" t="s">
        <v>130</v>
      </c>
      <c r="B26" s="69">
        <f t="shared" si="2"/>
        <v>42025</v>
      </c>
      <c r="C26" s="101" t="s">
        <v>130</v>
      </c>
      <c r="D26" s="116">
        <f>VLOOKUP(B26,SWB!$C$15:$H$244,6,FALSE)</f>
        <v>21</v>
      </c>
      <c r="E26" s="102">
        <f>VLOOKUP($B26,Clima!$W$8:$AI$1506,3,FALSE)</f>
        <v>6.6</v>
      </c>
      <c r="F26" s="102">
        <f>VLOOKUP($B26,Clima!$W$8:$AI$1506,4,FALSE)</f>
        <v>-2.4</v>
      </c>
      <c r="G26" s="102">
        <f>VLOOKUP($B26,Clima!$W$8:$AI$1506,2,FALSE)</f>
        <v>1.5</v>
      </c>
      <c r="H26" s="102"/>
      <c r="I26" s="102">
        <f>VLOOKUP($B26,Clima!$W$8:$AI$1506,13,FALSE)</f>
        <v>1.1000000000000001</v>
      </c>
      <c r="J26" s="102"/>
      <c r="K26" s="102"/>
      <c r="L26" s="102">
        <f>VLOOKUP($B26,Clima!$W$8:$AI$1506,12,FALSE)</f>
        <v>0.2</v>
      </c>
      <c r="M26" s="102">
        <f t="shared" si="0"/>
        <v>0.2</v>
      </c>
      <c r="N26" s="257">
        <f>VLOOKUP(B26,SWB!$C$15:$S$244,17,FALSE)</f>
        <v>0.27633333206666677</v>
      </c>
      <c r="O26" s="116"/>
      <c r="P26" s="116">
        <f>SWB!$M$4</f>
        <v>0.15</v>
      </c>
      <c r="Q26" s="257">
        <f>VLOOKUP(B26,SWB!$C$15:$AJ$244,34,FALSE)</f>
        <v>0.28697942281481476</v>
      </c>
      <c r="R26" s="257">
        <f>VLOOKUP(B26,SWB!$C$15:$V$244,20,FALSE)</f>
        <v>1.0227846294533334</v>
      </c>
      <c r="S26" s="116">
        <v>0</v>
      </c>
      <c r="T26" s="116">
        <v>0</v>
      </c>
      <c r="U26" s="116">
        <v>1</v>
      </c>
      <c r="V26" s="116">
        <v>1</v>
      </c>
      <c r="W26" s="116">
        <v>23.5</v>
      </c>
      <c r="X26" s="257">
        <v>8.7015609999999999</v>
      </c>
      <c r="Y26" s="116">
        <v>9.51</v>
      </c>
      <c r="Z26" s="116">
        <v>1</v>
      </c>
      <c r="AA26" s="257">
        <v>0.91297300000000003</v>
      </c>
      <c r="AB26" s="116">
        <v>0</v>
      </c>
      <c r="AC26" s="257">
        <v>9.2584739999999996</v>
      </c>
      <c r="AD26" s="257">
        <v>1.0629729999999999</v>
      </c>
      <c r="AE26" s="257">
        <v>0.64841400000000005</v>
      </c>
      <c r="AF26" s="116">
        <v>0.1</v>
      </c>
      <c r="AG26" s="116">
        <v>0.55000000000000004</v>
      </c>
      <c r="AH26" s="116">
        <v>15</v>
      </c>
      <c r="AI26" s="116">
        <v>8.25</v>
      </c>
      <c r="AJ26" s="116">
        <f>IFERROR(VLOOKUP($B26,SWB!C24:BE407,37,FALSE),0)</f>
        <v>0</v>
      </c>
      <c r="AK26" s="116">
        <f t="shared" si="1"/>
        <v>0</v>
      </c>
      <c r="AL26" s="116">
        <f>IFERROR(VLOOKUP($B26,SWB!C24:BE407,38,FALSE),0)</f>
        <v>0</v>
      </c>
      <c r="AM26" s="116">
        <f>IFERROR(VLOOKUP($B26,SWB!C24:BE407,38,FALSE),0)</f>
        <v>0</v>
      </c>
      <c r="AN26" s="257">
        <f>IFERROR(VLOOKUP($B26,SWB!C24:BE407,40,FALSE),0)</f>
        <v>1.0227846294533334</v>
      </c>
      <c r="AO26" s="257">
        <f>IFERROR(VLOOKUP($B26,SWB!C24:BE407,43,FALSE),0)</f>
        <v>0.9205061665080001</v>
      </c>
      <c r="AP26" s="257">
        <v>10.865997</v>
      </c>
      <c r="AQ26" s="257">
        <f>IFERROR(VLOOKUP($B26,SWB!C24:BE407,44,FALSE),0)</f>
        <v>5.9966589014596767</v>
      </c>
      <c r="AR26" s="116">
        <f t="shared" si="3"/>
        <v>0</v>
      </c>
      <c r="AS26" s="116">
        <v>4.71</v>
      </c>
      <c r="AT26" s="116" t="s">
        <v>131</v>
      </c>
      <c r="AU26" s="116" t="s">
        <v>131</v>
      </c>
      <c r="AV26" s="116" t="s">
        <v>131</v>
      </c>
      <c r="AW26" s="116" t="s">
        <v>131</v>
      </c>
      <c r="AX26" s="116" t="s">
        <v>131</v>
      </c>
      <c r="AY26" s="116" t="s">
        <v>131</v>
      </c>
      <c r="AZ26" s="116"/>
      <c r="BA26" s="116" t="s">
        <v>132</v>
      </c>
      <c r="BB26" s="116"/>
    </row>
    <row r="27" spans="1:54">
      <c r="A27" s="101" t="s">
        <v>130</v>
      </c>
      <c r="B27" s="69">
        <f t="shared" si="2"/>
        <v>42026</v>
      </c>
      <c r="C27" s="101" t="s">
        <v>130</v>
      </c>
      <c r="D27" s="116">
        <f>VLOOKUP(B27,SWB!$C$15:$H$244,6,FALSE)</f>
        <v>22</v>
      </c>
      <c r="E27" s="102">
        <f>VLOOKUP($B27,Clima!$W$8:$AI$1506,3,FALSE)</f>
        <v>5.9</v>
      </c>
      <c r="F27" s="102">
        <f>VLOOKUP($B27,Clima!$W$8:$AI$1506,4,FALSE)</f>
        <v>-0.5</v>
      </c>
      <c r="G27" s="102">
        <f>VLOOKUP($B27,Clima!$W$8:$AI$1506,2,FALSE)</f>
        <v>2.2000000000000002</v>
      </c>
      <c r="H27" s="102"/>
      <c r="I27" s="102">
        <f>VLOOKUP($B27,Clima!$W$8:$AI$1506,13,FALSE)</f>
        <v>1</v>
      </c>
      <c r="J27" s="102"/>
      <c r="K27" s="102"/>
      <c r="L27" s="102">
        <f>VLOOKUP($B27,Clima!$W$8:$AI$1506,12,FALSE)</f>
        <v>0</v>
      </c>
      <c r="M27" s="102">
        <f t="shared" si="0"/>
        <v>0</v>
      </c>
      <c r="N27" s="257">
        <f>VLOOKUP(B27,SWB!$C$15:$S$244,17,FALSE)</f>
        <v>0.27617777653333342</v>
      </c>
      <c r="O27" s="116"/>
      <c r="P27" s="116">
        <f>SWB!$M$4</f>
        <v>0.15</v>
      </c>
      <c r="Q27" s="257">
        <f>VLOOKUP(B27,SWB!$C$15:$AJ$244,34,FALSE)</f>
        <v>0.28697942281481476</v>
      </c>
      <c r="R27" s="257">
        <f>VLOOKUP(B27,SWB!$C$15:$V$244,20,FALSE)</f>
        <v>1.0227846294533334</v>
      </c>
      <c r="S27" s="116">
        <v>0</v>
      </c>
      <c r="T27" s="116">
        <v>0</v>
      </c>
      <c r="U27" s="116">
        <v>1</v>
      </c>
      <c r="V27" s="116">
        <v>1</v>
      </c>
      <c r="W27" s="116">
        <v>23.5</v>
      </c>
      <c r="X27" s="257">
        <v>0</v>
      </c>
      <c r="Y27" s="116">
        <v>9.51</v>
      </c>
      <c r="Z27" s="116">
        <v>1</v>
      </c>
      <c r="AA27" s="257">
        <v>0.94294900000000004</v>
      </c>
      <c r="AB27" s="257">
        <v>0.74152600000000002</v>
      </c>
      <c r="AC27" s="257">
        <v>0.91466099999999995</v>
      </c>
      <c r="AD27" s="257">
        <v>1.0929489999999999</v>
      </c>
      <c r="AE27" s="257">
        <v>1.0601609999999999</v>
      </c>
      <c r="AF27" s="116">
        <v>0.1</v>
      </c>
      <c r="AG27" s="116">
        <v>0.55000000000000004</v>
      </c>
      <c r="AH27" s="116">
        <v>15</v>
      </c>
      <c r="AI27" s="116">
        <v>8.25</v>
      </c>
      <c r="AJ27" s="116">
        <f>IFERROR(VLOOKUP($B27,SWB!C25:BE408,37,FALSE),0)</f>
        <v>0</v>
      </c>
      <c r="AK27" s="116">
        <f t="shared" si="1"/>
        <v>0</v>
      </c>
      <c r="AL27" s="116">
        <f>IFERROR(VLOOKUP($B27,SWB!C25:BE408,38,FALSE),0)</f>
        <v>0</v>
      </c>
      <c r="AM27" s="116">
        <f>IFERROR(VLOOKUP($B27,SWB!C25:BE408,38,FALSE),0)</f>
        <v>0</v>
      </c>
      <c r="AN27" s="257">
        <f>IFERROR(VLOOKUP($B27,SWB!C25:BE408,40,FALSE),0)</f>
        <v>0.37826224808037662</v>
      </c>
      <c r="AO27" s="257">
        <f>IFERROR(VLOOKUP($B27,SWB!C25:BE408,43,FALSE),0)</f>
        <v>0.30260979846430131</v>
      </c>
      <c r="AP27" s="257">
        <v>1.8697680000000001</v>
      </c>
      <c r="AQ27" s="257">
        <f>IFERROR(VLOOKUP($B27,SWB!C25:BE408,44,FALSE),0)</f>
        <v>6.299268699923978</v>
      </c>
      <c r="AR27" s="116">
        <f t="shared" si="3"/>
        <v>0</v>
      </c>
      <c r="AS27" s="116">
        <v>14.71</v>
      </c>
      <c r="AT27" s="116" t="s">
        <v>131</v>
      </c>
      <c r="AU27" s="116" t="s">
        <v>131</v>
      </c>
      <c r="AV27" s="116" t="s">
        <v>131</v>
      </c>
      <c r="AW27" s="116" t="s">
        <v>131</v>
      </c>
      <c r="AX27" s="116" t="s">
        <v>131</v>
      </c>
      <c r="AY27" s="116" t="s">
        <v>131</v>
      </c>
      <c r="AZ27" s="116"/>
      <c r="BA27" s="116" t="s">
        <v>132</v>
      </c>
      <c r="BB27" s="116"/>
    </row>
    <row r="28" spans="1:54">
      <c r="A28" s="101" t="s">
        <v>130</v>
      </c>
      <c r="B28" s="69">
        <f t="shared" si="2"/>
        <v>42027</v>
      </c>
      <c r="C28" s="101" t="s">
        <v>130</v>
      </c>
      <c r="D28" s="116">
        <f>VLOOKUP(B28,SWB!$C$15:$H$244,6,FALSE)</f>
        <v>23</v>
      </c>
      <c r="E28" s="102">
        <f>VLOOKUP($B28,Clima!$W$8:$AI$1506,3,FALSE)</f>
        <v>8.3000000000000007</v>
      </c>
      <c r="F28" s="102">
        <f>VLOOKUP($B28,Clima!$W$8:$AI$1506,4,FALSE)</f>
        <v>-2.2999999999999998</v>
      </c>
      <c r="G28" s="102">
        <f>VLOOKUP($B28,Clima!$W$8:$AI$1506,2,FALSE)</f>
        <v>2.2000000000000002</v>
      </c>
      <c r="H28" s="102"/>
      <c r="I28" s="102">
        <f>VLOOKUP($B28,Clima!$W$8:$AI$1506,13,FALSE)</f>
        <v>1.8</v>
      </c>
      <c r="J28" s="102"/>
      <c r="K28" s="102"/>
      <c r="L28" s="102">
        <f>VLOOKUP($B28,Clima!$W$8:$AI$1506,12,FALSE)</f>
        <v>0</v>
      </c>
      <c r="M28" s="102">
        <f t="shared" si="0"/>
        <v>0</v>
      </c>
      <c r="N28" s="257">
        <f>VLOOKUP(B28,SWB!$C$15:$S$244,17,FALSE)</f>
        <v>0.27602222100000018</v>
      </c>
      <c r="O28" s="116"/>
      <c r="P28" s="116">
        <f>SWB!$M$4</f>
        <v>0.15</v>
      </c>
      <c r="Q28" s="257">
        <f>VLOOKUP(B28,SWB!$C$15:$AJ$244,34,FALSE)</f>
        <v>0.28697942281481476</v>
      </c>
      <c r="R28" s="257">
        <f>VLOOKUP(B28,SWB!$C$15:$V$244,20,FALSE)</f>
        <v>1.0227846294533334</v>
      </c>
      <c r="S28" s="116">
        <v>0</v>
      </c>
      <c r="T28" s="116">
        <v>0</v>
      </c>
      <c r="U28" s="116">
        <v>1</v>
      </c>
      <c r="V28" s="116">
        <v>1</v>
      </c>
      <c r="W28" s="116">
        <v>23.5</v>
      </c>
      <c r="X28" s="257">
        <v>0.91466099999999995</v>
      </c>
      <c r="Y28" s="116">
        <v>9.51</v>
      </c>
      <c r="Z28" s="116">
        <v>1</v>
      </c>
      <c r="AA28" s="257">
        <v>0.95284000000000002</v>
      </c>
      <c r="AB28" s="116">
        <v>0</v>
      </c>
      <c r="AC28" s="257">
        <v>1.9818420000000001</v>
      </c>
      <c r="AD28" s="257">
        <v>1.10284</v>
      </c>
      <c r="AE28" s="257">
        <v>1.2351810000000001</v>
      </c>
      <c r="AF28" s="116">
        <v>0.1</v>
      </c>
      <c r="AG28" s="116">
        <v>0.55000000000000004</v>
      </c>
      <c r="AH28" s="116">
        <v>15</v>
      </c>
      <c r="AI28" s="116">
        <v>8.25</v>
      </c>
      <c r="AJ28" s="116">
        <f>IFERROR(VLOOKUP($B28,SWB!C26:BE409,37,FALSE),0)</f>
        <v>0</v>
      </c>
      <c r="AK28" s="116">
        <f t="shared" si="1"/>
        <v>0</v>
      </c>
      <c r="AL28" s="116">
        <f>IFERROR(VLOOKUP($B28,SWB!C26:BE409,38,FALSE),0)</f>
        <v>0</v>
      </c>
      <c r="AM28" s="116">
        <f>IFERROR(VLOOKUP($B28,SWB!C26:BE409,38,FALSE),0)</f>
        <v>0</v>
      </c>
      <c r="AN28" s="257">
        <f>IFERROR(VLOOKUP($B28,SWB!C26:BE409,40,FALSE),0)</f>
        <v>0.37543137097975832</v>
      </c>
      <c r="AO28" s="257">
        <f>IFERROR(VLOOKUP($B28,SWB!C26:BE409,43,FALSE),0)</f>
        <v>0.45051764517570997</v>
      </c>
      <c r="AP28" s="257">
        <v>3.1049500000000001</v>
      </c>
      <c r="AQ28" s="257">
        <f>IFERROR(VLOOKUP($B28,SWB!C26:BE409,44,FALSE),0)</f>
        <v>6.7497863450996878</v>
      </c>
      <c r="AR28" s="116">
        <f t="shared" si="3"/>
        <v>0</v>
      </c>
      <c r="AS28" s="116">
        <v>14.71</v>
      </c>
      <c r="AT28" s="116" t="s">
        <v>131</v>
      </c>
      <c r="AU28" s="116" t="s">
        <v>131</v>
      </c>
      <c r="AV28" s="116" t="s">
        <v>131</v>
      </c>
      <c r="AW28" s="116" t="s">
        <v>131</v>
      </c>
      <c r="AX28" s="116" t="s">
        <v>131</v>
      </c>
      <c r="AY28" s="116" t="s">
        <v>131</v>
      </c>
      <c r="AZ28" s="116"/>
      <c r="BA28" s="116" t="s">
        <v>132</v>
      </c>
      <c r="BB28" s="116"/>
    </row>
    <row r="29" spans="1:54">
      <c r="A29" s="101" t="s">
        <v>130</v>
      </c>
      <c r="B29" s="69">
        <f t="shared" si="2"/>
        <v>42028</v>
      </c>
      <c r="C29" s="101" t="s">
        <v>130</v>
      </c>
      <c r="D29" s="116">
        <f>VLOOKUP(B29,SWB!$C$15:$H$244,6,FALSE)</f>
        <v>24</v>
      </c>
      <c r="E29" s="102">
        <f>VLOOKUP($B29,Clima!$W$8:$AI$1506,3,FALSE)</f>
        <v>10.5</v>
      </c>
      <c r="F29" s="102">
        <f>VLOOKUP($B29,Clima!$W$8:$AI$1506,4,FALSE)</f>
        <v>-4</v>
      </c>
      <c r="G29" s="102">
        <f>VLOOKUP($B29,Clima!$W$8:$AI$1506,2,FALSE)</f>
        <v>1.9</v>
      </c>
      <c r="H29" s="102"/>
      <c r="I29" s="102">
        <f>VLOOKUP($B29,Clima!$W$8:$AI$1506,13,FALSE)</f>
        <v>2.2000000000000002</v>
      </c>
      <c r="J29" s="102"/>
      <c r="K29" s="102"/>
      <c r="L29" s="102">
        <f>VLOOKUP($B29,Clima!$W$8:$AI$1506,12,FALSE)</f>
        <v>0</v>
      </c>
      <c r="M29" s="102">
        <f t="shared" si="0"/>
        <v>0</v>
      </c>
      <c r="N29" s="257">
        <f>VLOOKUP(B29,SWB!$C$15:$S$244,17,FALSE)</f>
        <v>0.27586666546666683</v>
      </c>
      <c r="O29" s="116"/>
      <c r="P29" s="116">
        <f>SWB!$M$4</f>
        <v>0.15</v>
      </c>
      <c r="Q29" s="257">
        <f>VLOOKUP(B29,SWB!$C$15:$AJ$244,34,FALSE)</f>
        <v>0.28697942281481476</v>
      </c>
      <c r="R29" s="257">
        <f>VLOOKUP(B29,SWB!$C$15:$V$244,20,FALSE)</f>
        <v>1.0227846294533334</v>
      </c>
      <c r="S29" s="116">
        <v>0</v>
      </c>
      <c r="T29" s="116">
        <v>0</v>
      </c>
      <c r="U29" s="116">
        <v>1</v>
      </c>
      <c r="V29" s="116">
        <v>1</v>
      </c>
      <c r="W29" s="116">
        <v>23.5</v>
      </c>
      <c r="X29" s="257">
        <v>1.9818420000000001</v>
      </c>
      <c r="Y29" s="116">
        <v>9.51</v>
      </c>
      <c r="Z29" s="116">
        <v>1</v>
      </c>
      <c r="AA29" s="257">
        <v>1.0147360000000001</v>
      </c>
      <c r="AB29" s="116">
        <v>0</v>
      </c>
      <c r="AC29" s="257">
        <v>3.1386409999999998</v>
      </c>
      <c r="AD29" s="257">
        <v>1.164736</v>
      </c>
      <c r="AE29" s="257">
        <v>1.327799</v>
      </c>
      <c r="AF29" s="116">
        <v>0.1</v>
      </c>
      <c r="AG29" s="116">
        <v>0.55000000000000004</v>
      </c>
      <c r="AH29" s="116">
        <v>15</v>
      </c>
      <c r="AI29" s="116">
        <v>8.25</v>
      </c>
      <c r="AJ29" s="116">
        <f>IFERROR(VLOOKUP($B29,SWB!C27:BE410,37,FALSE),0)</f>
        <v>0</v>
      </c>
      <c r="AK29" s="116">
        <f t="shared" si="1"/>
        <v>0</v>
      </c>
      <c r="AL29" s="116">
        <f>IFERROR(VLOOKUP($B29,SWB!C27:BE410,38,FALSE),0)</f>
        <v>0</v>
      </c>
      <c r="AM29" s="116">
        <f>IFERROR(VLOOKUP($B29,SWB!C27:BE410,38,FALSE),0)</f>
        <v>0</v>
      </c>
      <c r="AN29" s="257">
        <f>IFERROR(VLOOKUP($B29,SWB!C27:BE410,40,FALSE),0)</f>
        <v>0.37135682032362649</v>
      </c>
      <c r="AO29" s="257">
        <f>IFERROR(VLOOKUP($B29,SWB!C27:BE410,43,FALSE),0)</f>
        <v>0.63130659455016502</v>
      </c>
      <c r="AP29" s="257">
        <v>4.4327480000000001</v>
      </c>
      <c r="AQ29" s="257">
        <f>IFERROR(VLOOKUP($B29,SWB!C27:BE410,44,FALSE),0)</f>
        <v>7.3810929396498528</v>
      </c>
      <c r="AR29" s="116">
        <f t="shared" si="3"/>
        <v>0</v>
      </c>
      <c r="AS29" s="116">
        <v>14.71</v>
      </c>
      <c r="AT29" s="116" t="s">
        <v>131</v>
      </c>
      <c r="AU29" s="116" t="s">
        <v>131</v>
      </c>
      <c r="AV29" s="116" t="s">
        <v>131</v>
      </c>
      <c r="AW29" s="116" t="s">
        <v>131</v>
      </c>
      <c r="AX29" s="116" t="s">
        <v>131</v>
      </c>
      <c r="AY29" s="116" t="s">
        <v>131</v>
      </c>
      <c r="AZ29" s="116"/>
      <c r="BA29" s="116" t="s">
        <v>132</v>
      </c>
      <c r="BB29" s="116"/>
    </row>
    <row r="30" spans="1:54">
      <c r="A30" s="101" t="s">
        <v>130</v>
      </c>
      <c r="B30" s="69">
        <f t="shared" si="2"/>
        <v>42029</v>
      </c>
      <c r="C30" s="101" t="s">
        <v>130</v>
      </c>
      <c r="D30" s="116">
        <f>VLOOKUP(B30,SWB!$C$15:$H$244,6,FALSE)</f>
        <v>25</v>
      </c>
      <c r="E30" s="102">
        <f>VLOOKUP($B30,Clima!$W$8:$AI$1506,3,FALSE)</f>
        <v>12.9</v>
      </c>
      <c r="F30" s="102">
        <f>VLOOKUP($B30,Clima!$W$8:$AI$1506,4,FALSE)</f>
        <v>0.3</v>
      </c>
      <c r="G30" s="102">
        <f>VLOOKUP($B30,Clima!$W$8:$AI$1506,2,FALSE)</f>
        <v>5.7</v>
      </c>
      <c r="H30" s="102"/>
      <c r="I30" s="102">
        <f>VLOOKUP($B30,Clima!$W$8:$AI$1506,13,FALSE)</f>
        <v>3.2</v>
      </c>
      <c r="J30" s="102"/>
      <c r="K30" s="102"/>
      <c r="L30" s="102">
        <f>VLOOKUP($B30,Clima!$W$8:$AI$1506,12,FALSE)</f>
        <v>0</v>
      </c>
      <c r="M30" s="102">
        <f t="shared" si="0"/>
        <v>0</v>
      </c>
      <c r="N30" s="257">
        <f>VLOOKUP(B30,SWB!$C$15:$S$244,17,FALSE)</f>
        <v>0.27571110993333348</v>
      </c>
      <c r="O30" s="116"/>
      <c r="P30" s="116">
        <f>SWB!$M$4</f>
        <v>0.15</v>
      </c>
      <c r="Q30" s="257">
        <f>VLOOKUP(B30,SWB!$C$15:$AJ$244,34,FALSE)</f>
        <v>0.28697942281481476</v>
      </c>
      <c r="R30" s="257">
        <f>VLOOKUP(B30,SWB!$C$15:$V$244,20,FALSE)</f>
        <v>1.0227846294533334</v>
      </c>
      <c r="S30" s="116">
        <v>0</v>
      </c>
      <c r="T30" s="116">
        <v>0</v>
      </c>
      <c r="U30" s="116">
        <v>1</v>
      </c>
      <c r="V30" s="116">
        <v>1</v>
      </c>
      <c r="W30" s="116">
        <v>23.5</v>
      </c>
      <c r="X30" s="257">
        <v>3.1386409999999998</v>
      </c>
      <c r="Y30" s="116">
        <v>9.51</v>
      </c>
      <c r="Z30" s="116">
        <v>1</v>
      </c>
      <c r="AA30" s="257">
        <v>1.0132650000000001</v>
      </c>
      <c r="AB30" s="116">
        <v>0</v>
      </c>
      <c r="AC30" s="257">
        <v>4.1721709999999996</v>
      </c>
      <c r="AD30" s="257">
        <v>1.163265</v>
      </c>
      <c r="AE30" s="257">
        <v>1.1865300000000001</v>
      </c>
      <c r="AF30" s="116">
        <v>0.1</v>
      </c>
      <c r="AG30" s="116">
        <v>0.55000000000000004</v>
      </c>
      <c r="AH30" s="116">
        <v>15</v>
      </c>
      <c r="AI30" s="116">
        <v>8.25</v>
      </c>
      <c r="AJ30" s="116">
        <f>IFERROR(VLOOKUP($B30,SWB!C28:BE411,37,FALSE),0)</f>
        <v>0</v>
      </c>
      <c r="AK30" s="116">
        <f t="shared" si="1"/>
        <v>0</v>
      </c>
      <c r="AL30" s="116">
        <f>IFERROR(VLOOKUP($B30,SWB!C28:BE411,38,FALSE),0)</f>
        <v>0</v>
      </c>
      <c r="AM30" s="116">
        <f>IFERROR(VLOOKUP($B30,SWB!C28:BE411,38,FALSE),0)</f>
        <v>0</v>
      </c>
      <c r="AN30" s="257">
        <f>IFERROR(VLOOKUP($B30,SWB!C28:BE411,40,FALSE),0)</f>
        <v>0.36585881861367253</v>
      </c>
      <c r="AO30" s="257">
        <f>IFERROR(VLOOKUP($B30,SWB!C28:BE411,43,FALSE),0)</f>
        <v>0.40244470047503983</v>
      </c>
      <c r="AP30" s="257">
        <v>5.6192789999999997</v>
      </c>
      <c r="AQ30" s="257">
        <f>IFERROR(VLOOKUP($B30,SWB!C28:BE411,44,FALSE),0)</f>
        <v>7.7835376401248926</v>
      </c>
      <c r="AR30" s="116">
        <f t="shared" si="3"/>
        <v>0</v>
      </c>
      <c r="AS30" s="116">
        <v>14.71</v>
      </c>
      <c r="AT30" s="116" t="s">
        <v>131</v>
      </c>
      <c r="AU30" s="116" t="s">
        <v>131</v>
      </c>
      <c r="AV30" s="116" t="s">
        <v>131</v>
      </c>
      <c r="AW30" s="116" t="s">
        <v>131</v>
      </c>
      <c r="AX30" s="116" t="s">
        <v>131</v>
      </c>
      <c r="AY30" s="116" t="s">
        <v>131</v>
      </c>
      <c r="AZ30" s="116"/>
      <c r="BA30" s="116" t="s">
        <v>132</v>
      </c>
      <c r="BB30" s="116"/>
    </row>
    <row r="31" spans="1:54">
      <c r="A31" s="101" t="s">
        <v>130</v>
      </c>
      <c r="B31" s="69">
        <f t="shared" si="2"/>
        <v>42030</v>
      </c>
      <c r="C31" s="101" t="s">
        <v>130</v>
      </c>
      <c r="D31" s="116">
        <f>VLOOKUP(B31,SWB!$C$15:$H$244,6,FALSE)</f>
        <v>26</v>
      </c>
      <c r="E31" s="102">
        <f>VLOOKUP($B31,Clima!$W$8:$AI$1506,3,FALSE)</f>
        <v>12.5</v>
      </c>
      <c r="F31" s="102">
        <f>VLOOKUP($B31,Clima!$W$8:$AI$1506,4,FALSE)</f>
        <v>-5.0999999999999996</v>
      </c>
      <c r="G31" s="102">
        <f>VLOOKUP($B31,Clima!$W$8:$AI$1506,2,FALSE)</f>
        <v>3.3</v>
      </c>
      <c r="H31" s="102"/>
      <c r="I31" s="102">
        <f>VLOOKUP($B31,Clima!$W$8:$AI$1506,13,FALSE)</f>
        <v>1.8</v>
      </c>
      <c r="J31" s="102"/>
      <c r="K31" s="102"/>
      <c r="L31" s="102">
        <f>VLOOKUP($B31,Clima!$W$8:$AI$1506,12,FALSE)</f>
        <v>0</v>
      </c>
      <c r="M31" s="102">
        <f t="shared" si="0"/>
        <v>0</v>
      </c>
      <c r="N31" s="257">
        <f>VLOOKUP(B31,SWB!$C$15:$S$244,17,FALSE)</f>
        <v>0.27555555440000024</v>
      </c>
      <c r="O31" s="116"/>
      <c r="P31" s="116">
        <f>SWB!$M$4</f>
        <v>0.15</v>
      </c>
      <c r="Q31" s="257">
        <f>VLOOKUP(B31,SWB!$C$15:$AJ$244,34,FALSE)</f>
        <v>0.28697942281481476</v>
      </c>
      <c r="R31" s="257">
        <f>VLOOKUP(B31,SWB!$C$15:$V$244,20,FALSE)</f>
        <v>1.0227846294533334</v>
      </c>
      <c r="S31" s="116">
        <v>0</v>
      </c>
      <c r="T31" s="116">
        <v>0</v>
      </c>
      <c r="U31" s="116">
        <v>1</v>
      </c>
      <c r="V31" s="116">
        <v>1</v>
      </c>
      <c r="W31" s="116">
        <v>23.5</v>
      </c>
      <c r="X31" s="257">
        <v>4.1721709999999996</v>
      </c>
      <c r="Y31" s="116">
        <v>9.51</v>
      </c>
      <c r="Z31" s="116">
        <v>1</v>
      </c>
      <c r="AA31" s="257">
        <v>1.0964419999999999</v>
      </c>
      <c r="AB31" s="116">
        <v>0</v>
      </c>
      <c r="AC31" s="257">
        <v>6.1019100000000002</v>
      </c>
      <c r="AD31" s="257">
        <v>1.246442</v>
      </c>
      <c r="AE31" s="257">
        <v>2.1937389999999999</v>
      </c>
      <c r="AF31" s="116">
        <v>0.1</v>
      </c>
      <c r="AG31" s="116">
        <v>0.55000000000000004</v>
      </c>
      <c r="AH31" s="116">
        <v>15</v>
      </c>
      <c r="AI31" s="116">
        <v>8.25</v>
      </c>
      <c r="AJ31" s="116">
        <f>IFERROR(VLOOKUP($B31,SWB!C29:BE412,37,FALSE),0)</f>
        <v>0</v>
      </c>
      <c r="AK31" s="116">
        <f t="shared" si="1"/>
        <v>0</v>
      </c>
      <c r="AL31" s="116">
        <f>IFERROR(VLOOKUP($B31,SWB!C29:BE412,38,FALSE),0)</f>
        <v>0</v>
      </c>
      <c r="AM31" s="116">
        <f>IFERROR(VLOOKUP($B31,SWB!C29:BE412,38,FALSE),0)</f>
        <v>0</v>
      </c>
      <c r="AN31" s="257">
        <f>IFERROR(VLOOKUP($B31,SWB!C29:BE412,40,FALSE),0)</f>
        <v>0.36244573047210271</v>
      </c>
      <c r="AO31" s="257">
        <f>IFERROR(VLOOKUP($B31,SWB!C29:BE412,43,FALSE),0)</f>
        <v>0.32620115742489247</v>
      </c>
      <c r="AP31" s="257">
        <v>7.8130170000000003</v>
      </c>
      <c r="AQ31" s="257">
        <f>IFERROR(VLOOKUP($B31,SWB!C29:BE412,44,FALSE),0)</f>
        <v>8.1097387975497846</v>
      </c>
      <c r="AR31" s="116">
        <f t="shared" si="3"/>
        <v>0</v>
      </c>
      <c r="AS31" s="116">
        <v>14.71</v>
      </c>
      <c r="AT31" s="116" t="s">
        <v>131</v>
      </c>
      <c r="AU31" s="116" t="s">
        <v>131</v>
      </c>
      <c r="AV31" s="116" t="s">
        <v>131</v>
      </c>
      <c r="AW31" s="116" t="s">
        <v>131</v>
      </c>
      <c r="AX31" s="116" t="s">
        <v>131</v>
      </c>
      <c r="AY31" s="116" t="s">
        <v>131</v>
      </c>
      <c r="AZ31" s="116"/>
      <c r="BA31" s="116" t="s">
        <v>132</v>
      </c>
      <c r="BB31" s="116"/>
    </row>
    <row r="32" spans="1:54">
      <c r="A32" s="101" t="s">
        <v>130</v>
      </c>
      <c r="B32" s="69">
        <f t="shared" si="2"/>
        <v>42031</v>
      </c>
      <c r="C32" s="101" t="s">
        <v>130</v>
      </c>
      <c r="D32" s="116">
        <f>VLOOKUP(B32,SWB!$C$15:$H$244,6,FALSE)</f>
        <v>27</v>
      </c>
      <c r="E32" s="102">
        <f>VLOOKUP($B32,Clima!$W$8:$AI$1506,3,FALSE)</f>
        <v>12.9</v>
      </c>
      <c r="F32" s="102">
        <f>VLOOKUP($B32,Clima!$W$8:$AI$1506,4,FALSE)</f>
        <v>-2.8</v>
      </c>
      <c r="G32" s="102">
        <f>VLOOKUP($B32,Clima!$W$8:$AI$1506,2,FALSE)</f>
        <v>5.0999999999999996</v>
      </c>
      <c r="H32" s="102"/>
      <c r="I32" s="102">
        <f>VLOOKUP($B32,Clima!$W$8:$AI$1506,13,FALSE)</f>
        <v>2.1</v>
      </c>
      <c r="J32" s="102"/>
      <c r="K32" s="102"/>
      <c r="L32" s="102">
        <f>VLOOKUP($B32,Clima!$W$8:$AI$1506,12,FALSE)</f>
        <v>0</v>
      </c>
      <c r="M32" s="102">
        <f t="shared" si="0"/>
        <v>0</v>
      </c>
      <c r="N32" s="257">
        <f>VLOOKUP(B32,SWB!$C$15:$S$244,17,FALSE)</f>
        <v>0.27539999886666688</v>
      </c>
      <c r="O32" s="116"/>
      <c r="P32" s="116">
        <f>SWB!$M$4</f>
        <v>0.15</v>
      </c>
      <c r="Q32" s="257">
        <f>VLOOKUP(B32,SWB!$C$15:$AJ$244,34,FALSE)</f>
        <v>0.28697942281481476</v>
      </c>
      <c r="R32" s="257">
        <f>VLOOKUP(B32,SWB!$C$15:$V$244,20,FALSE)</f>
        <v>1.0227846294533334</v>
      </c>
      <c r="S32" s="116">
        <v>0</v>
      </c>
      <c r="T32" s="116">
        <v>0</v>
      </c>
      <c r="U32" s="116">
        <v>1</v>
      </c>
      <c r="V32" s="116">
        <v>1</v>
      </c>
      <c r="W32" s="116">
        <v>23.5</v>
      </c>
      <c r="X32" s="257">
        <v>6.1019100000000002</v>
      </c>
      <c r="Y32" s="116">
        <v>9.51</v>
      </c>
      <c r="Z32" s="116">
        <v>1</v>
      </c>
      <c r="AA32" s="257">
        <v>1.1029880000000001</v>
      </c>
      <c r="AB32" s="116">
        <v>0</v>
      </c>
      <c r="AC32" s="257">
        <v>8.5505440000000004</v>
      </c>
      <c r="AD32" s="257">
        <v>1.252988</v>
      </c>
      <c r="AE32" s="257">
        <v>2.7816339999999999</v>
      </c>
      <c r="AF32" s="116">
        <v>0.1</v>
      </c>
      <c r="AG32" s="116">
        <v>0.55000000000000004</v>
      </c>
      <c r="AH32" s="116">
        <v>15</v>
      </c>
      <c r="AI32" s="116">
        <v>8.25</v>
      </c>
      <c r="AJ32" s="116">
        <f>IFERROR(VLOOKUP($B32,SWB!C30:BE413,37,FALSE),0)</f>
        <v>0</v>
      </c>
      <c r="AK32" s="116">
        <f t="shared" si="1"/>
        <v>0</v>
      </c>
      <c r="AL32" s="116">
        <f>IFERROR(VLOOKUP($B32,SWB!C30:BE413,38,FALSE),0)</f>
        <v>0</v>
      </c>
      <c r="AM32" s="116">
        <f>IFERROR(VLOOKUP($B32,SWB!C30:BE413,38,FALSE),0)</f>
        <v>0</v>
      </c>
      <c r="AN32" s="257">
        <f>IFERROR(VLOOKUP($B32,SWB!C30:BE413,40,FALSE),0)</f>
        <v>0.35972397913315096</v>
      </c>
      <c r="AO32" s="257">
        <f>IFERROR(VLOOKUP($B32,SWB!C30:BE413,43,FALSE),0)</f>
        <v>0.32375158121983588</v>
      </c>
      <c r="AP32" s="257">
        <v>10.594652</v>
      </c>
      <c r="AQ32" s="257">
        <f>IFERROR(VLOOKUP($B32,SWB!C30:BE413,44,FALSE),0)</f>
        <v>8.4334903787696209</v>
      </c>
      <c r="AR32" s="116">
        <f t="shared" si="3"/>
        <v>0</v>
      </c>
      <c r="AS32" s="116">
        <v>14.71</v>
      </c>
      <c r="AT32" s="116" t="s">
        <v>131</v>
      </c>
      <c r="AU32" s="116" t="s">
        <v>131</v>
      </c>
      <c r="AV32" s="116" t="s">
        <v>131</v>
      </c>
      <c r="AW32" s="116" t="s">
        <v>131</v>
      </c>
      <c r="AX32" s="116" t="s">
        <v>131</v>
      </c>
      <c r="AY32" s="116" t="s">
        <v>131</v>
      </c>
      <c r="AZ32" s="116"/>
      <c r="BA32" s="116" t="s">
        <v>132</v>
      </c>
      <c r="BB32" s="116"/>
    </row>
    <row r="33" spans="1:54">
      <c r="A33" s="101" t="s">
        <v>130</v>
      </c>
      <c r="B33" s="69">
        <f t="shared" si="2"/>
        <v>42032</v>
      </c>
      <c r="C33" s="101" t="s">
        <v>130</v>
      </c>
      <c r="D33" s="116">
        <f>VLOOKUP(B33,SWB!$C$15:$H$244,6,FALSE)</f>
        <v>28</v>
      </c>
      <c r="E33" s="102">
        <f>VLOOKUP($B33,Clima!$W$8:$AI$1506,3,FALSE)</f>
        <v>12.9</v>
      </c>
      <c r="F33" s="102">
        <f>VLOOKUP($B33,Clima!$W$8:$AI$1506,4,FALSE)</f>
        <v>-0.7</v>
      </c>
      <c r="G33" s="102">
        <f>VLOOKUP($B33,Clima!$W$8:$AI$1506,2,FALSE)</f>
        <v>5</v>
      </c>
      <c r="H33" s="102"/>
      <c r="I33" s="102">
        <f>VLOOKUP($B33,Clima!$W$8:$AI$1506,13,FALSE)</f>
        <v>2.2999999999999998</v>
      </c>
      <c r="J33" s="102"/>
      <c r="K33" s="102"/>
      <c r="L33" s="102">
        <f>VLOOKUP($B33,Clima!$W$8:$AI$1506,12,FALSE)</f>
        <v>0</v>
      </c>
      <c r="M33" s="102">
        <f t="shared" si="0"/>
        <v>0</v>
      </c>
      <c r="N33" s="257">
        <f>VLOOKUP(B33,SWB!$C$15:$S$244,17,FALSE)</f>
        <v>0.27524444333333353</v>
      </c>
      <c r="O33" s="116"/>
      <c r="P33" s="116">
        <f>SWB!$M$4</f>
        <v>0.15</v>
      </c>
      <c r="Q33" s="257">
        <f>VLOOKUP(B33,SWB!$C$15:$AJ$244,34,FALSE)</f>
        <v>0.28697942281481476</v>
      </c>
      <c r="R33" s="257">
        <f>VLOOKUP(B33,SWB!$C$15:$V$244,20,FALSE)</f>
        <v>1.0227846294533334</v>
      </c>
      <c r="S33" s="116">
        <v>0</v>
      </c>
      <c r="T33" s="116">
        <v>0</v>
      </c>
      <c r="U33" s="116">
        <v>1</v>
      </c>
      <c r="V33" s="116">
        <v>1</v>
      </c>
      <c r="W33" s="116">
        <v>23.5</v>
      </c>
      <c r="X33" s="257">
        <v>8.5505440000000004</v>
      </c>
      <c r="Y33" s="116">
        <v>9.51</v>
      </c>
      <c r="Z33" s="116">
        <v>1</v>
      </c>
      <c r="AA33" s="257">
        <v>1.1361079999999999</v>
      </c>
      <c r="AB33" s="116">
        <v>0</v>
      </c>
      <c r="AC33" s="257">
        <v>12.140644999999999</v>
      </c>
      <c r="AD33" s="257">
        <v>1.286108</v>
      </c>
      <c r="AE33" s="257">
        <v>4.064101</v>
      </c>
      <c r="AF33" s="116">
        <v>0.1</v>
      </c>
      <c r="AG33" s="116">
        <v>0.55000000000000004</v>
      </c>
      <c r="AH33" s="116">
        <v>15</v>
      </c>
      <c r="AI33" s="116">
        <v>8.25</v>
      </c>
      <c r="AJ33" s="116">
        <f>IFERROR(VLOOKUP($B33,SWB!C31:BE414,37,FALSE),0)</f>
        <v>0</v>
      </c>
      <c r="AK33" s="116">
        <f t="shared" si="1"/>
        <v>0</v>
      </c>
      <c r="AL33" s="116">
        <f>IFERROR(VLOOKUP($B33,SWB!C31:BE414,38,FALSE),0)</f>
        <v>0</v>
      </c>
      <c r="AM33" s="116">
        <f>IFERROR(VLOOKUP($B33,SWB!C31:BE414,38,FALSE),0)</f>
        <v>0</v>
      </c>
      <c r="AN33" s="257">
        <f>IFERROR(VLOOKUP($B33,SWB!C31:BE414,40,FALSE),0)</f>
        <v>0.35707749162676516</v>
      </c>
      <c r="AO33" s="257">
        <f>IFERROR(VLOOKUP($B33,SWB!C31:BE414,43,FALSE),0)</f>
        <v>0.35707749162676516</v>
      </c>
      <c r="AP33" s="257">
        <v>14.494106</v>
      </c>
      <c r="AQ33" s="257">
        <f>IFERROR(VLOOKUP($B33,SWB!C31:BE414,44,FALSE),0)</f>
        <v>8.7905678703963854</v>
      </c>
      <c r="AR33" s="116">
        <f t="shared" si="3"/>
        <v>0</v>
      </c>
      <c r="AS33" s="116">
        <v>14.71</v>
      </c>
      <c r="AT33" s="116" t="s">
        <v>131</v>
      </c>
      <c r="AU33" s="116" t="s">
        <v>131</v>
      </c>
      <c r="AV33" s="116" t="s">
        <v>131</v>
      </c>
      <c r="AW33" s="116" t="s">
        <v>131</v>
      </c>
      <c r="AX33" s="116" t="s">
        <v>131</v>
      </c>
      <c r="AY33" s="116" t="s">
        <v>131</v>
      </c>
      <c r="AZ33" s="116"/>
      <c r="BA33" s="116" t="s">
        <v>132</v>
      </c>
      <c r="BB33" s="116"/>
    </row>
    <row r="34" spans="1:54">
      <c r="A34" s="101" t="s">
        <v>130</v>
      </c>
      <c r="B34" s="69">
        <f t="shared" si="2"/>
        <v>42033</v>
      </c>
      <c r="C34" s="101" t="s">
        <v>130</v>
      </c>
      <c r="D34" s="116">
        <f>VLOOKUP(B34,SWB!$C$15:$H$244,6,FALSE)</f>
        <v>29</v>
      </c>
      <c r="E34" s="102">
        <f>VLOOKUP($B34,Clima!$W$8:$AI$1506,3,FALSE)</f>
        <v>13.5</v>
      </c>
      <c r="F34" s="102">
        <f>VLOOKUP($B34,Clima!$W$8:$AI$1506,4,FALSE)</f>
        <v>-2.8</v>
      </c>
      <c r="G34" s="102">
        <f>VLOOKUP($B34,Clima!$W$8:$AI$1506,2,FALSE)</f>
        <v>6.3</v>
      </c>
      <c r="H34" s="102"/>
      <c r="I34" s="102">
        <f>VLOOKUP($B34,Clima!$W$8:$AI$1506,13,FALSE)</f>
        <v>2.2999999999999998</v>
      </c>
      <c r="J34" s="102"/>
      <c r="K34" s="102"/>
      <c r="L34" s="102">
        <f>VLOOKUP($B34,Clima!$W$8:$AI$1506,12,FALSE)</f>
        <v>0</v>
      </c>
      <c r="M34" s="102">
        <f t="shared" si="0"/>
        <v>0</v>
      </c>
      <c r="N34" s="257">
        <f>VLOOKUP(B34,SWB!$C$15:$S$244,17,FALSE)</f>
        <v>0.27508888780000029</v>
      </c>
      <c r="O34" s="116"/>
      <c r="P34" s="116">
        <f>SWB!$M$4</f>
        <v>0.15</v>
      </c>
      <c r="Q34" s="257">
        <f>VLOOKUP(B34,SWB!$C$15:$AJ$244,34,FALSE)</f>
        <v>0.28697942281481476</v>
      </c>
      <c r="R34" s="257">
        <f>VLOOKUP(B34,SWB!$C$15:$V$244,20,FALSE)</f>
        <v>1.0227846294533334</v>
      </c>
      <c r="S34" s="116">
        <v>0</v>
      </c>
      <c r="T34" s="116">
        <v>0</v>
      </c>
      <c r="U34" s="116">
        <v>1</v>
      </c>
      <c r="V34" s="116">
        <v>1</v>
      </c>
      <c r="W34" s="116">
        <v>23.5</v>
      </c>
      <c r="X34" s="257">
        <v>12.140644999999999</v>
      </c>
      <c r="Y34" s="116">
        <v>9.51</v>
      </c>
      <c r="Z34" s="257">
        <v>0.81196199999999996</v>
      </c>
      <c r="AA34" s="257">
        <v>0.86833000000000005</v>
      </c>
      <c r="AB34" s="116">
        <v>0</v>
      </c>
      <c r="AC34" s="257">
        <v>13.67759</v>
      </c>
      <c r="AD34" s="257">
        <v>1.01833</v>
      </c>
      <c r="AE34" s="257">
        <v>1.8024450000000001</v>
      </c>
      <c r="AF34" s="116">
        <v>0.1</v>
      </c>
      <c r="AG34" s="116">
        <v>0.55000000000000004</v>
      </c>
      <c r="AH34" s="116">
        <v>15</v>
      </c>
      <c r="AI34" s="116">
        <v>8.25</v>
      </c>
      <c r="AJ34" s="116">
        <f>IFERROR(VLOOKUP($B34,SWB!C32:BE415,37,FALSE),0)</f>
        <v>0</v>
      </c>
      <c r="AK34" s="116">
        <f t="shared" si="1"/>
        <v>0</v>
      </c>
      <c r="AL34" s="116">
        <f>IFERROR(VLOOKUP($B34,SWB!C32:BE415,38,FALSE),0)</f>
        <v>0</v>
      </c>
      <c r="AM34" s="116">
        <f>IFERROR(VLOOKUP($B34,SWB!C32:BE415,38,FALSE),0)</f>
        <v>0</v>
      </c>
      <c r="AN34" s="257">
        <f>IFERROR(VLOOKUP($B34,SWB!C32:BE415,40,FALSE),0)</f>
        <v>0.35423353301274985</v>
      </c>
      <c r="AO34" s="257">
        <f>IFERROR(VLOOKUP($B34,SWB!C32:BE415,43,FALSE),0)</f>
        <v>0.24796347310892489</v>
      </c>
      <c r="AP34" s="257">
        <v>15</v>
      </c>
      <c r="AQ34" s="257">
        <f>IFERROR(VLOOKUP($B34,SWB!C32:BE415,44,FALSE),0)</f>
        <v>9.0385313435053103</v>
      </c>
      <c r="AR34" s="116">
        <f t="shared" si="3"/>
        <v>0</v>
      </c>
      <c r="AS34" s="116">
        <v>14.71</v>
      </c>
      <c r="AT34" s="116" t="s">
        <v>131</v>
      </c>
      <c r="AU34" s="116" t="s">
        <v>131</v>
      </c>
      <c r="AV34" s="116" t="s">
        <v>131</v>
      </c>
      <c r="AW34" s="116" t="s">
        <v>131</v>
      </c>
      <c r="AX34" s="116" t="s">
        <v>131</v>
      </c>
      <c r="AY34" s="116" t="s">
        <v>131</v>
      </c>
      <c r="AZ34" s="116"/>
      <c r="BA34" s="116" t="s">
        <v>132</v>
      </c>
      <c r="BB34" s="116"/>
    </row>
    <row r="35" spans="1:54">
      <c r="A35" s="101" t="s">
        <v>130</v>
      </c>
      <c r="B35" s="69">
        <f t="shared" si="2"/>
        <v>42034</v>
      </c>
      <c r="C35" s="101" t="s">
        <v>130</v>
      </c>
      <c r="D35" s="116">
        <f>VLOOKUP(B35,SWB!$C$15:$H$244,6,FALSE)</f>
        <v>30</v>
      </c>
      <c r="E35" s="102">
        <f>VLOOKUP($B35,Clima!$W$8:$AI$1506,3,FALSE)</f>
        <v>15.3</v>
      </c>
      <c r="F35" s="102">
        <f>VLOOKUP($B35,Clima!$W$8:$AI$1506,4,FALSE)</f>
        <v>9.6999999999999993</v>
      </c>
      <c r="G35" s="102">
        <f>VLOOKUP($B35,Clima!$W$8:$AI$1506,2,FALSE)</f>
        <v>11.9</v>
      </c>
      <c r="H35" s="102"/>
      <c r="I35" s="102">
        <f>VLOOKUP($B35,Clima!$W$8:$AI$1506,13,FALSE)</f>
        <v>2.5</v>
      </c>
      <c r="J35" s="102"/>
      <c r="K35" s="102"/>
      <c r="L35" s="102">
        <f>VLOOKUP($B35,Clima!$W$8:$AI$1506,12,FALSE)</f>
        <v>0.2</v>
      </c>
      <c r="M35" s="102">
        <f t="shared" si="0"/>
        <v>0.2</v>
      </c>
      <c r="N35" s="257">
        <f>VLOOKUP(B35,SWB!$C$15:$S$244,17,FALSE)</f>
        <v>0.27493333226666694</v>
      </c>
      <c r="O35" s="116"/>
      <c r="P35" s="116">
        <f>SWB!$M$4</f>
        <v>0.15</v>
      </c>
      <c r="Q35" s="257">
        <f>VLOOKUP(B35,SWB!$C$15:$AJ$244,34,FALSE)</f>
        <v>0.28697942281481476</v>
      </c>
      <c r="R35" s="257">
        <f>VLOOKUP(B35,SWB!$C$15:$V$244,20,FALSE)</f>
        <v>1.0227846294533334</v>
      </c>
      <c r="S35" s="116">
        <v>0</v>
      </c>
      <c r="T35" s="116">
        <v>0</v>
      </c>
      <c r="U35" s="116">
        <v>1</v>
      </c>
      <c r="V35" s="116">
        <v>1</v>
      </c>
      <c r="W35" s="116">
        <v>23.5</v>
      </c>
      <c r="X35" s="257">
        <v>13.67759</v>
      </c>
      <c r="Y35" s="116">
        <v>9.51</v>
      </c>
      <c r="Z35" s="257">
        <v>0.702102</v>
      </c>
      <c r="AA35" s="257">
        <v>0.75979200000000002</v>
      </c>
      <c r="AB35" s="116">
        <v>0</v>
      </c>
      <c r="AC35" s="257">
        <v>15.242763</v>
      </c>
      <c r="AD35" s="257">
        <v>0.90979200000000005</v>
      </c>
      <c r="AE35" s="257">
        <v>1.8741730000000001</v>
      </c>
      <c r="AF35" s="116">
        <v>0.1</v>
      </c>
      <c r="AG35" s="116">
        <v>0.55000000000000004</v>
      </c>
      <c r="AH35" s="116">
        <v>15</v>
      </c>
      <c r="AI35" s="116">
        <v>8.25</v>
      </c>
      <c r="AJ35" s="116">
        <f>IFERROR(VLOOKUP($B35,SWB!C33:BE416,37,FALSE),0)</f>
        <v>0</v>
      </c>
      <c r="AK35" s="116">
        <f t="shared" si="1"/>
        <v>0</v>
      </c>
      <c r="AL35" s="116">
        <f>IFERROR(VLOOKUP($B35,SWB!C33:BE416,38,FALSE),0)</f>
        <v>0</v>
      </c>
      <c r="AM35" s="116">
        <f>IFERROR(VLOOKUP($B35,SWB!C33:BE416,38,FALSE),0)</f>
        <v>0</v>
      </c>
      <c r="AN35" s="257">
        <f>IFERROR(VLOOKUP($B35,SWB!C33:BE416,40,FALSE),0)</f>
        <v>0.35787136046908663</v>
      </c>
      <c r="AO35" s="257">
        <f>IFERROR(VLOOKUP($B35,SWB!C33:BE416,43,FALSE),0)</f>
        <v>0.35787136046908663</v>
      </c>
      <c r="AP35" s="257">
        <v>15</v>
      </c>
      <c r="AQ35" s="257">
        <f>IFERROR(VLOOKUP($B35,SWB!C33:BE416,44,FALSE),0)</f>
        <v>9.3964027039743971</v>
      </c>
      <c r="AR35" s="116">
        <f t="shared" si="3"/>
        <v>0</v>
      </c>
      <c r="AS35" s="116">
        <v>14.71</v>
      </c>
      <c r="AT35" s="116" t="s">
        <v>131</v>
      </c>
      <c r="AU35" s="116" t="s">
        <v>131</v>
      </c>
      <c r="AV35" s="116" t="s">
        <v>131</v>
      </c>
      <c r="AW35" s="116" t="s">
        <v>131</v>
      </c>
      <c r="AX35" s="116" t="s">
        <v>131</v>
      </c>
      <c r="AY35" s="116" t="s">
        <v>131</v>
      </c>
      <c r="AZ35" s="116"/>
      <c r="BA35" s="116" t="s">
        <v>132</v>
      </c>
      <c r="BB35" s="116"/>
    </row>
    <row r="36" spans="1:54">
      <c r="A36" s="101" t="s">
        <v>130</v>
      </c>
      <c r="B36" s="69">
        <f t="shared" si="2"/>
        <v>42035</v>
      </c>
      <c r="C36" s="101" t="s">
        <v>130</v>
      </c>
      <c r="D36" s="116">
        <f>VLOOKUP(B36,SWB!$C$15:$H$244,6,FALSE)</f>
        <v>31</v>
      </c>
      <c r="E36" s="102">
        <f>VLOOKUP($B36,Clima!$W$8:$AI$1506,3,FALSE)</f>
        <v>12.1</v>
      </c>
      <c r="F36" s="102">
        <f>VLOOKUP($B36,Clima!$W$8:$AI$1506,4,FALSE)</f>
        <v>1.1000000000000001</v>
      </c>
      <c r="G36" s="102">
        <f>VLOOKUP($B36,Clima!$W$8:$AI$1506,2,FALSE)</f>
        <v>7.3</v>
      </c>
      <c r="H36" s="102"/>
      <c r="I36" s="102">
        <f>VLOOKUP($B36,Clima!$W$8:$AI$1506,13,FALSE)</f>
        <v>2.2000000000000002</v>
      </c>
      <c r="J36" s="102"/>
      <c r="K36" s="102"/>
      <c r="L36" s="102">
        <f>VLOOKUP($B36,Clima!$W$8:$AI$1506,12,FALSE)</f>
        <v>11.2</v>
      </c>
      <c r="M36" s="102">
        <f t="shared" si="0"/>
        <v>11.2</v>
      </c>
      <c r="N36" s="257">
        <f>VLOOKUP(B36,SWB!$C$15:$S$244,17,FALSE)</f>
        <v>0.27477777673333359</v>
      </c>
      <c r="O36" s="116"/>
      <c r="P36" s="116">
        <f>SWB!$M$4</f>
        <v>0.15</v>
      </c>
      <c r="Q36" s="257">
        <f>VLOOKUP(B36,SWB!$C$15:$AJ$244,34,FALSE)</f>
        <v>0.28697942281481476</v>
      </c>
      <c r="R36" s="257">
        <f>VLOOKUP(B36,SWB!$C$15:$V$244,20,FALSE)</f>
        <v>1.0227846294533334</v>
      </c>
      <c r="S36" s="116">
        <v>0</v>
      </c>
      <c r="T36" s="116">
        <v>0</v>
      </c>
      <c r="U36" s="116">
        <v>1</v>
      </c>
      <c r="V36" s="116">
        <v>1</v>
      </c>
      <c r="W36" s="116">
        <v>23.5</v>
      </c>
      <c r="X36" s="257">
        <v>15.242763</v>
      </c>
      <c r="Y36" s="116">
        <v>9.51</v>
      </c>
      <c r="Z36" s="257">
        <v>0.59022399999999997</v>
      </c>
      <c r="AA36" s="257">
        <v>0.644007</v>
      </c>
      <c r="AB36" s="116">
        <v>0</v>
      </c>
      <c r="AC36" s="257">
        <v>16.723977999999999</v>
      </c>
      <c r="AD36" s="257">
        <v>0.79400700000000002</v>
      </c>
      <c r="AE36" s="257">
        <v>1.8262149999999999</v>
      </c>
      <c r="AF36" s="116">
        <v>0.1</v>
      </c>
      <c r="AG36" s="116">
        <v>0.55000000000000004</v>
      </c>
      <c r="AH36" s="116">
        <v>15</v>
      </c>
      <c r="AI36" s="116">
        <v>8.25</v>
      </c>
      <c r="AJ36" s="116">
        <f>IFERROR(VLOOKUP($B36,SWB!C34:BE417,37,FALSE),0)</f>
        <v>0</v>
      </c>
      <c r="AK36" s="116">
        <f t="shared" si="1"/>
        <v>0</v>
      </c>
      <c r="AL36" s="116">
        <f>IFERROR(VLOOKUP($B36,SWB!C34:BE417,38,FALSE),0)</f>
        <v>0</v>
      </c>
      <c r="AM36" s="116">
        <f>IFERROR(VLOOKUP($B36,SWB!C34:BE417,38,FALSE),0)</f>
        <v>0</v>
      </c>
      <c r="AN36" s="257">
        <f>IFERROR(VLOOKUP($B36,SWB!C34:BE417,40,FALSE),0)</f>
        <v>1.0227846294533334</v>
      </c>
      <c r="AO36" s="257">
        <f>IFERROR(VLOOKUP($B36,SWB!C34:BE417,43,FALSE),0)</f>
        <v>1.5341769441799999</v>
      </c>
      <c r="AP36" s="257">
        <v>15</v>
      </c>
      <c r="AQ36" s="257">
        <f>IFERROR(VLOOKUP($B36,SWB!C34:BE417,44,FALSE),0)</f>
        <v>10.930579648154398</v>
      </c>
      <c r="AR36" s="116">
        <f t="shared" si="3"/>
        <v>0</v>
      </c>
      <c r="AS36" s="116">
        <v>14.71</v>
      </c>
      <c r="AT36" s="116" t="s">
        <v>131</v>
      </c>
      <c r="AU36" s="116" t="s">
        <v>131</v>
      </c>
      <c r="AV36" s="116" t="s">
        <v>131</v>
      </c>
      <c r="AW36" s="116" t="s">
        <v>131</v>
      </c>
      <c r="AX36" s="116" t="s">
        <v>131</v>
      </c>
      <c r="AY36" s="116" t="s">
        <v>131</v>
      </c>
      <c r="AZ36" s="116"/>
      <c r="BA36" s="116" t="s">
        <v>132</v>
      </c>
      <c r="BB36" s="116"/>
    </row>
    <row r="37" spans="1:54">
      <c r="A37" s="101" t="s">
        <v>130</v>
      </c>
      <c r="B37" s="69">
        <f t="shared" si="2"/>
        <v>42036</v>
      </c>
      <c r="C37" s="101" t="s">
        <v>130</v>
      </c>
      <c r="D37" s="116">
        <f>VLOOKUP(B37,SWB!$C$15:$H$244,6,FALSE)</f>
        <v>32</v>
      </c>
      <c r="E37" s="102">
        <f>VLOOKUP($B37,Clima!$W$8:$AI$1506,3,FALSE)</f>
        <v>6.8</v>
      </c>
      <c r="F37" s="102">
        <f>VLOOKUP($B37,Clima!$W$8:$AI$1506,4,FALSE)</f>
        <v>-0.2</v>
      </c>
      <c r="G37" s="102">
        <f>VLOOKUP($B37,Clima!$W$8:$AI$1506,2,FALSE)</f>
        <v>2.2999999999999998</v>
      </c>
      <c r="H37" s="102"/>
      <c r="I37" s="102">
        <f>VLOOKUP($B37,Clima!$W$8:$AI$1506,13,FALSE)</f>
        <v>1.9</v>
      </c>
      <c r="J37" s="102"/>
      <c r="K37" s="102"/>
      <c r="L37" s="102">
        <f>VLOOKUP($B37,Clima!$W$8:$AI$1506,12,FALSE)</f>
        <v>0</v>
      </c>
      <c r="M37" s="102">
        <f t="shared" si="0"/>
        <v>0</v>
      </c>
      <c r="N37" s="257">
        <f>VLOOKUP(B37,SWB!$C$15:$S$244,17,FALSE)</f>
        <v>0.27462222120000035</v>
      </c>
      <c r="O37" s="116"/>
      <c r="P37" s="116">
        <f>SWB!$M$4</f>
        <v>0.15</v>
      </c>
      <c r="Q37" s="257">
        <f>VLOOKUP(B37,SWB!$C$15:$AJ$244,34,FALSE)</f>
        <v>0.28697942281481476</v>
      </c>
      <c r="R37" s="257">
        <f>VLOOKUP(B37,SWB!$C$15:$V$244,20,FALSE)</f>
        <v>1.0227846294533334</v>
      </c>
      <c r="S37" s="116">
        <v>0</v>
      </c>
      <c r="T37" s="116">
        <v>0</v>
      </c>
      <c r="U37" s="116">
        <v>1</v>
      </c>
      <c r="V37" s="116">
        <v>1</v>
      </c>
      <c r="W37" s="116">
        <v>23.5</v>
      </c>
      <c r="X37" s="257">
        <v>16.723977999999999</v>
      </c>
      <c r="Y37" s="116">
        <v>9.51</v>
      </c>
      <c r="Z37" s="257">
        <v>0.484348</v>
      </c>
      <c r="AA37" s="257">
        <v>0.53226700000000005</v>
      </c>
      <c r="AB37" s="116">
        <v>0</v>
      </c>
      <c r="AC37" s="257">
        <v>17.937546999999999</v>
      </c>
      <c r="AD37" s="257">
        <v>0.68226699999999996</v>
      </c>
      <c r="AE37" s="257">
        <v>1.555569</v>
      </c>
      <c r="AF37" s="116">
        <v>0.1</v>
      </c>
      <c r="AG37" s="116">
        <v>0.55000000000000004</v>
      </c>
      <c r="AH37" s="116">
        <v>15</v>
      </c>
      <c r="AI37" s="116">
        <v>8.25</v>
      </c>
      <c r="AJ37" s="116">
        <f>IFERROR(VLOOKUP($B37,SWB!C35:BE418,37,FALSE),0)</f>
        <v>0</v>
      </c>
      <c r="AK37" s="116">
        <f t="shared" si="1"/>
        <v>0</v>
      </c>
      <c r="AL37" s="116">
        <f>IFERROR(VLOOKUP($B37,SWB!C35:BE418,38,FALSE),0)</f>
        <v>0</v>
      </c>
      <c r="AM37" s="116">
        <f>IFERROR(VLOOKUP($B37,SWB!C35:BE418,38,FALSE),0)</f>
        <v>0</v>
      </c>
      <c r="AN37" s="257">
        <f>IFERROR(VLOOKUP($B37,SWB!C35:BE418,40,FALSE),0)</f>
        <v>1.0227846294533334</v>
      </c>
      <c r="AO37" s="257">
        <f>IFERROR(VLOOKUP($B37,SWB!C35:BE418,43,FALSE),0)</f>
        <v>1.5341769441799999</v>
      </c>
      <c r="AP37" s="257">
        <v>15</v>
      </c>
      <c r="AQ37" s="257">
        <f>IFERROR(VLOOKUP($B37,SWB!C35:BE418,44,FALSE),0)</f>
        <v>12.464756592334398</v>
      </c>
      <c r="AR37" s="116">
        <f t="shared" si="3"/>
        <v>0</v>
      </c>
      <c r="AS37" s="116">
        <v>14.71</v>
      </c>
      <c r="AT37" s="116" t="s">
        <v>131</v>
      </c>
      <c r="AU37" s="116" t="s">
        <v>131</v>
      </c>
      <c r="AV37" s="116" t="s">
        <v>131</v>
      </c>
      <c r="AW37" s="116" t="s">
        <v>131</v>
      </c>
      <c r="AX37" s="116" t="s">
        <v>131</v>
      </c>
      <c r="AY37" s="116" t="s">
        <v>131</v>
      </c>
      <c r="AZ37" s="116"/>
      <c r="BA37" s="116" t="s">
        <v>132</v>
      </c>
      <c r="BB37" s="116"/>
    </row>
    <row r="38" spans="1:54">
      <c r="A38" s="101" t="s">
        <v>130</v>
      </c>
      <c r="B38" s="69">
        <f t="shared" si="2"/>
        <v>42037</v>
      </c>
      <c r="C38" s="101" t="s">
        <v>130</v>
      </c>
      <c r="D38" s="116">
        <f>VLOOKUP(B38,SWB!$C$15:$H$244,6,FALSE)</f>
        <v>33</v>
      </c>
      <c r="E38" s="102">
        <f>VLOOKUP($B38,Clima!$W$8:$AI$1506,3,FALSE)</f>
        <v>6.4</v>
      </c>
      <c r="F38" s="102">
        <f>VLOOKUP($B38,Clima!$W$8:$AI$1506,4,FALSE)</f>
        <v>-1.9</v>
      </c>
      <c r="G38" s="102">
        <f>VLOOKUP($B38,Clima!$W$8:$AI$1506,2,FALSE)</f>
        <v>2.5</v>
      </c>
      <c r="H38" s="102"/>
      <c r="I38" s="102">
        <f>VLOOKUP($B38,Clima!$W$8:$AI$1506,13,FALSE)</f>
        <v>1</v>
      </c>
      <c r="J38" s="102"/>
      <c r="K38" s="102"/>
      <c r="L38" s="102">
        <f>VLOOKUP($B38,Clima!$W$8:$AI$1506,12,FALSE)</f>
        <v>0.6</v>
      </c>
      <c r="M38" s="102">
        <f t="shared" si="0"/>
        <v>0.6</v>
      </c>
      <c r="N38" s="257">
        <f>VLOOKUP(B38,SWB!$C$15:$S$244,17,FALSE)</f>
        <v>0.274466665666667</v>
      </c>
      <c r="O38" s="116"/>
      <c r="P38" s="116">
        <f>SWB!$M$4</f>
        <v>0.15</v>
      </c>
      <c r="Q38" s="257">
        <f>VLOOKUP(B38,SWB!$C$15:$AJ$244,34,FALSE)</f>
        <v>0.28697942281481476</v>
      </c>
      <c r="R38" s="257">
        <f>VLOOKUP(B38,SWB!$C$15:$V$244,20,FALSE)</f>
        <v>1.0227846294533334</v>
      </c>
      <c r="S38" s="116">
        <v>0</v>
      </c>
      <c r="T38" s="116">
        <v>0</v>
      </c>
      <c r="U38" s="116">
        <v>1</v>
      </c>
      <c r="V38" s="116">
        <v>1</v>
      </c>
      <c r="W38" s="116">
        <v>23.5</v>
      </c>
      <c r="X38" s="257">
        <v>17.937546999999999</v>
      </c>
      <c r="Y38" s="116">
        <v>9.51</v>
      </c>
      <c r="Z38" s="257">
        <v>0.39760200000000001</v>
      </c>
      <c r="AA38" s="257">
        <v>0.45882800000000001</v>
      </c>
      <c r="AB38" s="116">
        <v>0</v>
      </c>
      <c r="AC38" s="257">
        <v>19.080027999999999</v>
      </c>
      <c r="AD38" s="257">
        <v>0.60882800000000004</v>
      </c>
      <c r="AE38" s="257">
        <v>1.515981</v>
      </c>
      <c r="AF38" s="116">
        <v>0.1</v>
      </c>
      <c r="AG38" s="116">
        <v>0.55000000000000004</v>
      </c>
      <c r="AH38" s="116">
        <v>15</v>
      </c>
      <c r="AI38" s="116">
        <v>8.25</v>
      </c>
      <c r="AJ38" s="116">
        <f>IFERROR(VLOOKUP($B38,SWB!C36:BE419,37,FALSE),0)</f>
        <v>0</v>
      </c>
      <c r="AK38" s="116">
        <f t="shared" si="1"/>
        <v>0</v>
      </c>
      <c r="AL38" s="116">
        <f>IFERROR(VLOOKUP($B38,SWB!C36:BE419,38,FALSE),0)</f>
        <v>0</v>
      </c>
      <c r="AM38" s="116">
        <f>IFERROR(VLOOKUP($B38,SWB!C36:BE419,38,FALSE),0)</f>
        <v>0</v>
      </c>
      <c r="AN38" s="257">
        <f>IFERROR(VLOOKUP($B38,SWB!C36:BE419,40,FALSE),0)</f>
        <v>1.0227846294533334</v>
      </c>
      <c r="AO38" s="257">
        <f>IFERROR(VLOOKUP($B38,SWB!C36:BE419,43,FALSE),0)</f>
        <v>1.5341769441799999</v>
      </c>
      <c r="AP38" s="257">
        <v>15</v>
      </c>
      <c r="AQ38" s="257">
        <f>IFERROR(VLOOKUP($B38,SWB!C36:BE419,44,FALSE),0)</f>
        <v>13.998933536514398</v>
      </c>
      <c r="AR38" s="116">
        <f t="shared" si="3"/>
        <v>0</v>
      </c>
      <c r="AS38" s="116">
        <v>14.71</v>
      </c>
      <c r="AT38" s="116" t="s">
        <v>131</v>
      </c>
      <c r="AU38" s="116" t="s">
        <v>131</v>
      </c>
      <c r="AV38" s="116" t="s">
        <v>131</v>
      </c>
      <c r="AW38" s="116" t="s">
        <v>131</v>
      </c>
      <c r="AX38" s="116" t="s">
        <v>131</v>
      </c>
      <c r="AY38" s="116" t="s">
        <v>131</v>
      </c>
      <c r="AZ38" s="116"/>
      <c r="BA38" s="116" t="s">
        <v>132</v>
      </c>
      <c r="BB38" s="116"/>
    </row>
    <row r="39" spans="1:54">
      <c r="A39" s="101" t="s">
        <v>130</v>
      </c>
      <c r="B39" s="69">
        <f t="shared" si="2"/>
        <v>42038</v>
      </c>
      <c r="C39" s="101" t="s">
        <v>130</v>
      </c>
      <c r="D39" s="116">
        <f>VLOOKUP(B39,SWB!$C$15:$H$244,6,FALSE)</f>
        <v>34</v>
      </c>
      <c r="E39" s="102">
        <f>VLOOKUP($B39,Clima!$W$8:$AI$1506,3,FALSE)</f>
        <v>10.5</v>
      </c>
      <c r="F39" s="102">
        <f>VLOOKUP($B39,Clima!$W$8:$AI$1506,4,FALSE)</f>
        <v>3.8</v>
      </c>
      <c r="G39" s="102">
        <f>VLOOKUP($B39,Clima!$W$8:$AI$1506,2,FALSE)</f>
        <v>6.2</v>
      </c>
      <c r="H39" s="102"/>
      <c r="I39" s="102">
        <f>VLOOKUP($B39,Clima!$W$8:$AI$1506,13,FALSE)</f>
        <v>2</v>
      </c>
      <c r="J39" s="102"/>
      <c r="K39" s="102"/>
      <c r="L39" s="102">
        <f>VLOOKUP($B39,Clima!$W$8:$AI$1506,12,FALSE)</f>
        <v>1.2</v>
      </c>
      <c r="M39" s="102">
        <f t="shared" si="0"/>
        <v>1.2</v>
      </c>
      <c r="N39" s="257">
        <f>VLOOKUP(B39,SWB!$C$15:$S$244,17,FALSE)</f>
        <v>0.27431111013333376</v>
      </c>
      <c r="O39" s="116"/>
      <c r="P39" s="116">
        <f>SWB!$M$4</f>
        <v>0.15</v>
      </c>
      <c r="Q39" s="257">
        <f>VLOOKUP(B39,SWB!$C$15:$AJ$244,34,FALSE)</f>
        <v>0.28697942281481476</v>
      </c>
      <c r="R39" s="257">
        <f>VLOOKUP(B39,SWB!$C$15:$V$244,20,FALSE)</f>
        <v>1.0227846294533334</v>
      </c>
      <c r="S39" s="116">
        <v>0</v>
      </c>
      <c r="T39" s="116">
        <v>0</v>
      </c>
      <c r="U39" s="116">
        <v>1</v>
      </c>
      <c r="V39" s="116">
        <v>1</v>
      </c>
      <c r="W39" s="116">
        <v>23.5</v>
      </c>
      <c r="X39" s="257">
        <v>8.0800280000000004</v>
      </c>
      <c r="Y39" s="116">
        <v>9.51</v>
      </c>
      <c r="Z39" s="116">
        <v>1</v>
      </c>
      <c r="AA39" s="257">
        <v>1.045812</v>
      </c>
      <c r="AB39" s="116">
        <v>0</v>
      </c>
      <c r="AC39" s="257">
        <v>10.34944</v>
      </c>
      <c r="AD39" s="257">
        <v>1.1958120000000001</v>
      </c>
      <c r="AE39" s="257">
        <v>2.5949110000000002</v>
      </c>
      <c r="AF39" s="116">
        <v>0.1</v>
      </c>
      <c r="AG39" s="116">
        <v>0.55000000000000004</v>
      </c>
      <c r="AH39" s="116">
        <v>15</v>
      </c>
      <c r="AI39" s="116">
        <v>8.25</v>
      </c>
      <c r="AJ39" s="116">
        <f>IFERROR(VLOOKUP($B39,SWB!C37:BE420,37,FALSE),0)</f>
        <v>0</v>
      </c>
      <c r="AK39" s="116">
        <f t="shared" si="1"/>
        <v>0</v>
      </c>
      <c r="AL39" s="116">
        <f>IFERROR(VLOOKUP($B39,SWB!C37:BE420,38,FALSE),0)</f>
        <v>0</v>
      </c>
      <c r="AM39" s="116">
        <f>IFERROR(VLOOKUP($B39,SWB!C37:BE420,38,FALSE),0)</f>
        <v>0</v>
      </c>
      <c r="AN39" s="257">
        <f>IFERROR(VLOOKUP($B39,SWB!C37:BE420,40,FALSE),0)</f>
        <v>1.0227846294533334</v>
      </c>
      <c r="AO39" s="257">
        <f>IFERROR(VLOOKUP($B39,SWB!C37:BE420,43,FALSE),0)</f>
        <v>1.4318984812346667</v>
      </c>
      <c r="AP39" s="257">
        <v>6.2694109999999998</v>
      </c>
      <c r="AQ39" s="257">
        <f>IFERROR(VLOOKUP($B39,SWB!C37:BE420,44,FALSE),0)</f>
        <v>15.430832017749065</v>
      </c>
      <c r="AR39" s="116">
        <f t="shared" si="3"/>
        <v>0</v>
      </c>
      <c r="AS39" s="116">
        <v>25.71</v>
      </c>
      <c r="AT39" s="116" t="s">
        <v>131</v>
      </c>
      <c r="AU39" s="116" t="s">
        <v>131</v>
      </c>
      <c r="AV39" s="116" t="s">
        <v>131</v>
      </c>
      <c r="AW39" s="116" t="s">
        <v>131</v>
      </c>
      <c r="AX39" s="116" t="s">
        <v>131</v>
      </c>
      <c r="AY39" s="116" t="s">
        <v>131</v>
      </c>
      <c r="AZ39" s="116"/>
      <c r="BA39" s="116" t="s">
        <v>132</v>
      </c>
      <c r="BB39" s="116"/>
    </row>
    <row r="40" spans="1:54">
      <c r="A40" s="101" t="s">
        <v>130</v>
      </c>
      <c r="B40" s="69">
        <f t="shared" si="2"/>
        <v>42039</v>
      </c>
      <c r="C40" s="101" t="s">
        <v>130</v>
      </c>
      <c r="D40" s="116">
        <f>VLOOKUP(B40,SWB!$C$15:$H$244,6,FALSE)</f>
        <v>35</v>
      </c>
      <c r="E40" s="102">
        <f>VLOOKUP($B40,Clima!$W$8:$AI$1506,3,FALSE)</f>
        <v>4.2</v>
      </c>
      <c r="F40" s="102">
        <f>VLOOKUP($B40,Clima!$W$8:$AI$1506,4,FALSE)</f>
        <v>-1.9</v>
      </c>
      <c r="G40" s="102">
        <f>VLOOKUP($B40,Clima!$W$8:$AI$1506,2,FALSE)</f>
        <v>0.6</v>
      </c>
      <c r="H40" s="102"/>
      <c r="I40" s="102">
        <f>VLOOKUP($B40,Clima!$W$8:$AI$1506,13,FALSE)</f>
        <v>1.2</v>
      </c>
      <c r="J40" s="102"/>
      <c r="K40" s="102"/>
      <c r="L40" s="102">
        <f>VLOOKUP($B40,Clima!$W$8:$AI$1506,12,FALSE)</f>
        <v>3.7</v>
      </c>
      <c r="M40" s="102">
        <f t="shared" si="0"/>
        <v>3.7</v>
      </c>
      <c r="N40" s="257">
        <f>VLOOKUP(B40,SWB!$C$15:$S$244,17,FALSE)</f>
        <v>0.27415555460000041</v>
      </c>
      <c r="O40" s="116"/>
      <c r="P40" s="116">
        <f>SWB!$M$4</f>
        <v>0.15</v>
      </c>
      <c r="Q40" s="257">
        <f>VLOOKUP(B40,SWB!$C$15:$AJ$244,34,FALSE)</f>
        <v>0.28697942281481476</v>
      </c>
      <c r="R40" s="257">
        <f>VLOOKUP(B40,SWB!$C$15:$V$244,20,FALSE)</f>
        <v>1.0227846294533334</v>
      </c>
      <c r="S40" s="116">
        <v>0</v>
      </c>
      <c r="T40" s="116">
        <v>0</v>
      </c>
      <c r="U40" s="116">
        <v>1</v>
      </c>
      <c r="V40" s="116">
        <v>1</v>
      </c>
      <c r="W40" s="116">
        <v>23.5</v>
      </c>
      <c r="X40" s="257">
        <v>10.34944</v>
      </c>
      <c r="Y40" s="116">
        <v>9.51</v>
      </c>
      <c r="Z40" s="257">
        <v>0.93999699999999997</v>
      </c>
      <c r="AA40" s="257">
        <v>0.95535700000000001</v>
      </c>
      <c r="AB40" s="116">
        <v>0</v>
      </c>
      <c r="AC40" s="257">
        <v>12.174170999999999</v>
      </c>
      <c r="AD40" s="257">
        <v>1.1053569999999999</v>
      </c>
      <c r="AE40" s="257">
        <v>2.1112310000000001</v>
      </c>
      <c r="AF40" s="116">
        <v>0.1</v>
      </c>
      <c r="AG40" s="116">
        <v>0.55000000000000004</v>
      </c>
      <c r="AH40" s="116">
        <v>15</v>
      </c>
      <c r="AI40" s="116">
        <v>8.25</v>
      </c>
      <c r="AJ40" s="116">
        <f>IFERROR(VLOOKUP($B40,SWB!C38:BE421,37,FALSE),0)</f>
        <v>0</v>
      </c>
      <c r="AK40" s="116">
        <f t="shared" si="1"/>
        <v>0</v>
      </c>
      <c r="AL40" s="116">
        <f>IFERROR(VLOOKUP($B40,SWB!C38:BE421,38,FALSE),0)</f>
        <v>0</v>
      </c>
      <c r="AM40" s="116">
        <f>IFERROR(VLOOKUP($B40,SWB!C38:BE421,38,FALSE),0)</f>
        <v>0</v>
      </c>
      <c r="AN40" s="257">
        <f>IFERROR(VLOOKUP($B40,SWB!C38:BE421,40,FALSE),0)</f>
        <v>1.0227846294533334</v>
      </c>
      <c r="AO40" s="257">
        <f>IFERROR(VLOOKUP($B40,SWB!C38:BE421,43,FALSE),0)</f>
        <v>1.5341769441799999</v>
      </c>
      <c r="AP40" s="257">
        <v>8.3806429999999992</v>
      </c>
      <c r="AQ40" s="257">
        <f>IFERROR(VLOOKUP($B40,SWB!C38:BE421,44,FALSE),0)</f>
        <v>16.965008961929065</v>
      </c>
      <c r="AR40" s="116">
        <f t="shared" si="3"/>
        <v>0</v>
      </c>
      <c r="AS40" s="116">
        <v>25.71</v>
      </c>
      <c r="AT40" s="116" t="s">
        <v>131</v>
      </c>
      <c r="AU40" s="116" t="s">
        <v>131</v>
      </c>
      <c r="AV40" s="116" t="s">
        <v>131</v>
      </c>
      <c r="AW40" s="116" t="s">
        <v>131</v>
      </c>
      <c r="AX40" s="116" t="s">
        <v>131</v>
      </c>
      <c r="AY40" s="116" t="s">
        <v>131</v>
      </c>
      <c r="AZ40" s="116"/>
      <c r="BA40" s="116" t="s">
        <v>132</v>
      </c>
      <c r="BB40" s="116"/>
    </row>
    <row r="41" spans="1:54">
      <c r="A41" s="101" t="s">
        <v>130</v>
      </c>
      <c r="B41" s="69">
        <f t="shared" si="2"/>
        <v>42040</v>
      </c>
      <c r="C41" s="101" t="s">
        <v>130</v>
      </c>
      <c r="D41" s="116">
        <f>VLOOKUP(B41,SWB!$C$15:$H$244,6,FALSE)</f>
        <v>36</v>
      </c>
      <c r="E41" s="102">
        <f>VLOOKUP($B41,Clima!$W$8:$AI$1506,3,FALSE)</f>
        <v>4.2</v>
      </c>
      <c r="F41" s="102">
        <f>VLOOKUP($B41,Clima!$W$8:$AI$1506,4,FALSE)</f>
        <v>-2.7</v>
      </c>
      <c r="G41" s="102">
        <f>VLOOKUP($B41,Clima!$W$8:$AI$1506,2,FALSE)</f>
        <v>0.2</v>
      </c>
      <c r="H41" s="102"/>
      <c r="I41" s="102">
        <f>VLOOKUP($B41,Clima!$W$8:$AI$1506,13,FALSE)</f>
        <v>1.8</v>
      </c>
      <c r="J41" s="102"/>
      <c r="K41" s="102"/>
      <c r="L41" s="102">
        <f>VLOOKUP($B41,Clima!$W$8:$AI$1506,12,FALSE)</f>
        <v>0</v>
      </c>
      <c r="M41" s="102">
        <f t="shared" si="0"/>
        <v>0</v>
      </c>
      <c r="N41" s="257">
        <f>VLOOKUP(B41,SWB!$C$15:$S$244,17,FALSE)</f>
        <v>0.27399999906666705</v>
      </c>
      <c r="O41" s="116"/>
      <c r="P41" s="116">
        <f>SWB!$M$4</f>
        <v>0.15</v>
      </c>
      <c r="Q41" s="257">
        <f>VLOOKUP(B41,SWB!$C$15:$AJ$244,34,FALSE)</f>
        <v>0.28697942281481476</v>
      </c>
      <c r="R41" s="257">
        <f>VLOOKUP(B41,SWB!$C$15:$V$244,20,FALSE)</f>
        <v>1.0227846294533334</v>
      </c>
      <c r="S41" s="116">
        <v>0</v>
      </c>
      <c r="T41" s="116">
        <v>0</v>
      </c>
      <c r="U41" s="116">
        <v>1</v>
      </c>
      <c r="V41" s="116">
        <v>1</v>
      </c>
      <c r="W41" s="116">
        <v>23.5</v>
      </c>
      <c r="X41" s="257">
        <v>11.584171</v>
      </c>
      <c r="Y41" s="116">
        <v>9.51</v>
      </c>
      <c r="Z41" s="257">
        <v>0.85173900000000002</v>
      </c>
      <c r="AA41" s="257">
        <v>0.80350299999999997</v>
      </c>
      <c r="AB41" s="116">
        <v>0</v>
      </c>
      <c r="AC41" s="257">
        <v>12.371604</v>
      </c>
      <c r="AD41" s="257">
        <v>0.95350299999999999</v>
      </c>
      <c r="AE41" s="257">
        <v>0.93443299999999996</v>
      </c>
      <c r="AF41" s="116">
        <v>0.1</v>
      </c>
      <c r="AG41" s="116">
        <v>0.55000000000000004</v>
      </c>
      <c r="AH41" s="116">
        <v>15</v>
      </c>
      <c r="AI41" s="116">
        <v>8.25</v>
      </c>
      <c r="AJ41" s="116">
        <f>IFERROR(VLOOKUP($B41,SWB!C39:BE422,37,FALSE),0)</f>
        <v>0</v>
      </c>
      <c r="AK41" s="116">
        <f t="shared" si="1"/>
        <v>0</v>
      </c>
      <c r="AL41" s="116">
        <f>IFERROR(VLOOKUP($B41,SWB!C39:BE422,38,FALSE),0)</f>
        <v>0</v>
      </c>
      <c r="AM41" s="116">
        <f>IFERROR(VLOOKUP($B41,SWB!C39:BE422,38,FALSE),0)</f>
        <v>0</v>
      </c>
      <c r="AN41" s="257">
        <f>IFERROR(VLOOKUP($B41,SWB!C39:BE422,40,FALSE),0)</f>
        <v>1.0227846294533334</v>
      </c>
      <c r="AO41" s="257">
        <f>IFERROR(VLOOKUP($B41,SWB!C39:BE422,43,FALSE),0)</f>
        <v>1.6364554071253334</v>
      </c>
      <c r="AP41" s="257">
        <v>8.7222310000000007</v>
      </c>
      <c r="AQ41" s="257">
        <f>IFERROR(VLOOKUP($B41,SWB!C39:BE422,44,FALSE),0)</f>
        <v>18.601464369054398</v>
      </c>
      <c r="AR41" s="116">
        <f t="shared" si="3"/>
        <v>0</v>
      </c>
      <c r="AS41" s="116">
        <v>26.3</v>
      </c>
      <c r="AT41" s="116" t="s">
        <v>131</v>
      </c>
      <c r="AU41" s="116" t="s">
        <v>131</v>
      </c>
      <c r="AV41" s="116" t="s">
        <v>131</v>
      </c>
      <c r="AW41" s="116" t="s">
        <v>131</v>
      </c>
      <c r="AX41" s="116" t="s">
        <v>131</v>
      </c>
      <c r="AY41" s="116" t="s">
        <v>131</v>
      </c>
      <c r="AZ41" s="116"/>
      <c r="BA41" s="116" t="s">
        <v>132</v>
      </c>
      <c r="BB41" s="116"/>
    </row>
    <row r="42" spans="1:54">
      <c r="A42" s="101" t="s">
        <v>130</v>
      </c>
      <c r="B42" s="69">
        <f t="shared" si="2"/>
        <v>42041</v>
      </c>
      <c r="C42" s="101" t="s">
        <v>130</v>
      </c>
      <c r="D42" s="116">
        <f>VLOOKUP(B42,SWB!$C$15:$H$244,6,FALSE)</f>
        <v>37</v>
      </c>
      <c r="E42" s="102">
        <f>VLOOKUP($B42,Clima!$W$8:$AI$1506,3,FALSE)</f>
        <v>5.4</v>
      </c>
      <c r="F42" s="102">
        <f>VLOOKUP($B42,Clima!$W$8:$AI$1506,4,FALSE)</f>
        <v>-4.4000000000000004</v>
      </c>
      <c r="G42" s="102">
        <f>VLOOKUP($B42,Clima!$W$8:$AI$1506,2,FALSE)</f>
        <v>-0.1</v>
      </c>
      <c r="H42" s="102"/>
      <c r="I42" s="102">
        <f>VLOOKUP($B42,Clima!$W$8:$AI$1506,13,FALSE)</f>
        <v>1.7</v>
      </c>
      <c r="J42" s="102"/>
      <c r="K42" s="102"/>
      <c r="L42" s="102">
        <f>VLOOKUP($B42,Clima!$W$8:$AI$1506,12,FALSE)</f>
        <v>0</v>
      </c>
      <c r="M42" s="102">
        <f t="shared" si="0"/>
        <v>0</v>
      </c>
      <c r="N42" s="257">
        <f>VLOOKUP(B42,SWB!$C$15:$S$244,17,FALSE)</f>
        <v>0.27384444353333381</v>
      </c>
      <c r="O42" s="116"/>
      <c r="P42" s="116">
        <f>SWB!$M$4</f>
        <v>0.15</v>
      </c>
      <c r="Q42" s="257">
        <f>VLOOKUP(B42,SWB!$C$15:$AJ$244,34,FALSE)</f>
        <v>0.28697942281481476</v>
      </c>
      <c r="R42" s="257">
        <f>VLOOKUP(B42,SWB!$C$15:$V$244,20,FALSE)</f>
        <v>1.0227846294533334</v>
      </c>
      <c r="S42" s="116">
        <v>0</v>
      </c>
      <c r="T42" s="116">
        <v>0</v>
      </c>
      <c r="U42" s="116">
        <v>1</v>
      </c>
      <c r="V42" s="116">
        <v>1</v>
      </c>
      <c r="W42" s="116">
        <v>23.5</v>
      </c>
      <c r="X42" s="257">
        <v>1.371604</v>
      </c>
      <c r="Y42" s="116">
        <v>9.51</v>
      </c>
      <c r="Z42" s="116">
        <v>1</v>
      </c>
      <c r="AA42" s="257">
        <v>1.00952</v>
      </c>
      <c r="AB42" s="116">
        <v>0</v>
      </c>
      <c r="AC42" s="257">
        <v>3.3401679999999998</v>
      </c>
      <c r="AD42" s="257">
        <v>1.1595200000000001</v>
      </c>
      <c r="AE42" s="257">
        <v>2.2610640000000002</v>
      </c>
      <c r="AF42" s="116">
        <v>0.1</v>
      </c>
      <c r="AG42" s="116">
        <v>0.55000000000000004</v>
      </c>
      <c r="AH42" s="116">
        <v>15</v>
      </c>
      <c r="AI42" s="116">
        <v>8.25</v>
      </c>
      <c r="AJ42" s="116">
        <f>IFERROR(VLOOKUP($B42,SWB!C40:BE423,37,FALSE),0)</f>
        <v>0</v>
      </c>
      <c r="AK42" s="116">
        <f t="shared" si="1"/>
        <v>0</v>
      </c>
      <c r="AL42" s="116">
        <f>IFERROR(VLOOKUP($B42,SWB!C40:BE423,38,FALSE),0)</f>
        <v>0</v>
      </c>
      <c r="AM42" s="116">
        <f>IFERROR(VLOOKUP($B42,SWB!C40:BE423,38,FALSE),0)</f>
        <v>0</v>
      </c>
      <c r="AN42" s="257">
        <f>IFERROR(VLOOKUP($B42,SWB!C40:BE423,40,FALSE),0)</f>
        <v>1.0227846294533334</v>
      </c>
      <c r="AO42" s="257">
        <f>IFERROR(VLOOKUP($B42,SWB!C40:BE423,43,FALSE),0)</f>
        <v>1.9432907959613333</v>
      </c>
      <c r="AP42" s="257">
        <v>0</v>
      </c>
      <c r="AQ42" s="257">
        <f>IFERROR(VLOOKUP($B42,SWB!C40:BE423,44,FALSE),0)</f>
        <v>20.544755165015729</v>
      </c>
      <c r="AR42" s="116">
        <f t="shared" si="3"/>
        <v>0</v>
      </c>
      <c r="AS42" s="116">
        <v>37.299999999999997</v>
      </c>
      <c r="AT42" s="116" t="s">
        <v>131</v>
      </c>
      <c r="AU42" s="116" t="s">
        <v>131</v>
      </c>
      <c r="AV42" s="116" t="s">
        <v>131</v>
      </c>
      <c r="AW42" s="116" t="s">
        <v>131</v>
      </c>
      <c r="AX42" s="116" t="s">
        <v>131</v>
      </c>
      <c r="AY42" s="116" t="s">
        <v>131</v>
      </c>
      <c r="AZ42" s="116"/>
      <c r="BA42" s="116" t="s">
        <v>132</v>
      </c>
      <c r="BB42" s="116"/>
    </row>
    <row r="43" spans="1:54">
      <c r="A43" s="101" t="s">
        <v>130</v>
      </c>
      <c r="B43" s="69">
        <f t="shared" si="2"/>
        <v>42042</v>
      </c>
      <c r="C43" s="101" t="s">
        <v>130</v>
      </c>
      <c r="D43" s="116">
        <f>VLOOKUP(B43,SWB!$C$15:$H$244,6,FALSE)</f>
        <v>38</v>
      </c>
      <c r="E43" s="102">
        <f>VLOOKUP($B43,Clima!$W$8:$AI$1506,3,FALSE)</f>
        <v>3.7</v>
      </c>
      <c r="F43" s="102">
        <f>VLOOKUP($B43,Clima!$W$8:$AI$1506,4,FALSE)</f>
        <v>-6.1</v>
      </c>
      <c r="G43" s="102">
        <f>VLOOKUP($B43,Clima!$W$8:$AI$1506,2,FALSE)</f>
        <v>-1.4</v>
      </c>
      <c r="H43" s="102"/>
      <c r="I43" s="102">
        <f>VLOOKUP($B43,Clima!$W$8:$AI$1506,13,FALSE)</f>
        <v>0.8</v>
      </c>
      <c r="J43" s="102"/>
      <c r="K43" s="102"/>
      <c r="L43" s="102">
        <f>VLOOKUP($B43,Clima!$W$8:$AI$1506,12,FALSE)</f>
        <v>0</v>
      </c>
      <c r="M43" s="102">
        <f t="shared" si="0"/>
        <v>0</v>
      </c>
      <c r="N43" s="257">
        <f>VLOOKUP(B43,SWB!$C$15:$S$244,17,FALSE)</f>
        <v>0.27368888800000046</v>
      </c>
      <c r="O43" s="116"/>
      <c r="P43" s="116">
        <f>SWB!$M$4</f>
        <v>0.15</v>
      </c>
      <c r="Q43" s="257">
        <f>VLOOKUP(B43,SWB!$C$15:$AJ$244,34,FALSE)</f>
        <v>0.28697942281481476</v>
      </c>
      <c r="R43" s="257">
        <f>VLOOKUP(B43,SWB!$C$15:$V$244,20,FALSE)</f>
        <v>1.0227846294533334</v>
      </c>
      <c r="S43" s="116">
        <v>0</v>
      </c>
      <c r="T43" s="116">
        <v>0</v>
      </c>
      <c r="U43" s="116">
        <v>1</v>
      </c>
      <c r="V43" s="116">
        <v>1</v>
      </c>
      <c r="W43" s="116">
        <v>23.5</v>
      </c>
      <c r="X43" s="257">
        <v>0</v>
      </c>
      <c r="Y43" s="116">
        <v>9.51</v>
      </c>
      <c r="Z43" s="116">
        <v>1</v>
      </c>
      <c r="AA43" s="257">
        <v>1.0032620000000001</v>
      </c>
      <c r="AB43" s="257">
        <v>2.6598320000000002</v>
      </c>
      <c r="AC43" s="257">
        <v>1.2139470000000001</v>
      </c>
      <c r="AD43" s="257">
        <v>1.153262</v>
      </c>
      <c r="AE43" s="257">
        <v>1.3954470000000001</v>
      </c>
      <c r="AF43" s="116">
        <v>0.1</v>
      </c>
      <c r="AG43" s="116">
        <v>0.55000000000000004</v>
      </c>
      <c r="AH43" s="116">
        <v>15</v>
      </c>
      <c r="AI43" s="116">
        <v>8.25</v>
      </c>
      <c r="AJ43" s="116">
        <f>IFERROR(VLOOKUP($B43,SWB!C41:BE424,37,FALSE),0)</f>
        <v>0</v>
      </c>
      <c r="AK43" s="116">
        <f t="shared" si="1"/>
        <v>0</v>
      </c>
      <c r="AL43" s="116">
        <f>IFERROR(VLOOKUP($B43,SWB!C41:BE424,38,FALSE),0)</f>
        <v>0</v>
      </c>
      <c r="AM43" s="116">
        <f>IFERROR(VLOOKUP($B43,SWB!C41:BE424,38,FALSE),0)</f>
        <v>0</v>
      </c>
      <c r="AN43" s="257">
        <f>IFERROR(VLOOKUP($B43,SWB!C41:BE424,40,FALSE),0)</f>
        <v>0.3744082661343614</v>
      </c>
      <c r="AO43" s="257">
        <f>IFERROR(VLOOKUP($B43,SWB!C41:BE424,43,FALSE),0)</f>
        <v>0.7488165322687228</v>
      </c>
      <c r="AP43" s="257">
        <v>0</v>
      </c>
      <c r="AQ43" s="257">
        <f>IFERROR(VLOOKUP($B43,SWB!C41:BE424,44,FALSE),0)</f>
        <v>21.293571697284452</v>
      </c>
      <c r="AR43" s="116">
        <f t="shared" si="3"/>
        <v>0</v>
      </c>
      <c r="AS43" s="116">
        <v>43.3</v>
      </c>
      <c r="AT43" s="116" t="s">
        <v>131</v>
      </c>
      <c r="AU43" s="116" t="s">
        <v>131</v>
      </c>
      <c r="AV43" s="116" t="s">
        <v>131</v>
      </c>
      <c r="AW43" s="116" t="s">
        <v>131</v>
      </c>
      <c r="AX43" s="116" t="s">
        <v>131</v>
      </c>
      <c r="AY43" s="116" t="s">
        <v>131</v>
      </c>
      <c r="AZ43" s="116"/>
      <c r="BA43" s="116" t="s">
        <v>132</v>
      </c>
      <c r="BB43" s="116"/>
    </row>
    <row r="44" spans="1:54">
      <c r="A44" s="101" t="s">
        <v>130</v>
      </c>
      <c r="B44" s="69">
        <f t="shared" si="2"/>
        <v>42043</v>
      </c>
      <c r="C44" s="101" t="s">
        <v>130</v>
      </c>
      <c r="D44" s="116">
        <f>VLOOKUP(B44,SWB!$C$15:$H$244,6,FALSE)</f>
        <v>39</v>
      </c>
      <c r="E44" s="102">
        <f>VLOOKUP($B44,Clima!$W$8:$AI$1506,3,FALSE)</f>
        <v>7.8</v>
      </c>
      <c r="F44" s="102">
        <f>VLOOKUP($B44,Clima!$W$8:$AI$1506,4,FALSE)</f>
        <v>-7.4</v>
      </c>
      <c r="G44" s="102">
        <f>VLOOKUP($B44,Clima!$W$8:$AI$1506,2,FALSE)</f>
        <v>-0.8</v>
      </c>
      <c r="H44" s="102"/>
      <c r="I44" s="102">
        <f>VLOOKUP($B44,Clima!$W$8:$AI$1506,13,FALSE)</f>
        <v>1.2</v>
      </c>
      <c r="J44" s="102"/>
      <c r="K44" s="102"/>
      <c r="L44" s="102">
        <f>VLOOKUP($B44,Clima!$W$8:$AI$1506,12,FALSE)</f>
        <v>0</v>
      </c>
      <c r="M44" s="102">
        <f t="shared" si="0"/>
        <v>0</v>
      </c>
      <c r="N44" s="257">
        <f>VLOOKUP(B44,SWB!$C$15:$S$244,17,FALSE)</f>
        <v>0.27353333246666711</v>
      </c>
      <c r="O44" s="116"/>
      <c r="P44" s="116">
        <f>SWB!$M$4</f>
        <v>0.15</v>
      </c>
      <c r="Q44" s="257">
        <f>VLOOKUP(B44,SWB!$C$15:$AJ$244,34,FALSE)</f>
        <v>0.28697942281481476</v>
      </c>
      <c r="R44" s="257">
        <f>VLOOKUP(B44,SWB!$C$15:$V$244,20,FALSE)</f>
        <v>1.0227846294533334</v>
      </c>
      <c r="S44" s="116">
        <v>0</v>
      </c>
      <c r="T44" s="116">
        <v>0</v>
      </c>
      <c r="U44" s="116">
        <v>1</v>
      </c>
      <c r="V44" s="116">
        <v>1</v>
      </c>
      <c r="W44" s="116">
        <v>23.5</v>
      </c>
      <c r="X44" s="257">
        <v>1.2139470000000001</v>
      </c>
      <c r="Y44" s="116">
        <v>9.51</v>
      </c>
      <c r="Z44" s="116">
        <v>1</v>
      </c>
      <c r="AA44" s="257">
        <v>1.0351129999999999</v>
      </c>
      <c r="AB44" s="116">
        <v>0</v>
      </c>
      <c r="AC44" s="257">
        <v>3.0875020000000002</v>
      </c>
      <c r="AD44" s="257">
        <v>1.1851130000000001</v>
      </c>
      <c r="AE44" s="257">
        <v>2.1450550000000002</v>
      </c>
      <c r="AF44" s="116">
        <v>0.1</v>
      </c>
      <c r="AG44" s="116">
        <v>0.55000000000000004</v>
      </c>
      <c r="AH44" s="116">
        <v>15</v>
      </c>
      <c r="AI44" s="116">
        <v>8.25</v>
      </c>
      <c r="AJ44" s="116">
        <f>IFERROR(VLOOKUP($B44,SWB!C42:BE425,37,FALSE),0)</f>
        <v>0</v>
      </c>
      <c r="AK44" s="116">
        <f t="shared" si="1"/>
        <v>0</v>
      </c>
      <c r="AL44" s="116">
        <f>IFERROR(VLOOKUP($B44,SWB!C42:BE425,38,FALSE),0)</f>
        <v>0</v>
      </c>
      <c r="AM44" s="116">
        <f>IFERROR(VLOOKUP($B44,SWB!C42:BE425,38,FALSE),0)</f>
        <v>0</v>
      </c>
      <c r="AN44" s="257">
        <f>IFERROR(VLOOKUP($B44,SWB!C42:BE425,40,FALSE),0)</f>
        <v>0.36760012868804265</v>
      </c>
      <c r="AO44" s="257">
        <f>IFERROR(VLOOKUP($B44,SWB!C42:BE425,43,FALSE),0)</f>
        <v>0.44112015442565117</v>
      </c>
      <c r="AP44" s="257">
        <v>2.1450550000000002</v>
      </c>
      <c r="AQ44" s="257">
        <f>IFERROR(VLOOKUP($B44,SWB!C42:BE425,44,FALSE),0)</f>
        <v>21.734691851710103</v>
      </c>
      <c r="AR44" s="116">
        <f t="shared" si="3"/>
        <v>0</v>
      </c>
      <c r="AS44" s="116">
        <v>43.3</v>
      </c>
      <c r="AT44" s="116" t="s">
        <v>131</v>
      </c>
      <c r="AU44" s="116" t="s">
        <v>131</v>
      </c>
      <c r="AV44" s="116" t="s">
        <v>131</v>
      </c>
      <c r="AW44" s="116" t="s">
        <v>131</v>
      </c>
      <c r="AX44" s="116" t="s">
        <v>131</v>
      </c>
      <c r="AY44" s="116" t="s">
        <v>131</v>
      </c>
      <c r="AZ44" s="116"/>
      <c r="BA44" s="116" t="s">
        <v>132</v>
      </c>
      <c r="BB44" s="116"/>
    </row>
    <row r="45" spans="1:54">
      <c r="A45" s="101" t="s">
        <v>130</v>
      </c>
      <c r="B45" s="69">
        <f t="shared" si="2"/>
        <v>42044</v>
      </c>
      <c r="C45" s="101" t="s">
        <v>130</v>
      </c>
      <c r="D45" s="116">
        <f>VLOOKUP(B45,SWB!$C$15:$H$244,6,FALSE)</f>
        <v>40</v>
      </c>
      <c r="E45" s="102">
        <f>VLOOKUP($B45,Clima!$W$8:$AI$1506,3,FALSE)</f>
        <v>7</v>
      </c>
      <c r="F45" s="102">
        <f>VLOOKUP($B45,Clima!$W$8:$AI$1506,4,FALSE)</f>
        <v>-6.6</v>
      </c>
      <c r="G45" s="102">
        <f>VLOOKUP($B45,Clima!$W$8:$AI$1506,2,FALSE)</f>
        <v>0.6</v>
      </c>
      <c r="H45" s="102"/>
      <c r="I45" s="102">
        <f>VLOOKUP($B45,Clima!$W$8:$AI$1506,13,FALSE)</f>
        <v>0.9</v>
      </c>
      <c r="J45" s="102"/>
      <c r="K45" s="102"/>
      <c r="L45" s="102">
        <f>VLOOKUP($B45,Clima!$W$8:$AI$1506,12,FALSE)</f>
        <v>0</v>
      </c>
      <c r="M45" s="102">
        <f t="shared" si="0"/>
        <v>0</v>
      </c>
      <c r="N45" s="257">
        <f>VLOOKUP(B45,SWB!$C$15:$S$244,17,FALSE)</f>
        <v>0.27337777693333387</v>
      </c>
      <c r="O45" s="116"/>
      <c r="P45" s="116">
        <f>SWB!$M$4</f>
        <v>0.15</v>
      </c>
      <c r="Q45" s="257">
        <f>VLOOKUP(B45,SWB!$C$15:$AJ$244,34,FALSE)</f>
        <v>0.28697942281481476</v>
      </c>
      <c r="R45" s="257">
        <f>VLOOKUP(B45,SWB!$C$15:$V$244,20,FALSE)</f>
        <v>1.0227846294533334</v>
      </c>
      <c r="S45" s="116">
        <v>0</v>
      </c>
      <c r="T45" s="116">
        <v>0</v>
      </c>
      <c r="U45" s="116">
        <v>1</v>
      </c>
      <c r="V45" s="116">
        <v>1</v>
      </c>
      <c r="W45" s="116">
        <v>23.5</v>
      </c>
      <c r="X45" s="257">
        <v>3.0875020000000002</v>
      </c>
      <c r="Y45" s="116">
        <v>9.51</v>
      </c>
      <c r="Z45" s="116">
        <v>1</v>
      </c>
      <c r="AA45" s="257">
        <v>1.044943</v>
      </c>
      <c r="AB45" s="116">
        <v>0</v>
      </c>
      <c r="AC45" s="257">
        <v>4.8116580000000004</v>
      </c>
      <c r="AD45" s="257">
        <v>1.1949430000000001</v>
      </c>
      <c r="AE45" s="257">
        <v>1.9716560000000001</v>
      </c>
      <c r="AF45" s="116">
        <v>0.1</v>
      </c>
      <c r="AG45" s="116">
        <v>0.55000000000000004</v>
      </c>
      <c r="AH45" s="116">
        <v>15</v>
      </c>
      <c r="AI45" s="116">
        <v>8.25</v>
      </c>
      <c r="AJ45" s="116">
        <f>IFERROR(VLOOKUP($B45,SWB!C43:BE426,37,FALSE),0)</f>
        <v>0</v>
      </c>
      <c r="AK45" s="116">
        <f t="shared" si="1"/>
        <v>0</v>
      </c>
      <c r="AL45" s="116">
        <f>IFERROR(VLOOKUP($B45,SWB!C43:BE426,38,FALSE),0)</f>
        <v>0</v>
      </c>
      <c r="AM45" s="116">
        <f>IFERROR(VLOOKUP($B45,SWB!C43:BE426,38,FALSE),0)</f>
        <v>0</v>
      </c>
      <c r="AN45" s="257">
        <f>IFERROR(VLOOKUP($B45,SWB!C43:BE426,40,FALSE),0)</f>
        <v>0.36372370150608418</v>
      </c>
      <c r="AO45" s="257">
        <f>IFERROR(VLOOKUP($B45,SWB!C43:BE426,43,FALSE),0)</f>
        <v>0.90930925376521043</v>
      </c>
      <c r="AP45" s="257">
        <v>4.1167100000000003</v>
      </c>
      <c r="AQ45" s="257">
        <f>IFERROR(VLOOKUP($B45,SWB!C43:BE426,44,FALSE),0)</f>
        <v>22.644001105475315</v>
      </c>
      <c r="AR45" s="116">
        <f t="shared" si="3"/>
        <v>0</v>
      </c>
      <c r="AS45" s="116">
        <v>43.3</v>
      </c>
      <c r="AT45" s="116" t="s">
        <v>131</v>
      </c>
      <c r="AU45" s="116" t="s">
        <v>131</v>
      </c>
      <c r="AV45" s="116" t="s">
        <v>131</v>
      </c>
      <c r="AW45" s="116" t="s">
        <v>131</v>
      </c>
      <c r="AX45" s="116" t="s">
        <v>131</v>
      </c>
      <c r="AY45" s="116" t="s">
        <v>131</v>
      </c>
      <c r="AZ45" s="116"/>
      <c r="BA45" s="116" t="s">
        <v>132</v>
      </c>
      <c r="BB45" s="116"/>
    </row>
    <row r="46" spans="1:54">
      <c r="A46" s="101" t="s">
        <v>130</v>
      </c>
      <c r="B46" s="69">
        <f t="shared" si="2"/>
        <v>42045</v>
      </c>
      <c r="C46" s="101" t="s">
        <v>130</v>
      </c>
      <c r="D46" s="116">
        <f>VLOOKUP(B46,SWB!$C$15:$H$244,6,FALSE)</f>
        <v>41</v>
      </c>
      <c r="E46" s="102">
        <f>VLOOKUP($B46,Clima!$W$8:$AI$1506,3,FALSE)</f>
        <v>7.7</v>
      </c>
      <c r="F46" s="102">
        <f>VLOOKUP($B46,Clima!$W$8:$AI$1506,4,FALSE)</f>
        <v>-1.4</v>
      </c>
      <c r="G46" s="102">
        <f>VLOOKUP($B46,Clima!$W$8:$AI$1506,2,FALSE)</f>
        <v>3.6</v>
      </c>
      <c r="H46" s="102"/>
      <c r="I46" s="102">
        <f>VLOOKUP($B46,Clima!$W$8:$AI$1506,13,FALSE)</f>
        <v>0.8</v>
      </c>
      <c r="J46" s="102"/>
      <c r="K46" s="102"/>
      <c r="L46" s="102">
        <f>VLOOKUP($B46,Clima!$W$8:$AI$1506,12,FALSE)</f>
        <v>0.2</v>
      </c>
      <c r="M46" s="102">
        <f t="shared" si="0"/>
        <v>0.2</v>
      </c>
      <c r="N46" s="257">
        <f>VLOOKUP(B46,SWB!$C$15:$S$244,17,FALSE)</f>
        <v>0.27322222140000052</v>
      </c>
      <c r="O46" s="116"/>
      <c r="P46" s="116">
        <f>SWB!$M$4</f>
        <v>0.15</v>
      </c>
      <c r="Q46" s="257">
        <f>VLOOKUP(B46,SWB!$C$15:$AJ$244,34,FALSE)</f>
        <v>0.28697942281481476</v>
      </c>
      <c r="R46" s="257">
        <f>VLOOKUP(B46,SWB!$C$15:$V$244,20,FALSE)</f>
        <v>1.0227846294533334</v>
      </c>
      <c r="S46" s="116">
        <v>0</v>
      </c>
      <c r="T46" s="116">
        <v>0</v>
      </c>
      <c r="U46" s="116">
        <v>1</v>
      </c>
      <c r="V46" s="116">
        <v>1</v>
      </c>
      <c r="W46" s="116">
        <v>23.5</v>
      </c>
      <c r="X46" s="257">
        <v>4.8116580000000004</v>
      </c>
      <c r="Y46" s="116">
        <v>9.51</v>
      </c>
      <c r="Z46" s="116">
        <v>1</v>
      </c>
      <c r="AA46" s="257">
        <v>0.97456600000000004</v>
      </c>
      <c r="AB46" s="116">
        <v>0</v>
      </c>
      <c r="AC46" s="257">
        <v>5.6205470000000002</v>
      </c>
      <c r="AD46" s="257">
        <v>1.124566</v>
      </c>
      <c r="AE46" s="257">
        <v>0.93338900000000002</v>
      </c>
      <c r="AF46" s="116">
        <v>0.1</v>
      </c>
      <c r="AG46" s="116">
        <v>0.55000000000000004</v>
      </c>
      <c r="AH46" s="116">
        <v>15</v>
      </c>
      <c r="AI46" s="116">
        <v>8.25</v>
      </c>
      <c r="AJ46" s="116">
        <f>IFERROR(VLOOKUP($B46,SWB!C44:BE427,37,FALSE),0)</f>
        <v>0</v>
      </c>
      <c r="AK46" s="116">
        <f t="shared" si="1"/>
        <v>0</v>
      </c>
      <c r="AL46" s="116">
        <f>IFERROR(VLOOKUP($B46,SWB!C44:BE427,38,FALSE),0)</f>
        <v>0</v>
      </c>
      <c r="AM46" s="116">
        <f>IFERROR(VLOOKUP($B46,SWB!C44:BE427,38,FALSE),0)</f>
        <v>0</v>
      </c>
      <c r="AN46" s="257">
        <f>IFERROR(VLOOKUP($B46,SWB!C44:BE427,40,FALSE),0)</f>
        <v>0.36172279843845617</v>
      </c>
      <c r="AO46" s="257">
        <f>IFERROR(VLOOKUP($B46,SWB!C44:BE427,43,FALSE),0)</f>
        <v>0.86813471625229477</v>
      </c>
      <c r="AP46" s="257">
        <v>5.0500999999999996</v>
      </c>
      <c r="AQ46" s="257">
        <f>IFERROR(VLOOKUP($B46,SWB!C44:BE427,44,FALSE),0)</f>
        <v>23.512135821727611</v>
      </c>
      <c r="AR46" s="116">
        <f t="shared" si="3"/>
        <v>0</v>
      </c>
      <c r="AS46" s="116">
        <v>43.3</v>
      </c>
      <c r="AT46" s="116" t="s">
        <v>131</v>
      </c>
      <c r="AU46" s="116" t="s">
        <v>131</v>
      </c>
      <c r="AV46" s="116" t="s">
        <v>131</v>
      </c>
      <c r="AW46" s="116" t="s">
        <v>131</v>
      </c>
      <c r="AX46" s="116" t="s">
        <v>131</v>
      </c>
      <c r="AY46" s="116" t="s">
        <v>131</v>
      </c>
      <c r="AZ46" s="116"/>
      <c r="BA46" s="116" t="s">
        <v>132</v>
      </c>
      <c r="BB46" s="116"/>
    </row>
    <row r="47" spans="1:54">
      <c r="A47" s="101" t="s">
        <v>130</v>
      </c>
      <c r="B47" s="69">
        <f t="shared" si="2"/>
        <v>42046</v>
      </c>
      <c r="C47" s="101" t="s">
        <v>130</v>
      </c>
      <c r="D47" s="116">
        <f>VLOOKUP(B47,SWB!$C$15:$H$244,6,FALSE)</f>
        <v>42</v>
      </c>
      <c r="E47" s="102">
        <f>VLOOKUP($B47,Clima!$W$8:$AI$1506,3,FALSE)</f>
        <v>11.3</v>
      </c>
      <c r="F47" s="102">
        <f>VLOOKUP($B47,Clima!$W$8:$AI$1506,4,FALSE)</f>
        <v>2.5</v>
      </c>
      <c r="G47" s="102">
        <f>VLOOKUP($B47,Clima!$W$8:$AI$1506,2,FALSE)</f>
        <v>5.9</v>
      </c>
      <c r="H47" s="102"/>
      <c r="I47" s="102">
        <f>VLOOKUP($B47,Clima!$W$8:$AI$1506,13,FALSE)</f>
        <v>1.3</v>
      </c>
      <c r="J47" s="102"/>
      <c r="K47" s="102"/>
      <c r="L47" s="102">
        <f>VLOOKUP($B47,Clima!$W$8:$AI$1506,12,FALSE)</f>
        <v>0.2</v>
      </c>
      <c r="M47" s="102">
        <f t="shared" si="0"/>
        <v>0.2</v>
      </c>
      <c r="N47" s="257">
        <f>VLOOKUP(B47,SWB!$C$15:$S$244,17,FALSE)</f>
        <v>0.27306666586666717</v>
      </c>
      <c r="O47" s="116"/>
      <c r="P47" s="116">
        <f>SWB!$M$4</f>
        <v>0.15</v>
      </c>
      <c r="Q47" s="257">
        <f>VLOOKUP(B47,SWB!$C$15:$AJ$244,34,FALSE)</f>
        <v>0.28697942281481476</v>
      </c>
      <c r="R47" s="257">
        <f>VLOOKUP(B47,SWB!$C$15:$V$244,20,FALSE)</f>
        <v>1.0227846294533334</v>
      </c>
      <c r="S47" s="116">
        <v>0</v>
      </c>
      <c r="T47" s="116">
        <v>0</v>
      </c>
      <c r="U47" s="116">
        <v>1</v>
      </c>
      <c r="V47" s="116">
        <v>1</v>
      </c>
      <c r="W47" s="116">
        <v>23.5</v>
      </c>
      <c r="X47" s="257">
        <v>5.6205470000000002</v>
      </c>
      <c r="Y47" s="116">
        <v>9.51</v>
      </c>
      <c r="Z47" s="116">
        <v>1</v>
      </c>
      <c r="AA47" s="257">
        <v>1.0477650000000001</v>
      </c>
      <c r="AB47" s="116">
        <v>0</v>
      </c>
      <c r="AC47" s="257">
        <v>6.8883429999999999</v>
      </c>
      <c r="AD47" s="257">
        <v>1.197765</v>
      </c>
      <c r="AE47" s="257">
        <v>1.4492959999999999</v>
      </c>
      <c r="AF47" s="116">
        <v>0.1</v>
      </c>
      <c r="AG47" s="116">
        <v>0.55000000000000004</v>
      </c>
      <c r="AH47" s="116">
        <v>15</v>
      </c>
      <c r="AI47" s="116">
        <v>8.25</v>
      </c>
      <c r="AJ47" s="116">
        <f>IFERROR(VLOOKUP($B47,SWB!C45:BE428,37,FALSE),0)</f>
        <v>0</v>
      </c>
      <c r="AK47" s="116">
        <f t="shared" si="1"/>
        <v>0</v>
      </c>
      <c r="AL47" s="116">
        <f>IFERROR(VLOOKUP($B47,SWB!C45:BE428,38,FALSE),0)</f>
        <v>0</v>
      </c>
      <c r="AM47" s="116">
        <f>IFERROR(VLOOKUP($B47,SWB!C45:BE428,38,FALSE),0)</f>
        <v>0</v>
      </c>
      <c r="AN47" s="257">
        <f>IFERROR(VLOOKUP($B47,SWB!C45:BE428,40,FALSE),0)</f>
        <v>0.3601674315022797</v>
      </c>
      <c r="AO47" s="257">
        <f>IFERROR(VLOOKUP($B47,SWB!C45:BE428,43,FALSE),0)</f>
        <v>0.93643532190592726</v>
      </c>
      <c r="AP47" s="257">
        <v>6.499396</v>
      </c>
      <c r="AQ47" s="257">
        <f>IFERROR(VLOOKUP($B47,SWB!C45:BE428,44,FALSE),0)</f>
        <v>24.44857114363354</v>
      </c>
      <c r="AR47" s="116">
        <f t="shared" si="3"/>
        <v>0</v>
      </c>
      <c r="AS47" s="116">
        <v>43.3</v>
      </c>
      <c r="AT47" s="116" t="s">
        <v>131</v>
      </c>
      <c r="AU47" s="116" t="s">
        <v>131</v>
      </c>
      <c r="AV47" s="116" t="s">
        <v>131</v>
      </c>
      <c r="AW47" s="116" t="s">
        <v>131</v>
      </c>
      <c r="AX47" s="116" t="s">
        <v>131</v>
      </c>
      <c r="AY47" s="116" t="s">
        <v>131</v>
      </c>
      <c r="AZ47" s="116"/>
      <c r="BA47" s="116" t="s">
        <v>132</v>
      </c>
      <c r="BB47" s="116"/>
    </row>
    <row r="48" spans="1:54">
      <c r="A48" s="101" t="s">
        <v>130</v>
      </c>
      <c r="B48" s="69">
        <f t="shared" si="2"/>
        <v>42047</v>
      </c>
      <c r="C48" s="101" t="s">
        <v>130</v>
      </c>
      <c r="D48" s="116">
        <f>VLOOKUP(B48,SWB!$C$15:$H$244,6,FALSE)</f>
        <v>43</v>
      </c>
      <c r="E48" s="102">
        <f>VLOOKUP($B48,Clima!$W$8:$AI$1506,3,FALSE)</f>
        <v>7.8</v>
      </c>
      <c r="F48" s="102">
        <f>VLOOKUP($B48,Clima!$W$8:$AI$1506,4,FALSE)</f>
        <v>3.5</v>
      </c>
      <c r="G48" s="102">
        <f>VLOOKUP($B48,Clima!$W$8:$AI$1506,2,FALSE)</f>
        <v>5.4</v>
      </c>
      <c r="H48" s="102"/>
      <c r="I48" s="102">
        <f>VLOOKUP($B48,Clima!$W$8:$AI$1506,13,FALSE)</f>
        <v>0.7</v>
      </c>
      <c r="J48" s="102"/>
      <c r="K48" s="102"/>
      <c r="L48" s="102">
        <f>VLOOKUP($B48,Clima!$W$8:$AI$1506,12,FALSE)</f>
        <v>1.8</v>
      </c>
      <c r="M48" s="102">
        <f t="shared" si="0"/>
        <v>1.8</v>
      </c>
      <c r="N48" s="257">
        <f>VLOOKUP(B48,SWB!$C$15:$S$244,17,FALSE)</f>
        <v>0.27291111033333393</v>
      </c>
      <c r="O48" s="116"/>
      <c r="P48" s="116">
        <f>SWB!$M$4</f>
        <v>0.15</v>
      </c>
      <c r="Q48" s="257">
        <f>VLOOKUP(B48,SWB!$C$15:$AJ$244,34,FALSE)</f>
        <v>0.28697942281481476</v>
      </c>
      <c r="R48" s="257">
        <f>VLOOKUP(B48,SWB!$C$15:$V$244,20,FALSE)</f>
        <v>1.0227846294533334</v>
      </c>
      <c r="S48" s="116">
        <v>0</v>
      </c>
      <c r="T48" s="116">
        <v>0</v>
      </c>
      <c r="U48" s="116">
        <v>1</v>
      </c>
      <c r="V48" s="116">
        <v>1</v>
      </c>
      <c r="W48" s="116">
        <v>23.5</v>
      </c>
      <c r="X48" s="257">
        <v>6.8883429999999999</v>
      </c>
      <c r="Y48" s="116">
        <v>9.51</v>
      </c>
      <c r="Z48" s="116">
        <v>1</v>
      </c>
      <c r="AA48" s="257">
        <v>1.022605</v>
      </c>
      <c r="AB48" s="116">
        <v>0</v>
      </c>
      <c r="AC48" s="257">
        <v>7.7677829999999997</v>
      </c>
      <c r="AD48" s="257">
        <v>1.1726049999999999</v>
      </c>
      <c r="AE48" s="257">
        <v>1.00844</v>
      </c>
      <c r="AF48" s="116">
        <v>0.1</v>
      </c>
      <c r="AG48" s="116">
        <v>0.55000000000000004</v>
      </c>
      <c r="AH48" s="116">
        <v>15</v>
      </c>
      <c r="AI48" s="116">
        <v>8.25</v>
      </c>
      <c r="AJ48" s="116">
        <f>IFERROR(VLOOKUP($B48,SWB!C46:BE429,37,FALSE),0)</f>
        <v>0</v>
      </c>
      <c r="AK48" s="116">
        <f t="shared" si="1"/>
        <v>0</v>
      </c>
      <c r="AL48" s="116">
        <f>IFERROR(VLOOKUP($B48,SWB!C46:BE429,38,FALSE),0)</f>
        <v>0</v>
      </c>
      <c r="AM48" s="116">
        <f>IFERROR(VLOOKUP($B48,SWB!C46:BE429,38,FALSE),0)</f>
        <v>0</v>
      </c>
      <c r="AN48" s="257">
        <f>IFERROR(VLOOKUP($B48,SWB!C46:BE429,40,FALSE),0)</f>
        <v>1.0227846294533334</v>
      </c>
      <c r="AO48" s="257">
        <f>IFERROR(VLOOKUP($B48,SWB!C46:BE429,43,FALSE),0)</f>
        <v>1.5341769441799999</v>
      </c>
      <c r="AP48" s="257">
        <v>7.5078360000000002</v>
      </c>
      <c r="AQ48" s="257">
        <f>IFERROR(VLOOKUP($B48,SWB!C46:BE429,44,FALSE),0)</f>
        <v>25.98274808781354</v>
      </c>
      <c r="AR48" s="116">
        <f t="shared" si="3"/>
        <v>0</v>
      </c>
      <c r="AS48" s="116">
        <v>43.3</v>
      </c>
      <c r="AT48" s="116" t="s">
        <v>131</v>
      </c>
      <c r="AU48" s="116" t="s">
        <v>131</v>
      </c>
      <c r="AV48" s="116" t="s">
        <v>131</v>
      </c>
      <c r="AW48" s="116" t="s">
        <v>131</v>
      </c>
      <c r="AX48" s="116" t="s">
        <v>131</v>
      </c>
      <c r="AY48" s="116" t="s">
        <v>131</v>
      </c>
      <c r="AZ48" s="116"/>
      <c r="BA48" s="116" t="s">
        <v>132</v>
      </c>
      <c r="BB48" s="116"/>
    </row>
    <row r="49" spans="1:54">
      <c r="A49" s="101" t="s">
        <v>130</v>
      </c>
      <c r="B49" s="69">
        <f t="shared" si="2"/>
        <v>42048</v>
      </c>
      <c r="C49" s="101" t="s">
        <v>130</v>
      </c>
      <c r="D49" s="116">
        <f>VLOOKUP(B49,SWB!$C$15:$H$244,6,FALSE)</f>
        <v>44</v>
      </c>
      <c r="E49" s="102">
        <f>VLOOKUP($B49,Clima!$W$8:$AI$1506,3,FALSE)</f>
        <v>11.6</v>
      </c>
      <c r="F49" s="102">
        <f>VLOOKUP($B49,Clima!$W$8:$AI$1506,4,FALSE)</f>
        <v>-1.5</v>
      </c>
      <c r="G49" s="102">
        <f>VLOOKUP($B49,Clima!$W$8:$AI$1506,2,FALSE)</f>
        <v>4.0999999999999996</v>
      </c>
      <c r="H49" s="102"/>
      <c r="I49" s="102">
        <f>VLOOKUP($B49,Clima!$W$8:$AI$1506,13,FALSE)</f>
        <v>1.2</v>
      </c>
      <c r="J49" s="102"/>
      <c r="K49" s="102"/>
      <c r="L49" s="102">
        <f>VLOOKUP($B49,Clima!$W$8:$AI$1506,12,FALSE)</f>
        <v>0</v>
      </c>
      <c r="M49" s="102">
        <f t="shared" si="0"/>
        <v>0</v>
      </c>
      <c r="N49" s="257">
        <f>VLOOKUP(B49,SWB!$C$15:$S$244,17,FALSE)</f>
        <v>0.27275555480000058</v>
      </c>
      <c r="O49" s="116"/>
      <c r="P49" s="116">
        <f>SWB!$M$4</f>
        <v>0.15</v>
      </c>
      <c r="Q49" s="257">
        <f>VLOOKUP(B49,SWB!$C$15:$AJ$244,34,FALSE)</f>
        <v>0.28697942281481476</v>
      </c>
      <c r="R49" s="257">
        <f>VLOOKUP(B49,SWB!$C$15:$V$244,20,FALSE)</f>
        <v>1.0227846294533334</v>
      </c>
      <c r="S49" s="116">
        <v>0</v>
      </c>
      <c r="T49" s="116">
        <v>0</v>
      </c>
      <c r="U49" s="116">
        <v>1</v>
      </c>
      <c r="V49" s="116">
        <v>1</v>
      </c>
      <c r="W49" s="116">
        <v>23.5</v>
      </c>
      <c r="X49" s="257">
        <v>7.5677830000000004</v>
      </c>
      <c r="Y49" s="116">
        <v>9.51</v>
      </c>
      <c r="Z49" s="116">
        <v>1</v>
      </c>
      <c r="AA49" s="257">
        <v>0.91366499999999995</v>
      </c>
      <c r="AB49" s="116">
        <v>0</v>
      </c>
      <c r="AC49" s="257">
        <v>8.3261249999999993</v>
      </c>
      <c r="AD49" s="257">
        <v>1.0636650000000001</v>
      </c>
      <c r="AE49" s="257">
        <v>0.88284200000000002</v>
      </c>
      <c r="AF49" s="116">
        <v>0.1</v>
      </c>
      <c r="AG49" s="116">
        <v>0.55000000000000004</v>
      </c>
      <c r="AH49" s="116">
        <v>15</v>
      </c>
      <c r="AI49" s="116">
        <v>8.25</v>
      </c>
      <c r="AJ49" s="116">
        <f>IFERROR(VLOOKUP($B49,SWB!C47:BE430,37,FALSE),0)</f>
        <v>0</v>
      </c>
      <c r="AK49" s="116">
        <f t="shared" si="1"/>
        <v>0</v>
      </c>
      <c r="AL49" s="116">
        <f>IFERROR(VLOOKUP($B49,SWB!C47:BE430,38,FALSE),0)</f>
        <v>0</v>
      </c>
      <c r="AM49" s="116">
        <f>IFERROR(VLOOKUP($B49,SWB!C47:BE430,38,FALSE),0)</f>
        <v>0</v>
      </c>
      <c r="AN49" s="257">
        <f>IFERROR(VLOOKUP($B49,SWB!C47:BE430,40,FALSE),0)</f>
        <v>0.36570643920042734</v>
      </c>
      <c r="AO49" s="257">
        <f>IFERROR(VLOOKUP($B49,SWB!C47:BE430,43,FALSE),0)</f>
        <v>0.58513030272068378</v>
      </c>
      <c r="AP49" s="257">
        <v>8.1906780000000001</v>
      </c>
      <c r="AQ49" s="257">
        <f>IFERROR(VLOOKUP($B49,SWB!C47:BE430,44,FALSE),0)</f>
        <v>26.567878390534226</v>
      </c>
      <c r="AR49" s="116">
        <f t="shared" si="3"/>
        <v>0</v>
      </c>
      <c r="AS49" s="116">
        <v>43.5</v>
      </c>
      <c r="AT49" s="116" t="s">
        <v>131</v>
      </c>
      <c r="AU49" s="116" t="s">
        <v>131</v>
      </c>
      <c r="AV49" s="116" t="s">
        <v>131</v>
      </c>
      <c r="AW49" s="116" t="s">
        <v>131</v>
      </c>
      <c r="AX49" s="116" t="s">
        <v>131</v>
      </c>
      <c r="AY49" s="116" t="s">
        <v>131</v>
      </c>
      <c r="AZ49" s="116"/>
      <c r="BA49" s="116" t="s">
        <v>132</v>
      </c>
      <c r="BB49" s="116"/>
    </row>
    <row r="50" spans="1:54">
      <c r="A50" s="101" t="s">
        <v>130</v>
      </c>
      <c r="B50" s="69">
        <f t="shared" si="2"/>
        <v>42049</v>
      </c>
      <c r="C50" s="101" t="s">
        <v>130</v>
      </c>
      <c r="D50" s="116">
        <f>VLOOKUP(B50,SWB!$C$15:$H$244,6,FALSE)</f>
        <v>45</v>
      </c>
      <c r="E50" s="102">
        <f>VLOOKUP($B50,Clima!$W$8:$AI$1506,3,FALSE)</f>
        <v>12.9</v>
      </c>
      <c r="F50" s="102">
        <f>VLOOKUP($B50,Clima!$W$8:$AI$1506,4,FALSE)</f>
        <v>3.1</v>
      </c>
      <c r="G50" s="102">
        <f>VLOOKUP($B50,Clima!$W$8:$AI$1506,2,FALSE)</f>
        <v>8.1999999999999993</v>
      </c>
      <c r="H50" s="102"/>
      <c r="I50" s="102">
        <f>VLOOKUP($B50,Clima!$W$8:$AI$1506,13,FALSE)</f>
        <v>2.1</v>
      </c>
      <c r="J50" s="102"/>
      <c r="K50" s="102"/>
      <c r="L50" s="102">
        <f>VLOOKUP($B50,Clima!$W$8:$AI$1506,12,FALSE)</f>
        <v>0.2</v>
      </c>
      <c r="M50" s="102">
        <f t="shared" si="0"/>
        <v>0.2</v>
      </c>
      <c r="N50" s="257">
        <f>VLOOKUP(B50,SWB!$C$15:$S$244,17,FALSE)</f>
        <v>0.27259999926666723</v>
      </c>
      <c r="O50" s="116"/>
      <c r="P50" s="116">
        <f>SWB!$M$4</f>
        <v>0.15</v>
      </c>
      <c r="Q50" s="257">
        <f>VLOOKUP(B50,SWB!$C$15:$AJ$244,34,FALSE)</f>
        <v>0.28697942281481476</v>
      </c>
      <c r="R50" s="257">
        <f>VLOOKUP(B50,SWB!$C$15:$V$244,20,FALSE)</f>
        <v>1.0227846294533334</v>
      </c>
      <c r="S50" s="116">
        <v>0</v>
      </c>
      <c r="T50" s="116">
        <v>0</v>
      </c>
      <c r="U50" s="116">
        <v>1</v>
      </c>
      <c r="V50" s="116">
        <v>1</v>
      </c>
      <c r="W50" s="116">
        <v>23.5</v>
      </c>
      <c r="X50" s="257">
        <v>8.3261249999999993</v>
      </c>
      <c r="Y50" s="116">
        <v>9.51</v>
      </c>
      <c r="Z50" s="116">
        <v>1</v>
      </c>
      <c r="AA50" s="257">
        <v>0.93933</v>
      </c>
      <c r="AB50" s="116">
        <v>0</v>
      </c>
      <c r="AC50" s="257">
        <v>9.5566479999999991</v>
      </c>
      <c r="AD50" s="257">
        <v>1.0893299999999999</v>
      </c>
      <c r="AE50" s="257">
        <v>1.4270229999999999</v>
      </c>
      <c r="AF50" s="116">
        <v>0.1</v>
      </c>
      <c r="AG50" s="116">
        <v>0.55000000000000004</v>
      </c>
      <c r="AH50" s="116">
        <v>15</v>
      </c>
      <c r="AI50" s="116">
        <v>8.25</v>
      </c>
      <c r="AJ50" s="116">
        <f>IFERROR(VLOOKUP($B50,SWB!C48:BE431,37,FALSE),0)</f>
        <v>0</v>
      </c>
      <c r="AK50" s="116">
        <f t="shared" si="1"/>
        <v>0</v>
      </c>
      <c r="AL50" s="116">
        <f>IFERROR(VLOOKUP($B50,SWB!C48:BE431,38,FALSE),0)</f>
        <v>0</v>
      </c>
      <c r="AM50" s="116">
        <f>IFERROR(VLOOKUP($B50,SWB!C48:BE431,38,FALSE),0)</f>
        <v>0</v>
      </c>
      <c r="AN50" s="257">
        <f>IFERROR(VLOOKUP($B50,SWB!C48:BE431,40,FALSE),0)</f>
        <v>0.3662633930568952</v>
      </c>
      <c r="AO50" s="257">
        <f>IFERROR(VLOOKUP($B50,SWB!C48:BE431,43,FALSE),0)</f>
        <v>0.65927410750241133</v>
      </c>
      <c r="AP50" s="257">
        <v>9.6176999999999992</v>
      </c>
      <c r="AQ50" s="257">
        <f>IFERROR(VLOOKUP($B50,SWB!C48:BE431,44,FALSE),0)</f>
        <v>27.227152498036638</v>
      </c>
      <c r="AR50" s="116">
        <f t="shared" si="3"/>
        <v>0</v>
      </c>
      <c r="AS50" s="116">
        <v>43.5</v>
      </c>
      <c r="AT50" s="116" t="s">
        <v>131</v>
      </c>
      <c r="AU50" s="116" t="s">
        <v>131</v>
      </c>
      <c r="AV50" s="116" t="s">
        <v>131</v>
      </c>
      <c r="AW50" s="116" t="s">
        <v>131</v>
      </c>
      <c r="AX50" s="116" t="s">
        <v>131</v>
      </c>
      <c r="AY50" s="116" t="s">
        <v>131</v>
      </c>
      <c r="AZ50" s="116"/>
      <c r="BA50" s="116" t="s">
        <v>132</v>
      </c>
      <c r="BB50" s="116"/>
    </row>
    <row r="51" spans="1:54">
      <c r="A51" s="101" t="s">
        <v>130</v>
      </c>
      <c r="B51" s="69">
        <f t="shared" si="2"/>
        <v>42050</v>
      </c>
      <c r="C51" s="101" t="s">
        <v>130</v>
      </c>
      <c r="D51" s="116">
        <f>VLOOKUP(B51,SWB!$C$15:$H$244,6,FALSE)</f>
        <v>46</v>
      </c>
      <c r="E51" s="102">
        <f>VLOOKUP($B51,Clima!$W$8:$AI$1506,3,FALSE)</f>
        <v>11.5</v>
      </c>
      <c r="F51" s="102">
        <f>VLOOKUP($B51,Clima!$W$8:$AI$1506,4,FALSE)</f>
        <v>6.6</v>
      </c>
      <c r="G51" s="102">
        <f>VLOOKUP($B51,Clima!$W$8:$AI$1506,2,FALSE)</f>
        <v>8.8000000000000007</v>
      </c>
      <c r="H51" s="102"/>
      <c r="I51" s="102">
        <f>VLOOKUP($B51,Clima!$W$8:$AI$1506,13,FALSE)</f>
        <v>1.3</v>
      </c>
      <c r="J51" s="102"/>
      <c r="K51" s="102"/>
      <c r="L51" s="102">
        <f>VLOOKUP($B51,Clima!$W$8:$AI$1506,12,FALSE)</f>
        <v>1.8</v>
      </c>
      <c r="M51" s="102">
        <f t="shared" si="0"/>
        <v>1.8</v>
      </c>
      <c r="N51" s="257">
        <f>VLOOKUP(B51,SWB!$C$15:$S$244,17,FALSE)</f>
        <v>0.27244444373333399</v>
      </c>
      <c r="O51" s="116"/>
      <c r="P51" s="116">
        <f>SWB!$M$4</f>
        <v>0.15</v>
      </c>
      <c r="Q51" s="257">
        <f>VLOOKUP(B51,SWB!$C$15:$AJ$244,34,FALSE)</f>
        <v>0.28697942281481476</v>
      </c>
      <c r="R51" s="257">
        <f>VLOOKUP(B51,SWB!$C$15:$V$244,20,FALSE)</f>
        <v>1.0227846294533334</v>
      </c>
      <c r="S51" s="116">
        <v>0</v>
      </c>
      <c r="T51" s="116">
        <v>0</v>
      </c>
      <c r="U51" s="116">
        <v>1</v>
      </c>
      <c r="V51" s="116">
        <v>1</v>
      </c>
      <c r="W51" s="116">
        <v>23.5</v>
      </c>
      <c r="X51" s="257">
        <v>6.556648</v>
      </c>
      <c r="Y51" s="116">
        <v>9.51</v>
      </c>
      <c r="Z51" s="116">
        <v>1</v>
      </c>
      <c r="AA51" s="257">
        <v>0.89463300000000001</v>
      </c>
      <c r="AB51" s="116">
        <v>0</v>
      </c>
      <c r="AC51" s="257">
        <v>7.1828900000000004</v>
      </c>
      <c r="AD51" s="257">
        <v>1.0446329999999999</v>
      </c>
      <c r="AE51" s="257">
        <v>0.73124299999999998</v>
      </c>
      <c r="AF51" s="116">
        <v>0.1</v>
      </c>
      <c r="AG51" s="116">
        <v>0.55000000000000004</v>
      </c>
      <c r="AH51" s="116">
        <v>15</v>
      </c>
      <c r="AI51" s="116">
        <v>8.25</v>
      </c>
      <c r="AJ51" s="116">
        <f>IFERROR(VLOOKUP($B51,SWB!C49:BE432,37,FALSE),0)</f>
        <v>0</v>
      </c>
      <c r="AK51" s="116">
        <f t="shared" si="1"/>
        <v>0</v>
      </c>
      <c r="AL51" s="116">
        <f>IFERROR(VLOOKUP($B51,SWB!C49:BE432,38,FALSE),0)</f>
        <v>0</v>
      </c>
      <c r="AM51" s="116">
        <f>IFERROR(VLOOKUP($B51,SWB!C49:BE432,38,FALSE),0)</f>
        <v>0</v>
      </c>
      <c r="AN51" s="257">
        <f>IFERROR(VLOOKUP($B51,SWB!C49:BE432,40,FALSE),0)</f>
        <v>1.0227846294533334</v>
      </c>
      <c r="AO51" s="257">
        <f>IFERROR(VLOOKUP($B51,SWB!C49:BE432,43,FALSE),0)</f>
        <v>2.5569615736333335</v>
      </c>
      <c r="AP51" s="257">
        <v>7.3276680000000001</v>
      </c>
      <c r="AQ51" s="257">
        <f>IFERROR(VLOOKUP($B51,SWB!C49:BE432,44,FALSE),0)</f>
        <v>29.784114071669972</v>
      </c>
      <c r="AR51" s="116">
        <f t="shared" si="3"/>
        <v>0</v>
      </c>
      <c r="AS51" s="116">
        <v>46.5</v>
      </c>
      <c r="AT51" s="116" t="s">
        <v>131</v>
      </c>
      <c r="AU51" s="116" t="s">
        <v>131</v>
      </c>
      <c r="AV51" s="116" t="s">
        <v>131</v>
      </c>
      <c r="AW51" s="116" t="s">
        <v>131</v>
      </c>
      <c r="AX51" s="116" t="s">
        <v>131</v>
      </c>
      <c r="AY51" s="116" t="s">
        <v>131</v>
      </c>
      <c r="AZ51" s="116"/>
      <c r="BA51" s="116" t="s">
        <v>132</v>
      </c>
      <c r="BB51" s="116"/>
    </row>
    <row r="52" spans="1:54">
      <c r="A52" s="101" t="s">
        <v>130</v>
      </c>
      <c r="B52" s="69">
        <f t="shared" si="2"/>
        <v>42051</v>
      </c>
      <c r="C52" s="101" t="s">
        <v>130</v>
      </c>
      <c r="D52" s="116">
        <f>VLOOKUP(B52,SWB!$C$15:$H$244,6,FALSE)</f>
        <v>47</v>
      </c>
      <c r="E52" s="102">
        <f>VLOOKUP($B52,Clima!$W$8:$AI$1506,3,FALSE)</f>
        <v>12.6</v>
      </c>
      <c r="F52" s="102">
        <f>VLOOKUP($B52,Clima!$W$8:$AI$1506,4,FALSE)</f>
        <v>5.7</v>
      </c>
      <c r="G52" s="102">
        <f>VLOOKUP($B52,Clima!$W$8:$AI$1506,2,FALSE)</f>
        <v>8.1999999999999993</v>
      </c>
      <c r="H52" s="102"/>
      <c r="I52" s="102">
        <f>VLOOKUP($B52,Clima!$W$8:$AI$1506,13,FALSE)</f>
        <v>1.7</v>
      </c>
      <c r="J52" s="102"/>
      <c r="K52" s="102"/>
      <c r="L52" s="102">
        <f>VLOOKUP($B52,Clima!$W$8:$AI$1506,12,FALSE)</f>
        <v>0.2</v>
      </c>
      <c r="M52" s="102">
        <f t="shared" si="0"/>
        <v>0.2</v>
      </c>
      <c r="N52" s="257">
        <f>VLOOKUP(B52,SWB!$C$15:$S$244,17,FALSE)</f>
        <v>0.27228888820000063</v>
      </c>
      <c r="O52" s="116"/>
      <c r="P52" s="116">
        <f>SWB!$M$4</f>
        <v>0.15</v>
      </c>
      <c r="Q52" s="257">
        <f>VLOOKUP(B52,SWB!$C$15:$AJ$244,34,FALSE)</f>
        <v>0.28697942281481476</v>
      </c>
      <c r="R52" s="257">
        <f>VLOOKUP(B52,SWB!$C$15:$V$244,20,FALSE)</f>
        <v>1.0227846294533334</v>
      </c>
      <c r="S52" s="116">
        <v>0</v>
      </c>
      <c r="T52" s="116">
        <v>0</v>
      </c>
      <c r="U52" s="116">
        <v>1</v>
      </c>
      <c r="V52" s="116">
        <v>1</v>
      </c>
      <c r="W52" s="116">
        <v>23.5</v>
      </c>
      <c r="X52" s="257">
        <v>7.1828900000000004</v>
      </c>
      <c r="Y52" s="116">
        <v>9.51</v>
      </c>
      <c r="Z52" s="116">
        <v>1</v>
      </c>
      <c r="AA52" s="257">
        <v>0.92514200000000002</v>
      </c>
      <c r="AB52" s="116">
        <v>0</v>
      </c>
      <c r="AC52" s="257">
        <v>8.3023129999999998</v>
      </c>
      <c r="AD52" s="257">
        <v>1.075142</v>
      </c>
      <c r="AE52" s="257">
        <v>1.3009219999999999</v>
      </c>
      <c r="AF52" s="116">
        <v>0.1</v>
      </c>
      <c r="AG52" s="116">
        <v>0.55000000000000004</v>
      </c>
      <c r="AH52" s="116">
        <v>15</v>
      </c>
      <c r="AI52" s="116">
        <v>8.25</v>
      </c>
      <c r="AJ52" s="116">
        <f>IFERROR(VLOOKUP($B52,SWB!C50:BE433,37,FALSE),0)</f>
        <v>0</v>
      </c>
      <c r="AK52" s="116">
        <f t="shared" si="1"/>
        <v>0</v>
      </c>
      <c r="AL52" s="116">
        <f>IFERROR(VLOOKUP($B52,SWB!C50:BE433,38,FALSE),0)</f>
        <v>0</v>
      </c>
      <c r="AM52" s="116">
        <f>IFERROR(VLOOKUP($B52,SWB!C50:BE433,38,FALSE),0)</f>
        <v>0</v>
      </c>
      <c r="AN52" s="257">
        <f>IFERROR(VLOOKUP($B52,SWB!C50:BE433,40,FALSE),0)</f>
        <v>0.35443507657643963</v>
      </c>
      <c r="AO52" s="257">
        <f>IFERROR(VLOOKUP($B52,SWB!C50:BE433,43,FALSE),0)</f>
        <v>0.60253963017994738</v>
      </c>
      <c r="AP52" s="257">
        <v>8.6285900000000009</v>
      </c>
      <c r="AQ52" s="257">
        <f>IFERROR(VLOOKUP($B52,SWB!C50:BE433,44,FALSE),0)</f>
        <v>30.386653701849919</v>
      </c>
      <c r="AR52" s="116">
        <f t="shared" si="3"/>
        <v>0</v>
      </c>
      <c r="AS52" s="116">
        <v>46.5</v>
      </c>
      <c r="AT52" s="116" t="s">
        <v>131</v>
      </c>
      <c r="AU52" s="116" t="s">
        <v>131</v>
      </c>
      <c r="AV52" s="116" t="s">
        <v>131</v>
      </c>
      <c r="AW52" s="116" t="s">
        <v>131</v>
      </c>
      <c r="AX52" s="116" t="s">
        <v>131</v>
      </c>
      <c r="AY52" s="116" t="s">
        <v>131</v>
      </c>
      <c r="AZ52" s="116"/>
      <c r="BA52" s="116" t="s">
        <v>132</v>
      </c>
      <c r="BB52" s="116"/>
    </row>
    <row r="53" spans="1:54">
      <c r="A53" s="101" t="s">
        <v>130</v>
      </c>
      <c r="B53" s="69">
        <f t="shared" si="2"/>
        <v>42052</v>
      </c>
      <c r="C53" s="101" t="s">
        <v>130</v>
      </c>
      <c r="D53" s="116">
        <f>VLOOKUP(B53,SWB!$C$15:$H$244,6,FALSE)</f>
        <v>48</v>
      </c>
      <c r="E53" s="102">
        <f>VLOOKUP($B53,Clima!$W$8:$AI$1506,3,FALSE)</f>
        <v>9.6</v>
      </c>
      <c r="F53" s="102">
        <f>VLOOKUP($B53,Clima!$W$8:$AI$1506,4,FALSE)</f>
        <v>4</v>
      </c>
      <c r="G53" s="102">
        <f>VLOOKUP($B53,Clima!$W$8:$AI$1506,2,FALSE)</f>
        <v>6.2</v>
      </c>
      <c r="H53" s="102"/>
      <c r="I53" s="102">
        <f>VLOOKUP($B53,Clima!$W$8:$AI$1506,13,FALSE)</f>
        <v>1.2</v>
      </c>
      <c r="J53" s="102"/>
      <c r="K53" s="102"/>
      <c r="L53" s="102">
        <f>VLOOKUP($B53,Clima!$W$8:$AI$1506,12,FALSE)</f>
        <v>6.3</v>
      </c>
      <c r="M53" s="102">
        <f t="shared" si="0"/>
        <v>6.3</v>
      </c>
      <c r="N53" s="257">
        <f>VLOOKUP(B53,SWB!$C$15:$S$244,17,FALSE)</f>
        <v>0.27213333266666739</v>
      </c>
      <c r="O53" s="116"/>
      <c r="P53" s="116">
        <f>SWB!$M$4</f>
        <v>0.15</v>
      </c>
      <c r="Q53" s="257">
        <f>VLOOKUP(B53,SWB!$C$15:$AJ$244,34,FALSE)</f>
        <v>0.28697942281481476</v>
      </c>
      <c r="R53" s="257">
        <f>VLOOKUP(B53,SWB!$C$15:$V$244,20,FALSE)</f>
        <v>1.0227846294533334</v>
      </c>
      <c r="S53" s="116">
        <v>0</v>
      </c>
      <c r="T53" s="116">
        <v>0</v>
      </c>
      <c r="U53" s="116">
        <v>1</v>
      </c>
      <c r="V53" s="116">
        <v>1</v>
      </c>
      <c r="W53" s="116">
        <v>23.5</v>
      </c>
      <c r="X53" s="257">
        <v>8.3023129999999998</v>
      </c>
      <c r="Y53" s="116">
        <v>9.51</v>
      </c>
      <c r="Z53" s="116">
        <v>1</v>
      </c>
      <c r="AA53" s="257">
        <v>1.0381370000000001</v>
      </c>
      <c r="AB53" s="116">
        <v>0</v>
      </c>
      <c r="AC53" s="257">
        <v>10.472019</v>
      </c>
      <c r="AD53" s="257">
        <v>1.188137</v>
      </c>
      <c r="AE53" s="257">
        <v>2.4832070000000002</v>
      </c>
      <c r="AF53" s="116">
        <v>0.1</v>
      </c>
      <c r="AG53" s="116">
        <v>0.55000000000000004</v>
      </c>
      <c r="AH53" s="116">
        <v>15</v>
      </c>
      <c r="AI53" s="116">
        <v>8.25</v>
      </c>
      <c r="AJ53" s="116">
        <f>IFERROR(VLOOKUP($B53,SWB!C51:BE434,37,FALSE),0)</f>
        <v>0</v>
      </c>
      <c r="AK53" s="116">
        <f t="shared" si="1"/>
        <v>0</v>
      </c>
      <c r="AL53" s="116">
        <f>IFERROR(VLOOKUP($B53,SWB!C51:BE434,38,FALSE),0)</f>
        <v>0</v>
      </c>
      <c r="AM53" s="116">
        <f>IFERROR(VLOOKUP($B53,SWB!C51:BE434,38,FALSE),0)</f>
        <v>0</v>
      </c>
      <c r="AN53" s="257">
        <f>IFERROR(VLOOKUP($B53,SWB!C51:BE434,40,FALSE),0)</f>
        <v>1.0227846294533334</v>
      </c>
      <c r="AO53" s="257">
        <f>IFERROR(VLOOKUP($B53,SWB!C51:BE434,43,FALSE),0)</f>
        <v>2.2501261847973337</v>
      </c>
      <c r="AP53" s="257">
        <v>11.094213</v>
      </c>
      <c r="AQ53" s="257">
        <f>IFERROR(VLOOKUP($B53,SWB!C51:BE434,44,FALSE),0)</f>
        <v>32.636779886647254</v>
      </c>
      <c r="AR53" s="116">
        <f t="shared" si="3"/>
        <v>0</v>
      </c>
      <c r="AS53" s="116">
        <v>46.5</v>
      </c>
      <c r="AT53" s="116" t="s">
        <v>131</v>
      </c>
      <c r="AU53" s="116" t="s">
        <v>131</v>
      </c>
      <c r="AV53" s="116" t="s">
        <v>131</v>
      </c>
      <c r="AW53" s="116" t="s">
        <v>131</v>
      </c>
      <c r="AX53" s="116" t="s">
        <v>131</v>
      </c>
      <c r="AY53" s="116" t="s">
        <v>131</v>
      </c>
      <c r="AZ53" s="116"/>
      <c r="BA53" s="116" t="s">
        <v>132</v>
      </c>
      <c r="BB53" s="116"/>
    </row>
    <row r="54" spans="1:54">
      <c r="A54" s="101" t="s">
        <v>130</v>
      </c>
      <c r="B54" s="69">
        <f t="shared" si="2"/>
        <v>42053</v>
      </c>
      <c r="C54" s="101" t="s">
        <v>130</v>
      </c>
      <c r="D54" s="116">
        <f>VLOOKUP(B54,SWB!$C$15:$H$244,6,FALSE)</f>
        <v>49</v>
      </c>
      <c r="E54" s="102">
        <f>VLOOKUP($B54,Clima!$W$8:$AI$1506,3,FALSE)</f>
        <v>10.1</v>
      </c>
      <c r="F54" s="102">
        <f>VLOOKUP($B54,Clima!$W$8:$AI$1506,4,FALSE)</f>
        <v>1.7</v>
      </c>
      <c r="G54" s="102">
        <f>VLOOKUP($B54,Clima!$W$8:$AI$1506,2,FALSE)</f>
        <v>5.6</v>
      </c>
      <c r="H54" s="102"/>
      <c r="I54" s="102">
        <f>VLOOKUP($B54,Clima!$W$8:$AI$1506,13,FALSE)</f>
        <v>1.6</v>
      </c>
      <c r="J54" s="102"/>
      <c r="K54" s="102"/>
      <c r="L54" s="102">
        <f>VLOOKUP($B54,Clima!$W$8:$AI$1506,12,FALSE)</f>
        <v>0</v>
      </c>
      <c r="M54" s="102">
        <f t="shared" si="0"/>
        <v>0</v>
      </c>
      <c r="N54" s="257">
        <f>VLOOKUP(B54,SWB!$C$15:$S$244,17,FALSE)</f>
        <v>0.27197777713333404</v>
      </c>
      <c r="O54" s="116"/>
      <c r="P54" s="116">
        <f>SWB!$M$4</f>
        <v>0.15</v>
      </c>
      <c r="Q54" s="257">
        <f>VLOOKUP(B54,SWB!$C$15:$AJ$244,34,FALSE)</f>
        <v>0.28697942281481476</v>
      </c>
      <c r="R54" s="257">
        <f>VLOOKUP(B54,SWB!$C$15:$V$244,20,FALSE)</f>
        <v>1.0227846294533334</v>
      </c>
      <c r="S54" s="116">
        <v>0</v>
      </c>
      <c r="T54" s="116">
        <v>0</v>
      </c>
      <c r="U54" s="116">
        <v>1</v>
      </c>
      <c r="V54" s="116">
        <v>1</v>
      </c>
      <c r="W54" s="116">
        <v>23.5</v>
      </c>
      <c r="X54" s="257">
        <v>7.4720190000000004</v>
      </c>
      <c r="Y54" s="116">
        <v>9.51</v>
      </c>
      <c r="Z54" s="116">
        <v>1</v>
      </c>
      <c r="AA54" s="257">
        <v>0.95605600000000002</v>
      </c>
      <c r="AB54" s="116">
        <v>0</v>
      </c>
      <c r="AC54" s="257">
        <v>8.7148920000000007</v>
      </c>
      <c r="AD54" s="257">
        <v>1.1060559999999999</v>
      </c>
      <c r="AE54" s="257">
        <v>1.437873</v>
      </c>
      <c r="AF54" s="116">
        <v>0.1</v>
      </c>
      <c r="AG54" s="116">
        <v>0.55000000000000004</v>
      </c>
      <c r="AH54" s="116">
        <v>15</v>
      </c>
      <c r="AI54" s="116">
        <v>8.25</v>
      </c>
      <c r="AJ54" s="116">
        <f>IFERROR(VLOOKUP($B54,SWB!C52:BE435,37,FALSE),0)</f>
        <v>0</v>
      </c>
      <c r="AK54" s="116">
        <f t="shared" si="1"/>
        <v>0</v>
      </c>
      <c r="AL54" s="116">
        <f>IFERROR(VLOOKUP($B54,SWB!C52:BE435,38,FALSE),0)</f>
        <v>0</v>
      </c>
      <c r="AM54" s="116">
        <f>IFERROR(VLOOKUP($B54,SWB!C52:BE435,38,FALSE),0)</f>
        <v>0</v>
      </c>
      <c r="AN54" s="257">
        <f>IFERROR(VLOOKUP($B54,SWB!C52:BE435,40,FALSE),0)</f>
        <v>1.0227846294533334</v>
      </c>
      <c r="AO54" s="257">
        <f>IFERROR(VLOOKUP($B54,SWB!C52:BE435,43,FALSE),0)</f>
        <v>1.0227846294533334</v>
      </c>
      <c r="AP54" s="257">
        <v>9.4499200000000005</v>
      </c>
      <c r="AQ54" s="257">
        <f>IFERROR(VLOOKUP($B54,SWB!C52:BE435,44,FALSE),0)</f>
        <v>33.659564516100588</v>
      </c>
      <c r="AR54" s="116">
        <f t="shared" si="3"/>
        <v>0</v>
      </c>
      <c r="AS54" s="116">
        <v>49.5</v>
      </c>
      <c r="AT54" s="116" t="s">
        <v>131</v>
      </c>
      <c r="AU54" s="116" t="s">
        <v>131</v>
      </c>
      <c r="AV54" s="116" t="s">
        <v>131</v>
      </c>
      <c r="AW54" s="116" t="s">
        <v>131</v>
      </c>
      <c r="AX54" s="116" t="s">
        <v>131</v>
      </c>
      <c r="AY54" s="116" t="s">
        <v>131</v>
      </c>
      <c r="AZ54" s="116"/>
      <c r="BA54" s="116" t="s">
        <v>132</v>
      </c>
      <c r="BB54" s="116"/>
    </row>
    <row r="55" spans="1:54">
      <c r="A55" s="101" t="s">
        <v>130</v>
      </c>
      <c r="B55" s="69">
        <f t="shared" si="2"/>
        <v>42054</v>
      </c>
      <c r="C55" s="101" t="s">
        <v>130</v>
      </c>
      <c r="D55" s="116">
        <f>VLOOKUP(B55,SWB!$C$15:$H$244,6,FALSE)</f>
        <v>50</v>
      </c>
      <c r="E55" s="102">
        <f>VLOOKUP($B55,Clima!$W$8:$AI$1506,3,FALSE)</f>
        <v>9.3000000000000007</v>
      </c>
      <c r="F55" s="102">
        <f>VLOOKUP($B55,Clima!$W$8:$AI$1506,4,FALSE)</f>
        <v>-0.3</v>
      </c>
      <c r="G55" s="102">
        <f>VLOOKUP($B55,Clima!$W$8:$AI$1506,2,FALSE)</f>
        <v>4.4000000000000004</v>
      </c>
      <c r="H55" s="102"/>
      <c r="I55" s="102">
        <f>VLOOKUP($B55,Clima!$W$8:$AI$1506,13,FALSE)</f>
        <v>1.3</v>
      </c>
      <c r="J55" s="102"/>
      <c r="K55" s="102"/>
      <c r="L55" s="102">
        <f>VLOOKUP($B55,Clima!$W$8:$AI$1506,12,FALSE)</f>
        <v>0</v>
      </c>
      <c r="M55" s="102">
        <f t="shared" si="0"/>
        <v>0</v>
      </c>
      <c r="N55" s="257">
        <f>VLOOKUP(B55,SWB!$C$15:$S$244,17,FALSE)</f>
        <v>0.27182222160000069</v>
      </c>
      <c r="O55" s="116"/>
      <c r="P55" s="116">
        <f>SWB!$M$4</f>
        <v>0.15</v>
      </c>
      <c r="Q55" s="257">
        <f>VLOOKUP(B55,SWB!$C$15:$AJ$244,34,FALSE)</f>
        <v>0.28697942281481476</v>
      </c>
      <c r="R55" s="257">
        <f>VLOOKUP(B55,SWB!$C$15:$V$244,20,FALSE)</f>
        <v>1.0227846294533334</v>
      </c>
      <c r="S55" s="116">
        <v>0</v>
      </c>
      <c r="T55" s="116">
        <v>0</v>
      </c>
      <c r="U55" s="116">
        <v>1</v>
      </c>
      <c r="V55" s="116">
        <v>1</v>
      </c>
      <c r="W55" s="116">
        <v>23.5</v>
      </c>
      <c r="X55" s="257">
        <v>8.7148920000000007</v>
      </c>
      <c r="Y55" s="116">
        <v>9.51</v>
      </c>
      <c r="Z55" s="116">
        <v>1</v>
      </c>
      <c r="AA55" s="257">
        <v>0.95086499999999996</v>
      </c>
      <c r="AB55" s="116">
        <v>0</v>
      </c>
      <c r="AC55" s="257">
        <v>10.340871</v>
      </c>
      <c r="AD55" s="257">
        <v>1.100865</v>
      </c>
      <c r="AE55" s="257">
        <v>1.882479</v>
      </c>
      <c r="AF55" s="116">
        <v>0.1</v>
      </c>
      <c r="AG55" s="116">
        <v>0.55000000000000004</v>
      </c>
      <c r="AH55" s="116">
        <v>15</v>
      </c>
      <c r="AI55" s="116">
        <v>8.25</v>
      </c>
      <c r="AJ55" s="116">
        <f>IFERROR(VLOOKUP($B55,SWB!C53:BE436,37,FALSE),0)</f>
        <v>0</v>
      </c>
      <c r="AK55" s="116">
        <f t="shared" si="1"/>
        <v>0</v>
      </c>
      <c r="AL55" s="116">
        <f>IFERROR(VLOOKUP($B55,SWB!C53:BE436,38,FALSE),0)</f>
        <v>0</v>
      </c>
      <c r="AM55" s="116">
        <f>IFERROR(VLOOKUP($B55,SWB!C53:BE436,38,FALSE),0)</f>
        <v>0</v>
      </c>
      <c r="AN55" s="257">
        <f>IFERROR(VLOOKUP($B55,SWB!C53:BE436,40,FALSE),0)</f>
        <v>1.0227846294533334</v>
      </c>
      <c r="AO55" s="257">
        <f>IFERROR(VLOOKUP($B55,SWB!C53:BE436,43,FALSE),0)</f>
        <v>1.4318984812346667</v>
      </c>
      <c r="AP55" s="257">
        <v>11.286802</v>
      </c>
      <c r="AQ55" s="257">
        <f>IFERROR(VLOOKUP($B55,SWB!C53:BE436,44,FALSE),0)</f>
        <v>35.091462997335256</v>
      </c>
      <c r="AR55" s="116">
        <f t="shared" si="3"/>
        <v>0</v>
      </c>
      <c r="AS55" s="116">
        <v>49.5</v>
      </c>
      <c r="AT55" s="116" t="s">
        <v>131</v>
      </c>
      <c r="AU55" s="116" t="s">
        <v>131</v>
      </c>
      <c r="AV55" s="116" t="s">
        <v>131</v>
      </c>
      <c r="AW55" s="116" t="s">
        <v>131</v>
      </c>
      <c r="AX55" s="116" t="s">
        <v>131</v>
      </c>
      <c r="AY55" s="116" t="s">
        <v>131</v>
      </c>
      <c r="AZ55" s="116"/>
      <c r="BA55" s="116" t="s">
        <v>132</v>
      </c>
      <c r="BB55" s="116"/>
    </row>
    <row r="56" spans="1:54">
      <c r="A56" s="101" t="s">
        <v>130</v>
      </c>
      <c r="B56" s="69">
        <f t="shared" si="2"/>
        <v>42055</v>
      </c>
      <c r="C56" s="101" t="s">
        <v>130</v>
      </c>
      <c r="D56" s="116">
        <f>VLOOKUP(B56,SWB!$C$15:$H$244,6,FALSE)</f>
        <v>51</v>
      </c>
      <c r="E56" s="102">
        <f>VLOOKUP($B56,Clima!$W$8:$AI$1506,3,FALSE)</f>
        <v>11.1</v>
      </c>
      <c r="F56" s="102">
        <f>VLOOKUP($B56,Clima!$W$8:$AI$1506,4,FALSE)</f>
        <v>-1.9</v>
      </c>
      <c r="G56" s="102">
        <f>VLOOKUP($B56,Clima!$W$8:$AI$1506,2,FALSE)</f>
        <v>3.7</v>
      </c>
      <c r="H56" s="102"/>
      <c r="I56" s="102">
        <f>VLOOKUP($B56,Clima!$W$8:$AI$1506,13,FALSE)</f>
        <v>1.3</v>
      </c>
      <c r="J56" s="102"/>
      <c r="K56" s="102"/>
      <c r="L56" s="102">
        <f>VLOOKUP($B56,Clima!$W$8:$AI$1506,12,FALSE)</f>
        <v>0.2</v>
      </c>
      <c r="M56" s="102">
        <f t="shared" si="0"/>
        <v>0.2</v>
      </c>
      <c r="N56" s="257">
        <f>VLOOKUP(B56,SWB!$C$15:$S$244,17,FALSE)</f>
        <v>0.27166666606666745</v>
      </c>
      <c r="O56" s="116"/>
      <c r="P56" s="116">
        <f>SWB!$M$4</f>
        <v>0.15</v>
      </c>
      <c r="Q56" s="257">
        <f>VLOOKUP(B56,SWB!$C$15:$AJ$244,34,FALSE)</f>
        <v>0.28697942281481476</v>
      </c>
      <c r="R56" s="257">
        <f>VLOOKUP(B56,SWB!$C$15:$V$244,20,FALSE)</f>
        <v>1.0227846294533334</v>
      </c>
      <c r="S56" s="116">
        <v>0</v>
      </c>
      <c r="T56" s="116">
        <v>0</v>
      </c>
      <c r="U56" s="116">
        <v>1</v>
      </c>
      <c r="V56" s="116">
        <v>1</v>
      </c>
      <c r="W56" s="116">
        <v>23.5</v>
      </c>
      <c r="X56" s="257">
        <v>7.3408709999999999</v>
      </c>
      <c r="Y56" s="116">
        <v>9.51</v>
      </c>
      <c r="Z56" s="116">
        <v>1</v>
      </c>
      <c r="AA56" s="257">
        <v>0.94306500000000004</v>
      </c>
      <c r="AB56" s="116">
        <v>0</v>
      </c>
      <c r="AC56" s="257">
        <v>8.5008409999999994</v>
      </c>
      <c r="AD56" s="257">
        <v>1.093065</v>
      </c>
      <c r="AE56" s="257">
        <v>1.3444700000000001</v>
      </c>
      <c r="AF56" s="116">
        <v>0.1</v>
      </c>
      <c r="AG56" s="116">
        <v>0.55000000000000004</v>
      </c>
      <c r="AH56" s="116">
        <v>15</v>
      </c>
      <c r="AI56" s="116">
        <v>8.25</v>
      </c>
      <c r="AJ56" s="116">
        <f>IFERROR(VLOOKUP($B56,SWB!C54:BE437,37,FALSE),0)</f>
        <v>0</v>
      </c>
      <c r="AK56" s="116">
        <f t="shared" si="1"/>
        <v>0</v>
      </c>
      <c r="AL56" s="116">
        <f>IFERROR(VLOOKUP($B56,SWB!C54:BE437,38,FALSE),0)</f>
        <v>0</v>
      </c>
      <c r="AM56" s="116">
        <f>IFERROR(VLOOKUP($B56,SWB!C54:BE437,38,FALSE),0)</f>
        <v>0</v>
      </c>
      <c r="AN56" s="257">
        <f>IFERROR(VLOOKUP($B56,SWB!C54:BE437,40,FALSE),0)</f>
        <v>1.0227846294533334</v>
      </c>
      <c r="AO56" s="257">
        <f>IFERROR(VLOOKUP($B56,SWB!C54:BE437,43,FALSE),0)</f>
        <v>2.0455692589066667</v>
      </c>
      <c r="AP56" s="257">
        <v>9.5482659999999999</v>
      </c>
      <c r="AQ56" s="257">
        <f>IFERROR(VLOOKUP($B56,SWB!C54:BE437,44,FALSE),0)</f>
        <v>37.137032256241923</v>
      </c>
      <c r="AR56" s="116">
        <f t="shared" si="3"/>
        <v>0</v>
      </c>
      <c r="AS56" s="116">
        <v>52.5</v>
      </c>
      <c r="AT56" s="116" t="s">
        <v>131</v>
      </c>
      <c r="AU56" s="116" t="s">
        <v>131</v>
      </c>
      <c r="AV56" s="116" t="s">
        <v>131</v>
      </c>
      <c r="AW56" s="116" t="s">
        <v>131</v>
      </c>
      <c r="AX56" s="116" t="s">
        <v>131</v>
      </c>
      <c r="AY56" s="116" t="s">
        <v>131</v>
      </c>
      <c r="AZ56" s="116"/>
      <c r="BA56" s="116" t="s">
        <v>132</v>
      </c>
      <c r="BB56" s="116"/>
    </row>
    <row r="57" spans="1:54">
      <c r="A57" s="101" t="s">
        <v>130</v>
      </c>
      <c r="B57" s="69">
        <f t="shared" si="2"/>
        <v>42056</v>
      </c>
      <c r="C57" s="101" t="s">
        <v>130</v>
      </c>
      <c r="D57" s="116">
        <f>VLOOKUP(B57,SWB!$C$15:$H$244,6,FALSE)</f>
        <v>52</v>
      </c>
      <c r="E57" s="102">
        <f>VLOOKUP($B57,Clima!$W$8:$AI$1506,3,FALSE)</f>
        <v>11.1</v>
      </c>
      <c r="F57" s="102">
        <f>VLOOKUP($B57,Clima!$W$8:$AI$1506,4,FALSE)</f>
        <v>-0.6</v>
      </c>
      <c r="G57" s="102">
        <f>VLOOKUP($B57,Clima!$W$8:$AI$1506,2,FALSE)</f>
        <v>4.5</v>
      </c>
      <c r="H57" s="102"/>
      <c r="I57" s="102">
        <f>VLOOKUP($B57,Clima!$W$8:$AI$1506,13,FALSE)</f>
        <v>1.5</v>
      </c>
      <c r="J57" s="102"/>
      <c r="K57" s="102"/>
      <c r="L57" s="102">
        <f>VLOOKUP($B57,Clima!$W$8:$AI$1506,12,FALSE)</f>
        <v>1.4</v>
      </c>
      <c r="M57" s="102">
        <f t="shared" si="0"/>
        <v>1.4</v>
      </c>
      <c r="N57" s="257">
        <f>VLOOKUP(B57,SWB!$C$15:$S$244,17,FALSE)</f>
        <v>0.2715111105333341</v>
      </c>
      <c r="O57" s="116"/>
      <c r="P57" s="116">
        <f>SWB!$M$4</f>
        <v>0.15</v>
      </c>
      <c r="Q57" s="257">
        <f>VLOOKUP(B57,SWB!$C$15:$AJ$244,34,FALSE)</f>
        <v>0.28697942281481476</v>
      </c>
      <c r="R57" s="257">
        <f>VLOOKUP(B57,SWB!$C$15:$V$244,20,FALSE)</f>
        <v>1.0227846294533334</v>
      </c>
      <c r="S57" s="116">
        <v>0</v>
      </c>
      <c r="T57" s="116">
        <v>0</v>
      </c>
      <c r="U57" s="116">
        <v>1</v>
      </c>
      <c r="V57" s="116">
        <v>1</v>
      </c>
      <c r="W57" s="116">
        <v>23.5</v>
      </c>
      <c r="X57" s="257">
        <v>8.5008409999999994</v>
      </c>
      <c r="Y57" s="116">
        <v>9.51</v>
      </c>
      <c r="Z57" s="116">
        <v>1</v>
      </c>
      <c r="AA57" s="257">
        <v>0.95090799999999998</v>
      </c>
      <c r="AB57" s="116">
        <v>0</v>
      </c>
      <c r="AC57" s="257">
        <v>9.9747489999999992</v>
      </c>
      <c r="AD57" s="257">
        <v>1.100908</v>
      </c>
      <c r="AE57" s="257">
        <v>1.7064079999999999</v>
      </c>
      <c r="AF57" s="116">
        <v>0.1</v>
      </c>
      <c r="AG57" s="116">
        <v>0.55000000000000004</v>
      </c>
      <c r="AH57" s="116">
        <v>15</v>
      </c>
      <c r="AI57" s="116">
        <v>8.25</v>
      </c>
      <c r="AJ57" s="116">
        <f>IFERROR(VLOOKUP($B57,SWB!C55:BE438,37,FALSE),0)</f>
        <v>0</v>
      </c>
      <c r="AK57" s="116">
        <f t="shared" si="1"/>
        <v>0</v>
      </c>
      <c r="AL57" s="116">
        <f>IFERROR(VLOOKUP($B57,SWB!C55:BE438,38,FALSE),0)</f>
        <v>0</v>
      </c>
      <c r="AM57" s="116">
        <f>IFERROR(VLOOKUP($B57,SWB!C55:BE438,38,FALSE),0)</f>
        <v>0</v>
      </c>
      <c r="AN57" s="257">
        <f>IFERROR(VLOOKUP($B57,SWB!C55:BE438,40,FALSE),0)</f>
        <v>0.37734419080707066</v>
      </c>
      <c r="AO57" s="257">
        <f>IFERROR(VLOOKUP($B57,SWB!C55:BE438,43,FALSE),0)</f>
        <v>0.67921954345272717</v>
      </c>
      <c r="AP57" s="257">
        <v>11.209956</v>
      </c>
      <c r="AQ57" s="257">
        <f>IFERROR(VLOOKUP($B57,SWB!C55:BE438,44,FALSE),0)</f>
        <v>37.816251799694648</v>
      </c>
      <c r="AR57" s="116">
        <f t="shared" si="3"/>
        <v>0</v>
      </c>
      <c r="AS57" s="116">
        <v>52.5</v>
      </c>
      <c r="AT57" s="116" t="s">
        <v>131</v>
      </c>
      <c r="AU57" s="116" t="s">
        <v>131</v>
      </c>
      <c r="AV57" s="116" t="s">
        <v>131</v>
      </c>
      <c r="AW57" s="116" t="s">
        <v>131</v>
      </c>
      <c r="AX57" s="116" t="s">
        <v>131</v>
      </c>
      <c r="AY57" s="116" t="s">
        <v>131</v>
      </c>
      <c r="AZ57" s="116"/>
      <c r="BA57" s="116" t="s">
        <v>132</v>
      </c>
      <c r="BB57" s="116"/>
    </row>
    <row r="58" spans="1:54">
      <c r="A58" s="101" t="s">
        <v>130</v>
      </c>
      <c r="B58" s="69">
        <f t="shared" si="2"/>
        <v>42057</v>
      </c>
      <c r="C58" s="101" t="s">
        <v>130</v>
      </c>
      <c r="D58" s="116">
        <f>VLOOKUP(B58,SWB!$C$15:$H$244,6,FALSE)</f>
        <v>53</v>
      </c>
      <c r="E58" s="102">
        <f>VLOOKUP($B58,Clima!$W$8:$AI$1506,3,FALSE)</f>
        <v>12.7</v>
      </c>
      <c r="F58" s="102">
        <f>VLOOKUP($B58,Clima!$W$8:$AI$1506,4,FALSE)</f>
        <v>0.4</v>
      </c>
      <c r="G58" s="102">
        <f>VLOOKUP($B58,Clima!$W$8:$AI$1506,2,FALSE)</f>
        <v>6.4</v>
      </c>
      <c r="H58" s="102"/>
      <c r="I58" s="102">
        <f>VLOOKUP($B58,Clima!$W$8:$AI$1506,13,FALSE)</f>
        <v>2.8</v>
      </c>
      <c r="J58" s="102"/>
      <c r="K58" s="102"/>
      <c r="L58" s="102">
        <f>VLOOKUP($B58,Clima!$W$8:$AI$1506,12,FALSE)</f>
        <v>0</v>
      </c>
      <c r="M58" s="102">
        <f t="shared" si="0"/>
        <v>0</v>
      </c>
      <c r="N58" s="257">
        <f>VLOOKUP(B58,SWB!$C$15:$S$244,17,FALSE)</f>
        <v>0.27135555500000075</v>
      </c>
      <c r="O58" s="116"/>
      <c r="P58" s="116">
        <f>SWB!$M$4</f>
        <v>0.15</v>
      </c>
      <c r="Q58" s="257">
        <f>VLOOKUP(B58,SWB!$C$15:$AJ$244,34,FALSE)</f>
        <v>0.28697942281481476</v>
      </c>
      <c r="R58" s="257">
        <f>VLOOKUP(B58,SWB!$C$15:$V$244,20,FALSE)</f>
        <v>1.0227846294533334</v>
      </c>
      <c r="S58" s="116">
        <v>9.86</v>
      </c>
      <c r="T58" s="116">
        <v>0</v>
      </c>
      <c r="U58" s="116">
        <v>1</v>
      </c>
      <c r="V58" s="116">
        <v>1</v>
      </c>
      <c r="W58" s="116">
        <v>23.5</v>
      </c>
      <c r="X58" s="257">
        <v>0</v>
      </c>
      <c r="Y58" s="116">
        <v>9.51</v>
      </c>
      <c r="Z58" s="116">
        <v>1</v>
      </c>
      <c r="AA58" s="257">
        <v>0.93392299999999995</v>
      </c>
      <c r="AB58" s="257">
        <v>9.8852510000000002</v>
      </c>
      <c r="AC58" s="257">
        <v>1.186083</v>
      </c>
      <c r="AD58" s="257">
        <v>1.083923</v>
      </c>
      <c r="AE58" s="257">
        <v>1.3765829999999999</v>
      </c>
      <c r="AF58" s="116">
        <v>0.1</v>
      </c>
      <c r="AG58" s="116">
        <v>0.55000000000000004</v>
      </c>
      <c r="AH58" s="116">
        <v>15</v>
      </c>
      <c r="AI58" s="116">
        <v>8.25</v>
      </c>
      <c r="AJ58" s="116">
        <f>IFERROR(VLOOKUP($B58,SWB!C56:BE439,37,FALSE),0)</f>
        <v>0</v>
      </c>
      <c r="AK58" s="116">
        <f t="shared" si="1"/>
        <v>0</v>
      </c>
      <c r="AL58" s="116">
        <f>IFERROR(VLOOKUP($B58,SWB!C56:BE439,38,FALSE),0)</f>
        <v>0</v>
      </c>
      <c r="AM58" s="116">
        <f>IFERROR(VLOOKUP($B58,SWB!C56:BE439,38,FALSE),0)</f>
        <v>0</v>
      </c>
      <c r="AN58" s="257">
        <f>IFERROR(VLOOKUP($B58,SWB!C56:BE439,40,FALSE),0)</f>
        <v>0.37088111462125534</v>
      </c>
      <c r="AO58" s="257">
        <f>IFERROR(VLOOKUP($B58,SWB!C56:BE439,43,FALSE),0)</f>
        <v>0.96429089801526391</v>
      </c>
      <c r="AP58" s="257">
        <v>0</v>
      </c>
      <c r="AQ58" s="257">
        <f>IFERROR(VLOOKUP($B58,SWB!C56:BE439,44,FALSE),0)</f>
        <v>38.780542697709912</v>
      </c>
      <c r="AR58" s="116">
        <f t="shared" si="3"/>
        <v>0</v>
      </c>
      <c r="AS58" s="116">
        <v>62.5</v>
      </c>
      <c r="AT58" s="116" t="s">
        <v>131</v>
      </c>
      <c r="AU58" s="116" t="s">
        <v>131</v>
      </c>
      <c r="AV58" s="116" t="s">
        <v>131</v>
      </c>
      <c r="AW58" s="116" t="s">
        <v>131</v>
      </c>
      <c r="AX58" s="116" t="s">
        <v>131</v>
      </c>
      <c r="AY58" s="116" t="s">
        <v>131</v>
      </c>
      <c r="AZ58" s="116"/>
      <c r="BA58" s="116" t="s">
        <v>132</v>
      </c>
      <c r="BB58" s="116"/>
    </row>
    <row r="59" spans="1:54">
      <c r="A59" s="101" t="s">
        <v>130</v>
      </c>
      <c r="B59" s="69">
        <f t="shared" si="2"/>
        <v>42058</v>
      </c>
      <c r="C59" s="101" t="s">
        <v>130</v>
      </c>
      <c r="D59" s="116">
        <f>VLOOKUP(B59,SWB!$C$15:$H$244,6,FALSE)</f>
        <v>54</v>
      </c>
      <c r="E59" s="102">
        <f>VLOOKUP($B59,Clima!$W$8:$AI$1506,3,FALSE)</f>
        <v>13.5</v>
      </c>
      <c r="F59" s="102">
        <f>VLOOKUP($B59,Clima!$W$8:$AI$1506,4,FALSE)</f>
        <v>3.4</v>
      </c>
      <c r="G59" s="102">
        <f>VLOOKUP($B59,Clima!$W$8:$AI$1506,2,FALSE)</f>
        <v>8.6999999999999993</v>
      </c>
      <c r="H59" s="102"/>
      <c r="I59" s="102">
        <f>VLOOKUP($B59,Clima!$W$8:$AI$1506,13,FALSE)</f>
        <v>2.2000000000000002</v>
      </c>
      <c r="J59" s="102"/>
      <c r="K59" s="102"/>
      <c r="L59" s="102">
        <f>VLOOKUP($B59,Clima!$W$8:$AI$1506,12,FALSE)</f>
        <v>3.3</v>
      </c>
      <c r="M59" s="102">
        <f t="shared" si="0"/>
        <v>3.3</v>
      </c>
      <c r="N59" s="257">
        <f>VLOOKUP(B59,SWB!$C$15:$S$244,17,FALSE)</f>
        <v>0.27119999946666751</v>
      </c>
      <c r="O59" s="116"/>
      <c r="P59" s="116">
        <f>SWB!$M$4</f>
        <v>0.15</v>
      </c>
      <c r="Q59" s="257">
        <f>VLOOKUP(B59,SWB!$C$15:$AJ$244,34,FALSE)</f>
        <v>0.28697942281481476</v>
      </c>
      <c r="R59" s="257">
        <f>VLOOKUP(B59,SWB!$C$15:$V$244,20,FALSE)</f>
        <v>1.0227846294533334</v>
      </c>
      <c r="S59" s="116">
        <v>0</v>
      </c>
      <c r="T59" s="116">
        <v>0</v>
      </c>
      <c r="U59" s="116">
        <v>1</v>
      </c>
      <c r="V59" s="116">
        <v>1</v>
      </c>
      <c r="W59" s="116">
        <v>23.5</v>
      </c>
      <c r="X59" s="257">
        <v>0</v>
      </c>
      <c r="Y59" s="116">
        <v>9.51</v>
      </c>
      <c r="Z59" s="116">
        <v>1</v>
      </c>
      <c r="AA59" s="257">
        <v>0.91640500000000003</v>
      </c>
      <c r="AB59" s="257">
        <v>2.813917</v>
      </c>
      <c r="AC59" s="257">
        <v>1.1546700000000001</v>
      </c>
      <c r="AD59" s="257">
        <v>1.066405</v>
      </c>
      <c r="AE59" s="257">
        <v>1.3436699999999999</v>
      </c>
      <c r="AF59" s="116">
        <v>0.1</v>
      </c>
      <c r="AG59" s="116">
        <v>0.55000000000000004</v>
      </c>
      <c r="AH59" s="116">
        <v>15</v>
      </c>
      <c r="AI59" s="116">
        <v>8.25</v>
      </c>
      <c r="AJ59" s="116">
        <f>IFERROR(VLOOKUP($B59,SWB!C57:BE440,37,FALSE),0)</f>
        <v>0</v>
      </c>
      <c r="AK59" s="116">
        <f t="shared" si="1"/>
        <v>0</v>
      </c>
      <c r="AL59" s="116">
        <f>IFERROR(VLOOKUP($B59,SWB!C57:BE440,38,FALSE),0)</f>
        <v>0</v>
      </c>
      <c r="AM59" s="116">
        <f>IFERROR(VLOOKUP($B59,SWB!C57:BE440,38,FALSE),0)</f>
        <v>0</v>
      </c>
      <c r="AN59" s="257">
        <f>IFERROR(VLOOKUP($B59,SWB!C57:BE440,40,FALSE),0)</f>
        <v>1.0227846294533334</v>
      </c>
      <c r="AO59" s="257">
        <f>IFERROR(VLOOKUP($B59,SWB!C57:BE440,43,FALSE),0)</f>
        <v>2.4546831106879998</v>
      </c>
      <c r="AP59" s="257">
        <v>0</v>
      </c>
      <c r="AQ59" s="257">
        <f>IFERROR(VLOOKUP($B59,SWB!C57:BE440,44,FALSE),0)</f>
        <v>41.235225808397914</v>
      </c>
      <c r="AR59" s="116">
        <f t="shared" si="3"/>
        <v>0</v>
      </c>
      <c r="AS59" s="116">
        <v>66.5</v>
      </c>
      <c r="AT59" s="116" t="s">
        <v>131</v>
      </c>
      <c r="AU59" s="116" t="s">
        <v>131</v>
      </c>
      <c r="AV59" s="116" t="s">
        <v>131</v>
      </c>
      <c r="AW59" s="116" t="s">
        <v>131</v>
      </c>
      <c r="AX59" s="116" t="s">
        <v>131</v>
      </c>
      <c r="AY59" s="116" t="s">
        <v>131</v>
      </c>
      <c r="AZ59" s="116"/>
      <c r="BA59" s="116" t="s">
        <v>132</v>
      </c>
      <c r="BB59" s="116"/>
    </row>
    <row r="60" spans="1:54">
      <c r="A60" s="101" t="s">
        <v>130</v>
      </c>
      <c r="B60" s="69">
        <f t="shared" si="2"/>
        <v>42059</v>
      </c>
      <c r="C60" s="101" t="s">
        <v>130</v>
      </c>
      <c r="D60" s="116">
        <f>VLOOKUP(B60,SWB!$C$15:$H$244,6,FALSE)</f>
        <v>55</v>
      </c>
      <c r="E60" s="102">
        <f>VLOOKUP($B60,Clima!$W$8:$AI$1506,3,FALSE)</f>
        <v>10.4</v>
      </c>
      <c r="F60" s="102">
        <f>VLOOKUP($B60,Clima!$W$8:$AI$1506,4,FALSE)</f>
        <v>1.8</v>
      </c>
      <c r="G60" s="102">
        <f>VLOOKUP($B60,Clima!$W$8:$AI$1506,2,FALSE)</f>
        <v>5.7</v>
      </c>
      <c r="H60" s="102"/>
      <c r="I60" s="102">
        <f>VLOOKUP($B60,Clima!$W$8:$AI$1506,13,FALSE)</f>
        <v>2.6</v>
      </c>
      <c r="J60" s="102"/>
      <c r="K60" s="102"/>
      <c r="L60" s="102">
        <f>VLOOKUP($B60,Clima!$W$8:$AI$1506,12,FALSE)</f>
        <v>0</v>
      </c>
      <c r="M60" s="102">
        <f t="shared" si="0"/>
        <v>0</v>
      </c>
      <c r="N60" s="257">
        <f>VLOOKUP(B60,SWB!$C$15:$S$244,17,FALSE)</f>
        <v>0.27104444393333416</v>
      </c>
      <c r="O60" s="116"/>
      <c r="P60" s="116">
        <f>SWB!$M$4</f>
        <v>0.15</v>
      </c>
      <c r="Q60" s="257">
        <f>VLOOKUP(B60,SWB!$C$15:$AJ$244,34,FALSE)</f>
        <v>0.28697942281481476</v>
      </c>
      <c r="R60" s="257">
        <f>VLOOKUP(B60,SWB!$C$15:$V$244,20,FALSE)</f>
        <v>1.0227846294533334</v>
      </c>
      <c r="S60" s="116">
        <v>0</v>
      </c>
      <c r="T60" s="116">
        <v>0</v>
      </c>
      <c r="U60" s="116">
        <v>1</v>
      </c>
      <c r="V60" s="116">
        <v>1</v>
      </c>
      <c r="W60" s="116">
        <v>23.5</v>
      </c>
      <c r="X60" s="257">
        <v>0</v>
      </c>
      <c r="Y60" s="116">
        <v>9.51</v>
      </c>
      <c r="Z60" s="116">
        <v>1</v>
      </c>
      <c r="AA60" s="257">
        <v>0.95064899999999997</v>
      </c>
      <c r="AB60" s="257">
        <v>0.84533000000000003</v>
      </c>
      <c r="AC60" s="257">
        <v>1.397454</v>
      </c>
      <c r="AD60" s="257">
        <v>1.100649</v>
      </c>
      <c r="AE60" s="257">
        <v>1.6179539999999999</v>
      </c>
      <c r="AF60" s="116">
        <v>0.1</v>
      </c>
      <c r="AG60" s="116">
        <v>0.55000000000000004</v>
      </c>
      <c r="AH60" s="116">
        <v>15</v>
      </c>
      <c r="AI60" s="116">
        <v>8.25</v>
      </c>
      <c r="AJ60" s="116">
        <f>IFERROR(VLOOKUP($B60,SWB!C58:BE441,37,FALSE),0)</f>
        <v>0</v>
      </c>
      <c r="AK60" s="116">
        <f t="shared" si="1"/>
        <v>0</v>
      </c>
      <c r="AL60" s="116">
        <f>IFERROR(VLOOKUP($B60,SWB!C58:BE441,38,FALSE),0)</f>
        <v>0</v>
      </c>
      <c r="AM60" s="116">
        <f>IFERROR(VLOOKUP($B60,SWB!C58:BE441,38,FALSE),0)</f>
        <v>0</v>
      </c>
      <c r="AN60" s="257">
        <f>IFERROR(VLOOKUP($B60,SWB!C58:BE441,40,FALSE),0)</f>
        <v>1.0227846294533334</v>
      </c>
      <c r="AO60" s="257">
        <f>IFERROR(VLOOKUP($B60,SWB!C58:BE441,43,FALSE),0)</f>
        <v>2.0455692589066667</v>
      </c>
      <c r="AP60" s="257">
        <v>0</v>
      </c>
      <c r="AQ60" s="257">
        <f>IFERROR(VLOOKUP($B60,SWB!C58:BE441,44,FALSE),0)</f>
        <v>43.280795067304581</v>
      </c>
      <c r="AR60" s="116">
        <f t="shared" si="3"/>
        <v>0</v>
      </c>
      <c r="AS60" s="116">
        <v>68.5</v>
      </c>
      <c r="AT60" s="116" t="s">
        <v>131</v>
      </c>
      <c r="AU60" s="116" t="s">
        <v>131</v>
      </c>
      <c r="AV60" s="116" t="s">
        <v>131</v>
      </c>
      <c r="AW60" s="116" t="s">
        <v>131</v>
      </c>
      <c r="AX60" s="116" t="s">
        <v>131</v>
      </c>
      <c r="AY60" s="116" t="s">
        <v>131</v>
      </c>
      <c r="AZ60" s="116"/>
      <c r="BA60" s="116" t="s">
        <v>132</v>
      </c>
      <c r="BB60" s="116"/>
    </row>
    <row r="61" spans="1:54">
      <c r="A61" s="101" t="s">
        <v>130</v>
      </c>
      <c r="B61" s="69">
        <f t="shared" si="2"/>
        <v>42060</v>
      </c>
      <c r="C61" s="101" t="s">
        <v>130</v>
      </c>
      <c r="D61" s="116">
        <f>VLOOKUP(B61,SWB!$C$15:$H$244,6,FALSE)</f>
        <v>56</v>
      </c>
      <c r="E61" s="102">
        <f>VLOOKUP($B61,Clima!$W$8:$AI$1506,3,FALSE)</f>
        <v>11</v>
      </c>
      <c r="F61" s="102">
        <f>VLOOKUP($B61,Clima!$W$8:$AI$1506,4,FALSE)</f>
        <v>1</v>
      </c>
      <c r="G61" s="102">
        <f>VLOOKUP($B61,Clima!$W$8:$AI$1506,2,FALSE)</f>
        <v>6.5</v>
      </c>
      <c r="H61" s="102"/>
      <c r="I61" s="102">
        <f>VLOOKUP($B61,Clima!$W$8:$AI$1506,13,FALSE)</f>
        <v>2.2000000000000002</v>
      </c>
      <c r="J61" s="102"/>
      <c r="K61" s="102"/>
      <c r="L61" s="102">
        <f>VLOOKUP($B61,Clima!$W$8:$AI$1506,12,FALSE)</f>
        <v>0</v>
      </c>
      <c r="M61" s="102">
        <f t="shared" si="0"/>
        <v>0</v>
      </c>
      <c r="N61" s="257">
        <f>VLOOKUP(B61,SWB!$C$15:$S$244,17,FALSE)</f>
        <v>0.2708888884000008</v>
      </c>
      <c r="O61" s="116"/>
      <c r="P61" s="116">
        <f>SWB!$M$4</f>
        <v>0.15</v>
      </c>
      <c r="Q61" s="257">
        <f>VLOOKUP(B61,SWB!$C$15:$AJ$244,34,FALSE)</f>
        <v>0.28697942281481476</v>
      </c>
      <c r="R61" s="257">
        <f>VLOOKUP(B61,SWB!$C$15:$V$244,20,FALSE)</f>
        <v>1.0227846294533334</v>
      </c>
      <c r="S61" s="116">
        <v>0</v>
      </c>
      <c r="T61" s="116">
        <v>0</v>
      </c>
      <c r="U61" s="116">
        <v>1</v>
      </c>
      <c r="V61" s="116">
        <v>1</v>
      </c>
      <c r="W61" s="116">
        <v>23.5</v>
      </c>
      <c r="X61" s="257">
        <v>1.397454</v>
      </c>
      <c r="Y61" s="116">
        <v>9.51</v>
      </c>
      <c r="Z61" s="116">
        <v>1</v>
      </c>
      <c r="AA61" s="257">
        <v>1.008424</v>
      </c>
      <c r="AB61" s="116">
        <v>0</v>
      </c>
      <c r="AC61" s="257">
        <v>4.2109569999999996</v>
      </c>
      <c r="AD61" s="257">
        <v>1.1584239999999999</v>
      </c>
      <c r="AE61" s="257">
        <v>3.2320039999999999</v>
      </c>
      <c r="AF61" s="116">
        <v>0.1</v>
      </c>
      <c r="AG61" s="116">
        <v>0.55000000000000004</v>
      </c>
      <c r="AH61" s="116">
        <v>15</v>
      </c>
      <c r="AI61" s="116">
        <v>8.25</v>
      </c>
      <c r="AJ61" s="116">
        <f>IFERROR(VLOOKUP($B61,SWB!C59:BE442,37,FALSE),0)</f>
        <v>0</v>
      </c>
      <c r="AK61" s="116">
        <f t="shared" si="1"/>
        <v>0</v>
      </c>
      <c r="AL61" s="116">
        <f>IFERROR(VLOOKUP($B61,SWB!C59:BE442,38,FALSE),0)</f>
        <v>0</v>
      </c>
      <c r="AM61" s="116">
        <f>IFERROR(VLOOKUP($B61,SWB!C59:BE442,38,FALSE),0)</f>
        <v>0</v>
      </c>
      <c r="AN61" s="257">
        <f>IFERROR(VLOOKUP($B61,SWB!C59:BE442,40,FALSE),0)</f>
        <v>0.3449661412532089</v>
      </c>
      <c r="AO61" s="257">
        <f>IFERROR(VLOOKUP($B61,SWB!C59:BE442,43,FALSE),0)</f>
        <v>0.8279187390077013</v>
      </c>
      <c r="AP61" s="257">
        <v>3.2320039999999999</v>
      </c>
      <c r="AQ61" s="257">
        <f>IFERROR(VLOOKUP($B61,SWB!C59:BE442,44,FALSE),0)</f>
        <v>44.108713806312281</v>
      </c>
      <c r="AR61" s="116">
        <f t="shared" si="3"/>
        <v>0</v>
      </c>
      <c r="AS61" s="116">
        <v>68.5</v>
      </c>
      <c r="AT61" s="116" t="s">
        <v>131</v>
      </c>
      <c r="AU61" s="116" t="s">
        <v>131</v>
      </c>
      <c r="AV61" s="116" t="s">
        <v>131</v>
      </c>
      <c r="AW61" s="116" t="s">
        <v>131</v>
      </c>
      <c r="AX61" s="116" t="s">
        <v>131</v>
      </c>
      <c r="AY61" s="116" t="s">
        <v>131</v>
      </c>
      <c r="AZ61" s="116"/>
      <c r="BA61" s="116" t="s">
        <v>132</v>
      </c>
      <c r="BB61" s="116"/>
    </row>
    <row r="62" spans="1:54">
      <c r="A62" s="101" t="s">
        <v>130</v>
      </c>
      <c r="B62" s="69">
        <f t="shared" si="2"/>
        <v>42061</v>
      </c>
      <c r="C62" s="101" t="s">
        <v>130</v>
      </c>
      <c r="D62" s="116">
        <f>VLOOKUP(B62,SWB!$C$15:$H$244,6,FALSE)</f>
        <v>57</v>
      </c>
      <c r="E62" s="102">
        <f>VLOOKUP($B62,Clima!$W$8:$AI$1506,3,FALSE)</f>
        <v>16.100000000000001</v>
      </c>
      <c r="F62" s="102">
        <f>VLOOKUP($B62,Clima!$W$8:$AI$1506,4,FALSE)</f>
        <v>5.5</v>
      </c>
      <c r="G62" s="102">
        <f>VLOOKUP($B62,Clima!$W$8:$AI$1506,2,FALSE)</f>
        <v>10</v>
      </c>
      <c r="H62" s="102"/>
      <c r="I62" s="102">
        <f>VLOOKUP($B62,Clima!$W$8:$AI$1506,13,FALSE)</f>
        <v>3</v>
      </c>
      <c r="J62" s="102"/>
      <c r="K62" s="102"/>
      <c r="L62" s="102">
        <f>VLOOKUP($B62,Clima!$W$8:$AI$1506,12,FALSE)</f>
        <v>0</v>
      </c>
      <c r="M62" s="102">
        <f t="shared" si="0"/>
        <v>0</v>
      </c>
      <c r="N62" s="257">
        <f>VLOOKUP(B62,SWB!$C$15:$S$244,17,FALSE)</f>
        <v>0.27073333286666756</v>
      </c>
      <c r="O62" s="116"/>
      <c r="P62" s="116">
        <f>SWB!$M$4</f>
        <v>0.15</v>
      </c>
      <c r="Q62" s="257">
        <f>VLOOKUP(B62,SWB!$C$15:$AJ$244,34,FALSE)</f>
        <v>0.28697942281481476</v>
      </c>
      <c r="R62" s="257">
        <f>VLOOKUP(B62,SWB!$C$15:$V$244,20,FALSE)</f>
        <v>1.0227846294533334</v>
      </c>
      <c r="S62" s="116">
        <v>0</v>
      </c>
      <c r="T62" s="116">
        <v>0</v>
      </c>
      <c r="U62" s="116">
        <v>1</v>
      </c>
      <c r="V62" s="116">
        <v>1</v>
      </c>
      <c r="W62" s="116">
        <v>23.5</v>
      </c>
      <c r="X62" s="257">
        <v>1.2109570000000001</v>
      </c>
      <c r="Y62" s="116">
        <v>9.51</v>
      </c>
      <c r="Z62" s="116">
        <v>1</v>
      </c>
      <c r="AA62" s="257">
        <v>0.98982400000000004</v>
      </c>
      <c r="AB62" s="116">
        <v>0</v>
      </c>
      <c r="AC62" s="257">
        <v>3.4281640000000002</v>
      </c>
      <c r="AD62" s="257">
        <v>1.1398239999999999</v>
      </c>
      <c r="AE62" s="257">
        <v>2.5532059999999999</v>
      </c>
      <c r="AF62" s="116">
        <v>0.1</v>
      </c>
      <c r="AG62" s="116">
        <v>0.55000000000000004</v>
      </c>
      <c r="AH62" s="116">
        <v>15</v>
      </c>
      <c r="AI62" s="116">
        <v>8.25</v>
      </c>
      <c r="AJ62" s="116">
        <f>IFERROR(VLOOKUP($B62,SWB!C60:BE443,37,FALSE),0)</f>
        <v>0</v>
      </c>
      <c r="AK62" s="116">
        <f t="shared" si="1"/>
        <v>0</v>
      </c>
      <c r="AL62" s="116">
        <f>IFERROR(VLOOKUP($B62,SWB!C60:BE443,38,FALSE),0)</f>
        <v>0</v>
      </c>
      <c r="AM62" s="116">
        <f>IFERROR(VLOOKUP($B62,SWB!C60:BE443,38,FALSE),0)</f>
        <v>0</v>
      </c>
      <c r="AN62" s="257">
        <f>IFERROR(VLOOKUP($B62,SWB!C60:BE443,40,FALSE),0)</f>
        <v>0.33891401884985028</v>
      </c>
      <c r="AO62" s="257">
        <f>IFERROR(VLOOKUP($B62,SWB!C60:BE443,43,FALSE),0)</f>
        <v>0.57615383204474546</v>
      </c>
      <c r="AP62" s="257">
        <v>2.7852100000000002</v>
      </c>
      <c r="AQ62" s="257">
        <f>IFERROR(VLOOKUP($B62,SWB!C60:BE443,44,FALSE),0)</f>
        <v>44.684867638357026</v>
      </c>
      <c r="AR62" s="116">
        <f t="shared" si="3"/>
        <v>0</v>
      </c>
      <c r="AS62" s="116">
        <v>71.5</v>
      </c>
      <c r="AT62" s="116" t="s">
        <v>131</v>
      </c>
      <c r="AU62" s="116" t="s">
        <v>131</v>
      </c>
      <c r="AV62" s="116" t="s">
        <v>131</v>
      </c>
      <c r="AW62" s="116" t="s">
        <v>131</v>
      </c>
      <c r="AX62" s="116" t="s">
        <v>131</v>
      </c>
      <c r="AY62" s="116" t="s">
        <v>131</v>
      </c>
      <c r="AZ62" s="116"/>
      <c r="BA62" s="116" t="s">
        <v>132</v>
      </c>
      <c r="BB62" s="116"/>
    </row>
    <row r="63" spans="1:54">
      <c r="A63" s="101" t="s">
        <v>130</v>
      </c>
      <c r="B63" s="69">
        <f t="shared" si="2"/>
        <v>42062</v>
      </c>
      <c r="C63" s="101" t="s">
        <v>130</v>
      </c>
      <c r="D63" s="116">
        <f>VLOOKUP(B63,SWB!$C$15:$H$244,6,FALSE)</f>
        <v>58</v>
      </c>
      <c r="E63" s="102">
        <f>VLOOKUP($B63,Clima!$W$8:$AI$1506,3,FALSE)</f>
        <v>14.6</v>
      </c>
      <c r="F63" s="102">
        <f>VLOOKUP($B63,Clima!$W$8:$AI$1506,4,FALSE)</f>
        <v>3.6</v>
      </c>
      <c r="G63" s="102">
        <f>VLOOKUP($B63,Clima!$W$8:$AI$1506,2,FALSE)</f>
        <v>9.1</v>
      </c>
      <c r="H63" s="102"/>
      <c r="I63" s="102">
        <f>VLOOKUP($B63,Clima!$W$8:$AI$1506,13,FALSE)</f>
        <v>3.8</v>
      </c>
      <c r="J63" s="102"/>
      <c r="K63" s="102"/>
      <c r="L63" s="102">
        <f>VLOOKUP($B63,Clima!$W$8:$AI$1506,12,FALSE)</f>
        <v>0</v>
      </c>
      <c r="M63" s="102">
        <f t="shared" si="0"/>
        <v>0</v>
      </c>
      <c r="N63" s="257">
        <f>VLOOKUP(B63,SWB!$C$15:$S$244,17,FALSE)</f>
        <v>0.27057777733333421</v>
      </c>
      <c r="O63" s="116"/>
      <c r="P63" s="116">
        <f>SWB!$M$4</f>
        <v>0.15</v>
      </c>
      <c r="Q63" s="257">
        <f>VLOOKUP(B63,SWB!$C$15:$AJ$244,34,FALSE)</f>
        <v>0.28697942281481476</v>
      </c>
      <c r="R63" s="257">
        <f>VLOOKUP(B63,SWB!$C$15:$V$244,20,FALSE)</f>
        <v>1.0227846294533334</v>
      </c>
      <c r="S63" s="116">
        <v>0</v>
      </c>
      <c r="T63" s="116">
        <v>0</v>
      </c>
      <c r="U63" s="116">
        <v>1</v>
      </c>
      <c r="V63" s="116">
        <v>1</v>
      </c>
      <c r="W63" s="116">
        <v>23.5</v>
      </c>
      <c r="X63" s="257">
        <v>3.4281640000000002</v>
      </c>
      <c r="Y63" s="116">
        <v>9.51</v>
      </c>
      <c r="Z63" s="116">
        <v>1</v>
      </c>
      <c r="AA63" s="257">
        <v>1.016931</v>
      </c>
      <c r="AB63" s="116">
        <v>0</v>
      </c>
      <c r="AC63" s="257">
        <v>6.0925229999999999</v>
      </c>
      <c r="AD63" s="257">
        <v>1.1669309999999999</v>
      </c>
      <c r="AE63" s="257">
        <v>3.0573600000000001</v>
      </c>
      <c r="AF63" s="116">
        <v>0.1</v>
      </c>
      <c r="AG63" s="116">
        <v>0.55000000000000004</v>
      </c>
      <c r="AH63" s="116">
        <v>15</v>
      </c>
      <c r="AI63" s="116">
        <v>8.25</v>
      </c>
      <c r="AJ63" s="116">
        <f>IFERROR(VLOOKUP($B63,SWB!C61:BE444,37,FALSE),0)</f>
        <v>0</v>
      </c>
      <c r="AK63" s="116">
        <f t="shared" si="1"/>
        <v>0</v>
      </c>
      <c r="AL63" s="116">
        <f>IFERROR(VLOOKUP($B63,SWB!C61:BE444,38,FALSE),0)</f>
        <v>0</v>
      </c>
      <c r="AM63" s="116">
        <f>IFERROR(VLOOKUP($B63,SWB!C61:BE444,38,FALSE),0)</f>
        <v>0</v>
      </c>
      <c r="AN63" s="257">
        <f>IFERROR(VLOOKUP($B63,SWB!C61:BE444,40,FALSE),0)</f>
        <v>0.33491751150718779</v>
      </c>
      <c r="AO63" s="257">
        <f>IFERROR(VLOOKUP($B63,SWB!C61:BE444,43,FALSE),0)</f>
        <v>0.60285152071293802</v>
      </c>
      <c r="AP63" s="257">
        <v>5.8425700000000003</v>
      </c>
      <c r="AQ63" s="257">
        <f>IFERROR(VLOOKUP($B63,SWB!C61:BE444,44,FALSE),0)</f>
        <v>45.287719159069965</v>
      </c>
      <c r="AR63" s="116">
        <f t="shared" si="3"/>
        <v>0</v>
      </c>
      <c r="AS63" s="116">
        <v>71.5</v>
      </c>
      <c r="AT63" s="116" t="s">
        <v>131</v>
      </c>
      <c r="AU63" s="116" t="s">
        <v>131</v>
      </c>
      <c r="AV63" s="116" t="s">
        <v>131</v>
      </c>
      <c r="AW63" s="116" t="s">
        <v>131</v>
      </c>
      <c r="AX63" s="116" t="s">
        <v>131</v>
      </c>
      <c r="AY63" s="116" t="s">
        <v>131</v>
      </c>
      <c r="AZ63" s="116"/>
      <c r="BA63" s="116" t="s">
        <v>132</v>
      </c>
      <c r="BB63" s="116"/>
    </row>
    <row r="64" spans="1:54">
      <c r="A64" s="101" t="s">
        <v>130</v>
      </c>
      <c r="B64" s="69">
        <f t="shared" si="2"/>
        <v>42063</v>
      </c>
      <c r="C64" s="101" t="s">
        <v>130</v>
      </c>
      <c r="D64" s="116">
        <f>VLOOKUP(B64,SWB!$C$15:$H$244,6,FALSE)</f>
        <v>59</v>
      </c>
      <c r="E64" s="102">
        <f>VLOOKUP($B64,Clima!$W$8:$AI$1506,3,FALSE)</f>
        <v>16.7</v>
      </c>
      <c r="F64" s="102">
        <f>VLOOKUP($B64,Clima!$W$8:$AI$1506,4,FALSE)</f>
        <v>1.9</v>
      </c>
      <c r="G64" s="102">
        <f>VLOOKUP($B64,Clima!$W$8:$AI$1506,2,FALSE)</f>
        <v>8.5</v>
      </c>
      <c r="H64" s="102"/>
      <c r="I64" s="102">
        <f>VLOOKUP($B64,Clima!$W$8:$AI$1506,13,FALSE)</f>
        <v>3.1</v>
      </c>
      <c r="J64" s="102"/>
      <c r="K64" s="102"/>
      <c r="L64" s="102">
        <f>VLOOKUP($B64,Clima!$W$8:$AI$1506,12,FALSE)</f>
        <v>0</v>
      </c>
      <c r="M64" s="102">
        <f t="shared" si="0"/>
        <v>0</v>
      </c>
      <c r="N64" s="257">
        <f>VLOOKUP(B64,SWB!$C$15:$S$244,17,FALSE)</f>
        <v>0.27042222180000097</v>
      </c>
      <c r="O64" s="116"/>
      <c r="P64" s="116">
        <f>SWB!$M$4</f>
        <v>0.15</v>
      </c>
      <c r="Q64" s="257">
        <f>VLOOKUP(B64,SWB!$C$15:$AJ$244,34,FALSE)</f>
        <v>0.28697942281481476</v>
      </c>
      <c r="R64" s="257">
        <f>VLOOKUP(B64,SWB!$C$15:$V$244,20,FALSE)</f>
        <v>1.0227846294533334</v>
      </c>
      <c r="S64" s="116">
        <v>0</v>
      </c>
      <c r="T64" s="116">
        <v>0</v>
      </c>
      <c r="U64" s="116">
        <v>1</v>
      </c>
      <c r="V64" s="116">
        <v>1</v>
      </c>
      <c r="W64" s="116">
        <v>23.5</v>
      </c>
      <c r="X64" s="257">
        <v>6.0925229999999999</v>
      </c>
      <c r="Y64" s="116">
        <v>9.51</v>
      </c>
      <c r="Z64" s="116">
        <v>1</v>
      </c>
      <c r="AA64" s="257">
        <v>1.049283</v>
      </c>
      <c r="AB64" s="116">
        <v>0</v>
      </c>
      <c r="AC64" s="257">
        <v>8.3904530000000008</v>
      </c>
      <c r="AD64" s="257">
        <v>1.1992830000000001</v>
      </c>
      <c r="AE64" s="257">
        <v>2.6264289999999999</v>
      </c>
      <c r="AF64" s="116">
        <v>0.1</v>
      </c>
      <c r="AG64" s="116">
        <v>0.55000000000000004</v>
      </c>
      <c r="AH64" s="116">
        <v>15</v>
      </c>
      <c r="AI64" s="116">
        <v>8.25</v>
      </c>
      <c r="AJ64" s="116">
        <f>IFERROR(VLOOKUP($B64,SWB!C62:BE445,37,FALSE),0)</f>
        <v>0</v>
      </c>
      <c r="AK64" s="116">
        <f t="shared" si="1"/>
        <v>0</v>
      </c>
      <c r="AL64" s="116">
        <f>IFERROR(VLOOKUP($B64,SWB!C62:BE445,38,FALSE),0)</f>
        <v>0</v>
      </c>
      <c r="AM64" s="116">
        <f>IFERROR(VLOOKUP($B64,SWB!C62:BE445,38,FALSE),0)</f>
        <v>0</v>
      </c>
      <c r="AN64" s="257">
        <f>IFERROR(VLOOKUP($B64,SWB!C62:BE445,40,FALSE),0)</f>
        <v>0.33092259150706438</v>
      </c>
      <c r="AO64" s="257">
        <f>IFERROR(VLOOKUP($B64,SWB!C62:BE445,43,FALSE),0)</f>
        <v>0.46329162810989011</v>
      </c>
      <c r="AP64" s="257">
        <v>8.4689990000000002</v>
      </c>
      <c r="AQ64" s="257">
        <f>IFERROR(VLOOKUP($B64,SWB!C62:BE445,44,FALSE),0)</f>
        <v>45.751010787179858</v>
      </c>
      <c r="AR64" s="116">
        <f t="shared" si="3"/>
        <v>0</v>
      </c>
      <c r="AS64" s="116">
        <v>71.5</v>
      </c>
      <c r="AT64" s="116" t="s">
        <v>131</v>
      </c>
      <c r="AU64" s="116" t="s">
        <v>131</v>
      </c>
      <c r="AV64" s="116" t="s">
        <v>131</v>
      </c>
      <c r="AW64" s="116" t="s">
        <v>131</v>
      </c>
      <c r="AX64" s="116" t="s">
        <v>131</v>
      </c>
      <c r="AY64" s="116" t="s">
        <v>131</v>
      </c>
      <c r="AZ64" s="116"/>
      <c r="BA64" s="116" t="s">
        <v>132</v>
      </c>
      <c r="BB64" s="116"/>
    </row>
    <row r="65" spans="1:54">
      <c r="A65" s="101" t="s">
        <v>130</v>
      </c>
      <c r="B65" s="69">
        <f t="shared" si="2"/>
        <v>42064</v>
      </c>
      <c r="C65" s="101" t="s">
        <v>130</v>
      </c>
      <c r="D65" s="116">
        <f>VLOOKUP(B65,SWB!$C$15:$H$244,6,FALSE)</f>
        <v>60</v>
      </c>
      <c r="E65" s="102">
        <f>VLOOKUP($B65,Clima!$W$8:$AI$1506,3,FALSE)</f>
        <v>18.399999999999999</v>
      </c>
      <c r="F65" s="102">
        <f>VLOOKUP($B65,Clima!$W$8:$AI$1506,4,FALSE)</f>
        <v>2.2999999999999998</v>
      </c>
      <c r="G65" s="102">
        <f>VLOOKUP($B65,Clima!$W$8:$AI$1506,2,FALSE)</f>
        <v>9.8000000000000007</v>
      </c>
      <c r="H65" s="102"/>
      <c r="I65" s="102">
        <f>VLOOKUP($B65,Clima!$W$8:$AI$1506,13,FALSE)</f>
        <v>2.7</v>
      </c>
      <c r="J65" s="102"/>
      <c r="K65" s="102"/>
      <c r="L65" s="102">
        <f>VLOOKUP($B65,Clima!$W$8:$AI$1506,12,FALSE)</f>
        <v>0</v>
      </c>
      <c r="M65" s="102">
        <f t="shared" si="0"/>
        <v>0</v>
      </c>
      <c r="N65" s="257">
        <f>VLOOKUP(B65,SWB!$C$15:$S$244,17,FALSE)</f>
        <v>0.27026666626666762</v>
      </c>
      <c r="O65" s="116"/>
      <c r="P65" s="116">
        <f>SWB!$M$4</f>
        <v>0.15</v>
      </c>
      <c r="Q65" s="257">
        <f>VLOOKUP(B65,SWB!$C$15:$AJ$244,34,FALSE)</f>
        <v>0.28697942281481476</v>
      </c>
      <c r="R65" s="257">
        <f>VLOOKUP(B65,SWB!$C$15:$V$244,20,FALSE)</f>
        <v>1.0227846294533334</v>
      </c>
      <c r="S65" s="116">
        <v>0</v>
      </c>
      <c r="T65" s="116">
        <v>0</v>
      </c>
      <c r="U65" s="116">
        <v>1</v>
      </c>
      <c r="V65" s="116">
        <v>1</v>
      </c>
      <c r="W65" s="116">
        <v>23.5</v>
      </c>
      <c r="X65" s="257">
        <v>8.3904530000000008</v>
      </c>
      <c r="Y65" s="116">
        <v>9.51</v>
      </c>
      <c r="Z65" s="116">
        <v>1</v>
      </c>
      <c r="AA65" s="257">
        <v>1.0537380000000001</v>
      </c>
      <c r="AB65" s="116">
        <v>0</v>
      </c>
      <c r="AC65" s="257">
        <v>11.58328</v>
      </c>
      <c r="AD65" s="257">
        <v>1.203738</v>
      </c>
      <c r="AE65" s="257">
        <v>3.6473270000000002</v>
      </c>
      <c r="AF65" s="116">
        <v>0.1</v>
      </c>
      <c r="AG65" s="116">
        <v>0.55000000000000004</v>
      </c>
      <c r="AH65" s="116">
        <v>15</v>
      </c>
      <c r="AI65" s="116">
        <v>8.25</v>
      </c>
      <c r="AJ65" s="116">
        <f>IFERROR(VLOOKUP($B65,SWB!C63:BE446,37,FALSE),0)</f>
        <v>0</v>
      </c>
      <c r="AK65" s="116">
        <f t="shared" si="1"/>
        <v>0</v>
      </c>
      <c r="AL65" s="116">
        <f>IFERROR(VLOOKUP($B65,SWB!C63:BE446,38,FALSE),0)</f>
        <v>0</v>
      </c>
      <c r="AM65" s="116">
        <f>IFERROR(VLOOKUP($B65,SWB!C63:BE446,38,FALSE),0)</f>
        <v>0</v>
      </c>
      <c r="AN65" s="257">
        <f>IFERROR(VLOOKUP($B65,SWB!C63:BE446,40,FALSE),0)</f>
        <v>0.32796125352726702</v>
      </c>
      <c r="AO65" s="257">
        <f>IFERROR(VLOOKUP($B65,SWB!C63:BE446,43,FALSE),0)</f>
        <v>0.78710700846544079</v>
      </c>
      <c r="AP65" s="257">
        <v>12.10158</v>
      </c>
      <c r="AQ65" s="257">
        <f>IFERROR(VLOOKUP($B65,SWB!C63:BE446,44,FALSE),0)</f>
        <v>46.538117795645299</v>
      </c>
      <c r="AR65" s="116">
        <f t="shared" si="3"/>
        <v>0</v>
      </c>
      <c r="AS65" s="116">
        <v>71.5</v>
      </c>
      <c r="AT65" s="116" t="s">
        <v>131</v>
      </c>
      <c r="AU65" s="116" t="s">
        <v>131</v>
      </c>
      <c r="AV65" s="116" t="s">
        <v>131</v>
      </c>
      <c r="AW65" s="116" t="s">
        <v>131</v>
      </c>
      <c r="AX65" s="116" t="s">
        <v>131</v>
      </c>
      <c r="AY65" s="116" t="s">
        <v>131</v>
      </c>
      <c r="AZ65" s="116"/>
      <c r="BA65" s="116" t="s">
        <v>132</v>
      </c>
      <c r="BB65" s="116"/>
    </row>
    <row r="66" spans="1:54">
      <c r="A66" s="101" t="s">
        <v>130</v>
      </c>
      <c r="B66" s="69">
        <f t="shared" si="2"/>
        <v>42065</v>
      </c>
      <c r="C66" s="101" t="s">
        <v>130</v>
      </c>
      <c r="D66" s="116">
        <f>VLOOKUP(B66,SWB!$C$15:$H$244,6,FALSE)</f>
        <v>61</v>
      </c>
      <c r="E66" s="102">
        <f>VLOOKUP($B66,Clima!$W$8:$AI$1506,3,FALSE)</f>
        <v>20.5</v>
      </c>
      <c r="F66" s="102">
        <f>VLOOKUP($B66,Clima!$W$8:$AI$1506,4,FALSE)</f>
        <v>5</v>
      </c>
      <c r="G66" s="102">
        <f>VLOOKUP($B66,Clima!$W$8:$AI$1506,2,FALSE)</f>
        <v>12.1</v>
      </c>
      <c r="H66" s="102"/>
      <c r="I66" s="102">
        <f>VLOOKUP($B66,Clima!$W$8:$AI$1506,13,FALSE)</f>
        <v>3.1</v>
      </c>
      <c r="J66" s="102"/>
      <c r="K66" s="102"/>
      <c r="L66" s="102">
        <f>VLOOKUP($B66,Clima!$W$8:$AI$1506,12,FALSE)</f>
        <v>0</v>
      </c>
      <c r="M66" s="102">
        <f t="shared" si="0"/>
        <v>0</v>
      </c>
      <c r="N66" s="257">
        <f>VLOOKUP(B66,SWB!$C$15:$S$244,17,FALSE)</f>
        <v>0.27011111073333427</v>
      </c>
      <c r="O66" s="116"/>
      <c r="P66" s="116">
        <f>SWB!$M$4</f>
        <v>0.15</v>
      </c>
      <c r="Q66" s="257">
        <f>VLOOKUP(B66,SWB!$C$15:$AJ$244,34,FALSE)</f>
        <v>0.28697942281481476</v>
      </c>
      <c r="R66" s="257">
        <f>VLOOKUP(B66,SWB!$C$15:$V$244,20,FALSE)</f>
        <v>1.0227846294533334</v>
      </c>
      <c r="S66" s="116">
        <v>0</v>
      </c>
      <c r="T66" s="116">
        <v>0</v>
      </c>
      <c r="U66" s="116">
        <v>1</v>
      </c>
      <c r="V66" s="116">
        <v>1</v>
      </c>
      <c r="W66" s="116">
        <v>23.5</v>
      </c>
      <c r="X66" s="257">
        <v>11.58328</v>
      </c>
      <c r="Y66" s="116">
        <v>9.51</v>
      </c>
      <c r="Z66" s="257">
        <v>0.85180299999999998</v>
      </c>
      <c r="AA66" s="257">
        <v>0.96840300000000001</v>
      </c>
      <c r="AB66" s="116">
        <v>0</v>
      </c>
      <c r="AC66" s="257">
        <v>15.263211</v>
      </c>
      <c r="AD66" s="257">
        <v>1.118403</v>
      </c>
      <c r="AE66" s="257">
        <v>4.2499320000000003</v>
      </c>
      <c r="AF66" s="116">
        <v>0.1</v>
      </c>
      <c r="AG66" s="116">
        <v>0.55000000000000004</v>
      </c>
      <c r="AH66" s="116">
        <v>15</v>
      </c>
      <c r="AI66" s="116">
        <v>8.25</v>
      </c>
      <c r="AJ66" s="116">
        <f>IFERROR(VLOOKUP($B66,SWB!C64:BE447,37,FALSE),0)</f>
        <v>0</v>
      </c>
      <c r="AK66" s="116">
        <f t="shared" si="1"/>
        <v>0</v>
      </c>
      <c r="AL66" s="116">
        <f>IFERROR(VLOOKUP($B66,SWB!C64:BE447,38,FALSE),0)</f>
        <v>0</v>
      </c>
      <c r="AM66" s="116">
        <f>IFERROR(VLOOKUP($B66,SWB!C64:BE447,38,FALSE),0)</f>
        <v>0</v>
      </c>
      <c r="AN66" s="257">
        <f>IFERROR(VLOOKUP($B66,SWB!C64:BE447,40,FALSE),0)</f>
        <v>0.3232093757563605</v>
      </c>
      <c r="AO66" s="257">
        <f>IFERROR(VLOOKUP($B66,SWB!C64:BE447,43,FALSE),0)</f>
        <v>1.0989118775716256</v>
      </c>
      <c r="AP66" s="257">
        <v>15</v>
      </c>
      <c r="AQ66" s="257">
        <f>IFERROR(VLOOKUP($B66,SWB!C64:BE447,44,FALSE),0)</f>
        <v>47.637029673216922</v>
      </c>
      <c r="AR66" s="116">
        <f t="shared" si="3"/>
        <v>0</v>
      </c>
      <c r="AS66" s="116">
        <v>71.5</v>
      </c>
      <c r="AT66" s="116" t="s">
        <v>131</v>
      </c>
      <c r="AU66" s="116" t="s">
        <v>131</v>
      </c>
      <c r="AV66" s="116" t="s">
        <v>131</v>
      </c>
      <c r="AW66" s="116" t="s">
        <v>131</v>
      </c>
      <c r="AX66" s="116" t="s">
        <v>131</v>
      </c>
      <c r="AY66" s="116" t="s">
        <v>131</v>
      </c>
      <c r="AZ66" s="116"/>
      <c r="BA66" s="116" t="s">
        <v>132</v>
      </c>
      <c r="BB66" s="116"/>
    </row>
    <row r="67" spans="1:54">
      <c r="A67" s="101" t="s">
        <v>130</v>
      </c>
      <c r="B67" s="69">
        <f t="shared" si="2"/>
        <v>42066</v>
      </c>
      <c r="C67" s="101" t="s">
        <v>130</v>
      </c>
      <c r="D67" s="116">
        <f>VLOOKUP(B67,SWB!$C$15:$H$244,6,FALSE)</f>
        <v>62</v>
      </c>
      <c r="E67" s="102">
        <f>VLOOKUP($B67,Clima!$W$8:$AI$1506,3,FALSE)</f>
        <v>24.3</v>
      </c>
      <c r="F67" s="102">
        <f>VLOOKUP($B67,Clima!$W$8:$AI$1506,4,FALSE)</f>
        <v>7.4</v>
      </c>
      <c r="G67" s="102">
        <f>VLOOKUP($B67,Clima!$W$8:$AI$1506,2,FALSE)</f>
        <v>14</v>
      </c>
      <c r="H67" s="102"/>
      <c r="I67" s="102">
        <f>VLOOKUP($B67,Clima!$W$8:$AI$1506,13,FALSE)</f>
        <v>2.9</v>
      </c>
      <c r="J67" s="102"/>
      <c r="K67" s="102"/>
      <c r="L67" s="102">
        <f>VLOOKUP($B67,Clima!$W$8:$AI$1506,12,FALSE)</f>
        <v>0</v>
      </c>
      <c r="M67" s="102">
        <f t="shared" si="0"/>
        <v>0</v>
      </c>
      <c r="N67" s="257">
        <f>VLOOKUP(B67,SWB!$C$15:$S$244,17,FALSE)</f>
        <v>0.26995555520000003</v>
      </c>
      <c r="O67" s="116"/>
      <c r="P67" s="116">
        <f>SWB!$M$4</f>
        <v>0.15</v>
      </c>
      <c r="Q67" s="257">
        <f>VLOOKUP(B67,SWB!$C$15:$AJ$244,34,FALSE)</f>
        <v>0.28697942281481476</v>
      </c>
      <c r="R67" s="257">
        <f>VLOOKUP(B67,SWB!$C$15:$V$244,20,FALSE)</f>
        <v>1.0227846294533334</v>
      </c>
      <c r="S67" s="116">
        <v>0</v>
      </c>
      <c r="T67" s="116">
        <v>0</v>
      </c>
      <c r="U67" s="116">
        <v>1</v>
      </c>
      <c r="V67" s="116">
        <v>1</v>
      </c>
      <c r="W67" s="116">
        <v>23.5</v>
      </c>
      <c r="X67" s="257">
        <v>15.263211</v>
      </c>
      <c r="Y67" s="116">
        <v>9.51</v>
      </c>
      <c r="Z67" s="257">
        <v>0.58876300000000004</v>
      </c>
      <c r="AA67" s="257">
        <v>0.63897400000000004</v>
      </c>
      <c r="AB67" s="116">
        <v>0</v>
      </c>
      <c r="AC67" s="257">
        <v>17.237639999999999</v>
      </c>
      <c r="AD67" s="257">
        <v>0.78897399999999995</v>
      </c>
      <c r="AE67" s="257">
        <v>2.437929</v>
      </c>
      <c r="AF67" s="116">
        <v>0.1</v>
      </c>
      <c r="AG67" s="116">
        <v>0.55000000000000004</v>
      </c>
      <c r="AH67" s="116">
        <v>15</v>
      </c>
      <c r="AI67" s="116">
        <v>8.25</v>
      </c>
      <c r="AJ67" s="116">
        <f>IFERROR(VLOOKUP($B67,SWB!C65:BE448,37,FALSE),0)</f>
        <v>0</v>
      </c>
      <c r="AK67" s="116">
        <f t="shared" si="1"/>
        <v>0</v>
      </c>
      <c r="AL67" s="116">
        <f>IFERROR(VLOOKUP($B67,SWB!C65:BE448,38,FALSE),0)</f>
        <v>0</v>
      </c>
      <c r="AM67" s="116">
        <f>IFERROR(VLOOKUP($B67,SWB!C65:BE448,38,FALSE),0)</f>
        <v>0</v>
      </c>
      <c r="AN67" s="257">
        <f>IFERROR(VLOOKUP($B67,SWB!C65:BE448,40,FALSE),0)</f>
        <v>0.31705529087923612</v>
      </c>
      <c r="AO67" s="257">
        <f>IFERROR(VLOOKUP($B67,SWB!C65:BE448,43,FALSE),0)</f>
        <v>1.1096935180773264</v>
      </c>
      <c r="AP67" s="257">
        <v>15</v>
      </c>
      <c r="AQ67" s="257">
        <f>IFERROR(VLOOKUP($B67,SWB!C65:BE448,44,FALSE),0)</f>
        <v>48.746723191294251</v>
      </c>
      <c r="AR67" s="116">
        <f t="shared" si="3"/>
        <v>0</v>
      </c>
      <c r="AS67" s="116">
        <v>71.5</v>
      </c>
      <c r="AT67" s="116" t="s">
        <v>131</v>
      </c>
      <c r="AU67" s="116" t="s">
        <v>131</v>
      </c>
      <c r="AV67" s="116" t="s">
        <v>131</v>
      </c>
      <c r="AW67" s="116" t="s">
        <v>131</v>
      </c>
      <c r="AX67" s="116" t="s">
        <v>131</v>
      </c>
      <c r="AY67" s="116" t="s">
        <v>131</v>
      </c>
      <c r="AZ67" s="116"/>
      <c r="BA67" s="116" t="s">
        <v>132</v>
      </c>
      <c r="BB67" s="116"/>
    </row>
    <row r="68" spans="1:54">
      <c r="A68" s="101" t="s">
        <v>130</v>
      </c>
      <c r="B68" s="69">
        <f t="shared" si="2"/>
        <v>42067</v>
      </c>
      <c r="C68" s="101" t="s">
        <v>130</v>
      </c>
      <c r="D68" s="116">
        <f>VLOOKUP(B68,SWB!$C$15:$H$244,6,FALSE)</f>
        <v>63</v>
      </c>
      <c r="E68" s="102">
        <f>VLOOKUP($B68,Clima!$W$8:$AI$1506,3,FALSE)</f>
        <v>18.2</v>
      </c>
      <c r="F68" s="102">
        <f>VLOOKUP($B68,Clima!$W$8:$AI$1506,4,FALSE)</f>
        <v>1.9</v>
      </c>
      <c r="G68" s="102">
        <f>VLOOKUP($B68,Clima!$W$8:$AI$1506,2,FALSE)</f>
        <v>10.7</v>
      </c>
      <c r="H68" s="102"/>
      <c r="I68" s="102">
        <f>VLOOKUP($B68,Clima!$W$8:$AI$1506,13,FALSE)</f>
        <v>3.6</v>
      </c>
      <c r="J68" s="102"/>
      <c r="K68" s="102"/>
      <c r="L68" s="102">
        <f>VLOOKUP($B68,Clima!$W$8:$AI$1506,12,FALSE)</f>
        <v>0</v>
      </c>
      <c r="M68" s="102">
        <f t="shared" si="0"/>
        <v>0</v>
      </c>
      <c r="N68" s="257">
        <f>VLOOKUP(B68,SWB!$C$15:$S$244,17,FALSE)</f>
        <v>0.27500952342857143</v>
      </c>
      <c r="O68" s="116"/>
      <c r="P68" s="116">
        <f>SWB!$M$4</f>
        <v>0.15</v>
      </c>
      <c r="Q68" s="257">
        <f>VLOOKUP(B68,SWB!$C$15:$AJ$244,34,FALSE)</f>
        <v>0.28697942281481476</v>
      </c>
      <c r="R68" s="257">
        <f>VLOOKUP(B68,SWB!$C$15:$V$244,20,FALSE)</f>
        <v>1.0227846294533334</v>
      </c>
      <c r="S68" s="116">
        <v>0</v>
      </c>
      <c r="T68" s="116">
        <v>0</v>
      </c>
      <c r="U68" s="116">
        <v>1</v>
      </c>
      <c r="V68" s="116">
        <v>1</v>
      </c>
      <c r="W68" s="116">
        <v>23.5</v>
      </c>
      <c r="X68" s="257">
        <v>17.237639999999999</v>
      </c>
      <c r="Y68" s="116">
        <v>9.51</v>
      </c>
      <c r="Z68" s="257">
        <v>0.447631</v>
      </c>
      <c r="AA68" s="257">
        <v>0.47482799999999997</v>
      </c>
      <c r="AB68" s="116">
        <v>0</v>
      </c>
      <c r="AC68" s="257">
        <v>18.519673999999998</v>
      </c>
      <c r="AD68" s="257">
        <v>0.62482800000000005</v>
      </c>
      <c r="AE68" s="257">
        <v>1.6870339999999999</v>
      </c>
      <c r="AF68" s="116">
        <v>0.1</v>
      </c>
      <c r="AG68" s="116">
        <v>0.55000000000000004</v>
      </c>
      <c r="AH68" s="116">
        <v>15</v>
      </c>
      <c r="AI68" s="116">
        <v>8.25</v>
      </c>
      <c r="AJ68" s="116">
        <f>IFERROR(VLOOKUP($B68,SWB!C66:BE449,37,FALSE),0)</f>
        <v>0</v>
      </c>
      <c r="AK68" s="116">
        <f t="shared" si="1"/>
        <v>0</v>
      </c>
      <c r="AL68" s="116">
        <f>IFERROR(VLOOKUP($B68,SWB!C66:BE449,38,FALSE),0)</f>
        <v>0</v>
      </c>
      <c r="AM68" s="116">
        <f>IFERROR(VLOOKUP($B68,SWB!C66:BE449,38,FALSE),0)</f>
        <v>0</v>
      </c>
      <c r="AN68" s="257">
        <f>IFERROR(VLOOKUP($B68,SWB!C66:BE449,40,FALSE),0)</f>
        <v>0.31634251278408371</v>
      </c>
      <c r="AO68" s="257">
        <f>IFERROR(VLOOKUP($B68,SWB!C66:BE449,43,FALSE),0)</f>
        <v>0.88575903579543436</v>
      </c>
      <c r="AP68" s="257">
        <v>15</v>
      </c>
      <c r="AQ68" s="257">
        <f>IFERROR(VLOOKUP($B68,SWB!C66:BE449,44,FALSE),0)</f>
        <v>49.632482227089682</v>
      </c>
      <c r="AR68" s="116">
        <f t="shared" si="3"/>
        <v>0</v>
      </c>
      <c r="AS68" s="116">
        <v>71.5</v>
      </c>
      <c r="AT68" s="116" t="s">
        <v>131</v>
      </c>
      <c r="AU68" s="116" t="s">
        <v>131</v>
      </c>
      <c r="AV68" s="116" t="s">
        <v>131</v>
      </c>
      <c r="AW68" s="116" t="s">
        <v>131</v>
      </c>
      <c r="AX68" s="116" t="s">
        <v>131</v>
      </c>
      <c r="AY68" s="116" t="s">
        <v>131</v>
      </c>
      <c r="AZ68" s="116"/>
      <c r="BA68" s="116" t="s">
        <v>132</v>
      </c>
      <c r="BB68" s="116"/>
    </row>
    <row r="69" spans="1:54">
      <c r="A69" s="101" t="s">
        <v>130</v>
      </c>
      <c r="B69" s="69">
        <f t="shared" si="2"/>
        <v>42068</v>
      </c>
      <c r="C69" s="101" t="s">
        <v>130</v>
      </c>
      <c r="D69" s="116">
        <f>VLOOKUP(B69,SWB!$C$15:$H$244,6,FALSE)</f>
        <v>64</v>
      </c>
      <c r="E69" s="102">
        <f>VLOOKUP($B69,Clima!$W$8:$AI$1506,3,FALSE)</f>
        <v>13.2</v>
      </c>
      <c r="F69" s="102">
        <f>VLOOKUP($B69,Clima!$W$8:$AI$1506,4,FALSE)</f>
        <v>-2.6</v>
      </c>
      <c r="G69" s="102">
        <f>VLOOKUP($B69,Clima!$W$8:$AI$1506,2,FALSE)</f>
        <v>4.3</v>
      </c>
      <c r="H69" s="102"/>
      <c r="I69" s="102">
        <f>VLOOKUP($B69,Clima!$W$8:$AI$1506,13,FALSE)</f>
        <v>2.4</v>
      </c>
      <c r="J69" s="102"/>
      <c r="K69" s="102"/>
      <c r="L69" s="102">
        <f>VLOOKUP($B69,Clima!$W$8:$AI$1506,12,FALSE)</f>
        <v>0</v>
      </c>
      <c r="M69" s="102">
        <f t="shared" si="0"/>
        <v>0</v>
      </c>
      <c r="N69" s="257">
        <f>VLOOKUP(B69,SWB!$C$15:$S$244,17,FALSE)</f>
        <v>0.28006349165714284</v>
      </c>
      <c r="O69" s="116"/>
      <c r="P69" s="116">
        <f>SWB!$M$4</f>
        <v>0.15</v>
      </c>
      <c r="Q69" s="257">
        <f>VLOOKUP(B69,SWB!$C$15:$AJ$244,34,FALSE)</f>
        <v>0.28893591974603172</v>
      </c>
      <c r="R69" s="257">
        <f>VLOOKUP(B69,SWB!$C$15:$V$244,20,FALSE)</f>
        <v>1.0231120369866666</v>
      </c>
      <c r="S69" s="116">
        <v>0</v>
      </c>
      <c r="T69" s="116">
        <v>0</v>
      </c>
      <c r="U69" s="116">
        <v>1</v>
      </c>
      <c r="V69" s="116">
        <v>1</v>
      </c>
      <c r="W69" s="116">
        <v>23.5</v>
      </c>
      <c r="X69" s="257">
        <v>18.519673999999998</v>
      </c>
      <c r="Y69" s="116">
        <v>9.51</v>
      </c>
      <c r="Z69" s="257">
        <v>0.35599199999999998</v>
      </c>
      <c r="AA69" s="257">
        <v>0.37945800000000002</v>
      </c>
      <c r="AB69" s="116">
        <v>0</v>
      </c>
      <c r="AC69" s="257">
        <v>19.6922</v>
      </c>
      <c r="AD69" s="257">
        <v>0.52945799999999998</v>
      </c>
      <c r="AE69" s="257">
        <v>1.636026</v>
      </c>
      <c r="AF69" s="116">
        <v>0.1</v>
      </c>
      <c r="AG69" s="116">
        <v>0.55000000000000004</v>
      </c>
      <c r="AH69" s="116">
        <v>15</v>
      </c>
      <c r="AI69" s="116">
        <v>8.25</v>
      </c>
      <c r="AJ69" s="116">
        <f>IFERROR(VLOOKUP($B69,SWB!C67:BE450,37,FALSE),0)</f>
        <v>5</v>
      </c>
      <c r="AK69" s="116">
        <f t="shared" si="1"/>
        <v>5</v>
      </c>
      <c r="AL69" s="116">
        <f>IFERROR(VLOOKUP($B69,SWB!C67:BE450,38,FALSE),0)</f>
        <v>0</v>
      </c>
      <c r="AM69" s="116">
        <f>IFERROR(VLOOKUP($B69,SWB!C67:BE450,38,FALSE),0)</f>
        <v>0</v>
      </c>
      <c r="AN69" s="257">
        <f>IFERROR(VLOOKUP($B69,SWB!C67:BE450,40,FALSE),0)</f>
        <v>0.31108010616191561</v>
      </c>
      <c r="AO69" s="257">
        <f>IFERROR(VLOOKUP($B69,SWB!C67:BE450,43,FALSE),0)</f>
        <v>1.1509963927990878</v>
      </c>
      <c r="AP69" s="257">
        <v>15</v>
      </c>
      <c r="AQ69" s="257">
        <f>IFERROR(VLOOKUP($B69,SWB!C67:BE450,44,FALSE),0)</f>
        <v>50.783478619888768</v>
      </c>
      <c r="AR69" s="116">
        <f t="shared" si="3"/>
        <v>0</v>
      </c>
      <c r="AS69" s="116">
        <v>71.5</v>
      </c>
      <c r="AT69" s="116" t="s">
        <v>131</v>
      </c>
      <c r="AU69" s="116" t="s">
        <v>131</v>
      </c>
      <c r="AV69" s="116" t="s">
        <v>131</v>
      </c>
      <c r="AW69" s="116" t="s">
        <v>131</v>
      </c>
      <c r="AX69" s="116" t="s">
        <v>131</v>
      </c>
      <c r="AY69" s="116" t="s">
        <v>131</v>
      </c>
      <c r="AZ69" s="116"/>
      <c r="BA69" s="116" t="s">
        <v>132</v>
      </c>
      <c r="BB69" s="116"/>
    </row>
    <row r="70" spans="1:54">
      <c r="A70" s="101" t="s">
        <v>130</v>
      </c>
      <c r="B70" s="69">
        <f t="shared" si="2"/>
        <v>42069</v>
      </c>
      <c r="C70" s="101" t="s">
        <v>130</v>
      </c>
      <c r="D70" s="116">
        <f>VLOOKUP(B70,SWB!$C$15:$H$244,6,FALSE)</f>
        <v>65</v>
      </c>
      <c r="E70" s="102">
        <f>VLOOKUP($B70,Clima!$W$8:$AI$1506,3,FALSE)</f>
        <v>17.2</v>
      </c>
      <c r="F70" s="102">
        <f>VLOOKUP($B70,Clima!$W$8:$AI$1506,4,FALSE)</f>
        <v>-4.5999999999999996</v>
      </c>
      <c r="G70" s="102">
        <f>VLOOKUP($B70,Clima!$W$8:$AI$1506,2,FALSE)</f>
        <v>5.9</v>
      </c>
      <c r="H70" s="102"/>
      <c r="I70" s="102">
        <f>VLOOKUP($B70,Clima!$W$8:$AI$1506,13,FALSE)</f>
        <v>2.7</v>
      </c>
      <c r="J70" s="102"/>
      <c r="K70" s="102"/>
      <c r="L70" s="102">
        <f>VLOOKUP($B70,Clima!$W$8:$AI$1506,12,FALSE)</f>
        <v>0</v>
      </c>
      <c r="M70" s="102">
        <f t="shared" si="0"/>
        <v>0</v>
      </c>
      <c r="N70" s="257">
        <f>VLOOKUP(B70,SWB!$C$15:$S$244,17,FALSE)</f>
        <v>0.28511745988571424</v>
      </c>
      <c r="O70" s="116"/>
      <c r="P70" s="116">
        <f>SWB!$M$4</f>
        <v>0.15</v>
      </c>
      <c r="Q70" s="257">
        <f>VLOOKUP(B70,SWB!$C$15:$AJ$244,34,FALSE)</f>
        <v>0.29267959991534387</v>
      </c>
      <c r="R70" s="257">
        <f>VLOOKUP(B70,SWB!$C$15:$V$244,20,FALSE)</f>
        <v>1.0237385184650001</v>
      </c>
      <c r="S70" s="116">
        <v>0</v>
      </c>
      <c r="T70" s="116">
        <v>0</v>
      </c>
      <c r="U70" s="116">
        <v>1</v>
      </c>
      <c r="V70" s="116">
        <v>1</v>
      </c>
      <c r="W70" s="116">
        <v>23.5</v>
      </c>
      <c r="X70" s="257">
        <v>19.6922</v>
      </c>
      <c r="Y70" s="116">
        <v>9.51</v>
      </c>
      <c r="Z70" s="257">
        <v>0.27217999999999998</v>
      </c>
      <c r="AA70" s="257">
        <v>0.28951300000000002</v>
      </c>
      <c r="AB70" s="116">
        <v>0</v>
      </c>
      <c r="AC70" s="257">
        <v>20.543369999999999</v>
      </c>
      <c r="AD70" s="257">
        <v>0.43951299999999999</v>
      </c>
      <c r="AE70" s="257">
        <v>1.29217</v>
      </c>
      <c r="AF70" s="116">
        <v>0.1</v>
      </c>
      <c r="AG70" s="116">
        <v>0.55000000000000004</v>
      </c>
      <c r="AH70" s="116">
        <v>15</v>
      </c>
      <c r="AI70" s="116">
        <v>8.25</v>
      </c>
      <c r="AJ70" s="116">
        <f>IFERROR(VLOOKUP($B70,SWB!C68:BE451,37,FALSE),0)</f>
        <v>5</v>
      </c>
      <c r="AK70" s="116">
        <f t="shared" si="1"/>
        <v>5</v>
      </c>
      <c r="AL70" s="116">
        <f>IFERROR(VLOOKUP($B70,SWB!C68:BE451,38,FALSE),0)</f>
        <v>0</v>
      </c>
      <c r="AM70" s="116">
        <f>IFERROR(VLOOKUP($B70,SWB!C68:BE451,38,FALSE),0)</f>
        <v>0</v>
      </c>
      <c r="AN70" s="257">
        <f>IFERROR(VLOOKUP($B70,SWB!C68:BE451,40,FALSE),0)</f>
        <v>1.0237385184650001</v>
      </c>
      <c r="AO70" s="257">
        <f>IFERROR(VLOOKUP($B70,SWB!C68:BE451,43,FALSE),0)</f>
        <v>2.5593462961625004</v>
      </c>
      <c r="AP70" s="257">
        <v>15</v>
      </c>
      <c r="AQ70" s="257">
        <f>IFERROR(VLOOKUP($B70,SWB!C68:BE451,44,FALSE),0)</f>
        <v>53.342824916051271</v>
      </c>
      <c r="AR70" s="116">
        <f t="shared" si="3"/>
        <v>5</v>
      </c>
      <c r="AS70" s="116">
        <v>71.5</v>
      </c>
      <c r="AT70" s="116" t="s">
        <v>131</v>
      </c>
      <c r="AU70" s="116" t="s">
        <v>131</v>
      </c>
      <c r="AV70" s="116" t="s">
        <v>131</v>
      </c>
      <c r="AW70" s="116" t="s">
        <v>131</v>
      </c>
      <c r="AX70" s="116" t="s">
        <v>131</v>
      </c>
      <c r="AY70" s="116" t="s">
        <v>131</v>
      </c>
      <c r="AZ70" s="116"/>
      <c r="BA70" s="116" t="s">
        <v>132</v>
      </c>
      <c r="BB70" s="116"/>
    </row>
    <row r="71" spans="1:54">
      <c r="A71" s="101" t="s">
        <v>130</v>
      </c>
      <c r="B71" s="69">
        <f t="shared" si="2"/>
        <v>42070</v>
      </c>
      <c r="C71" s="101" t="s">
        <v>130</v>
      </c>
      <c r="D71" s="116">
        <f>VLOOKUP(B71,SWB!$C$15:$H$244,6,FALSE)</f>
        <v>66</v>
      </c>
      <c r="E71" s="102">
        <f>VLOOKUP($B71,Clima!$W$8:$AI$1506,3,FALSE)</f>
        <v>21.5</v>
      </c>
      <c r="F71" s="102">
        <f>VLOOKUP($B71,Clima!$W$8:$AI$1506,4,FALSE)</f>
        <v>-3.4</v>
      </c>
      <c r="G71" s="102">
        <f>VLOOKUP($B71,Clima!$W$8:$AI$1506,2,FALSE)</f>
        <v>8.6999999999999993</v>
      </c>
      <c r="H71" s="102"/>
      <c r="I71" s="102">
        <f>VLOOKUP($B71,Clima!$W$8:$AI$1506,13,FALSE)</f>
        <v>2.7</v>
      </c>
      <c r="J71" s="102"/>
      <c r="K71" s="102"/>
      <c r="L71" s="102">
        <f>VLOOKUP($B71,Clima!$W$8:$AI$1506,12,FALSE)</f>
        <v>0</v>
      </c>
      <c r="M71" s="102">
        <f t="shared" si="0"/>
        <v>0</v>
      </c>
      <c r="N71" s="257">
        <f>VLOOKUP(B71,SWB!$C$15:$S$244,17,FALSE)</f>
        <v>0.29017142811428565</v>
      </c>
      <c r="O71" s="116"/>
      <c r="P71" s="116">
        <f>SWB!$M$4</f>
        <v>0.15</v>
      </c>
      <c r="Q71" s="257">
        <f>VLOOKUP(B71,SWB!$C$15:$AJ$244,34,FALSE)</f>
        <v>0.29642328008465607</v>
      </c>
      <c r="R71" s="257">
        <f>VLOOKUP(B71,SWB!$C$15:$V$244,20,FALSE)</f>
        <v>1.0243649999433333</v>
      </c>
      <c r="S71" s="116">
        <v>0</v>
      </c>
      <c r="T71" s="116">
        <v>0</v>
      </c>
      <c r="U71" s="116">
        <v>1</v>
      </c>
      <c r="V71" s="116">
        <v>1</v>
      </c>
      <c r="W71" s="116">
        <v>23.5</v>
      </c>
      <c r="X71" s="257">
        <v>20.543369999999999</v>
      </c>
      <c r="Y71" s="116">
        <v>9.51</v>
      </c>
      <c r="Z71" s="257">
        <v>0.211339</v>
      </c>
      <c r="AA71" s="257">
        <v>0.23274800000000001</v>
      </c>
      <c r="AB71" s="116">
        <v>0</v>
      </c>
      <c r="AC71" s="257">
        <v>21.371952</v>
      </c>
      <c r="AD71" s="257">
        <v>0.38274799999999998</v>
      </c>
      <c r="AE71" s="257">
        <v>1.362582</v>
      </c>
      <c r="AF71" s="116">
        <v>0.1</v>
      </c>
      <c r="AG71" s="116">
        <v>0.55000000000000004</v>
      </c>
      <c r="AH71" s="116">
        <v>15</v>
      </c>
      <c r="AI71" s="116">
        <v>8.25</v>
      </c>
      <c r="AJ71" s="116">
        <f>IFERROR(VLOOKUP($B71,SWB!C69:BE452,37,FALSE),0)</f>
        <v>0</v>
      </c>
      <c r="AK71" s="116">
        <f t="shared" si="1"/>
        <v>0</v>
      </c>
      <c r="AL71" s="116">
        <f>IFERROR(VLOOKUP($B71,SWB!C69:BE452,38,FALSE),0)</f>
        <v>0</v>
      </c>
      <c r="AM71" s="116">
        <f>IFERROR(VLOOKUP($B71,SWB!C69:BE452,38,FALSE),0)</f>
        <v>0</v>
      </c>
      <c r="AN71" s="257">
        <f>IFERROR(VLOOKUP($B71,SWB!C69:BE452,40,FALSE),0)</f>
        <v>1.0243649999433333</v>
      </c>
      <c r="AO71" s="257">
        <f>IFERROR(VLOOKUP($B71,SWB!C69:BE452,43,FALSE),0)</f>
        <v>2.5609124998583335</v>
      </c>
      <c r="AP71" s="257">
        <v>15</v>
      </c>
      <c r="AQ71" s="257">
        <f>IFERROR(VLOOKUP($B71,SWB!C69:BE452,44,FALSE),0)</f>
        <v>55.903737415909603</v>
      </c>
      <c r="AR71" s="116">
        <f t="shared" si="3"/>
        <v>10</v>
      </c>
      <c r="AS71" s="116">
        <v>71.5</v>
      </c>
      <c r="AT71" s="116" t="s">
        <v>131</v>
      </c>
      <c r="AU71" s="116" t="s">
        <v>131</v>
      </c>
      <c r="AV71" s="116" t="s">
        <v>131</v>
      </c>
      <c r="AW71" s="116" t="s">
        <v>131</v>
      </c>
      <c r="AX71" s="116" t="s">
        <v>131</v>
      </c>
      <c r="AY71" s="116" t="s">
        <v>131</v>
      </c>
      <c r="AZ71" s="116"/>
      <c r="BA71" s="116" t="s">
        <v>132</v>
      </c>
      <c r="BB71" s="116"/>
    </row>
    <row r="72" spans="1:54">
      <c r="A72" s="101" t="s">
        <v>130</v>
      </c>
      <c r="B72" s="69">
        <f t="shared" si="2"/>
        <v>42071</v>
      </c>
      <c r="C72" s="101" t="s">
        <v>130</v>
      </c>
      <c r="D72" s="116">
        <f>VLOOKUP(B72,SWB!$C$15:$H$244,6,FALSE)</f>
        <v>67</v>
      </c>
      <c r="E72" s="102">
        <f>VLOOKUP($B72,Clima!$W$8:$AI$1506,3,FALSE)</f>
        <v>18.5</v>
      </c>
      <c r="F72" s="102">
        <f>VLOOKUP($B72,Clima!$W$8:$AI$1506,4,FALSE)</f>
        <v>-1.4</v>
      </c>
      <c r="G72" s="102">
        <f>VLOOKUP($B72,Clima!$W$8:$AI$1506,2,FALSE)</f>
        <v>8.4</v>
      </c>
      <c r="H72" s="102"/>
      <c r="I72" s="102">
        <f>VLOOKUP($B72,Clima!$W$8:$AI$1506,13,FALSE)</f>
        <v>2.6</v>
      </c>
      <c r="J72" s="102"/>
      <c r="K72" s="102"/>
      <c r="L72" s="102">
        <f>VLOOKUP($B72,Clima!$W$8:$AI$1506,12,FALSE)</f>
        <v>0</v>
      </c>
      <c r="M72" s="102">
        <f t="shared" si="0"/>
        <v>0</v>
      </c>
      <c r="N72" s="257">
        <f>VLOOKUP(B72,SWB!$C$15:$S$244,17,FALSE)</f>
        <v>0.29522539634285705</v>
      </c>
      <c r="O72" s="116"/>
      <c r="P72" s="116">
        <f>SWB!$M$4</f>
        <v>0.15</v>
      </c>
      <c r="Q72" s="257">
        <f>VLOOKUP(B72,SWB!$C$15:$AJ$244,34,FALSE)</f>
        <v>0.30016696025396822</v>
      </c>
      <c r="R72" s="257">
        <f>VLOOKUP(B72,SWB!$C$15:$V$244,20,FALSE)</f>
        <v>1.0249914814216667</v>
      </c>
      <c r="S72" s="116">
        <v>0</v>
      </c>
      <c r="T72" s="116">
        <v>0</v>
      </c>
      <c r="U72" s="116">
        <v>1</v>
      </c>
      <c r="V72" s="116">
        <v>1</v>
      </c>
      <c r="W72" s="116">
        <v>23.5</v>
      </c>
      <c r="X72" s="257">
        <v>21.371952</v>
      </c>
      <c r="Y72" s="116">
        <v>9.51</v>
      </c>
      <c r="Z72" s="257">
        <v>0.152112</v>
      </c>
      <c r="AA72" s="257">
        <v>0.16399</v>
      </c>
      <c r="AB72" s="116">
        <v>0</v>
      </c>
      <c r="AC72" s="257">
        <v>21.767168000000002</v>
      </c>
      <c r="AD72" s="257">
        <v>0.31398999999999999</v>
      </c>
      <c r="AE72" s="257">
        <v>0.75671600000000006</v>
      </c>
      <c r="AF72" s="116">
        <v>0.1</v>
      </c>
      <c r="AG72" s="116">
        <v>0.55000000000000004</v>
      </c>
      <c r="AH72" s="116">
        <v>15</v>
      </c>
      <c r="AI72" s="116">
        <v>8.25</v>
      </c>
      <c r="AJ72" s="116">
        <f>IFERROR(VLOOKUP($B72,SWB!C70:BE453,37,FALSE),0)</f>
        <v>0</v>
      </c>
      <c r="AK72" s="116">
        <f t="shared" si="1"/>
        <v>0</v>
      </c>
      <c r="AL72" s="116">
        <f>IFERROR(VLOOKUP($B72,SWB!C70:BE453,38,FALSE),0)</f>
        <v>0</v>
      </c>
      <c r="AM72" s="116">
        <f>IFERROR(VLOOKUP($B72,SWB!C70:BE453,38,FALSE),0)</f>
        <v>0</v>
      </c>
      <c r="AN72" s="257">
        <f>IFERROR(VLOOKUP($B72,SWB!C70:BE453,40,FALSE),0)</f>
        <v>1.0249914814216667</v>
      </c>
      <c r="AO72" s="257">
        <f>IFERROR(VLOOKUP($B72,SWB!C70:BE453,43,FALSE),0)</f>
        <v>0.92249233327950009</v>
      </c>
      <c r="AP72" s="257">
        <v>15</v>
      </c>
      <c r="AQ72" s="257">
        <f>IFERROR(VLOOKUP($B72,SWB!C70:BE453,44,FALSE),0)</f>
        <v>56.826229749189103</v>
      </c>
      <c r="AR72" s="116">
        <f t="shared" si="3"/>
        <v>10</v>
      </c>
      <c r="AS72" s="116">
        <v>71.5</v>
      </c>
      <c r="AT72" s="116" t="s">
        <v>131</v>
      </c>
      <c r="AU72" s="116" t="s">
        <v>131</v>
      </c>
      <c r="AV72" s="116" t="s">
        <v>131</v>
      </c>
      <c r="AW72" s="116" t="s">
        <v>131</v>
      </c>
      <c r="AX72" s="116" t="s">
        <v>131</v>
      </c>
      <c r="AY72" s="116" t="s">
        <v>131</v>
      </c>
      <c r="AZ72" s="116"/>
      <c r="BA72" s="116" t="s">
        <v>132</v>
      </c>
      <c r="BB72" s="116"/>
    </row>
    <row r="73" spans="1:54">
      <c r="A73" s="101" t="s">
        <v>130</v>
      </c>
      <c r="B73" s="69">
        <f t="shared" si="2"/>
        <v>42072</v>
      </c>
      <c r="C73" s="101" t="s">
        <v>130</v>
      </c>
      <c r="D73" s="116">
        <f>VLOOKUP(B73,SWB!$C$15:$H$244,6,FALSE)</f>
        <v>68</v>
      </c>
      <c r="E73" s="102">
        <f>VLOOKUP($B73,Clima!$W$8:$AI$1506,3,FALSE)</f>
        <v>19</v>
      </c>
      <c r="F73" s="102">
        <f>VLOOKUP($B73,Clima!$W$8:$AI$1506,4,FALSE)</f>
        <v>3</v>
      </c>
      <c r="G73" s="102">
        <f>VLOOKUP($B73,Clima!$W$8:$AI$1506,2,FALSE)</f>
        <v>10.6</v>
      </c>
      <c r="H73" s="102"/>
      <c r="I73" s="102">
        <f>VLOOKUP($B73,Clima!$W$8:$AI$1506,13,FALSE)</f>
        <v>2.4</v>
      </c>
      <c r="J73" s="102"/>
      <c r="K73" s="102"/>
      <c r="L73" s="102">
        <f>VLOOKUP($B73,Clima!$W$8:$AI$1506,12,FALSE)</f>
        <v>0</v>
      </c>
      <c r="M73" s="102">
        <f t="shared" si="0"/>
        <v>0</v>
      </c>
      <c r="N73" s="257">
        <f>VLOOKUP(B73,SWB!$C$15:$S$244,17,FALSE)</f>
        <v>0.30027936457142845</v>
      </c>
      <c r="O73" s="116"/>
      <c r="P73" s="116">
        <f>SWB!$M$4</f>
        <v>0.15</v>
      </c>
      <c r="Q73" s="257">
        <f>VLOOKUP(B73,SWB!$C$15:$AJ$244,34,FALSE)</f>
        <v>0.30391064042328036</v>
      </c>
      <c r="R73" s="257">
        <f>VLOOKUP(B73,SWB!$C$15:$V$244,20,FALSE)</f>
        <v>1.0256179629</v>
      </c>
      <c r="S73" s="116">
        <v>0</v>
      </c>
      <c r="T73" s="116">
        <v>0</v>
      </c>
      <c r="U73" s="116">
        <v>1</v>
      </c>
      <c r="V73" s="116">
        <v>1</v>
      </c>
      <c r="W73" s="116">
        <v>23.5</v>
      </c>
      <c r="X73" s="257">
        <v>21.767168000000002</v>
      </c>
      <c r="Y73" s="116">
        <v>9.51</v>
      </c>
      <c r="Z73" s="257">
        <v>0.123862</v>
      </c>
      <c r="AA73" s="257">
        <v>0.13369500000000001</v>
      </c>
      <c r="AB73" s="116">
        <v>0</v>
      </c>
      <c r="AC73" s="257">
        <v>22.132155000000001</v>
      </c>
      <c r="AD73" s="257">
        <v>0.28369499999999997</v>
      </c>
      <c r="AE73" s="257">
        <v>0.77448700000000004</v>
      </c>
      <c r="AF73" s="116">
        <v>0.1</v>
      </c>
      <c r="AG73" s="116">
        <v>0.55000000000000004</v>
      </c>
      <c r="AH73" s="116">
        <v>15</v>
      </c>
      <c r="AI73" s="116">
        <v>8.25</v>
      </c>
      <c r="AJ73" s="116">
        <f>IFERROR(VLOOKUP($B73,SWB!C71:BE454,37,FALSE),0)</f>
        <v>0</v>
      </c>
      <c r="AK73" s="116">
        <f t="shared" si="1"/>
        <v>0</v>
      </c>
      <c r="AL73" s="116">
        <f>IFERROR(VLOOKUP($B73,SWB!C71:BE454,38,FALSE),0)</f>
        <v>0</v>
      </c>
      <c r="AM73" s="116">
        <f>IFERROR(VLOOKUP($B73,SWB!C71:BE454,38,FALSE),0)</f>
        <v>0</v>
      </c>
      <c r="AN73" s="257">
        <f>IFERROR(VLOOKUP($B73,SWB!C71:BE454,40,FALSE),0)</f>
        <v>1.0256179629</v>
      </c>
      <c r="AO73" s="257">
        <f>IFERROR(VLOOKUP($B73,SWB!C71:BE454,43,FALSE),0)</f>
        <v>2.4614831109599997</v>
      </c>
      <c r="AP73" s="257">
        <v>15</v>
      </c>
      <c r="AQ73" s="257">
        <f>IFERROR(VLOOKUP($B73,SWB!C71:BE454,44,FALSE),0)</f>
        <v>59.287712860149099</v>
      </c>
      <c r="AR73" s="116">
        <f t="shared" si="3"/>
        <v>10</v>
      </c>
      <c r="AS73" s="116">
        <v>71.5</v>
      </c>
      <c r="AT73" s="116" t="s">
        <v>131</v>
      </c>
      <c r="AU73" s="116" t="s">
        <v>131</v>
      </c>
      <c r="AV73" s="116" t="s">
        <v>131</v>
      </c>
      <c r="AW73" s="116" t="s">
        <v>131</v>
      </c>
      <c r="AX73" s="116" t="s">
        <v>131</v>
      </c>
      <c r="AY73" s="116" t="s">
        <v>131</v>
      </c>
      <c r="AZ73" s="116"/>
      <c r="BA73" s="116" t="s">
        <v>132</v>
      </c>
      <c r="BB73" s="116"/>
    </row>
    <row r="74" spans="1:54">
      <c r="A74" s="101" t="s">
        <v>130</v>
      </c>
      <c r="B74" s="69">
        <f t="shared" si="2"/>
        <v>42073</v>
      </c>
      <c r="C74" s="101" t="s">
        <v>130</v>
      </c>
      <c r="D74" s="116">
        <f>VLOOKUP(B74,SWB!$C$15:$H$244,6,FALSE)</f>
        <v>69</v>
      </c>
      <c r="E74" s="102">
        <f>VLOOKUP($B74,Clima!$W$8:$AI$1506,3,FALSE)</f>
        <v>21.5</v>
      </c>
      <c r="F74" s="102">
        <f>VLOOKUP($B74,Clima!$W$8:$AI$1506,4,FALSE)</f>
        <v>-0.8</v>
      </c>
      <c r="G74" s="102">
        <f>VLOOKUP($B74,Clima!$W$8:$AI$1506,2,FALSE)</f>
        <v>9.9</v>
      </c>
      <c r="H74" s="102"/>
      <c r="I74" s="102">
        <f>VLOOKUP($B74,Clima!$W$8:$AI$1506,13,FALSE)</f>
        <v>2.9</v>
      </c>
      <c r="J74" s="102"/>
      <c r="K74" s="102"/>
      <c r="L74" s="102">
        <f>VLOOKUP($B74,Clima!$W$8:$AI$1506,12,FALSE)</f>
        <v>0</v>
      </c>
      <c r="M74" s="102">
        <f t="shared" si="0"/>
        <v>0</v>
      </c>
      <c r="N74" s="257">
        <f>VLOOKUP(B74,SWB!$C$15:$S$244,17,FALSE)</f>
        <v>0.30533333279999986</v>
      </c>
      <c r="O74" s="116"/>
      <c r="P74" s="116">
        <f>SWB!$M$4</f>
        <v>0.15</v>
      </c>
      <c r="Q74" s="257">
        <f>VLOOKUP(B74,SWB!$C$15:$AJ$244,34,FALSE)</f>
        <v>0.30765432059259251</v>
      </c>
      <c r="R74" s="257">
        <f>VLOOKUP(B74,SWB!$C$15:$V$244,20,FALSE)</f>
        <v>1.0262444443783334</v>
      </c>
      <c r="S74" s="116">
        <v>0</v>
      </c>
      <c r="T74" s="116">
        <v>0</v>
      </c>
      <c r="U74" s="116">
        <v>1</v>
      </c>
      <c r="V74" s="116">
        <v>1</v>
      </c>
      <c r="W74" s="116">
        <v>23.5</v>
      </c>
      <c r="X74" s="257">
        <v>22.132155000000001</v>
      </c>
      <c r="Y74" s="116">
        <v>9.51</v>
      </c>
      <c r="Z74" s="257">
        <v>9.7772999999999999E-2</v>
      </c>
      <c r="AA74" s="257">
        <v>0.105818</v>
      </c>
      <c r="AB74" s="116">
        <v>0</v>
      </c>
      <c r="AC74" s="257">
        <v>22.422097000000001</v>
      </c>
      <c r="AD74" s="257">
        <v>0.25581799999999999</v>
      </c>
      <c r="AE74" s="257">
        <v>0.70094199999999995</v>
      </c>
      <c r="AF74" s="116">
        <v>0.1</v>
      </c>
      <c r="AG74" s="116">
        <v>0.55000000000000004</v>
      </c>
      <c r="AH74" s="116">
        <v>15</v>
      </c>
      <c r="AI74" s="116">
        <v>8.25</v>
      </c>
      <c r="AJ74" s="116">
        <f>IFERROR(VLOOKUP($B74,SWB!C72:BE455,37,FALSE),0)</f>
        <v>0</v>
      </c>
      <c r="AK74" s="116">
        <f t="shared" si="1"/>
        <v>0</v>
      </c>
      <c r="AL74" s="116">
        <f>IFERROR(VLOOKUP($B74,SWB!C72:BE455,38,FALSE),0)</f>
        <v>0</v>
      </c>
      <c r="AM74" s="116">
        <f>IFERROR(VLOOKUP($B74,SWB!C72:BE455,38,FALSE),0)</f>
        <v>0</v>
      </c>
      <c r="AN74" s="257">
        <f>IFERROR(VLOOKUP($B74,SWB!C72:BE455,40,FALSE),0)</f>
        <v>0.38430295693689748</v>
      </c>
      <c r="AO74" s="257">
        <f>IFERROR(VLOOKUP($B74,SWB!C72:BE455,43,FALSE),0)</f>
        <v>0.88389680095486411</v>
      </c>
      <c r="AP74" s="257">
        <v>15</v>
      </c>
      <c r="AQ74" s="257">
        <f>IFERROR(VLOOKUP($B74,SWB!C72:BE455,44,FALSE),0)</f>
        <v>60.171609661103965</v>
      </c>
      <c r="AR74" s="116">
        <f t="shared" si="3"/>
        <v>10</v>
      </c>
      <c r="AS74" s="116">
        <v>71.5</v>
      </c>
      <c r="AT74" s="116" t="s">
        <v>131</v>
      </c>
      <c r="AU74" s="116" t="s">
        <v>131</v>
      </c>
      <c r="AV74" s="116" t="s">
        <v>131</v>
      </c>
      <c r="AW74" s="116" t="s">
        <v>131</v>
      </c>
      <c r="AX74" s="116" t="s">
        <v>131</v>
      </c>
      <c r="AY74" s="116" t="s">
        <v>131</v>
      </c>
      <c r="AZ74" s="116"/>
      <c r="BA74" s="116" t="s">
        <v>132</v>
      </c>
      <c r="BB74" s="116"/>
    </row>
    <row r="75" spans="1:54">
      <c r="A75" s="101" t="s">
        <v>130</v>
      </c>
      <c r="B75" s="69">
        <f t="shared" si="2"/>
        <v>42074</v>
      </c>
      <c r="C75" s="101" t="s">
        <v>130</v>
      </c>
      <c r="D75" s="116">
        <f>VLOOKUP(B75,SWB!$C$15:$H$244,6,FALSE)</f>
        <v>70</v>
      </c>
      <c r="E75" s="102">
        <f>VLOOKUP($B75,Clima!$W$8:$AI$1506,3,FALSE)</f>
        <v>22</v>
      </c>
      <c r="F75" s="102">
        <f>VLOOKUP($B75,Clima!$W$8:$AI$1506,4,FALSE)</f>
        <v>0.9</v>
      </c>
      <c r="G75" s="102">
        <f>VLOOKUP($B75,Clima!$W$8:$AI$1506,2,FALSE)</f>
        <v>11</v>
      </c>
      <c r="H75" s="102"/>
      <c r="I75" s="102">
        <f>VLOOKUP($B75,Clima!$W$8:$AI$1506,13,FALSE)</f>
        <v>3.9</v>
      </c>
      <c r="J75" s="102"/>
      <c r="K75" s="102"/>
      <c r="L75" s="102">
        <f>VLOOKUP($B75,Clima!$W$8:$AI$1506,12,FALSE)</f>
        <v>0</v>
      </c>
      <c r="M75" s="102">
        <f t="shared" si="0"/>
        <v>0</v>
      </c>
      <c r="N75" s="257">
        <f>VLOOKUP(B75,SWB!$C$15:$S$244,17,FALSE)</f>
        <v>0.32415176101463405</v>
      </c>
      <c r="O75" s="116"/>
      <c r="P75" s="116">
        <f>SWB!$M$4</f>
        <v>0.15</v>
      </c>
      <c r="Q75" s="257">
        <f>VLOOKUP(B75,SWB!$C$15:$AJ$244,34,FALSE)</f>
        <v>0.32159389704787711</v>
      </c>
      <c r="R75" s="257">
        <f>VLOOKUP(B75,SWB!$C$15:$V$244,20,FALSE)</f>
        <v>1.0285771453757724</v>
      </c>
      <c r="S75" s="116">
        <v>0</v>
      </c>
      <c r="T75" s="116">
        <v>0</v>
      </c>
      <c r="U75" s="116">
        <v>1</v>
      </c>
      <c r="V75" s="116">
        <v>1</v>
      </c>
      <c r="W75" s="116">
        <v>23.5</v>
      </c>
      <c r="X75" s="257">
        <v>22.422097000000001</v>
      </c>
      <c r="Y75" s="116">
        <v>9.51</v>
      </c>
      <c r="Z75" s="257">
        <v>7.7048000000000005E-2</v>
      </c>
      <c r="AA75" s="257">
        <v>8.2381999999999997E-2</v>
      </c>
      <c r="AB75" s="116">
        <v>0</v>
      </c>
      <c r="AC75" s="257">
        <v>22.637115000000001</v>
      </c>
      <c r="AD75" s="257">
        <v>0.23238200000000001</v>
      </c>
      <c r="AE75" s="257">
        <v>0.606518</v>
      </c>
      <c r="AF75" s="116">
        <v>0.1</v>
      </c>
      <c r="AG75" s="116">
        <v>0.55000000000000004</v>
      </c>
      <c r="AH75" s="116">
        <v>15</v>
      </c>
      <c r="AI75" s="116">
        <v>8.25</v>
      </c>
      <c r="AJ75" s="116">
        <f>IFERROR(VLOOKUP($B75,SWB!C73:BE456,37,FALSE),0)</f>
        <v>0</v>
      </c>
      <c r="AK75" s="116">
        <f t="shared" si="1"/>
        <v>0</v>
      </c>
      <c r="AL75" s="116">
        <f>IFERROR(VLOOKUP($B75,SWB!C73:BE456,38,FALSE),0)</f>
        <v>0</v>
      </c>
      <c r="AM75" s="116">
        <f>IFERROR(VLOOKUP($B75,SWB!C73:BE456,38,FALSE),0)</f>
        <v>0</v>
      </c>
      <c r="AN75" s="257">
        <f>IFERROR(VLOOKUP($B75,SWB!C73:BE456,40,FALSE),0)</f>
        <v>0.3955001000476398</v>
      </c>
      <c r="AO75" s="257">
        <f>IFERROR(VLOOKUP($B75,SWB!C73:BE456,43,FALSE),0)</f>
        <v>0.87010022010480759</v>
      </c>
      <c r="AP75" s="257">
        <v>15</v>
      </c>
      <c r="AQ75" s="257">
        <f>IFERROR(VLOOKUP($B75,SWB!C73:BE456,44,FALSE),0)</f>
        <v>61.041709881208774</v>
      </c>
      <c r="AR75" s="116">
        <f t="shared" si="3"/>
        <v>10</v>
      </c>
      <c r="AS75" s="116">
        <v>71.5</v>
      </c>
      <c r="AT75" s="116" t="s">
        <v>131</v>
      </c>
      <c r="AU75" s="116" t="s">
        <v>131</v>
      </c>
      <c r="AV75" s="116" t="s">
        <v>131</v>
      </c>
      <c r="AW75" s="116" t="s">
        <v>131</v>
      </c>
      <c r="AX75" s="116" t="s">
        <v>131</v>
      </c>
      <c r="AY75" s="116" t="s">
        <v>131</v>
      </c>
      <c r="AZ75" s="116"/>
      <c r="BA75" s="116" t="s">
        <v>132</v>
      </c>
      <c r="BB75" s="116"/>
    </row>
    <row r="76" spans="1:54">
      <c r="A76" s="101" t="s">
        <v>130</v>
      </c>
      <c r="B76" s="69">
        <f t="shared" si="2"/>
        <v>42075</v>
      </c>
      <c r="C76" s="101" t="s">
        <v>130</v>
      </c>
      <c r="D76" s="116">
        <f>VLOOKUP(B76,SWB!$C$15:$H$244,6,FALSE)</f>
        <v>71</v>
      </c>
      <c r="E76" s="102">
        <f>VLOOKUP($B76,Clima!$W$8:$AI$1506,3,FALSE)</f>
        <v>21.5</v>
      </c>
      <c r="F76" s="102">
        <f>VLOOKUP($B76,Clima!$W$8:$AI$1506,4,FALSE)</f>
        <v>0.8</v>
      </c>
      <c r="G76" s="102">
        <f>VLOOKUP($B76,Clima!$W$8:$AI$1506,2,FALSE)</f>
        <v>11.1</v>
      </c>
      <c r="H76" s="102"/>
      <c r="I76" s="102">
        <f>VLOOKUP($B76,Clima!$W$8:$AI$1506,13,FALSE)</f>
        <v>4</v>
      </c>
      <c r="J76" s="102"/>
      <c r="K76" s="102"/>
      <c r="L76" s="102">
        <f>VLOOKUP($B76,Clima!$W$8:$AI$1506,12,FALSE)</f>
        <v>0</v>
      </c>
      <c r="M76" s="102">
        <f t="shared" si="0"/>
        <v>0</v>
      </c>
      <c r="N76" s="257">
        <f>VLOOKUP(B76,SWB!$C$15:$S$244,17,FALSE)</f>
        <v>0.34297018922926825</v>
      </c>
      <c r="O76" s="116"/>
      <c r="P76" s="116">
        <f>SWB!$M$4</f>
        <v>0.15</v>
      </c>
      <c r="Q76" s="257">
        <f>VLOOKUP(B76,SWB!$C$15:$AJ$244,34,FALSE)</f>
        <v>0.33553347350316171</v>
      </c>
      <c r="R76" s="257">
        <f>VLOOKUP(B76,SWB!$C$15:$V$244,20,FALSE)</f>
        <v>1.0309098463732114</v>
      </c>
      <c r="S76" s="116">
        <v>0</v>
      </c>
      <c r="T76" s="116">
        <v>0</v>
      </c>
      <c r="U76" s="116">
        <v>1</v>
      </c>
      <c r="V76" s="116">
        <v>1</v>
      </c>
      <c r="W76" s="116">
        <v>23.5</v>
      </c>
      <c r="X76" s="257">
        <v>22.637115000000001</v>
      </c>
      <c r="Y76" s="116">
        <v>9.51</v>
      </c>
      <c r="Z76" s="257">
        <v>6.1678999999999998E-2</v>
      </c>
      <c r="AA76" s="257">
        <v>6.5518999999999994E-2</v>
      </c>
      <c r="AB76" s="116">
        <v>0</v>
      </c>
      <c r="AC76" s="257">
        <v>22.796327000000002</v>
      </c>
      <c r="AD76" s="257">
        <v>0.21551899999999999</v>
      </c>
      <c r="AE76" s="257">
        <v>0.52371199999999996</v>
      </c>
      <c r="AF76" s="116">
        <v>0.1</v>
      </c>
      <c r="AG76" s="116">
        <v>0.55000000000000004</v>
      </c>
      <c r="AH76" s="116">
        <v>15</v>
      </c>
      <c r="AI76" s="116">
        <v>8.25</v>
      </c>
      <c r="AJ76" s="116">
        <f>IFERROR(VLOOKUP($B76,SWB!C74:BE457,37,FALSE),0)</f>
        <v>0</v>
      </c>
      <c r="AK76" s="116">
        <f t="shared" si="1"/>
        <v>0</v>
      </c>
      <c r="AL76" s="116">
        <f>IFERROR(VLOOKUP($B76,SWB!C74:BE457,38,FALSE),0)</f>
        <v>0</v>
      </c>
      <c r="AM76" s="116">
        <f>IFERROR(VLOOKUP($B76,SWB!C74:BE457,38,FALSE),0)</f>
        <v>0</v>
      </c>
      <c r="AN76" s="257">
        <f>IFERROR(VLOOKUP($B76,SWB!C74:BE457,40,FALSE),0)</f>
        <v>0.40764635049196801</v>
      </c>
      <c r="AO76" s="257">
        <f>IFERROR(VLOOKUP($B76,SWB!C74:BE457,43,FALSE),0)</f>
        <v>1.059880511279117</v>
      </c>
      <c r="AP76" s="257">
        <v>15</v>
      </c>
      <c r="AQ76" s="257">
        <f>IFERROR(VLOOKUP($B76,SWB!C74:BE457,44,FALSE),0)</f>
        <v>62.101590392487893</v>
      </c>
      <c r="AR76" s="116">
        <f t="shared" si="3"/>
        <v>10</v>
      </c>
      <c r="AS76" s="116">
        <v>71.5</v>
      </c>
      <c r="AT76" s="116" t="s">
        <v>131</v>
      </c>
      <c r="AU76" s="116" t="s">
        <v>131</v>
      </c>
      <c r="AV76" s="116" t="s">
        <v>131</v>
      </c>
      <c r="AW76" s="116" t="s">
        <v>131</v>
      </c>
      <c r="AX76" s="116" t="s">
        <v>131</v>
      </c>
      <c r="AY76" s="116" t="s">
        <v>131</v>
      </c>
      <c r="AZ76" s="116"/>
      <c r="BA76" s="116" t="s">
        <v>132</v>
      </c>
      <c r="BB76" s="116"/>
    </row>
    <row r="77" spans="1:54">
      <c r="A77" s="101" t="s">
        <v>130</v>
      </c>
      <c r="B77" s="69">
        <f t="shared" si="2"/>
        <v>42076</v>
      </c>
      <c r="C77" s="101" t="s">
        <v>130</v>
      </c>
      <c r="D77" s="116">
        <f>VLOOKUP(B77,SWB!$C$15:$H$244,6,FALSE)</f>
        <v>72</v>
      </c>
      <c r="E77" s="102">
        <f>VLOOKUP($B77,Clima!$W$8:$AI$1506,3,FALSE)</f>
        <v>17.600000000000001</v>
      </c>
      <c r="F77" s="102">
        <f>VLOOKUP($B77,Clima!$W$8:$AI$1506,4,FALSE)</f>
        <v>-0.1</v>
      </c>
      <c r="G77" s="102">
        <f>VLOOKUP($B77,Clima!$W$8:$AI$1506,2,FALSE)</f>
        <v>9.1999999999999993</v>
      </c>
      <c r="H77" s="102"/>
      <c r="I77" s="102">
        <f>VLOOKUP($B77,Clima!$W$8:$AI$1506,13,FALSE)</f>
        <v>2.9</v>
      </c>
      <c r="J77" s="102"/>
      <c r="K77" s="102"/>
      <c r="L77" s="102">
        <f>VLOOKUP($B77,Clima!$W$8:$AI$1506,12,FALSE)</f>
        <v>0</v>
      </c>
      <c r="M77" s="102">
        <f t="shared" si="0"/>
        <v>0</v>
      </c>
      <c r="N77" s="257">
        <f>VLOOKUP(B77,SWB!$C$15:$S$244,17,FALSE)</f>
        <v>0.36178861744390234</v>
      </c>
      <c r="O77" s="116"/>
      <c r="P77" s="116">
        <f>SWB!$M$4</f>
        <v>0.15</v>
      </c>
      <c r="Q77" s="257">
        <f>VLOOKUP(B77,SWB!$C$15:$AJ$244,34,FALSE)</f>
        <v>0.34947304995844619</v>
      </c>
      <c r="R77" s="257">
        <f>VLOOKUP(B77,SWB!$C$15:$V$244,20,FALSE)</f>
        <v>1.0332425473706504</v>
      </c>
      <c r="S77" s="116">
        <v>0</v>
      </c>
      <c r="T77" s="116">
        <v>0</v>
      </c>
      <c r="U77" s="116">
        <v>1</v>
      </c>
      <c r="V77" s="116">
        <v>1</v>
      </c>
      <c r="W77" s="116">
        <v>23.5</v>
      </c>
      <c r="X77" s="257">
        <v>22.796327000000002</v>
      </c>
      <c r="Y77" s="116">
        <v>9.51</v>
      </c>
      <c r="Z77" s="257">
        <v>5.0298000000000002E-2</v>
      </c>
      <c r="AA77" s="257">
        <v>5.4311999999999999E-2</v>
      </c>
      <c r="AB77" s="116">
        <v>0</v>
      </c>
      <c r="AC77" s="257">
        <v>22.954376</v>
      </c>
      <c r="AD77" s="257">
        <v>0.20431199999999999</v>
      </c>
      <c r="AE77" s="257">
        <v>0.59454899999999999</v>
      </c>
      <c r="AF77" s="116">
        <v>0.1</v>
      </c>
      <c r="AG77" s="116">
        <v>0.55000000000000004</v>
      </c>
      <c r="AH77" s="116">
        <v>15</v>
      </c>
      <c r="AI77" s="116">
        <v>8.25</v>
      </c>
      <c r="AJ77" s="116">
        <f>IFERROR(VLOOKUP($B77,SWB!C75:BE458,37,FALSE),0)</f>
        <v>0</v>
      </c>
      <c r="AK77" s="116">
        <f t="shared" si="1"/>
        <v>0</v>
      </c>
      <c r="AL77" s="116">
        <f>IFERROR(VLOOKUP($B77,SWB!C75:BE458,38,FALSE),0)</f>
        <v>0</v>
      </c>
      <c r="AM77" s="116">
        <f>IFERROR(VLOOKUP($B77,SWB!C75:BE458,38,FALSE),0)</f>
        <v>0</v>
      </c>
      <c r="AN77" s="257">
        <f>IFERROR(VLOOKUP($B77,SWB!C75:BE458,40,FALSE),0)</f>
        <v>0.41958177552145171</v>
      </c>
      <c r="AO77" s="257">
        <f>IFERROR(VLOOKUP($B77,SWB!C75:BE458,43,FALSE),0)</f>
        <v>0.96503808369933886</v>
      </c>
      <c r="AP77" s="257">
        <v>15</v>
      </c>
      <c r="AQ77" s="257">
        <f>IFERROR(VLOOKUP($B77,SWB!C75:BE458,44,FALSE),0)</f>
        <v>63.066628476187233</v>
      </c>
      <c r="AR77" s="116">
        <f t="shared" si="3"/>
        <v>10</v>
      </c>
      <c r="AS77" s="116">
        <v>71.5</v>
      </c>
      <c r="AT77" s="116" t="s">
        <v>131</v>
      </c>
      <c r="AU77" s="116" t="s">
        <v>131</v>
      </c>
      <c r="AV77" s="116" t="s">
        <v>131</v>
      </c>
      <c r="AW77" s="116" t="s">
        <v>131</v>
      </c>
      <c r="AX77" s="116" t="s">
        <v>131</v>
      </c>
      <c r="AY77" s="116" t="s">
        <v>131</v>
      </c>
      <c r="AZ77" s="116"/>
      <c r="BA77" s="116" t="s">
        <v>132</v>
      </c>
      <c r="BB77" s="116"/>
    </row>
    <row r="78" spans="1:54">
      <c r="A78" s="101" t="s">
        <v>130</v>
      </c>
      <c r="B78" s="69">
        <f t="shared" si="2"/>
        <v>42077</v>
      </c>
      <c r="C78" s="101" t="s">
        <v>130</v>
      </c>
      <c r="D78" s="116">
        <f>VLOOKUP(B78,SWB!$C$15:$H$244,6,FALSE)</f>
        <v>73</v>
      </c>
      <c r="E78" s="102">
        <f>VLOOKUP($B78,Clima!$W$8:$AI$1506,3,FALSE)</f>
        <v>13.6</v>
      </c>
      <c r="F78" s="102">
        <f>VLOOKUP($B78,Clima!$W$8:$AI$1506,4,FALSE)</f>
        <v>1.8</v>
      </c>
      <c r="G78" s="102">
        <f>VLOOKUP($B78,Clima!$W$8:$AI$1506,2,FALSE)</f>
        <v>7.1</v>
      </c>
      <c r="H78" s="102"/>
      <c r="I78" s="102">
        <f>VLOOKUP($B78,Clima!$W$8:$AI$1506,13,FALSE)</f>
        <v>3</v>
      </c>
      <c r="J78" s="102"/>
      <c r="K78" s="102"/>
      <c r="L78" s="102">
        <f>VLOOKUP($B78,Clima!$W$8:$AI$1506,12,FALSE)</f>
        <v>0</v>
      </c>
      <c r="M78" s="102">
        <f t="shared" si="0"/>
        <v>0</v>
      </c>
      <c r="N78" s="257">
        <f>VLOOKUP(B78,SWB!$C$15:$S$244,17,FALSE)</f>
        <v>0.38060704565853654</v>
      </c>
      <c r="O78" s="116"/>
      <c r="P78" s="116">
        <f>SWB!$M$4</f>
        <v>0.15</v>
      </c>
      <c r="Q78" s="257">
        <f>VLOOKUP(B78,SWB!$C$15:$AJ$244,34,FALSE)</f>
        <v>0.36341262641373079</v>
      </c>
      <c r="R78" s="257">
        <f>VLOOKUP(B78,SWB!$C$15:$V$244,20,FALSE)</f>
        <v>1.0355752483680893</v>
      </c>
      <c r="S78" s="116">
        <v>0</v>
      </c>
      <c r="T78" s="116">
        <v>0</v>
      </c>
      <c r="U78" s="116">
        <v>1</v>
      </c>
      <c r="V78" s="116">
        <v>1</v>
      </c>
      <c r="W78" s="116">
        <v>23.5</v>
      </c>
      <c r="X78" s="257">
        <v>22.954376</v>
      </c>
      <c r="Y78" s="116">
        <v>9.51</v>
      </c>
      <c r="Z78" s="257">
        <v>3.9001000000000001E-2</v>
      </c>
      <c r="AA78" s="257">
        <v>4.2409000000000002E-2</v>
      </c>
      <c r="AB78" s="116">
        <v>0</v>
      </c>
      <c r="AC78" s="257">
        <v>23.119347999999999</v>
      </c>
      <c r="AD78" s="257">
        <v>0.192409</v>
      </c>
      <c r="AE78" s="257">
        <v>0.74847200000000003</v>
      </c>
      <c r="AF78" s="116">
        <v>0.1</v>
      </c>
      <c r="AG78" s="116">
        <v>0.55000000000000004</v>
      </c>
      <c r="AH78" s="116">
        <v>15</v>
      </c>
      <c r="AI78" s="116">
        <v>8.25</v>
      </c>
      <c r="AJ78" s="116">
        <f>IFERROR(VLOOKUP($B78,SWB!C76:BE459,37,FALSE),0)</f>
        <v>0</v>
      </c>
      <c r="AK78" s="116">
        <f t="shared" si="1"/>
        <v>0</v>
      </c>
      <c r="AL78" s="116">
        <f>IFERROR(VLOOKUP($B78,SWB!C76:BE459,38,FALSE),0)</f>
        <v>0</v>
      </c>
      <c r="AM78" s="116">
        <f>IFERROR(VLOOKUP($B78,SWB!C76:BE459,38,FALSE),0)</f>
        <v>0</v>
      </c>
      <c r="AN78" s="257">
        <f>IFERROR(VLOOKUP($B78,SWB!C76:BE459,40,FALSE),0)</f>
        <v>0.43278692168517885</v>
      </c>
      <c r="AO78" s="257">
        <f>IFERROR(VLOOKUP($B78,SWB!C76:BE459,43,FALSE),0)</f>
        <v>1.0819673042129472</v>
      </c>
      <c r="AP78" s="257">
        <v>15</v>
      </c>
      <c r="AQ78" s="257">
        <f>IFERROR(VLOOKUP($B78,SWB!C76:BE459,44,FALSE),0)</f>
        <v>64.148595780400186</v>
      </c>
      <c r="AR78" s="116">
        <f t="shared" si="3"/>
        <v>10</v>
      </c>
      <c r="AS78" s="116">
        <v>71.5</v>
      </c>
      <c r="AT78" s="116" t="s">
        <v>131</v>
      </c>
      <c r="AU78" s="116" t="s">
        <v>131</v>
      </c>
      <c r="AV78" s="116" t="s">
        <v>131</v>
      </c>
      <c r="AW78" s="116" t="s">
        <v>131</v>
      </c>
      <c r="AX78" s="116" t="s">
        <v>131</v>
      </c>
      <c r="AY78" s="116" t="s">
        <v>131</v>
      </c>
      <c r="AZ78" s="116"/>
      <c r="BA78" s="116" t="s">
        <v>132</v>
      </c>
      <c r="BB78" s="116"/>
    </row>
    <row r="79" spans="1:54">
      <c r="A79" s="101" t="s">
        <v>130</v>
      </c>
      <c r="B79" s="69">
        <f t="shared" si="2"/>
        <v>42078</v>
      </c>
      <c r="C79" s="101" t="s">
        <v>130</v>
      </c>
      <c r="D79" s="116">
        <f>VLOOKUP(B79,SWB!$C$15:$H$244,6,FALSE)</f>
        <v>74</v>
      </c>
      <c r="E79" s="102">
        <f>VLOOKUP($B79,Clima!$W$8:$AI$1506,3,FALSE)</f>
        <v>11</v>
      </c>
      <c r="F79" s="102">
        <f>VLOOKUP($B79,Clima!$W$8:$AI$1506,4,FALSE)</f>
        <v>-3.2</v>
      </c>
      <c r="G79" s="102">
        <f>VLOOKUP($B79,Clima!$W$8:$AI$1506,2,FALSE)</f>
        <v>5.2</v>
      </c>
      <c r="H79" s="102"/>
      <c r="I79" s="102">
        <f>VLOOKUP($B79,Clima!$W$8:$AI$1506,13,FALSE)</f>
        <v>2.2999999999999998</v>
      </c>
      <c r="J79" s="102"/>
      <c r="K79" s="102"/>
      <c r="L79" s="102">
        <f>VLOOKUP($B79,Clima!$W$8:$AI$1506,12,FALSE)</f>
        <v>0</v>
      </c>
      <c r="M79" s="102">
        <f t="shared" si="0"/>
        <v>0</v>
      </c>
      <c r="N79" s="257">
        <f>VLOOKUP(B79,SWB!$C$15:$S$244,17,FALSE)</f>
        <v>0.39942547387317073</v>
      </c>
      <c r="O79" s="116"/>
      <c r="P79" s="116">
        <f>SWB!$M$4</f>
        <v>0.15</v>
      </c>
      <c r="Q79" s="257">
        <f>VLOOKUP(B79,SWB!$C$15:$AJ$244,34,FALSE)</f>
        <v>0.37735220286901539</v>
      </c>
      <c r="R79" s="257">
        <f>VLOOKUP(B79,SWB!$C$15:$V$244,20,FALSE)</f>
        <v>1.0379079493655285</v>
      </c>
      <c r="S79" s="116">
        <v>0</v>
      </c>
      <c r="T79" s="116">
        <v>0</v>
      </c>
      <c r="U79" s="116">
        <v>1</v>
      </c>
      <c r="V79" s="116">
        <v>1</v>
      </c>
      <c r="W79" s="116">
        <v>23.5</v>
      </c>
      <c r="X79" s="257">
        <v>23.119347999999999</v>
      </c>
      <c r="Y79" s="116">
        <v>9.51</v>
      </c>
      <c r="Z79" s="257">
        <v>2.7209000000000001E-2</v>
      </c>
      <c r="AA79" s="257">
        <v>2.9752000000000001E-2</v>
      </c>
      <c r="AB79" s="116">
        <v>0</v>
      </c>
      <c r="AC79" s="257">
        <v>23.238356</v>
      </c>
      <c r="AD79" s="257">
        <v>0.179752</v>
      </c>
      <c r="AE79" s="257">
        <v>0.71900900000000001</v>
      </c>
      <c r="AF79" s="116">
        <v>0.1</v>
      </c>
      <c r="AG79" s="116">
        <v>0.55000000000000004</v>
      </c>
      <c r="AH79" s="116">
        <v>15</v>
      </c>
      <c r="AI79" s="116">
        <v>8.25</v>
      </c>
      <c r="AJ79" s="116">
        <f>IFERROR(VLOOKUP($B79,SWB!C77:BE460,37,FALSE),0)</f>
        <v>0</v>
      </c>
      <c r="AK79" s="116">
        <f t="shared" si="1"/>
        <v>0</v>
      </c>
      <c r="AL79" s="116">
        <f>IFERROR(VLOOKUP($B79,SWB!C77:BE460,38,FALSE),0)</f>
        <v>0</v>
      </c>
      <c r="AM79" s="116">
        <f>IFERROR(VLOOKUP($B79,SWB!C77:BE460,38,FALSE),0)</f>
        <v>0</v>
      </c>
      <c r="AN79" s="257">
        <f>IFERROR(VLOOKUP($B79,SWB!C77:BE460,40,FALSE),0)</f>
        <v>0.44619752761250653</v>
      </c>
      <c r="AO79" s="257">
        <f>IFERROR(VLOOKUP($B79,SWB!C77:BE460,43,FALSE),0)</f>
        <v>0.9370148079862638</v>
      </c>
      <c r="AP79" s="257">
        <v>15</v>
      </c>
      <c r="AQ79" s="257">
        <f>IFERROR(VLOOKUP($B79,SWB!C77:BE460,44,FALSE),0)</f>
        <v>65.085610588386444</v>
      </c>
      <c r="AR79" s="116">
        <f t="shared" si="3"/>
        <v>10</v>
      </c>
      <c r="AS79" s="116">
        <v>71.5</v>
      </c>
      <c r="AT79" s="116" t="s">
        <v>131</v>
      </c>
      <c r="AU79" s="116" t="s">
        <v>131</v>
      </c>
      <c r="AV79" s="116" t="s">
        <v>131</v>
      </c>
      <c r="AW79" s="116" t="s">
        <v>131</v>
      </c>
      <c r="AX79" s="116" t="s">
        <v>131</v>
      </c>
      <c r="AY79" s="116" t="s">
        <v>131</v>
      </c>
      <c r="AZ79" s="116"/>
      <c r="BA79" s="116" t="s">
        <v>132</v>
      </c>
      <c r="BB79" s="116"/>
    </row>
    <row r="80" spans="1:54">
      <c r="A80" s="101" t="s">
        <v>130</v>
      </c>
      <c r="B80" s="69">
        <f t="shared" si="2"/>
        <v>42079</v>
      </c>
      <c r="C80" s="101" t="s">
        <v>130</v>
      </c>
      <c r="D80" s="116">
        <f>VLOOKUP(B80,SWB!$C$15:$H$244,6,FALSE)</f>
        <v>75</v>
      </c>
      <c r="E80" s="102">
        <f>VLOOKUP($B80,Clima!$W$8:$AI$1506,3,FALSE)</f>
        <v>12.9</v>
      </c>
      <c r="F80" s="102">
        <f>VLOOKUP($B80,Clima!$W$8:$AI$1506,4,FALSE)</f>
        <v>0</v>
      </c>
      <c r="G80" s="102">
        <f>VLOOKUP($B80,Clima!$W$8:$AI$1506,2,FALSE)</f>
        <v>6.6</v>
      </c>
      <c r="H80" s="102"/>
      <c r="I80" s="102">
        <f>VLOOKUP($B80,Clima!$W$8:$AI$1506,13,FALSE)</f>
        <v>2.6</v>
      </c>
      <c r="J80" s="102"/>
      <c r="K80" s="102"/>
      <c r="L80" s="102">
        <f>VLOOKUP($B80,Clima!$W$8:$AI$1506,12,FALSE)</f>
        <v>0</v>
      </c>
      <c r="M80" s="102">
        <f t="shared" si="0"/>
        <v>0</v>
      </c>
      <c r="N80" s="257">
        <f>VLOOKUP(B80,SWB!$C$15:$S$244,17,FALSE)</f>
        <v>0.41824390208780493</v>
      </c>
      <c r="O80" s="116"/>
      <c r="P80" s="116">
        <f>SWB!$M$4</f>
        <v>0.15</v>
      </c>
      <c r="Q80" s="257">
        <f>VLOOKUP(B80,SWB!$C$15:$AJ$244,34,FALSE)</f>
        <v>0.39129177932429993</v>
      </c>
      <c r="R80" s="257">
        <f>VLOOKUP(B80,SWB!$C$15:$V$244,20,FALSE)</f>
        <v>1.0402406503629675</v>
      </c>
      <c r="S80" s="116">
        <v>0</v>
      </c>
      <c r="T80" s="116">
        <v>0</v>
      </c>
      <c r="U80" s="116">
        <v>1</v>
      </c>
      <c r="V80" s="116">
        <v>1</v>
      </c>
      <c r="W80" s="116">
        <v>23.5</v>
      </c>
      <c r="X80" s="257">
        <v>23.238356</v>
      </c>
      <c r="Y80" s="116">
        <v>9.51</v>
      </c>
      <c r="Z80" s="257">
        <v>1.8702E-2</v>
      </c>
      <c r="AA80" s="257">
        <v>1.9890999999999999E-2</v>
      </c>
      <c r="AB80" s="116">
        <v>0</v>
      </c>
      <c r="AC80" s="257">
        <v>23.295442999999999</v>
      </c>
      <c r="AD80" s="257">
        <v>0.16989099999999999</v>
      </c>
      <c r="AE80" s="257">
        <v>0.48758699999999999</v>
      </c>
      <c r="AF80" s="116">
        <v>0.1</v>
      </c>
      <c r="AG80" s="116">
        <v>0.55000000000000004</v>
      </c>
      <c r="AH80" s="116">
        <v>15</v>
      </c>
      <c r="AI80" s="116">
        <v>8.25</v>
      </c>
      <c r="AJ80" s="116">
        <f>IFERROR(VLOOKUP($B80,SWB!C78:BE461,37,FALSE),0)</f>
        <v>0</v>
      </c>
      <c r="AK80" s="116">
        <f t="shared" si="1"/>
        <v>0</v>
      </c>
      <c r="AL80" s="116">
        <f>IFERROR(VLOOKUP($B80,SWB!C78:BE461,38,FALSE),0)</f>
        <v>0</v>
      </c>
      <c r="AM80" s="116">
        <f>IFERROR(VLOOKUP($B80,SWB!C78:BE461,38,FALSE),0)</f>
        <v>0</v>
      </c>
      <c r="AN80" s="257">
        <f>IFERROR(VLOOKUP($B80,SWB!C78:BE461,40,FALSE),0)</f>
        <v>0.46074250930624672</v>
      </c>
      <c r="AO80" s="257">
        <f>IFERROR(VLOOKUP($B80,SWB!C78:BE461,43,FALSE),0)</f>
        <v>1.0597077714043674</v>
      </c>
      <c r="AP80" s="257">
        <v>15</v>
      </c>
      <c r="AQ80" s="257">
        <f>IFERROR(VLOOKUP($B80,SWB!C78:BE461,44,FALSE),0)</f>
        <v>66.145318359790807</v>
      </c>
      <c r="AR80" s="116">
        <f t="shared" si="3"/>
        <v>10</v>
      </c>
      <c r="AS80" s="116">
        <v>71.5</v>
      </c>
      <c r="AT80" s="116" t="s">
        <v>131</v>
      </c>
      <c r="AU80" s="116" t="s">
        <v>131</v>
      </c>
      <c r="AV80" s="116" t="s">
        <v>131</v>
      </c>
      <c r="AW80" s="116" t="s">
        <v>131</v>
      </c>
      <c r="AX80" s="116" t="s">
        <v>131</v>
      </c>
      <c r="AY80" s="116" t="s">
        <v>131</v>
      </c>
      <c r="AZ80" s="116"/>
      <c r="BA80" s="116" t="s">
        <v>132</v>
      </c>
      <c r="BB80" s="116"/>
    </row>
    <row r="81" spans="1:54">
      <c r="A81" s="101" t="s">
        <v>130</v>
      </c>
      <c r="B81" s="69">
        <f t="shared" si="2"/>
        <v>42080</v>
      </c>
      <c r="C81" s="101" t="s">
        <v>130</v>
      </c>
      <c r="D81" s="116">
        <f>VLOOKUP(B81,SWB!$C$15:$H$244,6,FALSE)</f>
        <v>76</v>
      </c>
      <c r="E81" s="102">
        <f>VLOOKUP($B81,Clima!$W$8:$AI$1506,3,FALSE)</f>
        <v>13.1</v>
      </c>
      <c r="F81" s="102">
        <f>VLOOKUP($B81,Clima!$W$8:$AI$1506,4,FALSE)</f>
        <v>2.9</v>
      </c>
      <c r="G81" s="102">
        <f>VLOOKUP($B81,Clima!$W$8:$AI$1506,2,FALSE)</f>
        <v>7.8</v>
      </c>
      <c r="H81" s="102"/>
      <c r="I81" s="102">
        <f>VLOOKUP($B81,Clima!$W$8:$AI$1506,13,FALSE)</f>
        <v>2.5</v>
      </c>
      <c r="J81" s="102"/>
      <c r="K81" s="102"/>
      <c r="L81" s="102">
        <f>VLOOKUP($B81,Clima!$W$8:$AI$1506,12,FALSE)</f>
        <v>0</v>
      </c>
      <c r="M81" s="102">
        <f t="shared" si="0"/>
        <v>0</v>
      </c>
      <c r="N81" s="257">
        <f>VLOOKUP(B81,SWB!$C$15:$S$244,17,FALSE)</f>
        <v>0.43706233030243913</v>
      </c>
      <c r="O81" s="116"/>
      <c r="P81" s="116">
        <f>SWB!$M$4</f>
        <v>0.15</v>
      </c>
      <c r="Q81" s="257">
        <f>VLOOKUP(B81,SWB!$C$15:$AJ$244,34,FALSE)</f>
        <v>0.40523135577958452</v>
      </c>
      <c r="R81" s="257">
        <f>VLOOKUP(B81,SWB!$C$15:$V$244,20,FALSE)</f>
        <v>1.0425733513604065</v>
      </c>
      <c r="S81" s="116">
        <v>0</v>
      </c>
      <c r="T81" s="116">
        <v>0</v>
      </c>
      <c r="U81" s="116">
        <v>1</v>
      </c>
      <c r="V81" s="116">
        <v>1</v>
      </c>
      <c r="W81" s="116">
        <v>23.5</v>
      </c>
      <c r="X81" s="257">
        <v>23.295442999999999</v>
      </c>
      <c r="Y81" s="116">
        <v>9.51</v>
      </c>
      <c r="Z81" s="257">
        <v>1.4622E-2</v>
      </c>
      <c r="AA81" s="257">
        <v>1.6001000000000001E-2</v>
      </c>
      <c r="AB81" s="116">
        <v>0</v>
      </c>
      <c r="AC81" s="257">
        <v>23.343606999999999</v>
      </c>
      <c r="AD81" s="257">
        <v>0.16600100000000001</v>
      </c>
      <c r="AE81" s="257">
        <v>0.499664</v>
      </c>
      <c r="AF81" s="116">
        <v>0.1</v>
      </c>
      <c r="AG81" s="116">
        <v>0.55000000000000004</v>
      </c>
      <c r="AH81" s="116">
        <v>15</v>
      </c>
      <c r="AI81" s="116">
        <v>8.25</v>
      </c>
      <c r="AJ81" s="116">
        <f>IFERROR(VLOOKUP($B81,SWB!C79:BE462,37,FALSE),0)</f>
        <v>0</v>
      </c>
      <c r="AK81" s="116">
        <f t="shared" si="1"/>
        <v>0</v>
      </c>
      <c r="AL81" s="116">
        <f>IFERROR(VLOOKUP($B81,SWB!C79:BE462,38,FALSE),0)</f>
        <v>0</v>
      </c>
      <c r="AM81" s="116">
        <f>IFERROR(VLOOKUP($B81,SWB!C79:BE462,38,FALSE),0)</f>
        <v>0</v>
      </c>
      <c r="AN81" s="257">
        <f>IFERROR(VLOOKUP($B81,SWB!C79:BE462,40,FALSE),0)</f>
        <v>0.47540130049246249</v>
      </c>
      <c r="AO81" s="257">
        <f>IFERROR(VLOOKUP($B81,SWB!C79:BE462,43,FALSE),0)</f>
        <v>1.6639045517236186</v>
      </c>
      <c r="AP81" s="257">
        <v>15</v>
      </c>
      <c r="AQ81" s="257">
        <f>IFERROR(VLOOKUP($B81,SWB!C79:BE462,44,FALSE),0)</f>
        <v>67.809222911514425</v>
      </c>
      <c r="AR81" s="116">
        <f t="shared" si="3"/>
        <v>10</v>
      </c>
      <c r="AS81" s="116">
        <v>71.5</v>
      </c>
      <c r="AT81" s="116" t="s">
        <v>131</v>
      </c>
      <c r="AU81" s="116" t="s">
        <v>131</v>
      </c>
      <c r="AV81" s="116" t="s">
        <v>131</v>
      </c>
      <c r="AW81" s="116" t="s">
        <v>131</v>
      </c>
      <c r="AX81" s="116" t="s">
        <v>131</v>
      </c>
      <c r="AY81" s="116" t="s">
        <v>131</v>
      </c>
      <c r="AZ81" s="116"/>
      <c r="BA81" s="116" t="s">
        <v>132</v>
      </c>
      <c r="BB81" s="116"/>
    </row>
    <row r="82" spans="1:54">
      <c r="A82" s="101" t="s">
        <v>130</v>
      </c>
      <c r="B82" s="69">
        <f t="shared" si="2"/>
        <v>42081</v>
      </c>
      <c r="C82" s="101" t="s">
        <v>130</v>
      </c>
      <c r="D82" s="116">
        <f>VLOOKUP(B82,SWB!$C$15:$H$244,6,FALSE)</f>
        <v>77</v>
      </c>
      <c r="E82" s="102">
        <f>VLOOKUP($B82,Clima!$W$8:$AI$1506,3,FALSE)</f>
        <v>8</v>
      </c>
      <c r="F82" s="102">
        <f>VLOOKUP($B82,Clima!$W$8:$AI$1506,4,FALSE)</f>
        <v>4.5999999999999996</v>
      </c>
      <c r="G82" s="102">
        <f>VLOOKUP($B82,Clima!$W$8:$AI$1506,2,FALSE)</f>
        <v>6.2</v>
      </c>
      <c r="H82" s="102"/>
      <c r="I82" s="102">
        <f>VLOOKUP($B82,Clima!$W$8:$AI$1506,13,FALSE)</f>
        <v>0.8</v>
      </c>
      <c r="J82" s="102"/>
      <c r="K82" s="102"/>
      <c r="L82" s="102">
        <f>VLOOKUP($B82,Clima!$W$8:$AI$1506,12,FALSE)</f>
        <v>11.2</v>
      </c>
      <c r="M82" s="102">
        <f t="shared" ref="M82:M145" si="4">L82</f>
        <v>11.2</v>
      </c>
      <c r="N82" s="257">
        <f>VLOOKUP(B82,SWB!$C$15:$S$244,17,FALSE)</f>
        <v>0.45588075851707321</v>
      </c>
      <c r="O82" s="116"/>
      <c r="P82" s="116">
        <f>SWB!$M$4</f>
        <v>0.15</v>
      </c>
      <c r="Q82" s="257">
        <f>VLOOKUP(B82,SWB!$C$15:$AJ$244,34,FALSE)</f>
        <v>0.41917093223486906</v>
      </c>
      <c r="R82" s="257">
        <f>VLOOKUP(B82,SWB!$C$15:$V$244,20,FALSE)</f>
        <v>1.0449060523578455</v>
      </c>
      <c r="S82" s="116">
        <v>0</v>
      </c>
      <c r="T82" s="116">
        <v>0</v>
      </c>
      <c r="U82" s="116">
        <v>1</v>
      </c>
      <c r="V82" s="116">
        <v>1</v>
      </c>
      <c r="W82" s="116">
        <v>23.5</v>
      </c>
      <c r="X82" s="257">
        <v>23.343606999999999</v>
      </c>
      <c r="Y82" s="116">
        <v>9.51</v>
      </c>
      <c r="Z82" s="257">
        <v>1.1179E-2</v>
      </c>
      <c r="AA82" s="257">
        <v>1.1915E-2</v>
      </c>
      <c r="AB82" s="116">
        <v>0</v>
      </c>
      <c r="AC82" s="257">
        <v>23.37125</v>
      </c>
      <c r="AD82" s="257">
        <v>0.161915</v>
      </c>
      <c r="AE82" s="257">
        <v>0.375643</v>
      </c>
      <c r="AF82" s="116">
        <v>0.1</v>
      </c>
      <c r="AG82" s="116">
        <v>0.55000000000000004</v>
      </c>
      <c r="AH82" s="116">
        <v>15</v>
      </c>
      <c r="AI82" s="116">
        <v>8.25</v>
      </c>
      <c r="AJ82" s="116">
        <f>IFERROR(VLOOKUP($B82,SWB!C80:BE463,37,FALSE),0)</f>
        <v>5</v>
      </c>
      <c r="AK82" s="116">
        <f t="shared" ref="AK82:AK145" si="5">AJ82</f>
        <v>5</v>
      </c>
      <c r="AL82" s="116">
        <f>IFERROR(VLOOKUP($B82,SWB!C80:BE463,38,FALSE),0)</f>
        <v>0</v>
      </c>
      <c r="AM82" s="116">
        <f>IFERROR(VLOOKUP($B82,SWB!C80:BE463,38,FALSE),0)</f>
        <v>0</v>
      </c>
      <c r="AN82" s="257">
        <f>IFERROR(VLOOKUP($B82,SWB!C80:BE463,40,FALSE),0)</f>
        <v>1.0449060523578455</v>
      </c>
      <c r="AO82" s="257">
        <f>IFERROR(VLOOKUP($B82,SWB!C80:BE463,43,FALSE),0)</f>
        <v>2.6122651308946137</v>
      </c>
      <c r="AP82" s="257">
        <v>15</v>
      </c>
      <c r="AQ82" s="257">
        <f>IFERROR(VLOOKUP($B82,SWB!C80:BE463,44,FALSE),0)</f>
        <v>70.421488042409038</v>
      </c>
      <c r="AR82" s="116">
        <f t="shared" si="3"/>
        <v>10</v>
      </c>
      <c r="AS82" s="116">
        <v>71.5</v>
      </c>
      <c r="AT82" s="116" t="s">
        <v>131</v>
      </c>
      <c r="AU82" s="116" t="s">
        <v>131</v>
      </c>
      <c r="AV82" s="116" t="s">
        <v>131</v>
      </c>
      <c r="AW82" s="116" t="s">
        <v>131</v>
      </c>
      <c r="AX82" s="116" t="s">
        <v>131</v>
      </c>
      <c r="AY82" s="116" t="s">
        <v>131</v>
      </c>
      <c r="AZ82" s="116"/>
      <c r="BA82" s="116" t="s">
        <v>132</v>
      </c>
      <c r="BB82" s="116"/>
    </row>
    <row r="83" spans="1:54">
      <c r="A83" s="101" t="s">
        <v>130</v>
      </c>
      <c r="B83" s="69">
        <f t="shared" ref="B83:B146" si="6">B82+1</f>
        <v>42082</v>
      </c>
      <c r="C83" s="101" t="s">
        <v>130</v>
      </c>
      <c r="D83" s="116">
        <f>VLOOKUP(B83,SWB!$C$15:$H$244,6,FALSE)</f>
        <v>78</v>
      </c>
      <c r="E83" s="102">
        <f>VLOOKUP($B83,Clima!$W$8:$AI$1506,3,FALSE)</f>
        <v>9.9</v>
      </c>
      <c r="F83" s="102">
        <f>VLOOKUP($B83,Clima!$W$8:$AI$1506,4,FALSE)</f>
        <v>6.3</v>
      </c>
      <c r="G83" s="102">
        <f>VLOOKUP($B83,Clima!$W$8:$AI$1506,2,FALSE)</f>
        <v>8.1999999999999993</v>
      </c>
      <c r="H83" s="102"/>
      <c r="I83" s="102">
        <f>VLOOKUP($B83,Clima!$W$8:$AI$1506,13,FALSE)</f>
        <v>1</v>
      </c>
      <c r="J83" s="102"/>
      <c r="K83" s="102"/>
      <c r="L83" s="102">
        <f>VLOOKUP($B83,Clima!$W$8:$AI$1506,12,FALSE)</f>
        <v>0.4</v>
      </c>
      <c r="M83" s="102">
        <f t="shared" si="4"/>
        <v>0.4</v>
      </c>
      <c r="N83" s="257">
        <f>VLOOKUP(B83,SWB!$C$15:$S$244,17,FALSE)</f>
        <v>0.47469918673170741</v>
      </c>
      <c r="O83" s="116"/>
      <c r="P83" s="116">
        <f>SWB!$M$4</f>
        <v>0.15</v>
      </c>
      <c r="Q83" s="257">
        <f>VLOOKUP(B83,SWB!$C$15:$AJ$244,34,FALSE)</f>
        <v>0.43311050869015366</v>
      </c>
      <c r="R83" s="257">
        <f>VLOOKUP(B83,SWB!$C$15:$V$244,20,FALSE)</f>
        <v>1.0472387533552845</v>
      </c>
      <c r="S83" s="116">
        <v>0</v>
      </c>
      <c r="T83" s="116">
        <v>0</v>
      </c>
      <c r="U83" s="116">
        <v>1</v>
      </c>
      <c r="V83" s="116">
        <v>1</v>
      </c>
      <c r="W83" s="116">
        <v>23.5</v>
      </c>
      <c r="X83" s="257">
        <v>23.37125</v>
      </c>
      <c r="Y83" s="116">
        <v>9.51</v>
      </c>
      <c r="Z83" s="257">
        <v>9.2029999999999994E-3</v>
      </c>
      <c r="AA83" s="257">
        <v>9.7909999999999994E-3</v>
      </c>
      <c r="AB83" s="116">
        <v>0</v>
      </c>
      <c r="AC83" s="257">
        <v>23.396315999999999</v>
      </c>
      <c r="AD83" s="257">
        <v>0.15979099999999999</v>
      </c>
      <c r="AE83" s="257">
        <v>0.40906500000000001</v>
      </c>
      <c r="AF83" s="116">
        <v>0.1</v>
      </c>
      <c r="AG83" s="116">
        <v>0.55000000000000004</v>
      </c>
      <c r="AH83" s="116">
        <v>15</v>
      </c>
      <c r="AI83" s="116">
        <v>8.25</v>
      </c>
      <c r="AJ83" s="116">
        <f>IFERROR(VLOOKUP($B83,SWB!C81:BE464,37,FALSE),0)</f>
        <v>0</v>
      </c>
      <c r="AK83" s="116">
        <f t="shared" si="5"/>
        <v>0</v>
      </c>
      <c r="AL83" s="116">
        <f>IFERROR(VLOOKUP($B83,SWB!C81:BE464,38,FALSE),0)</f>
        <v>0</v>
      </c>
      <c r="AM83" s="116">
        <f>IFERROR(VLOOKUP($B83,SWB!C81:BE464,38,FALSE),0)</f>
        <v>0</v>
      </c>
      <c r="AN83" s="257">
        <f>IFERROR(VLOOKUP($B83,SWB!C81:BE464,40,FALSE),0)</f>
        <v>1.0472387533552845</v>
      </c>
      <c r="AO83" s="257">
        <f>IFERROR(VLOOKUP($B83,SWB!C81:BE464,43,FALSE),0)</f>
        <v>2.1992013820460974</v>
      </c>
      <c r="AP83" s="257">
        <v>15</v>
      </c>
      <c r="AQ83" s="257">
        <f>IFERROR(VLOOKUP($B83,SWB!C81:BE464,44,FALSE),0)</f>
        <v>72.620689424455136</v>
      </c>
      <c r="AR83" s="116">
        <f t="shared" ref="AR83:AR146" si="7">AK82+AR82</f>
        <v>15</v>
      </c>
      <c r="AS83" s="116">
        <v>71.5</v>
      </c>
      <c r="AT83" s="116" t="s">
        <v>131</v>
      </c>
      <c r="AU83" s="116" t="s">
        <v>131</v>
      </c>
      <c r="AV83" s="116" t="s">
        <v>131</v>
      </c>
      <c r="AW83" s="116" t="s">
        <v>131</v>
      </c>
      <c r="AX83" s="116" t="s">
        <v>131</v>
      </c>
      <c r="AY83" s="116" t="s">
        <v>131</v>
      </c>
      <c r="AZ83" s="116"/>
      <c r="BA83" s="116" t="s">
        <v>132</v>
      </c>
      <c r="BB83" s="116"/>
    </row>
    <row r="84" spans="1:54">
      <c r="A84" s="101" t="s">
        <v>130</v>
      </c>
      <c r="B84" s="69">
        <f t="shared" si="6"/>
        <v>42083</v>
      </c>
      <c r="C84" s="101" t="s">
        <v>130</v>
      </c>
      <c r="D84" s="116">
        <f>VLOOKUP(B84,SWB!$C$15:$H$244,6,FALSE)</f>
        <v>79</v>
      </c>
      <c r="E84" s="102">
        <f>VLOOKUP($B84,Clima!$W$8:$AI$1506,3,FALSE)</f>
        <v>12.2</v>
      </c>
      <c r="F84" s="102">
        <f>VLOOKUP($B84,Clima!$W$8:$AI$1506,4,FALSE)</f>
        <v>7.2</v>
      </c>
      <c r="G84" s="102">
        <f>VLOOKUP($B84,Clima!$W$8:$AI$1506,2,FALSE)</f>
        <v>8.6</v>
      </c>
      <c r="H84" s="102"/>
      <c r="I84" s="102">
        <f>VLOOKUP($B84,Clima!$W$8:$AI$1506,13,FALSE)</f>
        <v>1.3</v>
      </c>
      <c r="J84" s="102"/>
      <c r="K84" s="102"/>
      <c r="L84" s="102">
        <f>VLOOKUP($B84,Clima!$W$8:$AI$1506,12,FALSE)</f>
        <v>3.1</v>
      </c>
      <c r="M84" s="102">
        <f t="shared" si="4"/>
        <v>3.1</v>
      </c>
      <c r="N84" s="257">
        <f>VLOOKUP(B84,SWB!$C$15:$S$244,17,FALSE)</f>
        <v>0.49351761494634161</v>
      </c>
      <c r="O84" s="116"/>
      <c r="P84" s="116">
        <f>SWB!$M$4</f>
        <v>0.15</v>
      </c>
      <c r="Q84" s="257">
        <f>VLOOKUP(B84,SWB!$C$15:$AJ$244,34,FALSE)</f>
        <v>0.4470500851454382</v>
      </c>
      <c r="R84" s="257">
        <f>VLOOKUP(B84,SWB!$C$15:$V$244,20,FALSE)</f>
        <v>1.0495714543527235</v>
      </c>
      <c r="S84" s="116">
        <v>0</v>
      </c>
      <c r="T84" s="116">
        <v>0</v>
      </c>
      <c r="U84" s="116">
        <v>1</v>
      </c>
      <c r="V84" s="116">
        <v>1</v>
      </c>
      <c r="W84" s="116">
        <v>23.5</v>
      </c>
      <c r="X84" s="257">
        <v>23.396315999999999</v>
      </c>
      <c r="Y84" s="116">
        <v>9.51</v>
      </c>
      <c r="Z84" s="257">
        <v>7.4110000000000001E-3</v>
      </c>
      <c r="AA84" s="257">
        <v>7.9880000000000003E-3</v>
      </c>
      <c r="AB84" s="116">
        <v>0</v>
      </c>
      <c r="AC84" s="257">
        <v>23.416605000000001</v>
      </c>
      <c r="AD84" s="257">
        <v>0.15798799999999999</v>
      </c>
      <c r="AE84" s="257">
        <v>0.40128900000000001</v>
      </c>
      <c r="AF84" s="116">
        <v>0.1</v>
      </c>
      <c r="AG84" s="116">
        <v>0.55000000000000004</v>
      </c>
      <c r="AH84" s="116">
        <v>15</v>
      </c>
      <c r="AI84" s="116">
        <v>8.25</v>
      </c>
      <c r="AJ84" s="116">
        <f>IFERROR(VLOOKUP($B84,SWB!C82:BE465,37,FALSE),0)</f>
        <v>0</v>
      </c>
      <c r="AK84" s="116">
        <f t="shared" si="5"/>
        <v>0</v>
      </c>
      <c r="AL84" s="116">
        <f>IFERROR(VLOOKUP($B84,SWB!C82:BE465,38,FALSE),0)</f>
        <v>0</v>
      </c>
      <c r="AM84" s="116">
        <f>IFERROR(VLOOKUP($B84,SWB!C82:BE465,38,FALSE),0)</f>
        <v>0</v>
      </c>
      <c r="AN84" s="257">
        <f>IFERROR(VLOOKUP($B84,SWB!C82:BE465,40,FALSE),0)</f>
        <v>1.0495714543527235</v>
      </c>
      <c r="AO84" s="257">
        <f>IFERROR(VLOOKUP($B84,SWB!C82:BE465,43,FALSE),0)</f>
        <v>1.7842714723996298</v>
      </c>
      <c r="AP84" s="257">
        <v>15</v>
      </c>
      <c r="AQ84" s="257">
        <f>IFERROR(VLOOKUP($B84,SWB!C82:BE465,44,FALSE),0)</f>
        <v>74.40496089685476</v>
      </c>
      <c r="AR84" s="116">
        <f t="shared" si="7"/>
        <v>15</v>
      </c>
      <c r="AS84" s="116">
        <v>71.5</v>
      </c>
      <c r="AT84" s="116" t="s">
        <v>131</v>
      </c>
      <c r="AU84" s="116" t="s">
        <v>131</v>
      </c>
      <c r="AV84" s="116" t="s">
        <v>131</v>
      </c>
      <c r="AW84" s="116" t="s">
        <v>131</v>
      </c>
      <c r="AX84" s="116" t="s">
        <v>131</v>
      </c>
      <c r="AY84" s="116" t="s">
        <v>131</v>
      </c>
      <c r="AZ84" s="116"/>
      <c r="BA84" s="116" t="s">
        <v>132</v>
      </c>
      <c r="BB84" s="116"/>
    </row>
    <row r="85" spans="1:54">
      <c r="A85" s="101" t="s">
        <v>130</v>
      </c>
      <c r="B85" s="69">
        <f t="shared" si="6"/>
        <v>42084</v>
      </c>
      <c r="C85" s="101" t="s">
        <v>130</v>
      </c>
      <c r="D85" s="116">
        <f>VLOOKUP(B85,SWB!$C$15:$H$244,6,FALSE)</f>
        <v>80</v>
      </c>
      <c r="E85" s="102">
        <f>VLOOKUP($B85,Clima!$W$8:$AI$1506,3,FALSE)</f>
        <v>12</v>
      </c>
      <c r="F85" s="102">
        <f>VLOOKUP($B85,Clima!$W$8:$AI$1506,4,FALSE)</f>
        <v>6.8</v>
      </c>
      <c r="G85" s="102">
        <f>VLOOKUP($B85,Clima!$W$8:$AI$1506,2,FALSE)</f>
        <v>8.6</v>
      </c>
      <c r="H85" s="102"/>
      <c r="I85" s="102">
        <f>VLOOKUP($B85,Clima!$W$8:$AI$1506,13,FALSE)</f>
        <v>1.3</v>
      </c>
      <c r="J85" s="102"/>
      <c r="K85" s="102"/>
      <c r="L85" s="102">
        <f>VLOOKUP($B85,Clima!$W$8:$AI$1506,12,FALSE)</f>
        <v>14.1</v>
      </c>
      <c r="M85" s="102">
        <f t="shared" si="4"/>
        <v>14.1</v>
      </c>
      <c r="N85" s="257">
        <f>VLOOKUP(B85,SWB!$C$15:$S$244,17,FALSE)</f>
        <v>0.51233604316097581</v>
      </c>
      <c r="O85" s="116"/>
      <c r="P85" s="116">
        <f>SWB!$M$4</f>
        <v>0.15</v>
      </c>
      <c r="Q85" s="257">
        <f>VLOOKUP(B85,SWB!$C$15:$AJ$244,34,FALSE)</f>
        <v>0.4609896616007228</v>
      </c>
      <c r="R85" s="257">
        <f>VLOOKUP(B85,SWB!$C$15:$V$244,20,FALSE)</f>
        <v>1.0519041553501625</v>
      </c>
      <c r="S85" s="116">
        <v>0</v>
      </c>
      <c r="T85" s="116">
        <v>0</v>
      </c>
      <c r="U85" s="116">
        <v>1</v>
      </c>
      <c r="V85" s="116">
        <v>1</v>
      </c>
      <c r="W85" s="116">
        <v>23.5</v>
      </c>
      <c r="X85" s="257">
        <v>14.416605000000001</v>
      </c>
      <c r="Y85" s="116">
        <v>9.51</v>
      </c>
      <c r="Z85" s="257">
        <v>0.64927800000000002</v>
      </c>
      <c r="AA85" s="257">
        <v>0.59163100000000002</v>
      </c>
      <c r="AB85" s="116">
        <v>0</v>
      </c>
      <c r="AC85" s="257">
        <v>14.883993</v>
      </c>
      <c r="AD85" s="257">
        <v>0.74163100000000004</v>
      </c>
      <c r="AE85" s="257">
        <v>0.58588799999999996</v>
      </c>
      <c r="AF85" s="116">
        <v>0.1</v>
      </c>
      <c r="AG85" s="116">
        <v>0.55000000000000004</v>
      </c>
      <c r="AH85" s="116">
        <v>15</v>
      </c>
      <c r="AI85" s="116">
        <v>8.25</v>
      </c>
      <c r="AJ85" s="116">
        <f>IFERROR(VLOOKUP($B85,SWB!C83:BE466,37,FALSE),0)</f>
        <v>0</v>
      </c>
      <c r="AK85" s="116">
        <f t="shared" si="5"/>
        <v>0</v>
      </c>
      <c r="AL85" s="116">
        <f>IFERROR(VLOOKUP($B85,SWB!C83:BE466,38,FALSE),0)</f>
        <v>0</v>
      </c>
      <c r="AM85" s="116">
        <f>IFERROR(VLOOKUP($B85,SWB!C83:BE466,38,FALSE),0)</f>
        <v>0</v>
      </c>
      <c r="AN85" s="257">
        <f>IFERROR(VLOOKUP($B85,SWB!C83:BE466,40,FALSE),0)</f>
        <v>1.0519041553501625</v>
      </c>
      <c r="AO85" s="257">
        <f>IFERROR(VLOOKUP($B85,SWB!C83:BE466,43,FALSE),0)</f>
        <v>2.4193795573053736</v>
      </c>
      <c r="AP85" s="257">
        <v>6.4673879999999997</v>
      </c>
      <c r="AQ85" s="257">
        <f>IFERROR(VLOOKUP($B85,SWB!C83:BE466,44,FALSE),0)</f>
        <v>76.824340454160136</v>
      </c>
      <c r="AR85" s="116">
        <f t="shared" si="7"/>
        <v>15</v>
      </c>
      <c r="AS85" s="116">
        <v>80.5</v>
      </c>
      <c r="AT85" s="116" t="s">
        <v>131</v>
      </c>
      <c r="AU85" s="116" t="s">
        <v>131</v>
      </c>
      <c r="AV85" s="116" t="s">
        <v>131</v>
      </c>
      <c r="AW85" s="116" t="s">
        <v>131</v>
      </c>
      <c r="AX85" s="116" t="s">
        <v>131</v>
      </c>
      <c r="AY85" s="116" t="s">
        <v>131</v>
      </c>
      <c r="AZ85" s="116"/>
      <c r="BA85" s="116" t="s">
        <v>132</v>
      </c>
      <c r="BB85" s="116"/>
    </row>
    <row r="86" spans="1:54">
      <c r="A86" s="101" t="s">
        <v>130</v>
      </c>
      <c r="B86" s="69">
        <f t="shared" si="6"/>
        <v>42085</v>
      </c>
      <c r="C86" s="101" t="s">
        <v>130</v>
      </c>
      <c r="D86" s="116">
        <f>VLOOKUP(B86,SWB!$C$15:$H$244,6,FALSE)</f>
        <v>81</v>
      </c>
      <c r="E86" s="102">
        <f>VLOOKUP($B86,Clima!$W$8:$AI$1506,3,FALSE)</f>
        <v>13.2</v>
      </c>
      <c r="F86" s="102">
        <f>VLOOKUP($B86,Clima!$W$8:$AI$1506,4,FALSE)</f>
        <v>6.6</v>
      </c>
      <c r="G86" s="102">
        <f>VLOOKUP($B86,Clima!$W$8:$AI$1506,2,FALSE)</f>
        <v>8.6</v>
      </c>
      <c r="H86" s="102"/>
      <c r="I86" s="102">
        <f>VLOOKUP($B86,Clima!$W$8:$AI$1506,13,FALSE)</f>
        <v>1.7</v>
      </c>
      <c r="J86" s="102"/>
      <c r="K86" s="102"/>
      <c r="L86" s="102">
        <f>VLOOKUP($B86,Clima!$W$8:$AI$1506,12,FALSE)</f>
        <v>2.7</v>
      </c>
      <c r="M86" s="102">
        <f t="shared" si="4"/>
        <v>2.7</v>
      </c>
      <c r="N86" s="257">
        <f>VLOOKUP(B86,SWB!$C$15:$S$244,17,FALSE)</f>
        <v>0.53115447137561</v>
      </c>
      <c r="O86" s="116"/>
      <c r="P86" s="116">
        <f>SWB!$M$4</f>
        <v>0.15</v>
      </c>
      <c r="Q86" s="257">
        <f>VLOOKUP(B86,SWB!$C$15:$AJ$244,34,FALSE)</f>
        <v>0.4749292380560074</v>
      </c>
      <c r="R86" s="257">
        <f>VLOOKUP(B86,SWB!$C$15:$V$244,20,FALSE)</f>
        <v>1.0542368563476017</v>
      </c>
      <c r="S86" s="116">
        <v>0</v>
      </c>
      <c r="T86" s="116">
        <v>0</v>
      </c>
      <c r="U86" s="116">
        <v>1</v>
      </c>
      <c r="V86" s="116">
        <v>1</v>
      </c>
      <c r="W86" s="116">
        <v>23.5</v>
      </c>
      <c r="X86" s="257">
        <v>14.493993</v>
      </c>
      <c r="Y86" s="116">
        <v>9.51</v>
      </c>
      <c r="Z86" s="257">
        <v>0.64374600000000004</v>
      </c>
      <c r="AA86" s="257">
        <v>0.62603900000000001</v>
      </c>
      <c r="AB86" s="116">
        <v>0</v>
      </c>
      <c r="AC86" s="257">
        <v>15.094989999999999</v>
      </c>
      <c r="AD86" s="257">
        <v>0.77603900000000003</v>
      </c>
      <c r="AE86" s="257">
        <v>0.74499700000000002</v>
      </c>
      <c r="AF86" s="116">
        <v>0.1</v>
      </c>
      <c r="AG86" s="116">
        <v>0.55000000000000004</v>
      </c>
      <c r="AH86" s="116">
        <v>15</v>
      </c>
      <c r="AI86" s="116">
        <v>8.25</v>
      </c>
      <c r="AJ86" s="116">
        <f>IFERROR(VLOOKUP($B86,SWB!C84:BE467,37,FALSE),0)</f>
        <v>0</v>
      </c>
      <c r="AK86" s="116">
        <f t="shared" si="5"/>
        <v>0</v>
      </c>
      <c r="AL86" s="116">
        <f>IFERROR(VLOOKUP($B86,SWB!C84:BE467,38,FALSE),0)</f>
        <v>0.4214226894922537</v>
      </c>
      <c r="AM86" s="116">
        <f>IFERROR(VLOOKUP($B86,SWB!C84:BE467,38,FALSE),0)</f>
        <v>0.4214226894922537</v>
      </c>
      <c r="AN86" s="257">
        <f>IFERROR(VLOOKUP($B86,SWB!C84:BE467,40,FALSE),0)</f>
        <v>1.0542368563476017</v>
      </c>
      <c r="AO86" s="257">
        <f>IFERROR(VLOOKUP($B86,SWB!C84:BE467,43,FALSE),0)</f>
        <v>1.0542368563476017</v>
      </c>
      <c r="AP86" s="257">
        <v>6.8223849999999997</v>
      </c>
      <c r="AQ86" s="257">
        <f>IFERROR(VLOOKUP($B86,SWB!C84:BE467,44,FALSE),0)</f>
        <v>77.878577310507737</v>
      </c>
      <c r="AR86" s="116">
        <f t="shared" si="7"/>
        <v>15</v>
      </c>
      <c r="AS86" s="116">
        <v>80.89</v>
      </c>
      <c r="AT86" s="116" t="s">
        <v>131</v>
      </c>
      <c r="AU86" s="116" t="s">
        <v>131</v>
      </c>
      <c r="AV86" s="116" t="s">
        <v>131</v>
      </c>
      <c r="AW86" s="116" t="s">
        <v>131</v>
      </c>
      <c r="AX86" s="116" t="s">
        <v>131</v>
      </c>
      <c r="AY86" s="116" t="s">
        <v>131</v>
      </c>
      <c r="AZ86" s="116"/>
      <c r="BA86" s="116" t="s">
        <v>132</v>
      </c>
      <c r="BB86" s="116"/>
    </row>
    <row r="87" spans="1:54">
      <c r="A87" s="101" t="s">
        <v>130</v>
      </c>
      <c r="B87" s="69">
        <f t="shared" si="6"/>
        <v>42086</v>
      </c>
      <c r="C87" s="101" t="s">
        <v>130</v>
      </c>
      <c r="D87" s="116">
        <f>VLOOKUP(B87,SWB!$C$15:$H$244,6,FALSE)</f>
        <v>82</v>
      </c>
      <c r="E87" s="102">
        <f>VLOOKUP($B87,Clima!$W$8:$AI$1506,3,FALSE)</f>
        <v>13.3</v>
      </c>
      <c r="F87" s="102">
        <f>VLOOKUP($B87,Clima!$W$8:$AI$1506,4,FALSE)</f>
        <v>7.2</v>
      </c>
      <c r="G87" s="102">
        <f>VLOOKUP($B87,Clima!$W$8:$AI$1506,2,FALSE)</f>
        <v>9.3000000000000007</v>
      </c>
      <c r="H87" s="102"/>
      <c r="I87" s="102">
        <f>VLOOKUP($B87,Clima!$W$8:$AI$1506,13,FALSE)</f>
        <v>1.9</v>
      </c>
      <c r="J87" s="102"/>
      <c r="K87" s="102"/>
      <c r="L87" s="102">
        <f>VLOOKUP($B87,Clima!$W$8:$AI$1506,12,FALSE)</f>
        <v>6.9</v>
      </c>
      <c r="M87" s="102">
        <f t="shared" si="4"/>
        <v>6.9</v>
      </c>
      <c r="N87" s="257">
        <f>VLOOKUP(B87,SWB!$C$15:$S$244,17,FALSE)</f>
        <v>0.54997289959024409</v>
      </c>
      <c r="O87" s="116"/>
      <c r="P87" s="116">
        <f>SWB!$M$4</f>
        <v>0.15</v>
      </c>
      <c r="Q87" s="257">
        <f>VLOOKUP(B87,SWB!$C$15:$AJ$244,34,FALSE)</f>
        <v>0.48886881451129188</v>
      </c>
      <c r="R87" s="257">
        <f>VLOOKUP(B87,SWB!$C$15:$V$244,20,FALSE)</f>
        <v>1.0565695573450407</v>
      </c>
      <c r="S87" s="116">
        <v>0</v>
      </c>
      <c r="T87" s="116">
        <v>0</v>
      </c>
      <c r="U87" s="116">
        <v>1</v>
      </c>
      <c r="V87" s="116">
        <v>1</v>
      </c>
      <c r="W87" s="116">
        <v>23.5</v>
      </c>
      <c r="X87" s="257">
        <v>11.95499</v>
      </c>
      <c r="Y87" s="116">
        <v>9.51</v>
      </c>
      <c r="Z87" s="257">
        <v>0.82523299999999999</v>
      </c>
      <c r="AA87" s="257">
        <v>0.80158099999999999</v>
      </c>
      <c r="AB87" s="116">
        <v>0</v>
      </c>
      <c r="AC87" s="257">
        <v>13.013078</v>
      </c>
      <c r="AD87" s="257">
        <v>0.95158100000000001</v>
      </c>
      <c r="AE87" s="257">
        <v>1.2560880000000001</v>
      </c>
      <c r="AF87" s="116">
        <v>0.1</v>
      </c>
      <c r="AG87" s="116">
        <v>0.55000000000000004</v>
      </c>
      <c r="AH87" s="116">
        <v>15</v>
      </c>
      <c r="AI87" s="116">
        <v>8.25</v>
      </c>
      <c r="AJ87" s="116">
        <f>IFERROR(VLOOKUP($B87,SWB!C85:BE468,37,FALSE),0)</f>
        <v>0</v>
      </c>
      <c r="AK87" s="116">
        <f t="shared" si="5"/>
        <v>0</v>
      </c>
      <c r="AL87" s="116">
        <f>IFERROR(VLOOKUP($B87,SWB!C85:BE468,38,FALSE),0)</f>
        <v>5.5264595754514474</v>
      </c>
      <c r="AM87" s="116">
        <f>IFERROR(VLOOKUP($B87,SWB!C85:BE468,38,FALSE),0)</f>
        <v>5.5264595754514474</v>
      </c>
      <c r="AN87" s="257">
        <f>IFERROR(VLOOKUP($B87,SWB!C85:BE468,40,FALSE),0)</f>
        <v>1.0565695573450407</v>
      </c>
      <c r="AO87" s="257">
        <f>IFERROR(VLOOKUP($B87,SWB!C85:BE468,43,FALSE),0)</f>
        <v>1.373540424548553</v>
      </c>
      <c r="AP87" s="257">
        <v>4.9384730000000001</v>
      </c>
      <c r="AQ87" s="257">
        <f>IFERROR(VLOOKUP($B87,SWB!C85:BE468,44,FALSE),0)</f>
        <v>79.252117735056288</v>
      </c>
      <c r="AR87" s="116">
        <f t="shared" si="7"/>
        <v>15</v>
      </c>
      <c r="AS87" s="116">
        <v>84.03</v>
      </c>
      <c r="AT87" s="116" t="s">
        <v>131</v>
      </c>
      <c r="AU87" s="116" t="s">
        <v>131</v>
      </c>
      <c r="AV87" s="116" t="s">
        <v>131</v>
      </c>
      <c r="AW87" s="116" t="s">
        <v>131</v>
      </c>
      <c r="AX87" s="116" t="s">
        <v>131</v>
      </c>
      <c r="AY87" s="116" t="s">
        <v>131</v>
      </c>
      <c r="AZ87" s="116"/>
      <c r="BA87" s="116" t="s">
        <v>132</v>
      </c>
      <c r="BB87" s="116"/>
    </row>
    <row r="88" spans="1:54">
      <c r="A88" s="101" t="s">
        <v>130</v>
      </c>
      <c r="B88" s="69">
        <f t="shared" si="6"/>
        <v>42087</v>
      </c>
      <c r="C88" s="101" t="s">
        <v>130</v>
      </c>
      <c r="D88" s="116">
        <f>VLOOKUP(B88,SWB!$C$15:$H$244,6,FALSE)</f>
        <v>83</v>
      </c>
      <c r="E88" s="102">
        <f>VLOOKUP($B88,Clima!$W$8:$AI$1506,3,FALSE)</f>
        <v>12.2</v>
      </c>
      <c r="F88" s="102">
        <f>VLOOKUP($B88,Clima!$W$8:$AI$1506,4,FALSE)</f>
        <v>6.3</v>
      </c>
      <c r="G88" s="102">
        <f>VLOOKUP($B88,Clima!$W$8:$AI$1506,2,FALSE)</f>
        <v>8.1999999999999993</v>
      </c>
      <c r="H88" s="102"/>
      <c r="I88" s="102">
        <f>VLOOKUP($B88,Clima!$W$8:$AI$1506,13,FALSE)</f>
        <v>1.3</v>
      </c>
      <c r="J88" s="102"/>
      <c r="K88" s="102"/>
      <c r="L88" s="102">
        <f>VLOOKUP($B88,Clima!$W$8:$AI$1506,12,FALSE)</f>
        <v>8</v>
      </c>
      <c r="M88" s="102">
        <f t="shared" si="4"/>
        <v>8</v>
      </c>
      <c r="N88" s="257">
        <f>VLOOKUP(B88,SWB!$C$15:$S$244,17,FALSE)</f>
        <v>0.56879132780487829</v>
      </c>
      <c r="O88" s="116"/>
      <c r="P88" s="116">
        <f>SWB!$M$4</f>
        <v>0.15</v>
      </c>
      <c r="Q88" s="257">
        <f>VLOOKUP(B88,SWB!$C$15:$AJ$244,34,FALSE)</f>
        <v>0.50280839096657659</v>
      </c>
      <c r="R88" s="257">
        <f>VLOOKUP(B88,SWB!$C$15:$V$244,20,FALSE)</f>
        <v>1.0589022583424796</v>
      </c>
      <c r="S88" s="116">
        <v>0</v>
      </c>
      <c r="T88" s="116">
        <v>0</v>
      </c>
      <c r="U88" s="116">
        <v>1</v>
      </c>
      <c r="V88" s="116">
        <v>1</v>
      </c>
      <c r="W88" s="116">
        <v>23.5</v>
      </c>
      <c r="X88" s="257">
        <v>9.0130780000000001</v>
      </c>
      <c r="Y88" s="116">
        <v>9.51</v>
      </c>
      <c r="Z88" s="116">
        <v>1</v>
      </c>
      <c r="AA88" s="257">
        <v>0.90717700000000001</v>
      </c>
      <c r="AB88" s="116">
        <v>0</v>
      </c>
      <c r="AC88" s="257">
        <v>10.15612</v>
      </c>
      <c r="AD88" s="257">
        <v>1.057177</v>
      </c>
      <c r="AE88" s="257">
        <v>1.3320430000000001</v>
      </c>
      <c r="AF88" s="116">
        <v>0.1</v>
      </c>
      <c r="AG88" s="116">
        <v>0.55000000000000004</v>
      </c>
      <c r="AH88" s="116">
        <v>15</v>
      </c>
      <c r="AI88" s="116">
        <v>8.25</v>
      </c>
      <c r="AJ88" s="116">
        <f>IFERROR(VLOOKUP($B88,SWB!C86:BE469,37,FALSE),0)</f>
        <v>0</v>
      </c>
      <c r="AK88" s="116">
        <f t="shared" si="5"/>
        <v>0</v>
      </c>
      <c r="AL88" s="116">
        <f>IFERROR(VLOOKUP($B88,SWB!C86:BE469,38,FALSE),0)</f>
        <v>4.9291834508068089</v>
      </c>
      <c r="AM88" s="116">
        <f>IFERROR(VLOOKUP($B88,SWB!C86:BE469,38,FALSE),0)</f>
        <v>4.9291834508068089</v>
      </c>
      <c r="AN88" s="257">
        <f>IFERROR(VLOOKUP($B88,SWB!C86:BE469,40,FALSE),0)</f>
        <v>1.0589022583424796</v>
      </c>
      <c r="AO88" s="257">
        <f>IFERROR(VLOOKUP($B88,SWB!C86:BE469,43,FALSE),0)</f>
        <v>3.0708165491931907</v>
      </c>
      <c r="AP88" s="257">
        <v>2.2705160000000002</v>
      </c>
      <c r="AQ88" s="257">
        <f>IFERROR(VLOOKUP($B88,SWB!C86:BE469,44,FALSE),0)</f>
        <v>82.322934284249484</v>
      </c>
      <c r="AR88" s="116">
        <f t="shared" si="7"/>
        <v>15</v>
      </c>
      <c r="AS88" s="116">
        <v>88.03</v>
      </c>
      <c r="AT88" s="116" t="s">
        <v>131</v>
      </c>
      <c r="AU88" s="116" t="s">
        <v>131</v>
      </c>
      <c r="AV88" s="116" t="s">
        <v>131</v>
      </c>
      <c r="AW88" s="116" t="s">
        <v>131</v>
      </c>
      <c r="AX88" s="116" t="s">
        <v>131</v>
      </c>
      <c r="AY88" s="116" t="s">
        <v>131</v>
      </c>
      <c r="AZ88" s="116"/>
      <c r="BA88" s="116" t="s">
        <v>132</v>
      </c>
      <c r="BB88" s="116"/>
    </row>
    <row r="89" spans="1:54">
      <c r="A89" s="101" t="s">
        <v>130</v>
      </c>
      <c r="B89" s="69">
        <f t="shared" si="6"/>
        <v>42088</v>
      </c>
      <c r="C89" s="101" t="s">
        <v>130</v>
      </c>
      <c r="D89" s="116">
        <f>VLOOKUP(B89,SWB!$C$15:$H$244,6,FALSE)</f>
        <v>84</v>
      </c>
      <c r="E89" s="102">
        <f>VLOOKUP($B89,Clima!$W$8:$AI$1506,3,FALSE)</f>
        <v>9</v>
      </c>
      <c r="F89" s="102">
        <f>VLOOKUP($B89,Clima!$W$8:$AI$1506,4,FALSE)</f>
        <v>0.9</v>
      </c>
      <c r="G89" s="102">
        <f>VLOOKUP($B89,Clima!$W$8:$AI$1506,2,FALSE)</f>
        <v>5.3</v>
      </c>
      <c r="H89" s="102"/>
      <c r="I89" s="102">
        <f>VLOOKUP($B89,Clima!$W$8:$AI$1506,13,FALSE)</f>
        <v>2.5</v>
      </c>
      <c r="J89" s="102"/>
      <c r="K89" s="102"/>
      <c r="L89" s="102">
        <f>VLOOKUP($B89,Clima!$W$8:$AI$1506,12,FALSE)</f>
        <v>2.4</v>
      </c>
      <c r="M89" s="102">
        <f t="shared" si="4"/>
        <v>2.4</v>
      </c>
      <c r="N89" s="257">
        <f>VLOOKUP(B89,SWB!$C$15:$S$244,17,FALSE)</f>
        <v>0.58760975601951249</v>
      </c>
      <c r="O89" s="116"/>
      <c r="P89" s="116">
        <f>SWB!$M$4</f>
        <v>0.15</v>
      </c>
      <c r="Q89" s="257">
        <f>VLOOKUP(B89,SWB!$C$15:$AJ$244,34,FALSE)</f>
        <v>0.51674796742186113</v>
      </c>
      <c r="R89" s="257">
        <f>VLOOKUP(B89,SWB!$C$15:$V$244,20,FALSE)</f>
        <v>1.0612349593399186</v>
      </c>
      <c r="S89" s="116">
        <v>0</v>
      </c>
      <c r="T89" s="116">
        <v>0</v>
      </c>
      <c r="U89" s="116">
        <v>1</v>
      </c>
      <c r="V89" s="116">
        <v>1</v>
      </c>
      <c r="W89" s="116">
        <v>23.5</v>
      </c>
      <c r="X89" s="257">
        <v>7.4161200000000003</v>
      </c>
      <c r="Y89" s="116">
        <v>9.51</v>
      </c>
      <c r="Z89" s="116">
        <v>1</v>
      </c>
      <c r="AA89" s="257">
        <v>0.91780300000000004</v>
      </c>
      <c r="AB89" s="116">
        <v>0</v>
      </c>
      <c r="AC89" s="257">
        <v>8.9672079999999994</v>
      </c>
      <c r="AD89" s="257">
        <v>1.0678030000000001</v>
      </c>
      <c r="AE89" s="257">
        <v>1.8045869999999999</v>
      </c>
      <c r="AF89" s="116">
        <v>0.1</v>
      </c>
      <c r="AG89" s="116">
        <v>0.55000000000000004</v>
      </c>
      <c r="AH89" s="116">
        <v>15</v>
      </c>
      <c r="AI89" s="116">
        <v>8.25</v>
      </c>
      <c r="AJ89" s="116">
        <f>IFERROR(VLOOKUP($B89,SWB!C87:BE470,37,FALSE),0)</f>
        <v>0</v>
      </c>
      <c r="AK89" s="116">
        <f t="shared" si="5"/>
        <v>0</v>
      </c>
      <c r="AL89" s="116">
        <f>IFERROR(VLOOKUP($B89,SWB!C87:BE470,38,FALSE),0)</f>
        <v>0</v>
      </c>
      <c r="AM89" s="116">
        <f>IFERROR(VLOOKUP($B89,SWB!C87:BE470,38,FALSE),0)</f>
        <v>0</v>
      </c>
      <c r="AN89" s="257">
        <f>IFERROR(VLOOKUP($B89,SWB!C87:BE470,40,FALSE),0)</f>
        <v>1.0612349593399186</v>
      </c>
      <c r="AO89" s="257">
        <f>IFERROR(VLOOKUP($B89,SWB!C87:BE470,43,FALSE),0)</f>
        <v>3.3959518698877398</v>
      </c>
      <c r="AP89" s="257">
        <v>1.3351029999999999</v>
      </c>
      <c r="AQ89" s="257">
        <f>IFERROR(VLOOKUP($B89,SWB!C87:BE470,44,FALSE),0)</f>
        <v>85.718886154137223</v>
      </c>
      <c r="AR89" s="116">
        <f t="shared" si="7"/>
        <v>15</v>
      </c>
      <c r="AS89" s="116">
        <v>90.77</v>
      </c>
      <c r="AT89" s="116" t="s">
        <v>131</v>
      </c>
      <c r="AU89" s="116" t="s">
        <v>131</v>
      </c>
      <c r="AV89" s="116" t="s">
        <v>131</v>
      </c>
      <c r="AW89" s="116" t="s">
        <v>131</v>
      </c>
      <c r="AX89" s="116" t="s">
        <v>131</v>
      </c>
      <c r="AY89" s="116" t="s">
        <v>131</v>
      </c>
      <c r="AZ89" s="116"/>
      <c r="BA89" s="116" t="s">
        <v>132</v>
      </c>
      <c r="BB89" s="116"/>
    </row>
    <row r="90" spans="1:54">
      <c r="A90" s="101" t="s">
        <v>133</v>
      </c>
      <c r="B90" s="69">
        <f t="shared" si="6"/>
        <v>42089</v>
      </c>
      <c r="C90" s="101" t="s">
        <v>133</v>
      </c>
      <c r="D90" s="116">
        <f>VLOOKUP(B90,SWB!$C$15:$H$244,6,FALSE)</f>
        <v>85</v>
      </c>
      <c r="E90" s="102">
        <f>VLOOKUP($B90,Clima!$W$8:$AI$1506,3,FALSE)</f>
        <v>12.7</v>
      </c>
      <c r="F90" s="102">
        <f>VLOOKUP($B90,Clima!$W$8:$AI$1506,4,FALSE)</f>
        <v>-0.1</v>
      </c>
      <c r="G90" s="102">
        <f>VLOOKUP($B90,Clima!$W$8:$AI$1506,2,FALSE)</f>
        <v>6.5</v>
      </c>
      <c r="H90" s="102"/>
      <c r="I90" s="102">
        <f>VLOOKUP($B90,Clima!$W$8:$AI$1506,13,FALSE)</f>
        <v>2.7</v>
      </c>
      <c r="J90" s="102"/>
      <c r="K90" s="102"/>
      <c r="L90" s="102">
        <f>VLOOKUP($B90,Clima!$W$8:$AI$1506,12,FALSE)</f>
        <v>0</v>
      </c>
      <c r="M90" s="102">
        <f t="shared" si="4"/>
        <v>0</v>
      </c>
      <c r="N90" s="257">
        <f>VLOOKUP(B90,SWB!$C$15:$S$244,17,FALSE)</f>
        <v>0.60642818423414668</v>
      </c>
      <c r="O90" s="116"/>
      <c r="P90" s="116">
        <f>SWB!$M$4</f>
        <v>0.15</v>
      </c>
      <c r="Q90" s="257">
        <f>VLOOKUP(B90,SWB!$C$15:$AJ$244,34,FALSE)</f>
        <v>0.53068754387714567</v>
      </c>
      <c r="R90" s="257">
        <f>VLOOKUP(B90,SWB!$C$15:$V$244,20,FALSE)</f>
        <v>1.0635676603373576</v>
      </c>
      <c r="S90" s="116">
        <v>0</v>
      </c>
      <c r="T90" s="116">
        <v>1.278E-2</v>
      </c>
      <c r="U90" s="116">
        <v>1</v>
      </c>
      <c r="V90" s="116">
        <v>0.98721999999999999</v>
      </c>
      <c r="W90" s="116">
        <v>23.5</v>
      </c>
      <c r="X90" s="257">
        <v>0</v>
      </c>
      <c r="Y90" s="116">
        <v>9.51</v>
      </c>
      <c r="Z90" s="116">
        <v>1</v>
      </c>
      <c r="AA90" s="257">
        <v>0.90193299999999998</v>
      </c>
      <c r="AB90" s="257">
        <v>2.0327920000000002</v>
      </c>
      <c r="AC90" s="257">
        <v>1.690178</v>
      </c>
      <c r="AD90" s="257">
        <v>1.074552</v>
      </c>
      <c r="AE90" s="257">
        <v>1.987922</v>
      </c>
      <c r="AF90" s="116">
        <v>0.109524</v>
      </c>
      <c r="AG90" s="116">
        <v>0.55000000000000004</v>
      </c>
      <c r="AH90" s="116">
        <v>16.428571000000002</v>
      </c>
      <c r="AI90" s="116">
        <v>9.0357140000000005</v>
      </c>
      <c r="AJ90" s="116">
        <f>IFERROR(VLOOKUP($B90,SWB!C88:BE471,37,FALSE),0)</f>
        <v>0</v>
      </c>
      <c r="AK90" s="116">
        <f t="shared" si="5"/>
        <v>0</v>
      </c>
      <c r="AL90" s="116">
        <f>IFERROR(VLOOKUP($B90,SWB!C88:BE471,38,FALSE),0)</f>
        <v>0</v>
      </c>
      <c r="AM90" s="116">
        <f>IFERROR(VLOOKUP($B90,SWB!C88:BE471,38,FALSE),0)</f>
        <v>0</v>
      </c>
      <c r="AN90" s="257">
        <f>IFERROR(VLOOKUP($B90,SWB!C88:BE471,40,FALSE),0)</f>
        <v>1.0635676603373576</v>
      </c>
      <c r="AO90" s="257">
        <f>IFERROR(VLOOKUP($B90,SWB!C88:BE471,43,FALSE),0)</f>
        <v>4.1479138753156946</v>
      </c>
      <c r="AP90" s="257">
        <v>0</v>
      </c>
      <c r="AQ90" s="257">
        <f>IFERROR(VLOOKUP($B90,SWB!C88:BE471,44,FALSE),0)</f>
        <v>89.866800029452918</v>
      </c>
      <c r="AR90" s="116">
        <f t="shared" si="7"/>
        <v>15</v>
      </c>
      <c r="AS90" s="116">
        <v>101.77</v>
      </c>
      <c r="AT90" s="116" t="s">
        <v>131</v>
      </c>
      <c r="AU90" s="116" t="s">
        <v>131</v>
      </c>
      <c r="AV90" s="116" t="s">
        <v>131</v>
      </c>
      <c r="AW90" s="116" t="s">
        <v>131</v>
      </c>
      <c r="AX90" s="116" t="s">
        <v>131</v>
      </c>
      <c r="AY90" s="116" t="s">
        <v>131</v>
      </c>
      <c r="AZ90" s="116"/>
      <c r="BA90" s="116" t="s">
        <v>132</v>
      </c>
      <c r="BB90" s="116"/>
    </row>
    <row r="91" spans="1:54">
      <c r="A91" s="101" t="s">
        <v>133</v>
      </c>
      <c r="B91" s="69">
        <f t="shared" si="6"/>
        <v>42090</v>
      </c>
      <c r="C91" s="101" t="s">
        <v>133</v>
      </c>
      <c r="D91" s="116">
        <f>VLOOKUP(B91,SWB!$C$15:$H$244,6,FALSE)</f>
        <v>86</v>
      </c>
      <c r="E91" s="102">
        <f>VLOOKUP($B91,Clima!$W$8:$AI$1506,3,FALSE)</f>
        <v>19.899999999999999</v>
      </c>
      <c r="F91" s="102">
        <f>VLOOKUP($B91,Clima!$W$8:$AI$1506,4,FALSE)</f>
        <v>6.4</v>
      </c>
      <c r="G91" s="102">
        <f>VLOOKUP($B91,Clima!$W$8:$AI$1506,2,FALSE)</f>
        <v>12.7</v>
      </c>
      <c r="H91" s="102"/>
      <c r="I91" s="102">
        <f>VLOOKUP($B91,Clima!$W$8:$AI$1506,13,FALSE)</f>
        <v>3.9</v>
      </c>
      <c r="J91" s="102"/>
      <c r="K91" s="102"/>
      <c r="L91" s="102">
        <f>VLOOKUP($B91,Clima!$W$8:$AI$1506,12,FALSE)</f>
        <v>0</v>
      </c>
      <c r="M91" s="102">
        <f t="shared" si="4"/>
        <v>0</v>
      </c>
      <c r="N91" s="257">
        <f>VLOOKUP(B91,SWB!$C$15:$S$244,17,FALSE)</f>
        <v>0.62524661244878077</v>
      </c>
      <c r="O91" s="116"/>
      <c r="P91" s="116">
        <f>SWB!$M$4</f>
        <v>0.15</v>
      </c>
      <c r="Q91" s="257">
        <f>VLOOKUP(B91,SWB!$C$15:$AJ$244,34,FALSE)</f>
        <v>0.54462712033243021</v>
      </c>
      <c r="R91" s="257">
        <f>VLOOKUP(B91,SWB!$C$15:$V$244,20,FALSE)</f>
        <v>1.0659003613347968</v>
      </c>
      <c r="S91" s="116">
        <v>0</v>
      </c>
      <c r="T91" s="116">
        <v>2.9475999999999999E-2</v>
      </c>
      <c r="U91" s="116">
        <v>1</v>
      </c>
      <c r="V91" s="116">
        <v>0.97052400000000005</v>
      </c>
      <c r="W91" s="116">
        <v>23.5</v>
      </c>
      <c r="X91" s="257">
        <v>0</v>
      </c>
      <c r="Y91" s="116">
        <v>9.51</v>
      </c>
      <c r="Z91" s="116">
        <v>1</v>
      </c>
      <c r="AA91" s="257">
        <v>0.86276900000000001</v>
      </c>
      <c r="AB91" s="257">
        <v>6.3098219999999996</v>
      </c>
      <c r="AC91" s="257">
        <v>1.1201049999999999</v>
      </c>
      <c r="AD91" s="257">
        <v>1.0580069999999999</v>
      </c>
      <c r="AE91" s="257">
        <v>1.333089</v>
      </c>
      <c r="AF91" s="116">
        <v>0.119048</v>
      </c>
      <c r="AG91" s="116">
        <v>0.55000000000000004</v>
      </c>
      <c r="AH91" s="116">
        <v>17.857143000000001</v>
      </c>
      <c r="AI91" s="116">
        <v>9.8214290000000002</v>
      </c>
      <c r="AJ91" s="116">
        <f>IFERROR(VLOOKUP($B91,SWB!C89:BE472,37,FALSE),0)</f>
        <v>0</v>
      </c>
      <c r="AK91" s="116">
        <f t="shared" si="5"/>
        <v>0</v>
      </c>
      <c r="AL91" s="116">
        <f>IFERROR(VLOOKUP($B91,SWB!C89:BE472,38,FALSE),0)</f>
        <v>0</v>
      </c>
      <c r="AM91" s="116">
        <f>IFERROR(VLOOKUP($B91,SWB!C89:BE472,38,FALSE),0)</f>
        <v>0</v>
      </c>
      <c r="AN91" s="257">
        <f>IFERROR(VLOOKUP($B91,SWB!C89:BE472,40,FALSE),0)</f>
        <v>0.66399326992308583</v>
      </c>
      <c r="AO91" s="257">
        <f>IFERROR(VLOOKUP($B91,SWB!C89:BE472,43,FALSE),0)</f>
        <v>2.3239764447308002</v>
      </c>
      <c r="AP91" s="257">
        <v>0</v>
      </c>
      <c r="AQ91" s="257">
        <f>IFERROR(VLOOKUP($B91,SWB!C89:BE472,44,FALSE),0)</f>
        <v>92.190776474183721</v>
      </c>
      <c r="AR91" s="116">
        <f t="shared" si="7"/>
        <v>15</v>
      </c>
      <c r="AS91" s="116">
        <v>109.77</v>
      </c>
      <c r="AT91" s="116" t="s">
        <v>131</v>
      </c>
      <c r="AU91" s="116" t="s">
        <v>131</v>
      </c>
      <c r="AV91" s="116" t="s">
        <v>131</v>
      </c>
      <c r="AW91" s="116" t="s">
        <v>131</v>
      </c>
      <c r="AX91" s="116" t="s">
        <v>131</v>
      </c>
      <c r="AY91" s="116" t="s">
        <v>131</v>
      </c>
      <c r="AZ91" s="116"/>
      <c r="BA91" s="116" t="s">
        <v>132</v>
      </c>
      <c r="BB91" s="116"/>
    </row>
    <row r="92" spans="1:54">
      <c r="A92" s="101" t="s">
        <v>133</v>
      </c>
      <c r="B92" s="69">
        <f t="shared" si="6"/>
        <v>42091</v>
      </c>
      <c r="C92" s="101" t="s">
        <v>133</v>
      </c>
      <c r="D92" s="116">
        <f>VLOOKUP(B92,SWB!$C$15:$H$244,6,FALSE)</f>
        <v>87</v>
      </c>
      <c r="E92" s="102">
        <f>VLOOKUP($B92,Clima!$W$8:$AI$1506,3,FALSE)</f>
        <v>22.9</v>
      </c>
      <c r="F92" s="102">
        <f>VLOOKUP($B92,Clima!$W$8:$AI$1506,4,FALSE)</f>
        <v>5</v>
      </c>
      <c r="G92" s="102">
        <f>VLOOKUP($B92,Clima!$W$8:$AI$1506,2,FALSE)</f>
        <v>13.6</v>
      </c>
      <c r="H92" s="102"/>
      <c r="I92" s="102">
        <f>VLOOKUP($B92,Clima!$W$8:$AI$1506,13,FALSE)</f>
        <v>4.9000000000000004</v>
      </c>
      <c r="J92" s="102"/>
      <c r="K92" s="102"/>
      <c r="L92" s="102">
        <f>VLOOKUP($B92,Clima!$W$8:$AI$1506,12,FALSE)</f>
        <v>0</v>
      </c>
      <c r="M92" s="102">
        <f t="shared" si="4"/>
        <v>0</v>
      </c>
      <c r="N92" s="257">
        <f>VLOOKUP(B92,SWB!$C$15:$S$244,17,FALSE)</f>
        <v>0.64406504066341497</v>
      </c>
      <c r="O92" s="116"/>
      <c r="P92" s="116">
        <f>SWB!$M$4</f>
        <v>0.15</v>
      </c>
      <c r="Q92" s="257">
        <f>VLOOKUP(B92,SWB!$C$15:$AJ$244,34,FALSE)</f>
        <v>0.55856669678771476</v>
      </c>
      <c r="R92" s="257">
        <f>VLOOKUP(B92,SWB!$C$15:$V$244,20,FALSE)</f>
        <v>1.0682330623322358</v>
      </c>
      <c r="S92" s="116">
        <v>0</v>
      </c>
      <c r="T92" s="116">
        <v>4.122E-2</v>
      </c>
      <c r="U92" s="116">
        <v>1</v>
      </c>
      <c r="V92" s="116">
        <v>0.95877999999999997</v>
      </c>
      <c r="W92" s="116">
        <v>23.5</v>
      </c>
      <c r="X92" s="257">
        <v>0</v>
      </c>
      <c r="Y92" s="116">
        <v>9.51</v>
      </c>
      <c r="Z92" s="116">
        <v>1</v>
      </c>
      <c r="AA92" s="257">
        <v>0.95596599999999998</v>
      </c>
      <c r="AB92" s="257">
        <v>10.879894999999999</v>
      </c>
      <c r="AC92" s="257">
        <v>2.4627509999999999</v>
      </c>
      <c r="AD92" s="257">
        <v>1.1738230000000001</v>
      </c>
      <c r="AE92" s="257">
        <v>2.899343</v>
      </c>
      <c r="AF92" s="116">
        <v>0.12857099999999999</v>
      </c>
      <c r="AG92" s="116">
        <v>0.55000000000000004</v>
      </c>
      <c r="AH92" s="116">
        <v>19.285713999999999</v>
      </c>
      <c r="AI92" s="116">
        <v>10.607143000000001</v>
      </c>
      <c r="AJ92" s="116">
        <f>IFERROR(VLOOKUP($B92,SWB!C90:BE473,37,FALSE),0)</f>
        <v>0</v>
      </c>
      <c r="AK92" s="116">
        <f t="shared" si="5"/>
        <v>0</v>
      </c>
      <c r="AL92" s="116">
        <f>IFERROR(VLOOKUP($B92,SWB!C90:BE473,38,FALSE),0)</f>
        <v>0</v>
      </c>
      <c r="AM92" s="116">
        <f>IFERROR(VLOOKUP($B92,SWB!C90:BE473,38,FALSE),0)</f>
        <v>0</v>
      </c>
      <c r="AN92" s="257">
        <f>IFERROR(VLOOKUP($B92,SWB!C90:BE473,40,FALSE),0)</f>
        <v>0.67751469790960805</v>
      </c>
      <c r="AO92" s="257">
        <f>IFERROR(VLOOKUP($B92,SWB!C90:BE473,43,FALSE),0)</f>
        <v>2.5745558520565104</v>
      </c>
      <c r="AP92" s="257">
        <v>0</v>
      </c>
      <c r="AQ92" s="257">
        <f>IFERROR(VLOOKUP($B92,SWB!C90:BE473,44,FALSE),0)</f>
        <v>94.765332326240227</v>
      </c>
      <c r="AR92" s="116">
        <f t="shared" si="7"/>
        <v>15</v>
      </c>
      <c r="AS92" s="116">
        <v>121.77</v>
      </c>
      <c r="AT92" s="116" t="s">
        <v>131</v>
      </c>
      <c r="AU92" s="116" t="s">
        <v>131</v>
      </c>
      <c r="AV92" s="116" t="s">
        <v>131</v>
      </c>
      <c r="AW92" s="116" t="s">
        <v>131</v>
      </c>
      <c r="AX92" s="116" t="s">
        <v>131</v>
      </c>
      <c r="AY92" s="116" t="s">
        <v>131</v>
      </c>
      <c r="AZ92" s="116"/>
      <c r="BA92" s="116" t="s">
        <v>132</v>
      </c>
      <c r="BB92" s="116"/>
    </row>
    <row r="93" spans="1:54">
      <c r="A93" s="101" t="s">
        <v>133</v>
      </c>
      <c r="B93" s="69">
        <f t="shared" si="6"/>
        <v>42092</v>
      </c>
      <c r="C93" s="101" t="s">
        <v>133</v>
      </c>
      <c r="D93" s="116">
        <f>VLOOKUP(B93,SWB!$C$15:$H$244,6,FALSE)</f>
        <v>88</v>
      </c>
      <c r="E93" s="102">
        <f>VLOOKUP($B93,Clima!$W$8:$AI$1506,3,FALSE)</f>
        <v>21.7</v>
      </c>
      <c r="F93" s="102">
        <f>VLOOKUP($B93,Clima!$W$8:$AI$1506,4,FALSE)</f>
        <v>4</v>
      </c>
      <c r="G93" s="102">
        <f>VLOOKUP($B93,Clima!$W$8:$AI$1506,2,FALSE)</f>
        <v>13</v>
      </c>
      <c r="H93" s="102"/>
      <c r="I93" s="102">
        <f>VLOOKUP($B93,Clima!$W$8:$AI$1506,13,FALSE)</f>
        <v>4.5</v>
      </c>
      <c r="J93" s="102"/>
      <c r="K93" s="102"/>
      <c r="L93" s="102">
        <f>VLOOKUP($B93,Clima!$W$8:$AI$1506,12,FALSE)</f>
        <v>0</v>
      </c>
      <c r="M93" s="102">
        <f t="shared" si="4"/>
        <v>0</v>
      </c>
      <c r="N93" s="257">
        <f>VLOOKUP(B93,SWB!$C$15:$S$244,17,FALSE)</f>
        <v>0.66288346887804916</v>
      </c>
      <c r="O93" s="116"/>
      <c r="P93" s="116">
        <f>SWB!$M$4</f>
        <v>0.15</v>
      </c>
      <c r="Q93" s="257">
        <f>VLOOKUP(B93,SWB!$C$15:$AJ$244,34,FALSE)</f>
        <v>0.57250627324299941</v>
      </c>
      <c r="R93" s="257">
        <f>VLOOKUP(B93,SWB!$C$15:$V$244,20,FALSE)</f>
        <v>1.0705657633296748</v>
      </c>
      <c r="S93" s="116">
        <v>0</v>
      </c>
      <c r="T93" s="116">
        <v>5.8748000000000002E-2</v>
      </c>
      <c r="U93" s="116">
        <v>1</v>
      </c>
      <c r="V93" s="116">
        <v>0.94125199999999998</v>
      </c>
      <c r="W93" s="116">
        <v>23.5</v>
      </c>
      <c r="X93" s="257">
        <v>2.4627509999999999</v>
      </c>
      <c r="Y93" s="116">
        <v>9.51</v>
      </c>
      <c r="Z93" s="116">
        <v>1</v>
      </c>
      <c r="AA93" s="257">
        <v>0.91923699999999997</v>
      </c>
      <c r="AB93" s="116">
        <v>0</v>
      </c>
      <c r="AC93" s="257">
        <v>5.0703050000000003</v>
      </c>
      <c r="AD93" s="257">
        <v>1.1597139999999999</v>
      </c>
      <c r="AE93" s="257">
        <v>3.096435</v>
      </c>
      <c r="AF93" s="116">
        <v>0.138095</v>
      </c>
      <c r="AG93" s="116">
        <v>0.55000000000000004</v>
      </c>
      <c r="AH93" s="116">
        <v>20.714286000000001</v>
      </c>
      <c r="AI93" s="116">
        <v>11.392856999999999</v>
      </c>
      <c r="AJ93" s="116">
        <f>IFERROR(VLOOKUP($B93,SWB!C91:BE474,37,FALSE),0)</f>
        <v>0</v>
      </c>
      <c r="AK93" s="116">
        <f t="shared" si="5"/>
        <v>0</v>
      </c>
      <c r="AL93" s="116">
        <f>IFERROR(VLOOKUP($B93,SWB!C91:BE474,38,FALSE),0)</f>
        <v>0</v>
      </c>
      <c r="AM93" s="116">
        <f>IFERROR(VLOOKUP($B93,SWB!C91:BE474,38,FALSE),0)</f>
        <v>0</v>
      </c>
      <c r="AN93" s="257">
        <f>IFERROR(VLOOKUP($B93,SWB!C91:BE474,40,FALSE),0)</f>
        <v>0.69146821537342928</v>
      </c>
      <c r="AO93" s="257">
        <f>IFERROR(VLOOKUP($B93,SWB!C91:BE474,43,FALSE),0)</f>
        <v>2.2818451107323163</v>
      </c>
      <c r="AP93" s="257">
        <v>3.096435</v>
      </c>
      <c r="AQ93" s="257">
        <f>IFERROR(VLOOKUP($B93,SWB!C91:BE474,44,FALSE),0)</f>
        <v>97.047177436972547</v>
      </c>
      <c r="AR93" s="116">
        <f t="shared" si="7"/>
        <v>15</v>
      </c>
      <c r="AS93" s="116">
        <v>121.77</v>
      </c>
      <c r="AT93" s="116" t="s">
        <v>131</v>
      </c>
      <c r="AU93" s="116" t="s">
        <v>131</v>
      </c>
      <c r="AV93" s="116" t="s">
        <v>131</v>
      </c>
      <c r="AW93" s="116" t="s">
        <v>131</v>
      </c>
      <c r="AX93" s="116" t="s">
        <v>131</v>
      </c>
      <c r="AY93" s="116" t="s">
        <v>131</v>
      </c>
      <c r="AZ93" s="116"/>
      <c r="BA93" s="116" t="s">
        <v>132</v>
      </c>
      <c r="BB93" s="116"/>
    </row>
    <row r="94" spans="1:54">
      <c r="A94" s="101" t="s">
        <v>133</v>
      </c>
      <c r="B94" s="69">
        <f t="shared" si="6"/>
        <v>42093</v>
      </c>
      <c r="C94" s="101" t="s">
        <v>133</v>
      </c>
      <c r="D94" s="116">
        <f>VLOOKUP(B94,SWB!$C$15:$H$244,6,FALSE)</f>
        <v>89</v>
      </c>
      <c r="E94" s="102">
        <f>VLOOKUP($B94,Clima!$W$8:$AI$1506,3,FALSE)</f>
        <v>23.4</v>
      </c>
      <c r="F94" s="102">
        <f>VLOOKUP($B94,Clima!$W$8:$AI$1506,4,FALSE)</f>
        <v>6</v>
      </c>
      <c r="G94" s="102">
        <f>VLOOKUP($B94,Clima!$W$8:$AI$1506,2,FALSE)</f>
        <v>14.3</v>
      </c>
      <c r="H94" s="102"/>
      <c r="I94" s="102">
        <f>VLOOKUP($B94,Clima!$W$8:$AI$1506,13,FALSE)</f>
        <v>4.8</v>
      </c>
      <c r="J94" s="102"/>
      <c r="K94" s="102"/>
      <c r="L94" s="102">
        <f>VLOOKUP($B94,Clima!$W$8:$AI$1506,12,FALSE)</f>
        <v>0</v>
      </c>
      <c r="M94" s="102">
        <f t="shared" si="4"/>
        <v>0</v>
      </c>
      <c r="N94" s="257">
        <f>VLOOKUP(B94,SWB!$C$15:$S$244,17,FALSE)</f>
        <v>0.68170189709268336</v>
      </c>
      <c r="O94" s="116"/>
      <c r="P94" s="116">
        <f>SWB!$M$4</f>
        <v>0.15</v>
      </c>
      <c r="Q94" s="257">
        <f>VLOOKUP(B94,SWB!$C$15:$AJ$244,34,FALSE)</f>
        <v>0.58644584969828406</v>
      </c>
      <c r="R94" s="257">
        <f>VLOOKUP(B94,SWB!$C$15:$V$244,20,FALSE)</f>
        <v>1.0728984643271138</v>
      </c>
      <c r="S94" s="116">
        <v>0</v>
      </c>
      <c r="T94" s="116">
        <v>7.2677000000000005E-2</v>
      </c>
      <c r="U94" s="116">
        <v>1</v>
      </c>
      <c r="V94" s="116">
        <v>0.92732300000000001</v>
      </c>
      <c r="W94" s="116">
        <v>23.5</v>
      </c>
      <c r="X94" s="257">
        <v>5.0703050000000003</v>
      </c>
      <c r="Y94" s="116">
        <v>9.51</v>
      </c>
      <c r="Z94" s="116">
        <v>1</v>
      </c>
      <c r="AA94" s="257">
        <v>0.94000499999999998</v>
      </c>
      <c r="AB94" s="116">
        <v>0</v>
      </c>
      <c r="AC94" s="257">
        <v>9.023638</v>
      </c>
      <c r="AD94" s="257">
        <v>1.2031000000000001</v>
      </c>
      <c r="AE94" s="257">
        <v>4.6920890000000002</v>
      </c>
      <c r="AF94" s="116">
        <v>0.147619</v>
      </c>
      <c r="AG94" s="116">
        <v>0.55000000000000004</v>
      </c>
      <c r="AH94" s="116">
        <v>22.142856999999999</v>
      </c>
      <c r="AI94" s="116">
        <v>12.178571</v>
      </c>
      <c r="AJ94" s="116">
        <f>IFERROR(VLOOKUP($B94,SWB!C92:BE475,37,FALSE),0)</f>
        <v>0</v>
      </c>
      <c r="AK94" s="116">
        <f t="shared" si="5"/>
        <v>0</v>
      </c>
      <c r="AL94" s="116">
        <f>IFERROR(VLOOKUP($B94,SWB!C92:BE475,38,FALSE),0)</f>
        <v>0</v>
      </c>
      <c r="AM94" s="116">
        <f>IFERROR(VLOOKUP($B94,SWB!C92:BE475,38,FALSE),0)</f>
        <v>0</v>
      </c>
      <c r="AN94" s="257">
        <f>IFERROR(VLOOKUP($B94,SWB!C92:BE475,40,FALSE),0)</f>
        <v>0.70651763010484858</v>
      </c>
      <c r="AO94" s="257">
        <f>IFERROR(VLOOKUP($B94,SWB!C92:BE475,43,FALSE),0)</f>
        <v>2.3315081793460002</v>
      </c>
      <c r="AP94" s="257">
        <v>7.7885249999999999</v>
      </c>
      <c r="AQ94" s="257">
        <f>IFERROR(VLOOKUP($B94,SWB!C92:BE475,44,FALSE),0)</f>
        <v>99.378685616318549</v>
      </c>
      <c r="AR94" s="116">
        <f t="shared" si="7"/>
        <v>15</v>
      </c>
      <c r="AS94" s="116">
        <v>121.77</v>
      </c>
      <c r="AT94" s="116" t="s">
        <v>131</v>
      </c>
      <c r="AU94" s="116" t="s">
        <v>131</v>
      </c>
      <c r="AV94" s="116" t="s">
        <v>131</v>
      </c>
      <c r="AW94" s="116" t="s">
        <v>131</v>
      </c>
      <c r="AX94" s="116" t="s">
        <v>131</v>
      </c>
      <c r="AY94" s="116" t="s">
        <v>131</v>
      </c>
      <c r="AZ94" s="116"/>
      <c r="BA94" s="116" t="s">
        <v>132</v>
      </c>
      <c r="BB94" s="116"/>
    </row>
    <row r="95" spans="1:54">
      <c r="A95" s="101" t="s">
        <v>133</v>
      </c>
      <c r="B95" s="69">
        <f t="shared" si="6"/>
        <v>42094</v>
      </c>
      <c r="C95" s="101" t="s">
        <v>133</v>
      </c>
      <c r="D95" s="116">
        <f>VLOOKUP(B95,SWB!$C$15:$H$244,6,FALSE)</f>
        <v>90</v>
      </c>
      <c r="E95" s="102">
        <f>VLOOKUP($B95,Clima!$W$8:$AI$1506,3,FALSE)</f>
        <v>25.3</v>
      </c>
      <c r="F95" s="102">
        <f>VLOOKUP($B95,Clima!$W$8:$AI$1506,4,FALSE)</f>
        <v>6.2</v>
      </c>
      <c r="G95" s="102">
        <f>VLOOKUP($B95,Clima!$W$8:$AI$1506,2,FALSE)</f>
        <v>15.4</v>
      </c>
      <c r="H95" s="102"/>
      <c r="I95" s="102">
        <f>VLOOKUP($B95,Clima!$W$8:$AI$1506,13,FALSE)</f>
        <v>4.5999999999999996</v>
      </c>
      <c r="J95" s="102"/>
      <c r="K95" s="102"/>
      <c r="L95" s="102">
        <f>VLOOKUP($B95,Clima!$W$8:$AI$1506,12,FALSE)</f>
        <v>0</v>
      </c>
      <c r="M95" s="102">
        <f t="shared" si="4"/>
        <v>0</v>
      </c>
      <c r="N95" s="257">
        <f>VLOOKUP(B95,SWB!$C$15:$S$244,17,FALSE)</f>
        <v>0.70052032530731745</v>
      </c>
      <c r="O95" s="116"/>
      <c r="P95" s="116">
        <f>SWB!$M$4</f>
        <v>0.15</v>
      </c>
      <c r="Q95" s="257">
        <f>VLOOKUP(B95,SWB!$C$15:$AJ$244,34,FALSE)</f>
        <v>0.6</v>
      </c>
      <c r="R95" s="257">
        <f>VLOOKUP(B95,SWB!$C$15:$V$244,20,FALSE)</f>
        <v>1.0752311653245528</v>
      </c>
      <c r="S95" s="116">
        <v>0</v>
      </c>
      <c r="T95" s="116">
        <v>8.8392999999999999E-2</v>
      </c>
      <c r="U95" s="116">
        <v>1</v>
      </c>
      <c r="V95" s="116">
        <v>0.91160699999999995</v>
      </c>
      <c r="W95" s="116">
        <v>23.5</v>
      </c>
      <c r="X95" s="257">
        <v>9.023638</v>
      </c>
      <c r="Y95" s="116">
        <v>9.51</v>
      </c>
      <c r="Z95" s="116">
        <v>1</v>
      </c>
      <c r="AA95" s="257">
        <v>0.93405700000000003</v>
      </c>
      <c r="AB95" s="116">
        <v>0</v>
      </c>
      <c r="AC95" s="257">
        <v>14.003323</v>
      </c>
      <c r="AD95" s="257">
        <v>1.2197709999999999</v>
      </c>
      <c r="AE95" s="257">
        <v>5.9280869999999997</v>
      </c>
      <c r="AF95" s="116">
        <v>0.157143</v>
      </c>
      <c r="AG95" s="116">
        <v>0.55000000000000004</v>
      </c>
      <c r="AH95" s="116">
        <v>23.571428999999998</v>
      </c>
      <c r="AI95" s="116">
        <v>12.964286</v>
      </c>
      <c r="AJ95" s="116">
        <f>IFERROR(VLOOKUP($B95,SWB!C93:BE476,37,FALSE),0)</f>
        <v>0</v>
      </c>
      <c r="AK95" s="116">
        <f t="shared" si="5"/>
        <v>0</v>
      </c>
      <c r="AL95" s="116">
        <f>IFERROR(VLOOKUP($B95,SWB!C93:BE476,38,FALSE),0)</f>
        <v>0</v>
      </c>
      <c r="AM95" s="116">
        <f>IFERROR(VLOOKUP($B95,SWB!C93:BE476,38,FALSE),0)</f>
        <v>0</v>
      </c>
      <c r="AN95" s="257">
        <f>IFERROR(VLOOKUP($B95,SWB!C93:BE476,40,FALSE),0)</f>
        <v>0.7220515740189446</v>
      </c>
      <c r="AO95" s="257">
        <f>IFERROR(VLOOKUP($B95,SWB!C93:BE476,43,FALSE),0)</f>
        <v>3.1770269256833563</v>
      </c>
      <c r="AP95" s="257">
        <v>13.716611</v>
      </c>
      <c r="AQ95" s="257">
        <f>IFERROR(VLOOKUP($B95,SWB!C93:BE476,44,FALSE),0)</f>
        <v>102.5557125420019</v>
      </c>
      <c r="AR95" s="116">
        <f t="shared" si="7"/>
        <v>15</v>
      </c>
      <c r="AS95" s="116">
        <v>121.77</v>
      </c>
      <c r="AT95" s="116" t="s">
        <v>131</v>
      </c>
      <c r="AU95" s="116" t="s">
        <v>131</v>
      </c>
      <c r="AV95" s="116" t="s">
        <v>131</v>
      </c>
      <c r="AW95" s="116" t="s">
        <v>131</v>
      </c>
      <c r="AX95" s="116" t="s">
        <v>131</v>
      </c>
      <c r="AY95" s="116" t="s">
        <v>131</v>
      </c>
      <c r="AZ95" s="116"/>
      <c r="BA95" s="116" t="s">
        <v>132</v>
      </c>
      <c r="BB95" s="116"/>
    </row>
    <row r="96" spans="1:54">
      <c r="A96" s="101" t="s">
        <v>133</v>
      </c>
      <c r="B96" s="69">
        <f t="shared" si="6"/>
        <v>42095</v>
      </c>
      <c r="C96" s="101" t="s">
        <v>133</v>
      </c>
      <c r="D96" s="116">
        <f>VLOOKUP(B96,SWB!$C$15:$H$244,6,FALSE)</f>
        <v>91</v>
      </c>
      <c r="E96" s="102">
        <f>VLOOKUP($B96,Clima!$W$8:$AI$1506,3,FALSE)</f>
        <v>22.9</v>
      </c>
      <c r="F96" s="102">
        <f>VLOOKUP($B96,Clima!$W$8:$AI$1506,4,FALSE)</f>
        <v>4.5</v>
      </c>
      <c r="G96" s="102">
        <f>VLOOKUP($B96,Clima!$W$8:$AI$1506,2,FALSE)</f>
        <v>13.4</v>
      </c>
      <c r="H96" s="102"/>
      <c r="I96" s="102">
        <f>VLOOKUP($B96,Clima!$W$8:$AI$1506,13,FALSE)</f>
        <v>4.2</v>
      </c>
      <c r="J96" s="102"/>
      <c r="K96" s="102"/>
      <c r="L96" s="102">
        <f>VLOOKUP($B96,Clima!$W$8:$AI$1506,12,FALSE)</f>
        <v>0</v>
      </c>
      <c r="M96" s="102">
        <f t="shared" si="4"/>
        <v>0</v>
      </c>
      <c r="N96" s="257">
        <f>VLOOKUP(B96,SWB!$C$15:$S$244,17,FALSE)</f>
        <v>0.71933875352195165</v>
      </c>
      <c r="O96" s="116"/>
      <c r="P96" s="116">
        <f>SWB!$M$4</f>
        <v>0.15</v>
      </c>
      <c r="Q96" s="257">
        <f>VLOOKUP(B96,SWB!$C$15:$AJ$244,34,FALSE)</f>
        <v>0.6</v>
      </c>
      <c r="R96" s="257">
        <f>VLOOKUP(B96,SWB!$C$15:$V$244,20,FALSE)</f>
        <v>1.077563866321992</v>
      </c>
      <c r="S96" s="116">
        <v>0</v>
      </c>
      <c r="T96" s="116">
        <v>0.10088</v>
      </c>
      <c r="U96" s="116">
        <v>1</v>
      </c>
      <c r="V96" s="116">
        <v>0.89912000000000003</v>
      </c>
      <c r="W96" s="116">
        <v>23.5</v>
      </c>
      <c r="X96" s="257">
        <v>14.003323</v>
      </c>
      <c r="Y96" s="116">
        <v>9.51</v>
      </c>
      <c r="Z96" s="257">
        <v>0.67881899999999995</v>
      </c>
      <c r="AA96" s="257">
        <v>0.64961999999999998</v>
      </c>
      <c r="AB96" s="116">
        <v>0</v>
      </c>
      <c r="AC96" s="257">
        <v>17.247377</v>
      </c>
      <c r="AD96" s="257">
        <v>0.95795399999999997</v>
      </c>
      <c r="AE96" s="257">
        <v>4.3012129999999997</v>
      </c>
      <c r="AF96" s="116">
        <v>0.16666700000000001</v>
      </c>
      <c r="AG96" s="116">
        <v>0.55000000000000004</v>
      </c>
      <c r="AH96" s="116">
        <v>25</v>
      </c>
      <c r="AI96" s="116">
        <v>13.75</v>
      </c>
      <c r="AJ96" s="116">
        <f>IFERROR(VLOOKUP($B96,SWB!C94:BE477,37,FALSE),0)</f>
        <v>0</v>
      </c>
      <c r="AK96" s="116">
        <f t="shared" si="5"/>
        <v>0</v>
      </c>
      <c r="AL96" s="116">
        <f>IFERROR(VLOOKUP($B96,SWB!C94:BE477,38,FALSE),0)</f>
        <v>0</v>
      </c>
      <c r="AM96" s="116">
        <f>IFERROR(VLOOKUP($B96,SWB!C94:BE477,38,FALSE),0)</f>
        <v>0</v>
      </c>
      <c r="AN96" s="257">
        <f>IFERROR(VLOOKUP($B96,SWB!C94:BE477,40,FALSE),0)</f>
        <v>0.73736954572703728</v>
      </c>
      <c r="AO96" s="257">
        <f>IFERROR(VLOOKUP($B96,SWB!C94:BE477,43,FALSE),0)</f>
        <v>2.0646347280357045</v>
      </c>
      <c r="AP96" s="257">
        <v>18.017824000000001</v>
      </c>
      <c r="AQ96" s="257">
        <f>IFERROR(VLOOKUP($B96,SWB!C94:BE477,44,FALSE),0)</f>
        <v>104.6203472700376</v>
      </c>
      <c r="AR96" s="116">
        <f t="shared" si="7"/>
        <v>15</v>
      </c>
      <c r="AS96" s="116">
        <v>121.77</v>
      </c>
      <c r="AT96" s="116" t="s">
        <v>131</v>
      </c>
      <c r="AU96" s="116" t="s">
        <v>131</v>
      </c>
      <c r="AV96" s="116" t="s">
        <v>131</v>
      </c>
      <c r="AW96" s="116" t="s">
        <v>131</v>
      </c>
      <c r="AX96" s="116" t="s">
        <v>131</v>
      </c>
      <c r="AY96" s="116" t="s">
        <v>131</v>
      </c>
      <c r="AZ96" s="116"/>
      <c r="BA96" s="116" t="s">
        <v>132</v>
      </c>
      <c r="BB96" s="116"/>
    </row>
    <row r="97" spans="1:54">
      <c r="A97" s="101" t="s">
        <v>133</v>
      </c>
      <c r="B97" s="69">
        <f t="shared" si="6"/>
        <v>42096</v>
      </c>
      <c r="C97" s="101" t="s">
        <v>133</v>
      </c>
      <c r="D97" s="116">
        <f>VLOOKUP(B97,SWB!$C$15:$H$244,6,FALSE)</f>
        <v>92</v>
      </c>
      <c r="E97" s="102">
        <f>VLOOKUP($B97,Clima!$W$8:$AI$1506,3,FALSE)</f>
        <v>21.6</v>
      </c>
      <c r="F97" s="102">
        <f>VLOOKUP($B97,Clima!$W$8:$AI$1506,4,FALSE)</f>
        <v>4</v>
      </c>
      <c r="G97" s="102">
        <f>VLOOKUP($B97,Clima!$W$8:$AI$1506,2,FALSE)</f>
        <v>12.5</v>
      </c>
      <c r="H97" s="102"/>
      <c r="I97" s="102">
        <f>VLOOKUP($B97,Clima!$W$8:$AI$1506,13,FALSE)</f>
        <v>3.8</v>
      </c>
      <c r="J97" s="102"/>
      <c r="K97" s="102"/>
      <c r="L97" s="102">
        <f>VLOOKUP($B97,Clima!$W$8:$AI$1506,12,FALSE)</f>
        <v>0</v>
      </c>
      <c r="M97" s="102">
        <f t="shared" si="4"/>
        <v>0</v>
      </c>
      <c r="N97" s="257">
        <f>VLOOKUP(B97,SWB!$C$15:$S$244,17,FALSE)</f>
        <v>0.73815718173658584</v>
      </c>
      <c r="O97" s="116"/>
      <c r="P97" s="116">
        <f>SWB!$M$4</f>
        <v>0.15</v>
      </c>
      <c r="Q97" s="257">
        <f>VLOOKUP(B97,SWB!$C$15:$AJ$244,34,FALSE)</f>
        <v>0.6</v>
      </c>
      <c r="R97" s="257">
        <f>VLOOKUP(B97,SWB!$C$15:$V$244,20,FALSE)</f>
        <v>1.079896567319431</v>
      </c>
      <c r="S97" s="116">
        <v>0</v>
      </c>
      <c r="T97" s="116">
        <v>0.11833299999999999</v>
      </c>
      <c r="U97" s="116">
        <v>1</v>
      </c>
      <c r="V97" s="116">
        <v>0.88166699999999998</v>
      </c>
      <c r="W97" s="116">
        <v>23.5</v>
      </c>
      <c r="X97" s="257">
        <v>17.247377</v>
      </c>
      <c r="Y97" s="116">
        <v>9.51</v>
      </c>
      <c r="Z97" s="257">
        <v>0.44693500000000003</v>
      </c>
      <c r="AA97" s="257">
        <v>0.416466</v>
      </c>
      <c r="AB97" s="116">
        <v>0</v>
      </c>
      <c r="AC97" s="257">
        <v>19.500546</v>
      </c>
      <c r="AD97" s="257">
        <v>0.74741800000000003</v>
      </c>
      <c r="AE97" s="257">
        <v>3.5651860000000002</v>
      </c>
      <c r="AF97" s="116">
        <v>0.17619000000000001</v>
      </c>
      <c r="AG97" s="116">
        <v>0.55000000000000004</v>
      </c>
      <c r="AH97" s="116">
        <v>26.428571000000002</v>
      </c>
      <c r="AI97" s="116">
        <v>14.535714</v>
      </c>
      <c r="AJ97" s="116">
        <f>IFERROR(VLOOKUP($B97,SWB!C95:BE478,37,FALSE),0)</f>
        <v>0</v>
      </c>
      <c r="AK97" s="116">
        <f t="shared" si="5"/>
        <v>0</v>
      </c>
      <c r="AL97" s="116">
        <f>IFERROR(VLOOKUP($B97,SWB!C95:BE478,38,FALSE),0)</f>
        <v>0</v>
      </c>
      <c r="AM97" s="116">
        <f>IFERROR(VLOOKUP($B97,SWB!C95:BE478,38,FALSE),0)</f>
        <v>0</v>
      </c>
      <c r="AN97" s="257">
        <f>IFERROR(VLOOKUP($B97,SWB!C95:BE478,40,FALSE),0)</f>
        <v>0.75401840135222853</v>
      </c>
      <c r="AO97" s="257">
        <f>IFERROR(VLOOKUP($B97,SWB!C95:BE478,43,FALSE),0)</f>
        <v>2.3374570441919085</v>
      </c>
      <c r="AP97" s="257">
        <v>21.120799000000002</v>
      </c>
      <c r="AQ97" s="257">
        <f>IFERROR(VLOOKUP($B97,SWB!C95:BE478,44,FALSE),0)</f>
        <v>106.95780431422951</v>
      </c>
      <c r="AR97" s="116">
        <f t="shared" si="7"/>
        <v>15</v>
      </c>
      <c r="AS97" s="116">
        <v>121.77</v>
      </c>
      <c r="AT97" s="116" t="s">
        <v>131</v>
      </c>
      <c r="AU97" s="116" t="s">
        <v>131</v>
      </c>
      <c r="AV97" s="116" t="s">
        <v>131</v>
      </c>
      <c r="AW97" s="116" t="s">
        <v>131</v>
      </c>
      <c r="AX97" s="116" t="s">
        <v>131</v>
      </c>
      <c r="AY97" s="116" t="s">
        <v>131</v>
      </c>
      <c r="AZ97" s="116"/>
      <c r="BA97" s="116" t="s">
        <v>132</v>
      </c>
      <c r="BB97" s="116"/>
    </row>
    <row r="98" spans="1:54">
      <c r="A98" s="101" t="s">
        <v>133</v>
      </c>
      <c r="B98" s="69">
        <f t="shared" si="6"/>
        <v>42097</v>
      </c>
      <c r="C98" s="101" t="s">
        <v>133</v>
      </c>
      <c r="D98" s="116">
        <f>VLOOKUP(B98,SWB!$C$15:$H$244,6,FALSE)</f>
        <v>93</v>
      </c>
      <c r="E98" s="102">
        <f>VLOOKUP($B98,Clima!$W$8:$AI$1506,3,FALSE)</f>
        <v>23.1</v>
      </c>
      <c r="F98" s="102">
        <f>VLOOKUP($B98,Clima!$W$8:$AI$1506,4,FALSE)</f>
        <v>2.2000000000000002</v>
      </c>
      <c r="G98" s="102">
        <f>VLOOKUP($B98,Clima!$W$8:$AI$1506,2,FALSE)</f>
        <v>13.8</v>
      </c>
      <c r="H98" s="102"/>
      <c r="I98" s="102">
        <f>VLOOKUP($B98,Clima!$W$8:$AI$1506,13,FALSE)</f>
        <v>3.7</v>
      </c>
      <c r="J98" s="102"/>
      <c r="K98" s="102"/>
      <c r="L98" s="102">
        <f>VLOOKUP($B98,Clima!$W$8:$AI$1506,12,FALSE)</f>
        <v>0</v>
      </c>
      <c r="M98" s="102">
        <f t="shared" si="4"/>
        <v>0</v>
      </c>
      <c r="N98" s="257">
        <f>VLOOKUP(B98,SWB!$C$15:$S$244,17,FALSE)</f>
        <v>0.75697560995122004</v>
      </c>
      <c r="O98" s="116"/>
      <c r="P98" s="116">
        <f>SWB!$M$4</f>
        <v>0.15</v>
      </c>
      <c r="Q98" s="257">
        <f>VLOOKUP(B98,SWB!$C$15:$AJ$244,34,FALSE)</f>
        <v>0.6</v>
      </c>
      <c r="R98" s="257">
        <f>VLOOKUP(B98,SWB!$C$15:$V$244,20,FALSE)</f>
        <v>1.0822292683168699</v>
      </c>
      <c r="S98" s="116">
        <v>0</v>
      </c>
      <c r="T98" s="116">
        <v>0.14024700000000001</v>
      </c>
      <c r="U98" s="116">
        <v>1</v>
      </c>
      <c r="V98" s="116">
        <v>0.85975299999999999</v>
      </c>
      <c r="W98" s="116">
        <v>23.5</v>
      </c>
      <c r="X98" s="257">
        <v>19.500546</v>
      </c>
      <c r="Y98" s="116">
        <v>9.51</v>
      </c>
      <c r="Z98" s="257">
        <v>0.28587899999999999</v>
      </c>
      <c r="AA98" s="257">
        <v>0.25150800000000001</v>
      </c>
      <c r="AB98" s="116">
        <v>0</v>
      </c>
      <c r="AC98" s="257">
        <v>20.840358999999999</v>
      </c>
      <c r="AD98" s="257">
        <v>0.60507999999999995</v>
      </c>
      <c r="AE98" s="257">
        <v>2.7712659999999998</v>
      </c>
      <c r="AF98" s="116">
        <v>0.18571399999999999</v>
      </c>
      <c r="AG98" s="116">
        <v>0.55000000000000004</v>
      </c>
      <c r="AH98" s="116">
        <v>27.857143000000001</v>
      </c>
      <c r="AI98" s="116">
        <v>15.321429</v>
      </c>
      <c r="AJ98" s="116">
        <f>IFERROR(VLOOKUP($B98,SWB!C96:BE479,37,FALSE),0)</f>
        <v>0</v>
      </c>
      <c r="AK98" s="116">
        <f t="shared" si="5"/>
        <v>0</v>
      </c>
      <c r="AL98" s="116">
        <f>IFERROR(VLOOKUP($B98,SWB!C96:BE479,38,FALSE),0)</f>
        <v>0</v>
      </c>
      <c r="AM98" s="116">
        <f>IFERROR(VLOOKUP($B98,SWB!C96:BE479,38,FALSE),0)</f>
        <v>0</v>
      </c>
      <c r="AN98" s="257">
        <f>IFERROR(VLOOKUP($B98,SWB!C96:BE479,40,FALSE),0)</f>
        <v>0.77078844651761091</v>
      </c>
      <c r="AO98" s="257">
        <f>IFERROR(VLOOKUP($B98,SWB!C96:BE479,43,FALSE),0)</f>
        <v>2.5436018735081158</v>
      </c>
      <c r="AP98" s="257">
        <v>23.142904999999999</v>
      </c>
      <c r="AQ98" s="257">
        <f>IFERROR(VLOOKUP($B98,SWB!C96:BE479,44,FALSE),0)</f>
        <v>109.50140618773762</v>
      </c>
      <c r="AR98" s="116">
        <f t="shared" si="7"/>
        <v>15</v>
      </c>
      <c r="AS98" s="116">
        <v>121.77</v>
      </c>
      <c r="AT98" s="116" t="s">
        <v>131</v>
      </c>
      <c r="AU98" s="116" t="s">
        <v>131</v>
      </c>
      <c r="AV98" s="116" t="s">
        <v>131</v>
      </c>
      <c r="AW98" s="116" t="s">
        <v>131</v>
      </c>
      <c r="AX98" s="116" t="s">
        <v>131</v>
      </c>
      <c r="AY98" s="116" t="s">
        <v>131</v>
      </c>
      <c r="AZ98" s="116"/>
      <c r="BA98" s="116" t="s">
        <v>132</v>
      </c>
      <c r="BB98" s="116"/>
    </row>
    <row r="99" spans="1:54">
      <c r="A99" s="101" t="s">
        <v>133</v>
      </c>
      <c r="B99" s="69">
        <f t="shared" si="6"/>
        <v>42098</v>
      </c>
      <c r="C99" s="101" t="s">
        <v>133</v>
      </c>
      <c r="D99" s="116">
        <f>VLOOKUP(B99,SWB!$C$15:$H$244,6,FALSE)</f>
        <v>94</v>
      </c>
      <c r="E99" s="102">
        <f>VLOOKUP($B99,Clima!$W$8:$AI$1506,3,FALSE)</f>
        <v>20.2</v>
      </c>
      <c r="F99" s="102">
        <f>VLOOKUP($B99,Clima!$W$8:$AI$1506,4,FALSE)</f>
        <v>7.6</v>
      </c>
      <c r="G99" s="102">
        <f>VLOOKUP($B99,Clima!$W$8:$AI$1506,2,FALSE)</f>
        <v>13.6</v>
      </c>
      <c r="H99" s="102"/>
      <c r="I99" s="102">
        <f>VLOOKUP($B99,Clima!$W$8:$AI$1506,13,FALSE)</f>
        <v>3.5</v>
      </c>
      <c r="J99" s="102"/>
      <c r="K99" s="102"/>
      <c r="L99" s="102">
        <f>VLOOKUP($B99,Clima!$W$8:$AI$1506,12,FALSE)</f>
        <v>0</v>
      </c>
      <c r="M99" s="102">
        <f t="shared" si="4"/>
        <v>0</v>
      </c>
      <c r="N99" s="257">
        <f>VLOOKUP(B99,SWB!$C$15:$S$244,17,FALSE)</f>
        <v>0.77579403816585413</v>
      </c>
      <c r="O99" s="116"/>
      <c r="P99" s="116">
        <f>SWB!$M$4</f>
        <v>0.15</v>
      </c>
      <c r="Q99" s="257">
        <f>VLOOKUP(B99,SWB!$C$15:$AJ$244,34,FALSE)</f>
        <v>0.6</v>
      </c>
      <c r="R99" s="257">
        <f>VLOOKUP(B99,SWB!$C$15:$V$244,20,FALSE)</f>
        <v>1.0845619693143089</v>
      </c>
      <c r="S99" s="116">
        <v>0</v>
      </c>
      <c r="T99" s="116">
        <v>0.15871499999999999</v>
      </c>
      <c r="U99" s="116">
        <v>1</v>
      </c>
      <c r="V99" s="116">
        <v>0.84128499999999995</v>
      </c>
      <c r="W99" s="116">
        <v>23.5</v>
      </c>
      <c r="X99" s="257">
        <v>20.840358999999999</v>
      </c>
      <c r="Y99" s="116">
        <v>9.51</v>
      </c>
      <c r="Z99" s="257">
        <v>0.19011</v>
      </c>
      <c r="AA99" s="257">
        <v>0.162969</v>
      </c>
      <c r="AB99" s="116">
        <v>0</v>
      </c>
      <c r="AC99" s="257">
        <v>21.650086000000002</v>
      </c>
      <c r="AD99" s="257">
        <v>0.53915999999999997</v>
      </c>
      <c r="AE99" s="257">
        <v>2.2536879999999999</v>
      </c>
      <c r="AF99" s="116">
        <v>0.19523799999999999</v>
      </c>
      <c r="AG99" s="116">
        <v>0.55000000000000004</v>
      </c>
      <c r="AH99" s="116">
        <v>29.285713999999999</v>
      </c>
      <c r="AI99" s="116">
        <v>16.107143000000001</v>
      </c>
      <c r="AJ99" s="116">
        <f>IFERROR(VLOOKUP($B99,SWB!C97:BE480,37,FALSE),0)</f>
        <v>0</v>
      </c>
      <c r="AK99" s="116">
        <f t="shared" si="5"/>
        <v>0</v>
      </c>
      <c r="AL99" s="116">
        <f>IFERROR(VLOOKUP($B99,SWB!C97:BE480,38,FALSE),0)</f>
        <v>0</v>
      </c>
      <c r="AM99" s="116">
        <f>IFERROR(VLOOKUP($B99,SWB!C97:BE480,38,FALSE),0)</f>
        <v>0</v>
      </c>
      <c r="AN99" s="257">
        <f>IFERROR(VLOOKUP($B99,SWB!C97:BE480,40,FALSE),0)</f>
        <v>0.78773858179478662</v>
      </c>
      <c r="AO99" s="257">
        <f>IFERROR(VLOOKUP($B99,SWB!C97:BE480,43,FALSE),0)</f>
        <v>3.229728185358625</v>
      </c>
      <c r="AP99" s="257">
        <v>24.557081</v>
      </c>
      <c r="AQ99" s="257">
        <f>IFERROR(VLOOKUP($B99,SWB!C97:BE480,44,FALSE),0)</f>
        <v>112.73113437309624</v>
      </c>
      <c r="AR99" s="116">
        <f t="shared" si="7"/>
        <v>15</v>
      </c>
      <c r="AS99" s="116">
        <v>121.77</v>
      </c>
      <c r="AT99" s="116" t="s">
        <v>131</v>
      </c>
      <c r="AU99" s="116" t="s">
        <v>131</v>
      </c>
      <c r="AV99" s="116" t="s">
        <v>131</v>
      </c>
      <c r="AW99" s="116" t="s">
        <v>131</v>
      </c>
      <c r="AX99" s="116" t="s">
        <v>131</v>
      </c>
      <c r="AY99" s="116" t="s">
        <v>131</v>
      </c>
      <c r="AZ99" s="116"/>
      <c r="BA99" s="116" t="s">
        <v>132</v>
      </c>
      <c r="BB99" s="116"/>
    </row>
    <row r="100" spans="1:54">
      <c r="A100" s="101" t="s">
        <v>133</v>
      </c>
      <c r="B100" s="69">
        <f t="shared" si="6"/>
        <v>42099</v>
      </c>
      <c r="C100" s="101" t="s">
        <v>133</v>
      </c>
      <c r="D100" s="116">
        <f>VLOOKUP(B100,SWB!$C$15:$H$244,6,FALSE)</f>
        <v>95</v>
      </c>
      <c r="E100" s="102">
        <f>VLOOKUP($B100,Clima!$W$8:$AI$1506,3,FALSE)</f>
        <v>22.1</v>
      </c>
      <c r="F100" s="102">
        <f>VLOOKUP($B100,Clima!$W$8:$AI$1506,4,FALSE)</f>
        <v>5.4</v>
      </c>
      <c r="G100" s="102">
        <f>VLOOKUP($B100,Clima!$W$8:$AI$1506,2,FALSE)</f>
        <v>12.5</v>
      </c>
      <c r="H100" s="102"/>
      <c r="I100" s="102">
        <f>VLOOKUP($B100,Clima!$W$8:$AI$1506,13,FALSE)</f>
        <v>4.4000000000000004</v>
      </c>
      <c r="J100" s="102"/>
      <c r="K100" s="102"/>
      <c r="L100" s="102">
        <f>VLOOKUP($B100,Clima!$W$8:$AI$1506,12,FALSE)</f>
        <v>0</v>
      </c>
      <c r="M100" s="102">
        <f t="shared" si="4"/>
        <v>0</v>
      </c>
      <c r="N100" s="257">
        <f>VLOOKUP(B100,SWB!$C$15:$S$244,17,FALSE)</f>
        <v>0.79461246638048832</v>
      </c>
      <c r="O100" s="116"/>
      <c r="P100" s="116">
        <f>SWB!$M$4</f>
        <v>0.15</v>
      </c>
      <c r="Q100" s="257">
        <f>VLOOKUP(B100,SWB!$C$15:$AJ$244,34,FALSE)</f>
        <v>0.6</v>
      </c>
      <c r="R100" s="257">
        <f>VLOOKUP(B100,SWB!$C$15:$V$244,20,FALSE)</f>
        <v>1.0868946703117479</v>
      </c>
      <c r="S100" s="116">
        <v>0</v>
      </c>
      <c r="T100" s="116">
        <v>0.18092900000000001</v>
      </c>
      <c r="U100" s="116">
        <v>1</v>
      </c>
      <c r="V100" s="116">
        <v>0.81907099999999999</v>
      </c>
      <c r="W100" s="116">
        <v>23.5</v>
      </c>
      <c r="X100" s="257">
        <v>21.650086000000002</v>
      </c>
      <c r="Y100" s="116">
        <v>9.51</v>
      </c>
      <c r="Z100" s="257">
        <v>0.13223099999999999</v>
      </c>
      <c r="AA100" s="257">
        <v>0.10806300000000001</v>
      </c>
      <c r="AB100" s="116">
        <v>0</v>
      </c>
      <c r="AC100" s="257">
        <v>22.147478</v>
      </c>
      <c r="AD100" s="257">
        <v>0.50687300000000002</v>
      </c>
      <c r="AE100" s="257">
        <v>1.910911</v>
      </c>
      <c r="AF100" s="116">
        <v>0.204762</v>
      </c>
      <c r="AG100" s="116">
        <v>0.55000000000000004</v>
      </c>
      <c r="AH100" s="116">
        <v>30.714286000000001</v>
      </c>
      <c r="AI100" s="116">
        <v>16.892856999999999</v>
      </c>
      <c r="AJ100" s="116">
        <f>IFERROR(VLOOKUP($B100,SWB!C98:BE481,37,FALSE),0)</f>
        <v>0</v>
      </c>
      <c r="AK100" s="116">
        <f t="shared" si="5"/>
        <v>0</v>
      </c>
      <c r="AL100" s="116">
        <f>IFERROR(VLOOKUP($B100,SWB!C98:BE481,38,FALSE),0)</f>
        <v>0</v>
      </c>
      <c r="AM100" s="116">
        <f>IFERROR(VLOOKUP($B100,SWB!C98:BE481,38,FALSE),0)</f>
        <v>0</v>
      </c>
      <c r="AN100" s="257">
        <f>IFERROR(VLOOKUP($B100,SWB!C98:BE481,40,FALSE),0)</f>
        <v>0.80468886230166203</v>
      </c>
      <c r="AO100" s="257">
        <f>IFERROR(VLOOKUP($B100,SWB!C98:BE481,43,FALSE),0)</f>
        <v>0.88515774853182827</v>
      </c>
      <c r="AP100" s="257">
        <v>25.634267999999999</v>
      </c>
      <c r="AQ100" s="257">
        <f>IFERROR(VLOOKUP($B100,SWB!C98:BE481,44,FALSE),0)</f>
        <v>113.61629212162806</v>
      </c>
      <c r="AR100" s="116">
        <f t="shared" si="7"/>
        <v>15</v>
      </c>
      <c r="AS100" s="116">
        <v>121.77</v>
      </c>
      <c r="AT100" s="116" t="s">
        <v>131</v>
      </c>
      <c r="AU100" s="116" t="s">
        <v>131</v>
      </c>
      <c r="AV100" s="116" t="s">
        <v>131</v>
      </c>
      <c r="AW100" s="116" t="s">
        <v>131</v>
      </c>
      <c r="AX100" s="116" t="s">
        <v>131</v>
      </c>
      <c r="AY100" s="116" t="s">
        <v>131</v>
      </c>
      <c r="AZ100" s="116"/>
      <c r="BA100" s="116" t="s">
        <v>132</v>
      </c>
      <c r="BB100" s="116"/>
    </row>
    <row r="101" spans="1:54">
      <c r="A101" s="101" t="s">
        <v>133</v>
      </c>
      <c r="B101" s="69">
        <f t="shared" si="6"/>
        <v>42100</v>
      </c>
      <c r="C101" s="101" t="s">
        <v>133</v>
      </c>
      <c r="D101" s="116">
        <f>VLOOKUP(B101,SWB!$C$15:$H$244,6,FALSE)</f>
        <v>96</v>
      </c>
      <c r="E101" s="102">
        <f>VLOOKUP($B101,Clima!$W$8:$AI$1506,3,FALSE)</f>
        <v>13</v>
      </c>
      <c r="F101" s="102">
        <f>VLOOKUP($B101,Clima!$W$8:$AI$1506,4,FALSE)</f>
        <v>6</v>
      </c>
      <c r="G101" s="102">
        <f>VLOOKUP($B101,Clima!$W$8:$AI$1506,2,FALSE)</f>
        <v>10.199999999999999</v>
      </c>
      <c r="H101" s="102"/>
      <c r="I101" s="102">
        <f>VLOOKUP($B101,Clima!$W$8:$AI$1506,13,FALSE)</f>
        <v>1.7</v>
      </c>
      <c r="J101" s="102"/>
      <c r="K101" s="102"/>
      <c r="L101" s="102">
        <f>VLOOKUP($B101,Clima!$W$8:$AI$1506,12,FALSE)</f>
        <v>0</v>
      </c>
      <c r="M101" s="102">
        <f t="shared" si="4"/>
        <v>0</v>
      </c>
      <c r="N101" s="257">
        <f>VLOOKUP(B101,SWB!$C$15:$S$244,17,FALSE)</f>
        <v>0.81343089459512252</v>
      </c>
      <c r="O101" s="116"/>
      <c r="P101" s="116">
        <f>SWB!$M$4</f>
        <v>0.15</v>
      </c>
      <c r="Q101" s="257">
        <f>VLOOKUP(B101,SWB!$C$15:$AJ$244,34,FALSE)</f>
        <v>0.6</v>
      </c>
      <c r="R101" s="257">
        <f>VLOOKUP(B101,SWB!$C$15:$V$244,20,FALSE)</f>
        <v>1.0892273713091871</v>
      </c>
      <c r="S101" s="116">
        <v>0</v>
      </c>
      <c r="T101" s="116">
        <v>0.19785800000000001</v>
      </c>
      <c r="U101" s="116">
        <v>1</v>
      </c>
      <c r="V101" s="116">
        <v>0.80214200000000002</v>
      </c>
      <c r="W101" s="116">
        <v>23.5</v>
      </c>
      <c r="X101" s="257">
        <v>22.147478</v>
      </c>
      <c r="Y101" s="116">
        <v>9.51</v>
      </c>
      <c r="Z101" s="257">
        <v>9.6678E-2</v>
      </c>
      <c r="AA101" s="257">
        <v>7.7950000000000005E-2</v>
      </c>
      <c r="AB101" s="116">
        <v>0</v>
      </c>
      <c r="AC101" s="257">
        <v>22.507034000000001</v>
      </c>
      <c r="AD101" s="257">
        <v>0.49937900000000002</v>
      </c>
      <c r="AE101" s="257">
        <v>1.847701</v>
      </c>
      <c r="AF101" s="116">
        <v>0.214286</v>
      </c>
      <c r="AG101" s="116">
        <v>0.55000000000000004</v>
      </c>
      <c r="AH101" s="116">
        <v>32.142856999999999</v>
      </c>
      <c r="AI101" s="116">
        <v>17.678571000000002</v>
      </c>
      <c r="AJ101" s="116">
        <f>IFERROR(VLOOKUP($B101,SWB!C99:BE482,37,FALSE),0)</f>
        <v>0</v>
      </c>
      <c r="AK101" s="116">
        <f t="shared" si="5"/>
        <v>0</v>
      </c>
      <c r="AL101" s="116">
        <f>IFERROR(VLOOKUP($B101,SWB!C99:BE482,38,FALSE),0)</f>
        <v>0</v>
      </c>
      <c r="AM101" s="116">
        <f>IFERROR(VLOOKUP($B101,SWB!C99:BE482,38,FALSE),0)</f>
        <v>0</v>
      </c>
      <c r="AN101" s="257">
        <f>IFERROR(VLOOKUP($B101,SWB!C99:BE482,40,FALSE),0)</f>
        <v>0.82266646161559154</v>
      </c>
      <c r="AO101" s="257">
        <f>IFERROR(VLOOKUP($B101,SWB!C99:BE482,43,FALSE),0)</f>
        <v>1.151733046261828</v>
      </c>
      <c r="AP101" s="257">
        <v>26.624324999999999</v>
      </c>
      <c r="AQ101" s="257">
        <f>IFERROR(VLOOKUP($B101,SWB!C99:BE482,44,FALSE),0)</f>
        <v>114.76802516788989</v>
      </c>
      <c r="AR101" s="116">
        <f t="shared" si="7"/>
        <v>15</v>
      </c>
      <c r="AS101" s="116">
        <v>121.77</v>
      </c>
      <c r="AT101" s="116" t="s">
        <v>131</v>
      </c>
      <c r="AU101" s="116" t="s">
        <v>131</v>
      </c>
      <c r="AV101" s="116" t="s">
        <v>131</v>
      </c>
      <c r="AW101" s="116" t="s">
        <v>131</v>
      </c>
      <c r="AX101" s="116" t="s">
        <v>131</v>
      </c>
      <c r="AY101" s="116" t="s">
        <v>131</v>
      </c>
      <c r="AZ101" s="116"/>
      <c r="BA101" s="116" t="s">
        <v>132</v>
      </c>
      <c r="BB101" s="116"/>
    </row>
    <row r="102" spans="1:54">
      <c r="A102" s="101" t="s">
        <v>133</v>
      </c>
      <c r="B102" s="69">
        <f t="shared" si="6"/>
        <v>42101</v>
      </c>
      <c r="C102" s="101" t="s">
        <v>133</v>
      </c>
      <c r="D102" s="116">
        <f>VLOOKUP(B102,SWB!$C$15:$H$244,6,FALSE)</f>
        <v>97</v>
      </c>
      <c r="E102" s="102">
        <f>VLOOKUP($B102,Clima!$W$8:$AI$1506,3,FALSE)</f>
        <v>12.9</v>
      </c>
      <c r="F102" s="102">
        <f>VLOOKUP($B102,Clima!$W$8:$AI$1506,4,FALSE)</f>
        <v>5.3</v>
      </c>
      <c r="G102" s="102">
        <f>VLOOKUP($B102,Clima!$W$8:$AI$1506,2,FALSE)</f>
        <v>8.6</v>
      </c>
      <c r="H102" s="102"/>
      <c r="I102" s="102">
        <f>VLOOKUP($B102,Clima!$W$8:$AI$1506,13,FALSE)</f>
        <v>2.7</v>
      </c>
      <c r="J102" s="102"/>
      <c r="K102" s="102"/>
      <c r="L102" s="102">
        <f>VLOOKUP($B102,Clima!$W$8:$AI$1506,12,FALSE)</f>
        <v>0</v>
      </c>
      <c r="M102" s="102">
        <f t="shared" si="4"/>
        <v>0</v>
      </c>
      <c r="N102" s="257">
        <f>VLOOKUP(B102,SWB!$C$15:$S$244,17,FALSE)</f>
        <v>0.83224932280975672</v>
      </c>
      <c r="O102" s="116"/>
      <c r="P102" s="116">
        <f>SWB!$M$4</f>
        <v>0.15</v>
      </c>
      <c r="Q102" s="257">
        <f>VLOOKUP(B102,SWB!$C$15:$AJ$244,34,FALSE)</f>
        <v>0.6</v>
      </c>
      <c r="R102" s="257">
        <f>VLOOKUP(B102,SWB!$C$15:$V$244,20,FALSE)</f>
        <v>1.0915600723066259</v>
      </c>
      <c r="S102" s="116">
        <v>0</v>
      </c>
      <c r="T102" s="116">
        <v>0.218469</v>
      </c>
      <c r="U102" s="116">
        <v>1</v>
      </c>
      <c r="V102" s="116">
        <v>0.78153099999999998</v>
      </c>
      <c r="W102" s="116">
        <v>23.5</v>
      </c>
      <c r="X102" s="257">
        <v>22.507034000000001</v>
      </c>
      <c r="Y102" s="116">
        <v>9.51</v>
      </c>
      <c r="Z102" s="257">
        <v>7.0976999999999998E-2</v>
      </c>
      <c r="AA102" s="257">
        <v>5.5294000000000003E-2</v>
      </c>
      <c r="AB102" s="116">
        <v>0</v>
      </c>
      <c r="AC102" s="257">
        <v>22.751833999999999</v>
      </c>
      <c r="AD102" s="257">
        <v>0.49934200000000001</v>
      </c>
      <c r="AE102" s="257">
        <v>1.7277229999999999</v>
      </c>
      <c r="AF102" s="116">
        <v>0.22381000000000001</v>
      </c>
      <c r="AG102" s="116">
        <v>0.55000000000000004</v>
      </c>
      <c r="AH102" s="116">
        <v>33.571429000000002</v>
      </c>
      <c r="AI102" s="116">
        <v>18.464286000000001</v>
      </c>
      <c r="AJ102" s="116">
        <f>IFERROR(VLOOKUP($B102,SWB!C100:BE483,37,FALSE),0)</f>
        <v>0</v>
      </c>
      <c r="AK102" s="116">
        <f t="shared" si="5"/>
        <v>0</v>
      </c>
      <c r="AL102" s="116">
        <f>IFERROR(VLOOKUP($B102,SWB!C100:BE483,38,FALSE),0)</f>
        <v>0</v>
      </c>
      <c r="AM102" s="116">
        <f>IFERROR(VLOOKUP($B102,SWB!C100:BE483,38,FALSE),0)</f>
        <v>0</v>
      </c>
      <c r="AN102" s="257">
        <f>IFERROR(VLOOKUP($B102,SWB!C100:BE483,40,FALSE),0)</f>
        <v>0.84062250200561905</v>
      </c>
      <c r="AO102" s="257">
        <f>IFERROR(VLOOKUP($B102,SWB!C100:BE483,43,FALSE),0)</f>
        <v>2.5218675060168572</v>
      </c>
      <c r="AP102" s="257">
        <v>27.522168000000001</v>
      </c>
      <c r="AQ102" s="257">
        <f>IFERROR(VLOOKUP($B102,SWB!C100:BE483,44,FALSE),0)</f>
        <v>117.28989267390675</v>
      </c>
      <c r="AR102" s="116">
        <f t="shared" si="7"/>
        <v>15</v>
      </c>
      <c r="AS102" s="116">
        <v>121.77</v>
      </c>
      <c r="AT102" s="116" t="s">
        <v>131</v>
      </c>
      <c r="AU102" s="116" t="s">
        <v>131</v>
      </c>
      <c r="AV102" s="116" t="s">
        <v>131</v>
      </c>
      <c r="AW102" s="116" t="s">
        <v>131</v>
      </c>
      <c r="AX102" s="116" t="s">
        <v>131</v>
      </c>
      <c r="AY102" s="116" t="s">
        <v>131</v>
      </c>
      <c r="AZ102" s="116"/>
      <c r="BA102" s="116" t="s">
        <v>132</v>
      </c>
      <c r="BB102" s="116"/>
    </row>
    <row r="103" spans="1:54">
      <c r="A103" s="101" t="s">
        <v>133</v>
      </c>
      <c r="B103" s="69">
        <f t="shared" si="6"/>
        <v>42102</v>
      </c>
      <c r="C103" s="101" t="s">
        <v>133</v>
      </c>
      <c r="D103" s="116">
        <f>VLOOKUP(B103,SWB!$C$15:$H$244,6,FALSE)</f>
        <v>98</v>
      </c>
      <c r="E103" s="102">
        <f>VLOOKUP($B103,Clima!$W$8:$AI$1506,3,FALSE)</f>
        <v>15.5</v>
      </c>
      <c r="F103" s="102">
        <f>VLOOKUP($B103,Clima!$W$8:$AI$1506,4,FALSE)</f>
        <v>3.5</v>
      </c>
      <c r="G103" s="102">
        <f>VLOOKUP($B103,Clima!$W$8:$AI$1506,2,FALSE)</f>
        <v>9</v>
      </c>
      <c r="H103" s="102"/>
      <c r="I103" s="102">
        <f>VLOOKUP($B103,Clima!$W$8:$AI$1506,13,FALSE)</f>
        <v>4</v>
      </c>
      <c r="J103" s="102"/>
      <c r="K103" s="102"/>
      <c r="L103" s="102">
        <f>VLOOKUP($B103,Clima!$W$8:$AI$1506,12,FALSE)</f>
        <v>0</v>
      </c>
      <c r="M103" s="102">
        <f t="shared" si="4"/>
        <v>0</v>
      </c>
      <c r="N103" s="257">
        <f>VLOOKUP(B103,SWB!$C$15:$S$244,17,FALSE)</f>
        <v>0.85106775102439081</v>
      </c>
      <c r="O103" s="116"/>
      <c r="P103" s="116">
        <f>SWB!$M$4</f>
        <v>0.15</v>
      </c>
      <c r="Q103" s="257">
        <f>VLOOKUP(B103,SWB!$C$15:$AJ$244,34,FALSE)</f>
        <v>0.6</v>
      </c>
      <c r="R103" s="257">
        <f>VLOOKUP(B103,SWB!$C$15:$V$244,20,FALSE)</f>
        <v>1.0938927733040651</v>
      </c>
      <c r="S103" s="116">
        <v>0</v>
      </c>
      <c r="T103" s="116">
        <v>0.23077800000000001</v>
      </c>
      <c r="U103" s="116">
        <v>1</v>
      </c>
      <c r="V103" s="116">
        <v>0.76922199999999996</v>
      </c>
      <c r="W103" s="116">
        <v>23.5</v>
      </c>
      <c r="X103" s="257">
        <v>22.751833999999999</v>
      </c>
      <c r="Y103" s="116">
        <v>9.51</v>
      </c>
      <c r="Z103" s="257">
        <v>5.3478999999999999E-2</v>
      </c>
      <c r="AA103" s="257">
        <v>4.2050999999999998E-2</v>
      </c>
      <c r="AB103" s="116">
        <v>0</v>
      </c>
      <c r="AC103" s="257">
        <v>22.991820000000001</v>
      </c>
      <c r="AD103" s="257">
        <v>0.50871699999999997</v>
      </c>
      <c r="AE103" s="257">
        <v>2.2332689999999999</v>
      </c>
      <c r="AF103" s="116">
        <v>0.23333300000000001</v>
      </c>
      <c r="AG103" s="116">
        <v>0.55000000000000004</v>
      </c>
      <c r="AH103" s="116">
        <v>35</v>
      </c>
      <c r="AI103" s="116">
        <v>19.25</v>
      </c>
      <c r="AJ103" s="116">
        <f>IFERROR(VLOOKUP($B103,SWB!C101:BE484,37,FALSE),0)</f>
        <v>0</v>
      </c>
      <c r="AK103" s="116">
        <f t="shared" si="5"/>
        <v>0</v>
      </c>
      <c r="AL103" s="116">
        <f>IFERROR(VLOOKUP($B103,SWB!C101:BE484,38,FALSE),0)</f>
        <v>0</v>
      </c>
      <c r="AM103" s="116">
        <f>IFERROR(VLOOKUP($B103,SWB!C101:BE484,38,FALSE),0)</f>
        <v>0</v>
      </c>
      <c r="AN103" s="257">
        <f>IFERROR(VLOOKUP($B103,SWB!C101:BE484,40,FALSE),0)</f>
        <v>0.85832149594324825</v>
      </c>
      <c r="AO103" s="257">
        <f>IFERROR(VLOOKUP($B103,SWB!C101:BE484,43,FALSE),0)</f>
        <v>3.2616216845843433</v>
      </c>
      <c r="AP103" s="257">
        <v>28.679442000000002</v>
      </c>
      <c r="AQ103" s="257">
        <f>IFERROR(VLOOKUP($B103,SWB!C101:BE484,44,FALSE),0)</f>
        <v>120.55151435849109</v>
      </c>
      <c r="AR103" s="116">
        <f t="shared" si="7"/>
        <v>15</v>
      </c>
      <c r="AS103" s="116">
        <v>121.77</v>
      </c>
      <c r="AT103" s="116" t="s">
        <v>131</v>
      </c>
      <c r="AU103" s="116" t="s">
        <v>131</v>
      </c>
      <c r="AV103" s="116" t="s">
        <v>131</v>
      </c>
      <c r="AW103" s="116" t="s">
        <v>131</v>
      </c>
      <c r="AX103" s="116" t="s">
        <v>131</v>
      </c>
      <c r="AY103" s="116" t="s">
        <v>131</v>
      </c>
      <c r="AZ103" s="116"/>
      <c r="BA103" s="116" t="s">
        <v>132</v>
      </c>
      <c r="BB103" s="116"/>
    </row>
    <row r="104" spans="1:54">
      <c r="A104" s="101" t="s">
        <v>133</v>
      </c>
      <c r="B104" s="69">
        <f t="shared" si="6"/>
        <v>42103</v>
      </c>
      <c r="C104" s="101" t="s">
        <v>133</v>
      </c>
      <c r="D104" s="116">
        <f>VLOOKUP(B104,SWB!$C$15:$H$244,6,FALSE)</f>
        <v>99</v>
      </c>
      <c r="E104" s="102">
        <f>VLOOKUP($B104,Clima!$W$8:$AI$1506,3,FALSE)</f>
        <v>10.9</v>
      </c>
      <c r="F104" s="102">
        <f>VLOOKUP($B104,Clima!$W$8:$AI$1506,4,FALSE)</f>
        <v>4.8</v>
      </c>
      <c r="G104" s="102">
        <f>VLOOKUP($B104,Clima!$W$8:$AI$1506,2,FALSE)</f>
        <v>7.7</v>
      </c>
      <c r="H104" s="102"/>
      <c r="I104" s="102">
        <f>VLOOKUP($B104,Clima!$W$8:$AI$1506,13,FALSE)</f>
        <v>1.4</v>
      </c>
      <c r="J104" s="102"/>
      <c r="K104" s="102"/>
      <c r="L104" s="102">
        <f>VLOOKUP($B104,Clima!$W$8:$AI$1506,12,FALSE)</f>
        <v>1</v>
      </c>
      <c r="M104" s="102">
        <f t="shared" si="4"/>
        <v>1</v>
      </c>
      <c r="N104" s="257">
        <f>VLOOKUP(B104,SWB!$C$15:$S$244,17,FALSE)</f>
        <v>0.869886179239025</v>
      </c>
      <c r="O104" s="116"/>
      <c r="P104" s="116">
        <f>SWB!$M$4</f>
        <v>0.15</v>
      </c>
      <c r="Q104" s="257">
        <f>VLOOKUP(B104,SWB!$C$15:$AJ$244,34,FALSE)</f>
        <v>0.6</v>
      </c>
      <c r="R104" s="257">
        <f>VLOOKUP(B104,SWB!$C$15:$V$244,20,FALSE)</f>
        <v>1.0962254743015041</v>
      </c>
      <c r="S104" s="116">
        <v>0</v>
      </c>
      <c r="T104" s="116">
        <v>0.26946599999999998</v>
      </c>
      <c r="U104" s="116">
        <v>1</v>
      </c>
      <c r="V104" s="116">
        <v>0.73053400000000002</v>
      </c>
      <c r="W104" s="116">
        <v>23.5</v>
      </c>
      <c r="X104" s="257">
        <v>22.991820000000001</v>
      </c>
      <c r="Y104" s="116">
        <v>9.51</v>
      </c>
      <c r="Z104" s="257">
        <v>3.6325000000000003E-2</v>
      </c>
      <c r="AA104" s="257">
        <v>2.5298000000000001E-2</v>
      </c>
      <c r="AB104" s="116">
        <v>0</v>
      </c>
      <c r="AC104" s="257">
        <v>23.04965</v>
      </c>
      <c r="AD104" s="257">
        <v>0.51458300000000001</v>
      </c>
      <c r="AE104" s="257">
        <v>0.85935399999999995</v>
      </c>
      <c r="AF104" s="116">
        <v>0.24285699999999999</v>
      </c>
      <c r="AG104" s="116">
        <v>0.55000000000000004</v>
      </c>
      <c r="AH104" s="116">
        <v>36.428570999999998</v>
      </c>
      <c r="AI104" s="116">
        <v>20.035713999999999</v>
      </c>
      <c r="AJ104" s="116">
        <f>IFERROR(VLOOKUP($B104,SWB!C102:BE485,37,FALSE),0)</f>
        <v>5</v>
      </c>
      <c r="AK104" s="116">
        <f t="shared" si="5"/>
        <v>5</v>
      </c>
      <c r="AL104" s="116">
        <f>IFERROR(VLOOKUP($B104,SWB!C102:BE485,38,FALSE),0)</f>
        <v>0</v>
      </c>
      <c r="AM104" s="116">
        <f>IFERROR(VLOOKUP($B104,SWB!C102:BE485,38,FALSE),0)</f>
        <v>0</v>
      </c>
      <c r="AN104" s="257">
        <f>IFERROR(VLOOKUP($B104,SWB!C102:BE485,40,FALSE),0)</f>
        <v>0.88450970650090144</v>
      </c>
      <c r="AO104" s="257">
        <f>IFERROR(VLOOKUP($B104,SWB!C102:BE485,43,FALSE),0)</f>
        <v>3.1842349434032453</v>
      </c>
      <c r="AP104" s="257">
        <v>29.107946999999999</v>
      </c>
      <c r="AQ104" s="257">
        <f>IFERROR(VLOOKUP($B104,SWB!C102:BE485,44,FALSE),0)</f>
        <v>123.73574930189433</v>
      </c>
      <c r="AR104" s="116">
        <f t="shared" si="7"/>
        <v>15</v>
      </c>
      <c r="AS104" s="116">
        <v>121.77</v>
      </c>
      <c r="AT104" s="116" t="s">
        <v>131</v>
      </c>
      <c r="AU104" s="116" t="s">
        <v>131</v>
      </c>
      <c r="AV104" s="116" t="s">
        <v>131</v>
      </c>
      <c r="AW104" s="116" t="s">
        <v>131</v>
      </c>
      <c r="AX104" s="116" t="s">
        <v>131</v>
      </c>
      <c r="AY104" s="116" t="s">
        <v>131</v>
      </c>
      <c r="AZ104" s="116"/>
      <c r="BA104" s="116" t="s">
        <v>132</v>
      </c>
      <c r="BB104" s="116"/>
    </row>
    <row r="105" spans="1:54">
      <c r="A105" s="101" t="s">
        <v>133</v>
      </c>
      <c r="B105" s="69">
        <f t="shared" si="6"/>
        <v>42104</v>
      </c>
      <c r="C105" s="101" t="s">
        <v>133</v>
      </c>
      <c r="D105" s="116">
        <f>VLOOKUP(B105,SWB!$C$15:$H$244,6,FALSE)</f>
        <v>100</v>
      </c>
      <c r="E105" s="102">
        <f>VLOOKUP($B105,Clima!$W$8:$AI$1506,3,FALSE)</f>
        <v>18.5</v>
      </c>
      <c r="F105" s="102">
        <f>VLOOKUP($B105,Clima!$W$8:$AI$1506,4,FALSE)</f>
        <v>2.9</v>
      </c>
      <c r="G105" s="102">
        <f>VLOOKUP($B105,Clima!$W$8:$AI$1506,2,FALSE)</f>
        <v>10.5</v>
      </c>
      <c r="H105" s="102"/>
      <c r="I105" s="102">
        <f>VLOOKUP($B105,Clima!$W$8:$AI$1506,13,FALSE)</f>
        <v>3.5</v>
      </c>
      <c r="J105" s="102"/>
      <c r="K105" s="102"/>
      <c r="L105" s="102">
        <f>VLOOKUP($B105,Clima!$W$8:$AI$1506,12,FALSE)</f>
        <v>0</v>
      </c>
      <c r="M105" s="102">
        <f t="shared" si="4"/>
        <v>0</v>
      </c>
      <c r="N105" s="257">
        <f>VLOOKUP(B105,SWB!$C$15:$S$244,17,FALSE)</f>
        <v>0.8887046074536592</v>
      </c>
      <c r="O105" s="116"/>
      <c r="P105" s="116">
        <f>SWB!$M$4</f>
        <v>0.15</v>
      </c>
      <c r="Q105" s="257">
        <f>VLOOKUP(B105,SWB!$C$15:$AJ$244,34,FALSE)</f>
        <v>0.6</v>
      </c>
      <c r="R105" s="257">
        <f>VLOOKUP(B105,SWB!$C$15:$V$244,20,FALSE)</f>
        <v>1.0985581752989431</v>
      </c>
      <c r="S105" s="116">
        <v>0</v>
      </c>
      <c r="T105" s="116">
        <v>0.27149299999999998</v>
      </c>
      <c r="U105" s="116">
        <v>1</v>
      </c>
      <c r="V105" s="116">
        <v>0.72850700000000002</v>
      </c>
      <c r="W105" s="116">
        <v>23.5</v>
      </c>
      <c r="X105" s="257">
        <v>23.04965</v>
      </c>
      <c r="Y105" s="116">
        <v>9.51</v>
      </c>
      <c r="Z105" s="257">
        <v>3.2190999999999997E-2</v>
      </c>
      <c r="AA105" s="257">
        <v>2.3687E-2</v>
      </c>
      <c r="AB105" s="116">
        <v>0</v>
      </c>
      <c r="AC105" s="257">
        <v>23.135815000000001</v>
      </c>
      <c r="AD105" s="257">
        <v>0.53559199999999996</v>
      </c>
      <c r="AE105" s="257">
        <v>1.419319</v>
      </c>
      <c r="AF105" s="116">
        <v>0.25238100000000002</v>
      </c>
      <c r="AG105" s="116">
        <v>0.55000000000000004</v>
      </c>
      <c r="AH105" s="116">
        <v>37.857143000000001</v>
      </c>
      <c r="AI105" s="116">
        <v>20.821428999999998</v>
      </c>
      <c r="AJ105" s="116">
        <f>IFERROR(VLOOKUP($B105,SWB!C103:BE486,37,FALSE),0)</f>
        <v>5</v>
      </c>
      <c r="AK105" s="116">
        <f t="shared" si="5"/>
        <v>5</v>
      </c>
      <c r="AL105" s="116">
        <f>IFERROR(VLOOKUP($B105,SWB!C103:BE486,38,FALSE),0)</f>
        <v>0</v>
      </c>
      <c r="AM105" s="116">
        <f>IFERROR(VLOOKUP($B105,SWB!C103:BE486,38,FALSE),0)</f>
        <v>0</v>
      </c>
      <c r="AN105" s="257">
        <f>IFERROR(VLOOKUP($B105,SWB!C103:BE486,40,FALSE),0)</f>
        <v>1.0985581752989431</v>
      </c>
      <c r="AO105" s="257">
        <f>IFERROR(VLOOKUP($B105,SWB!C103:BE486,43,FALSE),0)</f>
        <v>4.0646652486060892</v>
      </c>
      <c r="AP105" s="257">
        <v>29.867414</v>
      </c>
      <c r="AQ105" s="257">
        <f>IFERROR(VLOOKUP($B105,SWB!C103:BE486,44,FALSE),0)</f>
        <v>127.80041455050042</v>
      </c>
      <c r="AR105" s="116">
        <f t="shared" si="7"/>
        <v>20</v>
      </c>
      <c r="AS105" s="116">
        <v>121.77</v>
      </c>
      <c r="AT105" s="116" t="s">
        <v>131</v>
      </c>
      <c r="AU105" s="116" t="s">
        <v>131</v>
      </c>
      <c r="AV105" s="116" t="s">
        <v>131</v>
      </c>
      <c r="AW105" s="116" t="s">
        <v>131</v>
      </c>
      <c r="AX105" s="116" t="s">
        <v>131</v>
      </c>
      <c r="AY105" s="116" t="s">
        <v>131</v>
      </c>
      <c r="AZ105" s="116"/>
      <c r="BA105" s="116" t="s">
        <v>132</v>
      </c>
      <c r="BB105" s="116"/>
    </row>
    <row r="106" spans="1:54">
      <c r="A106" s="101" t="s">
        <v>133</v>
      </c>
      <c r="B106" s="69">
        <f t="shared" si="6"/>
        <v>42105</v>
      </c>
      <c r="C106" s="101" t="s">
        <v>133</v>
      </c>
      <c r="D106" s="116">
        <f>VLOOKUP(B106,SWB!$C$15:$H$244,6,FALSE)</f>
        <v>101</v>
      </c>
      <c r="E106" s="102">
        <f>VLOOKUP($B106,Clima!$W$8:$AI$1506,3,FALSE)</f>
        <v>14.8</v>
      </c>
      <c r="F106" s="102">
        <f>VLOOKUP($B106,Clima!$W$8:$AI$1506,4,FALSE)</f>
        <v>5.8</v>
      </c>
      <c r="G106" s="102">
        <f>VLOOKUP($B106,Clima!$W$8:$AI$1506,2,FALSE)</f>
        <v>9.6</v>
      </c>
      <c r="H106" s="102"/>
      <c r="I106" s="102">
        <f>VLOOKUP($B106,Clima!$W$8:$AI$1506,13,FALSE)</f>
        <v>1.7</v>
      </c>
      <c r="J106" s="102"/>
      <c r="K106" s="102"/>
      <c r="L106" s="102">
        <f>VLOOKUP($B106,Clima!$W$8:$AI$1506,12,FALSE)</f>
        <v>0.6</v>
      </c>
      <c r="M106" s="102">
        <f t="shared" si="4"/>
        <v>0.6</v>
      </c>
      <c r="N106" s="257">
        <f>VLOOKUP(B106,SWB!$C$15:$S$244,17,FALSE)</f>
        <v>0.9075230356682934</v>
      </c>
      <c r="O106" s="116"/>
      <c r="P106" s="116">
        <f>SWB!$M$4</f>
        <v>0.15</v>
      </c>
      <c r="Q106" s="257">
        <f>VLOOKUP(B106,SWB!$C$15:$AJ$244,34,FALSE)</f>
        <v>0.6</v>
      </c>
      <c r="R106" s="257">
        <f>VLOOKUP(B106,SWB!$C$15:$V$244,20,FALSE)</f>
        <v>1.1008908762963823</v>
      </c>
      <c r="S106" s="116">
        <v>0</v>
      </c>
      <c r="T106" s="116">
        <v>0.27700200000000003</v>
      </c>
      <c r="U106" s="116">
        <v>1</v>
      </c>
      <c r="V106" s="116">
        <v>0.72299800000000003</v>
      </c>
      <c r="W106" s="116">
        <v>23.5</v>
      </c>
      <c r="X106" s="257">
        <v>23.135815000000001</v>
      </c>
      <c r="Y106" s="116">
        <v>9.51</v>
      </c>
      <c r="Z106" s="257">
        <v>2.6032E-2</v>
      </c>
      <c r="AA106" s="257">
        <v>1.9838000000000001E-2</v>
      </c>
      <c r="AB106" s="116">
        <v>0</v>
      </c>
      <c r="AC106" s="257">
        <v>23.245842</v>
      </c>
      <c r="AD106" s="257">
        <v>0.55436200000000002</v>
      </c>
      <c r="AE106" s="257">
        <v>2.2229899999999998</v>
      </c>
      <c r="AF106" s="116">
        <v>0.261905</v>
      </c>
      <c r="AG106" s="116">
        <v>0.55000000000000004</v>
      </c>
      <c r="AH106" s="116">
        <v>39.285713999999999</v>
      </c>
      <c r="AI106" s="116">
        <v>21.607143000000001</v>
      </c>
      <c r="AJ106" s="116">
        <f>IFERROR(VLOOKUP($B106,SWB!C104:BE487,37,FALSE),0)</f>
        <v>5</v>
      </c>
      <c r="AK106" s="116">
        <f t="shared" si="5"/>
        <v>5</v>
      </c>
      <c r="AL106" s="116">
        <f>IFERROR(VLOOKUP($B106,SWB!C104:BE487,38,FALSE),0)</f>
        <v>0</v>
      </c>
      <c r="AM106" s="116">
        <f>IFERROR(VLOOKUP($B106,SWB!C104:BE487,38,FALSE),0)</f>
        <v>0</v>
      </c>
      <c r="AN106" s="257">
        <f>IFERROR(VLOOKUP($B106,SWB!C104:BE487,40,FALSE),0)</f>
        <v>1.1008908762963823</v>
      </c>
      <c r="AO106" s="257">
        <f>IFERROR(VLOOKUP($B106,SWB!C104:BE487,43,FALSE),0)</f>
        <v>3.9632071546669763</v>
      </c>
      <c r="AP106" s="257">
        <v>31.088887</v>
      </c>
      <c r="AQ106" s="257">
        <f>IFERROR(VLOOKUP($B106,SWB!C104:BE487,44,FALSE),0)</f>
        <v>131.7636217051674</v>
      </c>
      <c r="AR106" s="116">
        <f t="shared" si="7"/>
        <v>25</v>
      </c>
      <c r="AS106" s="116">
        <v>121.77</v>
      </c>
      <c r="AT106" s="116" t="s">
        <v>131</v>
      </c>
      <c r="AU106" s="116" t="s">
        <v>131</v>
      </c>
      <c r="AV106" s="116" t="s">
        <v>131</v>
      </c>
      <c r="AW106" s="116" t="s">
        <v>131</v>
      </c>
      <c r="AX106" s="116" t="s">
        <v>131</v>
      </c>
      <c r="AY106" s="116" t="s">
        <v>131</v>
      </c>
      <c r="AZ106" s="116"/>
      <c r="BA106" s="116" t="s">
        <v>132</v>
      </c>
      <c r="BB106" s="116"/>
    </row>
    <row r="107" spans="1:54">
      <c r="A107" s="101" t="s">
        <v>133</v>
      </c>
      <c r="B107" s="69">
        <f t="shared" si="6"/>
        <v>42106</v>
      </c>
      <c r="C107" s="101" t="s">
        <v>133</v>
      </c>
      <c r="D107" s="116">
        <f>VLOOKUP(B107,SWB!$C$15:$H$244,6,FALSE)</f>
        <v>102</v>
      </c>
      <c r="E107" s="102">
        <f>VLOOKUP($B107,Clima!$W$8:$AI$1506,3,FALSE)</f>
        <v>17.8</v>
      </c>
      <c r="F107" s="102">
        <f>VLOOKUP($B107,Clima!$W$8:$AI$1506,4,FALSE)</f>
        <v>3.7</v>
      </c>
      <c r="G107" s="102">
        <f>VLOOKUP($B107,Clima!$W$8:$AI$1506,2,FALSE)</f>
        <v>10.3</v>
      </c>
      <c r="H107" s="102"/>
      <c r="I107" s="102">
        <f>VLOOKUP($B107,Clima!$W$8:$AI$1506,13,FALSE)</f>
        <v>3</v>
      </c>
      <c r="J107" s="102"/>
      <c r="K107" s="102"/>
      <c r="L107" s="102">
        <f>VLOOKUP($B107,Clima!$W$8:$AI$1506,12,FALSE)</f>
        <v>0</v>
      </c>
      <c r="M107" s="102">
        <f t="shared" si="4"/>
        <v>0</v>
      </c>
      <c r="N107" s="257">
        <f>VLOOKUP(B107,SWB!$C$15:$S$244,17,FALSE)</f>
        <v>0.9263414638829276</v>
      </c>
      <c r="O107" s="116"/>
      <c r="P107" s="116">
        <f>SWB!$M$4</f>
        <v>0.15</v>
      </c>
      <c r="Q107" s="257">
        <f>VLOOKUP(B107,SWB!$C$15:$AJ$244,34,FALSE)</f>
        <v>0.6</v>
      </c>
      <c r="R107" s="257">
        <f>VLOOKUP(B107,SWB!$C$15:$V$244,20,FALSE)</f>
        <v>1.103223577293821</v>
      </c>
      <c r="S107" s="116">
        <v>9.86</v>
      </c>
      <c r="T107" s="116">
        <v>0.38967099999999999</v>
      </c>
      <c r="U107" s="116">
        <v>1</v>
      </c>
      <c r="V107" s="116">
        <v>0.61032900000000001</v>
      </c>
      <c r="W107" s="116">
        <v>23.5</v>
      </c>
      <c r="X107" s="257">
        <v>12.405842</v>
      </c>
      <c r="Y107" s="116">
        <v>9.51</v>
      </c>
      <c r="Z107" s="257">
        <v>0.79300599999999999</v>
      </c>
      <c r="AA107" s="257">
        <v>0.39718900000000001</v>
      </c>
      <c r="AB107" s="116">
        <v>0</v>
      </c>
      <c r="AC107" s="257">
        <v>13.336454</v>
      </c>
      <c r="AD107" s="257">
        <v>0.95433100000000004</v>
      </c>
      <c r="AE107" s="257">
        <v>1.3646940000000001</v>
      </c>
      <c r="AF107" s="116">
        <v>0.27142899999999998</v>
      </c>
      <c r="AG107" s="116">
        <v>0.55000000000000004</v>
      </c>
      <c r="AH107" s="116">
        <v>40.714286000000001</v>
      </c>
      <c r="AI107" s="116">
        <v>22.392856999999999</v>
      </c>
      <c r="AJ107" s="116">
        <f>IFERROR(VLOOKUP($B107,SWB!C105:BE488,37,FALSE),0)</f>
        <v>0</v>
      </c>
      <c r="AK107" s="116">
        <f t="shared" si="5"/>
        <v>0</v>
      </c>
      <c r="AL107" s="116">
        <f>IFERROR(VLOOKUP($B107,SWB!C105:BE488,38,FALSE),0)</f>
        <v>0</v>
      </c>
      <c r="AM107" s="116">
        <f>IFERROR(VLOOKUP($B107,SWB!C105:BE488,38,FALSE),0)</f>
        <v>0</v>
      </c>
      <c r="AN107" s="257">
        <f>IFERROR(VLOOKUP($B107,SWB!C105:BE488,40,FALSE),0)</f>
        <v>1.103223577293821</v>
      </c>
      <c r="AO107" s="257">
        <f>IFERROR(VLOOKUP($B107,SWB!C105:BE488,43,FALSE),0)</f>
        <v>3.4199930896108452</v>
      </c>
      <c r="AP107" s="257">
        <v>21.235430000000001</v>
      </c>
      <c r="AQ107" s="257">
        <f>IFERROR(VLOOKUP($B107,SWB!C105:BE488,44,FALSE),0)</f>
        <v>135.18361479477824</v>
      </c>
      <c r="AR107" s="116">
        <f t="shared" si="7"/>
        <v>30</v>
      </c>
      <c r="AS107" s="116">
        <v>122.75</v>
      </c>
      <c r="AT107" s="116" t="s">
        <v>131</v>
      </c>
      <c r="AU107" s="116" t="s">
        <v>131</v>
      </c>
      <c r="AV107" s="116" t="s">
        <v>131</v>
      </c>
      <c r="AW107" s="116" t="s">
        <v>131</v>
      </c>
      <c r="AX107" s="116" t="s">
        <v>131</v>
      </c>
      <c r="AY107" s="116" t="s">
        <v>131</v>
      </c>
      <c r="AZ107" s="116"/>
      <c r="BA107" s="116" t="s">
        <v>132</v>
      </c>
      <c r="BB107" s="116"/>
    </row>
    <row r="108" spans="1:54">
      <c r="A108" s="101" t="s">
        <v>133</v>
      </c>
      <c r="B108" s="69">
        <f t="shared" si="6"/>
        <v>42107</v>
      </c>
      <c r="C108" s="101" t="s">
        <v>133</v>
      </c>
      <c r="D108" s="116">
        <f>VLOOKUP(B108,SWB!$C$15:$H$244,6,FALSE)</f>
        <v>103</v>
      </c>
      <c r="E108" s="102">
        <f>VLOOKUP($B108,Clima!$W$8:$AI$1506,3,FALSE)</f>
        <v>19.399999999999999</v>
      </c>
      <c r="F108" s="102">
        <f>VLOOKUP($B108,Clima!$W$8:$AI$1506,4,FALSE)</f>
        <v>3.1</v>
      </c>
      <c r="G108" s="102">
        <f>VLOOKUP($B108,Clima!$W$8:$AI$1506,2,FALSE)</f>
        <v>10.9</v>
      </c>
      <c r="H108" s="102"/>
      <c r="I108" s="102">
        <f>VLOOKUP($B108,Clima!$W$8:$AI$1506,13,FALSE)</f>
        <v>3.7</v>
      </c>
      <c r="J108" s="102"/>
      <c r="K108" s="102"/>
      <c r="L108" s="102">
        <f>VLOOKUP($B108,Clima!$W$8:$AI$1506,12,FALSE)</f>
        <v>0</v>
      </c>
      <c r="M108" s="102">
        <f t="shared" si="4"/>
        <v>0</v>
      </c>
      <c r="N108" s="257">
        <f>VLOOKUP(B108,SWB!$C$15:$S$244,17,FALSE)</f>
        <v>0.94515989209756179</v>
      </c>
      <c r="O108" s="116"/>
      <c r="P108" s="116">
        <f>SWB!$M$4</f>
        <v>0.15</v>
      </c>
      <c r="Q108" s="257">
        <f>VLOOKUP(B108,SWB!$C$15:$AJ$244,34,FALSE)</f>
        <v>0.6</v>
      </c>
      <c r="R108" s="257">
        <f>VLOOKUP(B108,SWB!$C$15:$V$244,20,FALSE)</f>
        <v>1.1055562782912602</v>
      </c>
      <c r="S108" s="116">
        <v>0</v>
      </c>
      <c r="T108" s="116">
        <v>0.384857</v>
      </c>
      <c r="U108" s="116">
        <v>1</v>
      </c>
      <c r="V108" s="116">
        <v>0.615143</v>
      </c>
      <c r="W108" s="116">
        <v>23.5</v>
      </c>
      <c r="X108" s="257">
        <v>13.336454</v>
      </c>
      <c r="Y108" s="116">
        <v>9.51</v>
      </c>
      <c r="Z108" s="257">
        <v>0.72648699999999999</v>
      </c>
      <c r="AA108" s="257">
        <v>0.39149099999999998</v>
      </c>
      <c r="AB108" s="116">
        <v>0</v>
      </c>
      <c r="AC108" s="257">
        <v>15.589391000000001</v>
      </c>
      <c r="AD108" s="257">
        <v>0.97125300000000003</v>
      </c>
      <c r="AE108" s="257">
        <v>3.4382359999999998</v>
      </c>
      <c r="AF108" s="116">
        <v>0.28095199999999998</v>
      </c>
      <c r="AG108" s="116">
        <v>0.55000000000000004</v>
      </c>
      <c r="AH108" s="116">
        <v>42.142856999999999</v>
      </c>
      <c r="AI108" s="116">
        <v>23.178571000000002</v>
      </c>
      <c r="AJ108" s="116">
        <f>IFERROR(VLOOKUP($B108,SWB!C106:BE489,37,FALSE),0)</f>
        <v>0</v>
      </c>
      <c r="AK108" s="116">
        <f t="shared" si="5"/>
        <v>0</v>
      </c>
      <c r="AL108" s="116">
        <f>IFERROR(VLOOKUP($B108,SWB!C106:BE489,38,FALSE),0)</f>
        <v>0</v>
      </c>
      <c r="AM108" s="116">
        <f>IFERROR(VLOOKUP($B108,SWB!C106:BE489,38,FALSE),0)</f>
        <v>0</v>
      </c>
      <c r="AN108" s="257">
        <f>IFERROR(VLOOKUP($B108,SWB!C106:BE489,40,FALSE),0)</f>
        <v>1.1055562782912602</v>
      </c>
      <c r="AO108" s="257">
        <f>IFERROR(VLOOKUP($B108,SWB!C106:BE489,43,FALSE),0)</f>
        <v>3.5377800905320331</v>
      </c>
      <c r="AP108" s="257">
        <v>24.673666000000001</v>
      </c>
      <c r="AQ108" s="257">
        <f>IFERROR(VLOOKUP($B108,SWB!C106:BE489,44,FALSE),0)</f>
        <v>138.72139488531027</v>
      </c>
      <c r="AR108" s="116">
        <f t="shared" si="7"/>
        <v>30</v>
      </c>
      <c r="AS108" s="116">
        <v>122.75</v>
      </c>
      <c r="AT108" s="116" t="s">
        <v>131</v>
      </c>
      <c r="AU108" s="116" t="s">
        <v>131</v>
      </c>
      <c r="AV108" s="116" t="s">
        <v>131</v>
      </c>
      <c r="AW108" s="116" t="s">
        <v>131</v>
      </c>
      <c r="AX108" s="116" t="s">
        <v>131</v>
      </c>
      <c r="AY108" s="116" t="s">
        <v>131</v>
      </c>
      <c r="AZ108" s="116"/>
      <c r="BA108" s="116" t="s">
        <v>132</v>
      </c>
      <c r="BB108" s="116"/>
    </row>
    <row r="109" spans="1:54">
      <c r="A109" s="101" t="s">
        <v>133</v>
      </c>
      <c r="B109" s="69">
        <f t="shared" si="6"/>
        <v>42108</v>
      </c>
      <c r="C109" s="101" t="s">
        <v>133</v>
      </c>
      <c r="D109" s="116">
        <f>VLOOKUP(B109,SWB!$C$15:$H$244,6,FALSE)</f>
        <v>104</v>
      </c>
      <c r="E109" s="102">
        <f>VLOOKUP($B109,Clima!$W$8:$AI$1506,3,FALSE)</f>
        <v>21.9</v>
      </c>
      <c r="F109" s="102">
        <f>VLOOKUP($B109,Clima!$W$8:$AI$1506,4,FALSE)</f>
        <v>1.9</v>
      </c>
      <c r="G109" s="102">
        <f>VLOOKUP($B109,Clima!$W$8:$AI$1506,2,FALSE)</f>
        <v>11.6</v>
      </c>
      <c r="H109" s="102"/>
      <c r="I109" s="102">
        <f>VLOOKUP($B109,Clima!$W$8:$AI$1506,13,FALSE)</f>
        <v>4.8</v>
      </c>
      <c r="J109" s="102"/>
      <c r="K109" s="102"/>
      <c r="L109" s="102">
        <f>VLOOKUP($B109,Clima!$W$8:$AI$1506,12,FALSE)</f>
        <v>0</v>
      </c>
      <c r="M109" s="102">
        <f t="shared" si="4"/>
        <v>0</v>
      </c>
      <c r="N109" s="257">
        <f>VLOOKUP(B109,SWB!$C$15:$S$244,17,FALSE)</f>
        <v>0.96397832031219577</v>
      </c>
      <c r="O109" s="116"/>
      <c r="P109" s="116">
        <f>SWB!$M$4</f>
        <v>0.15</v>
      </c>
      <c r="Q109" s="257">
        <f>VLOOKUP(B109,SWB!$C$15:$AJ$244,34,FALSE)</f>
        <v>0.6</v>
      </c>
      <c r="R109" s="257">
        <f>VLOOKUP(B109,SWB!$C$15:$V$244,20,FALSE)</f>
        <v>1.1078889792886992</v>
      </c>
      <c r="S109" s="116">
        <v>0</v>
      </c>
      <c r="T109" s="116">
        <v>0.43755100000000002</v>
      </c>
      <c r="U109" s="116">
        <v>1</v>
      </c>
      <c r="V109" s="116">
        <v>0.56244899999999998</v>
      </c>
      <c r="W109" s="116">
        <v>23.5</v>
      </c>
      <c r="X109" s="257">
        <v>14.999390999999999</v>
      </c>
      <c r="Y109" s="116">
        <v>9.51</v>
      </c>
      <c r="Z109" s="257">
        <v>0.60762000000000005</v>
      </c>
      <c r="AA109" s="257">
        <v>0.28057300000000002</v>
      </c>
      <c r="AB109" s="116">
        <v>0</v>
      </c>
      <c r="AC109" s="257">
        <v>15.867376</v>
      </c>
      <c r="AD109" s="257">
        <v>0.88295400000000002</v>
      </c>
      <c r="AE109" s="257">
        <v>1.53634</v>
      </c>
      <c r="AF109" s="116">
        <v>0.29047600000000001</v>
      </c>
      <c r="AG109" s="116">
        <v>0.55000000000000004</v>
      </c>
      <c r="AH109" s="116">
        <v>43.571429000000002</v>
      </c>
      <c r="AI109" s="116">
        <v>23.964286000000001</v>
      </c>
      <c r="AJ109" s="116">
        <f>IFERROR(VLOOKUP($B109,SWB!C107:BE490,37,FALSE),0)</f>
        <v>5</v>
      </c>
      <c r="AK109" s="116">
        <f t="shared" si="5"/>
        <v>5</v>
      </c>
      <c r="AL109" s="116">
        <f>IFERROR(VLOOKUP($B109,SWB!C107:BE490,38,FALSE),0)</f>
        <v>0</v>
      </c>
      <c r="AM109" s="116">
        <f>IFERROR(VLOOKUP($B109,SWB!C107:BE490,38,FALSE),0)</f>
        <v>0</v>
      </c>
      <c r="AN109" s="257">
        <f>IFERROR(VLOOKUP($B109,SWB!C107:BE490,40,FALSE),0)</f>
        <v>1.039008149723522</v>
      </c>
      <c r="AO109" s="257">
        <f>IFERROR(VLOOKUP($B109,SWB!C107:BE490,43,FALSE),0)</f>
        <v>2.9092228192258611</v>
      </c>
      <c r="AP109" s="257">
        <v>25.582084999999999</v>
      </c>
      <c r="AQ109" s="257">
        <f>IFERROR(VLOOKUP($B109,SWB!C107:BE490,44,FALSE),0)</f>
        <v>141.63061770453615</v>
      </c>
      <c r="AR109" s="116">
        <f t="shared" si="7"/>
        <v>30</v>
      </c>
      <c r="AS109" s="116">
        <v>123.34</v>
      </c>
      <c r="AT109" s="116" t="s">
        <v>131</v>
      </c>
      <c r="AU109" s="116" t="s">
        <v>131</v>
      </c>
      <c r="AV109" s="116" t="s">
        <v>131</v>
      </c>
      <c r="AW109" s="116" t="s">
        <v>131</v>
      </c>
      <c r="AX109" s="116" t="s">
        <v>131</v>
      </c>
      <c r="AY109" s="116" t="s">
        <v>131</v>
      </c>
      <c r="AZ109" s="116"/>
      <c r="BA109" s="116" t="s">
        <v>132</v>
      </c>
      <c r="BB109" s="116"/>
    </row>
    <row r="110" spans="1:54">
      <c r="A110" s="101" t="s">
        <v>133</v>
      </c>
      <c r="B110" s="69">
        <f t="shared" si="6"/>
        <v>42109</v>
      </c>
      <c r="C110" s="101" t="s">
        <v>133</v>
      </c>
      <c r="D110" s="116">
        <f>VLOOKUP(B110,SWB!$C$15:$H$244,6,FALSE)</f>
        <v>105</v>
      </c>
      <c r="E110" s="102">
        <f>VLOOKUP($B110,Clima!$W$8:$AI$1506,3,FALSE)</f>
        <v>17.399999999999999</v>
      </c>
      <c r="F110" s="102">
        <f>VLOOKUP($B110,Clima!$W$8:$AI$1506,4,FALSE)</f>
        <v>6.3</v>
      </c>
      <c r="G110" s="102">
        <f>VLOOKUP($B110,Clima!$W$8:$AI$1506,2,FALSE)</f>
        <v>11.7</v>
      </c>
      <c r="H110" s="102"/>
      <c r="I110" s="102">
        <f>VLOOKUP($B110,Clima!$W$8:$AI$1506,13,FALSE)</f>
        <v>2.5</v>
      </c>
      <c r="J110" s="102"/>
      <c r="K110" s="102"/>
      <c r="L110" s="102">
        <f>VLOOKUP($B110,Clima!$W$8:$AI$1506,12,FALSE)</f>
        <v>6.5</v>
      </c>
      <c r="M110" s="102">
        <f t="shared" si="4"/>
        <v>6.5</v>
      </c>
      <c r="N110" s="257">
        <f>VLOOKUP(B110,SWB!$C$15:$S$244,17,FALSE)</f>
        <v>0.98279674852682997</v>
      </c>
      <c r="O110" s="116"/>
      <c r="P110" s="116">
        <f>SWB!$M$4</f>
        <v>0.15</v>
      </c>
      <c r="Q110" s="257">
        <f>VLOOKUP(B110,SWB!$C$15:$AJ$244,34,FALSE)</f>
        <v>0.6</v>
      </c>
      <c r="R110" s="257">
        <f>VLOOKUP(B110,SWB!$C$15:$V$244,20,FALSE)</f>
        <v>1.1102216802861382</v>
      </c>
      <c r="S110" s="116">
        <v>0</v>
      </c>
      <c r="T110" s="116">
        <v>0.43136799999999997</v>
      </c>
      <c r="U110" s="116">
        <v>1</v>
      </c>
      <c r="V110" s="116">
        <v>0.56863200000000003</v>
      </c>
      <c r="W110" s="116">
        <v>23.5</v>
      </c>
      <c r="X110" s="257">
        <v>15.867376</v>
      </c>
      <c r="Y110" s="116">
        <v>9.51</v>
      </c>
      <c r="Z110" s="257">
        <v>0.54557699999999998</v>
      </c>
      <c r="AA110" s="257">
        <v>0.27090199999999998</v>
      </c>
      <c r="AB110" s="116">
        <v>0</v>
      </c>
      <c r="AC110" s="257">
        <v>17.296606000000001</v>
      </c>
      <c r="AD110" s="257">
        <v>0.89590199999999998</v>
      </c>
      <c r="AE110" s="257">
        <v>2.6877059999999999</v>
      </c>
      <c r="AF110" s="116">
        <v>0.3</v>
      </c>
      <c r="AG110" s="116">
        <v>0.55000000000000004</v>
      </c>
      <c r="AH110" s="116">
        <v>45</v>
      </c>
      <c r="AI110" s="116">
        <v>24.75</v>
      </c>
      <c r="AJ110" s="116">
        <f>IFERROR(VLOOKUP($B110,SWB!C108:BE491,37,FALSE),0)</f>
        <v>5</v>
      </c>
      <c r="AK110" s="116">
        <f t="shared" si="5"/>
        <v>5</v>
      </c>
      <c r="AL110" s="116">
        <f>IFERROR(VLOOKUP($B110,SWB!C108:BE491,38,FALSE),0)</f>
        <v>0</v>
      </c>
      <c r="AM110" s="116">
        <f>IFERROR(VLOOKUP($B110,SWB!C108:BE491,38,FALSE),0)</f>
        <v>0</v>
      </c>
      <c r="AN110" s="257">
        <f>IFERROR(VLOOKUP($B110,SWB!C108:BE491,40,FALSE),0)</f>
        <v>1.1071137551212771</v>
      </c>
      <c r="AO110" s="257">
        <f>IFERROR(VLOOKUP($B110,SWB!C108:BE491,43,FALSE),0)</f>
        <v>4.5391663959972357</v>
      </c>
      <c r="AP110" s="257">
        <v>28.192746</v>
      </c>
      <c r="AQ110" s="257">
        <f>IFERROR(VLOOKUP($B110,SWB!C108:BE491,44,FALSE),0)</f>
        <v>146.16978410053338</v>
      </c>
      <c r="AR110" s="116">
        <f t="shared" si="7"/>
        <v>35</v>
      </c>
      <c r="AS110" s="116">
        <v>123.34</v>
      </c>
      <c r="AT110" s="116" t="s">
        <v>131</v>
      </c>
      <c r="AU110" s="116" t="s">
        <v>131</v>
      </c>
      <c r="AV110" s="116" t="s">
        <v>131</v>
      </c>
      <c r="AW110" s="116" t="s">
        <v>131</v>
      </c>
      <c r="AX110" s="116" t="s">
        <v>131</v>
      </c>
      <c r="AY110" s="116" t="s">
        <v>131</v>
      </c>
      <c r="AZ110" s="116"/>
      <c r="BA110" s="116" t="s">
        <v>132</v>
      </c>
      <c r="BB110" s="116"/>
    </row>
    <row r="111" spans="1:54">
      <c r="A111" s="101" t="s">
        <v>133</v>
      </c>
      <c r="B111" s="69">
        <f t="shared" si="6"/>
        <v>42110</v>
      </c>
      <c r="C111" s="101" t="s">
        <v>133</v>
      </c>
      <c r="D111" s="116">
        <f>VLOOKUP(B111,SWB!$C$15:$H$244,6,FALSE)</f>
        <v>106</v>
      </c>
      <c r="E111" s="102">
        <f>VLOOKUP($B111,Clima!$W$8:$AI$1506,3,FALSE)</f>
        <v>16.100000000000001</v>
      </c>
      <c r="F111" s="102">
        <f>VLOOKUP($B111,Clima!$W$8:$AI$1506,4,FALSE)</f>
        <v>6.1</v>
      </c>
      <c r="G111" s="102">
        <f>VLOOKUP($B111,Clima!$W$8:$AI$1506,2,FALSE)</f>
        <v>11.3</v>
      </c>
      <c r="H111" s="102"/>
      <c r="I111" s="102">
        <f>VLOOKUP($B111,Clima!$W$8:$AI$1506,13,FALSE)</f>
        <v>2.2999999999999998</v>
      </c>
      <c r="J111" s="102"/>
      <c r="K111" s="102"/>
      <c r="L111" s="102">
        <f>VLOOKUP($B111,Clima!$W$8:$AI$1506,12,FALSE)</f>
        <v>4.7</v>
      </c>
      <c r="M111" s="102">
        <f t="shared" si="4"/>
        <v>4.7</v>
      </c>
      <c r="N111" s="257">
        <f>VLOOKUP(B111,SWB!$C$15:$S$244,17,FALSE)</f>
        <v>1.0016151767414641</v>
      </c>
      <c r="O111" s="116"/>
      <c r="P111" s="116">
        <f>SWB!$M$4</f>
        <v>0.15</v>
      </c>
      <c r="Q111" s="257">
        <f>VLOOKUP(B111,SWB!$C$15:$AJ$244,34,FALSE)</f>
        <v>0.6</v>
      </c>
      <c r="R111" s="257">
        <f>VLOOKUP(B111,SWB!$C$15:$V$244,20,FALSE)</f>
        <v>1.1125543812835774</v>
      </c>
      <c r="S111" s="116">
        <v>9.86</v>
      </c>
      <c r="T111" s="116">
        <v>0.44443199999999999</v>
      </c>
      <c r="U111" s="116">
        <v>1</v>
      </c>
      <c r="V111" s="116">
        <v>0.55556799999999995</v>
      </c>
      <c r="W111" s="116">
        <v>23.5</v>
      </c>
      <c r="X111" s="257">
        <v>7.4366060000000003</v>
      </c>
      <c r="Y111" s="116">
        <v>9.51</v>
      </c>
      <c r="Z111" s="116">
        <v>1</v>
      </c>
      <c r="AA111" s="257">
        <v>0.494668</v>
      </c>
      <c r="AB111" s="116">
        <v>0</v>
      </c>
      <c r="AC111" s="257">
        <v>10.713210999999999</v>
      </c>
      <c r="AD111" s="257">
        <v>1.1422870000000001</v>
      </c>
      <c r="AE111" s="257">
        <v>4.2036150000000001</v>
      </c>
      <c r="AF111" s="116">
        <v>0.30952400000000002</v>
      </c>
      <c r="AG111" s="116">
        <v>0.55000000000000004</v>
      </c>
      <c r="AH111" s="116">
        <v>46.428570999999998</v>
      </c>
      <c r="AI111" s="116">
        <v>25.535713999999999</v>
      </c>
      <c r="AJ111" s="116">
        <f>IFERROR(VLOOKUP($B111,SWB!C109:BE492,37,FALSE),0)</f>
        <v>0</v>
      </c>
      <c r="AK111" s="116">
        <f t="shared" si="5"/>
        <v>0</v>
      </c>
      <c r="AL111" s="116">
        <f>IFERROR(VLOOKUP($B111,SWB!C109:BE492,38,FALSE),0)</f>
        <v>0</v>
      </c>
      <c r="AM111" s="116">
        <f>IFERROR(VLOOKUP($B111,SWB!C109:BE492,38,FALSE),0)</f>
        <v>0</v>
      </c>
      <c r="AN111" s="257">
        <f>IFERROR(VLOOKUP($B111,SWB!C109:BE492,40,FALSE),0)</f>
        <v>1.0960315210326244</v>
      </c>
      <c r="AO111" s="257">
        <f>IFERROR(VLOOKUP($B111,SWB!C109:BE492,43,FALSE),0)</f>
        <v>5.1513481488533346</v>
      </c>
      <c r="AP111" s="257">
        <v>22.233274999999999</v>
      </c>
      <c r="AQ111" s="257">
        <f>IFERROR(VLOOKUP($B111,SWB!C109:BE492,44,FALSE),0)</f>
        <v>151.32113224938672</v>
      </c>
      <c r="AR111" s="116">
        <f t="shared" si="7"/>
        <v>40</v>
      </c>
      <c r="AS111" s="116">
        <v>123.34</v>
      </c>
      <c r="AT111" s="116" t="s">
        <v>131</v>
      </c>
      <c r="AU111" s="116" t="s">
        <v>131</v>
      </c>
      <c r="AV111" s="116" t="s">
        <v>131</v>
      </c>
      <c r="AW111" s="116" t="s">
        <v>131</v>
      </c>
      <c r="AX111" s="116" t="s">
        <v>131</v>
      </c>
      <c r="AY111" s="116" t="s">
        <v>131</v>
      </c>
      <c r="AZ111" s="116"/>
      <c r="BA111" s="116" t="s">
        <v>132</v>
      </c>
      <c r="BB111" s="116"/>
    </row>
    <row r="112" spans="1:54">
      <c r="A112" s="101" t="s">
        <v>133</v>
      </c>
      <c r="B112" s="69">
        <f t="shared" si="6"/>
        <v>42111</v>
      </c>
      <c r="C112" s="101" t="s">
        <v>133</v>
      </c>
      <c r="D112" s="116">
        <f>VLOOKUP(B112,SWB!$C$15:$H$244,6,FALSE)</f>
        <v>107</v>
      </c>
      <c r="E112" s="102">
        <f>VLOOKUP($B112,Clima!$W$8:$AI$1506,3,FALSE)</f>
        <v>19.5</v>
      </c>
      <c r="F112" s="102">
        <f>VLOOKUP($B112,Clima!$W$8:$AI$1506,4,FALSE)</f>
        <v>5</v>
      </c>
      <c r="G112" s="102">
        <f>VLOOKUP($B112,Clima!$W$8:$AI$1506,2,FALSE)</f>
        <v>12.7</v>
      </c>
      <c r="H112" s="102"/>
      <c r="I112" s="102">
        <f>VLOOKUP($B112,Clima!$W$8:$AI$1506,13,FALSE)</f>
        <v>3.2</v>
      </c>
      <c r="J112" s="102"/>
      <c r="K112" s="102"/>
      <c r="L112" s="102">
        <f>VLOOKUP($B112,Clima!$W$8:$AI$1506,12,FALSE)</f>
        <v>0</v>
      </c>
      <c r="M112" s="102">
        <f t="shared" si="4"/>
        <v>0</v>
      </c>
      <c r="N112" s="257">
        <f>VLOOKUP(B112,SWB!$C$15:$S$244,17,FALSE)</f>
        <v>1.0204336049560983</v>
      </c>
      <c r="O112" s="116"/>
      <c r="P112" s="116">
        <f>SWB!$M$4</f>
        <v>0.15</v>
      </c>
      <c r="Q112" s="257">
        <f>VLOOKUP(B112,SWB!$C$15:$AJ$244,34,FALSE)</f>
        <v>0.6</v>
      </c>
      <c r="R112" s="257">
        <f>VLOOKUP(B112,SWB!$C$15:$V$244,20,FALSE)</f>
        <v>1.1148870822810162</v>
      </c>
      <c r="S112" s="116">
        <v>0</v>
      </c>
      <c r="T112" s="116">
        <v>0.450405</v>
      </c>
      <c r="U112" s="116">
        <v>1</v>
      </c>
      <c r="V112" s="116">
        <v>0.54959499999999994</v>
      </c>
      <c r="W112" s="116">
        <v>23.5</v>
      </c>
      <c r="X112" s="257">
        <v>10.713210999999999</v>
      </c>
      <c r="Y112" s="116">
        <v>9.51</v>
      </c>
      <c r="Z112" s="257">
        <v>0.913995</v>
      </c>
      <c r="AA112" s="257">
        <v>0.46196300000000001</v>
      </c>
      <c r="AB112" s="116">
        <v>0</v>
      </c>
      <c r="AC112" s="257">
        <v>14.731047</v>
      </c>
      <c r="AD112" s="257">
        <v>1.132201</v>
      </c>
      <c r="AE112" s="257">
        <v>5.4119210000000004</v>
      </c>
      <c r="AF112" s="116">
        <v>0.319048</v>
      </c>
      <c r="AG112" s="116">
        <v>0.55000000000000004</v>
      </c>
      <c r="AH112" s="116">
        <v>47.857143000000001</v>
      </c>
      <c r="AI112" s="116">
        <v>26.321428999999998</v>
      </c>
      <c r="AJ112" s="116">
        <f>IFERROR(VLOOKUP($B112,SWB!C110:BE493,37,FALSE),0)</f>
        <v>0</v>
      </c>
      <c r="AK112" s="116">
        <f t="shared" si="5"/>
        <v>0</v>
      </c>
      <c r="AL112" s="116">
        <f>IFERROR(VLOOKUP($B112,SWB!C110:BE493,38,FALSE),0)</f>
        <v>0</v>
      </c>
      <c r="AM112" s="116">
        <f>IFERROR(VLOOKUP($B112,SWB!C110:BE493,38,FALSE),0)</f>
        <v>0</v>
      </c>
      <c r="AN112" s="257">
        <f>IFERROR(VLOOKUP($B112,SWB!C110:BE493,40,FALSE),0)</f>
        <v>1.1082973047932312</v>
      </c>
      <c r="AO112" s="257">
        <f>IFERROR(VLOOKUP($B112,SWB!C110:BE493,43,FALSE),0)</f>
        <v>4.765678410610894</v>
      </c>
      <c r="AP112" s="257">
        <v>27.645195999999999</v>
      </c>
      <c r="AQ112" s="257">
        <f>IFERROR(VLOOKUP($B112,SWB!C110:BE493,44,FALSE),0)</f>
        <v>156.08681065999761</v>
      </c>
      <c r="AR112" s="116">
        <f t="shared" si="7"/>
        <v>40</v>
      </c>
      <c r="AS112" s="116">
        <v>123.34</v>
      </c>
      <c r="AT112" s="116" t="s">
        <v>131</v>
      </c>
      <c r="AU112" s="116" t="s">
        <v>131</v>
      </c>
      <c r="AV112" s="116" t="s">
        <v>131</v>
      </c>
      <c r="AW112" s="116" t="s">
        <v>131</v>
      </c>
      <c r="AX112" s="116" t="s">
        <v>131</v>
      </c>
      <c r="AY112" s="116" t="s">
        <v>131</v>
      </c>
      <c r="AZ112" s="116"/>
      <c r="BA112" s="116" t="s">
        <v>132</v>
      </c>
      <c r="BB112" s="116"/>
    </row>
    <row r="113" spans="1:54">
      <c r="A113" s="101" t="s">
        <v>133</v>
      </c>
      <c r="B113" s="69">
        <f t="shared" si="6"/>
        <v>42112</v>
      </c>
      <c r="C113" s="101" t="s">
        <v>133</v>
      </c>
      <c r="D113" s="116">
        <f>VLOOKUP(B113,SWB!$C$15:$H$244,6,FALSE)</f>
        <v>108</v>
      </c>
      <c r="E113" s="102">
        <f>VLOOKUP($B113,Clima!$W$8:$AI$1506,3,FALSE)</f>
        <v>21.9</v>
      </c>
      <c r="F113" s="102">
        <f>VLOOKUP($B113,Clima!$W$8:$AI$1506,4,FALSE)</f>
        <v>6.8</v>
      </c>
      <c r="G113" s="102">
        <f>VLOOKUP($B113,Clima!$W$8:$AI$1506,2,FALSE)</f>
        <v>14.4</v>
      </c>
      <c r="H113" s="102"/>
      <c r="I113" s="102">
        <f>VLOOKUP($B113,Clima!$W$8:$AI$1506,13,FALSE)</f>
        <v>4.2</v>
      </c>
      <c r="J113" s="102"/>
      <c r="K113" s="102"/>
      <c r="L113" s="102">
        <f>VLOOKUP($B113,Clima!$W$8:$AI$1506,12,FALSE)</f>
        <v>0</v>
      </c>
      <c r="M113" s="102">
        <f t="shared" si="4"/>
        <v>0</v>
      </c>
      <c r="N113" s="257">
        <f>VLOOKUP(B113,SWB!$C$15:$S$244,17,FALSE)</f>
        <v>1.0392520331707324</v>
      </c>
      <c r="O113" s="116"/>
      <c r="P113" s="116">
        <f>SWB!$M$4</f>
        <v>0.15</v>
      </c>
      <c r="Q113" s="257">
        <f>VLOOKUP(B113,SWB!$C$15:$AJ$244,34,FALSE)</f>
        <v>0.6</v>
      </c>
      <c r="R113" s="257">
        <f>VLOOKUP(B113,SWB!$C$15:$V$244,20,FALSE)</f>
        <v>1.1172197832784554</v>
      </c>
      <c r="S113" s="116">
        <v>0</v>
      </c>
      <c r="T113" s="116">
        <v>0.51853700000000003</v>
      </c>
      <c r="U113" s="116">
        <v>1</v>
      </c>
      <c r="V113" s="116">
        <v>0.48146299999999997</v>
      </c>
      <c r="W113" s="116">
        <v>23.5</v>
      </c>
      <c r="X113" s="257">
        <v>8.2610469999999996</v>
      </c>
      <c r="Y113" s="116">
        <v>9.51</v>
      </c>
      <c r="Z113" s="116">
        <v>1</v>
      </c>
      <c r="AA113" s="257">
        <v>0.40649200000000002</v>
      </c>
      <c r="AB113" s="116">
        <v>0</v>
      </c>
      <c r="AC113" s="257">
        <v>10.371760999999999</v>
      </c>
      <c r="AD113" s="257">
        <v>1.0993489999999999</v>
      </c>
      <c r="AE113" s="257">
        <v>2.748373</v>
      </c>
      <c r="AF113" s="116">
        <v>0.328571</v>
      </c>
      <c r="AG113" s="116">
        <v>0.55000000000000004</v>
      </c>
      <c r="AH113" s="116">
        <v>49.285713999999999</v>
      </c>
      <c r="AI113" s="116">
        <v>27.107143000000001</v>
      </c>
      <c r="AJ113" s="116">
        <f>IFERROR(VLOOKUP($B113,SWB!C111:BE494,37,FALSE),0)</f>
        <v>0</v>
      </c>
      <c r="AK113" s="116">
        <f t="shared" si="5"/>
        <v>0</v>
      </c>
      <c r="AL113" s="116">
        <f>IFERROR(VLOOKUP($B113,SWB!C111:BE494,38,FALSE),0)</f>
        <v>0</v>
      </c>
      <c r="AM113" s="116">
        <f>IFERROR(VLOOKUP($B113,SWB!C111:BE494,38,FALSE),0)</f>
        <v>0</v>
      </c>
      <c r="AN113" s="257">
        <f>IFERROR(VLOOKUP($B113,SWB!C111:BE494,40,FALSE),0)</f>
        <v>1.1172197832784554</v>
      </c>
      <c r="AO113" s="257">
        <f>IFERROR(VLOOKUP($B113,SWB!C111:BE494,43,FALSE),0)</f>
        <v>3.128215393179675</v>
      </c>
      <c r="AP113" s="257">
        <v>23.881547000000001</v>
      </c>
      <c r="AQ113" s="257">
        <f>IFERROR(VLOOKUP($B113,SWB!C111:BE494,44,FALSE),0)</f>
        <v>159.2150260531773</v>
      </c>
      <c r="AR113" s="116">
        <f t="shared" si="7"/>
        <v>40</v>
      </c>
      <c r="AS113" s="116">
        <v>129.81</v>
      </c>
      <c r="AT113" s="116" t="s">
        <v>131</v>
      </c>
      <c r="AU113" s="116" t="s">
        <v>131</v>
      </c>
      <c r="AV113" s="116" t="s">
        <v>131</v>
      </c>
      <c r="AW113" s="116" t="s">
        <v>131</v>
      </c>
      <c r="AX113" s="116" t="s">
        <v>131</v>
      </c>
      <c r="AY113" s="116" t="s">
        <v>131</v>
      </c>
      <c r="AZ113" s="116"/>
      <c r="BA113" s="116" t="s">
        <v>132</v>
      </c>
      <c r="BB113" s="116"/>
    </row>
    <row r="114" spans="1:54">
      <c r="A114" s="101" t="s">
        <v>133</v>
      </c>
      <c r="B114" s="69">
        <f t="shared" si="6"/>
        <v>42113</v>
      </c>
      <c r="C114" s="101" t="s">
        <v>133</v>
      </c>
      <c r="D114" s="116">
        <f>VLOOKUP(B114,SWB!$C$15:$H$244,6,FALSE)</f>
        <v>109</v>
      </c>
      <c r="E114" s="102">
        <f>VLOOKUP($B114,Clima!$W$8:$AI$1506,3,FALSE)</f>
        <v>18.100000000000001</v>
      </c>
      <c r="F114" s="102">
        <f>VLOOKUP($B114,Clima!$W$8:$AI$1506,4,FALSE)</f>
        <v>2.9</v>
      </c>
      <c r="G114" s="102">
        <f>VLOOKUP($B114,Clima!$W$8:$AI$1506,2,FALSE)</f>
        <v>10.1</v>
      </c>
      <c r="H114" s="102"/>
      <c r="I114" s="102">
        <f>VLOOKUP($B114,Clima!$W$8:$AI$1506,13,FALSE)</f>
        <v>3.8</v>
      </c>
      <c r="J114" s="102"/>
      <c r="K114" s="102"/>
      <c r="L114" s="102">
        <f>VLOOKUP($B114,Clima!$W$8:$AI$1506,12,FALSE)</f>
        <v>0</v>
      </c>
      <c r="M114" s="102">
        <f t="shared" si="4"/>
        <v>0</v>
      </c>
      <c r="N114" s="257">
        <f>VLOOKUP(B114,SWB!$C$15:$S$244,17,FALSE)</f>
        <v>1.0580704613853666</v>
      </c>
      <c r="O114" s="116"/>
      <c r="P114" s="116">
        <f>SWB!$M$4</f>
        <v>0.15</v>
      </c>
      <c r="Q114" s="257">
        <f>VLOOKUP(B114,SWB!$C$15:$AJ$244,34,FALSE)</f>
        <v>0.6</v>
      </c>
      <c r="R114" s="257">
        <f>VLOOKUP(B114,SWB!$C$15:$V$244,20,FALSE)</f>
        <v>1.1195524842758944</v>
      </c>
      <c r="S114" s="116">
        <v>9.86</v>
      </c>
      <c r="T114" s="116">
        <v>0.57542199999999999</v>
      </c>
      <c r="U114" s="116">
        <v>1</v>
      </c>
      <c r="V114" s="116">
        <v>0.42457800000000001</v>
      </c>
      <c r="W114" s="116">
        <v>23.5</v>
      </c>
      <c r="X114" s="257">
        <v>0</v>
      </c>
      <c r="Y114" s="116">
        <v>9.51</v>
      </c>
      <c r="Z114" s="116">
        <v>1</v>
      </c>
      <c r="AA114" s="257">
        <v>0.339592</v>
      </c>
      <c r="AB114" s="257">
        <v>4.4882390000000001</v>
      </c>
      <c r="AC114" s="257">
        <v>1.8396170000000001</v>
      </c>
      <c r="AD114" s="257">
        <v>1.0550679999999999</v>
      </c>
      <c r="AE114" s="257">
        <v>2.4266559999999999</v>
      </c>
      <c r="AF114" s="116">
        <v>0.33809499999999998</v>
      </c>
      <c r="AG114" s="116">
        <v>0.55000000000000004</v>
      </c>
      <c r="AH114" s="116">
        <v>50.714286000000001</v>
      </c>
      <c r="AI114" s="116">
        <v>27.892856999999999</v>
      </c>
      <c r="AJ114" s="116">
        <f>IFERROR(VLOOKUP($B114,SWB!C112:BE495,37,FALSE),0)</f>
        <v>5</v>
      </c>
      <c r="AK114" s="116">
        <f t="shared" si="5"/>
        <v>5</v>
      </c>
      <c r="AL114" s="116">
        <f>IFERROR(VLOOKUP($B114,SWB!C112:BE495,38,FALSE),0)</f>
        <v>0</v>
      </c>
      <c r="AM114" s="116">
        <f>IFERROR(VLOOKUP($B114,SWB!C112:BE495,38,FALSE),0)</f>
        <v>0</v>
      </c>
      <c r="AN114" s="257">
        <f>IFERROR(VLOOKUP($B114,SWB!C112:BE495,40,FALSE),0)</f>
        <v>0.95701100002364348</v>
      </c>
      <c r="AO114" s="257">
        <f>IFERROR(VLOOKUP($B114,SWB!C112:BE495,43,FALSE),0)</f>
        <v>4.0194462000993028</v>
      </c>
      <c r="AP114" s="257">
        <v>11.448202999999999</v>
      </c>
      <c r="AQ114" s="257">
        <f>IFERROR(VLOOKUP($B114,SWB!C112:BE495,44,FALSE),0)</f>
        <v>163.23447225327661</v>
      </c>
      <c r="AR114" s="116">
        <f t="shared" si="7"/>
        <v>40</v>
      </c>
      <c r="AS114" s="116">
        <v>134.81</v>
      </c>
      <c r="AT114" s="116" t="s">
        <v>131</v>
      </c>
      <c r="AU114" s="116" t="s">
        <v>131</v>
      </c>
      <c r="AV114" s="116" t="s">
        <v>131</v>
      </c>
      <c r="AW114" s="116" t="s">
        <v>131</v>
      </c>
      <c r="AX114" s="116" t="s">
        <v>131</v>
      </c>
      <c r="AY114" s="116" t="s">
        <v>131</v>
      </c>
      <c r="AZ114" s="116"/>
      <c r="BA114" s="116" t="s">
        <v>132</v>
      </c>
      <c r="BB114" s="116"/>
    </row>
    <row r="115" spans="1:54">
      <c r="A115" s="101" t="s">
        <v>133</v>
      </c>
      <c r="B115" s="69">
        <f t="shared" si="6"/>
        <v>42114</v>
      </c>
      <c r="C115" s="101" t="s">
        <v>133</v>
      </c>
      <c r="D115" s="116">
        <f>VLOOKUP(B115,SWB!$C$15:$H$244,6,FALSE)</f>
        <v>110</v>
      </c>
      <c r="E115" s="102">
        <f>VLOOKUP($B115,Clima!$W$8:$AI$1506,3,FALSE)</f>
        <v>21.1</v>
      </c>
      <c r="F115" s="102">
        <f>VLOOKUP($B115,Clima!$W$8:$AI$1506,4,FALSE)</f>
        <v>2.1</v>
      </c>
      <c r="G115" s="102">
        <f>VLOOKUP($B115,Clima!$W$8:$AI$1506,2,FALSE)</f>
        <v>12.1</v>
      </c>
      <c r="H115" s="102"/>
      <c r="I115" s="102">
        <f>VLOOKUP($B115,Clima!$W$8:$AI$1506,13,FALSE)</f>
        <v>4.3</v>
      </c>
      <c r="J115" s="102"/>
      <c r="K115" s="102"/>
      <c r="L115" s="102">
        <f>VLOOKUP($B115,Clima!$W$8:$AI$1506,12,FALSE)</f>
        <v>0</v>
      </c>
      <c r="M115" s="102">
        <f t="shared" si="4"/>
        <v>0</v>
      </c>
      <c r="N115" s="257">
        <f>VLOOKUP(B115,SWB!$C$15:$S$244,17,FALSE)</f>
        <v>1.0768888895999997</v>
      </c>
      <c r="O115" s="116"/>
      <c r="P115" s="116">
        <f>SWB!$M$4</f>
        <v>0.15</v>
      </c>
      <c r="Q115" s="257">
        <f>VLOOKUP(B115,SWB!$C$15:$AJ$244,34,FALSE)</f>
        <v>0.6</v>
      </c>
      <c r="R115" s="257">
        <f>VLOOKUP(B115,SWB!$C$15:$V$244,20,FALSE)</f>
        <v>1.1218851852733334</v>
      </c>
      <c r="S115" s="116">
        <v>0</v>
      </c>
      <c r="T115" s="116">
        <v>0.58400300000000005</v>
      </c>
      <c r="U115" s="116">
        <v>1</v>
      </c>
      <c r="V115" s="116">
        <v>0.41599700000000001</v>
      </c>
      <c r="W115" s="116">
        <v>23.5</v>
      </c>
      <c r="X115" s="257">
        <v>1.8396170000000001</v>
      </c>
      <c r="Y115" s="116">
        <v>9.51</v>
      </c>
      <c r="Z115" s="116">
        <v>1</v>
      </c>
      <c r="AA115" s="257">
        <v>0.341391</v>
      </c>
      <c r="AB115" s="116">
        <v>0</v>
      </c>
      <c r="AC115" s="257">
        <v>4.498551</v>
      </c>
      <c r="AD115" s="257">
        <v>1.0794870000000001</v>
      </c>
      <c r="AE115" s="257">
        <v>3.4975360000000002</v>
      </c>
      <c r="AF115" s="116">
        <v>0.34761900000000001</v>
      </c>
      <c r="AG115" s="116">
        <v>0.55000000000000004</v>
      </c>
      <c r="AH115" s="116">
        <v>52.142856999999999</v>
      </c>
      <c r="AI115" s="116">
        <v>28.678571000000002</v>
      </c>
      <c r="AJ115" s="116">
        <f>IFERROR(VLOOKUP($B115,SWB!C113:BE496,37,FALSE),0)</f>
        <v>5</v>
      </c>
      <c r="AK115" s="116">
        <f t="shared" si="5"/>
        <v>5</v>
      </c>
      <c r="AL115" s="116">
        <f>IFERROR(VLOOKUP($B115,SWB!C113:BE496,38,FALSE),0)</f>
        <v>0</v>
      </c>
      <c r="AM115" s="116">
        <f>IFERROR(VLOOKUP($B115,SWB!C113:BE496,38,FALSE),0)</f>
        <v>0</v>
      </c>
      <c r="AN115" s="257">
        <f>IFERROR(VLOOKUP($B115,SWB!C113:BE496,40,FALSE),0)</f>
        <v>1.1218851852733334</v>
      </c>
      <c r="AO115" s="257">
        <f>IFERROR(VLOOKUP($B115,SWB!C113:BE496,43,FALSE),0)</f>
        <v>2.8047129631833334</v>
      </c>
      <c r="AP115" s="257">
        <v>14.945739</v>
      </c>
      <c r="AQ115" s="257">
        <f>IFERROR(VLOOKUP($B115,SWB!C113:BE496,44,FALSE),0)</f>
        <v>166.03918521645994</v>
      </c>
      <c r="AR115" s="116">
        <f t="shared" si="7"/>
        <v>45</v>
      </c>
      <c r="AS115" s="116">
        <v>134.81</v>
      </c>
      <c r="AT115" s="116" t="s">
        <v>131</v>
      </c>
      <c r="AU115" s="116" t="s">
        <v>131</v>
      </c>
      <c r="AV115" s="116" t="s">
        <v>131</v>
      </c>
      <c r="AW115" s="116" t="s">
        <v>131</v>
      </c>
      <c r="AX115" s="116" t="s">
        <v>131</v>
      </c>
      <c r="AY115" s="116" t="s">
        <v>131</v>
      </c>
      <c r="AZ115" s="116"/>
      <c r="BA115" s="116" t="s">
        <v>132</v>
      </c>
      <c r="BB115" s="116"/>
    </row>
    <row r="116" spans="1:54">
      <c r="A116" s="101" t="s">
        <v>133</v>
      </c>
      <c r="B116" s="69">
        <f t="shared" si="6"/>
        <v>42115</v>
      </c>
      <c r="C116" s="101" t="s">
        <v>133</v>
      </c>
      <c r="D116" s="116">
        <f>VLOOKUP(B116,SWB!$C$15:$H$244,6,FALSE)</f>
        <v>111</v>
      </c>
      <c r="E116" s="102">
        <f>VLOOKUP($B116,Clima!$W$8:$AI$1506,3,FALSE)</f>
        <v>19.5</v>
      </c>
      <c r="F116" s="102">
        <f>VLOOKUP($B116,Clima!$W$8:$AI$1506,4,FALSE)</f>
        <v>6.4</v>
      </c>
      <c r="G116" s="102">
        <f>VLOOKUP($B116,Clima!$W$8:$AI$1506,2,FALSE)</f>
        <v>12.5</v>
      </c>
      <c r="H116" s="102"/>
      <c r="I116" s="102">
        <f>VLOOKUP($B116,Clima!$W$8:$AI$1506,13,FALSE)</f>
        <v>4.0999999999999996</v>
      </c>
      <c r="J116" s="102"/>
      <c r="K116" s="102"/>
      <c r="L116" s="102">
        <f>VLOOKUP($B116,Clima!$W$8:$AI$1506,12,FALSE)</f>
        <v>0.2</v>
      </c>
      <c r="M116" s="102">
        <f t="shared" si="4"/>
        <v>0.2</v>
      </c>
      <c r="N116" s="257">
        <f>VLOOKUP(B116,SWB!$C$15:$S$244,17,FALSE)</f>
        <v>1.0822888894999998</v>
      </c>
      <c r="O116" s="116"/>
      <c r="P116" s="116">
        <f>SWB!$M$4</f>
        <v>0.15</v>
      </c>
      <c r="Q116" s="257">
        <f>VLOOKUP(B116,SWB!$C$15:$AJ$244,34,FALSE)</f>
        <v>0.6</v>
      </c>
      <c r="R116" s="257">
        <f>VLOOKUP(B116,SWB!$C$15:$V$244,20,FALSE)</f>
        <v>1.1225545602609373</v>
      </c>
      <c r="S116" s="116">
        <v>0</v>
      </c>
      <c r="T116" s="116">
        <v>0.54640500000000003</v>
      </c>
      <c r="U116" s="116">
        <v>1</v>
      </c>
      <c r="V116" s="116">
        <v>0.45359500000000003</v>
      </c>
      <c r="W116" s="116">
        <v>23.5</v>
      </c>
      <c r="X116" s="257">
        <v>4.498551</v>
      </c>
      <c r="Y116" s="116">
        <v>9.51</v>
      </c>
      <c r="Z116" s="116">
        <v>1</v>
      </c>
      <c r="AA116" s="257">
        <v>0.41076499999999999</v>
      </c>
      <c r="AB116" s="116">
        <v>0</v>
      </c>
      <c r="AC116" s="257">
        <v>8.2657530000000001</v>
      </c>
      <c r="AD116" s="257">
        <v>1.1714789999999999</v>
      </c>
      <c r="AE116" s="257">
        <v>4.873354</v>
      </c>
      <c r="AF116" s="116">
        <v>0.35714299999999999</v>
      </c>
      <c r="AG116" s="116">
        <v>0.55000000000000004</v>
      </c>
      <c r="AH116" s="116">
        <v>53.571429000000002</v>
      </c>
      <c r="AI116" s="116">
        <v>29.464286000000001</v>
      </c>
      <c r="AJ116" s="116">
        <f>IFERROR(VLOOKUP($B116,SWB!C114:BE497,37,FALSE),0)</f>
        <v>5</v>
      </c>
      <c r="AK116" s="116">
        <f t="shared" si="5"/>
        <v>5</v>
      </c>
      <c r="AL116" s="116">
        <f>IFERROR(VLOOKUP($B116,SWB!C114:BE497,38,FALSE),0)</f>
        <v>0</v>
      </c>
      <c r="AM116" s="116">
        <f>IFERROR(VLOOKUP($B116,SWB!C114:BE497,38,FALSE),0)</f>
        <v>0</v>
      </c>
      <c r="AN116" s="257">
        <f>IFERROR(VLOOKUP($B116,SWB!C114:BE497,40,FALSE),0)</f>
        <v>1.1225545602609373</v>
      </c>
      <c r="AO116" s="257">
        <f>IFERROR(VLOOKUP($B116,SWB!C114:BE497,43,FALSE),0)</f>
        <v>1.5715763843653121</v>
      </c>
      <c r="AP116" s="257">
        <v>19.819092999999999</v>
      </c>
      <c r="AQ116" s="257">
        <f>IFERROR(VLOOKUP($B116,SWB!C114:BE497,44,FALSE),0)</f>
        <v>167.61076160082524</v>
      </c>
      <c r="AR116" s="116">
        <f t="shared" si="7"/>
        <v>50</v>
      </c>
      <c r="AS116" s="116">
        <v>134.81</v>
      </c>
      <c r="AT116" s="116" t="s">
        <v>131</v>
      </c>
      <c r="AU116" s="116" t="s">
        <v>131</v>
      </c>
      <c r="AV116" s="116" t="s">
        <v>131</v>
      </c>
      <c r="AW116" s="116" t="s">
        <v>131</v>
      </c>
      <c r="AX116" s="116" t="s">
        <v>131</v>
      </c>
      <c r="AY116" s="116" t="s">
        <v>131</v>
      </c>
      <c r="AZ116" s="116"/>
      <c r="BA116" s="116" t="s">
        <v>132</v>
      </c>
      <c r="BB116" s="116"/>
    </row>
    <row r="117" spans="1:54">
      <c r="A117" s="101" t="s">
        <v>133</v>
      </c>
      <c r="B117" s="69">
        <f t="shared" si="6"/>
        <v>42116</v>
      </c>
      <c r="C117" s="101" t="s">
        <v>133</v>
      </c>
      <c r="D117" s="116">
        <f>VLOOKUP(B117,SWB!$C$15:$H$244,6,FALSE)</f>
        <v>112</v>
      </c>
      <c r="E117" s="102">
        <f>VLOOKUP($B117,Clima!$W$8:$AI$1506,3,FALSE)</f>
        <v>22.5</v>
      </c>
      <c r="F117" s="102">
        <f>VLOOKUP($B117,Clima!$W$8:$AI$1506,4,FALSE)</f>
        <v>8.5</v>
      </c>
      <c r="G117" s="102">
        <f>VLOOKUP($B117,Clima!$W$8:$AI$1506,2,FALSE)</f>
        <v>14</v>
      </c>
      <c r="H117" s="102"/>
      <c r="I117" s="102">
        <f>VLOOKUP($B117,Clima!$W$8:$AI$1506,13,FALSE)</f>
        <v>4.3</v>
      </c>
      <c r="J117" s="102"/>
      <c r="K117" s="102"/>
      <c r="L117" s="102">
        <f>VLOOKUP($B117,Clima!$W$8:$AI$1506,12,FALSE)</f>
        <v>2.2000000000000002</v>
      </c>
      <c r="M117" s="102">
        <f t="shared" si="4"/>
        <v>2.2000000000000002</v>
      </c>
      <c r="N117" s="257">
        <f>VLOOKUP(B117,SWB!$C$15:$S$244,17,FALSE)</f>
        <v>1.0876888893999999</v>
      </c>
      <c r="O117" s="116"/>
      <c r="P117" s="116">
        <f>SWB!$M$4</f>
        <v>0.15</v>
      </c>
      <c r="Q117" s="257">
        <f>VLOOKUP(B117,SWB!$C$15:$AJ$244,34,FALSE)</f>
        <v>0.6</v>
      </c>
      <c r="R117" s="257">
        <f>VLOOKUP(B117,SWB!$C$15:$V$244,20,FALSE)</f>
        <v>1.1232239352485416</v>
      </c>
      <c r="S117" s="116">
        <v>9.86</v>
      </c>
      <c r="T117" s="116">
        <v>0.59899400000000003</v>
      </c>
      <c r="U117" s="116">
        <v>1</v>
      </c>
      <c r="V117" s="116">
        <v>0.40100599999999997</v>
      </c>
      <c r="W117" s="116">
        <v>23.5</v>
      </c>
      <c r="X117" s="257">
        <v>0</v>
      </c>
      <c r="Y117" s="116">
        <v>9.51</v>
      </c>
      <c r="Z117" s="116">
        <v>1</v>
      </c>
      <c r="AA117" s="257">
        <v>0.34629300000000002</v>
      </c>
      <c r="AB117" s="257">
        <v>1.594247</v>
      </c>
      <c r="AC117" s="257">
        <v>3.3074300000000001</v>
      </c>
      <c r="AD117" s="257">
        <v>1.129626</v>
      </c>
      <c r="AE117" s="257">
        <v>4.3264670000000001</v>
      </c>
      <c r="AF117" s="116">
        <v>0.36666700000000002</v>
      </c>
      <c r="AG117" s="116">
        <v>0.55000000000000004</v>
      </c>
      <c r="AH117" s="116">
        <v>55</v>
      </c>
      <c r="AI117" s="116">
        <v>30.25</v>
      </c>
      <c r="AJ117" s="116">
        <f>IFERROR(VLOOKUP($B117,SWB!C115:BE498,37,FALSE),0)</f>
        <v>0</v>
      </c>
      <c r="AK117" s="116">
        <f t="shared" si="5"/>
        <v>0</v>
      </c>
      <c r="AL117" s="116">
        <f>IFERROR(VLOOKUP($B117,SWB!C115:BE498,38,FALSE),0)</f>
        <v>0</v>
      </c>
      <c r="AM117" s="116">
        <f>IFERROR(VLOOKUP($B117,SWB!C115:BE498,38,FALSE),0)</f>
        <v>0</v>
      </c>
      <c r="AN117" s="257">
        <f>IFERROR(VLOOKUP($B117,SWB!C115:BE498,40,FALSE),0)</f>
        <v>1.1232239352485416</v>
      </c>
      <c r="AO117" s="257">
        <f>IFERROR(VLOOKUP($B117,SWB!C115:BE498,43,FALSE),0)</f>
        <v>3.9312837733698958</v>
      </c>
      <c r="AP117" s="257">
        <v>14.28556</v>
      </c>
      <c r="AQ117" s="257">
        <f>IFERROR(VLOOKUP($B117,SWB!C115:BE498,44,FALSE),0)</f>
        <v>171.54204537419514</v>
      </c>
      <c r="AR117" s="116">
        <f t="shared" si="7"/>
        <v>55</v>
      </c>
      <c r="AS117" s="116">
        <v>134.81</v>
      </c>
      <c r="AT117" s="116" t="s">
        <v>131</v>
      </c>
      <c r="AU117" s="116" t="s">
        <v>131</v>
      </c>
      <c r="AV117" s="116" t="s">
        <v>131</v>
      </c>
      <c r="AW117" s="116" t="s">
        <v>131</v>
      </c>
      <c r="AX117" s="116" t="s">
        <v>131</v>
      </c>
      <c r="AY117" s="116" t="s">
        <v>131</v>
      </c>
      <c r="AZ117" s="116"/>
      <c r="BA117" s="116" t="s">
        <v>132</v>
      </c>
      <c r="BB117" s="116"/>
    </row>
    <row r="118" spans="1:54">
      <c r="A118" s="101" t="s">
        <v>133</v>
      </c>
      <c r="B118" s="69">
        <f t="shared" si="6"/>
        <v>42117</v>
      </c>
      <c r="C118" s="101" t="s">
        <v>133</v>
      </c>
      <c r="D118" s="116">
        <f>VLOOKUP(B118,SWB!$C$15:$H$244,6,FALSE)</f>
        <v>113</v>
      </c>
      <c r="E118" s="102">
        <f>VLOOKUP($B118,Clima!$W$8:$AI$1506,3,FALSE)</f>
        <v>23.5</v>
      </c>
      <c r="F118" s="102">
        <f>VLOOKUP($B118,Clima!$W$8:$AI$1506,4,FALSE)</f>
        <v>5.0999999999999996</v>
      </c>
      <c r="G118" s="102">
        <f>VLOOKUP($B118,Clima!$W$8:$AI$1506,2,FALSE)</f>
        <v>14.3</v>
      </c>
      <c r="H118" s="102"/>
      <c r="I118" s="102">
        <f>VLOOKUP($B118,Clima!$W$8:$AI$1506,13,FALSE)</f>
        <v>4.0999999999999996</v>
      </c>
      <c r="J118" s="102"/>
      <c r="K118" s="102"/>
      <c r="L118" s="102">
        <f>VLOOKUP($B118,Clima!$W$8:$AI$1506,12,FALSE)</f>
        <v>0</v>
      </c>
      <c r="M118" s="102">
        <f t="shared" si="4"/>
        <v>0</v>
      </c>
      <c r="N118" s="257">
        <f>VLOOKUP(B118,SWB!$C$15:$S$244,17,FALSE)</f>
        <v>1.0930888892999999</v>
      </c>
      <c r="O118" s="116"/>
      <c r="P118" s="116">
        <f>SWB!$M$4</f>
        <v>0.15</v>
      </c>
      <c r="Q118" s="257">
        <f>VLOOKUP(B118,SWB!$C$15:$AJ$244,34,FALSE)</f>
        <v>0.6</v>
      </c>
      <c r="R118" s="257">
        <f>VLOOKUP(B118,SWB!$C$15:$V$244,20,FALSE)</f>
        <v>1.1238933102361459</v>
      </c>
      <c r="S118" s="116">
        <v>0</v>
      </c>
      <c r="T118" s="116">
        <v>0.62795400000000001</v>
      </c>
      <c r="U118" s="116">
        <v>1</v>
      </c>
      <c r="V118" s="116">
        <v>0.37204599999999999</v>
      </c>
      <c r="W118" s="116">
        <v>23.5</v>
      </c>
      <c r="X118" s="257">
        <v>3.3074300000000001</v>
      </c>
      <c r="Y118" s="116">
        <v>9.51</v>
      </c>
      <c r="Z118" s="116">
        <v>1</v>
      </c>
      <c r="AA118" s="257">
        <v>0.31869700000000001</v>
      </c>
      <c r="AB118" s="116">
        <v>0</v>
      </c>
      <c r="AC118" s="257">
        <v>6.9565780000000004</v>
      </c>
      <c r="AD118" s="257">
        <v>1.1246499999999999</v>
      </c>
      <c r="AE118" s="257">
        <v>4.7910079999999997</v>
      </c>
      <c r="AF118" s="116">
        <v>0.37619000000000002</v>
      </c>
      <c r="AG118" s="116">
        <v>0.55000000000000004</v>
      </c>
      <c r="AH118" s="116">
        <v>56.428570999999998</v>
      </c>
      <c r="AI118" s="116">
        <v>31.035713999999999</v>
      </c>
      <c r="AJ118" s="116">
        <f>IFERROR(VLOOKUP($B118,SWB!C116:BE499,37,FALSE),0)</f>
        <v>0</v>
      </c>
      <c r="AK118" s="116">
        <f t="shared" si="5"/>
        <v>0</v>
      </c>
      <c r="AL118" s="116">
        <f>IFERROR(VLOOKUP($B118,SWB!C116:BE499,38,FALSE),0)</f>
        <v>0</v>
      </c>
      <c r="AM118" s="116">
        <f>IFERROR(VLOOKUP($B118,SWB!C116:BE499,38,FALSE),0)</f>
        <v>0</v>
      </c>
      <c r="AN118" s="257">
        <f>IFERROR(VLOOKUP($B118,SWB!C116:BE499,40,FALSE),0)</f>
        <v>1.1238933102361459</v>
      </c>
      <c r="AO118" s="257">
        <f>IFERROR(VLOOKUP($B118,SWB!C116:BE499,43,FALSE),0)</f>
        <v>2.5849546135431356</v>
      </c>
      <c r="AP118" s="257">
        <v>19.076568000000002</v>
      </c>
      <c r="AQ118" s="257">
        <f>IFERROR(VLOOKUP($B118,SWB!C116:BE499,44,FALSE),0)</f>
        <v>174.12699998773829</v>
      </c>
      <c r="AR118" s="116">
        <f t="shared" si="7"/>
        <v>55</v>
      </c>
      <c r="AS118" s="116">
        <v>134.81</v>
      </c>
      <c r="AT118" s="116" t="s">
        <v>131</v>
      </c>
      <c r="AU118" s="116" t="s">
        <v>131</v>
      </c>
      <c r="AV118" s="116" t="s">
        <v>131</v>
      </c>
      <c r="AW118" s="116" t="s">
        <v>131</v>
      </c>
      <c r="AX118" s="116" t="s">
        <v>131</v>
      </c>
      <c r="AY118" s="116" t="s">
        <v>131</v>
      </c>
      <c r="AZ118" s="116"/>
      <c r="BA118" s="116" t="s">
        <v>132</v>
      </c>
      <c r="BB118" s="116"/>
    </row>
    <row r="119" spans="1:54">
      <c r="A119" s="101" t="s">
        <v>133</v>
      </c>
      <c r="B119" s="69">
        <f t="shared" si="6"/>
        <v>42118</v>
      </c>
      <c r="C119" s="101" t="s">
        <v>133</v>
      </c>
      <c r="D119" s="116">
        <f>VLOOKUP(B119,SWB!$C$15:$H$244,6,FALSE)</f>
        <v>114</v>
      </c>
      <c r="E119" s="102">
        <f>VLOOKUP($B119,Clima!$W$8:$AI$1506,3,FALSE)</f>
        <v>25.2</v>
      </c>
      <c r="F119" s="102">
        <f>VLOOKUP($B119,Clima!$W$8:$AI$1506,4,FALSE)</f>
        <v>4.9000000000000004</v>
      </c>
      <c r="G119" s="102">
        <f>VLOOKUP($B119,Clima!$W$8:$AI$1506,2,FALSE)</f>
        <v>15.8</v>
      </c>
      <c r="H119" s="102"/>
      <c r="I119" s="102">
        <f>VLOOKUP($B119,Clima!$W$8:$AI$1506,13,FALSE)</f>
        <v>4.2</v>
      </c>
      <c r="J119" s="102"/>
      <c r="K119" s="102"/>
      <c r="L119" s="102">
        <f>VLOOKUP($B119,Clima!$W$8:$AI$1506,12,FALSE)</f>
        <v>0</v>
      </c>
      <c r="M119" s="102">
        <f t="shared" si="4"/>
        <v>0</v>
      </c>
      <c r="N119" s="257">
        <f>VLOOKUP(B119,SWB!$C$15:$S$244,17,FALSE)</f>
        <v>1.0984888892</v>
      </c>
      <c r="O119" s="116"/>
      <c r="P119" s="116">
        <f>SWB!$M$4</f>
        <v>0.15</v>
      </c>
      <c r="Q119" s="257">
        <f>VLOOKUP(B119,SWB!$C$15:$AJ$244,34,FALSE)</f>
        <v>0.6</v>
      </c>
      <c r="R119" s="257">
        <f>VLOOKUP(B119,SWB!$C$15:$V$244,20,FALSE)</f>
        <v>1.1245626852237498</v>
      </c>
      <c r="S119" s="116">
        <v>9.86</v>
      </c>
      <c r="T119" s="116">
        <v>0.63150200000000001</v>
      </c>
      <c r="U119" s="116">
        <v>1</v>
      </c>
      <c r="V119" s="116">
        <v>0.36849799999999999</v>
      </c>
      <c r="W119" s="116">
        <v>23.5</v>
      </c>
      <c r="X119" s="257">
        <v>0</v>
      </c>
      <c r="Y119" s="116">
        <v>9.51</v>
      </c>
      <c r="Z119" s="116">
        <v>1</v>
      </c>
      <c r="AA119" s="257">
        <v>0.32486399999999999</v>
      </c>
      <c r="AB119" s="257">
        <v>2.9034219999999999</v>
      </c>
      <c r="AC119" s="257">
        <v>3.6233339999999998</v>
      </c>
      <c r="AD119" s="257">
        <v>1.1534359999999999</v>
      </c>
      <c r="AE119" s="257">
        <v>4.740621</v>
      </c>
      <c r="AF119" s="116">
        <v>0.385714</v>
      </c>
      <c r="AG119" s="116">
        <v>0.55000000000000004</v>
      </c>
      <c r="AH119" s="116">
        <v>57.857143000000001</v>
      </c>
      <c r="AI119" s="116">
        <v>31.821428999999998</v>
      </c>
      <c r="AJ119" s="116">
        <f>IFERROR(VLOOKUP($B119,SWB!C117:BE500,37,FALSE),0)</f>
        <v>0</v>
      </c>
      <c r="AK119" s="116">
        <f t="shared" si="5"/>
        <v>0</v>
      </c>
      <c r="AL119" s="116">
        <f>IFERROR(VLOOKUP($B119,SWB!C117:BE500,38,FALSE),0)</f>
        <v>0</v>
      </c>
      <c r="AM119" s="116">
        <f>IFERROR(VLOOKUP($B119,SWB!C117:BE500,38,FALSE),0)</f>
        <v>0</v>
      </c>
      <c r="AN119" s="257">
        <f>IFERROR(VLOOKUP($B119,SWB!C117:BE500,40,FALSE),0)</f>
        <v>1.1245626852237498</v>
      </c>
      <c r="AO119" s="257">
        <f>IFERROR(VLOOKUP($B119,SWB!C117:BE500,43,FALSE),0)</f>
        <v>4.0484256668054996</v>
      </c>
      <c r="AP119" s="257">
        <v>13.957189</v>
      </c>
      <c r="AQ119" s="257">
        <f>IFERROR(VLOOKUP($B119,SWB!C117:BE500,44,FALSE),0)</f>
        <v>178.1754256545438</v>
      </c>
      <c r="AR119" s="116">
        <f t="shared" si="7"/>
        <v>55</v>
      </c>
      <c r="AS119" s="116">
        <v>134.81</v>
      </c>
      <c r="AT119" s="116" t="s">
        <v>131</v>
      </c>
      <c r="AU119" s="116" t="s">
        <v>131</v>
      </c>
      <c r="AV119" s="116" t="s">
        <v>131</v>
      </c>
      <c r="AW119" s="116" t="s">
        <v>131</v>
      </c>
      <c r="AX119" s="116" t="s">
        <v>131</v>
      </c>
      <c r="AY119" s="116" t="s">
        <v>131</v>
      </c>
      <c r="AZ119" s="116"/>
      <c r="BA119" s="116" t="s">
        <v>132</v>
      </c>
      <c r="BB119" s="116"/>
    </row>
    <row r="120" spans="1:54">
      <c r="A120" s="101" t="s">
        <v>133</v>
      </c>
      <c r="B120" s="69">
        <f t="shared" si="6"/>
        <v>42119</v>
      </c>
      <c r="C120" s="101" t="s">
        <v>133</v>
      </c>
      <c r="D120" s="116">
        <f>VLOOKUP(B120,SWB!$C$15:$H$244,6,FALSE)</f>
        <v>115</v>
      </c>
      <c r="E120" s="102">
        <f>VLOOKUP($B120,Clima!$W$8:$AI$1506,3,FALSE)</f>
        <v>19.600000000000001</v>
      </c>
      <c r="F120" s="102">
        <f>VLOOKUP($B120,Clima!$W$8:$AI$1506,4,FALSE)</f>
        <v>7.5</v>
      </c>
      <c r="G120" s="102">
        <f>VLOOKUP($B120,Clima!$W$8:$AI$1506,2,FALSE)</f>
        <v>14.2</v>
      </c>
      <c r="H120" s="102"/>
      <c r="I120" s="102">
        <f>VLOOKUP($B120,Clima!$W$8:$AI$1506,13,FALSE)</f>
        <v>3.2</v>
      </c>
      <c r="J120" s="102"/>
      <c r="K120" s="102"/>
      <c r="L120" s="102">
        <f>VLOOKUP($B120,Clima!$W$8:$AI$1506,12,FALSE)</f>
        <v>0.2</v>
      </c>
      <c r="M120" s="102">
        <f t="shared" si="4"/>
        <v>0.2</v>
      </c>
      <c r="N120" s="257">
        <f>VLOOKUP(B120,SWB!$C$15:$S$244,17,FALSE)</f>
        <v>1.1038888891</v>
      </c>
      <c r="O120" s="116"/>
      <c r="P120" s="116">
        <f>SWB!$M$4</f>
        <v>0.15</v>
      </c>
      <c r="Q120" s="257">
        <f>VLOOKUP(B120,SWB!$C$15:$AJ$244,34,FALSE)</f>
        <v>0.6</v>
      </c>
      <c r="R120" s="257">
        <f>VLOOKUP(B120,SWB!$C$15:$V$244,20,FALSE)</f>
        <v>1.1252320602113541</v>
      </c>
      <c r="S120" s="116">
        <v>0</v>
      </c>
      <c r="T120" s="116">
        <v>0.69237199999999999</v>
      </c>
      <c r="U120" s="116">
        <v>1</v>
      </c>
      <c r="V120" s="116">
        <v>0.30762800000000001</v>
      </c>
      <c r="W120" s="116">
        <v>23.5</v>
      </c>
      <c r="X120" s="257">
        <v>1.4633339999999999</v>
      </c>
      <c r="Y120" s="116">
        <v>9.51</v>
      </c>
      <c r="Z120" s="116">
        <v>1</v>
      </c>
      <c r="AA120" s="257">
        <v>0.25758599999999998</v>
      </c>
      <c r="AB120" s="116">
        <v>0</v>
      </c>
      <c r="AC120" s="257">
        <v>5.0722230000000001</v>
      </c>
      <c r="AD120" s="257">
        <v>1.108776</v>
      </c>
      <c r="AE120" s="257">
        <v>4.7788269999999997</v>
      </c>
      <c r="AF120" s="116">
        <v>0.39523799999999998</v>
      </c>
      <c r="AG120" s="116">
        <v>0.55000000000000004</v>
      </c>
      <c r="AH120" s="116">
        <v>59.285713999999999</v>
      </c>
      <c r="AI120" s="116">
        <v>32.607143000000001</v>
      </c>
      <c r="AJ120" s="116">
        <f>IFERROR(VLOOKUP($B120,SWB!C118:BE501,37,FALSE),0)</f>
        <v>5</v>
      </c>
      <c r="AK120" s="116">
        <f t="shared" si="5"/>
        <v>5</v>
      </c>
      <c r="AL120" s="116">
        <f>IFERROR(VLOOKUP($B120,SWB!C118:BE501,38,FALSE),0)</f>
        <v>0</v>
      </c>
      <c r="AM120" s="116">
        <f>IFERROR(VLOOKUP($B120,SWB!C118:BE501,38,FALSE),0)</f>
        <v>0</v>
      </c>
      <c r="AN120" s="257">
        <f>IFERROR(VLOOKUP($B120,SWB!C118:BE501,40,FALSE),0)</f>
        <v>0.91954530505264398</v>
      </c>
      <c r="AO120" s="257">
        <f>IFERROR(VLOOKUP($B120,SWB!C118:BE501,43,FALSE),0)</f>
        <v>3.9540448117263689</v>
      </c>
      <c r="AP120" s="257">
        <v>16.576015999999999</v>
      </c>
      <c r="AQ120" s="257">
        <f>IFERROR(VLOOKUP($B120,SWB!C118:BE501,44,FALSE),0)</f>
        <v>182.12947046627016</v>
      </c>
      <c r="AR120" s="116">
        <f t="shared" si="7"/>
        <v>55</v>
      </c>
      <c r="AS120" s="116">
        <v>136.97</v>
      </c>
      <c r="AT120" s="116" t="s">
        <v>131</v>
      </c>
      <c r="AU120" s="116" t="s">
        <v>131</v>
      </c>
      <c r="AV120" s="116" t="s">
        <v>131</v>
      </c>
      <c r="AW120" s="116" t="s">
        <v>131</v>
      </c>
      <c r="AX120" s="116" t="s">
        <v>131</v>
      </c>
      <c r="AY120" s="116" t="s">
        <v>131</v>
      </c>
      <c r="AZ120" s="116"/>
      <c r="BA120" s="116" t="s">
        <v>132</v>
      </c>
      <c r="BB120" s="116"/>
    </row>
    <row r="121" spans="1:54">
      <c r="A121" s="101" t="s">
        <v>133</v>
      </c>
      <c r="B121" s="69">
        <f t="shared" si="6"/>
        <v>42120</v>
      </c>
      <c r="C121" s="101" t="s">
        <v>133</v>
      </c>
      <c r="D121" s="116">
        <f>VLOOKUP(B121,SWB!$C$15:$H$244,6,FALSE)</f>
        <v>116</v>
      </c>
      <c r="E121" s="102">
        <f>VLOOKUP($B121,Clima!$W$8:$AI$1506,3,FALSE)</f>
        <v>19</v>
      </c>
      <c r="F121" s="102">
        <f>VLOOKUP($B121,Clima!$W$8:$AI$1506,4,FALSE)</f>
        <v>5.6</v>
      </c>
      <c r="G121" s="102">
        <f>VLOOKUP($B121,Clima!$W$8:$AI$1506,2,FALSE)</f>
        <v>11.9</v>
      </c>
      <c r="H121" s="102"/>
      <c r="I121" s="102">
        <f>VLOOKUP($B121,Clima!$W$8:$AI$1506,13,FALSE)</f>
        <v>2.7</v>
      </c>
      <c r="J121" s="102"/>
      <c r="K121" s="102"/>
      <c r="L121" s="102">
        <f>VLOOKUP($B121,Clima!$W$8:$AI$1506,12,FALSE)</f>
        <v>2.5</v>
      </c>
      <c r="M121" s="102">
        <f t="shared" si="4"/>
        <v>2.5</v>
      </c>
      <c r="N121" s="257">
        <f>VLOOKUP(B121,SWB!$C$15:$S$244,17,FALSE)</f>
        <v>1.1092888890000001</v>
      </c>
      <c r="O121" s="116"/>
      <c r="P121" s="116">
        <f>SWB!$M$4</f>
        <v>0.15</v>
      </c>
      <c r="Q121" s="257">
        <f>VLOOKUP(B121,SWB!$C$15:$AJ$244,34,FALSE)</f>
        <v>0.6</v>
      </c>
      <c r="R121" s="257">
        <f>VLOOKUP(B121,SWB!$C$15:$V$244,20,FALSE)</f>
        <v>1.1259014351989582</v>
      </c>
      <c r="S121" s="116">
        <v>9.86</v>
      </c>
      <c r="T121" s="116">
        <v>0.71358100000000002</v>
      </c>
      <c r="U121" s="116">
        <v>1</v>
      </c>
      <c r="V121" s="116">
        <v>0.28641899999999998</v>
      </c>
      <c r="W121" s="116">
        <v>23.5</v>
      </c>
      <c r="X121" s="257">
        <v>0</v>
      </c>
      <c r="Y121" s="116">
        <v>9.51</v>
      </c>
      <c r="Z121" s="116">
        <v>1</v>
      </c>
      <c r="AA121" s="257">
        <v>0.24080399999999999</v>
      </c>
      <c r="AB121" s="257">
        <v>4.7877770000000002</v>
      </c>
      <c r="AC121" s="257">
        <v>3.4302220000000001</v>
      </c>
      <c r="AD121" s="257">
        <v>1.1146130000000001</v>
      </c>
      <c r="AE121" s="257">
        <v>4.5476229999999997</v>
      </c>
      <c r="AF121" s="116">
        <v>0.40476200000000001</v>
      </c>
      <c r="AG121" s="116">
        <v>0.55000000000000004</v>
      </c>
      <c r="AH121" s="116">
        <v>60.714286000000001</v>
      </c>
      <c r="AI121" s="116">
        <v>33.392856999999999</v>
      </c>
      <c r="AJ121" s="116">
        <f>IFERROR(VLOOKUP($B121,SWB!C119:BE502,37,FALSE),0)</f>
        <v>5</v>
      </c>
      <c r="AK121" s="116">
        <f t="shared" si="5"/>
        <v>5</v>
      </c>
      <c r="AL121" s="116">
        <f>IFERROR(VLOOKUP($B121,SWB!C119:BE502,38,FALSE),0)</f>
        <v>0</v>
      </c>
      <c r="AM121" s="116">
        <f>IFERROR(VLOOKUP($B121,SWB!C119:BE502,38,FALSE),0)</f>
        <v>0</v>
      </c>
      <c r="AN121" s="257">
        <f>IFERROR(VLOOKUP($B121,SWB!C119:BE502,40,FALSE),0)</f>
        <v>1.1191008937063101</v>
      </c>
      <c r="AO121" s="257">
        <f>IFERROR(VLOOKUP($B121,SWB!C119:BE502,43,FALSE),0)</f>
        <v>4.5883136641958711</v>
      </c>
      <c r="AP121" s="257">
        <v>11.263639</v>
      </c>
      <c r="AQ121" s="257">
        <f>IFERROR(VLOOKUP($B121,SWB!C119:BE502,44,FALSE),0)</f>
        <v>186.71778413046604</v>
      </c>
      <c r="AR121" s="116">
        <f t="shared" si="7"/>
        <v>60</v>
      </c>
      <c r="AS121" s="116">
        <v>136.97</v>
      </c>
      <c r="AT121" s="116" t="s">
        <v>131</v>
      </c>
      <c r="AU121" s="116" t="s">
        <v>131</v>
      </c>
      <c r="AV121" s="116" t="s">
        <v>131</v>
      </c>
      <c r="AW121" s="116" t="s">
        <v>131</v>
      </c>
      <c r="AX121" s="116" t="s">
        <v>131</v>
      </c>
      <c r="AY121" s="116" t="s">
        <v>131</v>
      </c>
      <c r="AZ121" s="116"/>
      <c r="BA121" s="116" t="s">
        <v>132</v>
      </c>
      <c r="BB121" s="116"/>
    </row>
    <row r="122" spans="1:54">
      <c r="A122" s="101" t="s">
        <v>133</v>
      </c>
      <c r="B122" s="69">
        <f t="shared" si="6"/>
        <v>42121</v>
      </c>
      <c r="C122" s="101" t="s">
        <v>133</v>
      </c>
      <c r="D122" s="116">
        <f>VLOOKUP(B122,SWB!$C$15:$H$244,6,FALSE)</f>
        <v>117</v>
      </c>
      <c r="E122" s="102">
        <f>VLOOKUP($B122,Clima!$W$8:$AI$1506,3,FALSE)</f>
        <v>16</v>
      </c>
      <c r="F122" s="102">
        <f>VLOOKUP($B122,Clima!$W$8:$AI$1506,4,FALSE)</f>
        <v>5</v>
      </c>
      <c r="G122" s="102">
        <f>VLOOKUP($B122,Clima!$W$8:$AI$1506,2,FALSE)</f>
        <v>10.9</v>
      </c>
      <c r="H122" s="102"/>
      <c r="I122" s="102">
        <f>VLOOKUP($B122,Clima!$W$8:$AI$1506,13,FALSE)</f>
        <v>3.1</v>
      </c>
      <c r="J122" s="102"/>
      <c r="K122" s="102"/>
      <c r="L122" s="102">
        <f>VLOOKUP($B122,Clima!$W$8:$AI$1506,12,FALSE)</f>
        <v>0</v>
      </c>
      <c r="M122" s="102">
        <f t="shared" si="4"/>
        <v>0</v>
      </c>
      <c r="N122" s="257">
        <f>VLOOKUP(B122,SWB!$C$15:$S$244,17,FALSE)</f>
        <v>1.1146888889000002</v>
      </c>
      <c r="O122" s="116"/>
      <c r="P122" s="116">
        <f>SWB!$M$4</f>
        <v>0.15</v>
      </c>
      <c r="Q122" s="257">
        <f>VLOOKUP(B122,SWB!$C$15:$AJ$244,34,FALSE)</f>
        <v>0.6</v>
      </c>
      <c r="R122" s="257">
        <f>VLOOKUP(B122,SWB!$C$15:$V$244,20,FALSE)</f>
        <v>1.1265708101865624</v>
      </c>
      <c r="S122" s="116">
        <v>0</v>
      </c>
      <c r="T122" s="116">
        <v>0.72917500000000002</v>
      </c>
      <c r="U122" s="116">
        <v>1</v>
      </c>
      <c r="V122" s="116">
        <v>0.27082499999999998</v>
      </c>
      <c r="W122" s="116">
        <v>23.5</v>
      </c>
      <c r="X122" s="257">
        <v>3.4302220000000001</v>
      </c>
      <c r="Y122" s="116">
        <v>9.51</v>
      </c>
      <c r="Z122" s="116">
        <v>1</v>
      </c>
      <c r="AA122" s="257">
        <v>0.23019500000000001</v>
      </c>
      <c r="AB122" s="116">
        <v>0</v>
      </c>
      <c r="AC122" s="257">
        <v>6.9916239999999998</v>
      </c>
      <c r="AD122" s="257">
        <v>1.1266229999999999</v>
      </c>
      <c r="AE122" s="257">
        <v>4.7205519999999996</v>
      </c>
      <c r="AF122" s="116">
        <v>0.41428599999999999</v>
      </c>
      <c r="AG122" s="116">
        <v>0.55000000000000004</v>
      </c>
      <c r="AH122" s="116">
        <v>62.142856999999999</v>
      </c>
      <c r="AI122" s="116">
        <v>34.178570999999998</v>
      </c>
      <c r="AJ122" s="116">
        <f>IFERROR(VLOOKUP($B122,SWB!C120:BE503,37,FALSE),0)</f>
        <v>5</v>
      </c>
      <c r="AK122" s="116">
        <f t="shared" si="5"/>
        <v>5</v>
      </c>
      <c r="AL122" s="116">
        <f>IFERROR(VLOOKUP($B122,SWB!C120:BE503,38,FALSE),0)</f>
        <v>0</v>
      </c>
      <c r="AM122" s="116">
        <f>IFERROR(VLOOKUP($B122,SWB!C120:BE503,38,FALSE),0)</f>
        <v>0</v>
      </c>
      <c r="AN122" s="257">
        <f>IFERROR(VLOOKUP($B122,SWB!C120:BE503,40,FALSE),0)</f>
        <v>1.1168385422623668</v>
      </c>
      <c r="AO122" s="257">
        <f>IFERROR(VLOOKUP($B122,SWB!C120:BE503,43,FALSE),0)</f>
        <v>5.0257734401806502</v>
      </c>
      <c r="AP122" s="257">
        <v>15.984190999999999</v>
      </c>
      <c r="AQ122" s="257">
        <f>IFERROR(VLOOKUP($B122,SWB!C120:BE503,44,FALSE),0)</f>
        <v>191.74355757064669</v>
      </c>
      <c r="AR122" s="116">
        <f t="shared" si="7"/>
        <v>65</v>
      </c>
      <c r="AS122" s="116">
        <v>136.97</v>
      </c>
      <c r="AT122" s="116" t="s">
        <v>131</v>
      </c>
      <c r="AU122" s="116" t="s">
        <v>131</v>
      </c>
      <c r="AV122" s="116" t="s">
        <v>131</v>
      </c>
      <c r="AW122" s="116" t="s">
        <v>131</v>
      </c>
      <c r="AX122" s="116" t="s">
        <v>131</v>
      </c>
      <c r="AY122" s="116" t="s">
        <v>131</v>
      </c>
      <c r="AZ122" s="116"/>
      <c r="BA122" s="116" t="s">
        <v>132</v>
      </c>
      <c r="BB122" s="116"/>
    </row>
    <row r="123" spans="1:54">
      <c r="A123" s="101" t="s">
        <v>133</v>
      </c>
      <c r="B123" s="69">
        <f t="shared" si="6"/>
        <v>42122</v>
      </c>
      <c r="C123" s="101" t="s">
        <v>133</v>
      </c>
      <c r="D123" s="116">
        <f>VLOOKUP(B123,SWB!$C$15:$H$244,6,FALSE)</f>
        <v>118</v>
      </c>
      <c r="E123" s="102">
        <f>VLOOKUP($B123,Clima!$W$8:$AI$1506,3,FALSE)</f>
        <v>20.5</v>
      </c>
      <c r="F123" s="102">
        <f>VLOOKUP($B123,Clima!$W$8:$AI$1506,4,FALSE)</f>
        <v>5</v>
      </c>
      <c r="G123" s="102">
        <f>VLOOKUP($B123,Clima!$W$8:$AI$1506,2,FALSE)</f>
        <v>12.5</v>
      </c>
      <c r="H123" s="102"/>
      <c r="I123" s="102">
        <f>VLOOKUP($B123,Clima!$W$8:$AI$1506,13,FALSE)</f>
        <v>4.0999999999999996</v>
      </c>
      <c r="J123" s="102"/>
      <c r="K123" s="102"/>
      <c r="L123" s="102">
        <f>VLOOKUP($B123,Clima!$W$8:$AI$1506,12,FALSE)</f>
        <v>0</v>
      </c>
      <c r="M123" s="102">
        <f t="shared" si="4"/>
        <v>0</v>
      </c>
      <c r="N123" s="257">
        <f>VLOOKUP(B123,SWB!$C$15:$S$244,17,FALSE)</f>
        <v>1.1200888888</v>
      </c>
      <c r="O123" s="116"/>
      <c r="P123" s="116">
        <f>SWB!$M$4</f>
        <v>0.15</v>
      </c>
      <c r="Q123" s="257">
        <f>VLOOKUP(B123,SWB!$C$15:$AJ$244,34,FALSE)</f>
        <v>0.6</v>
      </c>
      <c r="R123" s="257">
        <f>VLOOKUP(B123,SWB!$C$15:$V$244,20,FALSE)</f>
        <v>1.1272401851741667</v>
      </c>
      <c r="S123" s="116">
        <v>0</v>
      </c>
      <c r="T123" s="116">
        <v>0.73778100000000002</v>
      </c>
      <c r="U123" s="116">
        <v>1</v>
      </c>
      <c r="V123" s="116">
        <v>0.26221899999999998</v>
      </c>
      <c r="W123" s="116">
        <v>23.5</v>
      </c>
      <c r="X123" s="257">
        <v>6.9916239999999998</v>
      </c>
      <c r="Y123" s="116">
        <v>9.51</v>
      </c>
      <c r="Z123" s="116">
        <v>1</v>
      </c>
      <c r="AA123" s="257">
        <v>0.22717300000000001</v>
      </c>
      <c r="AB123" s="116">
        <v>0</v>
      </c>
      <c r="AC123" s="257">
        <v>9.7292819999999995</v>
      </c>
      <c r="AD123" s="257">
        <v>1.1462209999999999</v>
      </c>
      <c r="AE123" s="257">
        <v>3.6220569999999999</v>
      </c>
      <c r="AF123" s="116">
        <v>0.42381000000000002</v>
      </c>
      <c r="AG123" s="116">
        <v>0.55000000000000004</v>
      </c>
      <c r="AH123" s="116">
        <v>63.571429000000002</v>
      </c>
      <c r="AI123" s="116">
        <v>34.964286000000001</v>
      </c>
      <c r="AJ123" s="116">
        <f>IFERROR(VLOOKUP($B123,SWB!C121:BE504,37,FALSE),0)</f>
        <v>5</v>
      </c>
      <c r="AK123" s="116">
        <f t="shared" si="5"/>
        <v>5</v>
      </c>
      <c r="AL123" s="116">
        <f>IFERROR(VLOOKUP($B123,SWB!C121:BE504,38,FALSE),0)</f>
        <v>0</v>
      </c>
      <c r="AM123" s="116">
        <f>IFERROR(VLOOKUP($B123,SWB!C121:BE504,38,FALSE),0)</f>
        <v>0</v>
      </c>
      <c r="AN123" s="257">
        <f>IFERROR(VLOOKUP($B123,SWB!C121:BE504,40,FALSE),0)</f>
        <v>1.1272401851741667</v>
      </c>
      <c r="AO123" s="257">
        <f>IFERROR(VLOOKUP($B123,SWB!C121:BE504,43,FALSE),0)</f>
        <v>3.9453406481095836</v>
      </c>
      <c r="AP123" s="257">
        <v>19.606248000000001</v>
      </c>
      <c r="AQ123" s="257">
        <f>IFERROR(VLOOKUP($B123,SWB!C121:BE504,44,FALSE),0)</f>
        <v>195.68889821875626</v>
      </c>
      <c r="AR123" s="116">
        <f t="shared" si="7"/>
        <v>70</v>
      </c>
      <c r="AS123" s="116">
        <v>136.97</v>
      </c>
      <c r="AT123" s="116" t="s">
        <v>131</v>
      </c>
      <c r="AU123" s="116" t="s">
        <v>131</v>
      </c>
      <c r="AV123" s="116" t="s">
        <v>131</v>
      </c>
      <c r="AW123" s="116" t="s">
        <v>131</v>
      </c>
      <c r="AX123" s="116" t="s">
        <v>131</v>
      </c>
      <c r="AY123" s="116" t="s">
        <v>131</v>
      </c>
      <c r="AZ123" s="116"/>
      <c r="BA123" s="116" t="s">
        <v>132</v>
      </c>
      <c r="BB123" s="116"/>
    </row>
    <row r="124" spans="1:54">
      <c r="A124" s="101" t="s">
        <v>133</v>
      </c>
      <c r="B124" s="69">
        <f t="shared" si="6"/>
        <v>42123</v>
      </c>
      <c r="C124" s="101" t="s">
        <v>133</v>
      </c>
      <c r="D124" s="116">
        <f>VLOOKUP(B124,SWB!$C$15:$H$244,6,FALSE)</f>
        <v>119</v>
      </c>
      <c r="E124" s="102">
        <f>VLOOKUP($B124,Clima!$W$8:$AI$1506,3,FALSE)</f>
        <v>22.3</v>
      </c>
      <c r="F124" s="102">
        <f>VLOOKUP($B124,Clima!$W$8:$AI$1506,4,FALSE)</f>
        <v>6</v>
      </c>
      <c r="G124" s="102">
        <f>VLOOKUP($B124,Clima!$W$8:$AI$1506,2,FALSE)</f>
        <v>14</v>
      </c>
      <c r="H124" s="102"/>
      <c r="I124" s="102">
        <f>VLOOKUP($B124,Clima!$W$8:$AI$1506,13,FALSE)</f>
        <v>4.8</v>
      </c>
      <c r="J124" s="102"/>
      <c r="K124" s="102"/>
      <c r="L124" s="102">
        <f>VLOOKUP($B124,Clima!$W$8:$AI$1506,12,FALSE)</f>
        <v>0</v>
      </c>
      <c r="M124" s="102">
        <f t="shared" si="4"/>
        <v>0</v>
      </c>
      <c r="N124" s="257">
        <f>VLOOKUP(B124,SWB!$C$15:$S$244,17,FALSE)</f>
        <v>1.1254888887000001</v>
      </c>
      <c r="O124" s="116"/>
      <c r="P124" s="116">
        <f>SWB!$M$4</f>
        <v>0.15</v>
      </c>
      <c r="Q124" s="257">
        <f>VLOOKUP(B124,SWB!$C$15:$AJ$244,34,FALSE)</f>
        <v>0.6</v>
      </c>
      <c r="R124" s="257">
        <f>VLOOKUP(B124,SWB!$C$15:$V$244,20,FALSE)</f>
        <v>1.1279095601617708</v>
      </c>
      <c r="S124" s="116">
        <v>0</v>
      </c>
      <c r="T124" s="116">
        <v>0.81205499999999997</v>
      </c>
      <c r="U124" s="116">
        <v>1</v>
      </c>
      <c r="V124" s="116">
        <v>0.187945</v>
      </c>
      <c r="W124" s="116">
        <v>23.5</v>
      </c>
      <c r="X124" s="257">
        <v>4.7292820000000004</v>
      </c>
      <c r="Y124" s="116">
        <v>9.51</v>
      </c>
      <c r="Z124" s="116">
        <v>1</v>
      </c>
      <c r="AA124" s="257">
        <v>0.15346199999999999</v>
      </c>
      <c r="AB124" s="116">
        <v>0</v>
      </c>
      <c r="AC124" s="257">
        <v>6.9665629999999998</v>
      </c>
      <c r="AD124" s="257">
        <v>1.095129</v>
      </c>
      <c r="AE124" s="257">
        <v>3.0006529999999998</v>
      </c>
      <c r="AF124" s="116">
        <v>0.43333300000000002</v>
      </c>
      <c r="AG124" s="116">
        <v>0.55000000000000004</v>
      </c>
      <c r="AH124" s="116">
        <v>65</v>
      </c>
      <c r="AI124" s="116">
        <v>35.75</v>
      </c>
      <c r="AJ124" s="116">
        <f>IFERROR(VLOOKUP($B124,SWB!C122:BE505,37,FALSE),0)</f>
        <v>5</v>
      </c>
      <c r="AK124" s="116">
        <f t="shared" si="5"/>
        <v>5</v>
      </c>
      <c r="AL124" s="116">
        <f>IFERROR(VLOOKUP($B124,SWB!C122:BE505,38,FALSE),0)</f>
        <v>0</v>
      </c>
      <c r="AM124" s="116">
        <f>IFERROR(VLOOKUP($B124,SWB!C122:BE505,38,FALSE),0)</f>
        <v>0</v>
      </c>
      <c r="AN124" s="257">
        <f>IFERROR(VLOOKUP($B124,SWB!C122:BE505,40,FALSE),0)</f>
        <v>1.1279095601617708</v>
      </c>
      <c r="AO124" s="257">
        <f>IFERROR(VLOOKUP($B124,SWB!C122:BE505,43,FALSE),0)</f>
        <v>4.3988472846309064</v>
      </c>
      <c r="AP124" s="257">
        <v>17.606901000000001</v>
      </c>
      <c r="AQ124" s="257">
        <f>IFERROR(VLOOKUP($B124,SWB!C122:BE505,44,FALSE),0)</f>
        <v>200.08774550338717</v>
      </c>
      <c r="AR124" s="116">
        <f t="shared" si="7"/>
        <v>75</v>
      </c>
      <c r="AS124" s="116">
        <v>141.97</v>
      </c>
      <c r="AT124" s="116" t="s">
        <v>131</v>
      </c>
      <c r="AU124" s="116" t="s">
        <v>131</v>
      </c>
      <c r="AV124" s="116" t="s">
        <v>131</v>
      </c>
      <c r="AW124" s="116" t="s">
        <v>131</v>
      </c>
      <c r="AX124" s="116" t="s">
        <v>131</v>
      </c>
      <c r="AY124" s="116" t="s">
        <v>131</v>
      </c>
      <c r="AZ124" s="116"/>
      <c r="BA124" s="116" t="s">
        <v>132</v>
      </c>
      <c r="BB124" s="116"/>
    </row>
    <row r="125" spans="1:54">
      <c r="A125" s="101" t="s">
        <v>133</v>
      </c>
      <c r="B125" s="69">
        <f t="shared" si="6"/>
        <v>42124</v>
      </c>
      <c r="C125" s="101" t="s">
        <v>133</v>
      </c>
      <c r="D125" s="116">
        <f>VLOOKUP(B125,SWB!$C$15:$H$244,6,FALSE)</f>
        <v>120</v>
      </c>
      <c r="E125" s="102">
        <f>VLOOKUP($B125,Clima!$W$8:$AI$1506,3,FALSE)</f>
        <v>23.7</v>
      </c>
      <c r="F125" s="102">
        <f>VLOOKUP($B125,Clima!$W$8:$AI$1506,4,FALSE)</f>
        <v>4.7</v>
      </c>
      <c r="G125" s="102">
        <f>VLOOKUP($B125,Clima!$W$8:$AI$1506,2,FALSE)</f>
        <v>14.4</v>
      </c>
      <c r="H125" s="102"/>
      <c r="I125" s="102">
        <f>VLOOKUP($B125,Clima!$W$8:$AI$1506,13,FALSE)</f>
        <v>4.5999999999999996</v>
      </c>
      <c r="J125" s="102"/>
      <c r="K125" s="102"/>
      <c r="L125" s="102">
        <f>VLOOKUP($B125,Clima!$W$8:$AI$1506,12,FALSE)</f>
        <v>0</v>
      </c>
      <c r="M125" s="102">
        <f t="shared" si="4"/>
        <v>0</v>
      </c>
      <c r="N125" s="257">
        <f>VLOOKUP(B125,SWB!$C$15:$S$244,17,FALSE)</f>
        <v>1.1308888886000001</v>
      </c>
      <c r="O125" s="116"/>
      <c r="P125" s="116">
        <f>SWB!$M$4</f>
        <v>0.15</v>
      </c>
      <c r="Q125" s="257">
        <f>VLOOKUP(B125,SWB!$C$15:$AJ$244,34,FALSE)</f>
        <v>0.6</v>
      </c>
      <c r="R125" s="257">
        <f>VLOOKUP(B125,SWB!$C$15:$V$244,20,FALSE)</f>
        <v>1.1285789351493749</v>
      </c>
      <c r="S125" s="116">
        <v>0</v>
      </c>
      <c r="T125" s="116">
        <v>0.79597399999999996</v>
      </c>
      <c r="U125" s="116">
        <v>1</v>
      </c>
      <c r="V125" s="116">
        <v>0.20402600000000001</v>
      </c>
      <c r="W125" s="116">
        <v>23.5</v>
      </c>
      <c r="X125" s="257">
        <v>0</v>
      </c>
      <c r="Y125" s="116">
        <v>9.51</v>
      </c>
      <c r="Z125" s="116">
        <v>1</v>
      </c>
      <c r="AA125" s="257">
        <v>0.174537</v>
      </c>
      <c r="AB125" s="257">
        <v>3.3437000000000001E-2</v>
      </c>
      <c r="AC125" s="257">
        <v>2.651932</v>
      </c>
      <c r="AD125" s="257">
        <v>1.138822</v>
      </c>
      <c r="AE125" s="257">
        <v>3.5303490000000002</v>
      </c>
      <c r="AF125" s="116">
        <v>0.442857</v>
      </c>
      <c r="AG125" s="116">
        <v>0.55000000000000004</v>
      </c>
      <c r="AH125" s="116">
        <v>66.428571000000005</v>
      </c>
      <c r="AI125" s="116">
        <v>36.535713999999999</v>
      </c>
      <c r="AJ125" s="116">
        <f>IFERROR(VLOOKUP($B125,SWB!C123:BE506,37,FALSE),0)</f>
        <v>5</v>
      </c>
      <c r="AK125" s="116">
        <f t="shared" si="5"/>
        <v>5</v>
      </c>
      <c r="AL125" s="116">
        <f>IFERROR(VLOOKUP($B125,SWB!C123:BE506,38,FALSE),0)</f>
        <v>0</v>
      </c>
      <c r="AM125" s="116">
        <f>IFERROR(VLOOKUP($B125,SWB!C123:BE506,38,FALSE),0)</f>
        <v>0</v>
      </c>
      <c r="AN125" s="257">
        <f>IFERROR(VLOOKUP($B125,SWB!C123:BE506,40,FALSE),0)</f>
        <v>1.1285789351493749</v>
      </c>
      <c r="AO125" s="257">
        <f>IFERROR(VLOOKUP($B125,SWB!C123:BE506,43,FALSE),0)</f>
        <v>2.3700157638136874</v>
      </c>
      <c r="AP125" s="257">
        <v>14.13725</v>
      </c>
      <c r="AQ125" s="257">
        <f>IFERROR(VLOOKUP($B125,SWB!C123:BE506,44,FALSE),0)</f>
        <v>202.45776126720085</v>
      </c>
      <c r="AR125" s="116">
        <f t="shared" si="7"/>
        <v>80</v>
      </c>
      <c r="AS125" s="116">
        <v>148.97</v>
      </c>
      <c r="AT125" s="116" t="s">
        <v>131</v>
      </c>
      <c r="AU125" s="116" t="s">
        <v>131</v>
      </c>
      <c r="AV125" s="116" t="s">
        <v>131</v>
      </c>
      <c r="AW125" s="116" t="s">
        <v>131</v>
      </c>
      <c r="AX125" s="116" t="s">
        <v>131</v>
      </c>
      <c r="AY125" s="116" t="s">
        <v>131</v>
      </c>
      <c r="AZ125" s="116"/>
      <c r="BA125" s="116" t="s">
        <v>132</v>
      </c>
      <c r="BB125" s="116"/>
    </row>
    <row r="126" spans="1:54">
      <c r="A126" s="101" t="s">
        <v>133</v>
      </c>
      <c r="B126" s="69">
        <f t="shared" si="6"/>
        <v>42125</v>
      </c>
      <c r="C126" s="101" t="s">
        <v>133</v>
      </c>
      <c r="D126" s="116">
        <f>VLOOKUP(B126,SWB!$C$15:$H$244,6,FALSE)</f>
        <v>121</v>
      </c>
      <c r="E126" s="102">
        <f>VLOOKUP($B126,Clima!$W$8:$AI$1506,3,FALSE)</f>
        <v>25.9</v>
      </c>
      <c r="F126" s="102">
        <f>VLOOKUP($B126,Clima!$W$8:$AI$1506,4,FALSE)</f>
        <v>7.7</v>
      </c>
      <c r="G126" s="102">
        <f>VLOOKUP($B126,Clima!$W$8:$AI$1506,2,FALSE)</f>
        <v>16.899999999999999</v>
      </c>
      <c r="H126" s="102"/>
      <c r="I126" s="102">
        <f>VLOOKUP($B126,Clima!$W$8:$AI$1506,13,FALSE)</f>
        <v>5.4</v>
      </c>
      <c r="J126" s="102"/>
      <c r="K126" s="102"/>
      <c r="L126" s="102">
        <f>VLOOKUP($B126,Clima!$W$8:$AI$1506,12,FALSE)</f>
        <v>0</v>
      </c>
      <c r="M126" s="102">
        <f t="shared" si="4"/>
        <v>0</v>
      </c>
      <c r="N126" s="257">
        <f>VLOOKUP(B126,SWB!$C$15:$S$244,17,FALSE)</f>
        <v>1.1362888885000002</v>
      </c>
      <c r="O126" s="116"/>
      <c r="P126" s="116">
        <f>SWB!$M$4</f>
        <v>0.15</v>
      </c>
      <c r="Q126" s="257">
        <f>VLOOKUP(B126,SWB!$C$15:$AJ$244,34,FALSE)</f>
        <v>0.6</v>
      </c>
      <c r="R126" s="257">
        <f>VLOOKUP(B126,SWB!$C$15:$V$244,20,FALSE)</f>
        <v>1.1292483101369792</v>
      </c>
      <c r="S126" s="116">
        <v>9.86</v>
      </c>
      <c r="T126" s="116">
        <v>0.85076799999999997</v>
      </c>
      <c r="U126" s="116">
        <v>1</v>
      </c>
      <c r="V126" s="116">
        <v>0.149232</v>
      </c>
      <c r="W126" s="116">
        <v>23.5</v>
      </c>
      <c r="X126" s="257">
        <v>0</v>
      </c>
      <c r="Y126" s="116">
        <v>9.51</v>
      </c>
      <c r="Z126" s="116">
        <v>1</v>
      </c>
      <c r="AA126" s="257">
        <v>0.123404</v>
      </c>
      <c r="AB126" s="257">
        <v>7.2080679999999999</v>
      </c>
      <c r="AC126" s="257">
        <v>3.3573439999999999</v>
      </c>
      <c r="AD126" s="257">
        <v>1.110309</v>
      </c>
      <c r="AE126" s="257">
        <v>4.5078550000000002</v>
      </c>
      <c r="AF126" s="116">
        <v>0.45238099999999998</v>
      </c>
      <c r="AG126" s="116">
        <v>0.55000000000000004</v>
      </c>
      <c r="AH126" s="116">
        <v>67.857142999999994</v>
      </c>
      <c r="AI126" s="116">
        <v>37.321429000000002</v>
      </c>
      <c r="AJ126" s="116">
        <f>IFERROR(VLOOKUP($B126,SWB!C124:BE507,37,FALSE),0)</f>
        <v>5</v>
      </c>
      <c r="AK126" s="116">
        <f t="shared" si="5"/>
        <v>5</v>
      </c>
      <c r="AL126" s="116">
        <f>IFERROR(VLOOKUP($B126,SWB!C124:BE507,38,FALSE),0)</f>
        <v>0</v>
      </c>
      <c r="AM126" s="116">
        <f>IFERROR(VLOOKUP($B126,SWB!C124:BE507,38,FALSE),0)</f>
        <v>0</v>
      </c>
      <c r="AN126" s="257">
        <f>IFERROR(VLOOKUP($B126,SWB!C124:BE507,40,FALSE),0)</f>
        <v>1.1294200315604677</v>
      </c>
      <c r="AO126" s="257">
        <f>IFERROR(VLOOKUP($B126,SWB!C124:BE507,43,FALSE),0)</f>
        <v>4.6306221293979171</v>
      </c>
      <c r="AP126" s="257">
        <v>8.7851049999999997</v>
      </c>
      <c r="AQ126" s="257">
        <f>IFERROR(VLOOKUP($B126,SWB!C124:BE507,44,FALSE),0)</f>
        <v>207.08838339659877</v>
      </c>
      <c r="AR126" s="116">
        <f t="shared" si="7"/>
        <v>85</v>
      </c>
      <c r="AS126" s="116">
        <v>148.97</v>
      </c>
      <c r="AT126" s="116" t="s">
        <v>131</v>
      </c>
      <c r="AU126" s="116" t="s">
        <v>131</v>
      </c>
      <c r="AV126" s="116" t="s">
        <v>131</v>
      </c>
      <c r="AW126" s="116" t="s">
        <v>131</v>
      </c>
      <c r="AX126" s="116" t="s">
        <v>131</v>
      </c>
      <c r="AY126" s="116" t="s">
        <v>131</v>
      </c>
      <c r="AZ126" s="116"/>
      <c r="BA126" s="116" t="s">
        <v>132</v>
      </c>
      <c r="BB126" s="116"/>
    </row>
    <row r="127" spans="1:54">
      <c r="A127" s="101" t="s">
        <v>133</v>
      </c>
      <c r="B127" s="69">
        <f t="shared" si="6"/>
        <v>42126</v>
      </c>
      <c r="C127" s="101" t="s">
        <v>133</v>
      </c>
      <c r="D127" s="116">
        <f>VLOOKUP(B127,SWB!$C$15:$H$244,6,FALSE)</f>
        <v>122</v>
      </c>
      <c r="E127" s="102">
        <f>VLOOKUP($B127,Clima!$W$8:$AI$1506,3,FALSE)</f>
        <v>30.5</v>
      </c>
      <c r="F127" s="102">
        <f>VLOOKUP($B127,Clima!$W$8:$AI$1506,4,FALSE)</f>
        <v>9.5</v>
      </c>
      <c r="G127" s="102">
        <f>VLOOKUP($B127,Clima!$W$8:$AI$1506,2,FALSE)</f>
        <v>19.7</v>
      </c>
      <c r="H127" s="102"/>
      <c r="I127" s="102">
        <f>VLOOKUP($B127,Clima!$W$8:$AI$1506,13,FALSE)</f>
        <v>5.2</v>
      </c>
      <c r="J127" s="102"/>
      <c r="K127" s="102"/>
      <c r="L127" s="102">
        <f>VLOOKUP($B127,Clima!$W$8:$AI$1506,12,FALSE)</f>
        <v>0</v>
      </c>
      <c r="M127" s="102">
        <f t="shared" si="4"/>
        <v>0</v>
      </c>
      <c r="N127" s="257">
        <f>VLOOKUP(B127,SWB!$C$15:$S$244,17,FALSE)</f>
        <v>1.1416888884000003</v>
      </c>
      <c r="O127" s="116"/>
      <c r="P127" s="116">
        <f>SWB!$M$4</f>
        <v>0.15</v>
      </c>
      <c r="Q127" s="257">
        <f>VLOOKUP(B127,SWB!$C$15:$AJ$244,34,FALSE)</f>
        <v>0.6</v>
      </c>
      <c r="R127" s="257">
        <f>VLOOKUP(B127,SWB!$C$15:$V$244,20,FALSE)</f>
        <v>1.1299176851245833</v>
      </c>
      <c r="S127" s="116">
        <v>0</v>
      </c>
      <c r="T127" s="116">
        <v>0.83693700000000004</v>
      </c>
      <c r="U127" s="116">
        <v>1</v>
      </c>
      <c r="V127" s="116">
        <v>0.16306300000000001</v>
      </c>
      <c r="W127" s="116">
        <v>23.5</v>
      </c>
      <c r="X127" s="257">
        <v>3.3573439999999999</v>
      </c>
      <c r="Y127" s="116">
        <v>9.51</v>
      </c>
      <c r="Z127" s="116">
        <v>1</v>
      </c>
      <c r="AA127" s="257">
        <v>0.140595</v>
      </c>
      <c r="AB127" s="116">
        <v>0</v>
      </c>
      <c r="AC127" s="257">
        <v>7.5304339999999996</v>
      </c>
      <c r="AD127" s="257">
        <v>1.150118</v>
      </c>
      <c r="AE127" s="257">
        <v>5.566573</v>
      </c>
      <c r="AF127" s="116">
        <v>0.46190500000000001</v>
      </c>
      <c r="AG127" s="116">
        <v>0.55000000000000004</v>
      </c>
      <c r="AH127" s="116">
        <v>69.285713999999999</v>
      </c>
      <c r="AI127" s="116">
        <v>38.107143000000001</v>
      </c>
      <c r="AJ127" s="116">
        <f>IFERROR(VLOOKUP($B127,SWB!C125:BE508,37,FALSE),0)</f>
        <v>5</v>
      </c>
      <c r="AK127" s="116">
        <f t="shared" si="5"/>
        <v>5</v>
      </c>
      <c r="AL127" s="116">
        <f>IFERROR(VLOOKUP($B127,SWB!C125:BE508,38,FALSE),0)</f>
        <v>0</v>
      </c>
      <c r="AM127" s="116">
        <f>IFERROR(VLOOKUP($B127,SWB!C125:BE508,38,FALSE),0)</f>
        <v>0</v>
      </c>
      <c r="AN127" s="257">
        <f>IFERROR(VLOOKUP($B127,SWB!C125:BE508,40,FALSE),0)</f>
        <v>1.1304782186138889</v>
      </c>
      <c r="AO127" s="257">
        <f>IFERROR(VLOOKUP($B127,SWB!C125:BE508,43,FALSE),0)</f>
        <v>4.7480085181783336</v>
      </c>
      <c r="AP127" s="257">
        <v>14.351678</v>
      </c>
      <c r="AQ127" s="257">
        <f>IFERROR(VLOOKUP($B127,SWB!C125:BE508,44,FALSE),0)</f>
        <v>211.8363919147771</v>
      </c>
      <c r="AR127" s="116">
        <f t="shared" si="7"/>
        <v>90</v>
      </c>
      <c r="AS127" s="116">
        <v>148.97</v>
      </c>
      <c r="AT127" s="116" t="s">
        <v>131</v>
      </c>
      <c r="AU127" s="116" t="s">
        <v>131</v>
      </c>
      <c r="AV127" s="116" t="s">
        <v>131</v>
      </c>
      <c r="AW127" s="116" t="s">
        <v>131</v>
      </c>
      <c r="AX127" s="116" t="s">
        <v>131</v>
      </c>
      <c r="AY127" s="116" t="s">
        <v>131</v>
      </c>
      <c r="AZ127" s="116"/>
      <c r="BA127" s="116" t="s">
        <v>132</v>
      </c>
      <c r="BB127" s="116"/>
    </row>
    <row r="128" spans="1:54">
      <c r="A128" s="101" t="s">
        <v>133</v>
      </c>
      <c r="B128" s="69">
        <f t="shared" si="6"/>
        <v>42127</v>
      </c>
      <c r="C128" s="101" t="s">
        <v>133</v>
      </c>
      <c r="D128" s="116">
        <f>VLOOKUP(B128,SWB!$C$15:$H$244,6,FALSE)</f>
        <v>123</v>
      </c>
      <c r="E128" s="102">
        <f>VLOOKUP($B128,Clima!$W$8:$AI$1506,3,FALSE)</f>
        <v>28.6</v>
      </c>
      <c r="F128" s="102">
        <f>VLOOKUP($B128,Clima!$W$8:$AI$1506,4,FALSE)</f>
        <v>10.5</v>
      </c>
      <c r="G128" s="102">
        <f>VLOOKUP($B128,Clima!$W$8:$AI$1506,2,FALSE)</f>
        <v>19.8</v>
      </c>
      <c r="H128" s="102"/>
      <c r="I128" s="102">
        <f>VLOOKUP($B128,Clima!$W$8:$AI$1506,13,FALSE)</f>
        <v>4.4000000000000004</v>
      </c>
      <c r="J128" s="102"/>
      <c r="K128" s="102"/>
      <c r="L128" s="102">
        <f>VLOOKUP($B128,Clima!$W$8:$AI$1506,12,FALSE)</f>
        <v>0</v>
      </c>
      <c r="M128" s="102">
        <f t="shared" si="4"/>
        <v>0</v>
      </c>
      <c r="N128" s="257">
        <f>VLOOKUP(B128,SWB!$C$15:$S$244,17,FALSE)</f>
        <v>1.1470888883000003</v>
      </c>
      <c r="O128" s="116"/>
      <c r="P128" s="116">
        <f>SWB!$M$4</f>
        <v>0.15</v>
      </c>
      <c r="Q128" s="257">
        <f>VLOOKUP(B128,SWB!$C$15:$AJ$244,34,FALSE)</f>
        <v>0.6</v>
      </c>
      <c r="R128" s="257">
        <f>VLOOKUP(B128,SWB!$C$15:$V$244,20,FALSE)</f>
        <v>1.1305870601121875</v>
      </c>
      <c r="S128" s="116">
        <v>9.86</v>
      </c>
      <c r="T128" s="116">
        <v>0.89177600000000001</v>
      </c>
      <c r="U128" s="116">
        <v>1</v>
      </c>
      <c r="V128" s="116">
        <v>0.108224</v>
      </c>
      <c r="W128" s="116">
        <v>23.5</v>
      </c>
      <c r="X128" s="257">
        <v>0</v>
      </c>
      <c r="Y128" s="116">
        <v>9.51</v>
      </c>
      <c r="Z128" s="116">
        <v>1</v>
      </c>
      <c r="AA128" s="257">
        <v>9.0323000000000001E-2</v>
      </c>
      <c r="AB128" s="257">
        <v>2.3295659999999998</v>
      </c>
      <c r="AC128" s="257">
        <v>3.8391350000000002</v>
      </c>
      <c r="AD128" s="257">
        <v>1.122466</v>
      </c>
      <c r="AE128" s="257">
        <v>5.1633440000000004</v>
      </c>
      <c r="AF128" s="116">
        <v>0.47142899999999999</v>
      </c>
      <c r="AG128" s="116">
        <v>0.55000000000000004</v>
      </c>
      <c r="AH128" s="116">
        <v>70.714286000000001</v>
      </c>
      <c r="AI128" s="116">
        <v>38.892856999999999</v>
      </c>
      <c r="AJ128" s="116">
        <f>IFERROR(VLOOKUP($B128,SWB!C126:BE509,37,FALSE),0)</f>
        <v>0</v>
      </c>
      <c r="AK128" s="116">
        <f t="shared" si="5"/>
        <v>0</v>
      </c>
      <c r="AL128" s="116">
        <f>IFERROR(VLOOKUP($B128,SWB!C126:BE509,38,FALSE),0)</f>
        <v>0</v>
      </c>
      <c r="AM128" s="116">
        <f>IFERROR(VLOOKUP($B128,SWB!C126:BE509,38,FALSE),0)</f>
        <v>0</v>
      </c>
      <c r="AN128" s="257">
        <f>IFERROR(VLOOKUP($B128,SWB!C126:BE509,40,FALSE),0)</f>
        <v>1.1313728614544643</v>
      </c>
      <c r="AO128" s="257">
        <f>IFERROR(VLOOKUP($B128,SWB!C126:BE509,43,FALSE),0)</f>
        <v>4.75176601810875</v>
      </c>
      <c r="AP128" s="257">
        <v>9.6550220000000007</v>
      </c>
      <c r="AQ128" s="257">
        <f>IFERROR(VLOOKUP($B128,SWB!C126:BE509,44,FALSE),0)</f>
        <v>216.58815793288585</v>
      </c>
      <c r="AR128" s="116">
        <f t="shared" si="7"/>
        <v>95</v>
      </c>
      <c r="AS128" s="116">
        <v>148.97</v>
      </c>
      <c r="AT128" s="116" t="s">
        <v>131</v>
      </c>
      <c r="AU128" s="116" t="s">
        <v>131</v>
      </c>
      <c r="AV128" s="116" t="s">
        <v>131</v>
      </c>
      <c r="AW128" s="116" t="s">
        <v>131</v>
      </c>
      <c r="AX128" s="116" t="s">
        <v>131</v>
      </c>
      <c r="AY128" s="116" t="s">
        <v>131</v>
      </c>
      <c r="AZ128" s="116"/>
      <c r="BA128" s="116" t="s">
        <v>132</v>
      </c>
      <c r="BB128" s="116"/>
    </row>
    <row r="129" spans="1:54">
      <c r="A129" s="101" t="s">
        <v>133</v>
      </c>
      <c r="B129" s="69">
        <f t="shared" si="6"/>
        <v>42128</v>
      </c>
      <c r="C129" s="101" t="s">
        <v>133</v>
      </c>
      <c r="D129" s="116">
        <f>VLOOKUP(B129,SWB!$C$15:$H$244,6,FALSE)</f>
        <v>124</v>
      </c>
      <c r="E129" s="102">
        <f>VLOOKUP($B129,Clima!$W$8:$AI$1506,3,FALSE)</f>
        <v>30.4</v>
      </c>
      <c r="F129" s="102">
        <f>VLOOKUP($B129,Clima!$W$8:$AI$1506,4,FALSE)</f>
        <v>12.2</v>
      </c>
      <c r="G129" s="102">
        <f>VLOOKUP($B129,Clima!$W$8:$AI$1506,2,FALSE)</f>
        <v>20.7</v>
      </c>
      <c r="H129" s="102"/>
      <c r="I129" s="102">
        <f>VLOOKUP($B129,Clima!$W$8:$AI$1506,13,FALSE)</f>
        <v>4.5999999999999996</v>
      </c>
      <c r="J129" s="102"/>
      <c r="K129" s="102"/>
      <c r="L129" s="102">
        <f>VLOOKUP($B129,Clima!$W$8:$AI$1506,12,FALSE)</f>
        <v>0</v>
      </c>
      <c r="M129" s="102">
        <f t="shared" si="4"/>
        <v>0</v>
      </c>
      <c r="N129" s="257">
        <f>VLOOKUP(B129,SWB!$C$15:$S$244,17,FALSE)</f>
        <v>1.1499999999999999</v>
      </c>
      <c r="O129" s="116"/>
      <c r="P129" s="116">
        <f>SWB!$M$4</f>
        <v>0.15</v>
      </c>
      <c r="Q129" s="257">
        <f>VLOOKUP(B129,SWB!$C$15:$AJ$244,34,FALSE)</f>
        <v>0.6</v>
      </c>
      <c r="R129" s="257">
        <f>VLOOKUP(B129,SWB!$C$15:$V$244,20,FALSE)</f>
        <v>1.1312564350997918</v>
      </c>
      <c r="S129" s="116">
        <v>9.86</v>
      </c>
      <c r="T129" s="116">
        <v>0.88168299999999999</v>
      </c>
      <c r="U129" s="116">
        <v>1</v>
      </c>
      <c r="V129" s="116">
        <v>0.11831700000000001</v>
      </c>
      <c r="W129" s="116">
        <v>23.5</v>
      </c>
      <c r="X129" s="257">
        <v>0</v>
      </c>
      <c r="Y129" s="116">
        <v>9.51</v>
      </c>
      <c r="Z129" s="116">
        <v>1</v>
      </c>
      <c r="AA129" s="257">
        <v>0.10234799999999999</v>
      </c>
      <c r="AB129" s="257">
        <v>6.0208649999999997</v>
      </c>
      <c r="AC129" s="257">
        <v>4.671176</v>
      </c>
      <c r="AD129" s="257">
        <v>1.1571100000000001</v>
      </c>
      <c r="AE129" s="257">
        <v>6.2483950000000004</v>
      </c>
      <c r="AF129" s="116">
        <v>0.48095199999999999</v>
      </c>
      <c r="AG129" s="116">
        <v>0.55000000000000004</v>
      </c>
      <c r="AH129" s="116">
        <v>72.142857000000006</v>
      </c>
      <c r="AI129" s="116">
        <v>39.678570999999998</v>
      </c>
      <c r="AJ129" s="116">
        <f>IFERROR(VLOOKUP($B129,SWB!C127:BE510,37,FALSE),0)</f>
        <v>5</v>
      </c>
      <c r="AK129" s="116">
        <f t="shared" si="5"/>
        <v>5</v>
      </c>
      <c r="AL129" s="116">
        <f>IFERROR(VLOOKUP($B129,SWB!C127:BE510,38,FALSE),0)</f>
        <v>0</v>
      </c>
      <c r="AM129" s="116">
        <f>IFERROR(VLOOKUP($B129,SWB!C127:BE510,38,FALSE),0)</f>
        <v>0</v>
      </c>
      <c r="AN129" s="257">
        <f>IFERROR(VLOOKUP($B129,SWB!C127:BE510,40,FALSE),0)</f>
        <v>1.0879253589922169</v>
      </c>
      <c r="AO129" s="257">
        <f>IFERROR(VLOOKUP($B129,SWB!C127:BE510,43,FALSE),0)</f>
        <v>5.6572118667595284</v>
      </c>
      <c r="AP129" s="257">
        <v>6.0434169999999998</v>
      </c>
      <c r="AQ129" s="257">
        <f>IFERROR(VLOOKUP($B129,SWB!C127:BE510,44,FALSE),0)</f>
        <v>222.24536979964537</v>
      </c>
      <c r="AR129" s="116">
        <f t="shared" si="7"/>
        <v>95</v>
      </c>
      <c r="AS129" s="116">
        <v>148.97</v>
      </c>
      <c r="AT129" s="116" t="s">
        <v>131</v>
      </c>
      <c r="AU129" s="116" t="s">
        <v>131</v>
      </c>
      <c r="AV129" s="116" t="s">
        <v>131</v>
      </c>
      <c r="AW129" s="116" t="s">
        <v>131</v>
      </c>
      <c r="AX129" s="116" t="s">
        <v>131</v>
      </c>
      <c r="AY129" s="116" t="s">
        <v>131</v>
      </c>
      <c r="AZ129" s="116"/>
      <c r="BA129" s="116" t="s">
        <v>132</v>
      </c>
      <c r="BB129" s="116"/>
    </row>
    <row r="130" spans="1:54">
      <c r="A130" s="101" t="s">
        <v>133</v>
      </c>
      <c r="B130" s="69">
        <f t="shared" si="6"/>
        <v>42129</v>
      </c>
      <c r="C130" s="101" t="s">
        <v>133</v>
      </c>
      <c r="D130" s="116">
        <f>VLOOKUP(B130,SWB!$C$15:$H$244,6,FALSE)</f>
        <v>125</v>
      </c>
      <c r="E130" s="102">
        <f>VLOOKUP($B130,Clima!$W$8:$AI$1506,3,FALSE)</f>
        <v>22.8</v>
      </c>
      <c r="F130" s="102">
        <f>VLOOKUP($B130,Clima!$W$8:$AI$1506,4,FALSE)</f>
        <v>8.9</v>
      </c>
      <c r="G130" s="102">
        <f>VLOOKUP($B130,Clima!$W$8:$AI$1506,2,FALSE)</f>
        <v>16.100000000000001</v>
      </c>
      <c r="H130" s="102"/>
      <c r="I130" s="102">
        <f>VLOOKUP($B130,Clima!$W$8:$AI$1506,13,FALSE)</f>
        <v>4.2</v>
      </c>
      <c r="J130" s="102"/>
      <c r="K130" s="102"/>
      <c r="L130" s="102">
        <f>VLOOKUP($B130,Clima!$W$8:$AI$1506,12,FALSE)</f>
        <v>0</v>
      </c>
      <c r="M130" s="102">
        <f t="shared" si="4"/>
        <v>0</v>
      </c>
      <c r="N130" s="257">
        <f>VLOOKUP(B130,SWB!$C$15:$S$244,17,FALSE)</f>
        <v>1.1499999999999999</v>
      </c>
      <c r="O130" s="116"/>
      <c r="P130" s="116">
        <f>SWB!$M$4</f>
        <v>0.15</v>
      </c>
      <c r="Q130" s="257">
        <f>VLOOKUP(B130,SWB!$C$15:$AJ$244,34,FALSE)</f>
        <v>0.6</v>
      </c>
      <c r="R130" s="257">
        <f>VLOOKUP(B130,SWB!$C$15:$V$244,20,FALSE)</f>
        <v>1.1319258100873957</v>
      </c>
      <c r="S130" s="116">
        <v>0</v>
      </c>
      <c r="T130" s="116">
        <v>0.94016299999999997</v>
      </c>
      <c r="U130" s="116">
        <v>1</v>
      </c>
      <c r="V130" s="116">
        <v>5.9837000000000001E-2</v>
      </c>
      <c r="W130" s="116">
        <v>23.5</v>
      </c>
      <c r="X130" s="257">
        <v>4.671176</v>
      </c>
      <c r="Y130" s="116">
        <v>9.51</v>
      </c>
      <c r="Z130" s="116">
        <v>1</v>
      </c>
      <c r="AA130" s="257">
        <v>0.05</v>
      </c>
      <c r="AB130" s="116">
        <v>0</v>
      </c>
      <c r="AC130" s="257">
        <v>9.016337</v>
      </c>
      <c r="AD130" s="257">
        <v>1.127381</v>
      </c>
      <c r="AE130" s="257">
        <v>5.8623810000000001</v>
      </c>
      <c r="AF130" s="116">
        <v>0.49047600000000002</v>
      </c>
      <c r="AG130" s="116">
        <v>0.55000000000000004</v>
      </c>
      <c r="AH130" s="116">
        <v>73.571428999999995</v>
      </c>
      <c r="AI130" s="116">
        <v>40.464286000000001</v>
      </c>
      <c r="AJ130" s="116">
        <f>IFERROR(VLOOKUP($B130,SWB!C128:BE511,37,FALSE),0)</f>
        <v>5</v>
      </c>
      <c r="AK130" s="116">
        <f t="shared" si="5"/>
        <v>5</v>
      </c>
      <c r="AL130" s="116">
        <f>IFERROR(VLOOKUP($B130,SWB!C128:BE511,38,FALSE),0)</f>
        <v>0</v>
      </c>
      <c r="AM130" s="116">
        <f>IFERROR(VLOOKUP($B130,SWB!C128:BE511,38,FALSE),0)</f>
        <v>0</v>
      </c>
      <c r="AN130" s="257">
        <f>IFERROR(VLOOKUP($B130,SWB!C128:BE511,40,FALSE),0)</f>
        <v>1.0462681700904999</v>
      </c>
      <c r="AO130" s="257">
        <f>IFERROR(VLOOKUP($B130,SWB!C128:BE511,43,FALSE),0)</f>
        <v>5.545221301479649</v>
      </c>
      <c r="AP130" s="257">
        <v>11.905797</v>
      </c>
      <c r="AQ130" s="257">
        <f>IFERROR(VLOOKUP($B130,SWB!C128:BE511,44,FALSE),0)</f>
        <v>227.79059110112502</v>
      </c>
      <c r="AR130" s="116">
        <f t="shared" si="7"/>
        <v>100</v>
      </c>
      <c r="AS130" s="116">
        <v>148.97</v>
      </c>
      <c r="AT130" s="116" t="s">
        <v>131</v>
      </c>
      <c r="AU130" s="116" t="s">
        <v>131</v>
      </c>
      <c r="AV130" s="116" t="s">
        <v>131</v>
      </c>
      <c r="AW130" s="116" t="s">
        <v>131</v>
      </c>
      <c r="AX130" s="116" t="s">
        <v>131</v>
      </c>
      <c r="AY130" s="116" t="s">
        <v>131</v>
      </c>
      <c r="AZ130" s="116"/>
      <c r="BA130" s="116" t="s">
        <v>132</v>
      </c>
      <c r="BB130" s="116"/>
    </row>
    <row r="131" spans="1:54">
      <c r="A131" s="101" t="s">
        <v>134</v>
      </c>
      <c r="B131" s="69">
        <f t="shared" si="6"/>
        <v>42130</v>
      </c>
      <c r="C131" s="101" t="s">
        <v>134</v>
      </c>
      <c r="D131" s="116">
        <f>VLOOKUP(B131,SWB!$C$15:$H$244,6,FALSE)</f>
        <v>126</v>
      </c>
      <c r="E131" s="102">
        <f>VLOOKUP($B131,Clima!$W$8:$AI$1506,3,FALSE)</f>
        <v>23.8</v>
      </c>
      <c r="F131" s="102">
        <f>VLOOKUP($B131,Clima!$W$8:$AI$1506,4,FALSE)</f>
        <v>5.7</v>
      </c>
      <c r="G131" s="102">
        <f>VLOOKUP($B131,Clima!$W$8:$AI$1506,2,FALSE)</f>
        <v>14.7</v>
      </c>
      <c r="H131" s="102"/>
      <c r="I131" s="102">
        <f>VLOOKUP($B131,Clima!$W$8:$AI$1506,13,FALSE)</f>
        <v>5</v>
      </c>
      <c r="J131" s="102"/>
      <c r="K131" s="102"/>
      <c r="L131" s="102">
        <f>VLOOKUP($B131,Clima!$W$8:$AI$1506,12,FALSE)</f>
        <v>0</v>
      </c>
      <c r="M131" s="102">
        <f t="shared" si="4"/>
        <v>0</v>
      </c>
      <c r="N131" s="257">
        <f>VLOOKUP(B131,SWB!$C$15:$S$244,17,FALSE)</f>
        <v>1.1499999999999999</v>
      </c>
      <c r="O131" s="116"/>
      <c r="P131" s="116">
        <f>SWB!$M$4</f>
        <v>0.15</v>
      </c>
      <c r="Q131" s="257">
        <f>VLOOKUP(B131,SWB!$C$15:$AJ$244,34,FALSE)</f>
        <v>0.6</v>
      </c>
      <c r="R131" s="257">
        <f>VLOOKUP(B131,SWB!$C$15:$V$244,20,FALSE)</f>
        <v>1.132595185075</v>
      </c>
      <c r="S131" s="116">
        <v>9.86</v>
      </c>
      <c r="T131" s="116">
        <v>0.93309699999999995</v>
      </c>
      <c r="U131" s="116">
        <v>1</v>
      </c>
      <c r="V131" s="116">
        <v>6.6903000000000004E-2</v>
      </c>
      <c r="W131" s="116">
        <v>23.5</v>
      </c>
      <c r="X131" s="257">
        <v>0</v>
      </c>
      <c r="Y131" s="116">
        <v>9.51</v>
      </c>
      <c r="Z131" s="116">
        <v>1</v>
      </c>
      <c r="AA131" s="257">
        <v>0.05</v>
      </c>
      <c r="AB131" s="257">
        <v>0.84366300000000005</v>
      </c>
      <c r="AC131" s="257">
        <v>3.288351</v>
      </c>
      <c r="AD131" s="257">
        <v>1.1499999999999999</v>
      </c>
      <c r="AE131" s="257">
        <v>5.0599999999999996</v>
      </c>
      <c r="AF131" s="116">
        <v>0.5</v>
      </c>
      <c r="AG131" s="116">
        <v>0.55000000000000004</v>
      </c>
      <c r="AH131" s="116">
        <v>75</v>
      </c>
      <c r="AI131" s="116">
        <v>41.25</v>
      </c>
      <c r="AJ131" s="116">
        <f>IFERROR(VLOOKUP($B131,SWB!C129:BE512,37,FALSE),0)</f>
        <v>5</v>
      </c>
      <c r="AK131" s="116">
        <f t="shared" si="5"/>
        <v>5</v>
      </c>
      <c r="AL131" s="116">
        <f>IFERROR(VLOOKUP($B131,SWB!C129:BE512,38,FALSE),0)</f>
        <v>0</v>
      </c>
      <c r="AM131" s="116">
        <f>IFERROR(VLOOKUP($B131,SWB!C129:BE512,38,FALSE),0)</f>
        <v>0</v>
      </c>
      <c r="AN131" s="257">
        <f>IFERROR(VLOOKUP($B131,SWB!C129:BE512,40,FALSE),0)</f>
        <v>1.132595185075</v>
      </c>
      <c r="AO131" s="257">
        <f>IFERROR(VLOOKUP($B131,SWB!C129:BE512,43,FALSE),0)</f>
        <v>2.8314879626875</v>
      </c>
      <c r="AP131" s="257">
        <v>7.1057969999999999</v>
      </c>
      <c r="AQ131" s="257">
        <f>IFERROR(VLOOKUP($B131,SWB!C129:BE512,44,FALSE),0)</f>
        <v>230.62207906381252</v>
      </c>
      <c r="AR131" s="116">
        <f t="shared" si="7"/>
        <v>105</v>
      </c>
      <c r="AS131" s="116">
        <v>148.97</v>
      </c>
      <c r="AT131" s="116" t="s">
        <v>131</v>
      </c>
      <c r="AU131" s="116" t="s">
        <v>131</v>
      </c>
      <c r="AV131" s="116" t="s">
        <v>131</v>
      </c>
      <c r="AW131" s="116" t="s">
        <v>131</v>
      </c>
      <c r="AX131" s="116" t="s">
        <v>131</v>
      </c>
      <c r="AY131" s="116" t="s">
        <v>131</v>
      </c>
      <c r="AZ131" s="116"/>
      <c r="BA131" s="116" t="s">
        <v>132</v>
      </c>
      <c r="BB131" s="116"/>
    </row>
    <row r="132" spans="1:54">
      <c r="A132" s="101" t="s">
        <v>134</v>
      </c>
      <c r="B132" s="69">
        <f t="shared" si="6"/>
        <v>42131</v>
      </c>
      <c r="C132" s="101" t="s">
        <v>134</v>
      </c>
      <c r="D132" s="116">
        <f>VLOOKUP(B132,SWB!$C$15:$H$244,6,FALSE)</f>
        <v>127</v>
      </c>
      <c r="E132" s="102">
        <f>VLOOKUP($B132,Clima!$W$8:$AI$1506,3,FALSE)</f>
        <v>27.8</v>
      </c>
      <c r="F132" s="102">
        <f>VLOOKUP($B132,Clima!$W$8:$AI$1506,4,FALSE)</f>
        <v>7</v>
      </c>
      <c r="G132" s="102">
        <f>VLOOKUP($B132,Clima!$W$8:$AI$1506,2,FALSE)</f>
        <v>18.100000000000001</v>
      </c>
      <c r="H132" s="102"/>
      <c r="I132" s="102">
        <f>VLOOKUP($B132,Clima!$W$8:$AI$1506,13,FALSE)</f>
        <v>6.2</v>
      </c>
      <c r="J132" s="102"/>
      <c r="K132" s="102"/>
      <c r="L132" s="102">
        <f>VLOOKUP($B132,Clima!$W$8:$AI$1506,12,FALSE)</f>
        <v>0</v>
      </c>
      <c r="M132" s="102">
        <f t="shared" si="4"/>
        <v>0</v>
      </c>
      <c r="N132" s="257">
        <f>VLOOKUP(B132,SWB!$C$15:$S$244,17,FALSE)</f>
        <v>1.1499999999999999</v>
      </c>
      <c r="O132" s="116"/>
      <c r="P132" s="116">
        <f>SWB!$M$4</f>
        <v>0.15</v>
      </c>
      <c r="Q132" s="257">
        <f>VLOOKUP(B132,SWB!$C$15:$AJ$244,34,FALSE)</f>
        <v>0.6</v>
      </c>
      <c r="R132" s="257">
        <f>VLOOKUP(B132,SWB!$C$15:$V$244,20,FALSE)</f>
        <v>1.1326750693287502</v>
      </c>
      <c r="S132" s="116">
        <v>0</v>
      </c>
      <c r="T132" s="116">
        <v>0.93309699999999995</v>
      </c>
      <c r="U132" s="116">
        <v>1</v>
      </c>
      <c r="V132" s="116">
        <v>6.6903000000000004E-2</v>
      </c>
      <c r="W132" s="116">
        <v>23.5</v>
      </c>
      <c r="X132" s="257">
        <v>3.288351</v>
      </c>
      <c r="Y132" s="116">
        <v>9.51</v>
      </c>
      <c r="Z132" s="116">
        <v>1</v>
      </c>
      <c r="AA132" s="257">
        <v>0.05</v>
      </c>
      <c r="AB132" s="116">
        <v>0</v>
      </c>
      <c r="AC132" s="257">
        <v>6.726172</v>
      </c>
      <c r="AD132" s="257">
        <v>1.1499999999999999</v>
      </c>
      <c r="AE132" s="257">
        <v>5.29</v>
      </c>
      <c r="AF132" s="116">
        <v>0.5</v>
      </c>
      <c r="AG132" s="116">
        <v>0.55000000000000004</v>
      </c>
      <c r="AH132" s="116">
        <v>75</v>
      </c>
      <c r="AI132" s="116">
        <v>41.25</v>
      </c>
      <c r="AJ132" s="116">
        <f>IFERROR(VLOOKUP($B132,SWB!C130:BE513,37,FALSE),0)</f>
        <v>5</v>
      </c>
      <c r="AK132" s="116">
        <f t="shared" si="5"/>
        <v>5</v>
      </c>
      <c r="AL132" s="116">
        <f>IFERROR(VLOOKUP($B132,SWB!C130:BE513,38,FALSE),0)</f>
        <v>0</v>
      </c>
      <c r="AM132" s="116">
        <f>IFERROR(VLOOKUP($B132,SWB!C130:BE513,38,FALSE),0)</f>
        <v>0</v>
      </c>
      <c r="AN132" s="257">
        <f>IFERROR(VLOOKUP($B132,SWB!C130:BE513,40,FALSE),0)</f>
        <v>1.1326750693287502</v>
      </c>
      <c r="AO132" s="257">
        <f>IFERROR(VLOOKUP($B132,SWB!C130:BE513,43,FALSE),0)</f>
        <v>2.8316876733218752</v>
      </c>
      <c r="AP132" s="257">
        <v>12.395797</v>
      </c>
      <c r="AQ132" s="257">
        <f>IFERROR(VLOOKUP($B132,SWB!C130:BE513,44,FALSE),0)</f>
        <v>233.4537667371344</v>
      </c>
      <c r="AR132" s="116">
        <f t="shared" si="7"/>
        <v>110</v>
      </c>
      <c r="AS132" s="116">
        <v>148.97</v>
      </c>
      <c r="AT132" s="116" t="s">
        <v>131</v>
      </c>
      <c r="AU132" s="116" t="s">
        <v>131</v>
      </c>
      <c r="AV132" s="116" t="s">
        <v>131</v>
      </c>
      <c r="AW132" s="116" t="s">
        <v>131</v>
      </c>
      <c r="AX132" s="116" t="s">
        <v>131</v>
      </c>
      <c r="AY132" s="116" t="s">
        <v>131</v>
      </c>
      <c r="AZ132" s="116"/>
      <c r="BA132" s="116" t="s">
        <v>132</v>
      </c>
      <c r="BB132" s="116"/>
    </row>
    <row r="133" spans="1:54">
      <c r="A133" s="101" t="s">
        <v>134</v>
      </c>
      <c r="B133" s="69">
        <f t="shared" si="6"/>
        <v>42132</v>
      </c>
      <c r="C133" s="101" t="s">
        <v>134</v>
      </c>
      <c r="D133" s="116">
        <f>VLOOKUP(B133,SWB!$C$15:$H$244,6,FALSE)</f>
        <v>128</v>
      </c>
      <c r="E133" s="102">
        <f>VLOOKUP($B133,Clima!$W$8:$AI$1506,3,FALSE)</f>
        <v>23.9</v>
      </c>
      <c r="F133" s="102">
        <f>VLOOKUP($B133,Clima!$W$8:$AI$1506,4,FALSE)</f>
        <v>9.8000000000000007</v>
      </c>
      <c r="G133" s="102">
        <f>VLOOKUP($B133,Clima!$W$8:$AI$1506,2,FALSE)</f>
        <v>16.8</v>
      </c>
      <c r="H133" s="102"/>
      <c r="I133" s="102">
        <f>VLOOKUP($B133,Clima!$W$8:$AI$1506,13,FALSE)</f>
        <v>5.6</v>
      </c>
      <c r="J133" s="102"/>
      <c r="K133" s="102"/>
      <c r="L133" s="102">
        <f>VLOOKUP($B133,Clima!$W$8:$AI$1506,12,FALSE)</f>
        <v>0</v>
      </c>
      <c r="M133" s="102">
        <f t="shared" si="4"/>
        <v>0</v>
      </c>
      <c r="N133" s="257">
        <f>VLOOKUP(B133,SWB!$C$15:$S$244,17,FALSE)</f>
        <v>1.1499999999999999</v>
      </c>
      <c r="O133" s="116"/>
      <c r="P133" s="116">
        <f>SWB!$M$4</f>
        <v>0.15</v>
      </c>
      <c r="Q133" s="257">
        <f>VLOOKUP(B133,SWB!$C$15:$AJ$244,34,FALSE)</f>
        <v>0.6</v>
      </c>
      <c r="R133" s="257">
        <f>VLOOKUP(B133,SWB!$C$15:$V$244,20,FALSE)</f>
        <v>1.1327549535824999</v>
      </c>
      <c r="S133" s="116">
        <v>9.86</v>
      </c>
      <c r="T133" s="116">
        <v>0.93309699999999995</v>
      </c>
      <c r="U133" s="116">
        <v>1</v>
      </c>
      <c r="V133" s="116">
        <v>6.6903000000000004E-2</v>
      </c>
      <c r="W133" s="116">
        <v>23.5</v>
      </c>
      <c r="X133" s="257">
        <v>0</v>
      </c>
      <c r="Y133" s="116">
        <v>9.51</v>
      </c>
      <c r="Z133" s="116">
        <v>1</v>
      </c>
      <c r="AA133" s="257">
        <v>0.05</v>
      </c>
      <c r="AB133" s="257">
        <v>3.1338279999999998</v>
      </c>
      <c r="AC133" s="257">
        <v>3.1388799999999999</v>
      </c>
      <c r="AD133" s="257">
        <v>1.1499999999999999</v>
      </c>
      <c r="AE133" s="257">
        <v>4.83</v>
      </c>
      <c r="AF133" s="116">
        <v>0.5</v>
      </c>
      <c r="AG133" s="116">
        <v>0.55000000000000004</v>
      </c>
      <c r="AH133" s="116">
        <v>75</v>
      </c>
      <c r="AI133" s="116">
        <v>41.25</v>
      </c>
      <c r="AJ133" s="116">
        <f>IFERROR(VLOOKUP($B133,SWB!C131:BE514,37,FALSE),0)</f>
        <v>0</v>
      </c>
      <c r="AK133" s="116">
        <f t="shared" si="5"/>
        <v>0</v>
      </c>
      <c r="AL133" s="116">
        <f>IFERROR(VLOOKUP($B133,SWB!C131:BE514,38,FALSE),0)</f>
        <v>0</v>
      </c>
      <c r="AM133" s="116">
        <f>IFERROR(VLOOKUP($B133,SWB!C131:BE514,38,FALSE),0)</f>
        <v>0</v>
      </c>
      <c r="AN133" s="257">
        <f>IFERROR(VLOOKUP($B133,SWB!C131:BE514,40,FALSE),0)</f>
        <v>1.1327549535824999</v>
      </c>
      <c r="AO133" s="257">
        <f>IFERROR(VLOOKUP($B133,SWB!C131:BE514,43,FALSE),0)</f>
        <v>2.0389589164484998</v>
      </c>
      <c r="AP133" s="257">
        <v>7.3657969999999997</v>
      </c>
      <c r="AQ133" s="257">
        <f>IFERROR(VLOOKUP($B133,SWB!C131:BE514,44,FALSE),0)</f>
        <v>235.49272565358291</v>
      </c>
      <c r="AR133" s="116">
        <f t="shared" si="7"/>
        <v>115</v>
      </c>
      <c r="AS133" s="116">
        <v>148.97</v>
      </c>
      <c r="AT133" s="116" t="s">
        <v>131</v>
      </c>
      <c r="AU133" s="116" t="s">
        <v>131</v>
      </c>
      <c r="AV133" s="116" t="s">
        <v>131</v>
      </c>
      <c r="AW133" s="116" t="s">
        <v>131</v>
      </c>
      <c r="AX133" s="116" t="s">
        <v>131</v>
      </c>
      <c r="AY133" s="116" t="s">
        <v>131</v>
      </c>
      <c r="AZ133" s="116"/>
      <c r="BA133" s="116" t="s">
        <v>132</v>
      </c>
      <c r="BB133" s="116"/>
    </row>
    <row r="134" spans="1:54">
      <c r="A134" s="101" t="s">
        <v>134</v>
      </c>
      <c r="B134" s="69">
        <f t="shared" si="6"/>
        <v>42133</v>
      </c>
      <c r="C134" s="101" t="s">
        <v>134</v>
      </c>
      <c r="D134" s="116">
        <f>VLOOKUP(B134,SWB!$C$15:$H$244,6,FALSE)</f>
        <v>129</v>
      </c>
      <c r="E134" s="102">
        <f>VLOOKUP($B134,Clima!$W$8:$AI$1506,3,FALSE)</f>
        <v>28.6</v>
      </c>
      <c r="F134" s="102">
        <f>VLOOKUP($B134,Clima!$W$8:$AI$1506,4,FALSE)</f>
        <v>8</v>
      </c>
      <c r="G134" s="102">
        <f>VLOOKUP($B134,Clima!$W$8:$AI$1506,2,FALSE)</f>
        <v>18.600000000000001</v>
      </c>
      <c r="H134" s="102"/>
      <c r="I134" s="102">
        <f>VLOOKUP($B134,Clima!$W$8:$AI$1506,13,FALSE)</f>
        <v>5.4</v>
      </c>
      <c r="J134" s="102"/>
      <c r="K134" s="102"/>
      <c r="L134" s="102">
        <f>VLOOKUP($B134,Clima!$W$8:$AI$1506,12,FALSE)</f>
        <v>0</v>
      </c>
      <c r="M134" s="102">
        <f t="shared" si="4"/>
        <v>0</v>
      </c>
      <c r="N134" s="257">
        <f>VLOOKUP(B134,SWB!$C$15:$S$244,17,FALSE)</f>
        <v>1.1499999999999999</v>
      </c>
      <c r="O134" s="116"/>
      <c r="P134" s="116">
        <f>SWB!$M$4</f>
        <v>0.15</v>
      </c>
      <c r="Q134" s="257">
        <f>VLOOKUP(B134,SWB!$C$15:$AJ$244,34,FALSE)</f>
        <v>0.6</v>
      </c>
      <c r="R134" s="257">
        <f>VLOOKUP(B134,SWB!$C$15:$V$244,20,FALSE)</f>
        <v>1.1328348378362501</v>
      </c>
      <c r="S134" s="116">
        <v>0</v>
      </c>
      <c r="T134" s="116">
        <v>0.93309699999999995</v>
      </c>
      <c r="U134" s="116">
        <v>1</v>
      </c>
      <c r="V134" s="116">
        <v>6.6903000000000004E-2</v>
      </c>
      <c r="W134" s="116">
        <v>23.5</v>
      </c>
      <c r="X134" s="257">
        <v>3.1388799999999999</v>
      </c>
      <c r="Y134" s="116">
        <v>9.51</v>
      </c>
      <c r="Z134" s="116">
        <v>1</v>
      </c>
      <c r="AA134" s="257">
        <v>0.05</v>
      </c>
      <c r="AB134" s="116">
        <v>0</v>
      </c>
      <c r="AC134" s="257">
        <v>6.9503769999999996</v>
      </c>
      <c r="AD134" s="257">
        <v>1.1499999999999999</v>
      </c>
      <c r="AE134" s="257">
        <v>5.8650000000000002</v>
      </c>
      <c r="AF134" s="116">
        <v>0.5</v>
      </c>
      <c r="AG134" s="116">
        <v>0.55000000000000004</v>
      </c>
      <c r="AH134" s="116">
        <v>75</v>
      </c>
      <c r="AI134" s="116">
        <v>41.25</v>
      </c>
      <c r="AJ134" s="116">
        <f>IFERROR(VLOOKUP($B134,SWB!C132:BE515,37,FALSE),0)</f>
        <v>0</v>
      </c>
      <c r="AK134" s="116">
        <f t="shared" si="5"/>
        <v>0</v>
      </c>
      <c r="AL134" s="116">
        <f>IFERROR(VLOOKUP($B134,SWB!C132:BE515,38,FALSE),0)</f>
        <v>0</v>
      </c>
      <c r="AM134" s="116">
        <f>IFERROR(VLOOKUP($B134,SWB!C132:BE515,38,FALSE),0)</f>
        <v>0</v>
      </c>
      <c r="AN134" s="257">
        <f>IFERROR(VLOOKUP($B134,SWB!C132:BE515,40,FALSE),0)</f>
        <v>1.1328348378362501</v>
      </c>
      <c r="AO134" s="257">
        <f>IFERROR(VLOOKUP($B134,SWB!C132:BE515,43,FALSE),0)</f>
        <v>2.2656696756725001</v>
      </c>
      <c r="AP134" s="257">
        <v>13.230797000000001</v>
      </c>
      <c r="AQ134" s="257">
        <f>IFERROR(VLOOKUP($B134,SWB!C132:BE515,44,FALSE),0)</f>
        <v>237.75839532925542</v>
      </c>
      <c r="AR134" s="116">
        <f t="shared" si="7"/>
        <v>115</v>
      </c>
      <c r="AS134" s="116">
        <v>148.97</v>
      </c>
      <c r="AT134" s="116" t="s">
        <v>131</v>
      </c>
      <c r="AU134" s="116" t="s">
        <v>131</v>
      </c>
      <c r="AV134" s="116" t="s">
        <v>131</v>
      </c>
      <c r="AW134" s="116" t="s">
        <v>131</v>
      </c>
      <c r="AX134" s="116" t="s">
        <v>131</v>
      </c>
      <c r="AY134" s="116" t="s">
        <v>131</v>
      </c>
      <c r="AZ134" s="116"/>
      <c r="BA134" s="116" t="s">
        <v>132</v>
      </c>
      <c r="BB134" s="116"/>
    </row>
    <row r="135" spans="1:54">
      <c r="A135" s="101" t="s">
        <v>134</v>
      </c>
      <c r="B135" s="69">
        <f t="shared" si="6"/>
        <v>42134</v>
      </c>
      <c r="C135" s="101" t="s">
        <v>134</v>
      </c>
      <c r="D135" s="116">
        <f>VLOOKUP(B135,SWB!$C$15:$H$244,6,FALSE)</f>
        <v>130</v>
      </c>
      <c r="E135" s="102">
        <f>VLOOKUP($B135,Clima!$W$8:$AI$1506,3,FALSE)</f>
        <v>27.6</v>
      </c>
      <c r="F135" s="102">
        <f>VLOOKUP($B135,Clima!$W$8:$AI$1506,4,FALSE)</f>
        <v>10.9</v>
      </c>
      <c r="G135" s="102">
        <f>VLOOKUP($B135,Clima!$W$8:$AI$1506,2,FALSE)</f>
        <v>19.5</v>
      </c>
      <c r="H135" s="102"/>
      <c r="I135" s="102">
        <f>VLOOKUP($B135,Clima!$W$8:$AI$1506,13,FALSE)</f>
        <v>6.1</v>
      </c>
      <c r="J135" s="102"/>
      <c r="K135" s="102"/>
      <c r="L135" s="102">
        <f>VLOOKUP($B135,Clima!$W$8:$AI$1506,12,FALSE)</f>
        <v>0</v>
      </c>
      <c r="M135" s="102">
        <f t="shared" si="4"/>
        <v>0</v>
      </c>
      <c r="N135" s="257">
        <f>VLOOKUP(B135,SWB!$C$15:$S$244,17,FALSE)</f>
        <v>1.1499999999999999</v>
      </c>
      <c r="O135" s="116"/>
      <c r="P135" s="116">
        <f>SWB!$M$4</f>
        <v>0.15</v>
      </c>
      <c r="Q135" s="257">
        <f>VLOOKUP(B135,SWB!$C$15:$AJ$244,34,FALSE)</f>
        <v>0.6</v>
      </c>
      <c r="R135" s="257">
        <f>VLOOKUP(B135,SWB!$C$15:$V$244,20,FALSE)</f>
        <v>1.1329147220899998</v>
      </c>
      <c r="S135" s="116">
        <v>9.86</v>
      </c>
      <c r="T135" s="116">
        <v>0.90593900000000005</v>
      </c>
      <c r="U135" s="116">
        <v>1</v>
      </c>
      <c r="V135" s="116">
        <v>9.4061000000000006E-2</v>
      </c>
      <c r="W135" s="116">
        <v>23.5</v>
      </c>
      <c r="X135" s="257">
        <v>0</v>
      </c>
      <c r="Y135" s="116">
        <v>9.51</v>
      </c>
      <c r="Z135" s="116">
        <v>1</v>
      </c>
      <c r="AA135" s="257">
        <v>7.2120000000000004E-2</v>
      </c>
      <c r="AB135" s="257">
        <v>2.9096229999999998</v>
      </c>
      <c r="AC135" s="257">
        <v>4.753806</v>
      </c>
      <c r="AD135" s="257">
        <v>1.1721200000000001</v>
      </c>
      <c r="AE135" s="257">
        <v>7.2671460000000003</v>
      </c>
      <c r="AF135" s="116">
        <v>0.5</v>
      </c>
      <c r="AG135" s="116">
        <v>0.55000000000000004</v>
      </c>
      <c r="AH135" s="116">
        <v>75</v>
      </c>
      <c r="AI135" s="116">
        <v>41.25</v>
      </c>
      <c r="AJ135" s="116">
        <f>IFERROR(VLOOKUP($B135,SWB!C133:BE516,37,FALSE),0)</f>
        <v>0</v>
      </c>
      <c r="AK135" s="116">
        <f t="shared" si="5"/>
        <v>0</v>
      </c>
      <c r="AL135" s="116">
        <f>IFERROR(VLOOKUP($B135,SWB!C133:BE516,38,FALSE),0)</f>
        <v>0</v>
      </c>
      <c r="AM135" s="116">
        <f>IFERROR(VLOOKUP($B135,SWB!C133:BE516,38,FALSE),0)</f>
        <v>0</v>
      </c>
      <c r="AN135" s="257">
        <f>IFERROR(VLOOKUP($B135,SWB!C133:BE516,40,FALSE),0)</f>
        <v>1.1329147220899998</v>
      </c>
      <c r="AO135" s="257">
        <f>IFERROR(VLOOKUP($B135,SWB!C133:BE516,43,FALSE),0)</f>
        <v>2.6057038608069991</v>
      </c>
      <c r="AP135" s="257">
        <v>10.637943</v>
      </c>
      <c r="AQ135" s="257">
        <f>IFERROR(VLOOKUP($B135,SWB!C133:BE516,44,FALSE),0)</f>
        <v>240.36409919006243</v>
      </c>
      <c r="AR135" s="116">
        <f t="shared" si="7"/>
        <v>115</v>
      </c>
      <c r="AS135" s="116">
        <v>148.97</v>
      </c>
      <c r="AT135" s="116" t="s">
        <v>131</v>
      </c>
      <c r="AU135" s="116" t="s">
        <v>131</v>
      </c>
      <c r="AV135" s="116" t="s">
        <v>131</v>
      </c>
      <c r="AW135" s="116" t="s">
        <v>131</v>
      </c>
      <c r="AX135" s="116" t="s">
        <v>131</v>
      </c>
      <c r="AY135" s="116" t="s">
        <v>131</v>
      </c>
      <c r="AZ135" s="116"/>
      <c r="BA135" s="116" t="s">
        <v>132</v>
      </c>
      <c r="BB135" s="116"/>
    </row>
    <row r="136" spans="1:54">
      <c r="A136" s="101" t="s">
        <v>134</v>
      </c>
      <c r="B136" s="69">
        <f t="shared" si="6"/>
        <v>42135</v>
      </c>
      <c r="C136" s="101" t="s">
        <v>134</v>
      </c>
      <c r="D136" s="116">
        <f>VLOOKUP(B136,SWB!$C$15:$H$244,6,FALSE)</f>
        <v>131</v>
      </c>
      <c r="E136" s="102">
        <f>VLOOKUP($B136,Clima!$W$8:$AI$1506,3,FALSE)</f>
        <v>29.7</v>
      </c>
      <c r="F136" s="102">
        <f>VLOOKUP($B136,Clima!$W$8:$AI$1506,4,FALSE)</f>
        <v>9.6999999999999993</v>
      </c>
      <c r="G136" s="102">
        <f>VLOOKUP($B136,Clima!$W$8:$AI$1506,2,FALSE)</f>
        <v>19.3</v>
      </c>
      <c r="H136" s="102"/>
      <c r="I136" s="102">
        <f>VLOOKUP($B136,Clima!$W$8:$AI$1506,13,FALSE)</f>
        <v>6.8</v>
      </c>
      <c r="J136" s="102"/>
      <c r="K136" s="102"/>
      <c r="L136" s="102">
        <f>VLOOKUP($B136,Clima!$W$8:$AI$1506,12,FALSE)</f>
        <v>0</v>
      </c>
      <c r="M136" s="102">
        <f t="shared" si="4"/>
        <v>0</v>
      </c>
      <c r="N136" s="257">
        <f>VLOOKUP(B136,SWB!$C$15:$S$244,17,FALSE)</f>
        <v>1.1499999999999999</v>
      </c>
      <c r="O136" s="116"/>
      <c r="P136" s="116">
        <f>SWB!$M$4</f>
        <v>0.15</v>
      </c>
      <c r="Q136" s="257">
        <f>VLOOKUP(B136,SWB!$C$15:$AJ$244,34,FALSE)</f>
        <v>0.6</v>
      </c>
      <c r="R136" s="257">
        <f>VLOOKUP(B136,SWB!$C$15:$V$244,20,FALSE)</f>
        <v>1.1329946063437499</v>
      </c>
      <c r="S136" s="116">
        <v>9.86</v>
      </c>
      <c r="T136" s="116">
        <v>0.93309699999999995</v>
      </c>
      <c r="U136" s="116">
        <v>1</v>
      </c>
      <c r="V136" s="116">
        <v>6.6903000000000004E-2</v>
      </c>
      <c r="W136" s="116">
        <v>23.5</v>
      </c>
      <c r="X136" s="257">
        <v>0</v>
      </c>
      <c r="Y136" s="116">
        <v>9.51</v>
      </c>
      <c r="Z136" s="116">
        <v>1</v>
      </c>
      <c r="AA136" s="257">
        <v>0.05</v>
      </c>
      <c r="AB136" s="257">
        <v>5.1061940000000003</v>
      </c>
      <c r="AC136" s="257">
        <v>4.1851739999999999</v>
      </c>
      <c r="AD136" s="257">
        <v>1.1499999999999999</v>
      </c>
      <c r="AE136" s="257">
        <v>6.44</v>
      </c>
      <c r="AF136" s="116">
        <v>0.5</v>
      </c>
      <c r="AG136" s="116">
        <v>0.55000000000000004</v>
      </c>
      <c r="AH136" s="116">
        <v>75</v>
      </c>
      <c r="AI136" s="116">
        <v>41.25</v>
      </c>
      <c r="AJ136" s="116">
        <f>IFERROR(VLOOKUP($B136,SWB!C134:BE517,37,FALSE),0)</f>
        <v>5</v>
      </c>
      <c r="AK136" s="116">
        <f t="shared" si="5"/>
        <v>5</v>
      </c>
      <c r="AL136" s="116">
        <f>IFERROR(VLOOKUP($B136,SWB!C134:BE517,38,FALSE),0)</f>
        <v>0</v>
      </c>
      <c r="AM136" s="116">
        <f>IFERROR(VLOOKUP($B136,SWB!C134:BE517,38,FALSE),0)</f>
        <v>0</v>
      </c>
      <c r="AN136" s="257">
        <f>IFERROR(VLOOKUP($B136,SWB!C134:BE517,40,FALSE),0)</f>
        <v>1.0840454226987057</v>
      </c>
      <c r="AO136" s="257">
        <f>IFERROR(VLOOKUP($B136,SWB!C134:BE517,43,FALSE),0)</f>
        <v>2.059686303127541</v>
      </c>
      <c r="AP136" s="257">
        <v>7.217943</v>
      </c>
      <c r="AQ136" s="257">
        <f>IFERROR(VLOOKUP($B136,SWB!C134:BE517,44,FALSE),0)</f>
        <v>242.42378549318997</v>
      </c>
      <c r="AR136" s="116">
        <f t="shared" si="7"/>
        <v>115</v>
      </c>
      <c r="AS136" s="116">
        <v>148.97</v>
      </c>
      <c r="AT136" s="116" t="s">
        <v>131</v>
      </c>
      <c r="AU136" s="116" t="s">
        <v>131</v>
      </c>
      <c r="AV136" s="116" t="s">
        <v>131</v>
      </c>
      <c r="AW136" s="116" t="s">
        <v>131</v>
      </c>
      <c r="AX136" s="116" t="s">
        <v>131</v>
      </c>
      <c r="AY136" s="116" t="s">
        <v>131</v>
      </c>
      <c r="AZ136" s="116"/>
      <c r="BA136" s="116" t="s">
        <v>132</v>
      </c>
      <c r="BB136" s="116"/>
    </row>
    <row r="137" spans="1:54">
      <c r="A137" s="101" t="s">
        <v>134</v>
      </c>
      <c r="B137" s="69">
        <f t="shared" si="6"/>
        <v>42136</v>
      </c>
      <c r="C137" s="101" t="s">
        <v>134</v>
      </c>
      <c r="D137" s="116">
        <f>VLOOKUP(B137,SWB!$C$15:$H$244,6,FALSE)</f>
        <v>132</v>
      </c>
      <c r="E137" s="102">
        <f>VLOOKUP($B137,Clima!$W$8:$AI$1506,3,FALSE)</f>
        <v>34.1</v>
      </c>
      <c r="F137" s="102">
        <f>VLOOKUP($B137,Clima!$W$8:$AI$1506,4,FALSE)</f>
        <v>9.5</v>
      </c>
      <c r="G137" s="102">
        <f>VLOOKUP($B137,Clima!$W$8:$AI$1506,2,FALSE)</f>
        <v>22.2</v>
      </c>
      <c r="H137" s="102"/>
      <c r="I137" s="102">
        <f>VLOOKUP($B137,Clima!$W$8:$AI$1506,13,FALSE)</f>
        <v>6.2</v>
      </c>
      <c r="J137" s="102"/>
      <c r="K137" s="102"/>
      <c r="L137" s="102">
        <f>VLOOKUP($B137,Clima!$W$8:$AI$1506,12,FALSE)</f>
        <v>0</v>
      </c>
      <c r="M137" s="102">
        <f t="shared" si="4"/>
        <v>0</v>
      </c>
      <c r="N137" s="257">
        <f>VLOOKUP(B137,SWB!$C$15:$S$244,17,FALSE)</f>
        <v>1.1499999999999999</v>
      </c>
      <c r="O137" s="116"/>
      <c r="P137" s="116">
        <f>SWB!$M$4</f>
        <v>0.15</v>
      </c>
      <c r="Q137" s="257">
        <f>VLOOKUP(B137,SWB!$C$15:$AJ$244,34,FALSE)</f>
        <v>0.6</v>
      </c>
      <c r="R137" s="257">
        <f>VLOOKUP(B137,SWB!$C$15:$V$244,20,FALSE)</f>
        <v>1.1330744905975001</v>
      </c>
      <c r="S137" s="116">
        <v>9.86</v>
      </c>
      <c r="T137" s="116">
        <v>0.93225999999999998</v>
      </c>
      <c r="U137" s="116">
        <v>1</v>
      </c>
      <c r="V137" s="116">
        <v>6.7739999999999995E-2</v>
      </c>
      <c r="W137" s="116">
        <v>23.5</v>
      </c>
      <c r="X137" s="257">
        <v>0</v>
      </c>
      <c r="Y137" s="116">
        <v>9.51</v>
      </c>
      <c r="Z137" s="116">
        <v>1</v>
      </c>
      <c r="AA137" s="257">
        <v>5.0665000000000002E-2</v>
      </c>
      <c r="AB137" s="257">
        <v>5.6748260000000004</v>
      </c>
      <c r="AC137" s="257">
        <v>4.1136410000000003</v>
      </c>
      <c r="AD137" s="257">
        <v>1.150665</v>
      </c>
      <c r="AE137" s="257">
        <v>6.3286579999999999</v>
      </c>
      <c r="AF137" s="116">
        <v>0.5</v>
      </c>
      <c r="AG137" s="116">
        <v>0.55000000000000004</v>
      </c>
      <c r="AH137" s="116">
        <v>75</v>
      </c>
      <c r="AI137" s="116">
        <v>41.25</v>
      </c>
      <c r="AJ137" s="116">
        <f>IFERROR(VLOOKUP($B137,SWB!C135:BE518,37,FALSE),0)</f>
        <v>5</v>
      </c>
      <c r="AK137" s="116">
        <f t="shared" si="5"/>
        <v>5</v>
      </c>
      <c r="AL137" s="116">
        <f>IFERROR(VLOOKUP($B137,SWB!C135:BE518,38,FALSE),0)</f>
        <v>0</v>
      </c>
      <c r="AM137" s="116">
        <f>IFERROR(VLOOKUP($B137,SWB!C135:BE518,38,FALSE),0)</f>
        <v>0</v>
      </c>
      <c r="AN137" s="257">
        <f>IFERROR(VLOOKUP($B137,SWB!C135:BE518,40,FALSE),0)</f>
        <v>1.1148306074055956</v>
      </c>
      <c r="AO137" s="257">
        <f>IFERROR(VLOOKUP($B137,SWB!C135:BE518,43,FALSE),0)</f>
        <v>4.4593224296223823</v>
      </c>
      <c r="AP137" s="257">
        <v>3.686601</v>
      </c>
      <c r="AQ137" s="257">
        <f>IFERROR(VLOOKUP($B137,SWB!C135:BE518,44,FALSE),0)</f>
        <v>246.88310792281234</v>
      </c>
      <c r="AR137" s="116">
        <f t="shared" si="7"/>
        <v>120</v>
      </c>
      <c r="AS137" s="116">
        <v>148.97</v>
      </c>
      <c r="AT137" s="116" t="s">
        <v>131</v>
      </c>
      <c r="AU137" s="116" t="s">
        <v>131</v>
      </c>
      <c r="AV137" s="116" t="s">
        <v>131</v>
      </c>
      <c r="AW137" s="116" t="s">
        <v>131</v>
      </c>
      <c r="AX137" s="116" t="s">
        <v>131</v>
      </c>
      <c r="AY137" s="116" t="s">
        <v>131</v>
      </c>
      <c r="AZ137" s="116"/>
      <c r="BA137" s="116" t="s">
        <v>132</v>
      </c>
      <c r="BB137" s="116"/>
    </row>
    <row r="138" spans="1:54">
      <c r="A138" s="101" t="s">
        <v>134</v>
      </c>
      <c r="B138" s="69">
        <f t="shared" si="6"/>
        <v>42137</v>
      </c>
      <c r="C138" s="101" t="s">
        <v>134</v>
      </c>
      <c r="D138" s="116">
        <f>VLOOKUP(B138,SWB!$C$15:$H$244,6,FALSE)</f>
        <v>133</v>
      </c>
      <c r="E138" s="102">
        <f>VLOOKUP($B138,Clima!$W$8:$AI$1506,3,FALSE)</f>
        <v>37.299999999999997</v>
      </c>
      <c r="F138" s="102">
        <f>VLOOKUP($B138,Clima!$W$8:$AI$1506,4,FALSE)</f>
        <v>10.7</v>
      </c>
      <c r="G138" s="102">
        <f>VLOOKUP($B138,Clima!$W$8:$AI$1506,2,FALSE)</f>
        <v>24</v>
      </c>
      <c r="H138" s="102"/>
      <c r="I138" s="102">
        <f>VLOOKUP($B138,Clima!$W$8:$AI$1506,13,FALSE)</f>
        <v>6.2</v>
      </c>
      <c r="J138" s="102"/>
      <c r="K138" s="102"/>
      <c r="L138" s="102">
        <f>VLOOKUP($B138,Clima!$W$8:$AI$1506,12,FALSE)</f>
        <v>0</v>
      </c>
      <c r="M138" s="102">
        <f t="shared" si="4"/>
        <v>0</v>
      </c>
      <c r="N138" s="257">
        <f>VLOOKUP(B138,SWB!$C$15:$S$244,17,FALSE)</f>
        <v>1.1499999999999999</v>
      </c>
      <c r="O138" s="116"/>
      <c r="P138" s="116">
        <f>SWB!$M$4</f>
        <v>0.15</v>
      </c>
      <c r="Q138" s="257">
        <f>VLOOKUP(B138,SWB!$C$15:$AJ$244,34,FALSE)</f>
        <v>0.6</v>
      </c>
      <c r="R138" s="257">
        <f>VLOOKUP(B138,SWB!$C$15:$V$244,20,FALSE)</f>
        <v>1.1331543748512498</v>
      </c>
      <c r="S138" s="116">
        <v>9.86</v>
      </c>
      <c r="T138" s="116">
        <v>0.90810900000000006</v>
      </c>
      <c r="U138" s="116">
        <v>1</v>
      </c>
      <c r="V138" s="116">
        <v>9.1891E-2</v>
      </c>
      <c r="W138" s="116">
        <v>23.5</v>
      </c>
      <c r="X138" s="257">
        <v>0</v>
      </c>
      <c r="Y138" s="116">
        <v>9.51</v>
      </c>
      <c r="Z138" s="116">
        <v>1</v>
      </c>
      <c r="AA138" s="257">
        <v>7.0310999999999998E-2</v>
      </c>
      <c r="AB138" s="257">
        <v>5.746359</v>
      </c>
      <c r="AC138" s="257">
        <v>4.6674449999999998</v>
      </c>
      <c r="AD138" s="257">
        <v>1.1703110000000001</v>
      </c>
      <c r="AE138" s="257">
        <v>7.1388959999999999</v>
      </c>
      <c r="AF138" s="116">
        <v>0.5</v>
      </c>
      <c r="AG138" s="116">
        <v>0.55000000000000004</v>
      </c>
      <c r="AH138" s="116">
        <v>75</v>
      </c>
      <c r="AI138" s="116">
        <v>41.25</v>
      </c>
      <c r="AJ138" s="116">
        <f>IFERROR(VLOOKUP($B138,SWB!C136:BE519,37,FALSE),0)</f>
        <v>5</v>
      </c>
      <c r="AK138" s="116">
        <f t="shared" si="5"/>
        <v>5</v>
      </c>
      <c r="AL138" s="116">
        <f>IFERROR(VLOOKUP($B138,SWB!C136:BE519,38,FALSE),0)</f>
        <v>0</v>
      </c>
      <c r="AM138" s="116">
        <f>IFERROR(VLOOKUP($B138,SWB!C136:BE519,38,FALSE),0)</f>
        <v>0</v>
      </c>
      <c r="AN138" s="257">
        <f>IFERROR(VLOOKUP($B138,SWB!C136:BE519,40,FALSE),0)</f>
        <v>1.1331543748512498</v>
      </c>
      <c r="AO138" s="257">
        <f>IFERROR(VLOOKUP($B138,SWB!C136:BE519,43,FALSE),0)</f>
        <v>3.3994631245537494</v>
      </c>
      <c r="AP138" s="257">
        <v>0.96549700000000005</v>
      </c>
      <c r="AQ138" s="257">
        <f>IFERROR(VLOOKUP($B138,SWB!C136:BE519,44,FALSE),0)</f>
        <v>250.2825710473661</v>
      </c>
      <c r="AR138" s="116">
        <f t="shared" si="7"/>
        <v>125</v>
      </c>
      <c r="AS138" s="116">
        <v>148.97</v>
      </c>
      <c r="AT138" s="116" t="s">
        <v>131</v>
      </c>
      <c r="AU138" s="116" t="s">
        <v>131</v>
      </c>
      <c r="AV138" s="116" t="s">
        <v>131</v>
      </c>
      <c r="AW138" s="116" t="s">
        <v>131</v>
      </c>
      <c r="AX138" s="116" t="s">
        <v>131</v>
      </c>
      <c r="AY138" s="116" t="s">
        <v>131</v>
      </c>
      <c r="AZ138" s="116"/>
      <c r="BA138" s="116" t="s">
        <v>132</v>
      </c>
      <c r="BB138" s="116"/>
    </row>
    <row r="139" spans="1:54">
      <c r="A139" s="101" t="s">
        <v>134</v>
      </c>
      <c r="B139" s="69">
        <f t="shared" si="6"/>
        <v>42138</v>
      </c>
      <c r="C139" s="101" t="s">
        <v>134</v>
      </c>
      <c r="D139" s="116">
        <f>VLOOKUP(B139,SWB!$C$15:$H$244,6,FALSE)</f>
        <v>134</v>
      </c>
      <c r="E139" s="102">
        <f>VLOOKUP($B139,Clima!$W$8:$AI$1506,3,FALSE)</f>
        <v>35.799999999999997</v>
      </c>
      <c r="F139" s="102">
        <f>VLOOKUP($B139,Clima!$W$8:$AI$1506,4,FALSE)</f>
        <v>15.2</v>
      </c>
      <c r="G139" s="102">
        <f>VLOOKUP($B139,Clima!$W$8:$AI$1506,2,FALSE)</f>
        <v>25.3</v>
      </c>
      <c r="H139" s="102"/>
      <c r="I139" s="102">
        <f>VLOOKUP($B139,Clima!$W$8:$AI$1506,13,FALSE)</f>
        <v>8.5</v>
      </c>
      <c r="J139" s="102"/>
      <c r="K139" s="102"/>
      <c r="L139" s="102">
        <f>VLOOKUP($B139,Clima!$W$8:$AI$1506,12,FALSE)</f>
        <v>0</v>
      </c>
      <c r="M139" s="102">
        <f t="shared" si="4"/>
        <v>0</v>
      </c>
      <c r="N139" s="257">
        <f>VLOOKUP(B139,SWB!$C$15:$S$244,17,FALSE)</f>
        <v>1.1499999999999999</v>
      </c>
      <c r="O139" s="116"/>
      <c r="P139" s="116">
        <f>SWB!$M$4</f>
        <v>0.15</v>
      </c>
      <c r="Q139" s="257">
        <f>VLOOKUP(B139,SWB!$C$15:$AJ$244,34,FALSE)</f>
        <v>0.6</v>
      </c>
      <c r="R139" s="257">
        <f>VLOOKUP(B139,SWB!$C$15:$V$244,20,FALSE)</f>
        <v>1.133234259105</v>
      </c>
      <c r="S139" s="116">
        <v>9.86</v>
      </c>
      <c r="T139" s="116">
        <v>0.88244999999999996</v>
      </c>
      <c r="U139" s="116">
        <v>1</v>
      </c>
      <c r="V139" s="116">
        <v>0.11755</v>
      </c>
      <c r="W139" s="116">
        <v>23.5</v>
      </c>
      <c r="X139" s="257">
        <v>0</v>
      </c>
      <c r="Y139" s="116">
        <v>9.51</v>
      </c>
      <c r="Z139" s="116">
        <v>1</v>
      </c>
      <c r="AA139" s="257">
        <v>9.2204999999999995E-2</v>
      </c>
      <c r="AB139" s="257">
        <v>5.1925549999999996</v>
      </c>
      <c r="AC139" s="257">
        <v>5.3338520000000003</v>
      </c>
      <c r="AD139" s="257">
        <v>1.192205</v>
      </c>
      <c r="AE139" s="257">
        <v>8.1069960000000005</v>
      </c>
      <c r="AF139" s="116">
        <v>0.5</v>
      </c>
      <c r="AG139" s="116">
        <v>0.55000000000000004</v>
      </c>
      <c r="AH139" s="116">
        <v>75</v>
      </c>
      <c r="AI139" s="116">
        <v>41.25</v>
      </c>
      <c r="AJ139" s="116">
        <f>IFERROR(VLOOKUP($B139,SWB!C137:BE520,37,FALSE),0)</f>
        <v>5</v>
      </c>
      <c r="AK139" s="116">
        <f t="shared" si="5"/>
        <v>5</v>
      </c>
      <c r="AL139" s="116">
        <f>IFERROR(VLOOKUP($B139,SWB!C137:BE520,38,FALSE),0)</f>
        <v>0</v>
      </c>
      <c r="AM139" s="116">
        <f>IFERROR(VLOOKUP($B139,SWB!C137:BE520,38,FALSE),0)</f>
        <v>0</v>
      </c>
      <c r="AN139" s="257">
        <f>IFERROR(VLOOKUP($B139,SWB!C137:BE520,40,FALSE),0)</f>
        <v>1.133234259105</v>
      </c>
      <c r="AO139" s="257">
        <f>IFERROR(VLOOKUP($B139,SWB!C137:BE520,43,FALSE),0)</f>
        <v>3.0597324995835002</v>
      </c>
      <c r="AP139" s="257">
        <v>0</v>
      </c>
      <c r="AQ139" s="257">
        <f>IFERROR(VLOOKUP($B139,SWB!C137:BE520,44,FALSE),0)</f>
        <v>253.34230354694961</v>
      </c>
      <c r="AR139" s="116">
        <f t="shared" si="7"/>
        <v>130</v>
      </c>
      <c r="AS139" s="116">
        <v>148.97</v>
      </c>
      <c r="AT139" s="116" t="s">
        <v>131</v>
      </c>
      <c r="AU139" s="116" t="s">
        <v>131</v>
      </c>
      <c r="AV139" s="116" t="s">
        <v>131</v>
      </c>
      <c r="AW139" s="116" t="s">
        <v>131</v>
      </c>
      <c r="AX139" s="116" t="s">
        <v>131</v>
      </c>
      <c r="AY139" s="116" t="s">
        <v>131</v>
      </c>
      <c r="AZ139" s="116"/>
      <c r="BA139" s="116" t="s">
        <v>132</v>
      </c>
      <c r="BB139" s="116"/>
    </row>
    <row r="140" spans="1:54">
      <c r="A140" s="101" t="s">
        <v>134</v>
      </c>
      <c r="B140" s="69">
        <f t="shared" si="6"/>
        <v>42139</v>
      </c>
      <c r="C140" s="101" t="s">
        <v>134</v>
      </c>
      <c r="D140" s="116">
        <f>VLOOKUP(B140,SWB!$C$15:$H$244,6,FALSE)</f>
        <v>135</v>
      </c>
      <c r="E140" s="102">
        <f>VLOOKUP($B140,Clima!$W$8:$AI$1506,3,FALSE)</f>
        <v>23.9</v>
      </c>
      <c r="F140" s="102">
        <f>VLOOKUP($B140,Clima!$W$8:$AI$1506,4,FALSE)</f>
        <v>8.6999999999999993</v>
      </c>
      <c r="G140" s="102">
        <f>VLOOKUP($B140,Clima!$W$8:$AI$1506,2,FALSE)</f>
        <v>16.899999999999999</v>
      </c>
      <c r="H140" s="102"/>
      <c r="I140" s="102">
        <f>VLOOKUP($B140,Clima!$W$8:$AI$1506,13,FALSE)</f>
        <v>6.3</v>
      </c>
      <c r="J140" s="102"/>
      <c r="K140" s="102"/>
      <c r="L140" s="102">
        <f>VLOOKUP($B140,Clima!$W$8:$AI$1506,12,FALSE)</f>
        <v>0</v>
      </c>
      <c r="M140" s="102">
        <f t="shared" si="4"/>
        <v>0</v>
      </c>
      <c r="N140" s="257">
        <f>VLOOKUP(B140,SWB!$C$15:$S$244,17,FALSE)</f>
        <v>1.1499999999999999</v>
      </c>
      <c r="O140" s="116"/>
      <c r="P140" s="116">
        <f>SWB!$M$4</f>
        <v>0.15</v>
      </c>
      <c r="Q140" s="257">
        <f>VLOOKUP(B140,SWB!$C$15:$AJ$244,34,FALSE)</f>
        <v>0.6</v>
      </c>
      <c r="R140" s="257">
        <f>VLOOKUP(B140,SWB!$C$15:$V$244,20,FALSE)</f>
        <v>1.1333141433587501</v>
      </c>
      <c r="S140" s="116">
        <v>0</v>
      </c>
      <c r="T140" s="116">
        <v>0.92109600000000003</v>
      </c>
      <c r="U140" s="116">
        <v>1</v>
      </c>
      <c r="V140" s="116">
        <v>7.8904000000000002E-2</v>
      </c>
      <c r="W140" s="116">
        <v>23.5</v>
      </c>
      <c r="X140" s="257">
        <v>5.3338520000000003</v>
      </c>
      <c r="Y140" s="116">
        <v>9.51</v>
      </c>
      <c r="Z140" s="116">
        <v>1</v>
      </c>
      <c r="AA140" s="257">
        <v>5.9635000000000001E-2</v>
      </c>
      <c r="AB140" s="116">
        <v>0</v>
      </c>
      <c r="AC140" s="257">
        <v>9.9819759999999995</v>
      </c>
      <c r="AD140" s="257">
        <v>1.159635</v>
      </c>
      <c r="AE140" s="257">
        <v>7.1317550000000001</v>
      </c>
      <c r="AF140" s="116">
        <v>0.5</v>
      </c>
      <c r="AG140" s="116">
        <v>0.55000000000000004</v>
      </c>
      <c r="AH140" s="116">
        <v>75</v>
      </c>
      <c r="AI140" s="116">
        <v>41.25</v>
      </c>
      <c r="AJ140" s="116">
        <f>IFERROR(VLOOKUP($B140,SWB!C138:BE521,37,FALSE),0)</f>
        <v>5</v>
      </c>
      <c r="AK140" s="116">
        <f t="shared" si="5"/>
        <v>5</v>
      </c>
      <c r="AL140" s="116">
        <f>IFERROR(VLOOKUP($B140,SWB!C138:BE521,38,FALSE),0)</f>
        <v>0</v>
      </c>
      <c r="AM140" s="116">
        <f>IFERROR(VLOOKUP($B140,SWB!C138:BE521,38,FALSE),0)</f>
        <v>0</v>
      </c>
      <c r="AN140" s="257">
        <f>IFERROR(VLOOKUP($B140,SWB!C138:BE521,40,FALSE),0)</f>
        <v>1.1333141433587501</v>
      </c>
      <c r="AO140" s="257">
        <f>IFERROR(VLOOKUP($B140,SWB!C138:BE521,43,FALSE),0)</f>
        <v>4.3065937447632505</v>
      </c>
      <c r="AP140" s="257">
        <v>7.1317550000000001</v>
      </c>
      <c r="AQ140" s="257">
        <f>IFERROR(VLOOKUP($B140,SWB!C138:BE521,44,FALSE),0)</f>
        <v>257.64889729171284</v>
      </c>
      <c r="AR140" s="116">
        <f t="shared" si="7"/>
        <v>135</v>
      </c>
      <c r="AS140" s="116">
        <v>148.97</v>
      </c>
      <c r="AT140" s="116" t="s">
        <v>131</v>
      </c>
      <c r="AU140" s="116" t="s">
        <v>131</v>
      </c>
      <c r="AV140" s="116" t="s">
        <v>131</v>
      </c>
      <c r="AW140" s="116" t="s">
        <v>131</v>
      </c>
      <c r="AX140" s="116" t="s">
        <v>131</v>
      </c>
      <c r="AY140" s="116" t="s">
        <v>131</v>
      </c>
      <c r="AZ140" s="116"/>
      <c r="BA140" s="116" t="s">
        <v>132</v>
      </c>
      <c r="BB140" s="116"/>
    </row>
    <row r="141" spans="1:54">
      <c r="A141" s="101" t="s">
        <v>134</v>
      </c>
      <c r="B141" s="69">
        <f t="shared" si="6"/>
        <v>42140</v>
      </c>
      <c r="C141" s="101" t="s">
        <v>134</v>
      </c>
      <c r="D141" s="116">
        <f>VLOOKUP(B141,SWB!$C$15:$H$244,6,FALSE)</f>
        <v>136</v>
      </c>
      <c r="E141" s="102">
        <f>VLOOKUP($B141,Clima!$W$8:$AI$1506,3,FALSE)</f>
        <v>26.3</v>
      </c>
      <c r="F141" s="102">
        <f>VLOOKUP($B141,Clima!$W$8:$AI$1506,4,FALSE)</f>
        <v>5.3</v>
      </c>
      <c r="G141" s="102">
        <f>VLOOKUP($B141,Clima!$W$8:$AI$1506,2,FALSE)</f>
        <v>16.399999999999999</v>
      </c>
      <c r="H141" s="102"/>
      <c r="I141" s="102">
        <f>VLOOKUP($B141,Clima!$W$8:$AI$1506,13,FALSE)</f>
        <v>5.8</v>
      </c>
      <c r="J141" s="102"/>
      <c r="K141" s="102"/>
      <c r="L141" s="102">
        <f>VLOOKUP($B141,Clima!$W$8:$AI$1506,12,FALSE)</f>
        <v>0</v>
      </c>
      <c r="M141" s="102">
        <f t="shared" si="4"/>
        <v>0</v>
      </c>
      <c r="N141" s="257">
        <f>VLOOKUP(B141,SWB!$C$15:$S$244,17,FALSE)</f>
        <v>1.1499999999999999</v>
      </c>
      <c r="O141" s="116"/>
      <c r="P141" s="116">
        <f>SWB!$M$4</f>
        <v>0.15</v>
      </c>
      <c r="Q141" s="257">
        <f>VLOOKUP(B141,SWB!$C$15:$AJ$244,34,FALSE)</f>
        <v>0.6</v>
      </c>
      <c r="R141" s="257">
        <f>VLOOKUP(B141,SWB!$C$15:$V$244,20,FALSE)</f>
        <v>1.1333940276124999</v>
      </c>
      <c r="S141" s="116">
        <v>9.86</v>
      </c>
      <c r="T141" s="116">
        <v>0.91376100000000005</v>
      </c>
      <c r="U141" s="116">
        <v>1</v>
      </c>
      <c r="V141" s="116">
        <v>8.6238999999999996E-2</v>
      </c>
      <c r="W141" s="116">
        <v>23.5</v>
      </c>
      <c r="X141" s="257">
        <v>0.121976</v>
      </c>
      <c r="Y141" s="116">
        <v>9.51</v>
      </c>
      <c r="Z141" s="116">
        <v>1</v>
      </c>
      <c r="AA141" s="257">
        <v>6.5631999999999996E-2</v>
      </c>
      <c r="AB141" s="116">
        <v>0</v>
      </c>
      <c r="AC141" s="257">
        <v>4.8176569999999996</v>
      </c>
      <c r="AD141" s="257">
        <v>1.165632</v>
      </c>
      <c r="AE141" s="257">
        <v>7.1919500000000003</v>
      </c>
      <c r="AF141" s="116">
        <v>0.5</v>
      </c>
      <c r="AG141" s="116">
        <v>0.55000000000000004</v>
      </c>
      <c r="AH141" s="116">
        <v>75</v>
      </c>
      <c r="AI141" s="116">
        <v>41.25</v>
      </c>
      <c r="AJ141" s="116">
        <f>IFERROR(VLOOKUP($B141,SWB!C139:BE522,37,FALSE),0)</f>
        <v>5</v>
      </c>
      <c r="AK141" s="116">
        <f t="shared" si="5"/>
        <v>5</v>
      </c>
      <c r="AL141" s="116">
        <f>IFERROR(VLOOKUP($B141,SWB!C139:BE522,38,FALSE),0)</f>
        <v>0</v>
      </c>
      <c r="AM141" s="116">
        <f>IFERROR(VLOOKUP($B141,SWB!C139:BE522,38,FALSE),0)</f>
        <v>0</v>
      </c>
      <c r="AN141" s="257">
        <f>IFERROR(VLOOKUP($B141,SWB!C139:BE522,40,FALSE),0)</f>
        <v>1.1333940276124999</v>
      </c>
      <c r="AO141" s="257">
        <f>IFERROR(VLOOKUP($B141,SWB!C139:BE522,43,FALSE),0)</f>
        <v>4.5335761104499994</v>
      </c>
      <c r="AP141" s="257">
        <v>4.4637039999999999</v>
      </c>
      <c r="AQ141" s="257">
        <f>IFERROR(VLOOKUP($B141,SWB!C139:BE522,44,FALSE),0)</f>
        <v>262.18247340216283</v>
      </c>
      <c r="AR141" s="116">
        <f t="shared" si="7"/>
        <v>140</v>
      </c>
      <c r="AS141" s="116">
        <v>148.97</v>
      </c>
      <c r="AT141" s="116" t="s">
        <v>131</v>
      </c>
      <c r="AU141" s="116" t="s">
        <v>131</v>
      </c>
      <c r="AV141" s="116" t="s">
        <v>131</v>
      </c>
      <c r="AW141" s="116" t="s">
        <v>131</v>
      </c>
      <c r="AX141" s="116" t="s">
        <v>131</v>
      </c>
      <c r="AY141" s="116" t="s">
        <v>131</v>
      </c>
      <c r="AZ141" s="116"/>
      <c r="BA141" s="116" t="s">
        <v>132</v>
      </c>
      <c r="BB141" s="116"/>
    </row>
    <row r="142" spans="1:54">
      <c r="A142" s="101" t="s">
        <v>134</v>
      </c>
      <c r="B142" s="69">
        <f t="shared" si="6"/>
        <v>42141</v>
      </c>
      <c r="C142" s="101" t="s">
        <v>134</v>
      </c>
      <c r="D142" s="116">
        <f>VLOOKUP(B142,SWB!$C$15:$H$244,6,FALSE)</f>
        <v>137</v>
      </c>
      <c r="E142" s="102">
        <f>VLOOKUP($B142,Clima!$W$8:$AI$1506,3,FALSE)</f>
        <v>27.8</v>
      </c>
      <c r="F142" s="102">
        <f>VLOOKUP($B142,Clima!$W$8:$AI$1506,4,FALSE)</f>
        <v>8</v>
      </c>
      <c r="G142" s="102">
        <f>VLOOKUP($B142,Clima!$W$8:$AI$1506,2,FALSE)</f>
        <v>18.600000000000001</v>
      </c>
      <c r="H142" s="102"/>
      <c r="I142" s="102">
        <f>VLOOKUP($B142,Clima!$W$8:$AI$1506,13,FALSE)</f>
        <v>6.3</v>
      </c>
      <c r="J142" s="102"/>
      <c r="K142" s="102"/>
      <c r="L142" s="102">
        <f>VLOOKUP($B142,Clima!$W$8:$AI$1506,12,FALSE)</f>
        <v>0</v>
      </c>
      <c r="M142" s="102">
        <f t="shared" si="4"/>
        <v>0</v>
      </c>
      <c r="N142" s="257">
        <f>VLOOKUP(B142,SWB!$C$15:$S$244,17,FALSE)</f>
        <v>1.1499999999999999</v>
      </c>
      <c r="O142" s="116"/>
      <c r="P142" s="116">
        <f>SWB!$M$4</f>
        <v>0.15</v>
      </c>
      <c r="Q142" s="257">
        <f>VLOOKUP(B142,SWB!$C$15:$AJ$244,34,FALSE)</f>
        <v>0.6</v>
      </c>
      <c r="R142" s="257">
        <f>VLOOKUP(B142,SWB!$C$15:$V$244,20,FALSE)</f>
        <v>1.13347391186625</v>
      </c>
      <c r="S142" s="116">
        <v>0</v>
      </c>
      <c r="T142" s="116">
        <v>0.86184000000000005</v>
      </c>
      <c r="U142" s="116">
        <v>1</v>
      </c>
      <c r="V142" s="116">
        <v>0.13816000000000001</v>
      </c>
      <c r="W142" s="116">
        <v>23.5</v>
      </c>
      <c r="X142" s="257">
        <v>4.8176569999999996</v>
      </c>
      <c r="Y142" s="116">
        <v>9.51</v>
      </c>
      <c r="Z142" s="116">
        <v>1</v>
      </c>
      <c r="AA142" s="257">
        <v>0.11061</v>
      </c>
      <c r="AB142" s="116">
        <v>0</v>
      </c>
      <c r="AC142" s="257">
        <v>11.622704000000001</v>
      </c>
      <c r="AD142" s="257">
        <v>1.21061</v>
      </c>
      <c r="AE142" s="257">
        <v>10.290187</v>
      </c>
      <c r="AF142" s="116">
        <v>0.5</v>
      </c>
      <c r="AG142" s="116">
        <v>0.55000000000000004</v>
      </c>
      <c r="AH142" s="116">
        <v>75</v>
      </c>
      <c r="AI142" s="116">
        <v>41.25</v>
      </c>
      <c r="AJ142" s="116">
        <f>IFERROR(VLOOKUP($B142,SWB!C140:BE523,37,FALSE),0)</f>
        <v>5</v>
      </c>
      <c r="AK142" s="116">
        <f t="shared" si="5"/>
        <v>5</v>
      </c>
      <c r="AL142" s="116">
        <f>IFERROR(VLOOKUP($B142,SWB!C140:BE523,38,FALSE),0)</f>
        <v>0</v>
      </c>
      <c r="AM142" s="116">
        <f>IFERROR(VLOOKUP($B142,SWB!C140:BE523,38,FALSE),0)</f>
        <v>0</v>
      </c>
      <c r="AN142" s="257">
        <f>IFERROR(VLOOKUP($B142,SWB!C140:BE523,40,FALSE),0)</f>
        <v>1.1353101438811111</v>
      </c>
      <c r="AO142" s="257">
        <f>IFERROR(VLOOKUP($B142,SWB!C140:BE523,43,FALSE),0)</f>
        <v>5.1088956474649994</v>
      </c>
      <c r="AP142" s="257">
        <v>14.753890999999999</v>
      </c>
      <c r="AQ142" s="257">
        <f>IFERROR(VLOOKUP($B142,SWB!C140:BE523,44,FALSE),0)</f>
        <v>267.2913690496278</v>
      </c>
      <c r="AR142" s="116">
        <f t="shared" si="7"/>
        <v>145</v>
      </c>
      <c r="AS142" s="116">
        <v>148.97</v>
      </c>
      <c r="AT142" s="116" t="s">
        <v>131</v>
      </c>
      <c r="AU142" s="116" t="s">
        <v>131</v>
      </c>
      <c r="AV142" s="116" t="s">
        <v>131</v>
      </c>
      <c r="AW142" s="116" t="s">
        <v>131</v>
      </c>
      <c r="AX142" s="116" t="s">
        <v>131</v>
      </c>
      <c r="AY142" s="116" t="s">
        <v>131</v>
      </c>
      <c r="AZ142" s="116"/>
      <c r="BA142" s="116" t="s">
        <v>132</v>
      </c>
      <c r="BB142" s="116"/>
    </row>
    <row r="143" spans="1:54">
      <c r="A143" s="101" t="s">
        <v>134</v>
      </c>
      <c r="B143" s="69">
        <f t="shared" si="6"/>
        <v>42142</v>
      </c>
      <c r="C143" s="101" t="s">
        <v>134</v>
      </c>
      <c r="D143" s="116">
        <f>VLOOKUP(B143,SWB!$C$15:$H$244,6,FALSE)</f>
        <v>138</v>
      </c>
      <c r="E143" s="102">
        <f>VLOOKUP($B143,Clima!$W$8:$AI$1506,3,FALSE)</f>
        <v>29.2</v>
      </c>
      <c r="F143" s="102">
        <f>VLOOKUP($B143,Clima!$W$8:$AI$1506,4,FALSE)</f>
        <v>9.3000000000000007</v>
      </c>
      <c r="G143" s="102">
        <f>VLOOKUP($B143,Clima!$W$8:$AI$1506,2,FALSE)</f>
        <v>19.5</v>
      </c>
      <c r="H143" s="102"/>
      <c r="I143" s="102">
        <f>VLOOKUP($B143,Clima!$W$8:$AI$1506,13,FALSE)</f>
        <v>6.7</v>
      </c>
      <c r="J143" s="102"/>
      <c r="K143" s="102"/>
      <c r="L143" s="102">
        <f>VLOOKUP($B143,Clima!$W$8:$AI$1506,12,FALSE)</f>
        <v>0</v>
      </c>
      <c r="M143" s="102">
        <f t="shared" si="4"/>
        <v>0</v>
      </c>
      <c r="N143" s="257">
        <f>VLOOKUP(B143,SWB!$C$15:$S$244,17,FALSE)</f>
        <v>1.1499999999999999</v>
      </c>
      <c r="O143" s="116"/>
      <c r="P143" s="116">
        <f>SWB!$M$4</f>
        <v>0.15</v>
      </c>
      <c r="Q143" s="257">
        <f>VLOOKUP(B143,SWB!$C$15:$AJ$244,34,FALSE)</f>
        <v>0.6</v>
      </c>
      <c r="R143" s="257">
        <f>VLOOKUP(B143,SWB!$C$15:$V$244,20,FALSE)</f>
        <v>1.1335537961200002</v>
      </c>
      <c r="S143" s="116">
        <v>9.86</v>
      </c>
      <c r="T143" s="116">
        <v>0.880768</v>
      </c>
      <c r="U143" s="116">
        <v>1</v>
      </c>
      <c r="V143" s="116">
        <v>0.119232</v>
      </c>
      <c r="W143" s="116">
        <v>23.5</v>
      </c>
      <c r="X143" s="257">
        <v>1.762704</v>
      </c>
      <c r="Y143" s="116">
        <v>9.51</v>
      </c>
      <c r="Z143" s="116">
        <v>1</v>
      </c>
      <c r="AA143" s="257">
        <v>9.3678999999999998E-2</v>
      </c>
      <c r="AB143" s="116">
        <v>0</v>
      </c>
      <c r="AC143" s="257">
        <v>6.7518099999999999</v>
      </c>
      <c r="AD143" s="257">
        <v>1.1936789999999999</v>
      </c>
      <c r="AE143" s="257">
        <v>7.57986</v>
      </c>
      <c r="AF143" s="116">
        <v>0.5</v>
      </c>
      <c r="AG143" s="116">
        <v>0.55000000000000004</v>
      </c>
      <c r="AH143" s="116">
        <v>75</v>
      </c>
      <c r="AI143" s="116">
        <v>41.25</v>
      </c>
      <c r="AJ143" s="116">
        <f>IFERROR(VLOOKUP($B143,SWB!C141:BE524,37,FALSE),0)</f>
        <v>5</v>
      </c>
      <c r="AK143" s="116">
        <f t="shared" si="5"/>
        <v>5</v>
      </c>
      <c r="AL143" s="116">
        <f>IFERROR(VLOOKUP($B143,SWB!C141:BE524,38,FALSE),0)</f>
        <v>0</v>
      </c>
      <c r="AM143" s="116">
        <f>IFERROR(VLOOKUP($B143,SWB!C141:BE524,38,FALSE),0)</f>
        <v>0</v>
      </c>
      <c r="AN143" s="257">
        <f>IFERROR(VLOOKUP($B143,SWB!C141:BE524,40,FALSE),0)</f>
        <v>1.1353811521066668</v>
      </c>
      <c r="AO143" s="257">
        <f>IFERROR(VLOOKUP($B143,SWB!C141:BE524,43,FALSE),0)</f>
        <v>5.1092151844800009</v>
      </c>
      <c r="AP143" s="257">
        <v>12.473751</v>
      </c>
      <c r="AQ143" s="257">
        <f>IFERROR(VLOOKUP($B143,SWB!C141:BE524,44,FALSE),0)</f>
        <v>272.40058423410778</v>
      </c>
      <c r="AR143" s="116">
        <f t="shared" si="7"/>
        <v>150</v>
      </c>
      <c r="AS143" s="116">
        <v>148.97</v>
      </c>
      <c r="AT143" s="116" t="s">
        <v>131</v>
      </c>
      <c r="AU143" s="116" t="s">
        <v>131</v>
      </c>
      <c r="AV143" s="116" t="s">
        <v>131</v>
      </c>
      <c r="AW143" s="116" t="s">
        <v>131</v>
      </c>
      <c r="AX143" s="116" t="s">
        <v>131</v>
      </c>
      <c r="AY143" s="116" t="s">
        <v>131</v>
      </c>
      <c r="AZ143" s="116"/>
      <c r="BA143" s="116" t="s">
        <v>132</v>
      </c>
      <c r="BB143" s="116"/>
    </row>
    <row r="144" spans="1:54">
      <c r="A144" s="101" t="s">
        <v>134</v>
      </c>
      <c r="B144" s="69">
        <f t="shared" si="6"/>
        <v>42143</v>
      </c>
      <c r="C144" s="101" t="s">
        <v>134</v>
      </c>
      <c r="D144" s="116">
        <f>VLOOKUP(B144,SWB!$C$15:$H$244,6,FALSE)</f>
        <v>139</v>
      </c>
      <c r="E144" s="102">
        <f>VLOOKUP($B144,Clima!$W$8:$AI$1506,3,FALSE)</f>
        <v>26.3</v>
      </c>
      <c r="F144" s="102">
        <f>VLOOKUP($B144,Clima!$W$8:$AI$1506,4,FALSE)</f>
        <v>10.8</v>
      </c>
      <c r="G144" s="102">
        <f>VLOOKUP($B144,Clima!$W$8:$AI$1506,2,FALSE)</f>
        <v>16.899999999999999</v>
      </c>
      <c r="H144" s="102"/>
      <c r="I144" s="102">
        <f>VLOOKUP($B144,Clima!$W$8:$AI$1506,13,FALSE)</f>
        <v>4.3</v>
      </c>
      <c r="J144" s="102"/>
      <c r="K144" s="102"/>
      <c r="L144" s="102">
        <f>VLOOKUP($B144,Clima!$W$8:$AI$1506,12,FALSE)</f>
        <v>17.399999999999999</v>
      </c>
      <c r="M144" s="102">
        <f t="shared" si="4"/>
        <v>17.399999999999999</v>
      </c>
      <c r="N144" s="257">
        <f>VLOOKUP(B144,SWB!$C$15:$S$244,17,FALSE)</f>
        <v>1.1499999999999999</v>
      </c>
      <c r="O144" s="116"/>
      <c r="P144" s="116">
        <f>SWB!$M$4</f>
        <v>0.15</v>
      </c>
      <c r="Q144" s="257">
        <f>VLOOKUP(B144,SWB!$C$15:$AJ$244,34,FALSE)</f>
        <v>0.6</v>
      </c>
      <c r="R144" s="257">
        <f>VLOOKUP(B144,SWB!$C$15:$V$244,20,FALSE)</f>
        <v>1.1336336803737499</v>
      </c>
      <c r="S144" s="116">
        <v>9.86</v>
      </c>
      <c r="T144" s="116">
        <v>0.91871400000000003</v>
      </c>
      <c r="U144" s="116">
        <v>1</v>
      </c>
      <c r="V144" s="116">
        <v>8.1285999999999997E-2</v>
      </c>
      <c r="W144" s="116">
        <v>23.5</v>
      </c>
      <c r="X144" s="257">
        <v>0</v>
      </c>
      <c r="Y144" s="116">
        <v>9.51</v>
      </c>
      <c r="Z144" s="116">
        <v>1</v>
      </c>
      <c r="AA144" s="257">
        <v>6.1573999999999997E-2</v>
      </c>
      <c r="AB144" s="257">
        <v>3.10819</v>
      </c>
      <c r="AC144" s="257">
        <v>4.3934530000000001</v>
      </c>
      <c r="AD144" s="257">
        <v>1.1615740000000001</v>
      </c>
      <c r="AE144" s="257">
        <v>6.7371270000000001</v>
      </c>
      <c r="AF144" s="116">
        <v>0.5</v>
      </c>
      <c r="AG144" s="116">
        <v>0.55000000000000004</v>
      </c>
      <c r="AH144" s="116">
        <v>75</v>
      </c>
      <c r="AI144" s="116">
        <v>41.25</v>
      </c>
      <c r="AJ144" s="116">
        <f>IFERROR(VLOOKUP($B144,SWB!C142:BE525,37,FALSE),0)</f>
        <v>5</v>
      </c>
      <c r="AK144" s="116">
        <f t="shared" si="5"/>
        <v>5</v>
      </c>
      <c r="AL144" s="116">
        <f>IFERROR(VLOOKUP($B144,SWB!C142:BE525,38,FALSE),0)</f>
        <v>0</v>
      </c>
      <c r="AM144" s="116">
        <f>IFERROR(VLOOKUP($B144,SWB!C142:BE525,38,FALSE),0)</f>
        <v>0</v>
      </c>
      <c r="AN144" s="257">
        <f>IFERROR(VLOOKUP($B144,SWB!C142:BE525,40,FALSE),0)</f>
        <v>1.1363614003114582</v>
      </c>
      <c r="AO144" s="257">
        <f>IFERROR(VLOOKUP($B144,SWB!C142:BE525,43,FALSE),0)</f>
        <v>5.4545347214949986</v>
      </c>
      <c r="AP144" s="257">
        <v>9.3508790000000008</v>
      </c>
      <c r="AQ144" s="257">
        <f>IFERROR(VLOOKUP($B144,SWB!C142:BE525,44,FALSE),0)</f>
        <v>277.85511895560279</v>
      </c>
      <c r="AR144" s="116">
        <f t="shared" si="7"/>
        <v>155</v>
      </c>
      <c r="AS144" s="116">
        <v>148.97</v>
      </c>
      <c r="AT144" s="116" t="s">
        <v>131</v>
      </c>
      <c r="AU144" s="116" t="s">
        <v>131</v>
      </c>
      <c r="AV144" s="116" t="s">
        <v>131</v>
      </c>
      <c r="AW144" s="116" t="s">
        <v>131</v>
      </c>
      <c r="AX144" s="116" t="s">
        <v>131</v>
      </c>
      <c r="AY144" s="116" t="s">
        <v>131</v>
      </c>
      <c r="AZ144" s="116"/>
      <c r="BA144" s="116" t="s">
        <v>132</v>
      </c>
      <c r="BB144" s="116"/>
    </row>
    <row r="145" spans="1:54">
      <c r="A145" s="101" t="s">
        <v>134</v>
      </c>
      <c r="B145" s="69">
        <f t="shared" si="6"/>
        <v>42144</v>
      </c>
      <c r="C145" s="101" t="s">
        <v>134</v>
      </c>
      <c r="D145" s="116">
        <f>VLOOKUP(B145,SWB!$C$15:$H$244,6,FALSE)</f>
        <v>140</v>
      </c>
      <c r="E145" s="102">
        <f>VLOOKUP($B145,Clima!$W$8:$AI$1506,3,FALSE)</f>
        <v>21.7</v>
      </c>
      <c r="F145" s="102">
        <f>VLOOKUP($B145,Clima!$W$8:$AI$1506,4,FALSE)</f>
        <v>7.3</v>
      </c>
      <c r="G145" s="102">
        <f>VLOOKUP($B145,Clima!$W$8:$AI$1506,2,FALSE)</f>
        <v>13.9</v>
      </c>
      <c r="H145" s="102"/>
      <c r="I145" s="102">
        <f>VLOOKUP($B145,Clima!$W$8:$AI$1506,13,FALSE)</f>
        <v>5.2</v>
      </c>
      <c r="J145" s="102"/>
      <c r="K145" s="102"/>
      <c r="L145" s="102">
        <f>VLOOKUP($B145,Clima!$W$8:$AI$1506,12,FALSE)</f>
        <v>0</v>
      </c>
      <c r="M145" s="102">
        <f t="shared" si="4"/>
        <v>0</v>
      </c>
      <c r="N145" s="257">
        <f>VLOOKUP(B145,SWB!$C$15:$S$244,17,FALSE)</f>
        <v>1.1499999999999999</v>
      </c>
      <c r="O145" s="116"/>
      <c r="P145" s="116">
        <f>SWB!$M$4</f>
        <v>0.15</v>
      </c>
      <c r="Q145" s="257">
        <f>VLOOKUP(B145,SWB!$C$15:$AJ$244,34,FALSE)</f>
        <v>0.6</v>
      </c>
      <c r="R145" s="257">
        <f>VLOOKUP(B145,SWB!$C$15:$V$244,20,FALSE)</f>
        <v>1.1337135646275001</v>
      </c>
      <c r="S145" s="116">
        <v>9.86</v>
      </c>
      <c r="T145" s="116">
        <v>0.89792899999999998</v>
      </c>
      <c r="U145" s="116">
        <v>1</v>
      </c>
      <c r="V145" s="116">
        <v>0.102071</v>
      </c>
      <c r="W145" s="116">
        <v>23.5</v>
      </c>
      <c r="X145" s="257">
        <v>0</v>
      </c>
      <c r="Y145" s="116">
        <v>9.51</v>
      </c>
      <c r="Z145" s="116">
        <v>1</v>
      </c>
      <c r="AA145" s="257">
        <v>7.8867000000000007E-2</v>
      </c>
      <c r="AB145" s="257">
        <v>5.4665470000000003</v>
      </c>
      <c r="AC145" s="257">
        <v>4.8909789999999997</v>
      </c>
      <c r="AD145" s="257">
        <v>1.1788670000000001</v>
      </c>
      <c r="AE145" s="257">
        <v>7.4622279999999996</v>
      </c>
      <c r="AF145" s="116">
        <v>0.5</v>
      </c>
      <c r="AG145" s="116">
        <v>0.55000000000000004</v>
      </c>
      <c r="AH145" s="116">
        <v>75</v>
      </c>
      <c r="AI145" s="116">
        <v>41.25</v>
      </c>
      <c r="AJ145" s="116">
        <f>IFERROR(VLOOKUP($B145,SWB!C143:BE526,37,FALSE),0)</f>
        <v>0</v>
      </c>
      <c r="AK145" s="116">
        <f t="shared" si="5"/>
        <v>0</v>
      </c>
      <c r="AL145" s="116">
        <f>IFERROR(VLOOKUP($B145,SWB!C143:BE526,38,FALSE),0)</f>
        <v>0</v>
      </c>
      <c r="AM145" s="116">
        <f>IFERROR(VLOOKUP($B145,SWB!C143:BE526,38,FALSE),0)</f>
        <v>0</v>
      </c>
      <c r="AN145" s="257">
        <f>IFERROR(VLOOKUP($B145,SWB!C143:BE526,40,FALSE),0)</f>
        <v>1.138155319729091</v>
      </c>
      <c r="AO145" s="257">
        <f>IFERROR(VLOOKUP($B145,SWB!C143:BE526,43,FALSE),0)</f>
        <v>6.2598542585100008</v>
      </c>
      <c r="AP145" s="257">
        <v>6.9531070000000001</v>
      </c>
      <c r="AQ145" s="257">
        <f>IFERROR(VLOOKUP($B145,SWB!C143:BE526,44,FALSE),0)</f>
        <v>284.11497321411281</v>
      </c>
      <c r="AR145" s="116">
        <f t="shared" si="7"/>
        <v>160</v>
      </c>
      <c r="AS145" s="116">
        <v>148.97</v>
      </c>
      <c r="AT145" s="116" t="s">
        <v>131</v>
      </c>
      <c r="AU145" s="116" t="s">
        <v>131</v>
      </c>
      <c r="AV145" s="116" t="s">
        <v>131</v>
      </c>
      <c r="AW145" s="116" t="s">
        <v>131</v>
      </c>
      <c r="AX145" s="116" t="s">
        <v>131</v>
      </c>
      <c r="AY145" s="116" t="s">
        <v>131</v>
      </c>
      <c r="AZ145" s="116"/>
      <c r="BA145" s="116" t="s">
        <v>132</v>
      </c>
      <c r="BB145" s="116"/>
    </row>
    <row r="146" spans="1:54">
      <c r="A146" s="101" t="s">
        <v>134</v>
      </c>
      <c r="B146" s="69">
        <f t="shared" si="6"/>
        <v>42145</v>
      </c>
      <c r="C146" s="101" t="s">
        <v>134</v>
      </c>
      <c r="D146" s="116">
        <f>VLOOKUP(B146,SWB!$C$15:$H$244,6,FALSE)</f>
        <v>141</v>
      </c>
      <c r="E146" s="102">
        <f>VLOOKUP($B146,Clima!$W$8:$AI$1506,3,FALSE)</f>
        <v>21.1</v>
      </c>
      <c r="F146" s="102">
        <f>VLOOKUP($B146,Clima!$W$8:$AI$1506,4,FALSE)</f>
        <v>6</v>
      </c>
      <c r="G146" s="102">
        <f>VLOOKUP($B146,Clima!$W$8:$AI$1506,2,FALSE)</f>
        <v>13.8</v>
      </c>
      <c r="H146" s="102"/>
      <c r="I146" s="102">
        <f>VLOOKUP($B146,Clima!$W$8:$AI$1506,13,FALSE)</f>
        <v>4.9000000000000004</v>
      </c>
      <c r="J146" s="102"/>
      <c r="K146" s="102"/>
      <c r="L146" s="102">
        <f>VLOOKUP($B146,Clima!$W$8:$AI$1506,12,FALSE)</f>
        <v>0</v>
      </c>
      <c r="M146" s="102">
        <f t="shared" ref="M146:M209" si="8">L146</f>
        <v>0</v>
      </c>
      <c r="N146" s="257">
        <f>VLOOKUP(B146,SWB!$C$15:$S$244,17,FALSE)</f>
        <v>1.1499999999999999</v>
      </c>
      <c r="O146" s="116"/>
      <c r="P146" s="116">
        <f>SWB!$M$4</f>
        <v>0.15</v>
      </c>
      <c r="Q146" s="257">
        <f>VLOOKUP(B146,SWB!$C$15:$AJ$244,34,FALSE)</f>
        <v>0.6</v>
      </c>
      <c r="R146" s="257">
        <f>VLOOKUP(B146,SWB!$C$15:$V$244,20,FALSE)</f>
        <v>1.1337934488812502</v>
      </c>
      <c r="S146" s="116">
        <v>9.86</v>
      </c>
      <c r="T146" s="116">
        <v>0.89434800000000003</v>
      </c>
      <c r="U146" s="116">
        <v>1</v>
      </c>
      <c r="V146" s="116">
        <v>0.105652</v>
      </c>
      <c r="W146" s="116">
        <v>23.5</v>
      </c>
      <c r="X146" s="257">
        <v>0</v>
      </c>
      <c r="Y146" s="116">
        <v>9.51</v>
      </c>
      <c r="Z146" s="116">
        <v>1</v>
      </c>
      <c r="AA146" s="257">
        <v>8.1917000000000004E-2</v>
      </c>
      <c r="AB146" s="257">
        <v>4.9690209999999997</v>
      </c>
      <c r="AC146" s="257">
        <v>5.1793110000000002</v>
      </c>
      <c r="AD146" s="257">
        <v>1.1819170000000001</v>
      </c>
      <c r="AE146" s="257">
        <v>7.8952070000000001</v>
      </c>
      <c r="AF146" s="116">
        <v>0.5</v>
      </c>
      <c r="AG146" s="116">
        <v>0.55000000000000004</v>
      </c>
      <c r="AH146" s="116">
        <v>75</v>
      </c>
      <c r="AI146" s="116">
        <v>41.25</v>
      </c>
      <c r="AJ146" s="116">
        <f>IFERROR(VLOOKUP($B146,SWB!C144:BE527,37,FALSE),0)</f>
        <v>0</v>
      </c>
      <c r="AK146" s="116">
        <f t="shared" ref="AK146:AK202" si="9">AJ146</f>
        <v>0</v>
      </c>
      <c r="AL146" s="116">
        <f>IFERROR(VLOOKUP($B146,SWB!C144:BE527,38,FALSE),0)</f>
        <v>0</v>
      </c>
      <c r="AM146" s="116">
        <f>IFERROR(VLOOKUP($B146,SWB!C144:BE527,38,FALSE),0)</f>
        <v>0</v>
      </c>
      <c r="AN146" s="257">
        <f>IFERROR(VLOOKUP($B146,SWB!C144:BE527,40,FALSE),0)</f>
        <v>1.1377686406650944</v>
      </c>
      <c r="AO146" s="257">
        <f>IFERROR(VLOOKUP($B146,SWB!C144:BE527,43,FALSE),0)</f>
        <v>6.0301737955250001</v>
      </c>
      <c r="AP146" s="257">
        <v>4.9883139999999999</v>
      </c>
      <c r="AQ146" s="257">
        <f>IFERROR(VLOOKUP($B146,SWB!C144:BE527,44,FALSE),0)</f>
        <v>290.14514700963781</v>
      </c>
      <c r="AR146" s="116">
        <f t="shared" si="7"/>
        <v>160</v>
      </c>
      <c r="AS146" s="116">
        <v>148.97</v>
      </c>
      <c r="AT146" s="116" t="s">
        <v>131</v>
      </c>
      <c r="AU146" s="116" t="s">
        <v>131</v>
      </c>
      <c r="AV146" s="116" t="s">
        <v>131</v>
      </c>
      <c r="AW146" s="116" t="s">
        <v>131</v>
      </c>
      <c r="AX146" s="116" t="s">
        <v>131</v>
      </c>
      <c r="AY146" s="116" t="s">
        <v>131</v>
      </c>
      <c r="AZ146" s="116"/>
      <c r="BA146" s="116" t="s">
        <v>132</v>
      </c>
      <c r="BB146" s="116"/>
    </row>
    <row r="147" spans="1:54">
      <c r="A147" s="101" t="s">
        <v>134</v>
      </c>
      <c r="B147" s="69">
        <f t="shared" ref="B147:B202" si="10">B146+1</f>
        <v>42146</v>
      </c>
      <c r="C147" s="101" t="s">
        <v>134</v>
      </c>
      <c r="D147" s="116">
        <f>VLOOKUP(B147,SWB!$C$15:$H$244,6,FALSE)</f>
        <v>142</v>
      </c>
      <c r="E147" s="102">
        <f>VLOOKUP($B147,Clima!$W$8:$AI$1506,3,FALSE)</f>
        <v>22.2</v>
      </c>
      <c r="F147" s="102">
        <f>VLOOKUP($B147,Clima!$W$8:$AI$1506,4,FALSE)</f>
        <v>9.1</v>
      </c>
      <c r="G147" s="102">
        <f>VLOOKUP($B147,Clima!$W$8:$AI$1506,2,FALSE)</f>
        <v>14.9</v>
      </c>
      <c r="H147" s="102"/>
      <c r="I147" s="102">
        <f>VLOOKUP($B147,Clima!$W$8:$AI$1506,13,FALSE)</f>
        <v>5</v>
      </c>
      <c r="J147" s="102"/>
      <c r="K147" s="102"/>
      <c r="L147" s="102">
        <f>VLOOKUP($B147,Clima!$W$8:$AI$1506,12,FALSE)</f>
        <v>0</v>
      </c>
      <c r="M147" s="102">
        <f t="shared" si="8"/>
        <v>0</v>
      </c>
      <c r="N147" s="257">
        <f>VLOOKUP(B147,SWB!$C$15:$S$244,17,FALSE)</f>
        <v>1.1499999999999999</v>
      </c>
      <c r="O147" s="116"/>
      <c r="P147" s="116">
        <f>SWB!$M$4</f>
        <v>0.15</v>
      </c>
      <c r="Q147" s="257">
        <f>VLOOKUP(B147,SWB!$C$15:$AJ$244,34,FALSE)</f>
        <v>0.6</v>
      </c>
      <c r="R147" s="257">
        <f>VLOOKUP(B147,SWB!$C$15:$V$244,20,FALSE)</f>
        <v>1.1338733331349999</v>
      </c>
      <c r="S147" s="116">
        <v>0</v>
      </c>
      <c r="T147" s="116">
        <v>0.93309699999999995</v>
      </c>
      <c r="U147" s="116">
        <v>1</v>
      </c>
      <c r="V147" s="116">
        <v>6.6903000000000004E-2</v>
      </c>
      <c r="W147" s="116">
        <v>23.5</v>
      </c>
      <c r="X147" s="257">
        <v>0</v>
      </c>
      <c r="Y147" s="116">
        <v>9.51</v>
      </c>
      <c r="Z147" s="116">
        <v>1</v>
      </c>
      <c r="AA147" s="257">
        <v>0.05</v>
      </c>
      <c r="AB147" s="257">
        <v>5.8206889999999998</v>
      </c>
      <c r="AC147" s="257">
        <v>3.243509</v>
      </c>
      <c r="AD147" s="257">
        <v>1.1499999999999999</v>
      </c>
      <c r="AE147" s="257">
        <v>4.9909999999999997</v>
      </c>
      <c r="AF147" s="116">
        <v>0.5</v>
      </c>
      <c r="AG147" s="116">
        <v>0.55000000000000004</v>
      </c>
      <c r="AH147" s="116">
        <v>75</v>
      </c>
      <c r="AI147" s="116">
        <v>41.25</v>
      </c>
      <c r="AJ147" s="116">
        <f>IFERROR(VLOOKUP($B147,SWB!C145:BE528,37,FALSE),0)</f>
        <v>0</v>
      </c>
      <c r="AK147" s="116">
        <f t="shared" si="9"/>
        <v>0</v>
      </c>
      <c r="AL147" s="116">
        <f>IFERROR(VLOOKUP($B147,SWB!C145:BE528,38,FALSE),0)</f>
        <v>0</v>
      </c>
      <c r="AM147" s="116">
        <f>IFERROR(VLOOKUP($B147,SWB!C145:BE528,38,FALSE),0)</f>
        <v>0</v>
      </c>
      <c r="AN147" s="257">
        <f>IFERROR(VLOOKUP($B147,SWB!C145:BE528,40,FALSE),0)</f>
        <v>1.1388781607827585</v>
      </c>
      <c r="AO147" s="257">
        <f>IFERROR(VLOOKUP($B147,SWB!C145:BE528,43,FALSE),0)</f>
        <v>6.6054933325399992</v>
      </c>
      <c r="AP147" s="257">
        <v>0</v>
      </c>
      <c r="AQ147" s="257">
        <f>IFERROR(VLOOKUP($B147,SWB!C145:BE528,44,FALSE),0)</f>
        <v>296.7506403421778</v>
      </c>
      <c r="AR147" s="116">
        <f t="shared" ref="AR147:AR210" si="11">AK146+AR146</f>
        <v>160</v>
      </c>
      <c r="AS147" s="116">
        <v>159.97</v>
      </c>
      <c r="AT147" s="116" t="s">
        <v>131</v>
      </c>
      <c r="AU147" s="116" t="s">
        <v>131</v>
      </c>
      <c r="AV147" s="116" t="s">
        <v>131</v>
      </c>
      <c r="AW147" s="116" t="s">
        <v>131</v>
      </c>
      <c r="AX147" s="116" t="s">
        <v>131</v>
      </c>
      <c r="AY147" s="116" t="s">
        <v>131</v>
      </c>
      <c r="AZ147" s="116"/>
      <c r="BA147" s="116" t="s">
        <v>132</v>
      </c>
      <c r="BB147" s="116"/>
    </row>
    <row r="148" spans="1:54">
      <c r="A148" s="101" t="s">
        <v>134</v>
      </c>
      <c r="B148" s="69">
        <f t="shared" si="10"/>
        <v>42147</v>
      </c>
      <c r="C148" s="101" t="s">
        <v>134</v>
      </c>
      <c r="D148" s="116">
        <f>VLOOKUP(B148,SWB!$C$15:$H$244,6,FALSE)</f>
        <v>143</v>
      </c>
      <c r="E148" s="102">
        <f>VLOOKUP($B148,Clima!$W$8:$AI$1506,3,FALSE)</f>
        <v>22.9</v>
      </c>
      <c r="F148" s="102">
        <f>VLOOKUP($B148,Clima!$W$8:$AI$1506,4,FALSE)</f>
        <v>7.4</v>
      </c>
      <c r="G148" s="102">
        <f>VLOOKUP($B148,Clima!$W$8:$AI$1506,2,FALSE)</f>
        <v>15.4</v>
      </c>
      <c r="H148" s="102"/>
      <c r="I148" s="102">
        <f>VLOOKUP($B148,Clima!$W$8:$AI$1506,13,FALSE)</f>
        <v>5.2</v>
      </c>
      <c r="J148" s="102"/>
      <c r="K148" s="102"/>
      <c r="L148" s="102">
        <f>VLOOKUP($B148,Clima!$W$8:$AI$1506,12,FALSE)</f>
        <v>0</v>
      </c>
      <c r="M148" s="102">
        <f t="shared" si="8"/>
        <v>0</v>
      </c>
      <c r="N148" s="257">
        <f>VLOOKUP(B148,SWB!$C$15:$S$244,17,FALSE)</f>
        <v>1.1499999999999999</v>
      </c>
      <c r="O148" s="116"/>
      <c r="P148" s="116">
        <f>SWB!$M$4</f>
        <v>0.15</v>
      </c>
      <c r="Q148" s="257">
        <f>VLOOKUP(B148,SWB!$C$15:$AJ$244,34,FALSE)</f>
        <v>0.6</v>
      </c>
      <c r="R148" s="257">
        <f>VLOOKUP(B148,SWB!$C$15:$V$244,20,FALSE)</f>
        <v>1.1338733331349999</v>
      </c>
      <c r="S148" s="116">
        <v>0</v>
      </c>
      <c r="T148" s="116">
        <v>0.92451399999999995</v>
      </c>
      <c r="U148" s="116">
        <v>1</v>
      </c>
      <c r="V148" s="116">
        <v>7.5485999999999998E-2</v>
      </c>
      <c r="W148" s="116">
        <v>23.5</v>
      </c>
      <c r="X148" s="257">
        <v>0</v>
      </c>
      <c r="Y148" s="116">
        <v>9.51</v>
      </c>
      <c r="Z148" s="116">
        <v>1</v>
      </c>
      <c r="AA148" s="257">
        <v>5.6869000000000003E-2</v>
      </c>
      <c r="AB148" s="257">
        <v>10.756491</v>
      </c>
      <c r="AC148" s="257">
        <v>3.940118</v>
      </c>
      <c r="AD148" s="257">
        <v>1.1568689999999999</v>
      </c>
      <c r="AE148" s="257">
        <v>6.0504249999999997</v>
      </c>
      <c r="AF148" s="116">
        <v>0.5</v>
      </c>
      <c r="AG148" s="116">
        <v>0.55000000000000004</v>
      </c>
      <c r="AH148" s="116">
        <v>75</v>
      </c>
      <c r="AI148" s="116">
        <v>41.25</v>
      </c>
      <c r="AJ148" s="116">
        <f>IFERROR(VLOOKUP($B148,SWB!C146:BE529,37,FALSE),0)</f>
        <v>0</v>
      </c>
      <c r="AK148" s="116">
        <f t="shared" si="9"/>
        <v>0</v>
      </c>
      <c r="AL148" s="116">
        <f>IFERROR(VLOOKUP($B148,SWB!C146:BE529,38,FALSE),0)</f>
        <v>0</v>
      </c>
      <c r="AM148" s="116">
        <f>IFERROR(VLOOKUP($B148,SWB!C146:BE529,38,FALSE),0)</f>
        <v>0</v>
      </c>
      <c r="AN148" s="257">
        <f>IFERROR(VLOOKUP($B148,SWB!C146:BE529,40,FALSE),0)</f>
        <v>1.1375948716423077</v>
      </c>
      <c r="AO148" s="257">
        <f>IFERROR(VLOOKUP($B148,SWB!C146:BE529,43,FALSE),0)</f>
        <v>5.9154933325399996</v>
      </c>
      <c r="AP148" s="257">
        <v>0</v>
      </c>
      <c r="AQ148" s="257">
        <f>IFERROR(VLOOKUP($B148,SWB!C146:BE529,44,FALSE),0)</f>
        <v>302.6661336747178</v>
      </c>
      <c r="AR148" s="116">
        <f t="shared" si="11"/>
        <v>160</v>
      </c>
      <c r="AS148" s="116">
        <v>173.97</v>
      </c>
      <c r="AT148" s="116" t="s">
        <v>131</v>
      </c>
      <c r="AU148" s="116" t="s">
        <v>131</v>
      </c>
      <c r="AV148" s="116" t="s">
        <v>131</v>
      </c>
      <c r="AW148" s="116" t="s">
        <v>131</v>
      </c>
      <c r="AX148" s="116" t="s">
        <v>131</v>
      </c>
      <c r="AY148" s="116" t="s">
        <v>131</v>
      </c>
      <c r="AZ148" s="116"/>
      <c r="BA148" s="116" t="s">
        <v>132</v>
      </c>
      <c r="BB148" s="116"/>
    </row>
    <row r="149" spans="1:54">
      <c r="A149" s="101" t="s">
        <v>134</v>
      </c>
      <c r="B149" s="69">
        <f t="shared" si="10"/>
        <v>42148</v>
      </c>
      <c r="C149" s="101" t="s">
        <v>134</v>
      </c>
      <c r="D149" s="116">
        <f>VLOOKUP(B149,SWB!$C$15:$H$244,6,FALSE)</f>
        <v>144</v>
      </c>
      <c r="E149" s="102">
        <f>VLOOKUP($B149,Clima!$W$8:$AI$1506,3,FALSE)</f>
        <v>22.3</v>
      </c>
      <c r="F149" s="102">
        <f>VLOOKUP($B149,Clima!$W$8:$AI$1506,4,FALSE)</f>
        <v>8.1</v>
      </c>
      <c r="G149" s="102">
        <f>VLOOKUP($B149,Clima!$W$8:$AI$1506,2,FALSE)</f>
        <v>15.4</v>
      </c>
      <c r="H149" s="102"/>
      <c r="I149" s="102">
        <f>VLOOKUP($B149,Clima!$W$8:$AI$1506,13,FALSE)</f>
        <v>4.9000000000000004</v>
      </c>
      <c r="J149" s="102"/>
      <c r="K149" s="102"/>
      <c r="L149" s="102">
        <f>VLOOKUP($B149,Clima!$W$8:$AI$1506,12,FALSE)</f>
        <v>0</v>
      </c>
      <c r="M149" s="102">
        <f t="shared" si="8"/>
        <v>0</v>
      </c>
      <c r="N149" s="257">
        <f>VLOOKUP(B149,SWB!$C$15:$S$244,17,FALSE)</f>
        <v>1.1499999999999999</v>
      </c>
      <c r="O149" s="116"/>
      <c r="P149" s="116">
        <f>SWB!$M$4</f>
        <v>0.15</v>
      </c>
      <c r="Q149" s="257">
        <f>VLOOKUP(B149,SWB!$C$15:$AJ$244,34,FALSE)</f>
        <v>0.6</v>
      </c>
      <c r="R149" s="257">
        <f>VLOOKUP(B149,SWB!$C$15:$V$244,20,FALSE)</f>
        <v>1.1338733331349999</v>
      </c>
      <c r="S149" s="116">
        <v>0</v>
      </c>
      <c r="T149" s="116">
        <v>0.93309699999999995</v>
      </c>
      <c r="U149" s="116">
        <v>1</v>
      </c>
      <c r="V149" s="116">
        <v>6.6903000000000004E-2</v>
      </c>
      <c r="W149" s="116">
        <v>23.5</v>
      </c>
      <c r="X149" s="257">
        <v>3.940118</v>
      </c>
      <c r="Y149" s="116">
        <v>9.51</v>
      </c>
      <c r="Z149" s="116">
        <v>1</v>
      </c>
      <c r="AA149" s="257">
        <v>0.05</v>
      </c>
      <c r="AB149" s="116">
        <v>0</v>
      </c>
      <c r="AC149" s="257">
        <v>7.6245649999999996</v>
      </c>
      <c r="AD149" s="257">
        <v>1.1499999999999999</v>
      </c>
      <c r="AE149" s="257">
        <v>5.6695000000000002</v>
      </c>
      <c r="AF149" s="116">
        <v>0.5</v>
      </c>
      <c r="AG149" s="116">
        <v>0.55000000000000004</v>
      </c>
      <c r="AH149" s="116">
        <v>75</v>
      </c>
      <c r="AI149" s="116">
        <v>41.25</v>
      </c>
      <c r="AJ149" s="116">
        <f>IFERROR(VLOOKUP($B149,SWB!C147:BE530,37,FALSE),0)</f>
        <v>5</v>
      </c>
      <c r="AK149" s="116">
        <f t="shared" si="9"/>
        <v>5</v>
      </c>
      <c r="AL149" s="116">
        <f>IFERROR(VLOOKUP($B149,SWB!C147:BE530,38,FALSE),0)</f>
        <v>0</v>
      </c>
      <c r="AM149" s="116">
        <f>IFERROR(VLOOKUP($B149,SWB!C147:BE530,38,FALSE),0)</f>
        <v>0</v>
      </c>
      <c r="AN149" s="257">
        <f>IFERROR(VLOOKUP($B149,SWB!C147:BE530,40,FALSE),0)</f>
        <v>0.90005120786706838</v>
      </c>
      <c r="AO149" s="257">
        <f>IFERROR(VLOOKUP($B149,SWB!C147:BE530,43,FALSE),0)</f>
        <v>4.5002560393353424</v>
      </c>
      <c r="AP149" s="257">
        <v>5.6695000000000002</v>
      </c>
      <c r="AQ149" s="257">
        <f>IFERROR(VLOOKUP($B149,SWB!C147:BE530,44,FALSE),0)</f>
        <v>307.16638971405314</v>
      </c>
      <c r="AR149" s="116">
        <f t="shared" si="11"/>
        <v>160</v>
      </c>
      <c r="AS149" s="116">
        <v>173.97</v>
      </c>
      <c r="AT149" s="116" t="s">
        <v>131</v>
      </c>
      <c r="AU149" s="116" t="s">
        <v>131</v>
      </c>
      <c r="AV149" s="116" t="s">
        <v>131</v>
      </c>
      <c r="AW149" s="116" t="s">
        <v>131</v>
      </c>
      <c r="AX149" s="116" t="s">
        <v>131</v>
      </c>
      <c r="AY149" s="116" t="s">
        <v>131</v>
      </c>
      <c r="AZ149" s="116"/>
      <c r="BA149" s="116" t="s">
        <v>132</v>
      </c>
      <c r="BB149" s="116"/>
    </row>
    <row r="150" spans="1:54">
      <c r="A150" s="101" t="s">
        <v>134</v>
      </c>
      <c r="B150" s="69">
        <f t="shared" si="10"/>
        <v>42149</v>
      </c>
      <c r="C150" s="101" t="s">
        <v>134</v>
      </c>
      <c r="D150" s="116">
        <f>VLOOKUP(B150,SWB!$C$15:$H$244,6,FALSE)</f>
        <v>145</v>
      </c>
      <c r="E150" s="102">
        <f>VLOOKUP($B150,Clima!$W$8:$AI$1506,3,FALSE)</f>
        <v>22.9</v>
      </c>
      <c r="F150" s="102">
        <f>VLOOKUP($B150,Clima!$W$8:$AI$1506,4,FALSE)</f>
        <v>7</v>
      </c>
      <c r="G150" s="102">
        <f>VLOOKUP($B150,Clima!$W$8:$AI$1506,2,FALSE)</f>
        <v>16.399999999999999</v>
      </c>
      <c r="H150" s="102"/>
      <c r="I150" s="102">
        <f>VLOOKUP($B150,Clima!$W$8:$AI$1506,13,FALSE)</f>
        <v>4.4000000000000004</v>
      </c>
      <c r="J150" s="102"/>
      <c r="K150" s="102"/>
      <c r="L150" s="102">
        <f>VLOOKUP($B150,Clima!$W$8:$AI$1506,12,FALSE)</f>
        <v>0</v>
      </c>
      <c r="M150" s="102">
        <f t="shared" si="8"/>
        <v>0</v>
      </c>
      <c r="N150" s="257">
        <f>VLOOKUP(B150,SWB!$C$15:$S$244,17,FALSE)</f>
        <v>1.1499999999999999</v>
      </c>
      <c r="O150" s="116"/>
      <c r="P150" s="116">
        <f>SWB!$M$4</f>
        <v>0.15</v>
      </c>
      <c r="Q150" s="257">
        <f>VLOOKUP(B150,SWB!$C$15:$AJ$244,34,FALSE)</f>
        <v>0.6</v>
      </c>
      <c r="R150" s="257">
        <f>VLOOKUP(B150,SWB!$C$15:$V$244,20,FALSE)</f>
        <v>1.1338733331349999</v>
      </c>
      <c r="S150" s="116">
        <v>0</v>
      </c>
      <c r="T150" s="116">
        <v>0.88202800000000003</v>
      </c>
      <c r="U150" s="116">
        <v>1</v>
      </c>
      <c r="V150" s="116">
        <v>0.11797199999999999</v>
      </c>
      <c r="W150" s="116">
        <v>23.5</v>
      </c>
      <c r="X150" s="257">
        <v>7.6245649999999996</v>
      </c>
      <c r="Y150" s="116">
        <v>9.51</v>
      </c>
      <c r="Z150" s="116">
        <v>1</v>
      </c>
      <c r="AA150" s="257">
        <v>9.2574000000000004E-2</v>
      </c>
      <c r="AB150" s="116">
        <v>0</v>
      </c>
      <c r="AC150" s="257">
        <v>11.571679</v>
      </c>
      <c r="AD150" s="257">
        <v>1.192574</v>
      </c>
      <c r="AE150" s="257">
        <v>5.9986480000000002</v>
      </c>
      <c r="AF150" s="116">
        <v>0.5</v>
      </c>
      <c r="AG150" s="116">
        <v>0.55000000000000004</v>
      </c>
      <c r="AH150" s="116">
        <v>75</v>
      </c>
      <c r="AI150" s="116">
        <v>41.25</v>
      </c>
      <c r="AJ150" s="116">
        <f>IFERROR(VLOOKUP($B150,SWB!C148:BE531,37,FALSE),0)</f>
        <v>5</v>
      </c>
      <c r="AK150" s="116">
        <f t="shared" si="9"/>
        <v>5</v>
      </c>
      <c r="AL150" s="116">
        <f>IFERROR(VLOOKUP($B150,SWB!C148:BE531,38,FALSE),0)</f>
        <v>0</v>
      </c>
      <c r="AM150" s="116">
        <f>IFERROR(VLOOKUP($B150,SWB!C148:BE531,38,FALSE),0)</f>
        <v>0</v>
      </c>
      <c r="AN150" s="257">
        <f>IFERROR(VLOOKUP($B150,SWB!C148:BE531,40,FALSE),0)</f>
        <v>0.87270756764195523</v>
      </c>
      <c r="AO150" s="257">
        <f>IFERROR(VLOOKUP($B150,SWB!C148:BE531,43,FALSE),0)</f>
        <v>5.1489746490875365</v>
      </c>
      <c r="AP150" s="257">
        <v>11.668148</v>
      </c>
      <c r="AQ150" s="257">
        <f>IFERROR(VLOOKUP($B150,SWB!C148:BE531,44,FALSE),0)</f>
        <v>312.3153643631407</v>
      </c>
      <c r="AR150" s="116">
        <f t="shared" si="11"/>
        <v>165</v>
      </c>
      <c r="AS150" s="116">
        <v>173.97</v>
      </c>
      <c r="AT150" s="116" t="s">
        <v>131</v>
      </c>
      <c r="AU150" s="116" t="s">
        <v>131</v>
      </c>
      <c r="AV150" s="116" t="s">
        <v>131</v>
      </c>
      <c r="AW150" s="116" t="s">
        <v>131</v>
      </c>
      <c r="AX150" s="116" t="s">
        <v>131</v>
      </c>
      <c r="AY150" s="116" t="s">
        <v>131</v>
      </c>
      <c r="AZ150" s="116"/>
      <c r="BA150" s="116" t="s">
        <v>132</v>
      </c>
      <c r="BB150" s="116"/>
    </row>
    <row r="151" spans="1:54">
      <c r="A151" s="101" t="s">
        <v>134</v>
      </c>
      <c r="B151" s="69">
        <f t="shared" si="10"/>
        <v>42150</v>
      </c>
      <c r="C151" s="101" t="s">
        <v>134</v>
      </c>
      <c r="D151" s="116">
        <f>VLOOKUP(B151,SWB!$C$15:$H$244,6,FALSE)</f>
        <v>146</v>
      </c>
      <c r="E151" s="102">
        <f>VLOOKUP($B151,Clima!$W$8:$AI$1506,3,FALSE)</f>
        <v>27.4</v>
      </c>
      <c r="F151" s="102">
        <f>VLOOKUP($B151,Clima!$W$8:$AI$1506,4,FALSE)</f>
        <v>8.3000000000000007</v>
      </c>
      <c r="G151" s="102">
        <f>VLOOKUP($B151,Clima!$W$8:$AI$1506,2,FALSE)</f>
        <v>17.899999999999999</v>
      </c>
      <c r="H151" s="102"/>
      <c r="I151" s="102">
        <f>VLOOKUP($B151,Clima!$W$8:$AI$1506,13,FALSE)</f>
        <v>5.9</v>
      </c>
      <c r="J151" s="102"/>
      <c r="K151" s="102"/>
      <c r="L151" s="102">
        <f>VLOOKUP($B151,Clima!$W$8:$AI$1506,12,FALSE)</f>
        <v>0</v>
      </c>
      <c r="M151" s="102">
        <f t="shared" si="8"/>
        <v>0</v>
      </c>
      <c r="N151" s="257">
        <f>VLOOKUP(B151,SWB!$C$15:$S$244,17,FALSE)</f>
        <v>1.1499999999999999</v>
      </c>
      <c r="O151" s="116"/>
      <c r="P151" s="116">
        <f>SWB!$M$4</f>
        <v>0.15</v>
      </c>
      <c r="Q151" s="257">
        <f>VLOOKUP(B151,SWB!$C$15:$AJ$244,34,FALSE)</f>
        <v>0.6</v>
      </c>
      <c r="R151" s="257">
        <f>VLOOKUP(B151,SWB!$C$15:$V$244,20,FALSE)</f>
        <v>1.1338733331349999</v>
      </c>
      <c r="S151" s="116">
        <v>9.86</v>
      </c>
      <c r="T151" s="116">
        <v>0.93309699999999995</v>
      </c>
      <c r="U151" s="116">
        <v>1</v>
      </c>
      <c r="V151" s="116">
        <v>6.6903000000000004E-2</v>
      </c>
      <c r="W151" s="116">
        <v>23.5</v>
      </c>
      <c r="X151" s="257">
        <v>1.711679</v>
      </c>
      <c r="Y151" s="116">
        <v>9.51</v>
      </c>
      <c r="Z151" s="116">
        <v>1</v>
      </c>
      <c r="AA151" s="257">
        <v>0.05</v>
      </c>
      <c r="AB151" s="116">
        <v>0</v>
      </c>
      <c r="AC151" s="257">
        <v>5.5605440000000002</v>
      </c>
      <c r="AD151" s="257">
        <v>1.1499999999999999</v>
      </c>
      <c r="AE151" s="257">
        <v>5.9225000000000003</v>
      </c>
      <c r="AF151" s="116">
        <v>0.5</v>
      </c>
      <c r="AG151" s="116">
        <v>0.55000000000000004</v>
      </c>
      <c r="AH151" s="116">
        <v>75</v>
      </c>
      <c r="AI151" s="116">
        <v>41.25</v>
      </c>
      <c r="AJ151" s="116">
        <f>IFERROR(VLOOKUP($B151,SWB!C149:BE532,37,FALSE),0)</f>
        <v>5</v>
      </c>
      <c r="AK151" s="116">
        <f t="shared" si="9"/>
        <v>5</v>
      </c>
      <c r="AL151" s="116">
        <f>IFERROR(VLOOKUP($B151,SWB!C149:BE532,38,FALSE),0)</f>
        <v>0</v>
      </c>
      <c r="AM151" s="116">
        <f>IFERROR(VLOOKUP($B151,SWB!C149:BE532,38,FALSE),0)</f>
        <v>0</v>
      </c>
      <c r="AN151" s="257">
        <f>IFERROR(VLOOKUP($B151,SWB!C149:BE532,40,FALSE),0)</f>
        <v>0.88894475676223106</v>
      </c>
      <c r="AO151" s="257">
        <f>IFERROR(VLOOKUP($B151,SWB!C149:BE532,43,FALSE),0)</f>
        <v>4.8891961621922704</v>
      </c>
      <c r="AP151" s="257">
        <v>7.7306480000000004</v>
      </c>
      <c r="AQ151" s="257">
        <f>IFERROR(VLOOKUP($B151,SWB!C149:BE532,44,FALSE),0)</f>
        <v>317.20456052533297</v>
      </c>
      <c r="AR151" s="116">
        <f t="shared" si="11"/>
        <v>170</v>
      </c>
      <c r="AS151" s="116">
        <v>173.97</v>
      </c>
      <c r="AT151" s="116" t="s">
        <v>131</v>
      </c>
      <c r="AU151" s="116" t="s">
        <v>131</v>
      </c>
      <c r="AV151" s="116" t="s">
        <v>131</v>
      </c>
      <c r="AW151" s="116" t="s">
        <v>131</v>
      </c>
      <c r="AX151" s="116" t="s">
        <v>131</v>
      </c>
      <c r="AY151" s="116" t="s">
        <v>131</v>
      </c>
      <c r="AZ151" s="116"/>
      <c r="BA151" s="116" t="s">
        <v>132</v>
      </c>
      <c r="BB151" s="116"/>
    </row>
    <row r="152" spans="1:54">
      <c r="A152" s="101" t="s">
        <v>134</v>
      </c>
      <c r="B152" s="69">
        <f t="shared" si="10"/>
        <v>42151</v>
      </c>
      <c r="C152" s="101" t="s">
        <v>134</v>
      </c>
      <c r="D152" s="116">
        <f>VLOOKUP(B152,SWB!$C$15:$H$244,6,FALSE)</f>
        <v>147</v>
      </c>
      <c r="E152" s="102">
        <f>VLOOKUP($B152,Clima!$W$8:$AI$1506,3,FALSE)</f>
        <v>26.8</v>
      </c>
      <c r="F152" s="102">
        <f>VLOOKUP($B152,Clima!$W$8:$AI$1506,4,FALSE)</f>
        <v>9.4</v>
      </c>
      <c r="G152" s="102">
        <f>VLOOKUP($B152,Clima!$W$8:$AI$1506,2,FALSE)</f>
        <v>18.399999999999999</v>
      </c>
      <c r="H152" s="102"/>
      <c r="I152" s="102">
        <f>VLOOKUP($B152,Clima!$W$8:$AI$1506,13,FALSE)</f>
        <v>5.9</v>
      </c>
      <c r="J152" s="102"/>
      <c r="K152" s="102"/>
      <c r="L152" s="102">
        <f>VLOOKUP($B152,Clima!$W$8:$AI$1506,12,FALSE)</f>
        <v>0</v>
      </c>
      <c r="M152" s="102">
        <f t="shared" si="8"/>
        <v>0</v>
      </c>
      <c r="N152" s="257">
        <f>VLOOKUP(B152,SWB!$C$15:$S$244,17,FALSE)</f>
        <v>1.1465444434000003</v>
      </c>
      <c r="O152" s="116"/>
      <c r="P152" s="116">
        <f>SWB!$M$4</f>
        <v>0.15</v>
      </c>
      <c r="Q152" s="257">
        <f>VLOOKUP(B152,SWB!$C$15:$AJ$244,34,FALSE)</f>
        <v>0.6</v>
      </c>
      <c r="R152" s="257">
        <f>VLOOKUP(B152,SWB!$C$15:$V$244,20,FALSE)</f>
        <v>1.1338733331349999</v>
      </c>
      <c r="S152" s="116">
        <v>9.86</v>
      </c>
      <c r="T152" s="116">
        <v>0.93200000000000005</v>
      </c>
      <c r="U152" s="116">
        <v>1</v>
      </c>
      <c r="V152" s="116">
        <v>6.8000000000000005E-2</v>
      </c>
      <c r="W152" s="116">
        <v>23.5</v>
      </c>
      <c r="X152" s="257">
        <v>0</v>
      </c>
      <c r="Y152" s="116">
        <v>9.51</v>
      </c>
      <c r="Z152" s="116">
        <v>1</v>
      </c>
      <c r="AA152" s="257">
        <v>5.0872000000000001E-2</v>
      </c>
      <c r="AB152" s="257">
        <v>4.2994560000000002</v>
      </c>
      <c r="AC152" s="257">
        <v>3.6582859999999999</v>
      </c>
      <c r="AD152" s="257">
        <v>1.1508719999999999</v>
      </c>
      <c r="AE152" s="257">
        <v>5.627764</v>
      </c>
      <c r="AF152" s="116">
        <v>0.5</v>
      </c>
      <c r="AG152" s="116">
        <v>0.55000000000000004</v>
      </c>
      <c r="AH152" s="116">
        <v>75</v>
      </c>
      <c r="AI152" s="116">
        <v>41.25</v>
      </c>
      <c r="AJ152" s="116">
        <f>IFERROR(VLOOKUP($B152,SWB!C150:BE533,37,FALSE),0)</f>
        <v>5</v>
      </c>
      <c r="AK152" s="116">
        <f t="shared" si="9"/>
        <v>5</v>
      </c>
      <c r="AL152" s="116">
        <f>IFERROR(VLOOKUP($B152,SWB!C150:BE533,38,FALSE),0)</f>
        <v>0</v>
      </c>
      <c r="AM152" s="116">
        <f>IFERROR(VLOOKUP($B152,SWB!C150:BE533,38,FALSE),0)</f>
        <v>0</v>
      </c>
      <c r="AN152" s="257">
        <f>IFERROR(VLOOKUP($B152,SWB!C150:BE533,40,FALSE),0)</f>
        <v>0.89508410999292953</v>
      </c>
      <c r="AO152" s="257">
        <f>IFERROR(VLOOKUP($B152,SWB!C150:BE533,43,FALSE),0)</f>
        <v>4.9229626049611124</v>
      </c>
      <c r="AP152" s="257">
        <v>3.4984120000000001</v>
      </c>
      <c r="AQ152" s="257">
        <f>IFERROR(VLOOKUP($B152,SWB!C150:BE533,44,FALSE),0)</f>
        <v>322.12752313029409</v>
      </c>
      <c r="AR152" s="116">
        <f t="shared" si="11"/>
        <v>175</v>
      </c>
      <c r="AS152" s="116">
        <v>173.97</v>
      </c>
      <c r="AT152" s="116" t="s">
        <v>131</v>
      </c>
      <c r="AU152" s="116" t="s">
        <v>131</v>
      </c>
      <c r="AV152" s="116" t="s">
        <v>131</v>
      </c>
      <c r="AW152" s="116" t="s">
        <v>131</v>
      </c>
      <c r="AX152" s="116" t="s">
        <v>131</v>
      </c>
      <c r="AY152" s="116" t="s">
        <v>131</v>
      </c>
      <c r="AZ152" s="116"/>
      <c r="BA152" s="116" t="s">
        <v>132</v>
      </c>
      <c r="BB152" s="116"/>
    </row>
    <row r="153" spans="1:54">
      <c r="A153" s="101" t="s">
        <v>134</v>
      </c>
      <c r="B153" s="69">
        <f t="shared" si="10"/>
        <v>42152</v>
      </c>
      <c r="C153" s="101" t="s">
        <v>134</v>
      </c>
      <c r="D153" s="116">
        <f>VLOOKUP(B153,SWB!$C$15:$H$244,6,FALSE)</f>
        <v>148</v>
      </c>
      <c r="E153" s="102">
        <f>VLOOKUP($B153,Clima!$W$8:$AI$1506,3,FALSE)</f>
        <v>27</v>
      </c>
      <c r="F153" s="102">
        <f>VLOOKUP($B153,Clima!$W$8:$AI$1506,4,FALSE)</f>
        <v>10.4</v>
      </c>
      <c r="G153" s="102">
        <f>VLOOKUP($B153,Clima!$W$8:$AI$1506,2,FALSE)</f>
        <v>18.8</v>
      </c>
      <c r="H153" s="102"/>
      <c r="I153" s="102">
        <f>VLOOKUP($B153,Clima!$W$8:$AI$1506,13,FALSE)</f>
        <v>6.3</v>
      </c>
      <c r="J153" s="102"/>
      <c r="K153" s="102"/>
      <c r="L153" s="102">
        <f>VLOOKUP($B153,Clima!$W$8:$AI$1506,12,FALSE)</f>
        <v>0</v>
      </c>
      <c r="M153" s="102">
        <f t="shared" si="8"/>
        <v>0</v>
      </c>
      <c r="N153" s="257">
        <f>VLOOKUP(B153,SWB!$C$15:$S$244,17,FALSE)</f>
        <v>1.1411333324000001</v>
      </c>
      <c r="O153" s="116"/>
      <c r="P153" s="116">
        <f>SWB!$M$4</f>
        <v>0.15</v>
      </c>
      <c r="Q153" s="257">
        <f>VLOOKUP(B153,SWB!$C$15:$AJ$244,34,FALSE)</f>
        <v>0.6</v>
      </c>
      <c r="R153" s="257">
        <f>VLOOKUP(B153,SWB!$C$15:$V$244,20,FALSE)</f>
        <v>1.1338733331349999</v>
      </c>
      <c r="S153" s="116">
        <v>4.43</v>
      </c>
      <c r="T153" s="116">
        <v>0.93309699999999995</v>
      </c>
      <c r="U153" s="116">
        <v>1</v>
      </c>
      <c r="V153" s="116">
        <v>6.6903000000000004E-2</v>
      </c>
      <c r="W153" s="116">
        <v>23.5</v>
      </c>
      <c r="X153" s="257">
        <v>0</v>
      </c>
      <c r="Y153" s="116">
        <v>9.51</v>
      </c>
      <c r="Z153" s="116">
        <v>1</v>
      </c>
      <c r="AA153" s="257">
        <v>0.05</v>
      </c>
      <c r="AB153" s="257">
        <v>0.77171400000000001</v>
      </c>
      <c r="AC153" s="257">
        <v>3.2584569999999999</v>
      </c>
      <c r="AD153" s="257">
        <v>1.1499999999999999</v>
      </c>
      <c r="AE153" s="257">
        <v>5.0140000000000002</v>
      </c>
      <c r="AF153" s="116">
        <v>0.5</v>
      </c>
      <c r="AG153" s="116">
        <v>0.55000000000000004</v>
      </c>
      <c r="AH153" s="116">
        <v>75</v>
      </c>
      <c r="AI153" s="116">
        <v>41.25</v>
      </c>
      <c r="AJ153" s="116">
        <f>IFERROR(VLOOKUP($B153,SWB!C151:BE534,37,FALSE),0)</f>
        <v>5</v>
      </c>
      <c r="AK153" s="116">
        <f t="shared" si="9"/>
        <v>5</v>
      </c>
      <c r="AL153" s="116">
        <f>IFERROR(VLOOKUP($B153,SWB!C151:BE534,38,FALSE),0)</f>
        <v>0</v>
      </c>
      <c r="AM153" s="116">
        <f>IFERROR(VLOOKUP($B153,SWB!C151:BE534,38,FALSE),0)</f>
        <v>0</v>
      </c>
      <c r="AN153" s="257">
        <f>IFERROR(VLOOKUP($B153,SWB!C151:BE534,40,FALSE),0)</f>
        <v>0.84431343039211493</v>
      </c>
      <c r="AO153" s="257">
        <f>IFERROR(VLOOKUP($B153,SWB!C151:BE534,43,FALSE),0)</f>
        <v>5.4036059545095361</v>
      </c>
      <c r="AP153" s="257">
        <v>4.0824119999999997</v>
      </c>
      <c r="AQ153" s="257">
        <f>IFERROR(VLOOKUP($B153,SWB!C151:BE534,44,FALSE),0)</f>
        <v>327.53112908480364</v>
      </c>
      <c r="AR153" s="116">
        <f t="shared" si="11"/>
        <v>180</v>
      </c>
      <c r="AS153" s="116">
        <v>173.97</v>
      </c>
      <c r="AT153" s="116" t="s">
        <v>131</v>
      </c>
      <c r="AU153" s="116" t="s">
        <v>131</v>
      </c>
      <c r="AV153" s="116" t="s">
        <v>131</v>
      </c>
      <c r="AW153" s="116" t="s">
        <v>131</v>
      </c>
      <c r="AX153" s="116" t="s">
        <v>131</v>
      </c>
      <c r="AY153" s="116" t="s">
        <v>131</v>
      </c>
      <c r="AZ153" s="116"/>
      <c r="BA153" s="116" t="s">
        <v>132</v>
      </c>
      <c r="BB153" s="116"/>
    </row>
    <row r="154" spans="1:54">
      <c r="A154" s="101" t="s">
        <v>134</v>
      </c>
      <c r="B154" s="69">
        <f t="shared" si="10"/>
        <v>42153</v>
      </c>
      <c r="C154" s="101" t="s">
        <v>134</v>
      </c>
      <c r="D154" s="116">
        <f>VLOOKUP(B154,SWB!$C$15:$H$244,6,FALSE)</f>
        <v>149</v>
      </c>
      <c r="E154" s="102">
        <f>VLOOKUP($B154,Clima!$W$8:$AI$1506,3,FALSE)</f>
        <v>28.5</v>
      </c>
      <c r="F154" s="102">
        <f>VLOOKUP($B154,Clima!$W$8:$AI$1506,4,FALSE)</f>
        <v>11.9</v>
      </c>
      <c r="G154" s="102">
        <f>VLOOKUP($B154,Clima!$W$8:$AI$1506,2,FALSE)</f>
        <v>19.5</v>
      </c>
      <c r="H154" s="102"/>
      <c r="I154" s="102">
        <f>VLOOKUP($B154,Clima!$W$8:$AI$1506,13,FALSE)</f>
        <v>5.7</v>
      </c>
      <c r="J154" s="102"/>
      <c r="K154" s="102"/>
      <c r="L154" s="102">
        <f>VLOOKUP($B154,Clima!$W$8:$AI$1506,12,FALSE)</f>
        <v>3.9</v>
      </c>
      <c r="M154" s="102">
        <f t="shared" si="8"/>
        <v>3.9</v>
      </c>
      <c r="N154" s="257">
        <f>VLOOKUP(B154,SWB!$C$15:$S$244,17,FALSE)</f>
        <v>1.1357222214000002</v>
      </c>
      <c r="O154" s="116"/>
      <c r="P154" s="116">
        <f>SWB!$M$4</f>
        <v>0.15</v>
      </c>
      <c r="Q154" s="257">
        <f>VLOOKUP(B154,SWB!$C$15:$AJ$244,34,FALSE)</f>
        <v>0.6</v>
      </c>
      <c r="R154" s="257">
        <f>VLOOKUP(B154,SWB!$C$15:$V$244,20,FALSE)</f>
        <v>1.1338733331349999</v>
      </c>
      <c r="S154" s="116">
        <v>9.86</v>
      </c>
      <c r="T154" s="116">
        <v>0.91391800000000001</v>
      </c>
      <c r="U154" s="116">
        <v>1</v>
      </c>
      <c r="V154" s="116">
        <v>8.6082000000000006E-2</v>
      </c>
      <c r="W154" s="116">
        <v>23.5</v>
      </c>
      <c r="X154" s="257">
        <v>0</v>
      </c>
      <c r="Y154" s="116">
        <v>9.51</v>
      </c>
      <c r="Z154" s="116">
        <v>1</v>
      </c>
      <c r="AA154" s="257">
        <v>6.5503000000000006E-2</v>
      </c>
      <c r="AB154" s="257">
        <v>6.6015430000000004</v>
      </c>
      <c r="AC154" s="257">
        <v>4.4971379999999996</v>
      </c>
      <c r="AD154" s="257">
        <v>1.165503</v>
      </c>
      <c r="AE154" s="257">
        <v>6.8881209999999999</v>
      </c>
      <c r="AF154" s="116">
        <v>0.5</v>
      </c>
      <c r="AG154" s="116">
        <v>0.55000000000000004</v>
      </c>
      <c r="AH154" s="116">
        <v>75</v>
      </c>
      <c r="AI154" s="116">
        <v>41.25</v>
      </c>
      <c r="AJ154" s="116">
        <f>IFERROR(VLOOKUP($B154,SWB!C152:BE535,37,FALSE),0)</f>
        <v>5</v>
      </c>
      <c r="AK154" s="116">
        <f t="shared" si="9"/>
        <v>5</v>
      </c>
      <c r="AL154" s="116">
        <f>IFERROR(VLOOKUP($B154,SWB!C152:BE535,38,FALSE),0)</f>
        <v>0</v>
      </c>
      <c r="AM154" s="116">
        <f>IFERROR(VLOOKUP($B154,SWB!C152:BE535,38,FALSE),0)</f>
        <v>0</v>
      </c>
      <c r="AN154" s="257">
        <f>IFERROR(VLOOKUP($B154,SWB!C152:BE535,40,FALSE),0)</f>
        <v>1.0763181834072846</v>
      </c>
      <c r="AO154" s="257">
        <f>IFERROR(VLOOKUP($B154,SWB!C152:BE535,43,FALSE),0)</f>
        <v>6.1350136454215223</v>
      </c>
      <c r="AP154" s="257">
        <v>1.110533</v>
      </c>
      <c r="AQ154" s="257">
        <f>IFERROR(VLOOKUP($B154,SWB!C152:BE535,44,FALSE),0)</f>
        <v>333.66614273022515</v>
      </c>
      <c r="AR154" s="116">
        <f t="shared" si="11"/>
        <v>185</v>
      </c>
      <c r="AS154" s="116">
        <v>173.97</v>
      </c>
      <c r="AT154" s="116" t="s">
        <v>131</v>
      </c>
      <c r="AU154" s="116" t="s">
        <v>131</v>
      </c>
      <c r="AV154" s="116" t="s">
        <v>131</v>
      </c>
      <c r="AW154" s="116" t="s">
        <v>131</v>
      </c>
      <c r="AX154" s="116" t="s">
        <v>131</v>
      </c>
      <c r="AY154" s="116" t="s">
        <v>131</v>
      </c>
      <c r="AZ154" s="116"/>
      <c r="BA154" s="116" t="s">
        <v>132</v>
      </c>
      <c r="BB154" s="116"/>
    </row>
    <row r="155" spans="1:54">
      <c r="A155" s="101" t="s">
        <v>134</v>
      </c>
      <c r="B155" s="69">
        <f t="shared" si="10"/>
        <v>42154</v>
      </c>
      <c r="C155" s="101" t="s">
        <v>134</v>
      </c>
      <c r="D155" s="116">
        <f>VLOOKUP(B155,SWB!$C$15:$H$244,6,FALSE)</f>
        <v>150</v>
      </c>
      <c r="E155" s="102">
        <f>VLOOKUP($B155,Clima!$W$8:$AI$1506,3,FALSE)</f>
        <v>26.5</v>
      </c>
      <c r="F155" s="102">
        <f>VLOOKUP($B155,Clima!$W$8:$AI$1506,4,FALSE)</f>
        <v>12.9</v>
      </c>
      <c r="G155" s="102">
        <f>VLOOKUP($B155,Clima!$W$8:$AI$1506,2,FALSE)</f>
        <v>18.600000000000001</v>
      </c>
      <c r="H155" s="102"/>
      <c r="I155" s="102">
        <f>VLOOKUP($B155,Clima!$W$8:$AI$1506,13,FALSE)</f>
        <v>4.4000000000000004</v>
      </c>
      <c r="J155" s="102"/>
      <c r="K155" s="102"/>
      <c r="L155" s="102">
        <f>VLOOKUP($B155,Clima!$W$8:$AI$1506,12,FALSE)</f>
        <v>7.3</v>
      </c>
      <c r="M155" s="102">
        <f t="shared" si="8"/>
        <v>7.3</v>
      </c>
      <c r="N155" s="257">
        <f>VLOOKUP(B155,SWB!$C$15:$S$244,17,FALSE)</f>
        <v>1.1303111104000003</v>
      </c>
      <c r="O155" s="116"/>
      <c r="P155" s="116">
        <f>SWB!$M$4</f>
        <v>0.15</v>
      </c>
      <c r="Q155" s="257">
        <f>VLOOKUP(B155,SWB!$C$15:$AJ$244,34,FALSE)</f>
        <v>0.6</v>
      </c>
      <c r="R155" s="257">
        <f>VLOOKUP(B155,SWB!$C$15:$V$244,20,FALSE)</f>
        <v>1.1338733331349999</v>
      </c>
      <c r="S155" s="116">
        <v>4.43</v>
      </c>
      <c r="T155" s="116">
        <v>0.93309699999999995</v>
      </c>
      <c r="U155" s="116">
        <v>1</v>
      </c>
      <c r="V155" s="116">
        <v>6.6903000000000004E-2</v>
      </c>
      <c r="W155" s="116">
        <v>23.5</v>
      </c>
      <c r="X155" s="257">
        <v>6.7138000000000003E-2</v>
      </c>
      <c r="Y155" s="116">
        <v>9.51</v>
      </c>
      <c r="Z155" s="116">
        <v>1</v>
      </c>
      <c r="AA155" s="257">
        <v>0.05</v>
      </c>
      <c r="AB155" s="116">
        <v>0</v>
      </c>
      <c r="AC155" s="257">
        <v>4.4765170000000003</v>
      </c>
      <c r="AD155" s="257">
        <v>1.1499999999999999</v>
      </c>
      <c r="AE155" s="257">
        <v>6.7850000000000001</v>
      </c>
      <c r="AF155" s="116">
        <v>0.5</v>
      </c>
      <c r="AG155" s="116">
        <v>0.55000000000000004</v>
      </c>
      <c r="AH155" s="116">
        <v>75</v>
      </c>
      <c r="AI155" s="116">
        <v>41.25</v>
      </c>
      <c r="AJ155" s="116">
        <f>IFERROR(VLOOKUP($B155,SWB!C153:BE536,37,FALSE),0)</f>
        <v>5</v>
      </c>
      <c r="AK155" s="116">
        <f t="shared" si="9"/>
        <v>5</v>
      </c>
      <c r="AL155" s="116">
        <f>IFERROR(VLOOKUP($B155,SWB!C153:BE536,38,FALSE),0)</f>
        <v>0</v>
      </c>
      <c r="AM155" s="116">
        <f>IFERROR(VLOOKUP($B155,SWB!C153:BE536,38,FALSE),0)</f>
        <v>0</v>
      </c>
      <c r="AN155" s="257">
        <f>IFERROR(VLOOKUP($B155,SWB!C153:BE536,40,FALSE),0)</f>
        <v>1.1332796293458334</v>
      </c>
      <c r="AO155" s="257">
        <f>IFERROR(VLOOKUP($B155,SWB!C153:BE536,43,FALSE),0)</f>
        <v>5.4397422208600004</v>
      </c>
      <c r="AP155" s="257">
        <v>3.4655330000000002</v>
      </c>
      <c r="AQ155" s="257">
        <f>IFERROR(VLOOKUP($B155,SWB!C153:BE536,44,FALSE),0)</f>
        <v>339.10588495108516</v>
      </c>
      <c r="AR155" s="116">
        <f t="shared" si="11"/>
        <v>190</v>
      </c>
      <c r="AS155" s="116">
        <v>173.97</v>
      </c>
      <c r="AT155" s="116" t="s">
        <v>131</v>
      </c>
      <c r="AU155" s="116" t="s">
        <v>131</v>
      </c>
      <c r="AV155" s="116" t="s">
        <v>131</v>
      </c>
      <c r="AW155" s="116" t="s">
        <v>131</v>
      </c>
      <c r="AX155" s="116" t="s">
        <v>131</v>
      </c>
      <c r="AY155" s="116" t="s">
        <v>131</v>
      </c>
      <c r="AZ155" s="116"/>
      <c r="BA155" s="116" t="s">
        <v>132</v>
      </c>
      <c r="BB155" s="116"/>
    </row>
    <row r="156" spans="1:54">
      <c r="A156" s="101" t="s">
        <v>134</v>
      </c>
      <c r="B156" s="69">
        <f t="shared" si="10"/>
        <v>42155</v>
      </c>
      <c r="C156" s="101" t="s">
        <v>134</v>
      </c>
      <c r="D156" s="116">
        <f>VLOOKUP(B156,SWB!$C$15:$H$244,6,FALSE)</f>
        <v>151</v>
      </c>
      <c r="E156" s="102">
        <f>VLOOKUP($B156,Clima!$W$8:$AI$1506,3,FALSE)</f>
        <v>27</v>
      </c>
      <c r="F156" s="102">
        <f>VLOOKUP($B156,Clima!$W$8:$AI$1506,4,FALSE)</f>
        <v>10.8</v>
      </c>
      <c r="G156" s="102">
        <f>VLOOKUP($B156,Clima!$W$8:$AI$1506,2,FALSE)</f>
        <v>17.5</v>
      </c>
      <c r="H156" s="102"/>
      <c r="I156" s="102">
        <f>VLOOKUP($B156,Clima!$W$8:$AI$1506,13,FALSE)</f>
        <v>4.8</v>
      </c>
      <c r="J156" s="102"/>
      <c r="K156" s="102"/>
      <c r="L156" s="102">
        <f>VLOOKUP($B156,Clima!$W$8:$AI$1506,12,FALSE)</f>
        <v>1.8</v>
      </c>
      <c r="M156" s="102">
        <f t="shared" si="8"/>
        <v>1.8</v>
      </c>
      <c r="N156" s="257">
        <f>VLOOKUP(B156,SWB!$C$15:$S$244,17,FALSE)</f>
        <v>1.1248999994000004</v>
      </c>
      <c r="O156" s="116"/>
      <c r="P156" s="116">
        <f>SWB!$M$4</f>
        <v>0.15</v>
      </c>
      <c r="Q156" s="257">
        <f>VLOOKUP(B156,SWB!$C$15:$AJ$244,34,FALSE)</f>
        <v>0.6</v>
      </c>
      <c r="R156" s="257">
        <f>VLOOKUP(B156,SWB!$C$15:$V$244,20,FALSE)</f>
        <v>1.1338733331349999</v>
      </c>
      <c r="S156" s="116">
        <v>9.86</v>
      </c>
      <c r="T156" s="116">
        <v>0.91751099999999997</v>
      </c>
      <c r="U156" s="116">
        <v>1</v>
      </c>
      <c r="V156" s="116">
        <v>8.2489000000000007E-2</v>
      </c>
      <c r="W156" s="116">
        <v>23.5</v>
      </c>
      <c r="X156" s="257">
        <v>0</v>
      </c>
      <c r="Y156" s="116">
        <v>9.51</v>
      </c>
      <c r="Z156" s="116">
        <v>1</v>
      </c>
      <c r="AA156" s="257">
        <v>6.2556E-2</v>
      </c>
      <c r="AB156" s="257">
        <v>5.383483</v>
      </c>
      <c r="AC156" s="257">
        <v>4.739706</v>
      </c>
      <c r="AD156" s="257">
        <v>1.1625559999999999</v>
      </c>
      <c r="AE156" s="257">
        <v>7.2659739999999999</v>
      </c>
      <c r="AF156" s="116">
        <v>0.5</v>
      </c>
      <c r="AG156" s="116">
        <v>0.55000000000000004</v>
      </c>
      <c r="AH156" s="116">
        <v>75</v>
      </c>
      <c r="AI156" s="116">
        <v>41.25</v>
      </c>
      <c r="AJ156" s="116">
        <f>IFERROR(VLOOKUP($B156,SWB!C154:BE537,37,FALSE),0)</f>
        <v>0</v>
      </c>
      <c r="AK156" s="116">
        <f t="shared" si="9"/>
        <v>0</v>
      </c>
      <c r="AL156" s="116">
        <f>IFERROR(VLOOKUP($B156,SWB!C154:BE537,38,FALSE),0)</f>
        <v>0</v>
      </c>
      <c r="AM156" s="116">
        <f>IFERROR(VLOOKUP($B156,SWB!C154:BE537,38,FALSE),0)</f>
        <v>0</v>
      </c>
      <c r="AN156" s="257">
        <f>IFERROR(VLOOKUP($B156,SWB!C154:BE537,40,FALSE),0)</f>
        <v>1.1318025638115385</v>
      </c>
      <c r="AO156" s="257">
        <f>IFERROR(VLOOKUP($B156,SWB!C154:BE537,43,FALSE),0)</f>
        <v>5.8853733318200003</v>
      </c>
      <c r="AP156" s="257">
        <v>0.87150799999999995</v>
      </c>
      <c r="AQ156" s="257">
        <f>IFERROR(VLOOKUP($B156,SWB!C154:BE537,44,FALSE),0)</f>
        <v>344.99125828290516</v>
      </c>
      <c r="AR156" s="116">
        <f t="shared" si="11"/>
        <v>195</v>
      </c>
      <c r="AS156" s="116">
        <v>173.97</v>
      </c>
      <c r="AT156" s="116" t="s">
        <v>131</v>
      </c>
      <c r="AU156" s="116" t="s">
        <v>131</v>
      </c>
      <c r="AV156" s="116" t="s">
        <v>131</v>
      </c>
      <c r="AW156" s="116" t="s">
        <v>131</v>
      </c>
      <c r="AX156" s="116" t="s">
        <v>131</v>
      </c>
      <c r="AY156" s="116" t="s">
        <v>131</v>
      </c>
      <c r="AZ156" s="116"/>
      <c r="BA156" s="116" t="s">
        <v>132</v>
      </c>
      <c r="BB156" s="116"/>
    </row>
    <row r="157" spans="1:54">
      <c r="A157" s="101" t="s">
        <v>134</v>
      </c>
      <c r="B157" s="69">
        <f t="shared" si="10"/>
        <v>42156</v>
      </c>
      <c r="C157" s="101" t="s">
        <v>134</v>
      </c>
      <c r="D157" s="116">
        <f>VLOOKUP(B157,SWB!$C$15:$H$244,6,FALSE)</f>
        <v>152</v>
      </c>
      <c r="E157" s="102">
        <f>VLOOKUP($B157,Clima!$W$8:$AI$1506,3,FALSE)</f>
        <v>28.6</v>
      </c>
      <c r="F157" s="102">
        <f>VLOOKUP($B157,Clima!$W$8:$AI$1506,4,FALSE)</f>
        <v>11.7</v>
      </c>
      <c r="G157" s="102">
        <f>VLOOKUP($B157,Clima!$W$8:$AI$1506,2,FALSE)</f>
        <v>19.5</v>
      </c>
      <c r="H157" s="102"/>
      <c r="I157" s="102">
        <f>VLOOKUP($B157,Clima!$W$8:$AI$1506,13,FALSE)</f>
        <v>5.5</v>
      </c>
      <c r="J157" s="102"/>
      <c r="K157" s="102"/>
      <c r="L157" s="102">
        <f>VLOOKUP($B157,Clima!$W$8:$AI$1506,12,FALSE)</f>
        <v>0</v>
      </c>
      <c r="M157" s="102">
        <f t="shared" si="8"/>
        <v>0</v>
      </c>
      <c r="N157" s="257">
        <f>VLOOKUP(B157,SWB!$C$15:$S$244,17,FALSE)</f>
        <v>1.1194888884000005</v>
      </c>
      <c r="O157" s="116"/>
      <c r="P157" s="116">
        <f>SWB!$M$4</f>
        <v>0.15</v>
      </c>
      <c r="Q157" s="257">
        <f>VLOOKUP(B157,SWB!$C$15:$AJ$244,34,FALSE)</f>
        <v>0.6</v>
      </c>
      <c r="R157" s="257">
        <f>VLOOKUP(B157,SWB!$C$15:$V$244,20,FALSE)</f>
        <v>1.1338733331349999</v>
      </c>
      <c r="S157" s="116">
        <v>9.86</v>
      </c>
      <c r="T157" s="116">
        <v>0.927728</v>
      </c>
      <c r="U157" s="116">
        <v>1</v>
      </c>
      <c r="V157" s="116">
        <v>7.2272000000000003E-2</v>
      </c>
      <c r="W157" s="116">
        <v>23.5</v>
      </c>
      <c r="X157" s="257">
        <v>0</v>
      </c>
      <c r="Y157" s="116">
        <v>9.51</v>
      </c>
      <c r="Z157" s="116">
        <v>1</v>
      </c>
      <c r="AA157" s="257">
        <v>5.4283999999999999E-2</v>
      </c>
      <c r="AB157" s="257">
        <v>9.0402939999999994</v>
      </c>
      <c r="AC157" s="257">
        <v>4.2737819999999997</v>
      </c>
      <c r="AD157" s="257">
        <v>1.1542840000000001</v>
      </c>
      <c r="AE157" s="257">
        <v>6.567876</v>
      </c>
      <c r="AF157" s="116">
        <v>0.5</v>
      </c>
      <c r="AG157" s="116">
        <v>0.55000000000000004</v>
      </c>
      <c r="AH157" s="116">
        <v>75</v>
      </c>
      <c r="AI157" s="116">
        <v>41.25</v>
      </c>
      <c r="AJ157" s="116">
        <f>IFERROR(VLOOKUP($B157,SWB!C155:BE538,37,FALSE),0)</f>
        <v>0</v>
      </c>
      <c r="AK157" s="116">
        <f t="shared" si="9"/>
        <v>0</v>
      </c>
      <c r="AL157" s="116">
        <f>IFERROR(VLOOKUP($B157,SWB!C155:BE538,38,FALSE),0)</f>
        <v>0</v>
      </c>
      <c r="AM157" s="116">
        <f>IFERROR(VLOOKUP($B157,SWB!C155:BE538,38,FALSE),0)</f>
        <v>0</v>
      </c>
      <c r="AN157" s="257">
        <f>IFERROR(VLOOKUP($B157,SWB!C155:BE538,40,FALSE),0)</f>
        <v>1.1299503027527273</v>
      </c>
      <c r="AO157" s="257">
        <f>IFERROR(VLOOKUP($B157,SWB!C155:BE538,43,FALSE),0)</f>
        <v>6.2147266651400006</v>
      </c>
      <c r="AP157" s="257">
        <v>0</v>
      </c>
      <c r="AQ157" s="257">
        <f>IFERROR(VLOOKUP($B157,SWB!C155:BE538,44,FALSE),0)</f>
        <v>351.20598494804517</v>
      </c>
      <c r="AR157" s="116">
        <f t="shared" si="11"/>
        <v>195</v>
      </c>
      <c r="AS157" s="116">
        <v>177.89</v>
      </c>
      <c r="AT157" s="116" t="s">
        <v>131</v>
      </c>
      <c r="AU157" s="116" t="s">
        <v>131</v>
      </c>
      <c r="AV157" s="116" t="s">
        <v>131</v>
      </c>
      <c r="AW157" s="116" t="s">
        <v>131</v>
      </c>
      <c r="AX157" s="116" t="s">
        <v>131</v>
      </c>
      <c r="AY157" s="116" t="s">
        <v>131</v>
      </c>
      <c r="AZ157" s="116"/>
      <c r="BA157" s="116" t="s">
        <v>132</v>
      </c>
      <c r="BB157" s="116"/>
    </row>
    <row r="158" spans="1:54">
      <c r="A158" s="101" t="s">
        <v>134</v>
      </c>
      <c r="B158" s="69">
        <f t="shared" si="10"/>
        <v>42157</v>
      </c>
      <c r="C158" s="101" t="s">
        <v>134</v>
      </c>
      <c r="D158" s="116">
        <f>VLOOKUP(B158,SWB!$C$15:$H$244,6,FALSE)</f>
        <v>153</v>
      </c>
      <c r="E158" s="102">
        <f>VLOOKUP($B158,Clima!$W$8:$AI$1506,3,FALSE)</f>
        <v>29.1</v>
      </c>
      <c r="F158" s="102">
        <f>VLOOKUP($B158,Clima!$W$8:$AI$1506,4,FALSE)</f>
        <v>11.9</v>
      </c>
      <c r="G158" s="102">
        <f>VLOOKUP($B158,Clima!$W$8:$AI$1506,2,FALSE)</f>
        <v>20.7</v>
      </c>
      <c r="H158" s="102"/>
      <c r="I158" s="102">
        <f>VLOOKUP($B158,Clima!$W$8:$AI$1506,13,FALSE)</f>
        <v>6.1</v>
      </c>
      <c r="J158" s="102"/>
      <c r="K158" s="102"/>
      <c r="L158" s="102">
        <f>VLOOKUP($B158,Clima!$W$8:$AI$1506,12,FALSE)</f>
        <v>0</v>
      </c>
      <c r="M158" s="102">
        <f t="shared" si="8"/>
        <v>0</v>
      </c>
      <c r="N158" s="257">
        <f>VLOOKUP(B158,SWB!$C$15:$S$244,17,FALSE)</f>
        <v>1.1140777774000006</v>
      </c>
      <c r="O158" s="116"/>
      <c r="P158" s="116">
        <f>SWB!$M$4</f>
        <v>0.15</v>
      </c>
      <c r="Q158" s="257">
        <f>VLOOKUP(B158,SWB!$C$15:$AJ$244,34,FALSE)</f>
        <v>0.6</v>
      </c>
      <c r="R158" s="257">
        <f>VLOOKUP(B158,SWB!$C$15:$V$244,20,FALSE)</f>
        <v>1.1338733331349999</v>
      </c>
      <c r="S158" s="116">
        <v>9.86</v>
      </c>
      <c r="T158" s="116">
        <v>0.93309699999999995</v>
      </c>
      <c r="U158" s="116">
        <v>1</v>
      </c>
      <c r="V158" s="116">
        <v>6.6903000000000004E-2</v>
      </c>
      <c r="W158" s="116">
        <v>23.5</v>
      </c>
      <c r="X158" s="257">
        <v>0</v>
      </c>
      <c r="Y158" s="116">
        <v>9.51</v>
      </c>
      <c r="Z158" s="116">
        <v>1</v>
      </c>
      <c r="AA158" s="257">
        <v>0.05</v>
      </c>
      <c r="AB158" s="257">
        <v>12.836218000000001</v>
      </c>
      <c r="AC158" s="257">
        <v>3.3032979999999998</v>
      </c>
      <c r="AD158" s="257">
        <v>1.1499999999999999</v>
      </c>
      <c r="AE158" s="257">
        <v>5.0830000000000002</v>
      </c>
      <c r="AF158" s="116">
        <v>0.5</v>
      </c>
      <c r="AG158" s="116">
        <v>0.55000000000000004</v>
      </c>
      <c r="AH158" s="116">
        <v>75</v>
      </c>
      <c r="AI158" s="116">
        <v>41.25</v>
      </c>
      <c r="AJ158" s="116">
        <f>IFERROR(VLOOKUP($B158,SWB!C156:BE539,37,FALSE),0)</f>
        <v>5</v>
      </c>
      <c r="AK158" s="116">
        <f t="shared" si="9"/>
        <v>5</v>
      </c>
      <c r="AL158" s="116">
        <f>IFERROR(VLOOKUP($B158,SWB!C156:BE539,38,FALSE),0)</f>
        <v>0</v>
      </c>
      <c r="AM158" s="116">
        <f>IFERROR(VLOOKUP($B158,SWB!C156:BE539,38,FALSE),0)</f>
        <v>0</v>
      </c>
      <c r="AN158" s="257">
        <f>IFERROR(VLOOKUP($B158,SWB!C156:BE539,40,FALSE),0)</f>
        <v>0.81792854603896525</v>
      </c>
      <c r="AO158" s="257">
        <f>IFERROR(VLOOKUP($B158,SWB!C156:BE539,43,FALSE),0)</f>
        <v>4.8257784216298951</v>
      </c>
      <c r="AP158" s="257">
        <v>0</v>
      </c>
      <c r="AQ158" s="257">
        <f>IFERROR(VLOOKUP($B158,SWB!C156:BE539,44,FALSE),0)</f>
        <v>356.03176336967505</v>
      </c>
      <c r="AR158" s="116">
        <f t="shared" si="11"/>
        <v>195</v>
      </c>
      <c r="AS158" s="116">
        <v>185.14</v>
      </c>
      <c r="AT158" s="116" t="s">
        <v>131</v>
      </c>
      <c r="AU158" s="116" t="s">
        <v>131</v>
      </c>
      <c r="AV158" s="116" t="s">
        <v>131</v>
      </c>
      <c r="AW158" s="116" t="s">
        <v>131</v>
      </c>
      <c r="AX158" s="116" t="s">
        <v>131</v>
      </c>
      <c r="AY158" s="116" t="s">
        <v>131</v>
      </c>
      <c r="AZ158" s="116"/>
      <c r="BA158" s="116" t="s">
        <v>132</v>
      </c>
      <c r="BB158" s="116"/>
    </row>
    <row r="159" spans="1:54">
      <c r="A159" s="101" t="s">
        <v>134</v>
      </c>
      <c r="B159" s="69">
        <f t="shared" si="10"/>
        <v>42158</v>
      </c>
      <c r="C159" s="101" t="s">
        <v>134</v>
      </c>
      <c r="D159" s="116">
        <f>VLOOKUP(B159,SWB!$C$15:$H$244,6,FALSE)</f>
        <v>154</v>
      </c>
      <c r="E159" s="102">
        <f>VLOOKUP($B159,Clima!$W$8:$AI$1506,3,FALSE)</f>
        <v>29.6</v>
      </c>
      <c r="F159" s="102">
        <f>VLOOKUP($B159,Clima!$W$8:$AI$1506,4,FALSE)</f>
        <v>14.1</v>
      </c>
      <c r="G159" s="102">
        <f>VLOOKUP($B159,Clima!$W$8:$AI$1506,2,FALSE)</f>
        <v>21.3</v>
      </c>
      <c r="H159" s="102"/>
      <c r="I159" s="102">
        <f>VLOOKUP($B159,Clima!$W$8:$AI$1506,13,FALSE)</f>
        <v>6.6</v>
      </c>
      <c r="J159" s="102"/>
      <c r="K159" s="102"/>
      <c r="L159" s="102">
        <f>VLOOKUP($B159,Clima!$W$8:$AI$1506,12,FALSE)</f>
        <v>0</v>
      </c>
      <c r="M159" s="102">
        <f t="shared" si="8"/>
        <v>0</v>
      </c>
      <c r="N159" s="257">
        <f>VLOOKUP(B159,SWB!$C$15:$S$244,17,FALSE)</f>
        <v>1.1086666664000007</v>
      </c>
      <c r="O159" s="116"/>
      <c r="P159" s="116">
        <f>SWB!$M$4</f>
        <v>0.15</v>
      </c>
      <c r="Q159" s="257">
        <f>VLOOKUP(B159,SWB!$C$15:$AJ$244,34,FALSE)</f>
        <v>0.6</v>
      </c>
      <c r="R159" s="257">
        <f>VLOOKUP(B159,SWB!$C$15:$V$244,20,FALSE)</f>
        <v>1.1338733331349999</v>
      </c>
      <c r="S159" s="116">
        <v>9.86</v>
      </c>
      <c r="T159" s="116">
        <v>0.93309699999999995</v>
      </c>
      <c r="U159" s="116">
        <v>1</v>
      </c>
      <c r="V159" s="116">
        <v>6.6903000000000004E-2</v>
      </c>
      <c r="W159" s="116">
        <v>23.5</v>
      </c>
      <c r="X159" s="257">
        <v>0</v>
      </c>
      <c r="Y159" s="116">
        <v>9.51</v>
      </c>
      <c r="Z159" s="116">
        <v>1</v>
      </c>
      <c r="AA159" s="257">
        <v>0.05</v>
      </c>
      <c r="AB159" s="257">
        <v>8.3167019999999994</v>
      </c>
      <c r="AC159" s="257">
        <v>3.5947650000000002</v>
      </c>
      <c r="AD159" s="257">
        <v>1.1499999999999999</v>
      </c>
      <c r="AE159" s="257">
        <v>5.5315000000000003</v>
      </c>
      <c r="AF159" s="116">
        <v>0.5</v>
      </c>
      <c r="AG159" s="116">
        <v>0.55000000000000004</v>
      </c>
      <c r="AH159" s="116">
        <v>75</v>
      </c>
      <c r="AI159" s="116">
        <v>41.25</v>
      </c>
      <c r="AJ159" s="116">
        <f>IFERROR(VLOOKUP($B159,SWB!C157:BE540,37,FALSE),0)</f>
        <v>5</v>
      </c>
      <c r="AK159" s="116">
        <f t="shared" si="9"/>
        <v>5</v>
      </c>
      <c r="AL159" s="116">
        <f>IFERROR(VLOOKUP($B159,SWB!C157:BE540,38,FALSE),0)</f>
        <v>0</v>
      </c>
      <c r="AM159" s="116">
        <f>IFERROR(VLOOKUP($B159,SWB!C157:BE540,38,FALSE),0)</f>
        <v>0</v>
      </c>
      <c r="AN159" s="257">
        <f>IFERROR(VLOOKUP($B159,SWB!C157:BE540,40,FALSE),0)</f>
        <v>0.83357784503080268</v>
      </c>
      <c r="AO159" s="257">
        <f>IFERROR(VLOOKUP($B159,SWB!C157:BE540,43,FALSE),0)</f>
        <v>4.8347515011786557</v>
      </c>
      <c r="AP159" s="257">
        <v>0</v>
      </c>
      <c r="AQ159" s="257">
        <f>IFERROR(VLOOKUP($B159,SWB!C157:BE540,44,FALSE),0)</f>
        <v>360.86651487085368</v>
      </c>
      <c r="AR159" s="116">
        <f t="shared" si="11"/>
        <v>200</v>
      </c>
      <c r="AS159" s="116">
        <v>186.9</v>
      </c>
      <c r="AT159" s="116" t="s">
        <v>131</v>
      </c>
      <c r="AU159" s="116" t="s">
        <v>131</v>
      </c>
      <c r="AV159" s="116" t="s">
        <v>131</v>
      </c>
      <c r="AW159" s="116" t="s">
        <v>131</v>
      </c>
      <c r="AX159" s="116" t="s">
        <v>131</v>
      </c>
      <c r="AY159" s="116" t="s">
        <v>131</v>
      </c>
      <c r="AZ159" s="116"/>
      <c r="BA159" s="116" t="s">
        <v>132</v>
      </c>
      <c r="BB159" s="116"/>
    </row>
    <row r="160" spans="1:54">
      <c r="A160" s="101" t="s">
        <v>134</v>
      </c>
      <c r="B160" s="69">
        <f t="shared" si="10"/>
        <v>42159</v>
      </c>
      <c r="C160" s="101" t="s">
        <v>134</v>
      </c>
      <c r="D160" s="116">
        <f>VLOOKUP(B160,SWB!$C$15:$H$244,6,FALSE)</f>
        <v>155</v>
      </c>
      <c r="E160" s="102">
        <f>VLOOKUP($B160,Clima!$W$8:$AI$1506,3,FALSE)</f>
        <v>28.2</v>
      </c>
      <c r="F160" s="102">
        <f>VLOOKUP($B160,Clima!$W$8:$AI$1506,4,FALSE)</f>
        <v>10.1</v>
      </c>
      <c r="G160" s="102">
        <f>VLOOKUP($B160,Clima!$W$8:$AI$1506,2,FALSE)</f>
        <v>19.600000000000001</v>
      </c>
      <c r="H160" s="102"/>
      <c r="I160" s="102">
        <f>VLOOKUP($B160,Clima!$W$8:$AI$1506,13,FALSE)</f>
        <v>6.8</v>
      </c>
      <c r="J160" s="102"/>
      <c r="K160" s="102"/>
      <c r="L160" s="102">
        <f>VLOOKUP($B160,Clima!$W$8:$AI$1506,12,FALSE)</f>
        <v>0</v>
      </c>
      <c r="M160" s="102">
        <f t="shared" si="8"/>
        <v>0</v>
      </c>
      <c r="N160" s="257">
        <f>VLOOKUP(B160,SWB!$C$15:$S$244,17,FALSE)</f>
        <v>1.1032555554000005</v>
      </c>
      <c r="O160" s="116"/>
      <c r="P160" s="116">
        <f>SWB!$M$4</f>
        <v>0.15</v>
      </c>
      <c r="Q160" s="257">
        <f>VLOOKUP(B160,SWB!$C$15:$AJ$244,34,FALSE)</f>
        <v>0.6</v>
      </c>
      <c r="R160" s="257">
        <f>VLOOKUP(B160,SWB!$C$15:$V$244,20,FALSE)</f>
        <v>1.1338733331349999</v>
      </c>
      <c r="S160" s="116">
        <v>4.43</v>
      </c>
      <c r="T160" s="116">
        <v>0.93309699999999995</v>
      </c>
      <c r="U160" s="116">
        <v>1</v>
      </c>
      <c r="V160" s="116">
        <v>6.6903000000000004E-2</v>
      </c>
      <c r="W160" s="116">
        <v>23.5</v>
      </c>
      <c r="X160" s="257">
        <v>0</v>
      </c>
      <c r="Y160" s="116">
        <v>9.51</v>
      </c>
      <c r="Z160" s="116">
        <v>1</v>
      </c>
      <c r="AA160" s="257">
        <v>0.05</v>
      </c>
      <c r="AB160" s="257">
        <v>0.83523499999999995</v>
      </c>
      <c r="AC160" s="257">
        <v>4.1328589999999998</v>
      </c>
      <c r="AD160" s="257">
        <v>1.1499999999999999</v>
      </c>
      <c r="AE160" s="257">
        <v>6.3594999999999997</v>
      </c>
      <c r="AF160" s="116">
        <v>0.5</v>
      </c>
      <c r="AG160" s="116">
        <v>0.55000000000000004</v>
      </c>
      <c r="AH160" s="116">
        <v>75</v>
      </c>
      <c r="AI160" s="116">
        <v>41.25</v>
      </c>
      <c r="AJ160" s="116">
        <f>IFERROR(VLOOKUP($B160,SWB!C158:BE541,37,FALSE),0)</f>
        <v>5</v>
      </c>
      <c r="AK160" s="116">
        <f t="shared" si="9"/>
        <v>5</v>
      </c>
      <c r="AL160" s="116">
        <f>IFERROR(VLOOKUP($B160,SWB!C158:BE541,38,FALSE),0)</f>
        <v>0</v>
      </c>
      <c r="AM160" s="116">
        <f>IFERROR(VLOOKUP($B160,SWB!C158:BE541,38,FALSE),0)</f>
        <v>0</v>
      </c>
      <c r="AN160" s="257">
        <f>IFERROR(VLOOKUP($B160,SWB!C158:BE541,40,FALSE),0)</f>
        <v>0.84868572148600119</v>
      </c>
      <c r="AO160" s="257">
        <f>IFERROR(VLOOKUP($B160,SWB!C158:BE541,43,FALSE),0)</f>
        <v>4.8375086124702067</v>
      </c>
      <c r="AP160" s="257">
        <v>1.9295</v>
      </c>
      <c r="AQ160" s="257">
        <f>IFERROR(VLOOKUP($B160,SWB!C158:BE541,44,FALSE),0)</f>
        <v>365.70402348332391</v>
      </c>
      <c r="AR160" s="116">
        <f t="shared" si="11"/>
        <v>205</v>
      </c>
      <c r="AS160" s="116">
        <v>186.9</v>
      </c>
      <c r="AT160" s="116" t="s">
        <v>131</v>
      </c>
      <c r="AU160" s="116" t="s">
        <v>131</v>
      </c>
      <c r="AV160" s="116" t="s">
        <v>131</v>
      </c>
      <c r="AW160" s="116" t="s">
        <v>131</v>
      </c>
      <c r="AX160" s="116" t="s">
        <v>131</v>
      </c>
      <c r="AY160" s="116" t="s">
        <v>131</v>
      </c>
      <c r="AZ160" s="116"/>
      <c r="BA160" s="116" t="s">
        <v>132</v>
      </c>
      <c r="BB160" s="116"/>
    </row>
    <row r="161" spans="1:54">
      <c r="A161" s="101" t="s">
        <v>135</v>
      </c>
      <c r="B161" s="69">
        <f t="shared" si="10"/>
        <v>42160</v>
      </c>
      <c r="C161" s="101" t="s">
        <v>135</v>
      </c>
      <c r="D161" s="116">
        <f>VLOOKUP(B161,SWB!$C$15:$H$244,6,FALSE)</f>
        <v>156</v>
      </c>
      <c r="E161" s="102">
        <f>VLOOKUP($B161,Clima!$W$8:$AI$1506,3,FALSE)</f>
        <v>28.6</v>
      </c>
      <c r="F161" s="102">
        <f>VLOOKUP($B161,Clima!$W$8:$AI$1506,4,FALSE)</f>
        <v>10.199999999999999</v>
      </c>
      <c r="G161" s="102">
        <f>VLOOKUP($B161,Clima!$W$8:$AI$1506,2,FALSE)</f>
        <v>19.7</v>
      </c>
      <c r="H161" s="102"/>
      <c r="I161" s="102">
        <f>VLOOKUP($B161,Clima!$W$8:$AI$1506,13,FALSE)</f>
        <v>6.5</v>
      </c>
      <c r="J161" s="102"/>
      <c r="K161" s="102"/>
      <c r="L161" s="102">
        <f>VLOOKUP($B161,Clima!$W$8:$AI$1506,12,FALSE)</f>
        <v>0</v>
      </c>
      <c r="M161" s="102">
        <f t="shared" si="8"/>
        <v>0</v>
      </c>
      <c r="N161" s="257">
        <f>VLOOKUP(B161,SWB!$C$15:$S$244,17,FALSE)</f>
        <v>1.0978444444000006</v>
      </c>
      <c r="O161" s="116"/>
      <c r="P161" s="116">
        <f>SWB!$M$4</f>
        <v>0.15</v>
      </c>
      <c r="Q161" s="257">
        <f>VLOOKUP(B161,SWB!$C$15:$AJ$244,34,FALSE)</f>
        <v>0.6</v>
      </c>
      <c r="R161" s="257">
        <f>VLOOKUP(B161,SWB!$C$15:$V$244,20,FALSE)</f>
        <v>1.1338733331349999</v>
      </c>
      <c r="S161" s="116">
        <v>4.43</v>
      </c>
      <c r="T161" s="116">
        <v>0.86501899999999998</v>
      </c>
      <c r="U161" s="116">
        <v>1</v>
      </c>
      <c r="V161" s="116">
        <v>0.13498099999999999</v>
      </c>
      <c r="W161" s="116">
        <v>23.5</v>
      </c>
      <c r="X161" s="257">
        <v>0</v>
      </c>
      <c r="Y161" s="116">
        <v>9.51</v>
      </c>
      <c r="Z161" s="116">
        <v>1</v>
      </c>
      <c r="AA161" s="257">
        <v>0.10173699999999999</v>
      </c>
      <c r="AB161" s="257">
        <v>0.29714099999999999</v>
      </c>
      <c r="AC161" s="257">
        <v>4.5901079999999999</v>
      </c>
      <c r="AD161" s="257">
        <v>1.1489590000000001</v>
      </c>
      <c r="AE161" s="257">
        <v>6.9971610000000002</v>
      </c>
      <c r="AF161" s="116">
        <v>0.5</v>
      </c>
      <c r="AG161" s="116">
        <v>0.55000000000000004</v>
      </c>
      <c r="AH161" s="116">
        <v>75</v>
      </c>
      <c r="AI161" s="116">
        <v>41.25</v>
      </c>
      <c r="AJ161" s="116">
        <f>IFERROR(VLOOKUP($B161,SWB!C159:BE542,37,FALSE),0)</f>
        <v>5</v>
      </c>
      <c r="AK161" s="116">
        <f t="shared" si="9"/>
        <v>5</v>
      </c>
      <c r="AL161" s="116">
        <f>IFERROR(VLOOKUP($B161,SWB!C159:BE542,38,FALSE),0)</f>
        <v>0</v>
      </c>
      <c r="AM161" s="116">
        <f>IFERROR(VLOOKUP($B161,SWB!C159:BE542,38,FALSE),0)</f>
        <v>0</v>
      </c>
      <c r="AN161" s="257">
        <f>IFERROR(VLOOKUP($B161,SWB!C159:BE542,40,FALSE),0)</f>
        <v>0.8760241931759688</v>
      </c>
      <c r="AO161" s="257">
        <f>IFERROR(VLOOKUP($B161,SWB!C159:BE542,43,FALSE),0)</f>
        <v>4.7305306431502316</v>
      </c>
      <c r="AP161" s="257">
        <v>4.4966609999999996</v>
      </c>
      <c r="AQ161" s="257">
        <f>IFERROR(VLOOKUP($B161,SWB!C159:BE542,44,FALSE),0)</f>
        <v>370.43455412647415</v>
      </c>
      <c r="AR161" s="116">
        <f t="shared" si="11"/>
        <v>210</v>
      </c>
      <c r="AS161" s="116">
        <v>186.9</v>
      </c>
      <c r="AT161" s="116" t="s">
        <v>131</v>
      </c>
      <c r="AU161" s="116" t="s">
        <v>131</v>
      </c>
      <c r="AV161" s="116" t="s">
        <v>131</v>
      </c>
      <c r="AW161" s="116" t="s">
        <v>131</v>
      </c>
      <c r="AX161" s="116" t="s">
        <v>131</v>
      </c>
      <c r="AY161" s="116" t="s">
        <v>131</v>
      </c>
      <c r="AZ161" s="116"/>
      <c r="BA161" s="116" t="s">
        <v>132</v>
      </c>
      <c r="BB161" s="116"/>
    </row>
    <row r="162" spans="1:54">
      <c r="A162" s="101" t="s">
        <v>135</v>
      </c>
      <c r="B162" s="69">
        <f t="shared" si="10"/>
        <v>42161</v>
      </c>
      <c r="C162" s="101" t="s">
        <v>135</v>
      </c>
      <c r="D162" s="116">
        <f>VLOOKUP(B162,SWB!$C$15:$H$244,6,FALSE)</f>
        <v>157</v>
      </c>
      <c r="E162" s="102">
        <f>VLOOKUP($B162,Clima!$W$8:$AI$1506,3,FALSE)</f>
        <v>29.6</v>
      </c>
      <c r="F162" s="102">
        <f>VLOOKUP($B162,Clima!$W$8:$AI$1506,4,FALSE)</f>
        <v>10.8</v>
      </c>
      <c r="G162" s="102">
        <f>VLOOKUP($B162,Clima!$W$8:$AI$1506,2,FALSE)</f>
        <v>20.7</v>
      </c>
      <c r="H162" s="102"/>
      <c r="I162" s="102">
        <f>VLOOKUP($B162,Clima!$W$8:$AI$1506,13,FALSE)</f>
        <v>6.7</v>
      </c>
      <c r="J162" s="102"/>
      <c r="K162" s="102"/>
      <c r="L162" s="102">
        <f>VLOOKUP($B162,Clima!$W$8:$AI$1506,12,FALSE)</f>
        <v>0</v>
      </c>
      <c r="M162" s="102">
        <f t="shared" si="8"/>
        <v>0</v>
      </c>
      <c r="N162" s="257">
        <f>VLOOKUP(B162,SWB!$C$15:$S$244,17,FALSE)</f>
        <v>1.0924333334000007</v>
      </c>
      <c r="O162" s="116"/>
      <c r="P162" s="116">
        <f>SWB!$M$4</f>
        <v>0.15</v>
      </c>
      <c r="Q162" s="257">
        <f>VLOOKUP(B162,SWB!$C$15:$AJ$244,34,FALSE)</f>
        <v>0.6</v>
      </c>
      <c r="R162" s="257">
        <f>VLOOKUP(B162,SWB!$C$15:$V$244,20,FALSE)</f>
        <v>1.1338733331349999</v>
      </c>
      <c r="S162" s="116">
        <v>4.43</v>
      </c>
      <c r="T162" s="116">
        <v>0.78050200000000003</v>
      </c>
      <c r="U162" s="116">
        <v>1</v>
      </c>
      <c r="V162" s="116">
        <v>0.219498</v>
      </c>
      <c r="W162" s="116">
        <v>23.5</v>
      </c>
      <c r="X162" s="257">
        <v>0.160108</v>
      </c>
      <c r="Y162" s="116">
        <v>9.51</v>
      </c>
      <c r="Z162" s="116">
        <v>1</v>
      </c>
      <c r="AA162" s="257">
        <v>0.170154</v>
      </c>
      <c r="AB162" s="116">
        <v>0</v>
      </c>
      <c r="AC162" s="257">
        <v>5.2996470000000002</v>
      </c>
      <c r="AD162" s="257">
        <v>1.164598</v>
      </c>
      <c r="AE162" s="257">
        <v>7.721285</v>
      </c>
      <c r="AF162" s="116">
        <v>0.5</v>
      </c>
      <c r="AG162" s="116">
        <v>0.55000000000000004</v>
      </c>
      <c r="AH162" s="116">
        <v>75</v>
      </c>
      <c r="AI162" s="116">
        <v>41.25</v>
      </c>
      <c r="AJ162" s="116">
        <f>IFERROR(VLOOKUP($B162,SWB!C160:BE543,37,FALSE),0)</f>
        <v>5</v>
      </c>
      <c r="AK162" s="116">
        <f t="shared" si="9"/>
        <v>5</v>
      </c>
      <c r="AL162" s="116">
        <f>IFERROR(VLOOKUP($B162,SWB!C160:BE543,38,FALSE),0)</f>
        <v>0</v>
      </c>
      <c r="AM162" s="116">
        <f>IFERROR(VLOOKUP($B162,SWB!C160:BE543,38,FALSE),0)</f>
        <v>0</v>
      </c>
      <c r="AN162" s="257">
        <f>IFERROR(VLOOKUP($B162,SWB!C160:BE543,40,FALSE),0)</f>
        <v>0.87779611368249155</v>
      </c>
      <c r="AO162" s="257">
        <f>IFERROR(VLOOKUP($B162,SWB!C160:BE543,43,FALSE),0)</f>
        <v>4.9156582366219528</v>
      </c>
      <c r="AP162" s="257">
        <v>7.7879459999999998</v>
      </c>
      <c r="AQ162" s="257">
        <f>IFERROR(VLOOKUP($B162,SWB!C160:BE543,44,FALSE),0)</f>
        <v>375.35021236309609</v>
      </c>
      <c r="AR162" s="116">
        <f t="shared" si="11"/>
        <v>215</v>
      </c>
      <c r="AS162" s="116">
        <v>186.9</v>
      </c>
      <c r="AT162" s="116" t="s">
        <v>131</v>
      </c>
      <c r="AU162" s="116" t="s">
        <v>131</v>
      </c>
      <c r="AV162" s="116" t="s">
        <v>131</v>
      </c>
      <c r="AW162" s="116" t="s">
        <v>131</v>
      </c>
      <c r="AX162" s="116" t="s">
        <v>131</v>
      </c>
      <c r="AY162" s="116" t="s">
        <v>131</v>
      </c>
      <c r="AZ162" s="116"/>
      <c r="BA162" s="116" t="s">
        <v>132</v>
      </c>
      <c r="BB162" s="116"/>
    </row>
    <row r="163" spans="1:54">
      <c r="A163" s="101" t="s">
        <v>135</v>
      </c>
      <c r="B163" s="69">
        <f t="shared" si="10"/>
        <v>42162</v>
      </c>
      <c r="C163" s="101" t="s">
        <v>135</v>
      </c>
      <c r="D163" s="116">
        <f>VLOOKUP(B163,SWB!$C$15:$H$244,6,FALSE)</f>
        <v>158</v>
      </c>
      <c r="E163" s="102">
        <f>VLOOKUP($B163,Clima!$W$8:$AI$1506,3,FALSE)</f>
        <v>29.3</v>
      </c>
      <c r="F163" s="102">
        <f>VLOOKUP($B163,Clima!$W$8:$AI$1506,4,FALSE)</f>
        <v>10.8</v>
      </c>
      <c r="G163" s="102">
        <f>VLOOKUP($B163,Clima!$W$8:$AI$1506,2,FALSE)</f>
        <v>20.100000000000001</v>
      </c>
      <c r="H163" s="102"/>
      <c r="I163" s="102">
        <f>VLOOKUP($B163,Clima!$W$8:$AI$1506,13,FALSE)</f>
        <v>6.7</v>
      </c>
      <c r="J163" s="102"/>
      <c r="K163" s="102"/>
      <c r="L163" s="102">
        <f>VLOOKUP($B163,Clima!$W$8:$AI$1506,12,FALSE)</f>
        <v>0</v>
      </c>
      <c r="M163" s="102">
        <f t="shared" si="8"/>
        <v>0</v>
      </c>
      <c r="N163" s="257">
        <f>VLOOKUP(B163,SWB!$C$15:$S$244,17,FALSE)</f>
        <v>1.0870222223999999</v>
      </c>
      <c r="O163" s="116"/>
      <c r="P163" s="116">
        <f>SWB!$M$4</f>
        <v>0.15</v>
      </c>
      <c r="Q163" s="257">
        <f>VLOOKUP(B163,SWB!$C$15:$AJ$244,34,FALSE)</f>
        <v>0.6</v>
      </c>
      <c r="R163" s="257">
        <f>VLOOKUP(B163,SWB!$C$15:$V$244,20,FALSE)</f>
        <v>1.1338733331349999</v>
      </c>
      <c r="S163" s="116">
        <v>4.43</v>
      </c>
      <c r="T163" s="116">
        <v>0.69519299999999995</v>
      </c>
      <c r="U163" s="116">
        <v>1</v>
      </c>
      <c r="V163" s="116">
        <v>0.30480699999999999</v>
      </c>
      <c r="W163" s="116">
        <v>23.5</v>
      </c>
      <c r="X163" s="257">
        <v>0.86964699999999995</v>
      </c>
      <c r="Y163" s="116">
        <v>9.51</v>
      </c>
      <c r="Z163" s="116">
        <v>1</v>
      </c>
      <c r="AA163" s="257">
        <v>0.244671</v>
      </c>
      <c r="AB163" s="116">
        <v>0</v>
      </c>
      <c r="AC163" s="257">
        <v>6.2879259999999997</v>
      </c>
      <c r="AD163" s="257">
        <v>1.1863379999999999</v>
      </c>
      <c r="AE163" s="257">
        <v>8.0077780000000001</v>
      </c>
      <c r="AF163" s="116">
        <v>0.5</v>
      </c>
      <c r="AG163" s="116">
        <v>0.55000000000000004</v>
      </c>
      <c r="AH163" s="116">
        <v>75</v>
      </c>
      <c r="AI163" s="116">
        <v>41.25</v>
      </c>
      <c r="AJ163" s="116">
        <f>IFERROR(VLOOKUP($B163,SWB!C161:BE544,37,FALSE),0)</f>
        <v>5</v>
      </c>
      <c r="AK163" s="116">
        <f t="shared" si="9"/>
        <v>5</v>
      </c>
      <c r="AL163" s="116">
        <f>IFERROR(VLOOKUP($B163,SWB!C161:BE544,38,FALSE),0)</f>
        <v>0</v>
      </c>
      <c r="AM163" s="116">
        <f>IFERROR(VLOOKUP($B163,SWB!C161:BE544,38,FALSE),0)</f>
        <v>0</v>
      </c>
      <c r="AN163" s="257">
        <f>IFERROR(VLOOKUP($B163,SWB!C161:BE544,40,FALSE),0)</f>
        <v>0.85753578356564308</v>
      </c>
      <c r="AO163" s="257">
        <f>IFERROR(VLOOKUP($B163,SWB!C161:BE544,43,FALSE),0)</f>
        <v>5.1452147013938587</v>
      </c>
      <c r="AP163" s="257">
        <v>11.365724</v>
      </c>
      <c r="AQ163" s="257">
        <f>IFERROR(VLOOKUP($B163,SWB!C161:BE544,44,FALSE),0)</f>
        <v>380.49542706448995</v>
      </c>
      <c r="AR163" s="116">
        <f t="shared" si="11"/>
        <v>220</v>
      </c>
      <c r="AS163" s="116">
        <v>186.9</v>
      </c>
      <c r="AT163" s="116" t="s">
        <v>131</v>
      </c>
      <c r="AU163" s="116" t="s">
        <v>131</v>
      </c>
      <c r="AV163" s="116" t="s">
        <v>131</v>
      </c>
      <c r="AW163" s="116" t="s">
        <v>131</v>
      </c>
      <c r="AX163" s="116" t="s">
        <v>131</v>
      </c>
      <c r="AY163" s="116" t="s">
        <v>131</v>
      </c>
      <c r="AZ163" s="116"/>
      <c r="BA163" s="116" t="s">
        <v>132</v>
      </c>
      <c r="BB163" s="116"/>
    </row>
    <row r="164" spans="1:54">
      <c r="A164" s="101" t="s">
        <v>135</v>
      </c>
      <c r="B164" s="69">
        <f t="shared" si="10"/>
        <v>42163</v>
      </c>
      <c r="C164" s="101" t="s">
        <v>135</v>
      </c>
      <c r="D164" s="116">
        <f>VLOOKUP(B164,SWB!$C$15:$H$244,6,FALSE)</f>
        <v>159</v>
      </c>
      <c r="E164" s="102">
        <f>VLOOKUP($B164,Clima!$W$8:$AI$1506,3,FALSE)</f>
        <v>29.4</v>
      </c>
      <c r="F164" s="102">
        <f>VLOOKUP($B164,Clima!$W$8:$AI$1506,4,FALSE)</f>
        <v>9.8000000000000007</v>
      </c>
      <c r="G164" s="102">
        <f>VLOOKUP($B164,Clima!$W$8:$AI$1506,2,FALSE)</f>
        <v>20.5</v>
      </c>
      <c r="H164" s="102"/>
      <c r="I164" s="102">
        <f>VLOOKUP($B164,Clima!$W$8:$AI$1506,13,FALSE)</f>
        <v>6.3</v>
      </c>
      <c r="J164" s="102"/>
      <c r="K164" s="102"/>
      <c r="L164" s="102">
        <f>VLOOKUP($B164,Clima!$W$8:$AI$1506,12,FALSE)</f>
        <v>0</v>
      </c>
      <c r="M164" s="102">
        <f t="shared" si="8"/>
        <v>0</v>
      </c>
      <c r="N164" s="257">
        <f>VLOOKUP(B164,SWB!$C$15:$S$244,17,FALSE)</f>
        <v>1.0460333333999998</v>
      </c>
      <c r="O164" s="116"/>
      <c r="P164" s="116">
        <f>SWB!$M$4</f>
        <v>0.15</v>
      </c>
      <c r="Q164" s="257">
        <f>VLOOKUP(B164,SWB!$C$15:$AJ$244,34,FALSE)</f>
        <v>0.6</v>
      </c>
      <c r="R164" s="257">
        <f>VLOOKUP(B164,SWB!$C$15:$V$244,20,FALSE)</f>
        <v>1.1338733331349999</v>
      </c>
      <c r="S164" s="116">
        <v>4.43</v>
      </c>
      <c r="T164" s="116">
        <v>0.64265399999999995</v>
      </c>
      <c r="U164" s="116">
        <v>1</v>
      </c>
      <c r="V164" s="116">
        <v>0.357346</v>
      </c>
      <c r="W164" s="116">
        <v>23.5</v>
      </c>
      <c r="X164" s="257">
        <v>1.857926</v>
      </c>
      <c r="Y164" s="116">
        <v>9.51</v>
      </c>
      <c r="Z164" s="116">
        <v>1</v>
      </c>
      <c r="AA164" s="257">
        <v>0.286333</v>
      </c>
      <c r="AB164" s="116">
        <v>0</v>
      </c>
      <c r="AC164" s="257">
        <v>7.0662370000000001</v>
      </c>
      <c r="AD164" s="257">
        <v>1.175222</v>
      </c>
      <c r="AE164" s="257">
        <v>7.6389440000000004</v>
      </c>
      <c r="AF164" s="116">
        <v>0.5</v>
      </c>
      <c r="AG164" s="116">
        <v>0.55000000000000004</v>
      </c>
      <c r="AH164" s="116">
        <v>75</v>
      </c>
      <c r="AI164" s="116">
        <v>41.25</v>
      </c>
      <c r="AJ164" s="116">
        <f>IFERROR(VLOOKUP($B164,SWB!C162:BE545,37,FALSE),0)</f>
        <v>5</v>
      </c>
      <c r="AK164" s="116">
        <f t="shared" si="9"/>
        <v>5</v>
      </c>
      <c r="AL164" s="116">
        <f>IFERROR(VLOOKUP($B164,SWB!C162:BE545,38,FALSE),0)</f>
        <v>0</v>
      </c>
      <c r="AM164" s="116">
        <f>IFERROR(VLOOKUP($B164,SWB!C162:BE545,38,FALSE),0)</f>
        <v>0</v>
      </c>
      <c r="AN164" s="257">
        <f>IFERROR(VLOOKUP($B164,SWB!C162:BE545,40,FALSE),0)</f>
        <v>0.81396795162381397</v>
      </c>
      <c r="AO164" s="257">
        <f>IFERROR(VLOOKUP($B164,SWB!C162:BE545,43,FALSE),0)</f>
        <v>5.3721884807171723</v>
      </c>
      <c r="AP164" s="257">
        <v>14.574668000000001</v>
      </c>
      <c r="AQ164" s="257">
        <f>IFERROR(VLOOKUP($B164,SWB!C162:BE545,44,FALSE),0)</f>
        <v>385.86761554520712</v>
      </c>
      <c r="AR164" s="116">
        <f t="shared" si="11"/>
        <v>225</v>
      </c>
      <c r="AS164" s="116">
        <v>186.9</v>
      </c>
      <c r="AT164" s="116" t="s">
        <v>131</v>
      </c>
      <c r="AU164" s="116" t="s">
        <v>131</v>
      </c>
      <c r="AV164" s="116" t="s">
        <v>131</v>
      </c>
      <c r="AW164" s="116" t="s">
        <v>131</v>
      </c>
      <c r="AX164" s="116" t="s">
        <v>131</v>
      </c>
      <c r="AY164" s="116" t="s">
        <v>131</v>
      </c>
      <c r="AZ164" s="116"/>
      <c r="BA164" s="116" t="s">
        <v>132</v>
      </c>
      <c r="BB164" s="116"/>
    </row>
    <row r="165" spans="1:54">
      <c r="A165" s="101" t="s">
        <v>135</v>
      </c>
      <c r="B165" s="69">
        <f t="shared" si="10"/>
        <v>42164</v>
      </c>
      <c r="C165" s="101" t="s">
        <v>135</v>
      </c>
      <c r="D165" s="116">
        <f>VLOOKUP(B165,SWB!$C$15:$H$244,6,FALSE)</f>
        <v>160</v>
      </c>
      <c r="E165" s="102">
        <f>VLOOKUP($B165,Clima!$W$8:$AI$1506,3,FALSE)</f>
        <v>30.6</v>
      </c>
      <c r="F165" s="102">
        <f>VLOOKUP($B165,Clima!$W$8:$AI$1506,4,FALSE)</f>
        <v>12.5</v>
      </c>
      <c r="G165" s="102">
        <f>VLOOKUP($B165,Clima!$W$8:$AI$1506,2,FALSE)</f>
        <v>21.4</v>
      </c>
      <c r="H165" s="102"/>
      <c r="I165" s="102">
        <f>VLOOKUP($B165,Clima!$W$8:$AI$1506,13,FALSE)</f>
        <v>6.1</v>
      </c>
      <c r="J165" s="102"/>
      <c r="K165" s="102"/>
      <c r="L165" s="102">
        <f>VLOOKUP($B165,Clima!$W$8:$AI$1506,12,FALSE)</f>
        <v>5.7</v>
      </c>
      <c r="M165" s="102">
        <f t="shared" si="8"/>
        <v>5.7</v>
      </c>
      <c r="N165" s="257">
        <f>VLOOKUP(B165,SWB!$C$15:$S$244,17,FALSE)</f>
        <v>1.0050444444</v>
      </c>
      <c r="O165" s="116"/>
      <c r="P165" s="116">
        <f>SWB!$M$4</f>
        <v>0.15</v>
      </c>
      <c r="Q165" s="257">
        <f>VLOOKUP(B165,SWB!$C$15:$AJ$244,34,FALSE)</f>
        <v>0.6</v>
      </c>
      <c r="R165" s="257">
        <f>VLOOKUP(B165,SWB!$C$15:$V$244,20,FALSE)</f>
        <v>1.1338733331349999</v>
      </c>
      <c r="S165" s="116">
        <v>9.86</v>
      </c>
      <c r="T165" s="116">
        <v>0.58303799999999995</v>
      </c>
      <c r="U165" s="116">
        <v>1</v>
      </c>
      <c r="V165" s="116">
        <v>0.416962</v>
      </c>
      <c r="W165" s="116">
        <v>23.5</v>
      </c>
      <c r="X165" s="257">
        <v>0</v>
      </c>
      <c r="Y165" s="116">
        <v>9.51</v>
      </c>
      <c r="Z165" s="116">
        <v>1</v>
      </c>
      <c r="AA165" s="257">
        <v>0.33706900000000001</v>
      </c>
      <c r="AB165" s="257">
        <v>2.7937630000000002</v>
      </c>
      <c r="AC165" s="257">
        <v>5.3838999999999997</v>
      </c>
      <c r="AD165" s="257">
        <v>1.1731799999999999</v>
      </c>
      <c r="AE165" s="257">
        <v>7.8133790000000003</v>
      </c>
      <c r="AF165" s="116">
        <v>0.5</v>
      </c>
      <c r="AG165" s="116">
        <v>0.55000000000000004</v>
      </c>
      <c r="AH165" s="116">
        <v>75</v>
      </c>
      <c r="AI165" s="116">
        <v>41.25</v>
      </c>
      <c r="AJ165" s="116">
        <f>IFERROR(VLOOKUP($B165,SWB!C163:BE546,37,FALSE),0)</f>
        <v>5</v>
      </c>
      <c r="AK165" s="116">
        <f t="shared" si="9"/>
        <v>5</v>
      </c>
      <c r="AL165" s="116">
        <f>IFERROR(VLOOKUP($B165,SWB!C163:BE546,38,FALSE),0)</f>
        <v>0</v>
      </c>
      <c r="AM165" s="116">
        <f>IFERROR(VLOOKUP($B165,SWB!C163:BE546,38,FALSE),0)</f>
        <v>0</v>
      </c>
      <c r="AN165" s="257">
        <f>IFERROR(VLOOKUP($B165,SWB!C163:BE546,40,FALSE),0)</f>
        <v>1.0395371094350354</v>
      </c>
      <c r="AO165" s="257">
        <f>IFERROR(VLOOKUP($B165,SWB!C163:BE546,43,FALSE),0)</f>
        <v>7.3807134769887508</v>
      </c>
      <c r="AP165" s="257">
        <v>12.528047000000001</v>
      </c>
      <c r="AQ165" s="257">
        <f>IFERROR(VLOOKUP($B165,SWB!C163:BE546,44,FALSE),0)</f>
        <v>393.24832902219589</v>
      </c>
      <c r="AR165" s="116">
        <f t="shared" si="11"/>
        <v>230</v>
      </c>
      <c r="AS165" s="116">
        <v>186.9</v>
      </c>
      <c r="AT165" s="116" t="s">
        <v>131</v>
      </c>
      <c r="AU165" s="116" t="s">
        <v>131</v>
      </c>
      <c r="AV165" s="116" t="s">
        <v>131</v>
      </c>
      <c r="AW165" s="116" t="s">
        <v>131</v>
      </c>
      <c r="AX165" s="116" t="s">
        <v>131</v>
      </c>
      <c r="AY165" s="116" t="s">
        <v>131</v>
      </c>
      <c r="AZ165" s="116"/>
      <c r="BA165" s="116" t="s">
        <v>132</v>
      </c>
      <c r="BB165" s="116"/>
    </row>
    <row r="166" spans="1:54">
      <c r="A166" s="101" t="s">
        <v>135</v>
      </c>
      <c r="B166" s="69">
        <f t="shared" si="10"/>
        <v>42165</v>
      </c>
      <c r="C166" s="101" t="s">
        <v>135</v>
      </c>
      <c r="D166" s="116">
        <f>VLOOKUP(B166,SWB!$C$15:$H$244,6,FALSE)</f>
        <v>161</v>
      </c>
      <c r="E166" s="102">
        <f>VLOOKUP($B166,Clima!$W$8:$AI$1506,3,FALSE)</f>
        <v>27.4</v>
      </c>
      <c r="F166" s="102">
        <f>VLOOKUP($B166,Clima!$W$8:$AI$1506,4,FALSE)</f>
        <v>14.9</v>
      </c>
      <c r="G166" s="102">
        <f>VLOOKUP($B166,Clima!$W$8:$AI$1506,2,FALSE)</f>
        <v>19.7</v>
      </c>
      <c r="H166" s="102"/>
      <c r="I166" s="102">
        <f>VLOOKUP($B166,Clima!$W$8:$AI$1506,13,FALSE)</f>
        <v>4.7</v>
      </c>
      <c r="J166" s="102"/>
      <c r="K166" s="102"/>
      <c r="L166" s="102">
        <f>VLOOKUP($B166,Clima!$W$8:$AI$1506,12,FALSE)</f>
        <v>1</v>
      </c>
      <c r="M166" s="102">
        <f t="shared" si="8"/>
        <v>1</v>
      </c>
      <c r="N166" s="257">
        <f>VLOOKUP(B166,SWB!$C$15:$S$244,17,FALSE)</f>
        <v>0.96405555539999999</v>
      </c>
      <c r="O166" s="116"/>
      <c r="P166" s="116">
        <f>SWB!$M$4</f>
        <v>0.15</v>
      </c>
      <c r="Q166" s="257">
        <f>VLOOKUP(B166,SWB!$C$15:$AJ$244,34,FALSE)</f>
        <v>0.6</v>
      </c>
      <c r="R166" s="257">
        <f>VLOOKUP(B166,SWB!$C$15:$V$244,20,FALSE)</f>
        <v>1.1338733331349999</v>
      </c>
      <c r="S166" s="116">
        <v>9.86</v>
      </c>
      <c r="T166" s="116">
        <v>0.52434000000000003</v>
      </c>
      <c r="U166" s="116">
        <v>1</v>
      </c>
      <c r="V166" s="116">
        <v>0.47566000000000003</v>
      </c>
      <c r="W166" s="116">
        <v>23.5</v>
      </c>
      <c r="X166" s="257">
        <v>0</v>
      </c>
      <c r="Y166" s="116">
        <v>9.51</v>
      </c>
      <c r="Z166" s="116">
        <v>1</v>
      </c>
      <c r="AA166" s="257">
        <v>0.38837300000000002</v>
      </c>
      <c r="AB166" s="257">
        <v>4.4760999999999997</v>
      </c>
      <c r="AC166" s="257">
        <v>5.4623460000000001</v>
      </c>
      <c r="AD166" s="257">
        <v>1.1717070000000001</v>
      </c>
      <c r="AE166" s="257">
        <v>7.8387180000000001</v>
      </c>
      <c r="AF166" s="116">
        <v>0.5</v>
      </c>
      <c r="AG166" s="116">
        <v>0.55000000000000004</v>
      </c>
      <c r="AH166" s="116">
        <v>75</v>
      </c>
      <c r="AI166" s="116">
        <v>41.25</v>
      </c>
      <c r="AJ166" s="116">
        <f>IFERROR(VLOOKUP($B166,SWB!C164:BE547,37,FALSE),0)</f>
        <v>5</v>
      </c>
      <c r="AK166" s="116">
        <f t="shared" si="9"/>
        <v>5</v>
      </c>
      <c r="AL166" s="116">
        <f>IFERROR(VLOOKUP($B166,SWB!C164:BE547,38,FALSE),0)</f>
        <v>0</v>
      </c>
      <c r="AM166" s="116">
        <f>IFERROR(VLOOKUP($B166,SWB!C164:BE547,38,FALSE),0)</f>
        <v>0</v>
      </c>
      <c r="AN166" s="257">
        <f>IFERROR(VLOOKUP($B166,SWB!C164:BE547,40,FALSE),0)</f>
        <v>0.97726669358426621</v>
      </c>
      <c r="AO166" s="257">
        <f>IFERROR(VLOOKUP($B166,SWB!C164:BE547,43,FALSE),0)</f>
        <v>6.7431401857314368</v>
      </c>
      <c r="AP166" s="257">
        <v>10.506765</v>
      </c>
      <c r="AQ166" s="257">
        <f>IFERROR(VLOOKUP($B166,SWB!C164:BE547,44,FALSE),0)</f>
        <v>399.99146920792731</v>
      </c>
      <c r="AR166" s="116">
        <f t="shared" si="11"/>
        <v>235</v>
      </c>
      <c r="AS166" s="116">
        <v>186.9</v>
      </c>
      <c r="AT166" s="116" t="s">
        <v>131</v>
      </c>
      <c r="AU166" s="116" t="s">
        <v>131</v>
      </c>
      <c r="AV166" s="116" t="s">
        <v>131</v>
      </c>
      <c r="AW166" s="116" t="s">
        <v>131</v>
      </c>
      <c r="AX166" s="116" t="s">
        <v>131</v>
      </c>
      <c r="AY166" s="116" t="s">
        <v>131</v>
      </c>
      <c r="AZ166" s="116"/>
      <c r="BA166" s="116" t="s">
        <v>132</v>
      </c>
      <c r="BB166" s="116"/>
    </row>
    <row r="167" spans="1:54">
      <c r="A167" s="101" t="s">
        <v>135</v>
      </c>
      <c r="B167" s="69">
        <f t="shared" si="10"/>
        <v>42166</v>
      </c>
      <c r="C167" s="101" t="s">
        <v>135</v>
      </c>
      <c r="D167" s="116">
        <f>VLOOKUP(B167,SWB!$C$15:$H$244,6,FALSE)</f>
        <v>162</v>
      </c>
      <c r="E167" s="102">
        <f>VLOOKUP($B167,Clima!$W$8:$AI$1506,3,FALSE)</f>
        <v>24.3</v>
      </c>
      <c r="F167" s="102">
        <f>VLOOKUP($B167,Clima!$W$8:$AI$1506,4,FALSE)</f>
        <v>12.8</v>
      </c>
      <c r="G167" s="102">
        <f>VLOOKUP($B167,Clima!$W$8:$AI$1506,2,FALSE)</f>
        <v>17.3</v>
      </c>
      <c r="H167" s="102"/>
      <c r="I167" s="102">
        <f>VLOOKUP($B167,Clima!$W$8:$AI$1506,13,FALSE)</f>
        <v>3.9</v>
      </c>
      <c r="J167" s="102"/>
      <c r="K167" s="102"/>
      <c r="L167" s="102">
        <f>VLOOKUP($B167,Clima!$W$8:$AI$1506,12,FALSE)</f>
        <v>23.3</v>
      </c>
      <c r="M167" s="102">
        <f t="shared" si="8"/>
        <v>23.3</v>
      </c>
      <c r="N167" s="257">
        <f>VLOOKUP(B167,SWB!$C$15:$S$244,17,FALSE)</f>
        <v>0.92306666640000012</v>
      </c>
      <c r="O167" s="116"/>
      <c r="P167" s="116">
        <f>SWB!$M$4</f>
        <v>0.15</v>
      </c>
      <c r="Q167" s="257">
        <f>VLOOKUP(B167,SWB!$C$15:$AJ$244,34,FALSE)</f>
        <v>0.6</v>
      </c>
      <c r="R167" s="257">
        <f>VLOOKUP(B167,SWB!$C$15:$V$244,20,FALSE)</f>
        <v>1.1338733331349999</v>
      </c>
      <c r="S167" s="116">
        <v>4.43</v>
      </c>
      <c r="T167" s="116">
        <v>0.48039900000000002</v>
      </c>
      <c r="U167" s="116">
        <v>1</v>
      </c>
      <c r="V167" s="116">
        <v>0.51960099999999998</v>
      </c>
      <c r="W167" s="116">
        <v>23.5</v>
      </c>
      <c r="X167" s="257">
        <v>1.032346</v>
      </c>
      <c r="Y167" s="116">
        <v>9.51</v>
      </c>
      <c r="Z167" s="116">
        <v>1</v>
      </c>
      <c r="AA167" s="257">
        <v>0.41874</v>
      </c>
      <c r="AB167" s="116">
        <v>0</v>
      </c>
      <c r="AC167" s="257">
        <v>6.0852599999999999</v>
      </c>
      <c r="AD167" s="257">
        <v>1.149295</v>
      </c>
      <c r="AE167" s="257">
        <v>7.20608</v>
      </c>
      <c r="AF167" s="116">
        <v>0.5</v>
      </c>
      <c r="AG167" s="116">
        <v>0.55000000000000004</v>
      </c>
      <c r="AH167" s="116">
        <v>75</v>
      </c>
      <c r="AI167" s="116">
        <v>41.25</v>
      </c>
      <c r="AJ167" s="116">
        <f>IFERROR(VLOOKUP($B167,SWB!C165:BE548,37,FALSE),0)</f>
        <v>5</v>
      </c>
      <c r="AK167" s="116">
        <f t="shared" si="9"/>
        <v>5</v>
      </c>
      <c r="AL167" s="116">
        <f>IFERROR(VLOOKUP($B167,SWB!C165:BE548,38,FALSE),0)</f>
        <v>0</v>
      </c>
      <c r="AM167" s="116">
        <f>IFERROR(VLOOKUP($B167,SWB!C165:BE548,38,FALSE),0)</f>
        <v>0</v>
      </c>
      <c r="AN167" s="257">
        <f>IFERROR(VLOOKUP($B167,SWB!C165:BE548,40,FALSE),0)</f>
        <v>1.0370162159864864</v>
      </c>
      <c r="AO167" s="257">
        <f>IFERROR(VLOOKUP($B167,SWB!C165:BE548,43,FALSE),0)</f>
        <v>7.6739199982999997</v>
      </c>
      <c r="AP167" s="257">
        <v>13.282845</v>
      </c>
      <c r="AQ167" s="257">
        <f>IFERROR(VLOOKUP($B167,SWB!C165:BE548,44,FALSE),0)</f>
        <v>407.6653892062273</v>
      </c>
      <c r="AR167" s="116">
        <f t="shared" si="11"/>
        <v>240</v>
      </c>
      <c r="AS167" s="116">
        <v>186.9</v>
      </c>
      <c r="AT167" s="116" t="s">
        <v>131</v>
      </c>
      <c r="AU167" s="116" t="s">
        <v>131</v>
      </c>
      <c r="AV167" s="116" t="s">
        <v>131</v>
      </c>
      <c r="AW167" s="116" t="s">
        <v>131</v>
      </c>
      <c r="AX167" s="116" t="s">
        <v>131</v>
      </c>
      <c r="AY167" s="116" t="s">
        <v>131</v>
      </c>
      <c r="AZ167" s="116"/>
      <c r="BA167" s="116" t="s">
        <v>132</v>
      </c>
      <c r="BB167" s="116"/>
    </row>
    <row r="168" spans="1:54">
      <c r="A168" s="101" t="s">
        <v>135</v>
      </c>
      <c r="B168" s="69">
        <f t="shared" si="10"/>
        <v>42167</v>
      </c>
      <c r="C168" s="101" t="s">
        <v>135</v>
      </c>
      <c r="D168" s="116">
        <f>VLOOKUP(B168,SWB!$C$15:$H$244,6,FALSE)</f>
        <v>163</v>
      </c>
      <c r="E168" s="102">
        <f>VLOOKUP($B168,Clima!$W$8:$AI$1506,3,FALSE)</f>
        <v>23.5</v>
      </c>
      <c r="F168" s="102">
        <f>VLOOKUP($B168,Clima!$W$8:$AI$1506,4,FALSE)</f>
        <v>10.5</v>
      </c>
      <c r="G168" s="102">
        <f>VLOOKUP($B168,Clima!$W$8:$AI$1506,2,FALSE)</f>
        <v>17.600000000000001</v>
      </c>
      <c r="H168" s="102"/>
      <c r="I168" s="102">
        <f>VLOOKUP($B168,Clima!$W$8:$AI$1506,13,FALSE)</f>
        <v>4.4000000000000004</v>
      </c>
      <c r="J168" s="102"/>
      <c r="K168" s="102"/>
      <c r="L168" s="102">
        <f>VLOOKUP($B168,Clima!$W$8:$AI$1506,12,FALSE)</f>
        <v>0</v>
      </c>
      <c r="M168" s="102">
        <f t="shared" si="8"/>
        <v>0</v>
      </c>
      <c r="N168" s="257">
        <f>VLOOKUP(B168,SWB!$C$15:$S$244,17,FALSE)</f>
        <v>0.88207777740000015</v>
      </c>
      <c r="O168" s="116"/>
      <c r="P168" s="116">
        <f>SWB!$M$4</f>
        <v>0.15</v>
      </c>
      <c r="Q168" s="257">
        <f>VLOOKUP(B168,SWB!$C$15:$AJ$244,34,FALSE)</f>
        <v>0.6</v>
      </c>
      <c r="R168" s="257">
        <f>VLOOKUP(B168,SWB!$C$15:$V$244,20,FALSE)</f>
        <v>1.1338733331349999</v>
      </c>
      <c r="S168" s="116">
        <v>4.43</v>
      </c>
      <c r="T168" s="116">
        <v>0.417406</v>
      </c>
      <c r="U168" s="116">
        <v>1</v>
      </c>
      <c r="V168" s="116">
        <v>0.58259399999999995</v>
      </c>
      <c r="W168" s="116">
        <v>23.5</v>
      </c>
      <c r="X168" s="257">
        <v>0</v>
      </c>
      <c r="Y168" s="116">
        <v>9.51</v>
      </c>
      <c r="Z168" s="116">
        <v>1</v>
      </c>
      <c r="AA168" s="257">
        <v>0.48035800000000001</v>
      </c>
      <c r="AB168" s="257">
        <v>4.0247400000000004</v>
      </c>
      <c r="AC168" s="257">
        <v>5.0212979999999998</v>
      </c>
      <c r="AD168" s="257">
        <v>1.1581360000000001</v>
      </c>
      <c r="AE168" s="257">
        <v>7.0530460000000001</v>
      </c>
      <c r="AF168" s="116">
        <v>0.5</v>
      </c>
      <c r="AG168" s="116">
        <v>0.55000000000000004</v>
      </c>
      <c r="AH168" s="116">
        <v>75</v>
      </c>
      <c r="AI168" s="116">
        <v>41.25</v>
      </c>
      <c r="AJ168" s="116">
        <f>IFERROR(VLOOKUP($B168,SWB!C166:BE549,37,FALSE),0)</f>
        <v>0</v>
      </c>
      <c r="AK168" s="116">
        <f t="shared" si="9"/>
        <v>0</v>
      </c>
      <c r="AL168" s="116">
        <f>IFERROR(VLOOKUP($B168,SWB!C166:BE549,38,FALSE),0)</f>
        <v>0</v>
      </c>
      <c r="AM168" s="116">
        <f>IFERROR(VLOOKUP($B168,SWB!C166:BE549,38,FALSE),0)</f>
        <v>0</v>
      </c>
      <c r="AN168" s="257">
        <f>IFERROR(VLOOKUP($B168,SWB!C166:BE549,40,FALSE),0)</f>
        <v>1.0039817608038355</v>
      </c>
      <c r="AO168" s="257">
        <f>IFERROR(VLOOKUP($B168,SWB!C166:BE549,43,FALSE),0)</f>
        <v>6.2246869169837806</v>
      </c>
      <c r="AP168" s="257">
        <v>10.225891000000001</v>
      </c>
      <c r="AQ168" s="257">
        <f>IFERROR(VLOOKUP($B168,SWB!C166:BE549,44,FALSE),0)</f>
        <v>413.89007612321109</v>
      </c>
      <c r="AR168" s="116">
        <f t="shared" si="11"/>
        <v>245</v>
      </c>
      <c r="AS168" s="116">
        <v>192.58</v>
      </c>
      <c r="AT168" s="116" t="s">
        <v>131</v>
      </c>
      <c r="AU168" s="116" t="s">
        <v>131</v>
      </c>
      <c r="AV168" s="116" t="s">
        <v>131</v>
      </c>
      <c r="AW168" s="116" t="s">
        <v>131</v>
      </c>
      <c r="AX168" s="116" t="s">
        <v>131</v>
      </c>
      <c r="AY168" s="116" t="s">
        <v>131</v>
      </c>
      <c r="AZ168" s="116"/>
      <c r="BA168" s="116" t="s">
        <v>132</v>
      </c>
      <c r="BB168" s="116"/>
    </row>
    <row r="169" spans="1:54">
      <c r="A169" s="101" t="s">
        <v>135</v>
      </c>
      <c r="B169" s="69">
        <f t="shared" si="10"/>
        <v>42168</v>
      </c>
      <c r="C169" s="101" t="s">
        <v>135</v>
      </c>
      <c r="D169" s="116">
        <f>VLOOKUP(B169,SWB!$C$15:$H$244,6,FALSE)</f>
        <v>164</v>
      </c>
      <c r="E169" s="102">
        <f>VLOOKUP($B169,Clima!$W$8:$AI$1506,3,FALSE)</f>
        <v>23.7</v>
      </c>
      <c r="F169" s="102">
        <f>VLOOKUP($B169,Clima!$W$8:$AI$1506,4,FALSE)</f>
        <v>11.2</v>
      </c>
      <c r="G169" s="102">
        <f>VLOOKUP($B169,Clima!$W$8:$AI$1506,2,FALSE)</f>
        <v>17.5</v>
      </c>
      <c r="H169" s="102"/>
      <c r="I169" s="102">
        <f>VLOOKUP($B169,Clima!$W$8:$AI$1506,13,FALSE)</f>
        <v>5.3</v>
      </c>
      <c r="J169" s="102"/>
      <c r="K169" s="102"/>
      <c r="L169" s="102">
        <f>VLOOKUP($B169,Clima!$W$8:$AI$1506,12,FALSE)</f>
        <v>0</v>
      </c>
      <c r="M169" s="102">
        <f t="shared" si="8"/>
        <v>0</v>
      </c>
      <c r="N169" s="257">
        <f>VLOOKUP(B169,SWB!$C$15:$S$244,17,FALSE)</f>
        <v>0.84108888840000018</v>
      </c>
      <c r="O169" s="116"/>
      <c r="P169" s="116">
        <f>SWB!$M$4</f>
        <v>0.15</v>
      </c>
      <c r="Q169" s="257">
        <f>VLOOKUP(B169,SWB!$C$15:$AJ$244,34,FALSE)</f>
        <v>0.6</v>
      </c>
      <c r="R169" s="257">
        <f>VLOOKUP(B169,SWB!$C$15:$V$244,20,FALSE)</f>
        <v>1.1338733331349999</v>
      </c>
      <c r="S169" s="116">
        <v>4.43</v>
      </c>
      <c r="T169" s="116">
        <v>0.37462699999999999</v>
      </c>
      <c r="U169" s="116">
        <v>1</v>
      </c>
      <c r="V169" s="116">
        <v>0.62537299999999996</v>
      </c>
      <c r="W169" s="116">
        <v>23.5</v>
      </c>
      <c r="X169" s="257">
        <v>0</v>
      </c>
      <c r="Y169" s="116">
        <v>9.51</v>
      </c>
      <c r="Z169" s="116">
        <v>1</v>
      </c>
      <c r="AA169" s="257">
        <v>0.50798399999999999</v>
      </c>
      <c r="AB169" s="257">
        <v>0.38870199999999999</v>
      </c>
      <c r="AC169" s="257">
        <v>3.8502510000000001</v>
      </c>
      <c r="AD169" s="257">
        <v>1.132984</v>
      </c>
      <c r="AE169" s="257">
        <v>5.3703440000000002</v>
      </c>
      <c r="AF169" s="116">
        <v>0.5</v>
      </c>
      <c r="AG169" s="116">
        <v>0.55000000000000004</v>
      </c>
      <c r="AH169" s="116">
        <v>75</v>
      </c>
      <c r="AI169" s="116">
        <v>41.25</v>
      </c>
      <c r="AJ169" s="116">
        <f>IFERROR(VLOOKUP($B169,SWB!C167:BE550,37,FALSE),0)</f>
        <v>0</v>
      </c>
      <c r="AK169" s="116">
        <f t="shared" si="9"/>
        <v>0</v>
      </c>
      <c r="AL169" s="116">
        <f>IFERROR(VLOOKUP($B169,SWB!C167:BE550,38,FALSE),0)</f>
        <v>0</v>
      </c>
      <c r="AM169" s="116">
        <f>IFERROR(VLOOKUP($B169,SWB!C167:BE550,38,FALSE),0)</f>
        <v>0</v>
      </c>
      <c r="AN169" s="257">
        <f>IFERROR(VLOOKUP($B169,SWB!C167:BE550,40,FALSE),0)</f>
        <v>0.84108888840000018</v>
      </c>
      <c r="AO169" s="257">
        <f>IFERROR(VLOOKUP($B169,SWB!C167:BE550,43,FALSE),0)</f>
        <v>5.3829688857600013</v>
      </c>
      <c r="AP169" s="257">
        <v>10.186235999999999</v>
      </c>
      <c r="AQ169" s="257">
        <f>IFERROR(VLOOKUP($B169,SWB!C167:BE550,44,FALSE),0)</f>
        <v>419.27304500897111</v>
      </c>
      <c r="AR169" s="116">
        <f t="shared" si="11"/>
        <v>245</v>
      </c>
      <c r="AS169" s="116">
        <v>193.56</v>
      </c>
      <c r="AT169" s="116" t="s">
        <v>131</v>
      </c>
      <c r="AU169" s="116" t="s">
        <v>131</v>
      </c>
      <c r="AV169" s="116" t="s">
        <v>131</v>
      </c>
      <c r="AW169" s="116" t="s">
        <v>131</v>
      </c>
      <c r="AX169" s="116" t="s">
        <v>131</v>
      </c>
      <c r="AY169" s="116" t="s">
        <v>131</v>
      </c>
      <c r="AZ169" s="116"/>
      <c r="BA169" s="116" t="s">
        <v>132</v>
      </c>
      <c r="BB169" s="116"/>
    </row>
    <row r="170" spans="1:54">
      <c r="A170" s="101" t="s">
        <v>135</v>
      </c>
      <c r="B170" s="69">
        <f t="shared" si="10"/>
        <v>42169</v>
      </c>
      <c r="C170" s="101" t="s">
        <v>135</v>
      </c>
      <c r="D170" s="116">
        <f>VLOOKUP(B170,SWB!$C$15:$H$244,6,FALSE)</f>
        <v>165</v>
      </c>
      <c r="E170" s="102">
        <f>VLOOKUP($B170,Clima!$W$8:$AI$1506,3,FALSE)</f>
        <v>22</v>
      </c>
      <c r="F170" s="102">
        <f>VLOOKUP($B170,Clima!$W$8:$AI$1506,4,FALSE)</f>
        <v>9.6999999999999993</v>
      </c>
      <c r="G170" s="102">
        <f>VLOOKUP($B170,Clima!$W$8:$AI$1506,2,FALSE)</f>
        <v>16</v>
      </c>
      <c r="H170" s="102"/>
      <c r="I170" s="102">
        <f>VLOOKUP($B170,Clima!$W$8:$AI$1506,13,FALSE)</f>
        <v>5.0999999999999996</v>
      </c>
      <c r="J170" s="102"/>
      <c r="K170" s="102"/>
      <c r="L170" s="102">
        <f>VLOOKUP($B170,Clima!$W$8:$AI$1506,12,FALSE)</f>
        <v>0</v>
      </c>
      <c r="M170" s="102">
        <f t="shared" si="8"/>
        <v>0</v>
      </c>
      <c r="N170" s="257">
        <f>VLOOKUP(B170,SWB!$C$15:$S$244,17,FALSE)</f>
        <v>0.80009999940000032</v>
      </c>
      <c r="O170" s="116"/>
      <c r="P170" s="116">
        <f>SWB!$M$4</f>
        <v>0.15</v>
      </c>
      <c r="Q170" s="257">
        <f>VLOOKUP(B170,SWB!$C$15:$AJ$244,34,FALSE)</f>
        <v>0.6</v>
      </c>
      <c r="R170" s="257">
        <f>VLOOKUP(B170,SWB!$C$15:$V$244,20,FALSE)</f>
        <v>1.1338733331349999</v>
      </c>
      <c r="S170" s="116">
        <v>4.43</v>
      </c>
      <c r="T170" s="116">
        <v>0.340335</v>
      </c>
      <c r="U170" s="116">
        <v>1</v>
      </c>
      <c r="V170" s="116">
        <v>0.65966499999999995</v>
      </c>
      <c r="W170" s="116">
        <v>23.5</v>
      </c>
      <c r="X170" s="257">
        <v>0</v>
      </c>
      <c r="Y170" s="116">
        <v>9.51</v>
      </c>
      <c r="Z170" s="116">
        <v>1</v>
      </c>
      <c r="AA170" s="257">
        <v>0.51593900000000004</v>
      </c>
      <c r="AB170" s="257">
        <v>10.579749</v>
      </c>
      <c r="AC170" s="257">
        <v>3.0424540000000002</v>
      </c>
      <c r="AD170" s="257">
        <v>1.0881609999999999</v>
      </c>
      <c r="AE170" s="257">
        <v>4.2329460000000001</v>
      </c>
      <c r="AF170" s="116">
        <v>0.5</v>
      </c>
      <c r="AG170" s="116">
        <v>0.55000000000000004</v>
      </c>
      <c r="AH170" s="116">
        <v>75</v>
      </c>
      <c r="AI170" s="116">
        <v>41.25</v>
      </c>
      <c r="AJ170" s="116">
        <f>IFERROR(VLOOKUP($B170,SWB!C168:BE551,37,FALSE),0)</f>
        <v>0</v>
      </c>
      <c r="AK170" s="116">
        <f t="shared" si="9"/>
        <v>0</v>
      </c>
      <c r="AL170" s="116">
        <f>IFERROR(VLOOKUP($B170,SWB!C168:BE551,38,FALSE),0)</f>
        <v>0</v>
      </c>
      <c r="AM170" s="116">
        <f>IFERROR(VLOOKUP($B170,SWB!C168:BE551,38,FALSE),0)</f>
        <v>0</v>
      </c>
      <c r="AN170" s="257">
        <f>IFERROR(VLOOKUP($B170,SWB!C168:BE551,40,FALSE),0)</f>
        <v>0.80009999940000032</v>
      </c>
      <c r="AO170" s="257">
        <f>IFERROR(VLOOKUP($B170,SWB!C168:BE551,43,FALSE),0)</f>
        <v>6.5608199950800019</v>
      </c>
      <c r="AP170" s="257">
        <v>0</v>
      </c>
      <c r="AQ170" s="257">
        <f>IFERROR(VLOOKUP($B170,SWB!C168:BE551,44,FALSE),0)</f>
        <v>425.83386500405112</v>
      </c>
      <c r="AR170" s="116">
        <f t="shared" si="11"/>
        <v>245</v>
      </c>
      <c r="AS170" s="116">
        <v>203.56</v>
      </c>
      <c r="AT170" s="116" t="s">
        <v>131</v>
      </c>
      <c r="AU170" s="116" t="s">
        <v>131</v>
      </c>
      <c r="AV170" s="116" t="s">
        <v>131</v>
      </c>
      <c r="AW170" s="116" t="s">
        <v>131</v>
      </c>
      <c r="AX170" s="116" t="s">
        <v>131</v>
      </c>
      <c r="AY170" s="116" t="s">
        <v>131</v>
      </c>
      <c r="AZ170" s="116"/>
      <c r="BA170" s="116" t="s">
        <v>132</v>
      </c>
      <c r="BB170" s="116"/>
    </row>
    <row r="171" spans="1:54">
      <c r="A171" s="101" t="s">
        <v>135</v>
      </c>
      <c r="B171" s="69">
        <f t="shared" si="10"/>
        <v>42170</v>
      </c>
      <c r="C171" s="101" t="s">
        <v>135</v>
      </c>
      <c r="D171" s="116">
        <f>VLOOKUP(B171,SWB!$C$15:$H$244,6,FALSE)</f>
        <v>166</v>
      </c>
      <c r="E171" s="102">
        <f>VLOOKUP($B171,Clima!$W$8:$AI$1506,3,FALSE)</f>
        <v>20</v>
      </c>
      <c r="F171" s="102">
        <f>VLOOKUP($B171,Clima!$W$8:$AI$1506,4,FALSE)</f>
        <v>9.5</v>
      </c>
      <c r="G171" s="102">
        <f>VLOOKUP($B171,Clima!$W$8:$AI$1506,2,FALSE)</f>
        <v>14</v>
      </c>
      <c r="H171" s="102"/>
      <c r="I171" s="102">
        <f>VLOOKUP($B171,Clima!$W$8:$AI$1506,13,FALSE)</f>
        <v>2.7</v>
      </c>
      <c r="J171" s="102"/>
      <c r="K171" s="102"/>
      <c r="L171" s="102">
        <f>VLOOKUP($B171,Clima!$W$8:$AI$1506,12,FALSE)</f>
        <v>3.3</v>
      </c>
      <c r="M171" s="102">
        <f t="shared" si="8"/>
        <v>3.3</v>
      </c>
      <c r="N171" s="257">
        <f>VLOOKUP(B171,SWB!$C$15:$S$244,17,FALSE)</f>
        <v>0.75911111040000034</v>
      </c>
      <c r="O171" s="116"/>
      <c r="P171" s="116">
        <f>SWB!$M$4</f>
        <v>0.15</v>
      </c>
      <c r="Q171" s="257">
        <f>VLOOKUP(B171,SWB!$C$15:$AJ$244,34,FALSE)</f>
        <v>0.6</v>
      </c>
      <c r="R171" s="257">
        <f>VLOOKUP(B171,SWB!$C$15:$V$244,20,FALSE)</f>
        <v>1.1338733331349999</v>
      </c>
      <c r="S171" s="116">
        <v>4.43</v>
      </c>
      <c r="T171" s="116">
        <v>0.27220100000000003</v>
      </c>
      <c r="U171" s="116">
        <v>1</v>
      </c>
      <c r="V171" s="116">
        <v>0.72779899999999997</v>
      </c>
      <c r="W171" s="116">
        <v>23.5</v>
      </c>
      <c r="X171" s="257">
        <v>0</v>
      </c>
      <c r="Y171" s="116">
        <v>9.51</v>
      </c>
      <c r="Z171" s="116">
        <v>1</v>
      </c>
      <c r="AA171" s="257">
        <v>0.59916700000000001</v>
      </c>
      <c r="AB171" s="257">
        <v>6.3875460000000004</v>
      </c>
      <c r="AC171" s="257">
        <v>3.5811760000000001</v>
      </c>
      <c r="AD171" s="257">
        <v>1.1186119999999999</v>
      </c>
      <c r="AE171" s="257">
        <v>4.8659610000000004</v>
      </c>
      <c r="AF171" s="116">
        <v>0.5</v>
      </c>
      <c r="AG171" s="116">
        <v>0.55000000000000004</v>
      </c>
      <c r="AH171" s="116">
        <v>75</v>
      </c>
      <c r="AI171" s="116">
        <v>41.25</v>
      </c>
      <c r="AJ171" s="116">
        <f>IFERROR(VLOOKUP($B171,SWB!C169:BE552,37,FALSE),0)</f>
        <v>5</v>
      </c>
      <c r="AK171" s="116">
        <f t="shared" si="9"/>
        <v>5</v>
      </c>
      <c r="AL171" s="116">
        <f>IFERROR(VLOOKUP($B171,SWB!C169:BE552,38,FALSE),0)</f>
        <v>0</v>
      </c>
      <c r="AM171" s="116">
        <f>IFERROR(VLOOKUP($B171,SWB!C169:BE552,38,FALSE),0)</f>
        <v>0</v>
      </c>
      <c r="AN171" s="257">
        <f>IFERROR(VLOOKUP($B171,SWB!C169:BE552,40,FALSE),0)</f>
        <v>0.77916314395974529</v>
      </c>
      <c r="AO171" s="257">
        <f>IFERROR(VLOOKUP($B171,SWB!C169:BE552,43,FALSE),0)</f>
        <v>6.4670540948658868</v>
      </c>
      <c r="AP171" s="257">
        <v>0</v>
      </c>
      <c r="AQ171" s="257">
        <f>IFERROR(VLOOKUP($B171,SWB!C169:BE552,44,FALSE),0)</f>
        <v>432.30091909891701</v>
      </c>
      <c r="AR171" s="116">
        <f t="shared" si="11"/>
        <v>245</v>
      </c>
      <c r="AS171" s="116">
        <v>208.56</v>
      </c>
      <c r="AT171" s="116" t="s">
        <v>131</v>
      </c>
      <c r="AU171" s="116" t="s">
        <v>131</v>
      </c>
      <c r="AV171" s="116" t="s">
        <v>131</v>
      </c>
      <c r="AW171" s="116" t="s">
        <v>131</v>
      </c>
      <c r="AX171" s="116" t="s">
        <v>131</v>
      </c>
      <c r="AY171" s="116" t="s">
        <v>131</v>
      </c>
      <c r="AZ171" s="116"/>
      <c r="BA171" s="116" t="s">
        <v>132</v>
      </c>
      <c r="BB171" s="116"/>
    </row>
    <row r="172" spans="1:54">
      <c r="A172" s="101" t="s">
        <v>135</v>
      </c>
      <c r="B172" s="69">
        <f t="shared" si="10"/>
        <v>42171</v>
      </c>
      <c r="C172" s="101" t="s">
        <v>135</v>
      </c>
      <c r="D172" s="116">
        <f>VLOOKUP(B172,SWB!$C$15:$H$244,6,FALSE)</f>
        <v>167</v>
      </c>
      <c r="E172" s="102">
        <f>VLOOKUP($B172,Clima!$W$8:$AI$1506,3,FALSE)</f>
        <v>24.8</v>
      </c>
      <c r="F172" s="102">
        <f>VLOOKUP($B172,Clima!$W$8:$AI$1506,4,FALSE)</f>
        <v>9.5</v>
      </c>
      <c r="G172" s="102">
        <f>VLOOKUP($B172,Clima!$W$8:$AI$1506,2,FALSE)</f>
        <v>16.399999999999999</v>
      </c>
      <c r="H172" s="102"/>
      <c r="I172" s="102">
        <f>VLOOKUP($B172,Clima!$W$8:$AI$1506,13,FALSE)</f>
        <v>4.5999999999999996</v>
      </c>
      <c r="J172" s="102"/>
      <c r="K172" s="102"/>
      <c r="L172" s="102">
        <f>VLOOKUP($B172,Clima!$W$8:$AI$1506,12,FALSE)</f>
        <v>0</v>
      </c>
      <c r="M172" s="102">
        <f t="shared" si="8"/>
        <v>0</v>
      </c>
      <c r="N172" s="257">
        <f>VLOOKUP(B172,SWB!$C$15:$S$244,17,FALSE)</f>
        <v>0.71812222140000037</v>
      </c>
      <c r="O172" s="116"/>
      <c r="P172" s="116">
        <f>SWB!$M$4</f>
        <v>0.15</v>
      </c>
      <c r="Q172" s="257">
        <f>VLOOKUP(B172,SWB!$C$15:$AJ$244,34,FALSE)</f>
        <v>0.6</v>
      </c>
      <c r="R172" s="257">
        <f>VLOOKUP(B172,SWB!$C$15:$V$244,20,FALSE)</f>
        <v>1.1338733331349999</v>
      </c>
      <c r="S172" s="116">
        <v>9.86</v>
      </c>
      <c r="T172" s="116">
        <v>0.21086299999999999</v>
      </c>
      <c r="U172" s="116">
        <v>1</v>
      </c>
      <c r="V172" s="116">
        <v>0.78913699999999998</v>
      </c>
      <c r="W172" s="116">
        <v>23.5</v>
      </c>
      <c r="X172" s="257">
        <v>0</v>
      </c>
      <c r="Y172" s="116">
        <v>9.51</v>
      </c>
      <c r="Z172" s="116">
        <v>1</v>
      </c>
      <c r="AA172" s="257">
        <v>0.68642800000000004</v>
      </c>
      <c r="AB172" s="257">
        <v>6.2788240000000002</v>
      </c>
      <c r="AC172" s="257">
        <v>4.6188900000000004</v>
      </c>
      <c r="AD172" s="257">
        <v>1.153095</v>
      </c>
      <c r="AE172" s="257">
        <v>6.1229339999999999</v>
      </c>
      <c r="AF172" s="116">
        <v>0.5</v>
      </c>
      <c r="AG172" s="116">
        <v>0.55000000000000004</v>
      </c>
      <c r="AH172" s="116">
        <v>75</v>
      </c>
      <c r="AI172" s="116">
        <v>41.25</v>
      </c>
      <c r="AJ172" s="116">
        <f>IFERROR(VLOOKUP($B172,SWB!C170:BE553,37,FALSE),0)</f>
        <v>5</v>
      </c>
      <c r="AK172" s="116">
        <f t="shared" si="9"/>
        <v>5</v>
      </c>
      <c r="AL172" s="116">
        <f>IFERROR(VLOOKUP($B172,SWB!C170:BE553,38,FALSE),0)</f>
        <v>0</v>
      </c>
      <c r="AM172" s="116">
        <f>IFERROR(VLOOKUP($B172,SWB!C170:BE553,38,FALSE),0)</f>
        <v>0</v>
      </c>
      <c r="AN172" s="257">
        <f>IFERROR(VLOOKUP($B172,SWB!C170:BE553,40,FALSE),0)</f>
        <v>0.84002620480383583</v>
      </c>
      <c r="AO172" s="257">
        <f>IFERROR(VLOOKUP($B172,SWB!C170:BE553,43,FALSE),0)</f>
        <v>6.0481886745876183</v>
      </c>
      <c r="AP172" s="257">
        <v>0</v>
      </c>
      <c r="AQ172" s="257">
        <f>IFERROR(VLOOKUP($B172,SWB!C170:BE553,44,FALSE),0)</f>
        <v>438.34910777350461</v>
      </c>
      <c r="AR172" s="116">
        <f t="shared" si="11"/>
        <v>250</v>
      </c>
      <c r="AS172" s="116">
        <v>208.56</v>
      </c>
      <c r="AT172" s="116" t="s">
        <v>131</v>
      </c>
      <c r="AU172" s="116" t="s">
        <v>131</v>
      </c>
      <c r="AV172" s="116" t="s">
        <v>131</v>
      </c>
      <c r="AW172" s="116" t="s">
        <v>131</v>
      </c>
      <c r="AX172" s="116" t="s">
        <v>131</v>
      </c>
      <c r="AY172" s="116" t="s">
        <v>131</v>
      </c>
      <c r="AZ172" s="116"/>
      <c r="BA172" s="116" t="s">
        <v>132</v>
      </c>
      <c r="BB172" s="116"/>
    </row>
    <row r="173" spans="1:54">
      <c r="A173" s="101" t="s">
        <v>135</v>
      </c>
      <c r="B173" s="69">
        <f t="shared" si="10"/>
        <v>42172</v>
      </c>
      <c r="C173" s="101" t="s">
        <v>135</v>
      </c>
      <c r="D173" s="116">
        <f>VLOOKUP(B173,SWB!$C$15:$H$244,6,FALSE)</f>
        <v>168</v>
      </c>
      <c r="E173" s="102">
        <f>VLOOKUP($B173,Clima!$W$8:$AI$1506,3,FALSE)</f>
        <v>27.4</v>
      </c>
      <c r="F173" s="102">
        <f>VLOOKUP($B173,Clima!$W$8:$AI$1506,4,FALSE)</f>
        <v>9.9</v>
      </c>
      <c r="G173" s="102">
        <f>VLOOKUP($B173,Clima!$W$8:$AI$1506,2,FALSE)</f>
        <v>19.399999999999999</v>
      </c>
      <c r="H173" s="102"/>
      <c r="I173" s="102">
        <f>VLOOKUP($B173,Clima!$W$8:$AI$1506,13,FALSE)</f>
        <v>5.7</v>
      </c>
      <c r="J173" s="102"/>
      <c r="K173" s="102"/>
      <c r="L173" s="102">
        <f>VLOOKUP($B173,Clima!$W$8:$AI$1506,12,FALSE)</f>
        <v>0</v>
      </c>
      <c r="M173" s="102">
        <f t="shared" si="8"/>
        <v>0</v>
      </c>
      <c r="N173" s="257">
        <f>VLOOKUP(B173,SWB!$C$15:$S$244,17,FALSE)</f>
        <v>0.6771333324000004</v>
      </c>
      <c r="O173" s="116"/>
      <c r="P173" s="116">
        <f>SWB!$M$4</f>
        <v>0.15</v>
      </c>
      <c r="Q173" s="257">
        <f>VLOOKUP(B173,SWB!$C$15:$AJ$244,34,FALSE)</f>
        <v>0.6</v>
      </c>
      <c r="R173" s="257">
        <f>VLOOKUP(B173,SWB!$C$15:$V$244,20,FALSE)</f>
        <v>1.1338733331349999</v>
      </c>
      <c r="S173" s="116">
        <v>9.86</v>
      </c>
      <c r="T173" s="116">
        <v>0.16744999999999999</v>
      </c>
      <c r="U173" s="116">
        <v>1</v>
      </c>
      <c r="V173" s="116">
        <v>0.83255000000000001</v>
      </c>
      <c r="W173" s="116">
        <v>23.5</v>
      </c>
      <c r="X173" s="257">
        <v>0</v>
      </c>
      <c r="Y173" s="116">
        <v>9.51</v>
      </c>
      <c r="Z173" s="116">
        <v>1</v>
      </c>
      <c r="AA173" s="257">
        <v>0.72767700000000002</v>
      </c>
      <c r="AB173" s="257">
        <v>5.2411099999999999</v>
      </c>
      <c r="AC173" s="257">
        <v>4.4400919999999999</v>
      </c>
      <c r="AD173" s="257">
        <v>1.1415660000000001</v>
      </c>
      <c r="AE173" s="257">
        <v>5.799156</v>
      </c>
      <c r="AF173" s="116">
        <v>0.5</v>
      </c>
      <c r="AG173" s="116">
        <v>0.55000000000000004</v>
      </c>
      <c r="AH173" s="116">
        <v>75</v>
      </c>
      <c r="AI173" s="116">
        <v>41.25</v>
      </c>
      <c r="AJ173" s="116">
        <f>IFERROR(VLOOKUP($B173,SWB!C171:BE554,37,FALSE),0)</f>
        <v>5</v>
      </c>
      <c r="AK173" s="116">
        <f t="shared" si="9"/>
        <v>5</v>
      </c>
      <c r="AL173" s="116">
        <f>IFERROR(VLOOKUP($B173,SWB!C171:BE554,38,FALSE),0)</f>
        <v>0</v>
      </c>
      <c r="AM173" s="116">
        <f>IFERROR(VLOOKUP($B173,SWB!C171:BE554,38,FALSE),0)</f>
        <v>0</v>
      </c>
      <c r="AN173" s="257">
        <f>IFERROR(VLOOKUP($B173,SWB!C171:BE554,40,FALSE),0)</f>
        <v>0.7065056355978222</v>
      </c>
      <c r="AO173" s="257">
        <f>IFERROR(VLOOKUP($B173,SWB!C171:BE554,43,FALSE),0)</f>
        <v>3.8857809957880223</v>
      </c>
      <c r="AP173" s="257">
        <v>0</v>
      </c>
      <c r="AQ173" s="257">
        <f>IFERROR(VLOOKUP($B173,SWB!C171:BE554,44,FALSE),0)</f>
        <v>442.23488876929264</v>
      </c>
      <c r="AR173" s="116">
        <f t="shared" si="11"/>
        <v>255</v>
      </c>
      <c r="AS173" s="116">
        <v>208.56</v>
      </c>
      <c r="AT173" s="116" t="s">
        <v>131</v>
      </c>
      <c r="AU173" s="116" t="s">
        <v>131</v>
      </c>
      <c r="AV173" s="116" t="s">
        <v>131</v>
      </c>
      <c r="AW173" s="116" t="s">
        <v>131</v>
      </c>
      <c r="AX173" s="116" t="s">
        <v>131</v>
      </c>
      <c r="AY173" s="116" t="s">
        <v>131</v>
      </c>
      <c r="AZ173" s="116"/>
      <c r="BA173" s="116" t="s">
        <v>132</v>
      </c>
      <c r="BB173" s="116"/>
    </row>
    <row r="174" spans="1:54">
      <c r="A174" s="101" t="s">
        <v>135</v>
      </c>
      <c r="B174" s="69">
        <f t="shared" si="10"/>
        <v>42173</v>
      </c>
      <c r="C174" s="101" t="s">
        <v>135</v>
      </c>
      <c r="D174" s="116">
        <f>VLOOKUP(B174,SWB!$C$15:$H$244,6,FALSE)</f>
        <v>169</v>
      </c>
      <c r="E174" s="102">
        <f>VLOOKUP($B174,Clima!$W$8:$AI$1506,3,FALSE)</f>
        <v>28</v>
      </c>
      <c r="F174" s="102">
        <f>VLOOKUP($B174,Clima!$W$8:$AI$1506,4,FALSE)</f>
        <v>11.8</v>
      </c>
      <c r="G174" s="102">
        <f>VLOOKUP($B174,Clima!$W$8:$AI$1506,2,FALSE)</f>
        <v>20.5</v>
      </c>
      <c r="H174" s="102"/>
      <c r="I174" s="102">
        <f>VLOOKUP($B174,Clima!$W$8:$AI$1506,13,FALSE)</f>
        <v>5.8</v>
      </c>
      <c r="J174" s="102"/>
      <c r="K174" s="102"/>
      <c r="L174" s="102">
        <f>VLOOKUP($B174,Clima!$W$8:$AI$1506,12,FALSE)</f>
        <v>0</v>
      </c>
      <c r="M174" s="102">
        <f t="shared" si="8"/>
        <v>0</v>
      </c>
      <c r="N174" s="257">
        <f>VLOOKUP(B174,SWB!$C$15:$S$244,17,FALSE)</f>
        <v>0.63614444340000043</v>
      </c>
      <c r="O174" s="116"/>
      <c r="P174" s="116">
        <f>SWB!$M$4</f>
        <v>0.15</v>
      </c>
      <c r="Q174" s="257">
        <f>VLOOKUP(B174,SWB!$C$15:$AJ$244,34,FALSE)</f>
        <v>0.6</v>
      </c>
      <c r="R174" s="257">
        <f>VLOOKUP(B174,SWB!$C$15:$V$244,20,FALSE)</f>
        <v>1.1338733331349999</v>
      </c>
      <c r="S174" s="116">
        <v>4.43</v>
      </c>
      <c r="T174" s="116">
        <v>0.13674600000000001</v>
      </c>
      <c r="U174" s="116">
        <v>1</v>
      </c>
      <c r="V174" s="116">
        <v>0.86325399999999997</v>
      </c>
      <c r="W174" s="116">
        <v>23.5</v>
      </c>
      <c r="X174" s="257">
        <v>0</v>
      </c>
      <c r="Y174" s="116">
        <v>9.51</v>
      </c>
      <c r="Z174" s="116">
        <v>1</v>
      </c>
      <c r="AA174" s="257">
        <v>0.71055800000000002</v>
      </c>
      <c r="AB174" s="257">
        <v>5.9899079999999998</v>
      </c>
      <c r="AC174" s="257">
        <v>2.2141799999999998</v>
      </c>
      <c r="AD174" s="257">
        <v>1.071669</v>
      </c>
      <c r="AE174" s="257">
        <v>2.8827889999999998</v>
      </c>
      <c r="AF174" s="116">
        <v>0.5</v>
      </c>
      <c r="AG174" s="116">
        <v>0.55000000000000004</v>
      </c>
      <c r="AH174" s="116">
        <v>75</v>
      </c>
      <c r="AI174" s="116">
        <v>41.25</v>
      </c>
      <c r="AJ174" s="116">
        <f>IFERROR(VLOOKUP($B174,SWB!C172:BE555,37,FALSE),0)</f>
        <v>5</v>
      </c>
      <c r="AK174" s="116">
        <f t="shared" si="9"/>
        <v>5</v>
      </c>
      <c r="AL174" s="116">
        <f>IFERROR(VLOOKUP($B174,SWB!C172:BE555,38,FALSE),0)</f>
        <v>0</v>
      </c>
      <c r="AM174" s="116">
        <f>IFERROR(VLOOKUP($B174,SWB!C172:BE555,38,FALSE),0)</f>
        <v>0</v>
      </c>
      <c r="AN174" s="257">
        <f>IFERROR(VLOOKUP($B174,SWB!C172:BE555,40,FALSE),0)</f>
        <v>0.75804842680383588</v>
      </c>
      <c r="AO174" s="257">
        <f>IFERROR(VLOOKUP($B174,SWB!C172:BE555,43,FALSE),0)</f>
        <v>4.1692663474210976</v>
      </c>
      <c r="AP174" s="257">
        <v>0</v>
      </c>
      <c r="AQ174" s="257">
        <f>IFERROR(VLOOKUP($B174,SWB!C172:BE555,44,FALSE),0)</f>
        <v>446.40415511671375</v>
      </c>
      <c r="AR174" s="116">
        <f t="shared" si="11"/>
        <v>260</v>
      </c>
      <c r="AS174" s="116">
        <v>214.56</v>
      </c>
      <c r="AT174" s="116" t="s">
        <v>131</v>
      </c>
      <c r="AU174" s="116" t="s">
        <v>131</v>
      </c>
      <c r="AV174" s="116" t="s">
        <v>131</v>
      </c>
      <c r="AW174" s="116" t="s">
        <v>131</v>
      </c>
      <c r="AX174" s="116" t="s">
        <v>131</v>
      </c>
      <c r="AY174" s="116" t="s">
        <v>131</v>
      </c>
      <c r="AZ174" s="116"/>
      <c r="BA174" s="116" t="s">
        <v>132</v>
      </c>
      <c r="BB174" s="116"/>
    </row>
    <row r="175" spans="1:54">
      <c r="A175" s="101" t="s">
        <v>135</v>
      </c>
      <c r="B175" s="69">
        <f t="shared" si="10"/>
        <v>42174</v>
      </c>
      <c r="C175" s="101" t="s">
        <v>135</v>
      </c>
      <c r="D175" s="116">
        <f>VLOOKUP(B175,SWB!$C$15:$H$244,6,FALSE)</f>
        <v>170</v>
      </c>
      <c r="E175" s="102">
        <f>VLOOKUP($B175,Clima!$W$8:$AI$1506,3,FALSE)</f>
        <v>31.2</v>
      </c>
      <c r="F175" s="102">
        <f>VLOOKUP($B175,Clima!$W$8:$AI$1506,4,FALSE)</f>
        <v>12.7</v>
      </c>
      <c r="G175" s="102">
        <f>VLOOKUP($B175,Clima!$W$8:$AI$1506,2,FALSE)</f>
        <v>22.4</v>
      </c>
      <c r="H175" s="102"/>
      <c r="I175" s="102">
        <f>VLOOKUP($B175,Clima!$W$8:$AI$1506,13,FALSE)</f>
        <v>6.3</v>
      </c>
      <c r="J175" s="102"/>
      <c r="K175" s="102"/>
      <c r="L175" s="102">
        <f>VLOOKUP($B175,Clima!$W$8:$AI$1506,12,FALSE)</f>
        <v>0</v>
      </c>
      <c r="M175" s="102">
        <f t="shared" si="8"/>
        <v>0</v>
      </c>
      <c r="N175" s="257">
        <f>VLOOKUP(B175,SWB!$C$15:$S$244,17,FALSE)</f>
        <v>0.59515555440000045</v>
      </c>
      <c r="O175" s="116"/>
      <c r="P175" s="116">
        <f>SWB!$M$4</f>
        <v>0.15</v>
      </c>
      <c r="Q175" s="257">
        <f>VLOOKUP(B175,SWB!$C$15:$AJ$244,34,FALSE)</f>
        <v>0.6</v>
      </c>
      <c r="R175" s="257">
        <f>VLOOKUP(B175,SWB!$C$15:$V$244,20,FALSE)</f>
        <v>1.1338733331349999</v>
      </c>
      <c r="S175" s="116">
        <v>0</v>
      </c>
      <c r="T175" s="116">
        <v>8.6257E-2</v>
      </c>
      <c r="U175" s="116">
        <v>1</v>
      </c>
      <c r="V175" s="116">
        <v>0.91374299999999997</v>
      </c>
      <c r="W175" s="116">
        <v>23.5</v>
      </c>
      <c r="X175" s="257">
        <v>2.2141799999999998</v>
      </c>
      <c r="Y175" s="116">
        <v>9.51</v>
      </c>
      <c r="Z175" s="116">
        <v>1</v>
      </c>
      <c r="AA175" s="257">
        <v>0.81413000000000002</v>
      </c>
      <c r="AB175" s="116">
        <v>0</v>
      </c>
      <c r="AC175" s="257">
        <v>6.3037939999999999</v>
      </c>
      <c r="AD175" s="257">
        <v>1.122463</v>
      </c>
      <c r="AE175" s="257">
        <v>5.1521059999999999</v>
      </c>
      <c r="AF175" s="116">
        <v>0.5</v>
      </c>
      <c r="AG175" s="116">
        <v>0.55000000000000004</v>
      </c>
      <c r="AH175" s="116">
        <v>75</v>
      </c>
      <c r="AI175" s="116">
        <v>41.25</v>
      </c>
      <c r="AJ175" s="116">
        <f>IFERROR(VLOOKUP($B175,SWB!C173:BE556,37,FALSE),0)</f>
        <v>5</v>
      </c>
      <c r="AK175" s="116">
        <f t="shared" si="9"/>
        <v>5</v>
      </c>
      <c r="AL175" s="116">
        <f>IFERROR(VLOOKUP($B175,SWB!C173:BE556,38,FALSE),0)</f>
        <v>0</v>
      </c>
      <c r="AM175" s="116">
        <f>IFERROR(VLOOKUP($B175,SWB!C173:BE556,38,FALSE),0)</f>
        <v>0</v>
      </c>
      <c r="AN175" s="257">
        <f>IFERROR(VLOOKUP($B175,SWB!C173:BE556,40,FALSE),0)</f>
        <v>0.67547794281818518</v>
      </c>
      <c r="AO175" s="257">
        <f>IFERROR(VLOOKUP($B175,SWB!C173:BE556,43,FALSE),0)</f>
        <v>4.0528676569091111</v>
      </c>
      <c r="AP175" s="257">
        <v>5.1521059999999999</v>
      </c>
      <c r="AQ175" s="257">
        <f>IFERROR(VLOOKUP($B175,SWB!C173:BE556,44,FALSE),0)</f>
        <v>450.45702277362284</v>
      </c>
      <c r="AR175" s="116">
        <f t="shared" si="11"/>
        <v>265</v>
      </c>
      <c r="AS175" s="116">
        <v>214.56</v>
      </c>
      <c r="AT175" s="116" t="s">
        <v>131</v>
      </c>
      <c r="AU175" s="116" t="s">
        <v>131</v>
      </c>
      <c r="AV175" s="116" t="s">
        <v>131</v>
      </c>
      <c r="AW175" s="116" t="s">
        <v>131</v>
      </c>
      <c r="AX175" s="116" t="s">
        <v>131</v>
      </c>
      <c r="AY175" s="116" t="s">
        <v>131</v>
      </c>
      <c r="AZ175" s="116"/>
      <c r="BA175" s="116" t="s">
        <v>132</v>
      </c>
      <c r="BB175" s="116"/>
    </row>
    <row r="176" spans="1:54">
      <c r="A176" s="101" t="s">
        <v>135</v>
      </c>
      <c r="B176" s="69">
        <f t="shared" si="10"/>
        <v>42175</v>
      </c>
      <c r="C176" s="101" t="s">
        <v>135</v>
      </c>
      <c r="D176" s="116">
        <f>VLOOKUP(B176,SWB!$C$15:$H$244,6,FALSE)</f>
        <v>171</v>
      </c>
      <c r="E176" s="102">
        <f>VLOOKUP($B176,Clima!$W$8:$AI$1506,3,FALSE)</f>
        <v>32.9</v>
      </c>
      <c r="F176" s="102">
        <f>VLOOKUP($B176,Clima!$W$8:$AI$1506,4,FALSE)</f>
        <v>13.4</v>
      </c>
      <c r="G176" s="102">
        <f>VLOOKUP($B176,Clima!$W$8:$AI$1506,2,FALSE)</f>
        <v>23.1</v>
      </c>
      <c r="H176" s="102"/>
      <c r="I176" s="102">
        <f>VLOOKUP($B176,Clima!$W$8:$AI$1506,13,FALSE)</f>
        <v>6.9</v>
      </c>
      <c r="J176" s="102"/>
      <c r="K176" s="102"/>
      <c r="L176" s="102">
        <f>VLOOKUP($B176,Clima!$W$8:$AI$1506,12,FALSE)</f>
        <v>0</v>
      </c>
      <c r="M176" s="102">
        <f t="shared" si="8"/>
        <v>0</v>
      </c>
      <c r="N176" s="257">
        <f>VLOOKUP(B176,SWB!$C$15:$S$244,17,FALSE)</f>
        <v>0.55416666540000037</v>
      </c>
      <c r="O176" s="116"/>
      <c r="P176" s="116">
        <f>SWB!$M$4</f>
        <v>0.15</v>
      </c>
      <c r="Q176" s="257">
        <f>VLOOKUP(B176,SWB!$C$15:$AJ$244,34,FALSE)</f>
        <v>0.6</v>
      </c>
      <c r="R176" s="257">
        <f>VLOOKUP(B176,SWB!$C$15:$V$244,20,FALSE)</f>
        <v>1.1338733331349999</v>
      </c>
      <c r="S176" s="116">
        <v>4.43</v>
      </c>
      <c r="T176" s="116">
        <v>4.9012E-2</v>
      </c>
      <c r="U176" s="116">
        <v>1</v>
      </c>
      <c r="V176" s="116">
        <v>0.95098800000000006</v>
      </c>
      <c r="W176" s="116">
        <v>23.5</v>
      </c>
      <c r="X176" s="257">
        <v>1.873794</v>
      </c>
      <c r="Y176" s="116">
        <v>9.51</v>
      </c>
      <c r="Z176" s="116">
        <v>1</v>
      </c>
      <c r="AA176" s="257">
        <v>0.879884</v>
      </c>
      <c r="AB176" s="116">
        <v>0</v>
      </c>
      <c r="AC176" s="257">
        <v>7.1476119999999996</v>
      </c>
      <c r="AD176" s="257">
        <v>1.13544</v>
      </c>
      <c r="AE176" s="257">
        <v>6.4720060000000004</v>
      </c>
      <c r="AF176" s="116">
        <v>0.5</v>
      </c>
      <c r="AG176" s="116">
        <v>0.55000000000000004</v>
      </c>
      <c r="AH176" s="116">
        <v>75</v>
      </c>
      <c r="AI176" s="116">
        <v>41.25</v>
      </c>
      <c r="AJ176" s="116">
        <f>IFERROR(VLOOKUP($B176,SWB!C174:BE557,37,FALSE),0)</f>
        <v>0</v>
      </c>
      <c r="AK176" s="116">
        <f t="shared" si="9"/>
        <v>0</v>
      </c>
      <c r="AL176" s="116">
        <f>IFERROR(VLOOKUP($B176,SWB!C174:BE557,38,FALSE),0)</f>
        <v>0</v>
      </c>
      <c r="AM176" s="116">
        <f>IFERROR(VLOOKUP($B176,SWB!C174:BE557,38,FALSE),0)</f>
        <v>0</v>
      </c>
      <c r="AN176" s="257">
        <f>IFERROR(VLOOKUP($B176,SWB!C174:BE557,40,FALSE),0)</f>
        <v>0.67607064880383572</v>
      </c>
      <c r="AO176" s="257">
        <f>IFERROR(VLOOKUP($B176,SWB!C174:BE557,43,FALSE),0)</f>
        <v>4.3944592172249326</v>
      </c>
      <c r="AP176" s="257">
        <v>7.1941129999999998</v>
      </c>
      <c r="AQ176" s="257">
        <f>IFERROR(VLOOKUP($B176,SWB!C174:BE557,44,FALSE),0)</f>
        <v>454.85148199084779</v>
      </c>
      <c r="AR176" s="116">
        <f t="shared" si="11"/>
        <v>270</v>
      </c>
      <c r="AS176" s="116">
        <v>214.56</v>
      </c>
      <c r="AT176" s="116" t="s">
        <v>131</v>
      </c>
      <c r="AU176" s="116" t="s">
        <v>131</v>
      </c>
      <c r="AV176" s="116" t="s">
        <v>131</v>
      </c>
      <c r="AW176" s="116" t="s">
        <v>131</v>
      </c>
      <c r="AX176" s="116" t="s">
        <v>131</v>
      </c>
      <c r="AY176" s="116" t="s">
        <v>131</v>
      </c>
      <c r="AZ176" s="116"/>
      <c r="BA176" s="116" t="s">
        <v>132</v>
      </c>
      <c r="BB176" s="116"/>
    </row>
    <row r="177" spans="1:54">
      <c r="A177" s="101" t="s">
        <v>135</v>
      </c>
      <c r="B177" s="69">
        <f t="shared" si="10"/>
        <v>42176</v>
      </c>
      <c r="C177" s="101" t="s">
        <v>135</v>
      </c>
      <c r="D177" s="116">
        <f>VLOOKUP(B177,SWB!$C$15:$H$244,6,FALSE)</f>
        <v>172</v>
      </c>
      <c r="E177" s="102">
        <f>VLOOKUP($B177,Clima!$W$8:$AI$1506,3,FALSE)</f>
        <v>32.1</v>
      </c>
      <c r="F177" s="102">
        <f>VLOOKUP($B177,Clima!$W$8:$AI$1506,4,FALSE)</f>
        <v>14.2</v>
      </c>
      <c r="G177" s="102">
        <f>VLOOKUP($B177,Clima!$W$8:$AI$1506,2,FALSE)</f>
        <v>23.7</v>
      </c>
      <c r="H177" s="102"/>
      <c r="I177" s="102">
        <f>VLOOKUP($B177,Clima!$W$8:$AI$1506,13,FALSE)</f>
        <v>7.1</v>
      </c>
      <c r="J177" s="102"/>
      <c r="K177" s="102"/>
      <c r="L177" s="102">
        <f>VLOOKUP($B177,Clima!$W$8:$AI$1506,12,FALSE)</f>
        <v>0</v>
      </c>
      <c r="M177" s="102">
        <f t="shared" si="8"/>
        <v>0</v>
      </c>
      <c r="N177" s="257">
        <f>VLOOKUP(B177,SWB!$C$15:$S$244,17,FALSE)</f>
        <v>0.5131777764000004</v>
      </c>
      <c r="O177" s="116"/>
      <c r="P177" s="116">
        <f>SWB!$M$4</f>
        <v>0.15</v>
      </c>
      <c r="Q177" s="257">
        <f>VLOOKUP(B177,SWB!$C$15:$AJ$244,34,FALSE)</f>
        <v>0.6</v>
      </c>
      <c r="R177" s="257">
        <f>VLOOKUP(B177,SWB!$C$15:$V$244,20,FALSE)</f>
        <v>1.1338733331349999</v>
      </c>
      <c r="S177" s="116">
        <v>4.43</v>
      </c>
      <c r="T177" s="116">
        <v>1.9164E-2</v>
      </c>
      <c r="U177" s="116">
        <v>1</v>
      </c>
      <c r="V177" s="116">
        <v>0.98083600000000004</v>
      </c>
      <c r="W177" s="116">
        <v>23.5</v>
      </c>
      <c r="X177" s="257">
        <v>2.7176119999999999</v>
      </c>
      <c r="Y177" s="116">
        <v>9.51</v>
      </c>
      <c r="Z177" s="116">
        <v>1</v>
      </c>
      <c r="AA177" s="257">
        <v>0.93506599999999995</v>
      </c>
      <c r="AB177" s="116">
        <v>0</v>
      </c>
      <c r="AC177" s="257">
        <v>8.2755580000000002</v>
      </c>
      <c r="AD177" s="257">
        <v>1.1378440000000001</v>
      </c>
      <c r="AE177" s="257">
        <v>6.633629</v>
      </c>
      <c r="AF177" s="116">
        <v>0.5</v>
      </c>
      <c r="AG177" s="116">
        <v>0.55000000000000004</v>
      </c>
      <c r="AH177" s="116">
        <v>75</v>
      </c>
      <c r="AI177" s="116">
        <v>41.25</v>
      </c>
      <c r="AJ177" s="116">
        <f>IFERROR(VLOOKUP($B177,SWB!C175:BE558,37,FALSE),0)</f>
        <v>0</v>
      </c>
      <c r="AK177" s="116">
        <f t="shared" si="9"/>
        <v>0</v>
      </c>
      <c r="AL177" s="116">
        <f>IFERROR(VLOOKUP($B177,SWB!C175:BE558,38,FALSE),0)</f>
        <v>0</v>
      </c>
      <c r="AM177" s="116">
        <f>IFERROR(VLOOKUP($B177,SWB!C175:BE558,38,FALSE),0)</f>
        <v>0</v>
      </c>
      <c r="AN177" s="257">
        <f>IFERROR(VLOOKUP($B177,SWB!C175:BE558,40,FALSE),0)</f>
        <v>0.5131777764000004</v>
      </c>
      <c r="AO177" s="257">
        <f>IFERROR(VLOOKUP($B177,SWB!C175:BE558,43,FALSE),0)</f>
        <v>3.1817022136800026</v>
      </c>
      <c r="AP177" s="257">
        <v>9.3977419999999992</v>
      </c>
      <c r="AQ177" s="257">
        <f>IFERROR(VLOOKUP($B177,SWB!C175:BE558,44,FALSE),0)</f>
        <v>458.0331842045278</v>
      </c>
      <c r="AR177" s="116">
        <f t="shared" si="11"/>
        <v>270</v>
      </c>
      <c r="AS177" s="116">
        <v>214.56</v>
      </c>
      <c r="AT177" s="116" t="s">
        <v>131</v>
      </c>
      <c r="AU177" s="116" t="s">
        <v>131</v>
      </c>
      <c r="AV177" s="116" t="s">
        <v>131</v>
      </c>
      <c r="AW177" s="116" t="s">
        <v>131</v>
      </c>
      <c r="AX177" s="116" t="s">
        <v>131</v>
      </c>
      <c r="AY177" s="116" t="s">
        <v>131</v>
      </c>
      <c r="AZ177" s="116"/>
      <c r="BA177" s="116" t="s">
        <v>132</v>
      </c>
      <c r="BB177" s="116"/>
    </row>
    <row r="178" spans="1:54">
      <c r="A178" s="101" t="s">
        <v>135</v>
      </c>
      <c r="B178" s="69">
        <f t="shared" si="10"/>
        <v>42177</v>
      </c>
      <c r="C178" s="101" t="s">
        <v>135</v>
      </c>
      <c r="D178" s="116">
        <f>VLOOKUP(B178,SWB!$C$15:$H$244,6,FALSE)</f>
        <v>173</v>
      </c>
      <c r="E178" s="102">
        <f>VLOOKUP($B178,Clima!$W$8:$AI$1506,3,FALSE)</f>
        <v>32.799999999999997</v>
      </c>
      <c r="F178" s="102">
        <f>VLOOKUP($B178,Clima!$W$8:$AI$1506,4,FALSE)</f>
        <v>14.9</v>
      </c>
      <c r="G178" s="102">
        <f>VLOOKUP($B178,Clima!$W$8:$AI$1506,2,FALSE)</f>
        <v>23.6</v>
      </c>
      <c r="H178" s="102"/>
      <c r="I178" s="102">
        <f>VLOOKUP($B178,Clima!$W$8:$AI$1506,13,FALSE)</f>
        <v>6.2</v>
      </c>
      <c r="J178" s="102"/>
      <c r="K178" s="102"/>
      <c r="L178" s="102">
        <f>VLOOKUP($B178,Clima!$W$8:$AI$1506,12,FALSE)</f>
        <v>2.9</v>
      </c>
      <c r="M178" s="102">
        <f t="shared" si="8"/>
        <v>2.9</v>
      </c>
      <c r="N178" s="257">
        <f>VLOOKUP(B178,SWB!$C$15:$S$244,17,FALSE)</f>
        <v>0.47218888740000031</v>
      </c>
      <c r="O178" s="116"/>
      <c r="P178" s="116">
        <f>SWB!$M$4</f>
        <v>0.15</v>
      </c>
      <c r="Q178" s="257">
        <f>VLOOKUP(B178,SWB!$C$15:$AJ$244,34,FALSE)</f>
        <v>0.6</v>
      </c>
      <c r="R178" s="257">
        <f>VLOOKUP(B178,SWB!$C$15:$V$244,20,FALSE)</f>
        <v>1.1338733331349999</v>
      </c>
      <c r="S178" s="116">
        <v>4.43</v>
      </c>
      <c r="T178" s="116">
        <v>0</v>
      </c>
      <c r="U178" s="116">
        <v>1</v>
      </c>
      <c r="V178" s="116">
        <v>1</v>
      </c>
      <c r="W178" s="116">
        <v>23.5</v>
      </c>
      <c r="X178" s="257">
        <v>3.845558</v>
      </c>
      <c r="Y178" s="116">
        <v>9.51</v>
      </c>
      <c r="Z178" s="116">
        <v>1</v>
      </c>
      <c r="AA178" s="257">
        <v>0.99676200000000004</v>
      </c>
      <c r="AB178" s="116">
        <v>0</v>
      </c>
      <c r="AC178" s="257">
        <v>10.095254000000001</v>
      </c>
      <c r="AD178" s="257">
        <v>1.1467620000000001</v>
      </c>
      <c r="AE178" s="257">
        <v>7.1901970000000004</v>
      </c>
      <c r="AF178" s="116">
        <v>0.5</v>
      </c>
      <c r="AG178" s="116">
        <v>0.55000000000000004</v>
      </c>
      <c r="AH178" s="116">
        <v>75</v>
      </c>
      <c r="AI178" s="116">
        <v>41.25</v>
      </c>
      <c r="AJ178" s="116">
        <f>IFERROR(VLOOKUP($B178,SWB!C176:BE559,37,FALSE),0)</f>
        <v>0</v>
      </c>
      <c r="AK178" s="116">
        <f t="shared" si="9"/>
        <v>0</v>
      </c>
      <c r="AL178" s="116">
        <f>IFERROR(VLOOKUP($B178,SWB!C176:BE559,38,FALSE),0)</f>
        <v>0</v>
      </c>
      <c r="AM178" s="116">
        <f>IFERROR(VLOOKUP($B178,SWB!C176:BE559,38,FALSE),0)</f>
        <v>0</v>
      </c>
      <c r="AN178" s="257">
        <f>IFERROR(VLOOKUP($B178,SWB!C176:BE559,40,FALSE),0)</f>
        <v>0.47276344266938575</v>
      </c>
      <c r="AO178" s="257">
        <f>IFERROR(VLOOKUP($B178,SWB!C176:BE559,43,FALSE),0)</f>
        <v>3.4038967872195776</v>
      </c>
      <c r="AP178" s="257">
        <v>12.157939000000001</v>
      </c>
      <c r="AQ178" s="257">
        <f>IFERROR(VLOOKUP($B178,SWB!C176:BE559,44,FALSE),0)</f>
        <v>461.43708099174739</v>
      </c>
      <c r="AR178" s="116">
        <f t="shared" si="11"/>
        <v>270</v>
      </c>
      <c r="AS178" s="116">
        <v>214.56</v>
      </c>
      <c r="AT178" s="116" t="s">
        <v>131</v>
      </c>
      <c r="AU178" s="116" t="s">
        <v>131</v>
      </c>
      <c r="AV178" s="116" t="s">
        <v>131</v>
      </c>
      <c r="AW178" s="116" t="s">
        <v>131</v>
      </c>
      <c r="AX178" s="116" t="s">
        <v>131</v>
      </c>
      <c r="AY178" s="116" t="s">
        <v>131</v>
      </c>
      <c r="AZ178" s="116"/>
      <c r="BA178" s="116" t="s">
        <v>132</v>
      </c>
      <c r="BB178" s="116"/>
    </row>
    <row r="179" spans="1:54">
      <c r="A179" s="101" t="s">
        <v>135</v>
      </c>
      <c r="B179" s="69">
        <f t="shared" si="10"/>
        <v>42178</v>
      </c>
      <c r="C179" s="101" t="s">
        <v>135</v>
      </c>
      <c r="D179" s="116">
        <f>VLOOKUP(B179,SWB!$C$15:$H$244,6,FALSE)</f>
        <v>174</v>
      </c>
      <c r="E179" s="102">
        <f>VLOOKUP($B179,Clima!$W$8:$AI$1506,3,FALSE)</f>
        <v>31.4</v>
      </c>
      <c r="F179" s="102">
        <f>VLOOKUP($B179,Clima!$W$8:$AI$1506,4,FALSE)</f>
        <v>13.9</v>
      </c>
      <c r="G179" s="102">
        <f>VLOOKUP($B179,Clima!$W$8:$AI$1506,2,FALSE)</f>
        <v>22.3</v>
      </c>
      <c r="H179" s="102"/>
      <c r="I179" s="102">
        <f>VLOOKUP($B179,Clima!$W$8:$AI$1506,13,FALSE)</f>
        <v>7.1</v>
      </c>
      <c r="J179" s="102"/>
      <c r="K179" s="102"/>
      <c r="L179" s="102">
        <f>VLOOKUP($B179,Clima!$W$8:$AI$1506,12,FALSE)</f>
        <v>0</v>
      </c>
      <c r="M179" s="102">
        <f t="shared" si="8"/>
        <v>0</v>
      </c>
      <c r="N179" s="257">
        <f>VLOOKUP(B179,SWB!$C$15:$S$244,17,FALSE)</f>
        <v>0.43119999840000001</v>
      </c>
      <c r="O179" s="116"/>
      <c r="P179" s="116">
        <f>SWB!$M$4</f>
        <v>0.15</v>
      </c>
      <c r="Q179" s="257">
        <f>VLOOKUP(B179,SWB!$C$15:$AJ$244,34,FALSE)</f>
        <v>0.6</v>
      </c>
      <c r="R179" s="257">
        <f>VLOOKUP(B179,SWB!$C$15:$V$244,20,FALSE)</f>
        <v>1.1338733331349999</v>
      </c>
      <c r="S179" s="116">
        <v>9.86</v>
      </c>
      <c r="T179" s="116">
        <v>0</v>
      </c>
      <c r="U179" s="116">
        <v>1</v>
      </c>
      <c r="V179" s="116">
        <v>1</v>
      </c>
      <c r="W179" s="116">
        <v>23.5</v>
      </c>
      <c r="X179" s="257">
        <v>0.23525399999999999</v>
      </c>
      <c r="Y179" s="116">
        <v>9.51</v>
      </c>
      <c r="Z179" s="116">
        <v>1</v>
      </c>
      <c r="AA179" s="257">
        <v>1.0065850000000001</v>
      </c>
      <c r="AB179" s="116">
        <v>0</v>
      </c>
      <c r="AC179" s="257">
        <v>7.1504909999999997</v>
      </c>
      <c r="AD179" s="257">
        <v>1.156585</v>
      </c>
      <c r="AE179" s="257">
        <v>7.9457370000000003</v>
      </c>
      <c r="AF179" s="116">
        <v>0.5</v>
      </c>
      <c r="AG179" s="116">
        <v>0.55000000000000004</v>
      </c>
      <c r="AH179" s="116">
        <v>75</v>
      </c>
      <c r="AI179" s="116">
        <v>41.25</v>
      </c>
      <c r="AJ179" s="116">
        <f>IFERROR(VLOOKUP($B179,SWB!C177:BE560,37,FALSE),0)</f>
        <v>0</v>
      </c>
      <c r="AK179" s="116">
        <f t="shared" si="9"/>
        <v>0</v>
      </c>
      <c r="AL179" s="116">
        <f>IFERROR(VLOOKUP($B179,SWB!C177:BE560,38,FALSE),0)</f>
        <v>0</v>
      </c>
      <c r="AM179" s="116">
        <f>IFERROR(VLOOKUP($B179,SWB!C177:BE560,38,FALSE),0)</f>
        <v>0</v>
      </c>
      <c r="AN179" s="257">
        <f>IFERROR(VLOOKUP($B179,SWB!C177:BE560,40,FALSE),0)</f>
        <v>0.40057932236934979</v>
      </c>
      <c r="AO179" s="257">
        <f>IFERROR(VLOOKUP($B179,SWB!C177:BE560,43,FALSE),0)</f>
        <v>3.0444028500070583</v>
      </c>
      <c r="AP179" s="257">
        <v>10.243675</v>
      </c>
      <c r="AQ179" s="257">
        <f>IFERROR(VLOOKUP($B179,SWB!C177:BE560,44,FALSE),0)</f>
        <v>464.48148384175443</v>
      </c>
      <c r="AR179" s="116">
        <f t="shared" si="11"/>
        <v>270</v>
      </c>
      <c r="AS179" s="116">
        <v>214.56</v>
      </c>
      <c r="AT179" s="116" t="s">
        <v>131</v>
      </c>
      <c r="AU179" s="116" t="s">
        <v>131</v>
      </c>
      <c r="AV179" s="116" t="s">
        <v>131</v>
      </c>
      <c r="AW179" s="116" t="s">
        <v>131</v>
      </c>
      <c r="AX179" s="116" t="s">
        <v>131</v>
      </c>
      <c r="AY179" s="116" t="s">
        <v>131</v>
      </c>
      <c r="AZ179" s="116"/>
      <c r="BA179" s="116" t="s">
        <v>132</v>
      </c>
      <c r="BB179" s="116"/>
    </row>
    <row r="180" spans="1:54">
      <c r="A180" s="101" t="s">
        <v>131</v>
      </c>
      <c r="B180" s="69">
        <f t="shared" si="10"/>
        <v>42179</v>
      </c>
      <c r="C180" s="101" t="s">
        <v>131</v>
      </c>
      <c r="D180" s="116">
        <f>VLOOKUP(B180,SWB!$C$15:$H$244,6,FALSE)</f>
        <v>175</v>
      </c>
      <c r="E180" s="102">
        <f>VLOOKUP($B180,Clima!$W$8:$AI$1506,3,FALSE)</f>
        <v>29.9</v>
      </c>
      <c r="F180" s="102">
        <f>VLOOKUP($B180,Clima!$W$8:$AI$1506,4,FALSE)</f>
        <v>11.2</v>
      </c>
      <c r="G180" s="102">
        <f>VLOOKUP($B180,Clima!$W$8:$AI$1506,2,FALSE)</f>
        <v>20.2</v>
      </c>
      <c r="H180" s="102"/>
      <c r="I180" s="102">
        <f>VLOOKUP($B180,Clima!$W$8:$AI$1506,13,FALSE)</f>
        <v>5.9</v>
      </c>
      <c r="J180" s="102"/>
      <c r="K180" s="102"/>
      <c r="L180" s="102">
        <f>VLOOKUP($B180,Clima!$W$8:$AI$1506,12,FALSE)</f>
        <v>1.4</v>
      </c>
      <c r="M180" s="102">
        <f t="shared" si="8"/>
        <v>1.4</v>
      </c>
      <c r="N180" s="257">
        <f>VLOOKUP(B180,SWB!$C$15:$S$244,17,FALSE)</f>
        <v>0.42543491931428579</v>
      </c>
      <c r="O180" s="116"/>
      <c r="P180" s="116">
        <f>SWB!$M$4</f>
        <v>0.15</v>
      </c>
      <c r="Q180" s="257">
        <f>VLOOKUP(B180,SWB!$C$15:$AJ$244,34,FALSE)</f>
        <v>0.6</v>
      </c>
      <c r="R180" s="257">
        <f>VLOOKUP(B180,SWB!$C$15:$V$244,20,FALSE)</f>
        <v>1.1338733331349999</v>
      </c>
      <c r="S180" s="116">
        <v>9.86</v>
      </c>
      <c r="T180" s="116">
        <v>0</v>
      </c>
      <c r="U180" s="116">
        <v>1</v>
      </c>
      <c r="V180" s="116">
        <v>1</v>
      </c>
      <c r="W180" s="116">
        <v>23.5</v>
      </c>
      <c r="X180" s="257">
        <v>0</v>
      </c>
      <c r="Y180" s="116">
        <v>9.51</v>
      </c>
      <c r="Z180" s="116">
        <v>1</v>
      </c>
      <c r="AA180" s="257">
        <v>1.011393</v>
      </c>
      <c r="AB180" s="257">
        <v>2.7095090000000002</v>
      </c>
      <c r="AC180" s="257">
        <v>7.1910020000000001</v>
      </c>
      <c r="AD180" s="257">
        <v>1.1613929999999999</v>
      </c>
      <c r="AE180" s="257">
        <v>8.2575020000000006</v>
      </c>
      <c r="AF180" s="116">
        <v>0.5</v>
      </c>
      <c r="AG180" s="116">
        <v>0.55000000000000004</v>
      </c>
      <c r="AH180" s="116">
        <v>75</v>
      </c>
      <c r="AI180" s="116">
        <v>41.25</v>
      </c>
      <c r="AJ180" s="116">
        <f>IFERROR(VLOOKUP($B180,SWB!C178:BE561,37,FALSE),0)</f>
        <v>0</v>
      </c>
      <c r="AK180" s="116">
        <f t="shared" si="9"/>
        <v>0</v>
      </c>
      <c r="AL180" s="116">
        <f>IFERROR(VLOOKUP($B180,SWB!C178:BE561,38,FALSE),0)</f>
        <v>0</v>
      </c>
      <c r="AM180" s="116">
        <f>IFERROR(VLOOKUP($B180,SWB!C178:BE561,38,FALSE),0)</f>
        <v>0</v>
      </c>
      <c r="AN180" s="257">
        <f>IFERROR(VLOOKUP($B180,SWB!C178:BE561,40,FALSE),0)</f>
        <v>0.39579256949778369</v>
      </c>
      <c r="AO180" s="257">
        <f>IFERROR(VLOOKUP($B180,SWB!C178:BE561,43,FALSE),0)</f>
        <v>2.9288650142835992</v>
      </c>
      <c r="AP180" s="257">
        <v>8.6411770000000008</v>
      </c>
      <c r="AQ180" s="257">
        <f>IFERROR(VLOOKUP($B180,SWB!C178:BE561,44,FALSE),0)</f>
        <v>467.41034885603801</v>
      </c>
      <c r="AR180" s="116">
        <f t="shared" si="11"/>
        <v>270</v>
      </c>
      <c r="AS180" s="116">
        <v>214.56</v>
      </c>
      <c r="AT180" s="116" t="s">
        <v>131</v>
      </c>
      <c r="AU180" s="116" t="s">
        <v>131</v>
      </c>
      <c r="AV180" s="116" t="s">
        <v>131</v>
      </c>
      <c r="AW180" s="116" t="s">
        <v>131</v>
      </c>
      <c r="AX180" s="116" t="s">
        <v>131</v>
      </c>
      <c r="AY180" s="116" t="s">
        <v>131</v>
      </c>
      <c r="AZ180" s="116"/>
      <c r="BA180" s="116" t="s">
        <v>132</v>
      </c>
      <c r="BB180" s="116"/>
    </row>
    <row r="181" spans="1:54">
      <c r="A181" s="101" t="s">
        <v>131</v>
      </c>
      <c r="B181" s="69">
        <f t="shared" si="10"/>
        <v>42180</v>
      </c>
      <c r="C181" s="101" t="s">
        <v>131</v>
      </c>
      <c r="D181" s="116">
        <f>VLOOKUP(B181,SWB!$C$15:$H$244,6,FALSE)</f>
        <v>176</v>
      </c>
      <c r="E181" s="102">
        <f>VLOOKUP($B181,Clima!$W$8:$AI$1506,3,FALSE)</f>
        <v>31.1</v>
      </c>
      <c r="F181" s="102">
        <f>VLOOKUP($B181,Clima!$W$8:$AI$1506,4,FALSE)</f>
        <v>13.9</v>
      </c>
      <c r="G181" s="102">
        <f>VLOOKUP($B181,Clima!$W$8:$AI$1506,2,FALSE)</f>
        <v>22.4</v>
      </c>
      <c r="H181" s="102"/>
      <c r="I181" s="102">
        <f>VLOOKUP($B181,Clima!$W$8:$AI$1506,13,FALSE)</f>
        <v>6.5</v>
      </c>
      <c r="J181" s="102"/>
      <c r="K181" s="102"/>
      <c r="L181" s="102">
        <f>VLOOKUP($B181,Clima!$W$8:$AI$1506,12,FALSE)</f>
        <v>0</v>
      </c>
      <c r="M181" s="102">
        <f t="shared" si="8"/>
        <v>0</v>
      </c>
      <c r="N181" s="257">
        <f>VLOOKUP(B181,SWB!$C$15:$S$244,17,FALSE)</f>
        <v>0.41966984022857146</v>
      </c>
      <c r="O181" s="116"/>
      <c r="P181" s="116">
        <f>SWB!$M$4</f>
        <v>0.15</v>
      </c>
      <c r="Q181" s="257">
        <f>VLOOKUP(B181,SWB!$C$15:$AJ$244,34,FALSE)</f>
        <v>0.6</v>
      </c>
      <c r="R181" s="257">
        <f>VLOOKUP(B181,SWB!$C$15:$V$244,20,FALSE)</f>
        <v>1.1338733331349999</v>
      </c>
      <c r="S181" s="116">
        <v>4.43</v>
      </c>
      <c r="T181" s="116">
        <v>0</v>
      </c>
      <c r="U181" s="116">
        <v>1</v>
      </c>
      <c r="V181" s="116">
        <v>1</v>
      </c>
      <c r="W181" s="116">
        <v>23.5</v>
      </c>
      <c r="X181" s="257">
        <v>0</v>
      </c>
      <c r="Y181" s="116">
        <v>9.51</v>
      </c>
      <c r="Z181" s="116">
        <v>1</v>
      </c>
      <c r="AA181" s="257">
        <v>1.0012859999999999</v>
      </c>
      <c r="AB181" s="257">
        <v>6.2389979999999996</v>
      </c>
      <c r="AC181" s="257">
        <v>6.2279960000000001</v>
      </c>
      <c r="AD181" s="257">
        <v>1.151286</v>
      </c>
      <c r="AE181" s="257">
        <v>7.1609959999999999</v>
      </c>
      <c r="AF181" s="116">
        <v>0.5</v>
      </c>
      <c r="AG181" s="116">
        <v>0.55000000000000004</v>
      </c>
      <c r="AH181" s="116">
        <v>75</v>
      </c>
      <c r="AI181" s="116">
        <v>41.25</v>
      </c>
      <c r="AJ181" s="116">
        <f>IFERROR(VLOOKUP($B181,SWB!C179:BE562,37,FALSE),0)</f>
        <v>0</v>
      </c>
      <c r="AK181" s="116">
        <f t="shared" si="9"/>
        <v>0</v>
      </c>
      <c r="AL181" s="116">
        <f>IFERROR(VLOOKUP($B181,SWB!C179:BE562,38,FALSE),0)</f>
        <v>0</v>
      </c>
      <c r="AM181" s="116">
        <f>IFERROR(VLOOKUP($B181,SWB!C179:BE562,38,FALSE),0)</f>
        <v>0</v>
      </c>
      <c r="AN181" s="257">
        <f>IFERROR(VLOOKUP($B181,SWB!C179:BE562,40,FALSE),0)</f>
        <v>0.30190306110978155</v>
      </c>
      <c r="AO181" s="257">
        <f>IFERROR(VLOOKUP($B181,SWB!C179:BE562,43,FALSE),0)</f>
        <v>2.2340826522123836</v>
      </c>
      <c r="AP181" s="257">
        <v>2.3721730000000001</v>
      </c>
      <c r="AQ181" s="257">
        <f>IFERROR(VLOOKUP($B181,SWB!C179:BE562,44,FALSE),0)</f>
        <v>469.64443150825042</v>
      </c>
      <c r="AR181" s="116">
        <f t="shared" si="11"/>
        <v>270</v>
      </c>
      <c r="AS181" s="116">
        <v>223.56</v>
      </c>
      <c r="AT181" s="116" t="s">
        <v>131</v>
      </c>
      <c r="AU181" s="116" t="s">
        <v>131</v>
      </c>
      <c r="AV181" s="116" t="s">
        <v>131</v>
      </c>
      <c r="AW181" s="116" t="s">
        <v>131</v>
      </c>
      <c r="AX181" s="116" t="s">
        <v>131</v>
      </c>
      <c r="AY181" s="116" t="s">
        <v>131</v>
      </c>
      <c r="AZ181" s="116"/>
      <c r="BA181" s="116" t="s">
        <v>132</v>
      </c>
      <c r="BB181" s="116"/>
    </row>
    <row r="182" spans="1:54">
      <c r="A182" s="101" t="s">
        <v>131</v>
      </c>
      <c r="B182" s="69">
        <f t="shared" si="10"/>
        <v>42181</v>
      </c>
      <c r="C182" s="101" t="s">
        <v>131</v>
      </c>
      <c r="D182" s="116">
        <f>VLOOKUP(B182,SWB!$C$15:$H$244,6,FALSE)</f>
        <v>177</v>
      </c>
      <c r="E182" s="102">
        <f>VLOOKUP($B182,Clima!$W$8:$AI$1506,3,FALSE)</f>
        <v>34.4</v>
      </c>
      <c r="F182" s="102">
        <f>VLOOKUP($B182,Clima!$W$8:$AI$1506,4,FALSE)</f>
        <v>14.5</v>
      </c>
      <c r="G182" s="102">
        <f>VLOOKUP($B182,Clima!$W$8:$AI$1506,2,FALSE)</f>
        <v>24.7</v>
      </c>
      <c r="H182" s="102"/>
      <c r="I182" s="102">
        <f>VLOOKUP($B182,Clima!$W$8:$AI$1506,13,FALSE)</f>
        <v>6.6</v>
      </c>
      <c r="J182" s="102"/>
      <c r="K182" s="102"/>
      <c r="L182" s="102">
        <f>VLOOKUP($B182,Clima!$W$8:$AI$1506,12,FALSE)</f>
        <v>0</v>
      </c>
      <c r="M182" s="102">
        <f t="shared" si="8"/>
        <v>0</v>
      </c>
      <c r="N182" s="257">
        <f>VLOOKUP(B182,SWB!$C$15:$S$244,17,FALSE)</f>
        <v>0.41390476114285724</v>
      </c>
      <c r="O182" s="116"/>
      <c r="P182" s="116">
        <f>SWB!$M$4</f>
        <v>0.15</v>
      </c>
      <c r="Q182" s="257">
        <f>VLOOKUP(B182,SWB!$C$15:$AJ$244,34,FALSE)</f>
        <v>0.6</v>
      </c>
      <c r="R182" s="257">
        <f>VLOOKUP(B182,SWB!$C$15:$V$244,20,FALSE)</f>
        <v>1.1338733331349999</v>
      </c>
      <c r="S182" s="116">
        <v>0</v>
      </c>
      <c r="T182" s="116">
        <v>0</v>
      </c>
      <c r="U182" s="116">
        <v>1</v>
      </c>
      <c r="V182" s="116">
        <v>1</v>
      </c>
      <c r="W182" s="116">
        <v>23.5</v>
      </c>
      <c r="X182" s="257">
        <v>6.2279960000000001</v>
      </c>
      <c r="Y182" s="116">
        <v>9.51</v>
      </c>
      <c r="Z182" s="116">
        <v>1</v>
      </c>
      <c r="AA182" s="257">
        <v>1.0303150000000001</v>
      </c>
      <c r="AB182" s="116">
        <v>0</v>
      </c>
      <c r="AC182" s="257">
        <v>13.491714</v>
      </c>
      <c r="AD182" s="257">
        <v>1.180315</v>
      </c>
      <c r="AE182" s="257">
        <v>8.321218</v>
      </c>
      <c r="AF182" s="116">
        <v>0.5</v>
      </c>
      <c r="AG182" s="116">
        <v>0.55000000000000004</v>
      </c>
      <c r="AH182" s="116">
        <v>75</v>
      </c>
      <c r="AI182" s="116">
        <v>41.25</v>
      </c>
      <c r="AJ182" s="116">
        <f>IFERROR(VLOOKUP($B182,SWB!C180:BE563,37,FALSE),0)</f>
        <v>0</v>
      </c>
      <c r="AK182" s="116">
        <f t="shared" si="9"/>
        <v>0</v>
      </c>
      <c r="AL182" s="116">
        <f>IFERROR(VLOOKUP($B182,SWB!C180:BE563,38,FALSE),0)</f>
        <v>0</v>
      </c>
      <c r="AM182" s="116">
        <f>IFERROR(VLOOKUP($B182,SWB!C180:BE563,38,FALSE),0)</f>
        <v>0</v>
      </c>
      <c r="AN182" s="257">
        <f>IFERROR(VLOOKUP($B182,SWB!C180:BE563,40,FALSE),0)</f>
        <v>0.25782658646872908</v>
      </c>
      <c r="AO182" s="257">
        <f>IFERROR(VLOOKUP($B182,SWB!C180:BE563,43,FALSE),0)</f>
        <v>1.8047861052811036</v>
      </c>
      <c r="AP182" s="257">
        <v>10.693391</v>
      </c>
      <c r="AQ182" s="257">
        <f>IFERROR(VLOOKUP($B182,SWB!C180:BE563,44,FALSE),0)</f>
        <v>471.44921761353152</v>
      </c>
      <c r="AR182" s="116">
        <f t="shared" si="11"/>
        <v>270</v>
      </c>
      <c r="AS182" s="116">
        <v>223.56</v>
      </c>
      <c r="AT182" s="116" t="s">
        <v>131</v>
      </c>
      <c r="AU182" s="116" t="s">
        <v>131</v>
      </c>
      <c r="AV182" s="116" t="s">
        <v>131</v>
      </c>
      <c r="AW182" s="116" t="s">
        <v>131</v>
      </c>
      <c r="AX182" s="116" t="s">
        <v>131</v>
      </c>
      <c r="AY182" s="116" t="s">
        <v>131</v>
      </c>
      <c r="AZ182" s="116"/>
      <c r="BA182" s="116" t="s">
        <v>132</v>
      </c>
      <c r="BB182" s="116"/>
    </row>
    <row r="183" spans="1:54">
      <c r="A183" s="101" t="s">
        <v>131</v>
      </c>
      <c r="B183" s="69">
        <f t="shared" si="10"/>
        <v>42182</v>
      </c>
      <c r="C183" s="101" t="s">
        <v>131</v>
      </c>
      <c r="D183" s="116">
        <f>VLOOKUP(B183,SWB!$C$15:$H$244,6,FALSE)</f>
        <v>178</v>
      </c>
      <c r="E183" s="102">
        <f>VLOOKUP($B183,Clima!$W$8:$AI$1506,3,FALSE)</f>
        <v>36.4</v>
      </c>
      <c r="F183" s="102">
        <f>VLOOKUP($B183,Clima!$W$8:$AI$1506,4,FALSE)</f>
        <v>14.9</v>
      </c>
      <c r="G183" s="102">
        <f>VLOOKUP($B183,Clima!$W$8:$AI$1506,2,FALSE)</f>
        <v>26.3</v>
      </c>
      <c r="H183" s="102"/>
      <c r="I183" s="102">
        <f>VLOOKUP($B183,Clima!$W$8:$AI$1506,13,FALSE)</f>
        <v>6.8</v>
      </c>
      <c r="J183" s="102"/>
      <c r="K183" s="102"/>
      <c r="L183" s="102">
        <f>VLOOKUP($B183,Clima!$W$8:$AI$1506,12,FALSE)</f>
        <v>0</v>
      </c>
      <c r="M183" s="102">
        <f t="shared" si="8"/>
        <v>0</v>
      </c>
      <c r="N183" s="257">
        <f>VLOOKUP(B183,SWB!$C$15:$S$244,17,FALSE)</f>
        <v>0.40813968205714302</v>
      </c>
      <c r="O183" s="116"/>
      <c r="P183" s="116">
        <f>SWB!$M$4</f>
        <v>0.15</v>
      </c>
      <c r="Q183" s="257">
        <f>VLOOKUP(B183,SWB!$C$15:$AJ$244,34,FALSE)</f>
        <v>0.6</v>
      </c>
      <c r="R183" s="257">
        <f>VLOOKUP(B183,SWB!$C$15:$V$244,20,FALSE)</f>
        <v>1.1338733331349999</v>
      </c>
      <c r="S183" s="116">
        <v>0</v>
      </c>
      <c r="T183" s="116">
        <v>0</v>
      </c>
      <c r="U183" s="116">
        <v>1</v>
      </c>
      <c r="V183" s="116">
        <v>1</v>
      </c>
      <c r="W183" s="116">
        <v>23.5</v>
      </c>
      <c r="X183" s="257">
        <v>12.121714000000001</v>
      </c>
      <c r="Y183" s="116">
        <v>9.51</v>
      </c>
      <c r="Z183" s="257">
        <v>0.81331600000000004</v>
      </c>
      <c r="AA183" s="257">
        <v>0.81211199999999995</v>
      </c>
      <c r="AB183" s="116">
        <v>0</v>
      </c>
      <c r="AC183" s="257">
        <v>16.880687999999999</v>
      </c>
      <c r="AD183" s="257">
        <v>0.96211199999999997</v>
      </c>
      <c r="AE183" s="257">
        <v>5.6379739999999998</v>
      </c>
      <c r="AF183" s="116">
        <v>0.5</v>
      </c>
      <c r="AG183" s="116">
        <v>0.55000000000000004</v>
      </c>
      <c r="AH183" s="116">
        <v>75</v>
      </c>
      <c r="AI183" s="116">
        <v>41.25</v>
      </c>
      <c r="AJ183" s="116">
        <f>IFERROR(VLOOKUP($B183,SWB!C181:BE564,37,FALSE),0)</f>
        <v>0</v>
      </c>
      <c r="AK183" s="116">
        <f t="shared" si="9"/>
        <v>0</v>
      </c>
      <c r="AL183" s="116">
        <f>IFERROR(VLOOKUP($B183,SWB!C181:BE564,38,FALSE),0)</f>
        <v>0</v>
      </c>
      <c r="AM183" s="116">
        <f>IFERROR(VLOOKUP($B183,SWB!C181:BE564,38,FALSE),0)</f>
        <v>0</v>
      </c>
      <c r="AN183" s="257">
        <f>IFERROR(VLOOKUP($B183,SWB!C181:BE564,40,FALSE),0)</f>
        <v>0.21756365785933435</v>
      </c>
      <c r="AO183" s="257">
        <f>IFERROR(VLOOKUP($B183,SWB!C181:BE564,43,FALSE),0)</f>
        <v>1.5882147023731408</v>
      </c>
      <c r="AP183" s="257">
        <v>14.961365000000001</v>
      </c>
      <c r="AQ183" s="257">
        <f>IFERROR(VLOOKUP($B183,SWB!C181:BE564,44,FALSE),0)</f>
        <v>473.03743231590465</v>
      </c>
      <c r="AR183" s="116">
        <f t="shared" si="11"/>
        <v>270</v>
      </c>
      <c r="AS183" s="116">
        <v>224.93</v>
      </c>
      <c r="AT183" s="116" t="s">
        <v>131</v>
      </c>
      <c r="AU183" s="116" t="s">
        <v>131</v>
      </c>
      <c r="AV183" s="116" t="s">
        <v>131</v>
      </c>
      <c r="AW183" s="116" t="s">
        <v>131</v>
      </c>
      <c r="AX183" s="116" t="s">
        <v>131</v>
      </c>
      <c r="AY183" s="116" t="s">
        <v>131</v>
      </c>
      <c r="AZ183" s="116"/>
      <c r="BA183" s="116" t="s">
        <v>132</v>
      </c>
      <c r="BB183" s="116"/>
    </row>
    <row r="184" spans="1:54">
      <c r="A184" s="101" t="s">
        <v>131</v>
      </c>
      <c r="B184" s="69">
        <f t="shared" si="10"/>
        <v>42183</v>
      </c>
      <c r="C184" s="101" t="s">
        <v>131</v>
      </c>
      <c r="D184" s="116">
        <f>VLOOKUP(B184,SWB!$C$15:$H$244,6,FALSE)</f>
        <v>179</v>
      </c>
      <c r="E184" s="102">
        <f>VLOOKUP($B184,Clima!$W$8:$AI$1506,3,FALSE)</f>
        <v>38.200000000000003</v>
      </c>
      <c r="F184" s="102">
        <f>VLOOKUP($B184,Clima!$W$8:$AI$1506,4,FALSE)</f>
        <v>15.4</v>
      </c>
      <c r="G184" s="102">
        <f>VLOOKUP($B184,Clima!$W$8:$AI$1506,2,FALSE)</f>
        <v>27.9</v>
      </c>
      <c r="H184" s="102"/>
      <c r="I184" s="102">
        <f>VLOOKUP($B184,Clima!$W$8:$AI$1506,13,FALSE)</f>
        <v>7</v>
      </c>
      <c r="J184" s="102"/>
      <c r="K184" s="102"/>
      <c r="L184" s="102">
        <f>VLOOKUP($B184,Clima!$W$8:$AI$1506,12,FALSE)</f>
        <v>0</v>
      </c>
      <c r="M184" s="102">
        <f t="shared" si="8"/>
        <v>0</v>
      </c>
      <c r="N184" s="257">
        <f>VLOOKUP(B184,SWB!$C$15:$S$244,17,FALSE)</f>
        <v>0.40237460297142869</v>
      </c>
      <c r="O184" s="116"/>
      <c r="P184" s="116">
        <f>SWB!$M$4</f>
        <v>0.15</v>
      </c>
      <c r="Q184" s="257">
        <f>VLOOKUP(B184,SWB!$C$15:$AJ$244,34,FALSE)</f>
        <v>0.6</v>
      </c>
      <c r="R184" s="257">
        <f>VLOOKUP(B184,SWB!$C$15:$V$244,20,FALSE)</f>
        <v>1.1338733331349999</v>
      </c>
      <c r="S184" s="116">
        <v>4.43</v>
      </c>
      <c r="T184" s="116">
        <v>0</v>
      </c>
      <c r="U184" s="116">
        <v>1</v>
      </c>
      <c r="V184" s="116">
        <v>1</v>
      </c>
      <c r="W184" s="116">
        <v>23.5</v>
      </c>
      <c r="X184" s="257">
        <v>12.450688</v>
      </c>
      <c r="Y184" s="116">
        <v>9.51</v>
      </c>
      <c r="Z184" s="257">
        <v>0.78980099999999998</v>
      </c>
      <c r="AA184" s="257">
        <v>0.78769199999999995</v>
      </c>
      <c r="AB184" s="116">
        <v>0</v>
      </c>
      <c r="AC184" s="257">
        <v>17.539180999999999</v>
      </c>
      <c r="AD184" s="257">
        <v>0.93769199999999997</v>
      </c>
      <c r="AE184" s="257">
        <v>6.057493</v>
      </c>
      <c r="AF184" s="116">
        <v>0.5</v>
      </c>
      <c r="AG184" s="116">
        <v>0.55000000000000004</v>
      </c>
      <c r="AH184" s="116">
        <v>75</v>
      </c>
      <c r="AI184" s="116">
        <v>41.25</v>
      </c>
      <c r="AJ184" s="116">
        <f>IFERROR(VLOOKUP($B184,SWB!C182:BE565,37,FALSE),0)</f>
        <v>0</v>
      </c>
      <c r="AK184" s="116">
        <f t="shared" si="9"/>
        <v>0</v>
      </c>
      <c r="AL184" s="116">
        <f>IFERROR(VLOOKUP($B184,SWB!C182:BE565,38,FALSE),0)</f>
        <v>0</v>
      </c>
      <c r="AM184" s="116">
        <f>IFERROR(VLOOKUP($B184,SWB!C182:BE565,38,FALSE),0)</f>
        <v>0</v>
      </c>
      <c r="AN184" s="257">
        <f>IFERROR(VLOOKUP($B184,SWB!C182:BE565,40,FALSE),0)</f>
        <v>0.1871785290425711</v>
      </c>
      <c r="AO184" s="257">
        <f>IFERROR(VLOOKUP($B184,SWB!C182:BE565,43,FALSE),0)</f>
        <v>1.3102497032979976</v>
      </c>
      <c r="AP184" s="257">
        <v>16.588857999999998</v>
      </c>
      <c r="AQ184" s="257">
        <f>IFERROR(VLOOKUP($B184,SWB!C182:BE565,44,FALSE),0)</f>
        <v>474.34768201920264</v>
      </c>
      <c r="AR184" s="116">
        <f t="shared" si="11"/>
        <v>270</v>
      </c>
      <c r="AS184" s="116">
        <v>224.93</v>
      </c>
      <c r="AT184" s="116" t="s">
        <v>131</v>
      </c>
      <c r="AU184" s="116" t="s">
        <v>131</v>
      </c>
      <c r="AV184" s="116" t="s">
        <v>131</v>
      </c>
      <c r="AW184" s="116" t="s">
        <v>131</v>
      </c>
      <c r="AX184" s="116" t="s">
        <v>131</v>
      </c>
      <c r="AY184" s="116" t="s">
        <v>131</v>
      </c>
      <c r="AZ184" s="116"/>
      <c r="BA184" s="116" t="s">
        <v>132</v>
      </c>
      <c r="BB184" s="116"/>
    </row>
    <row r="185" spans="1:54">
      <c r="A185" s="101" t="s">
        <v>131</v>
      </c>
      <c r="B185" s="69">
        <f t="shared" si="10"/>
        <v>42184</v>
      </c>
      <c r="C185" s="101" t="s">
        <v>131</v>
      </c>
      <c r="D185" s="116">
        <f>VLOOKUP(B185,SWB!$C$15:$H$244,6,FALSE)</f>
        <v>180</v>
      </c>
      <c r="E185" s="102">
        <f>VLOOKUP($B185,Clima!$W$8:$AI$1506,3,FALSE)</f>
        <v>35.9</v>
      </c>
      <c r="F185" s="102">
        <f>VLOOKUP($B185,Clima!$W$8:$AI$1506,4,FALSE)</f>
        <v>16.899999999999999</v>
      </c>
      <c r="G185" s="102">
        <f>VLOOKUP($B185,Clima!$W$8:$AI$1506,2,FALSE)</f>
        <v>27.1</v>
      </c>
      <c r="H185" s="102"/>
      <c r="I185" s="102">
        <f>VLOOKUP($B185,Clima!$W$8:$AI$1506,13,FALSE)</f>
        <v>8</v>
      </c>
      <c r="J185" s="102"/>
      <c r="K185" s="102"/>
      <c r="L185" s="102">
        <f>VLOOKUP($B185,Clima!$W$8:$AI$1506,12,FALSE)</f>
        <v>0</v>
      </c>
      <c r="M185" s="102">
        <f t="shared" si="8"/>
        <v>0</v>
      </c>
      <c r="N185" s="257">
        <f>VLOOKUP(B185,SWB!$C$15:$S$244,17,FALSE)</f>
        <v>0.39660952388571447</v>
      </c>
      <c r="O185" s="116"/>
      <c r="P185" s="116">
        <f>SWB!$M$4</f>
        <v>0.15</v>
      </c>
      <c r="Q185" s="257">
        <f>VLOOKUP(B185,SWB!$C$15:$AJ$244,34,FALSE)</f>
        <v>0.6</v>
      </c>
      <c r="R185" s="257">
        <f>VLOOKUP(B185,SWB!$C$15:$V$244,20,FALSE)</f>
        <v>1.1338733331349999</v>
      </c>
      <c r="S185" s="116">
        <v>4.43</v>
      </c>
      <c r="T185" s="116">
        <v>0</v>
      </c>
      <c r="U185" s="116">
        <v>1</v>
      </c>
      <c r="V185" s="116">
        <v>1</v>
      </c>
      <c r="W185" s="116">
        <v>23.5</v>
      </c>
      <c r="X185" s="257">
        <v>13.109181</v>
      </c>
      <c r="Y185" s="116">
        <v>9.51</v>
      </c>
      <c r="Z185" s="257">
        <v>0.74273199999999995</v>
      </c>
      <c r="AA185" s="257">
        <v>0.75096300000000005</v>
      </c>
      <c r="AB185" s="116">
        <v>0</v>
      </c>
      <c r="AC185" s="257">
        <v>18.095576000000001</v>
      </c>
      <c r="AD185" s="257">
        <v>0.90096299999999996</v>
      </c>
      <c r="AE185" s="257">
        <v>5.9823959999999996</v>
      </c>
      <c r="AF185" s="116">
        <v>0.5</v>
      </c>
      <c r="AG185" s="116">
        <v>0.55000000000000004</v>
      </c>
      <c r="AH185" s="116">
        <v>75</v>
      </c>
      <c r="AI185" s="116">
        <v>41.25</v>
      </c>
      <c r="AJ185" s="116">
        <f>IFERROR(VLOOKUP($B185,SWB!C183:BE566,37,FALSE),0)</f>
        <v>0</v>
      </c>
      <c r="AK185" s="116">
        <f t="shared" si="9"/>
        <v>0</v>
      </c>
      <c r="AL185" s="116">
        <f>IFERROR(VLOOKUP($B185,SWB!C183:BE566,38,FALSE),0)</f>
        <v>0</v>
      </c>
      <c r="AM185" s="116">
        <f>IFERROR(VLOOKUP($B185,SWB!C183:BE566,38,FALSE),0)</f>
        <v>0</v>
      </c>
      <c r="AN185" s="257">
        <f>IFERROR(VLOOKUP($B185,SWB!C183:BE566,40,FALSE),0)</f>
        <v>0.17099987579453246</v>
      </c>
      <c r="AO185" s="257">
        <f>IFERROR(VLOOKUP($B185,SWB!C183:BE566,43,FALSE),0)</f>
        <v>0.95759930444938168</v>
      </c>
      <c r="AP185" s="257">
        <v>18.141254</v>
      </c>
      <c r="AQ185" s="257">
        <f>IFERROR(VLOOKUP($B185,SWB!C183:BE566,44,FALSE),0)</f>
        <v>475.30528132365203</v>
      </c>
      <c r="AR185" s="116">
        <f t="shared" si="11"/>
        <v>270</v>
      </c>
      <c r="AS185" s="116">
        <v>224.93</v>
      </c>
      <c r="AT185" s="116" t="s">
        <v>131</v>
      </c>
      <c r="AU185" s="116" t="s">
        <v>131</v>
      </c>
      <c r="AV185" s="116" t="s">
        <v>131</v>
      </c>
      <c r="AW185" s="116" t="s">
        <v>131</v>
      </c>
      <c r="AX185" s="116" t="s">
        <v>131</v>
      </c>
      <c r="AY185" s="116" t="s">
        <v>131</v>
      </c>
      <c r="AZ185" s="116"/>
      <c r="BA185" s="116" t="s">
        <v>132</v>
      </c>
      <c r="BB185" s="116"/>
    </row>
    <row r="186" spans="1:54">
      <c r="A186" s="101" t="s">
        <v>131</v>
      </c>
      <c r="B186" s="69">
        <f t="shared" si="10"/>
        <v>42185</v>
      </c>
      <c r="C186" s="101" t="s">
        <v>131</v>
      </c>
      <c r="D186" s="116">
        <f>VLOOKUP(B186,SWB!$C$15:$H$244,6,FALSE)</f>
        <v>181</v>
      </c>
      <c r="E186" s="102">
        <f>VLOOKUP($B186,Clima!$W$8:$AI$1506,3,FALSE)</f>
        <v>36.1</v>
      </c>
      <c r="F186" s="102">
        <f>VLOOKUP($B186,Clima!$W$8:$AI$1506,4,FALSE)</f>
        <v>16</v>
      </c>
      <c r="G186" s="102">
        <f>VLOOKUP($B186,Clima!$W$8:$AI$1506,2,FALSE)</f>
        <v>26.9</v>
      </c>
      <c r="H186" s="102"/>
      <c r="I186" s="102">
        <f>VLOOKUP($B186,Clima!$W$8:$AI$1506,13,FALSE)</f>
        <v>9</v>
      </c>
      <c r="J186" s="102"/>
      <c r="K186" s="102"/>
      <c r="L186" s="102">
        <f>VLOOKUP($B186,Clima!$W$8:$AI$1506,12,FALSE)</f>
        <v>0</v>
      </c>
      <c r="M186" s="102">
        <f t="shared" si="8"/>
        <v>0</v>
      </c>
      <c r="N186" s="257">
        <f>VLOOKUP(B186,SWB!$C$15:$S$244,17,FALSE)</f>
        <v>0.39084444479999991</v>
      </c>
      <c r="O186" s="116"/>
      <c r="P186" s="116">
        <f>SWB!$M$4</f>
        <v>0.15</v>
      </c>
      <c r="Q186" s="257">
        <f>VLOOKUP(B186,SWB!$C$15:$AJ$244,34,FALSE)</f>
        <v>0.6</v>
      </c>
      <c r="R186" s="257">
        <f>VLOOKUP(B186,SWB!$C$15:$V$244,20,FALSE)</f>
        <v>1.1338733331349999</v>
      </c>
      <c r="S186" s="116">
        <v>4.43</v>
      </c>
      <c r="T186" s="116">
        <v>0</v>
      </c>
      <c r="U186" s="116">
        <v>1</v>
      </c>
      <c r="V186" s="116">
        <v>1</v>
      </c>
      <c r="W186" s="116">
        <v>23.5</v>
      </c>
      <c r="X186" s="257">
        <v>13.665576</v>
      </c>
      <c r="Y186" s="116">
        <v>9.51</v>
      </c>
      <c r="Z186" s="257">
        <v>0.70296099999999995</v>
      </c>
      <c r="AA186" s="257">
        <v>0.70718999999999999</v>
      </c>
      <c r="AB186" s="116">
        <v>0</v>
      </c>
      <c r="AC186" s="257">
        <v>18.446179999999998</v>
      </c>
      <c r="AD186" s="257">
        <v>0.85719000000000001</v>
      </c>
      <c r="AE186" s="257">
        <v>5.7946039999999996</v>
      </c>
      <c r="AF186" s="116">
        <v>0.5</v>
      </c>
      <c r="AG186" s="116">
        <v>0.55000000000000004</v>
      </c>
      <c r="AH186" s="116">
        <v>75</v>
      </c>
      <c r="AI186" s="116">
        <v>41.25</v>
      </c>
      <c r="AJ186" s="116">
        <f>IFERROR(VLOOKUP($B186,SWB!C184:BE567,37,FALSE),0)</f>
        <v>0</v>
      </c>
      <c r="AK186" s="116">
        <f t="shared" si="9"/>
        <v>0</v>
      </c>
      <c r="AL186" s="116">
        <f>IFERROR(VLOOKUP($B186,SWB!C184:BE567,38,FALSE),0)</f>
        <v>0</v>
      </c>
      <c r="AM186" s="116">
        <f>IFERROR(VLOOKUP($B186,SWB!C184:BE567,38,FALSE),0)</f>
        <v>0</v>
      </c>
      <c r="AN186" s="257">
        <f>IFERROR(VLOOKUP($B186,SWB!C184:BE567,40,FALSE),0)</f>
        <v>0.15202003585015175</v>
      </c>
      <c r="AO186" s="257">
        <f>IFERROR(VLOOKUP($B186,SWB!C184:BE567,43,FALSE),0)</f>
        <v>0.83611019717583468</v>
      </c>
      <c r="AP186" s="257">
        <v>19.505858</v>
      </c>
      <c r="AQ186" s="257">
        <f>IFERROR(VLOOKUP($B186,SWB!C184:BE567,44,FALSE),0)</f>
        <v>476.14139152082788</v>
      </c>
      <c r="AR186" s="116">
        <f t="shared" si="11"/>
        <v>270</v>
      </c>
      <c r="AS186" s="116">
        <v>224.93</v>
      </c>
      <c r="AT186" s="116" t="s">
        <v>131</v>
      </c>
      <c r="AU186" s="116" t="s">
        <v>131</v>
      </c>
      <c r="AV186" s="116" t="s">
        <v>131</v>
      </c>
      <c r="AW186" s="116" t="s">
        <v>131</v>
      </c>
      <c r="AX186" s="116" t="s">
        <v>131</v>
      </c>
      <c r="AY186" s="116" t="s">
        <v>131</v>
      </c>
      <c r="AZ186" s="116"/>
      <c r="BA186" s="116" t="s">
        <v>132</v>
      </c>
      <c r="BB186" s="116"/>
    </row>
    <row r="187" spans="1:54">
      <c r="A187" s="101" t="s">
        <v>131</v>
      </c>
      <c r="B187" s="69">
        <f t="shared" si="10"/>
        <v>42186</v>
      </c>
      <c r="C187" s="101" t="s">
        <v>131</v>
      </c>
      <c r="D187" s="116">
        <f>VLOOKUP(B187,SWB!$C$15:$H$244,6,FALSE)</f>
        <v>182</v>
      </c>
      <c r="E187" s="102">
        <f>VLOOKUP($B187,Clima!$W$8:$AI$1506,3,FALSE)</f>
        <v>35.5</v>
      </c>
      <c r="F187" s="102">
        <f>VLOOKUP($B187,Clima!$W$8:$AI$1506,4,FALSE)</f>
        <v>16.100000000000001</v>
      </c>
      <c r="G187" s="102">
        <f>VLOOKUP($B187,Clima!$W$8:$AI$1506,2,FALSE)</f>
        <v>25.7</v>
      </c>
      <c r="H187" s="102"/>
      <c r="I187" s="102">
        <f>VLOOKUP($B187,Clima!$W$8:$AI$1506,13,FALSE)</f>
        <v>8</v>
      </c>
      <c r="J187" s="102"/>
      <c r="K187" s="102"/>
      <c r="L187" s="102">
        <f>VLOOKUP($B187,Clima!$W$8:$AI$1506,12,FALSE)</f>
        <v>0</v>
      </c>
      <c r="M187" s="102">
        <f t="shared" si="8"/>
        <v>0</v>
      </c>
      <c r="N187" s="257">
        <f>VLOOKUP(B187,SWB!$C$15:$S$244,17,FALSE)</f>
        <v>0.38474074097777777</v>
      </c>
      <c r="O187" s="116"/>
      <c r="P187" s="116">
        <f>SWB!$M$4</f>
        <v>0.15</v>
      </c>
      <c r="Q187" s="257">
        <f>VLOOKUP(B187,SWB!$C$15:$AJ$244,34,FALSE)</f>
        <v>0.6</v>
      </c>
      <c r="R187" s="257">
        <f>VLOOKUP(B187,SWB!$C$15:$V$244,20,FALSE)</f>
        <v>1.1338733331349999</v>
      </c>
      <c r="S187" s="116">
        <v>4.43</v>
      </c>
      <c r="T187" s="116">
        <v>0</v>
      </c>
      <c r="U187" s="116">
        <v>1</v>
      </c>
      <c r="V187" s="116">
        <v>1</v>
      </c>
      <c r="W187" s="116">
        <v>23.5</v>
      </c>
      <c r="X187" s="257">
        <v>14.01618</v>
      </c>
      <c r="Y187" s="116">
        <v>9.51</v>
      </c>
      <c r="Z187" s="257">
        <v>0.67789999999999995</v>
      </c>
      <c r="AA187" s="257">
        <v>0.68488700000000002</v>
      </c>
      <c r="AB187" s="116">
        <v>0</v>
      </c>
      <c r="AC187" s="257">
        <v>18.782993999999999</v>
      </c>
      <c r="AD187" s="257">
        <v>0.83488700000000005</v>
      </c>
      <c r="AE187" s="257">
        <v>5.8108139999999997</v>
      </c>
      <c r="AF187" s="116">
        <v>0.5</v>
      </c>
      <c r="AG187" s="116">
        <v>0.55000000000000004</v>
      </c>
      <c r="AH187" s="116">
        <v>75</v>
      </c>
      <c r="AI187" s="116">
        <v>41.25</v>
      </c>
      <c r="AJ187" s="116">
        <f>IFERROR(VLOOKUP($B187,SWB!C185:BE568,37,FALSE),0)</f>
        <v>0</v>
      </c>
      <c r="AK187" s="116">
        <f t="shared" si="9"/>
        <v>0</v>
      </c>
      <c r="AL187" s="116">
        <f>IFERROR(VLOOKUP($B187,SWB!C185:BE568,38,FALSE),0)</f>
        <v>0</v>
      </c>
      <c r="AM187" s="116">
        <f>IFERROR(VLOOKUP($B187,SWB!C185:BE568,38,FALSE),0)</f>
        <v>0</v>
      </c>
      <c r="AN187" s="257">
        <f>IFERROR(VLOOKUP($B187,SWB!C185:BE568,40,FALSE),0)</f>
        <v>0.12154988328224625</v>
      </c>
      <c r="AO187" s="257">
        <f>IFERROR(VLOOKUP($B187,SWB!C185:BE568,43,FALSE),0)</f>
        <v>0.89946913628862235</v>
      </c>
      <c r="AP187" s="257">
        <v>20.886671</v>
      </c>
      <c r="AQ187" s="257">
        <f>IFERROR(VLOOKUP($B187,SWB!C185:BE568,44,FALSE),0)</f>
        <v>477.04086065711653</v>
      </c>
      <c r="AR187" s="116">
        <f t="shared" si="11"/>
        <v>270</v>
      </c>
      <c r="AS187" s="116">
        <v>224.93</v>
      </c>
      <c r="AT187" s="116" t="s">
        <v>131</v>
      </c>
      <c r="AU187" s="116" t="s">
        <v>131</v>
      </c>
      <c r="AV187" s="116" t="s">
        <v>131</v>
      </c>
      <c r="AW187" s="116" t="s">
        <v>131</v>
      </c>
      <c r="AX187" s="116" t="s">
        <v>131</v>
      </c>
      <c r="AY187" s="116" t="s">
        <v>131</v>
      </c>
      <c r="AZ187" s="116"/>
      <c r="BA187" s="116" t="s">
        <v>132</v>
      </c>
      <c r="BB187" s="116"/>
    </row>
    <row r="188" spans="1:54">
      <c r="A188" s="101" t="s">
        <v>131</v>
      </c>
      <c r="B188" s="69">
        <f t="shared" si="10"/>
        <v>42187</v>
      </c>
      <c r="C188" s="101" t="s">
        <v>131</v>
      </c>
      <c r="D188" s="116">
        <f>VLOOKUP(B188,SWB!$C$15:$H$244,6,FALSE)</f>
        <v>183</v>
      </c>
      <c r="E188" s="102">
        <f>VLOOKUP($B188,Clima!$W$8:$AI$1506,3,FALSE)</f>
        <v>33.5</v>
      </c>
      <c r="F188" s="102">
        <f>VLOOKUP($B188,Clima!$W$8:$AI$1506,4,FALSE)</f>
        <v>16.3</v>
      </c>
      <c r="G188" s="102">
        <f>VLOOKUP($B188,Clima!$W$8:$AI$1506,2,FALSE)</f>
        <v>24.3</v>
      </c>
      <c r="H188" s="102"/>
      <c r="I188" s="102">
        <f>VLOOKUP($B188,Clima!$W$8:$AI$1506,13,FALSE)</f>
        <v>6.9</v>
      </c>
      <c r="J188" s="102"/>
      <c r="K188" s="102"/>
      <c r="L188" s="102">
        <f>VLOOKUP($B188,Clima!$W$8:$AI$1506,12,FALSE)</f>
        <v>0</v>
      </c>
      <c r="M188" s="102">
        <f t="shared" si="8"/>
        <v>0</v>
      </c>
      <c r="N188" s="257">
        <f>VLOOKUP(B188,SWB!$C$15:$S$244,17,FALSE)</f>
        <v>0.37863703715555552</v>
      </c>
      <c r="O188" s="116"/>
      <c r="P188" s="116">
        <f>SWB!$M$4</f>
        <v>0.15</v>
      </c>
      <c r="Q188" s="257">
        <f>VLOOKUP(B188,SWB!$C$15:$AJ$244,34,FALSE)</f>
        <v>0.6</v>
      </c>
      <c r="R188" s="257">
        <f>VLOOKUP(B188,SWB!$C$15:$V$244,20,FALSE)</f>
        <v>1.1338733331349999</v>
      </c>
      <c r="S188" s="116">
        <v>4.43</v>
      </c>
      <c r="T188" s="116">
        <v>0</v>
      </c>
      <c r="U188" s="116">
        <v>1</v>
      </c>
      <c r="V188" s="116">
        <v>1</v>
      </c>
      <c r="W188" s="116">
        <v>23.5</v>
      </c>
      <c r="X188" s="257">
        <v>14.352994000000001</v>
      </c>
      <c r="Y188" s="116">
        <v>9.51</v>
      </c>
      <c r="Z188" s="257">
        <v>0.65382499999999999</v>
      </c>
      <c r="AA188" s="257">
        <v>0.67276599999999998</v>
      </c>
      <c r="AB188" s="116">
        <v>0</v>
      </c>
      <c r="AC188" s="257">
        <v>19.768761000000001</v>
      </c>
      <c r="AD188" s="257">
        <v>0.822766</v>
      </c>
      <c r="AE188" s="257">
        <v>6.6232670000000002</v>
      </c>
      <c r="AF188" s="116">
        <v>0.5</v>
      </c>
      <c r="AG188" s="116">
        <v>0.55000000000000004</v>
      </c>
      <c r="AH188" s="116">
        <v>75</v>
      </c>
      <c r="AI188" s="116">
        <v>41.25</v>
      </c>
      <c r="AJ188" s="116">
        <f>IFERROR(VLOOKUP($B188,SWB!C186:BE569,37,FALSE),0)</f>
        <v>0</v>
      </c>
      <c r="AK188" s="116">
        <f t="shared" si="9"/>
        <v>0</v>
      </c>
      <c r="AL188" s="116">
        <f>IFERROR(VLOOKUP($B188,SWB!C186:BE569,38,FALSE),0)</f>
        <v>0</v>
      </c>
      <c r="AM188" s="116">
        <f>IFERROR(VLOOKUP($B188,SWB!C186:BE569,38,FALSE),0)</f>
        <v>0</v>
      </c>
      <c r="AN188" s="257">
        <f>IFERROR(VLOOKUP($B188,SWB!C186:BE569,40,FALSE),0)</f>
        <v>0.11377594739965974</v>
      </c>
      <c r="AO188" s="257">
        <f>IFERROR(VLOOKUP($B188,SWB!C186:BE569,43,FALSE),0)</f>
        <v>0.68265568439795843</v>
      </c>
      <c r="AP188" s="257">
        <v>23.079939</v>
      </c>
      <c r="AQ188" s="257">
        <f>IFERROR(VLOOKUP($B188,SWB!C186:BE569,44,FALSE),0)</f>
        <v>477.72351634151448</v>
      </c>
      <c r="AR188" s="116">
        <f t="shared" si="11"/>
        <v>270</v>
      </c>
      <c r="AS188" s="116">
        <v>224.93</v>
      </c>
      <c r="AT188" s="116" t="s">
        <v>131</v>
      </c>
      <c r="AU188" s="116" t="s">
        <v>131</v>
      </c>
      <c r="AV188" s="116" t="s">
        <v>131</v>
      </c>
      <c r="AW188" s="116" t="s">
        <v>131</v>
      </c>
      <c r="AX188" s="116" t="s">
        <v>131</v>
      </c>
      <c r="AY188" s="116" t="s">
        <v>131</v>
      </c>
      <c r="AZ188" s="116"/>
      <c r="BA188" s="116" t="s">
        <v>132</v>
      </c>
      <c r="BB188" s="116"/>
    </row>
    <row r="189" spans="1:54">
      <c r="A189" s="101" t="s">
        <v>131</v>
      </c>
      <c r="B189" s="69">
        <f t="shared" si="10"/>
        <v>42188</v>
      </c>
      <c r="C189" s="101" t="s">
        <v>131</v>
      </c>
      <c r="D189" s="116">
        <f>VLOOKUP(B189,SWB!$C$15:$H$244,6,FALSE)</f>
        <v>184</v>
      </c>
      <c r="E189" s="102">
        <f>VLOOKUP($B189,Clima!$W$8:$AI$1506,3,FALSE)</f>
        <v>34.700000000000003</v>
      </c>
      <c r="F189" s="102">
        <f>VLOOKUP($B189,Clima!$W$8:$AI$1506,4,FALSE)</f>
        <v>16.7</v>
      </c>
      <c r="G189" s="102">
        <f>VLOOKUP($B189,Clima!$W$8:$AI$1506,2,FALSE)</f>
        <v>25</v>
      </c>
      <c r="H189" s="102"/>
      <c r="I189" s="102">
        <f>VLOOKUP($B189,Clima!$W$8:$AI$1506,13,FALSE)</f>
        <v>7.6</v>
      </c>
      <c r="J189" s="102"/>
      <c r="K189" s="102"/>
      <c r="L189" s="102">
        <f>VLOOKUP($B189,Clima!$W$8:$AI$1506,12,FALSE)</f>
        <v>0</v>
      </c>
      <c r="M189" s="102">
        <f t="shared" si="8"/>
        <v>0</v>
      </c>
      <c r="N189" s="257">
        <f>VLOOKUP(B189,SWB!$C$15:$S$244,17,FALSE)</f>
        <v>0.37253333333333338</v>
      </c>
      <c r="O189" s="116"/>
      <c r="P189" s="116">
        <f>SWB!$M$4</f>
        <v>0.15</v>
      </c>
      <c r="Q189" s="257">
        <f>VLOOKUP(B189,SWB!$C$15:$AJ$244,34,FALSE)</f>
        <v>0.6</v>
      </c>
      <c r="R189" s="257">
        <f>VLOOKUP(B189,SWB!$C$15:$V$244,20,FALSE)</f>
        <v>1.1338733331349999</v>
      </c>
      <c r="S189" s="116">
        <v>0</v>
      </c>
      <c r="T189" s="116">
        <v>0</v>
      </c>
      <c r="U189" s="116">
        <v>1</v>
      </c>
      <c r="V189" s="116">
        <v>1</v>
      </c>
      <c r="W189" s="116">
        <v>23.5</v>
      </c>
      <c r="X189" s="257">
        <v>19.768761000000001</v>
      </c>
      <c r="Y189" s="116">
        <v>9.51</v>
      </c>
      <c r="Z189" s="257">
        <v>0.266708</v>
      </c>
      <c r="AA189" s="257">
        <v>0.28347899999999998</v>
      </c>
      <c r="AB189" s="116">
        <v>0</v>
      </c>
      <c r="AC189" s="257">
        <v>22.320076</v>
      </c>
      <c r="AD189" s="257">
        <v>0.433479</v>
      </c>
      <c r="AE189" s="257">
        <v>3.9013149999999999</v>
      </c>
      <c r="AF189" s="116">
        <v>0.5</v>
      </c>
      <c r="AG189" s="116">
        <v>0.55000000000000004</v>
      </c>
      <c r="AH189" s="116">
        <v>75</v>
      </c>
      <c r="AI189" s="116">
        <v>41.25</v>
      </c>
      <c r="AJ189" s="116">
        <f>IFERROR(VLOOKUP($B189,SWB!C187:BE570,37,FALSE),0)</f>
        <v>0</v>
      </c>
      <c r="AK189" s="116">
        <f t="shared" si="9"/>
        <v>0</v>
      </c>
      <c r="AL189" s="116">
        <f>IFERROR(VLOOKUP($B189,SWB!C187:BE570,38,FALSE),0)</f>
        <v>0</v>
      </c>
      <c r="AM189" s="116">
        <f>IFERROR(VLOOKUP($B189,SWB!C187:BE570,38,FALSE),0)</f>
        <v>0</v>
      </c>
      <c r="AN189" s="257">
        <f>IFERROR(VLOOKUP($B189,SWB!C187:BE570,40,FALSE),0)</f>
        <v>9.4533667377788941E-2</v>
      </c>
      <c r="AO189" s="257">
        <f>IFERROR(VLOOKUP($B189,SWB!C187:BE570,43,FALSE),0)</f>
        <v>0.65228230490674377</v>
      </c>
      <c r="AP189" s="257">
        <v>26.981254</v>
      </c>
      <c r="AQ189" s="257">
        <f>IFERROR(VLOOKUP($B189,SWB!C187:BE570,44,FALSE),0)</f>
        <v>478.37579864642123</v>
      </c>
      <c r="AR189" s="116">
        <f t="shared" si="11"/>
        <v>270</v>
      </c>
      <c r="AS189" s="116">
        <v>224.93</v>
      </c>
      <c r="AT189" s="116" t="s">
        <v>131</v>
      </c>
      <c r="AU189" s="116" t="s">
        <v>131</v>
      </c>
      <c r="AV189" s="116" t="s">
        <v>131</v>
      </c>
      <c r="AW189" s="116" t="s">
        <v>131</v>
      </c>
      <c r="AX189" s="116" t="s">
        <v>131</v>
      </c>
      <c r="AY189" s="116" t="s">
        <v>131</v>
      </c>
      <c r="AZ189" s="116"/>
      <c r="BA189" s="116" t="s">
        <v>132</v>
      </c>
      <c r="BB189" s="116"/>
    </row>
    <row r="190" spans="1:54">
      <c r="A190" s="101" t="s">
        <v>131</v>
      </c>
      <c r="B190" s="69">
        <f t="shared" si="10"/>
        <v>42189</v>
      </c>
      <c r="C190" s="101" t="s">
        <v>131</v>
      </c>
      <c r="D190" s="116">
        <f>VLOOKUP(B190,SWB!$C$15:$H$244,6,FALSE)</f>
        <v>185</v>
      </c>
      <c r="E190" s="102">
        <f>VLOOKUP($B190,Clima!$W$8:$AI$1506,3,FALSE)</f>
        <v>37</v>
      </c>
      <c r="F190" s="102">
        <f>VLOOKUP($B190,Clima!$W$8:$AI$1506,4,FALSE)</f>
        <v>15.8</v>
      </c>
      <c r="G190" s="102">
        <f>VLOOKUP($B190,Clima!$W$8:$AI$1506,2,FALSE)</f>
        <v>26</v>
      </c>
      <c r="H190" s="102"/>
      <c r="I190" s="102">
        <f>VLOOKUP($B190,Clima!$W$8:$AI$1506,13,FALSE)</f>
        <v>8.3000000000000007</v>
      </c>
      <c r="J190" s="102"/>
      <c r="K190" s="102"/>
      <c r="L190" s="102">
        <f>VLOOKUP($B190,Clima!$W$8:$AI$1506,12,FALSE)</f>
        <v>0</v>
      </c>
      <c r="M190" s="102">
        <f t="shared" si="8"/>
        <v>0</v>
      </c>
      <c r="N190" s="257">
        <f>VLOOKUP(B190,SWB!$C$15:$S$244,17,FALSE)</f>
        <v>0.36642962951111113</v>
      </c>
      <c r="O190" s="116"/>
      <c r="P190" s="116">
        <f>SWB!$M$4</f>
        <v>0.15</v>
      </c>
      <c r="Q190" s="257">
        <f>VLOOKUP(B190,SWB!$C$15:$AJ$244,34,FALSE)</f>
        <v>0.6</v>
      </c>
      <c r="R190" s="257">
        <f>VLOOKUP(B190,SWB!$C$15:$V$244,20,FALSE)</f>
        <v>1.1338733331349999</v>
      </c>
      <c r="S190" s="116">
        <v>0</v>
      </c>
      <c r="T190" s="116">
        <v>0</v>
      </c>
      <c r="U190" s="116">
        <v>1</v>
      </c>
      <c r="V190" s="116">
        <v>1</v>
      </c>
      <c r="W190" s="116">
        <v>23.5</v>
      </c>
      <c r="X190" s="257">
        <v>22.320076</v>
      </c>
      <c r="Y190" s="116">
        <v>9.51</v>
      </c>
      <c r="Z190" s="257">
        <v>8.4339999999999998E-2</v>
      </c>
      <c r="AA190" s="257">
        <v>9.2304999999999998E-2</v>
      </c>
      <c r="AB190" s="116">
        <v>0</v>
      </c>
      <c r="AC190" s="257">
        <v>23.060359999999999</v>
      </c>
      <c r="AD190" s="257">
        <v>0.24230499999999999</v>
      </c>
      <c r="AE190" s="257">
        <v>1.9432830000000001</v>
      </c>
      <c r="AF190" s="116">
        <v>0.5</v>
      </c>
      <c r="AG190" s="116">
        <v>0.55000000000000004</v>
      </c>
      <c r="AH190" s="116">
        <v>75</v>
      </c>
      <c r="AI190" s="116">
        <v>41.25</v>
      </c>
      <c r="AJ190" s="116">
        <f>IFERROR(VLOOKUP($B190,SWB!C188:BE571,37,FALSE),0)</f>
        <v>0</v>
      </c>
      <c r="AK190" s="116">
        <f t="shared" si="9"/>
        <v>0</v>
      </c>
      <c r="AL190" s="116">
        <f>IFERROR(VLOOKUP($B190,SWB!C188:BE571,38,FALSE),0)</f>
        <v>0</v>
      </c>
      <c r="AM190" s="116">
        <f>IFERROR(VLOOKUP($B190,SWB!C188:BE571,38,FALSE),0)</f>
        <v>0</v>
      </c>
      <c r="AN190" s="257">
        <f>IFERROR(VLOOKUP($B190,SWB!C188:BE571,40,FALSE),0)</f>
        <v>7.4665370113268362E-2</v>
      </c>
      <c r="AO190" s="257">
        <f>IFERROR(VLOOKUP($B190,SWB!C188:BE571,43,FALSE),0)</f>
        <v>0.60478949791747372</v>
      </c>
      <c r="AP190" s="257">
        <v>28.924537000000001</v>
      </c>
      <c r="AQ190" s="257">
        <f>IFERROR(VLOOKUP($B190,SWB!C188:BE571,44,FALSE),0)</f>
        <v>478.9805881443387</v>
      </c>
      <c r="AR190" s="116">
        <f t="shared" si="11"/>
        <v>270</v>
      </c>
      <c r="AS190" s="116">
        <v>224.93</v>
      </c>
      <c r="AT190" s="116" t="s">
        <v>131</v>
      </c>
      <c r="AU190" s="116" t="s">
        <v>131</v>
      </c>
      <c r="AV190" s="116" t="s">
        <v>131</v>
      </c>
      <c r="AW190" s="116" t="s">
        <v>131</v>
      </c>
      <c r="AX190" s="116" t="s">
        <v>131</v>
      </c>
      <c r="AY190" s="116" t="s">
        <v>131</v>
      </c>
      <c r="AZ190" s="116"/>
      <c r="BA190" s="116" t="s">
        <v>132</v>
      </c>
      <c r="BB190" s="116"/>
    </row>
    <row r="191" spans="1:54">
      <c r="A191" s="101" t="s">
        <v>131</v>
      </c>
      <c r="B191" s="69">
        <f t="shared" si="10"/>
        <v>42190</v>
      </c>
      <c r="C191" s="101" t="s">
        <v>131</v>
      </c>
      <c r="D191" s="116">
        <f>VLOOKUP(B191,SWB!$C$15:$H$244,6,FALSE)</f>
        <v>186</v>
      </c>
      <c r="E191" s="102">
        <f>VLOOKUP($B191,Clima!$W$8:$AI$1506,3,FALSE)</f>
        <v>37.299999999999997</v>
      </c>
      <c r="F191" s="102">
        <f>VLOOKUP($B191,Clima!$W$8:$AI$1506,4,FALSE)</f>
        <v>16.399999999999999</v>
      </c>
      <c r="G191" s="102">
        <f>VLOOKUP($B191,Clima!$W$8:$AI$1506,2,FALSE)</f>
        <v>27.8</v>
      </c>
      <c r="H191" s="102"/>
      <c r="I191" s="102">
        <f>VLOOKUP($B191,Clima!$W$8:$AI$1506,13,FALSE)</f>
        <v>8.4</v>
      </c>
      <c r="J191" s="102"/>
      <c r="K191" s="102"/>
      <c r="L191" s="102">
        <f>VLOOKUP($B191,Clima!$W$8:$AI$1506,12,FALSE)</f>
        <v>0</v>
      </c>
      <c r="M191" s="102">
        <f t="shared" si="8"/>
        <v>0</v>
      </c>
      <c r="N191" s="257">
        <f>VLOOKUP(B191,SWB!$C$15:$S$244,17,FALSE)</f>
        <v>0.36032592568888899</v>
      </c>
      <c r="O191" s="116"/>
      <c r="P191" s="116">
        <f>SWB!$M$4</f>
        <v>0.15</v>
      </c>
      <c r="Q191" s="257">
        <f>VLOOKUP(B191,SWB!$C$15:$AJ$244,34,FALSE)</f>
        <v>0.6</v>
      </c>
      <c r="R191" s="257">
        <f>VLOOKUP(B191,SWB!$C$15:$V$244,20,FALSE)</f>
        <v>1.1338733331349999</v>
      </c>
      <c r="S191" s="116">
        <v>0</v>
      </c>
      <c r="T191" s="116">
        <v>0</v>
      </c>
      <c r="U191" s="116">
        <v>1</v>
      </c>
      <c r="V191" s="116">
        <v>1</v>
      </c>
      <c r="W191" s="116">
        <v>23.5</v>
      </c>
      <c r="X191" s="257">
        <v>23.060359999999999</v>
      </c>
      <c r="Y191" s="116">
        <v>9.51</v>
      </c>
      <c r="Z191" s="257">
        <v>3.1425000000000002E-2</v>
      </c>
      <c r="AA191" s="257">
        <v>3.3661999999999997E-2</v>
      </c>
      <c r="AB191" s="116">
        <v>0</v>
      </c>
      <c r="AC191" s="257">
        <v>23.292625000000001</v>
      </c>
      <c r="AD191" s="257">
        <v>0.18366199999999999</v>
      </c>
      <c r="AE191" s="257">
        <v>1.267266</v>
      </c>
      <c r="AF191" s="116">
        <v>0.5</v>
      </c>
      <c r="AG191" s="116">
        <v>0.55000000000000004</v>
      </c>
      <c r="AH191" s="116">
        <v>75</v>
      </c>
      <c r="AI191" s="116">
        <v>41.25</v>
      </c>
      <c r="AJ191" s="116">
        <f>IFERROR(VLOOKUP($B191,SWB!C189:BE572,37,FALSE),0)</f>
        <v>0</v>
      </c>
      <c r="AK191" s="116">
        <f t="shared" si="9"/>
        <v>0</v>
      </c>
      <c r="AL191" s="116">
        <f>IFERROR(VLOOKUP($B191,SWB!C189:BE572,38,FALSE),0)</f>
        <v>0</v>
      </c>
      <c r="AM191" s="116">
        <f>IFERROR(VLOOKUP($B191,SWB!C189:BE572,38,FALSE),0)</f>
        <v>0</v>
      </c>
      <c r="AN191" s="257">
        <f>IFERROR(VLOOKUP($B191,SWB!C189:BE572,40,FALSE),0)</f>
        <v>7.3166667696854051E-2</v>
      </c>
      <c r="AO191" s="257">
        <f>IFERROR(VLOOKUP($B191,SWB!C189:BE572,43,FALSE),0)</f>
        <v>0.48290000679923673</v>
      </c>
      <c r="AP191" s="257">
        <v>30.191803</v>
      </c>
      <c r="AQ191" s="257">
        <f>IFERROR(VLOOKUP($B191,SWB!C189:BE572,44,FALSE),0)</f>
        <v>479.46348815113794</v>
      </c>
      <c r="AR191" s="116">
        <f t="shared" si="11"/>
        <v>270</v>
      </c>
      <c r="AS191" s="116">
        <v>224.93</v>
      </c>
      <c r="AT191" s="116" t="s">
        <v>131</v>
      </c>
      <c r="AU191" s="116" t="s">
        <v>131</v>
      </c>
      <c r="AV191" s="116" t="s">
        <v>131</v>
      </c>
      <c r="AW191" s="116" t="s">
        <v>131</v>
      </c>
      <c r="AX191" s="116" t="s">
        <v>131</v>
      </c>
      <c r="AY191" s="116" t="s">
        <v>131</v>
      </c>
      <c r="AZ191" s="116"/>
      <c r="BA191" s="116" t="s">
        <v>132</v>
      </c>
      <c r="BB191" s="116"/>
    </row>
    <row r="192" spans="1:54">
      <c r="A192" s="101" t="s">
        <v>131</v>
      </c>
      <c r="B192" s="69">
        <f t="shared" si="10"/>
        <v>42191</v>
      </c>
      <c r="C192" s="101" t="s">
        <v>131</v>
      </c>
      <c r="D192" s="116">
        <f>VLOOKUP(B192,SWB!$C$15:$H$244,6,FALSE)</f>
        <v>187</v>
      </c>
      <c r="E192" s="102">
        <f>VLOOKUP($B192,Clima!$W$8:$AI$1506,3,FALSE)</f>
        <v>37.1</v>
      </c>
      <c r="F192" s="102">
        <f>VLOOKUP($B192,Clima!$W$8:$AI$1506,4,FALSE)</f>
        <v>17.8</v>
      </c>
      <c r="G192" s="102">
        <f>VLOOKUP($B192,Clima!$W$8:$AI$1506,2,FALSE)</f>
        <v>28.7</v>
      </c>
      <c r="H192" s="102"/>
      <c r="I192" s="102">
        <f>VLOOKUP($B192,Clima!$W$8:$AI$1506,13,FALSE)</f>
        <v>8.1999999999999993</v>
      </c>
      <c r="J192" s="102"/>
      <c r="K192" s="102"/>
      <c r="L192" s="102">
        <f>VLOOKUP($B192,Clima!$W$8:$AI$1506,12,FALSE)</f>
        <v>0</v>
      </c>
      <c r="M192" s="102">
        <f t="shared" si="8"/>
        <v>0</v>
      </c>
      <c r="N192" s="257">
        <f>VLOOKUP(B192,SWB!$C$15:$S$244,17,FALSE)</f>
        <v>0.35422222186666674</v>
      </c>
      <c r="O192" s="116"/>
      <c r="P192" s="116">
        <f>SWB!$M$4</f>
        <v>0.15</v>
      </c>
      <c r="Q192" s="257">
        <f>VLOOKUP(B192,SWB!$C$15:$AJ$244,34,FALSE)</f>
        <v>0.6</v>
      </c>
      <c r="R192" s="257">
        <f>VLOOKUP(B192,SWB!$C$15:$V$244,20,FALSE)</f>
        <v>1.1338733331349999</v>
      </c>
      <c r="S192" s="116">
        <v>0</v>
      </c>
      <c r="T192" s="116">
        <v>0</v>
      </c>
      <c r="U192" s="116">
        <v>1</v>
      </c>
      <c r="V192" s="116">
        <v>1</v>
      </c>
      <c r="W192" s="116">
        <v>23.5</v>
      </c>
      <c r="X192" s="257">
        <v>23.292625000000001</v>
      </c>
      <c r="Y192" s="116">
        <v>9.51</v>
      </c>
      <c r="Z192" s="257">
        <v>1.4822999999999999E-2</v>
      </c>
      <c r="AA192" s="257">
        <v>1.6801E-2</v>
      </c>
      <c r="AB192" s="116">
        <v>0</v>
      </c>
      <c r="AC192" s="257">
        <v>23.420983</v>
      </c>
      <c r="AD192" s="257">
        <v>0.166801</v>
      </c>
      <c r="AE192" s="257">
        <v>1.274357</v>
      </c>
      <c r="AF192" s="116">
        <v>0.5</v>
      </c>
      <c r="AG192" s="116">
        <v>0.55000000000000004</v>
      </c>
      <c r="AH192" s="116">
        <v>75</v>
      </c>
      <c r="AI192" s="116">
        <v>41.25</v>
      </c>
      <c r="AJ192" s="116">
        <f>IFERROR(VLOOKUP($B192,SWB!C190:BE573,37,FALSE),0)</f>
        <v>0</v>
      </c>
      <c r="AK192" s="116">
        <f t="shared" si="9"/>
        <v>0</v>
      </c>
      <c r="AL192" s="116">
        <f>IFERROR(VLOOKUP($B192,SWB!C190:BE573,38,FALSE),0)</f>
        <v>0</v>
      </c>
      <c r="AM192" s="116">
        <f>IFERROR(VLOOKUP($B192,SWB!C190:BE573,38,FALSE),0)</f>
        <v>0</v>
      </c>
      <c r="AN192" s="257">
        <f>IFERROR(VLOOKUP($B192,SWB!C190:BE573,40,FALSE),0)</f>
        <v>6.3266366380122424E-2</v>
      </c>
      <c r="AO192" s="257">
        <f>IFERROR(VLOOKUP($B192,SWB!C190:BE573,43,FALSE),0)</f>
        <v>0.43021129138483249</v>
      </c>
      <c r="AP192" s="257">
        <v>31.466159999999999</v>
      </c>
      <c r="AQ192" s="257">
        <f>IFERROR(VLOOKUP($B192,SWB!C190:BE573,44,FALSE),0)</f>
        <v>479.89369944252275</v>
      </c>
      <c r="AR192" s="116">
        <f t="shared" si="11"/>
        <v>270</v>
      </c>
      <c r="AS192" s="116">
        <v>224.93</v>
      </c>
      <c r="AT192" s="116" t="s">
        <v>131</v>
      </c>
      <c r="AU192" s="116" t="s">
        <v>131</v>
      </c>
      <c r="AV192" s="116" t="s">
        <v>131</v>
      </c>
      <c r="AW192" s="116" t="s">
        <v>131</v>
      </c>
      <c r="AX192" s="116" t="s">
        <v>131</v>
      </c>
      <c r="AY192" s="116" t="s">
        <v>131</v>
      </c>
      <c r="AZ192" s="116"/>
      <c r="BA192" s="116" t="s">
        <v>132</v>
      </c>
      <c r="BB192" s="116"/>
    </row>
    <row r="193" spans="1:54">
      <c r="A193" s="101" t="s">
        <v>131</v>
      </c>
      <c r="B193" s="69">
        <f t="shared" si="10"/>
        <v>42192</v>
      </c>
      <c r="C193" s="101" t="s">
        <v>131</v>
      </c>
      <c r="D193" s="116">
        <f>VLOOKUP(B193,SWB!$C$15:$H$244,6,FALSE)</f>
        <v>188</v>
      </c>
      <c r="E193" s="102">
        <f>VLOOKUP($B193,Clima!$W$8:$AI$1506,3,FALSE)</f>
        <v>40.200000000000003</v>
      </c>
      <c r="F193" s="102">
        <f>VLOOKUP($B193,Clima!$W$8:$AI$1506,4,FALSE)</f>
        <v>16.600000000000001</v>
      </c>
      <c r="G193" s="102">
        <f>VLOOKUP($B193,Clima!$W$8:$AI$1506,2,FALSE)</f>
        <v>29.5</v>
      </c>
      <c r="H193" s="102"/>
      <c r="I193" s="102">
        <f>VLOOKUP($B193,Clima!$W$8:$AI$1506,13,FALSE)</f>
        <v>7.3</v>
      </c>
      <c r="J193" s="102"/>
      <c r="K193" s="102"/>
      <c r="L193" s="102">
        <f>VLOOKUP($B193,Clima!$W$8:$AI$1506,12,FALSE)</f>
        <v>0</v>
      </c>
      <c r="M193" s="102">
        <f t="shared" si="8"/>
        <v>0</v>
      </c>
      <c r="N193" s="257">
        <f>VLOOKUP(B193,SWB!$C$15:$S$244,17,FALSE)</f>
        <v>0.3481185180444446</v>
      </c>
      <c r="O193" s="116"/>
      <c r="P193" s="116">
        <f>SWB!$M$4</f>
        <v>0.15</v>
      </c>
      <c r="Q193" s="257">
        <f>VLOOKUP(B193,SWB!$C$15:$AJ$244,34,FALSE)</f>
        <v>0.6</v>
      </c>
      <c r="R193" s="257">
        <f>VLOOKUP(B193,SWB!$C$15:$V$244,20,FALSE)</f>
        <v>1.1338733331349999</v>
      </c>
      <c r="S193" s="116">
        <v>0</v>
      </c>
      <c r="T193" s="116">
        <v>0</v>
      </c>
      <c r="U193" s="116">
        <v>1</v>
      </c>
      <c r="V193" s="116">
        <v>1</v>
      </c>
      <c r="W193" s="116">
        <v>23.5</v>
      </c>
      <c r="X193" s="257">
        <v>23.420983</v>
      </c>
      <c r="Y193" s="116">
        <v>9.51</v>
      </c>
      <c r="Z193" s="257">
        <v>5.6480000000000002E-3</v>
      </c>
      <c r="AA193" s="257">
        <v>6.4920000000000004E-3</v>
      </c>
      <c r="AB193" s="116">
        <v>0</v>
      </c>
      <c r="AC193" s="257">
        <v>23.474606999999999</v>
      </c>
      <c r="AD193" s="257">
        <v>0.15649199999999999</v>
      </c>
      <c r="AE193" s="257">
        <v>1.292624</v>
      </c>
      <c r="AF193" s="116">
        <v>0.5</v>
      </c>
      <c r="AG193" s="116">
        <v>0.55000000000000004</v>
      </c>
      <c r="AH193" s="116">
        <v>75</v>
      </c>
      <c r="AI193" s="116">
        <v>41.25</v>
      </c>
      <c r="AJ193" s="116">
        <f>IFERROR(VLOOKUP($B193,SWB!C191:BE574,37,FALSE),0)</f>
        <v>0</v>
      </c>
      <c r="AK193" s="116">
        <f t="shared" si="9"/>
        <v>0</v>
      </c>
      <c r="AL193" s="116">
        <f>IFERROR(VLOOKUP($B193,SWB!C191:BE574,38,FALSE),0)</f>
        <v>0</v>
      </c>
      <c r="AM193" s="116">
        <f>IFERROR(VLOOKUP($B193,SWB!C191:BE574,38,FALSE),0)</f>
        <v>0</v>
      </c>
      <c r="AN193" s="257">
        <f>IFERROR(VLOOKUP($B193,SWB!C191:BE574,40,FALSE),0)</f>
        <v>4.8230574834585628E-2</v>
      </c>
      <c r="AO193" s="257">
        <f>IFERROR(VLOOKUP($B193,SWB!C191:BE574,43,FALSE),0)</f>
        <v>0.39066765616014359</v>
      </c>
      <c r="AP193" s="257">
        <v>32.758783999999999</v>
      </c>
      <c r="AQ193" s="257">
        <f>IFERROR(VLOOKUP($B193,SWB!C191:BE574,44,FALSE),0)</f>
        <v>480.28436709868288</v>
      </c>
      <c r="AR193" s="116">
        <f t="shared" si="11"/>
        <v>270</v>
      </c>
      <c r="AS193" s="116">
        <v>224.93</v>
      </c>
      <c r="AT193" s="116" t="s">
        <v>131</v>
      </c>
      <c r="AU193" s="116" t="s">
        <v>131</v>
      </c>
      <c r="AV193" s="116" t="s">
        <v>131</v>
      </c>
      <c r="AW193" s="116" t="s">
        <v>131</v>
      </c>
      <c r="AX193" s="116" t="s">
        <v>131</v>
      </c>
      <c r="AY193" s="116" t="s">
        <v>131</v>
      </c>
      <c r="AZ193" s="116"/>
      <c r="BA193" s="116" t="s">
        <v>132</v>
      </c>
      <c r="BB193" s="116"/>
    </row>
    <row r="194" spans="1:54">
      <c r="A194" s="101" t="s">
        <v>131</v>
      </c>
      <c r="B194" s="69">
        <f t="shared" si="10"/>
        <v>42193</v>
      </c>
      <c r="C194" s="101" t="s">
        <v>131</v>
      </c>
      <c r="D194" s="116">
        <f>VLOOKUP(B194,SWB!$C$15:$H$244,6,FALSE)</f>
        <v>189</v>
      </c>
      <c r="E194" s="102">
        <f>VLOOKUP($B194,Clima!$W$8:$AI$1506,3,FALSE)</f>
        <v>40.200000000000003</v>
      </c>
      <c r="F194" s="102">
        <f>VLOOKUP($B194,Clima!$W$8:$AI$1506,4,FALSE)</f>
        <v>17.600000000000001</v>
      </c>
      <c r="G194" s="102">
        <f>VLOOKUP($B194,Clima!$W$8:$AI$1506,2,FALSE)</f>
        <v>29.6</v>
      </c>
      <c r="H194" s="102"/>
      <c r="I194" s="102">
        <f>VLOOKUP($B194,Clima!$W$8:$AI$1506,13,FALSE)</f>
        <v>8.6</v>
      </c>
      <c r="J194" s="102"/>
      <c r="K194" s="102"/>
      <c r="L194" s="102">
        <f>VLOOKUP($B194,Clima!$W$8:$AI$1506,12,FALSE)</f>
        <v>0</v>
      </c>
      <c r="M194" s="102">
        <f t="shared" si="8"/>
        <v>0</v>
      </c>
      <c r="N194" s="257">
        <f>VLOOKUP(B194,SWB!$C$15:$S$244,17,FALSE)</f>
        <v>0.34201481422222235</v>
      </c>
      <c r="O194" s="116"/>
      <c r="P194" s="116">
        <f>SWB!$M$4</f>
        <v>0.15</v>
      </c>
      <c r="Q194" s="257">
        <f>VLOOKUP(B194,SWB!$C$15:$AJ$244,34,FALSE)</f>
        <v>0.6</v>
      </c>
      <c r="R194" s="257">
        <f>VLOOKUP(B194,SWB!$C$15:$V$244,20,FALSE)</f>
        <v>1.1338733331349999</v>
      </c>
      <c r="S194" s="116">
        <v>0</v>
      </c>
      <c r="T194" s="116">
        <v>0</v>
      </c>
      <c r="U194" s="116">
        <v>1</v>
      </c>
      <c r="V194" s="116">
        <v>1</v>
      </c>
      <c r="W194" s="116">
        <v>23.5</v>
      </c>
      <c r="X194" s="257">
        <v>23.474606999999999</v>
      </c>
      <c r="Y194" s="116">
        <v>9.51</v>
      </c>
      <c r="Z194" s="257">
        <v>1.815E-3</v>
      </c>
      <c r="AA194" s="257">
        <v>2.0939999999999999E-3</v>
      </c>
      <c r="AB194" s="116">
        <v>0</v>
      </c>
      <c r="AC194" s="257">
        <v>23.492115999999999</v>
      </c>
      <c r="AD194" s="257">
        <v>0.15209400000000001</v>
      </c>
      <c r="AE194" s="257">
        <v>1.271509</v>
      </c>
      <c r="AF194" s="116">
        <v>0.5</v>
      </c>
      <c r="AG194" s="116">
        <v>0.55000000000000004</v>
      </c>
      <c r="AH194" s="116">
        <v>75</v>
      </c>
      <c r="AI194" s="116">
        <v>41.25</v>
      </c>
      <c r="AJ194" s="116">
        <f>IFERROR(VLOOKUP($B194,SWB!C192:BE575,37,FALSE),0)</f>
        <v>0</v>
      </c>
      <c r="AK194" s="116">
        <f t="shared" si="9"/>
        <v>0</v>
      </c>
      <c r="AL194" s="116">
        <f>IFERROR(VLOOKUP($B194,SWB!C192:BE575,38,FALSE),0)</f>
        <v>0</v>
      </c>
      <c r="AM194" s="116">
        <f>IFERROR(VLOOKUP($B194,SWB!C192:BE575,38,FALSE),0)</f>
        <v>0</v>
      </c>
      <c r="AN194" s="257">
        <f>IFERROR(VLOOKUP($B194,SWB!C192:BE575,40,FALSE),0)</f>
        <v>6.0766220875779035E-2</v>
      </c>
      <c r="AO194" s="257">
        <f>IFERROR(VLOOKUP($B194,SWB!C192:BE575,43,FALSE),0)</f>
        <v>0.2856012381161615</v>
      </c>
      <c r="AP194" s="257">
        <v>34.030293999999998</v>
      </c>
      <c r="AQ194" s="257">
        <f>IFERROR(VLOOKUP($B194,SWB!C192:BE575,44,FALSE),0)</f>
        <v>480.56996833679904</v>
      </c>
      <c r="AR194" s="116">
        <f t="shared" si="11"/>
        <v>270</v>
      </c>
      <c r="AS194" s="116">
        <v>224.93</v>
      </c>
      <c r="AT194" s="116" t="s">
        <v>131</v>
      </c>
      <c r="AU194" s="116" t="s">
        <v>131</v>
      </c>
      <c r="AV194" s="116" t="s">
        <v>131</v>
      </c>
      <c r="AW194" s="116" t="s">
        <v>131</v>
      </c>
      <c r="AX194" s="116" t="s">
        <v>131</v>
      </c>
      <c r="AY194" s="116" t="s">
        <v>131</v>
      </c>
      <c r="AZ194" s="116"/>
      <c r="BA194" s="116" t="s">
        <v>132</v>
      </c>
      <c r="BB194" s="116"/>
    </row>
    <row r="195" spans="1:54">
      <c r="A195" s="101" t="s">
        <v>131</v>
      </c>
      <c r="B195" s="69">
        <f t="shared" si="10"/>
        <v>42194</v>
      </c>
      <c r="C195" s="101" t="s">
        <v>131</v>
      </c>
      <c r="D195" s="116">
        <f>VLOOKUP(B195,SWB!$C$15:$H$244,6,FALSE)</f>
        <v>190</v>
      </c>
      <c r="E195" s="102">
        <f>VLOOKUP($B195,Clima!$W$8:$AI$1506,3,FALSE)</f>
        <v>38.799999999999997</v>
      </c>
      <c r="F195" s="102">
        <f>VLOOKUP($B195,Clima!$W$8:$AI$1506,4,FALSE)</f>
        <v>16.5</v>
      </c>
      <c r="G195" s="102">
        <f>VLOOKUP($B195,Clima!$W$8:$AI$1506,2,FALSE)</f>
        <v>27</v>
      </c>
      <c r="H195" s="102"/>
      <c r="I195" s="102">
        <f>VLOOKUP($B195,Clima!$W$8:$AI$1506,13,FALSE)</f>
        <v>8.1</v>
      </c>
      <c r="J195" s="102"/>
      <c r="K195" s="102"/>
      <c r="L195" s="102">
        <f>VLOOKUP($B195,Clima!$W$8:$AI$1506,12,FALSE)</f>
        <v>0</v>
      </c>
      <c r="M195" s="102">
        <f t="shared" si="8"/>
        <v>0</v>
      </c>
      <c r="N195" s="257">
        <f>VLOOKUP(B195,SWB!$C$15:$S$244,17,FALSE)</f>
        <v>0.33591111039999999</v>
      </c>
      <c r="O195" s="116"/>
      <c r="P195" s="116">
        <f>SWB!$M$4</f>
        <v>0.15</v>
      </c>
      <c r="Q195" s="257">
        <f>VLOOKUP(B195,SWB!$C$15:$AJ$244,34,FALSE)</f>
        <v>0.6</v>
      </c>
      <c r="R195" s="257">
        <f>VLOOKUP(B195,SWB!$C$15:$V$244,20,FALSE)</f>
        <v>1.1338733331349999</v>
      </c>
      <c r="S195" s="116">
        <v>0</v>
      </c>
      <c r="T195" s="116">
        <v>0</v>
      </c>
      <c r="U195" s="116">
        <v>1</v>
      </c>
      <c r="V195" s="116">
        <v>1</v>
      </c>
      <c r="W195" s="116">
        <v>23.5</v>
      </c>
      <c r="X195" s="257">
        <v>23.492115999999999</v>
      </c>
      <c r="Y195" s="116">
        <v>9.51</v>
      </c>
      <c r="Z195" s="257">
        <v>5.6400000000000005E-4</v>
      </c>
      <c r="AA195" s="257">
        <v>6.4599999999999998E-4</v>
      </c>
      <c r="AB195" s="116">
        <v>0</v>
      </c>
      <c r="AC195" s="257">
        <v>23.497408</v>
      </c>
      <c r="AD195" s="257">
        <v>0.150646</v>
      </c>
      <c r="AE195" s="257">
        <v>1.233792</v>
      </c>
      <c r="AF195" s="116">
        <v>0.5</v>
      </c>
      <c r="AG195" s="116">
        <v>0.55000000000000004</v>
      </c>
      <c r="AH195" s="116">
        <v>75</v>
      </c>
      <c r="AI195" s="116">
        <v>41.25</v>
      </c>
      <c r="AJ195" s="116">
        <f>IFERROR(VLOOKUP($B195,SWB!C193:BE576,37,FALSE),0)</f>
        <v>0</v>
      </c>
      <c r="AK195" s="116">
        <f t="shared" si="9"/>
        <v>0</v>
      </c>
      <c r="AL195" s="116">
        <f>IFERROR(VLOOKUP($B195,SWB!C193:BE576,38,FALSE),0)</f>
        <v>0</v>
      </c>
      <c r="AM195" s="116">
        <f>IFERROR(VLOOKUP($B195,SWB!C193:BE576,38,FALSE),0)</f>
        <v>0</v>
      </c>
      <c r="AN195" s="257">
        <f>IFERROR(VLOOKUP($B195,SWB!C193:BE576,40,FALSE),0)</f>
        <v>4.7512500136308602E-2</v>
      </c>
      <c r="AO195" s="257">
        <f>IFERROR(VLOOKUP($B195,SWB!C193:BE576,43,FALSE),0)</f>
        <v>0.29457750084511336</v>
      </c>
      <c r="AP195" s="257">
        <v>35.264085999999999</v>
      </c>
      <c r="AQ195" s="257">
        <f>IFERROR(VLOOKUP($B195,SWB!C193:BE576,44,FALSE),0)</f>
        <v>480.86454583764413</v>
      </c>
      <c r="AR195" s="116">
        <f t="shared" si="11"/>
        <v>270</v>
      </c>
      <c r="AS195" s="116">
        <v>224.93</v>
      </c>
      <c r="AT195" s="116" t="s">
        <v>131</v>
      </c>
      <c r="AU195" s="116" t="s">
        <v>131</v>
      </c>
      <c r="AV195" s="116" t="s">
        <v>131</v>
      </c>
      <c r="AW195" s="116" t="s">
        <v>131</v>
      </c>
      <c r="AX195" s="116" t="s">
        <v>131</v>
      </c>
      <c r="AY195" s="116" t="s">
        <v>131</v>
      </c>
      <c r="AZ195" s="116"/>
      <c r="BA195" s="116" t="s">
        <v>132</v>
      </c>
      <c r="BB195" s="116"/>
    </row>
    <row r="196" spans="1:54">
      <c r="A196" s="101" t="s">
        <v>131</v>
      </c>
      <c r="B196" s="69">
        <f t="shared" si="10"/>
        <v>42195</v>
      </c>
      <c r="C196" s="101" t="s">
        <v>131</v>
      </c>
      <c r="D196" s="116">
        <f>VLOOKUP(B196,SWB!$C$15:$H$244,6,FALSE)</f>
        <v>191</v>
      </c>
      <c r="E196" s="102">
        <f>VLOOKUP($B196,Clima!$W$8:$AI$1506,3,FALSE)</f>
        <v>39.1</v>
      </c>
      <c r="F196" s="102">
        <f>VLOOKUP($B196,Clima!$W$8:$AI$1506,4,FALSE)</f>
        <v>16</v>
      </c>
      <c r="G196" s="102">
        <f>VLOOKUP($B196,Clima!$W$8:$AI$1506,2,FALSE)</f>
        <v>27.5</v>
      </c>
      <c r="H196" s="102"/>
      <c r="I196" s="102">
        <f>VLOOKUP($B196,Clima!$W$8:$AI$1506,13,FALSE)</f>
        <v>7.8</v>
      </c>
      <c r="J196" s="102"/>
      <c r="K196" s="102"/>
      <c r="L196" s="102">
        <f>VLOOKUP($B196,Clima!$W$8:$AI$1506,12,FALSE)</f>
        <v>0</v>
      </c>
      <c r="M196" s="102">
        <f t="shared" si="8"/>
        <v>0</v>
      </c>
      <c r="N196" s="257">
        <f>VLOOKUP(B196,SWB!$C$15:$S$244,17,FALSE)</f>
        <v>0.33616507885714275</v>
      </c>
      <c r="O196" s="116"/>
      <c r="P196" s="116">
        <f>SWB!$M$4</f>
        <v>0.15</v>
      </c>
      <c r="Q196" s="257">
        <f>VLOOKUP(B196,SWB!$C$15:$AJ$244,34,FALSE)</f>
        <v>0.6</v>
      </c>
      <c r="R196" s="257">
        <f>VLOOKUP(B196,SWB!$C$15:$V$244,20,FALSE)</f>
        <v>1.1338733331349999</v>
      </c>
      <c r="S196" s="116">
        <v>0</v>
      </c>
      <c r="T196" s="116">
        <v>0</v>
      </c>
      <c r="U196" s="116">
        <v>1</v>
      </c>
      <c r="V196" s="116">
        <v>1</v>
      </c>
      <c r="W196" s="116">
        <v>23.5</v>
      </c>
      <c r="X196" s="257">
        <v>23.497408</v>
      </c>
      <c r="Y196" s="116">
        <v>9.51</v>
      </c>
      <c r="Z196" s="257">
        <v>1.85E-4</v>
      </c>
      <c r="AA196" s="257">
        <v>2.0799999999999999E-4</v>
      </c>
      <c r="AB196" s="116">
        <v>0</v>
      </c>
      <c r="AC196" s="257">
        <v>23.498932</v>
      </c>
      <c r="AD196" s="257">
        <v>0.15020800000000001</v>
      </c>
      <c r="AE196" s="257">
        <v>1.1010230000000001</v>
      </c>
      <c r="AF196" s="116">
        <v>0.5</v>
      </c>
      <c r="AG196" s="116">
        <v>0.55000000000000004</v>
      </c>
      <c r="AH196" s="116">
        <v>75</v>
      </c>
      <c r="AI196" s="116">
        <v>41.25</v>
      </c>
      <c r="AJ196" s="116">
        <f>IFERROR(VLOOKUP($B196,SWB!C194:BE577,37,FALSE),0)</f>
        <v>0</v>
      </c>
      <c r="AK196" s="116">
        <f t="shared" si="9"/>
        <v>0</v>
      </c>
      <c r="AL196" s="116">
        <f>IFERROR(VLOOKUP($B196,SWB!C194:BE577,38,FALSE),0)</f>
        <v>0</v>
      </c>
      <c r="AM196" s="116">
        <f>IFERROR(VLOOKUP($B196,SWB!C194:BE577,38,FALSE),0)</f>
        <v>0</v>
      </c>
      <c r="AN196" s="257">
        <f>IFERROR(VLOOKUP($B196,SWB!C194:BE577,40,FALSE),0)</f>
        <v>3.850263360403846E-2</v>
      </c>
      <c r="AO196" s="257">
        <f>IFERROR(VLOOKUP($B196,SWB!C194:BE577,43,FALSE),0)</f>
        <v>0.26951843522826924</v>
      </c>
      <c r="AP196" s="257">
        <v>36.365108999999997</v>
      </c>
      <c r="AQ196" s="257">
        <f>IFERROR(VLOOKUP($B196,SWB!C194:BE577,44,FALSE),0)</f>
        <v>481.13406427287242</v>
      </c>
      <c r="AR196" s="116">
        <f t="shared" si="11"/>
        <v>270</v>
      </c>
      <c r="AS196" s="116">
        <v>224.93</v>
      </c>
      <c r="AT196" s="116" t="s">
        <v>131</v>
      </c>
      <c r="AU196" s="116" t="s">
        <v>131</v>
      </c>
      <c r="AV196" s="116" t="s">
        <v>131</v>
      </c>
      <c r="AW196" s="116" t="s">
        <v>131</v>
      </c>
      <c r="AX196" s="116" t="s">
        <v>131</v>
      </c>
      <c r="AY196" s="116" t="s">
        <v>131</v>
      </c>
      <c r="AZ196" s="116"/>
      <c r="BA196" s="116" t="s">
        <v>132</v>
      </c>
      <c r="BB196" s="116"/>
    </row>
    <row r="197" spans="1:54">
      <c r="A197" s="101" t="s">
        <v>131</v>
      </c>
      <c r="B197" s="69">
        <f t="shared" si="10"/>
        <v>42196</v>
      </c>
      <c r="C197" s="101" t="s">
        <v>131</v>
      </c>
      <c r="D197" s="116">
        <f>VLOOKUP(B197,SWB!$C$15:$H$244,6,FALSE)</f>
        <v>192</v>
      </c>
      <c r="E197" s="102">
        <f>VLOOKUP($B197,Clima!$W$8:$AI$1506,3,FALSE)</f>
        <v>35.799999999999997</v>
      </c>
      <c r="F197" s="102">
        <f>VLOOKUP($B197,Clima!$W$8:$AI$1506,4,FALSE)</f>
        <v>13.7</v>
      </c>
      <c r="G197" s="102">
        <f>VLOOKUP($B197,Clima!$W$8:$AI$1506,2,FALSE)</f>
        <v>26.2</v>
      </c>
      <c r="H197" s="102"/>
      <c r="I197" s="102">
        <f>VLOOKUP($B197,Clima!$W$8:$AI$1506,13,FALSE)</f>
        <v>7</v>
      </c>
      <c r="J197" s="102"/>
      <c r="K197" s="102"/>
      <c r="L197" s="102">
        <f>VLOOKUP($B197,Clima!$W$8:$AI$1506,12,FALSE)</f>
        <v>0</v>
      </c>
      <c r="M197" s="102">
        <f t="shared" si="8"/>
        <v>0</v>
      </c>
      <c r="N197" s="257">
        <f>VLOOKUP(B197,SWB!$C$15:$S$244,17,FALSE)</f>
        <v>0.33641904731428562</v>
      </c>
      <c r="O197" s="116"/>
      <c r="P197" s="116">
        <f>SWB!$M$4</f>
        <v>0.15</v>
      </c>
      <c r="Q197" s="257">
        <f>VLOOKUP(B197,SWB!$C$15:$AJ$244,34,FALSE)</f>
        <v>0.6</v>
      </c>
      <c r="R197" s="257">
        <f>VLOOKUP(B197,SWB!$C$15:$V$244,20,FALSE)</f>
        <v>1.1338733331349999</v>
      </c>
      <c r="S197" s="116">
        <v>0</v>
      </c>
      <c r="T197" s="116">
        <v>0</v>
      </c>
      <c r="U197" s="116">
        <v>1</v>
      </c>
      <c r="V197" s="116">
        <v>1</v>
      </c>
      <c r="W197" s="116">
        <v>23.5</v>
      </c>
      <c r="X197" s="257">
        <v>23.498932</v>
      </c>
      <c r="Y197" s="116">
        <v>9.51</v>
      </c>
      <c r="Z197" s="257">
        <v>7.6000000000000004E-5</v>
      </c>
      <c r="AA197" s="257">
        <v>8.7000000000000001E-5</v>
      </c>
      <c r="AB197" s="116">
        <v>0</v>
      </c>
      <c r="AC197" s="257">
        <v>23.499684999999999</v>
      </c>
      <c r="AD197" s="257">
        <v>0.150087</v>
      </c>
      <c r="AE197" s="257">
        <v>1.2937529999999999</v>
      </c>
      <c r="AF197" s="116">
        <v>0.5</v>
      </c>
      <c r="AG197" s="116">
        <v>0.55000000000000004</v>
      </c>
      <c r="AH197" s="116">
        <v>75</v>
      </c>
      <c r="AI197" s="116">
        <v>41.25</v>
      </c>
      <c r="AJ197" s="116">
        <f>IFERROR(VLOOKUP($B197,SWB!C195:BE578,37,FALSE),0)</f>
        <v>0</v>
      </c>
      <c r="AK197" s="116">
        <f t="shared" si="9"/>
        <v>0</v>
      </c>
      <c r="AL197" s="116">
        <f>IFERROR(VLOOKUP($B197,SWB!C195:BE578,38,FALSE),0)</f>
        <v>0</v>
      </c>
      <c r="AM197" s="116">
        <f>IFERROR(VLOOKUP($B197,SWB!C195:BE578,38,FALSE),0)</f>
        <v>0</v>
      </c>
      <c r="AN197" s="257">
        <f>IFERROR(VLOOKUP($B197,SWB!C195:BE578,40,FALSE),0)</f>
        <v>3.3646627020695388E-2</v>
      </c>
      <c r="AO197" s="257">
        <f>IFERROR(VLOOKUP($B197,SWB!C195:BE578,43,FALSE),0)</f>
        <v>0.23889105184693724</v>
      </c>
      <c r="AP197" s="257">
        <v>37.658861999999999</v>
      </c>
      <c r="AQ197" s="257">
        <f>IFERROR(VLOOKUP($B197,SWB!C195:BE578,44,FALSE),0)</f>
        <v>481.37295532471938</v>
      </c>
      <c r="AR197" s="116">
        <f t="shared" si="11"/>
        <v>270</v>
      </c>
      <c r="AS197" s="116">
        <v>224.93</v>
      </c>
      <c r="AT197" s="116" t="s">
        <v>131</v>
      </c>
      <c r="AU197" s="116" t="s">
        <v>131</v>
      </c>
      <c r="AV197" s="116" t="s">
        <v>131</v>
      </c>
      <c r="AW197" s="116" t="s">
        <v>131</v>
      </c>
      <c r="AX197" s="116" t="s">
        <v>131</v>
      </c>
      <c r="AY197" s="116" t="s">
        <v>131</v>
      </c>
      <c r="AZ197" s="116"/>
      <c r="BA197" s="116" t="s">
        <v>132</v>
      </c>
      <c r="BB197" s="116"/>
    </row>
    <row r="198" spans="1:54">
      <c r="A198" s="101" t="s">
        <v>131</v>
      </c>
      <c r="B198" s="69">
        <f t="shared" si="10"/>
        <v>42197</v>
      </c>
      <c r="C198" s="101" t="s">
        <v>131</v>
      </c>
      <c r="D198" s="116">
        <f>VLOOKUP(B198,SWB!$C$15:$H$244,6,FALSE)</f>
        <v>193</v>
      </c>
      <c r="E198" s="102">
        <f>VLOOKUP($B198,Clima!$W$8:$AI$1506,3,FALSE)</f>
        <v>37.6</v>
      </c>
      <c r="F198" s="102">
        <f>VLOOKUP($B198,Clima!$W$8:$AI$1506,4,FALSE)</f>
        <v>17.3</v>
      </c>
      <c r="G198" s="102">
        <f>VLOOKUP($B198,Clima!$W$8:$AI$1506,2,FALSE)</f>
        <v>26.8</v>
      </c>
      <c r="H198" s="102"/>
      <c r="I198" s="102">
        <f>VLOOKUP($B198,Clima!$W$8:$AI$1506,13,FALSE)</f>
        <v>7.3</v>
      </c>
      <c r="J198" s="102"/>
      <c r="K198" s="102"/>
      <c r="L198" s="102">
        <f>VLOOKUP($B198,Clima!$W$8:$AI$1506,12,FALSE)</f>
        <v>0</v>
      </c>
      <c r="M198" s="102">
        <f t="shared" si="8"/>
        <v>0</v>
      </c>
      <c r="N198" s="257">
        <f>VLOOKUP(B198,SWB!$C$15:$S$244,17,FALSE)</f>
        <v>0.3366730157714285</v>
      </c>
      <c r="O198" s="116"/>
      <c r="P198" s="116">
        <f>SWB!$M$4</f>
        <v>0.15</v>
      </c>
      <c r="Q198" s="257">
        <f>VLOOKUP(B198,SWB!$C$15:$AJ$244,34,FALSE)</f>
        <v>0.6</v>
      </c>
      <c r="R198" s="257">
        <f>VLOOKUP(B198,SWB!$C$15:$V$244,20,FALSE)</f>
        <v>1.1338733331349999</v>
      </c>
      <c r="S198" s="116">
        <v>0</v>
      </c>
      <c r="T198" s="116">
        <v>0</v>
      </c>
      <c r="U198" s="116">
        <v>1</v>
      </c>
      <c r="V198" s="116">
        <v>1</v>
      </c>
      <c r="W198" s="116">
        <v>23.5</v>
      </c>
      <c r="X198" s="257">
        <v>23.499684999999999</v>
      </c>
      <c r="Y198" s="116">
        <v>9.51</v>
      </c>
      <c r="Z198" s="257">
        <v>2.3E-5</v>
      </c>
      <c r="AA198" s="257">
        <v>2.5999999999999998E-5</v>
      </c>
      <c r="AB198" s="116">
        <v>0</v>
      </c>
      <c r="AC198" s="257">
        <v>23.499890000000001</v>
      </c>
      <c r="AD198" s="257">
        <v>0.15002599999999999</v>
      </c>
      <c r="AE198" s="257">
        <v>1.209206</v>
      </c>
      <c r="AF198" s="116">
        <v>0.5</v>
      </c>
      <c r="AG198" s="116">
        <v>0.55000000000000004</v>
      </c>
      <c r="AH198" s="116">
        <v>75</v>
      </c>
      <c r="AI198" s="116">
        <v>41.25</v>
      </c>
      <c r="AJ198" s="116">
        <f>IFERROR(VLOOKUP($B198,SWB!C196:BE579,37,FALSE),0)</f>
        <v>0</v>
      </c>
      <c r="AK198" s="116">
        <f t="shared" si="9"/>
        <v>0</v>
      </c>
      <c r="AL198" s="116">
        <f>IFERROR(VLOOKUP($B198,SWB!C196:BE579,38,FALSE),0)</f>
        <v>0</v>
      </c>
      <c r="AM198" s="116">
        <f>IFERROR(VLOOKUP($B198,SWB!C196:BE579,38,FALSE),0)</f>
        <v>0</v>
      </c>
      <c r="AN198" s="257">
        <f>IFERROR(VLOOKUP($B198,SWB!C196:BE579,40,FALSE),0)</f>
        <v>2.7654182697877325E-2</v>
      </c>
      <c r="AO198" s="257">
        <f>IFERROR(VLOOKUP($B198,SWB!C196:BE579,43,FALSE),0)</f>
        <v>0.20740637023407993</v>
      </c>
      <c r="AP198" s="257">
        <v>38.868068000000001</v>
      </c>
      <c r="AQ198" s="257">
        <f>IFERROR(VLOOKUP($B198,SWB!C196:BE579,44,FALSE),0)</f>
        <v>481.58036169495347</v>
      </c>
      <c r="AR198" s="116">
        <f t="shared" si="11"/>
        <v>270</v>
      </c>
      <c r="AS198" s="116">
        <v>224.93</v>
      </c>
      <c r="AT198" s="116" t="s">
        <v>131</v>
      </c>
      <c r="AU198" s="116" t="s">
        <v>131</v>
      </c>
      <c r="AV198" s="116" t="s">
        <v>131</v>
      </c>
      <c r="AW198" s="116" t="s">
        <v>131</v>
      </c>
      <c r="AX198" s="116" t="s">
        <v>131</v>
      </c>
      <c r="AY198" s="116" t="s">
        <v>131</v>
      </c>
      <c r="AZ198" s="116"/>
      <c r="BA198" s="116" t="s">
        <v>132</v>
      </c>
      <c r="BB198" s="116"/>
    </row>
    <row r="199" spans="1:54">
      <c r="A199" s="101" t="s">
        <v>131</v>
      </c>
      <c r="B199" s="69">
        <f t="shared" si="10"/>
        <v>42198</v>
      </c>
      <c r="C199" s="101" t="s">
        <v>131</v>
      </c>
      <c r="D199" s="116">
        <f>VLOOKUP(B199,SWB!$C$15:$H$244,6,FALSE)</f>
        <v>194</v>
      </c>
      <c r="E199" s="102">
        <f>VLOOKUP($B199,Clima!$W$8:$AI$1506,3,FALSE)</f>
        <v>37.6</v>
      </c>
      <c r="F199" s="102">
        <f>VLOOKUP($B199,Clima!$W$8:$AI$1506,4,FALSE)</f>
        <v>15.6</v>
      </c>
      <c r="G199" s="102">
        <f>VLOOKUP($B199,Clima!$W$8:$AI$1506,2,FALSE)</f>
        <v>27.5</v>
      </c>
      <c r="H199" s="102"/>
      <c r="I199" s="102">
        <f>VLOOKUP($B199,Clima!$W$8:$AI$1506,13,FALSE)</f>
        <v>6.9</v>
      </c>
      <c r="J199" s="102"/>
      <c r="K199" s="102"/>
      <c r="L199" s="102">
        <f>VLOOKUP($B199,Clima!$W$8:$AI$1506,12,FALSE)</f>
        <v>0</v>
      </c>
      <c r="M199" s="102">
        <f t="shared" si="8"/>
        <v>0</v>
      </c>
      <c r="N199" s="257">
        <f>VLOOKUP(B199,SWB!$C$15:$S$244,17,FALSE)</f>
        <v>0.33692698422857137</v>
      </c>
      <c r="O199" s="116"/>
      <c r="P199" s="116">
        <f>SWB!$M$4</f>
        <v>0.15</v>
      </c>
      <c r="Q199" s="257">
        <f>VLOOKUP(B199,SWB!$C$15:$AJ$244,34,FALSE)</f>
        <v>0.6</v>
      </c>
      <c r="R199" s="257">
        <f>VLOOKUP(B199,SWB!$C$15:$V$244,20,FALSE)</f>
        <v>1.1338733331349999</v>
      </c>
      <c r="S199" s="116">
        <v>0</v>
      </c>
      <c r="T199" s="116">
        <v>0</v>
      </c>
      <c r="U199" s="116">
        <v>1</v>
      </c>
      <c r="V199" s="116">
        <v>1</v>
      </c>
      <c r="W199" s="116">
        <v>23.5</v>
      </c>
      <c r="X199" s="257">
        <v>23.499890000000001</v>
      </c>
      <c r="Y199" s="116">
        <v>9.51</v>
      </c>
      <c r="Z199" s="257">
        <v>7.9999999999999996E-6</v>
      </c>
      <c r="AA199" s="257">
        <v>9.0000000000000002E-6</v>
      </c>
      <c r="AB199" s="116">
        <v>0</v>
      </c>
      <c r="AC199" s="257">
        <v>23.499959</v>
      </c>
      <c r="AD199" s="257">
        <v>0.150009</v>
      </c>
      <c r="AE199" s="257">
        <v>1.168569</v>
      </c>
      <c r="AF199" s="116">
        <v>0.5</v>
      </c>
      <c r="AG199" s="116">
        <v>0.55000000000000004</v>
      </c>
      <c r="AH199" s="116">
        <v>75</v>
      </c>
      <c r="AI199" s="116">
        <v>41.25</v>
      </c>
      <c r="AJ199" s="116">
        <f>IFERROR(VLOOKUP($B199,SWB!C197:BE580,37,FALSE),0)</f>
        <v>0</v>
      </c>
      <c r="AK199" s="116">
        <f t="shared" si="9"/>
        <v>0</v>
      </c>
      <c r="AL199" s="116">
        <f>IFERROR(VLOOKUP($B199,SWB!C197:BE580,38,FALSE),0)</f>
        <v>0</v>
      </c>
      <c r="AM199" s="116">
        <f>IFERROR(VLOOKUP($B199,SWB!C197:BE580,38,FALSE),0)</f>
        <v>0</v>
      </c>
      <c r="AN199" s="257">
        <f>IFERROR(VLOOKUP($B199,SWB!C197:BE580,40,FALSE),0)</f>
        <v>1.8911121575002604E-2</v>
      </c>
      <c r="AO199" s="257">
        <f>IFERROR(VLOOKUP($B199,SWB!C197:BE580,43,FALSE),0)</f>
        <v>0.16074453338752215</v>
      </c>
      <c r="AP199" s="257">
        <v>40.036636999999999</v>
      </c>
      <c r="AQ199" s="257">
        <f>IFERROR(VLOOKUP($B199,SWB!C197:BE580,44,FALSE),0)</f>
        <v>481.74110622834098</v>
      </c>
      <c r="AR199" s="116">
        <f t="shared" si="11"/>
        <v>270</v>
      </c>
      <c r="AS199" s="116">
        <v>224.93</v>
      </c>
      <c r="AT199" s="116" t="s">
        <v>131</v>
      </c>
      <c r="AU199" s="116" t="s">
        <v>131</v>
      </c>
      <c r="AV199" s="116" t="s">
        <v>131</v>
      </c>
      <c r="AW199" s="116" t="s">
        <v>131</v>
      </c>
      <c r="AX199" s="116" t="s">
        <v>131</v>
      </c>
      <c r="AY199" s="116" t="s">
        <v>131</v>
      </c>
      <c r="AZ199" s="116"/>
      <c r="BA199" s="116" t="s">
        <v>132</v>
      </c>
      <c r="BB199" s="116"/>
    </row>
    <row r="200" spans="1:54">
      <c r="A200" s="101" t="s">
        <v>131</v>
      </c>
      <c r="B200" s="69">
        <f t="shared" si="10"/>
        <v>42199</v>
      </c>
      <c r="C200" s="101" t="s">
        <v>131</v>
      </c>
      <c r="D200" s="116">
        <f>VLOOKUP(B200,SWB!$C$15:$H$244,6,FALSE)</f>
        <v>195</v>
      </c>
      <c r="E200" s="102">
        <f>VLOOKUP($B200,Clima!$W$8:$AI$1506,3,FALSE)</f>
        <v>37.6</v>
      </c>
      <c r="F200" s="102">
        <f>VLOOKUP($B200,Clima!$W$8:$AI$1506,4,FALSE)</f>
        <v>16.8</v>
      </c>
      <c r="G200" s="102">
        <f>VLOOKUP($B200,Clima!$W$8:$AI$1506,2,FALSE)</f>
        <v>27.8</v>
      </c>
      <c r="H200" s="102"/>
      <c r="I200" s="102">
        <f>VLOOKUP($B200,Clima!$W$8:$AI$1506,13,FALSE)</f>
        <v>7.6</v>
      </c>
      <c r="J200" s="102"/>
      <c r="K200" s="102"/>
      <c r="L200" s="102">
        <f>VLOOKUP($B200,Clima!$W$8:$AI$1506,12,FALSE)</f>
        <v>0</v>
      </c>
      <c r="M200" s="102">
        <f t="shared" si="8"/>
        <v>0</v>
      </c>
      <c r="N200" s="257">
        <f>VLOOKUP(B200,SWB!$C$15:$S$244,17,FALSE)</f>
        <v>0.33718095268571424</v>
      </c>
      <c r="O200" s="116"/>
      <c r="P200" s="116">
        <f>SWB!$M$4</f>
        <v>0.15</v>
      </c>
      <c r="Q200" s="257">
        <f>VLOOKUP(B200,SWB!$C$15:$AJ$244,34,FALSE)</f>
        <v>0.6</v>
      </c>
      <c r="R200" s="257">
        <f>VLOOKUP(B200,SWB!$C$15:$V$244,20,FALSE)</f>
        <v>1.1338733331349999</v>
      </c>
      <c r="S200" s="116">
        <v>0</v>
      </c>
      <c r="T200" s="116">
        <v>0</v>
      </c>
      <c r="U200" s="116">
        <v>1</v>
      </c>
      <c r="V200" s="116">
        <v>1</v>
      </c>
      <c r="W200" s="116">
        <v>23.5</v>
      </c>
      <c r="X200" s="257">
        <v>23.499959</v>
      </c>
      <c r="Y200" s="116">
        <v>9.51</v>
      </c>
      <c r="Z200" s="257">
        <v>3.0000000000000001E-6</v>
      </c>
      <c r="AA200" s="257">
        <v>3.0000000000000001E-6</v>
      </c>
      <c r="AB200" s="116">
        <v>0</v>
      </c>
      <c r="AC200" s="257">
        <v>23.499981999999999</v>
      </c>
      <c r="AD200" s="257">
        <v>0.150003</v>
      </c>
      <c r="AE200" s="257">
        <v>1.0560229999999999</v>
      </c>
      <c r="AF200" s="116">
        <v>0.5</v>
      </c>
      <c r="AG200" s="116">
        <v>0.55000000000000004</v>
      </c>
      <c r="AH200" s="116">
        <v>75</v>
      </c>
      <c r="AI200" s="116">
        <v>41.25</v>
      </c>
      <c r="AJ200" s="116">
        <f>IFERROR(VLOOKUP($B200,SWB!C198:BE581,37,FALSE),0)</f>
        <v>0</v>
      </c>
      <c r="AK200" s="116">
        <f t="shared" si="9"/>
        <v>0</v>
      </c>
      <c r="AL200" s="116">
        <f>IFERROR(VLOOKUP($B200,SWB!C198:BE581,38,FALSE),0)</f>
        <v>0</v>
      </c>
      <c r="AM200" s="116">
        <f>IFERROR(VLOOKUP($B200,SWB!C198:BE581,38,FALSE),0)</f>
        <v>0</v>
      </c>
      <c r="AN200" s="257">
        <f>IFERROR(VLOOKUP($B200,SWB!C198:BE581,40,FALSE),0)</f>
        <v>2.9303019687795306E-2</v>
      </c>
      <c r="AO200" s="257">
        <f>IFERROR(VLOOKUP($B200,SWB!C198:BE581,43,FALSE),0)</f>
        <v>0.17874842009555136</v>
      </c>
      <c r="AP200" s="257">
        <v>41.092658999999998</v>
      </c>
      <c r="AQ200" s="257">
        <f>IFERROR(VLOOKUP($B200,SWB!C198:BE581,44,FALSE),0)</f>
        <v>481.91985464843651</v>
      </c>
      <c r="AR200" s="116">
        <f t="shared" si="11"/>
        <v>270</v>
      </c>
      <c r="AS200" s="116">
        <v>224.93</v>
      </c>
      <c r="AT200" s="116" t="s">
        <v>131</v>
      </c>
      <c r="AU200" s="116" t="s">
        <v>131</v>
      </c>
      <c r="AV200" s="116" t="s">
        <v>131</v>
      </c>
      <c r="AW200" s="116" t="s">
        <v>131</v>
      </c>
      <c r="AX200" s="116" t="s">
        <v>131</v>
      </c>
      <c r="AY200" s="116" t="s">
        <v>131</v>
      </c>
      <c r="AZ200" s="116"/>
      <c r="BA200" s="116" t="s">
        <v>132</v>
      </c>
      <c r="BB200" s="116"/>
    </row>
    <row r="201" spans="1:54">
      <c r="A201" s="101" t="s">
        <v>131</v>
      </c>
      <c r="B201" s="69">
        <f t="shared" si="10"/>
        <v>42200</v>
      </c>
      <c r="C201" s="101" t="s">
        <v>131</v>
      </c>
      <c r="D201" s="116">
        <f>VLOOKUP(B201,SWB!$C$15:$H$244,6,FALSE)</f>
        <v>196</v>
      </c>
      <c r="E201" s="102">
        <f>VLOOKUP($B201,Clima!$W$8:$AI$1506,3,FALSE)</f>
        <v>37.200000000000003</v>
      </c>
      <c r="F201" s="102">
        <f>VLOOKUP($B201,Clima!$W$8:$AI$1506,4,FALSE)</f>
        <v>16.5</v>
      </c>
      <c r="G201" s="102">
        <f>VLOOKUP($B201,Clima!$W$8:$AI$1506,2,FALSE)</f>
        <v>27.2</v>
      </c>
      <c r="H201" s="102"/>
      <c r="I201" s="102">
        <f>VLOOKUP($B201,Clima!$W$8:$AI$1506,13,FALSE)</f>
        <v>7.7</v>
      </c>
      <c r="J201" s="102"/>
      <c r="K201" s="102"/>
      <c r="L201" s="102">
        <f>VLOOKUP($B201,Clima!$W$8:$AI$1506,12,FALSE)</f>
        <v>0</v>
      </c>
      <c r="M201" s="102">
        <f t="shared" si="8"/>
        <v>0</v>
      </c>
      <c r="N201" s="257">
        <f>VLOOKUP(B201,SWB!$C$15:$S$244,17,FALSE)</f>
        <v>0.33743492114285711</v>
      </c>
      <c r="O201" s="116"/>
      <c r="P201" s="116">
        <f>SWB!$M$4</f>
        <v>0.15</v>
      </c>
      <c r="Q201" s="257">
        <f>VLOOKUP(B201,SWB!$C$15:$AJ$244,34,FALSE)</f>
        <v>0.6</v>
      </c>
      <c r="R201" s="257">
        <f>VLOOKUP(B201,SWB!$C$15:$V$244,20,FALSE)</f>
        <v>1.1338733331349999</v>
      </c>
      <c r="S201" s="116">
        <v>0</v>
      </c>
      <c r="T201" s="116">
        <v>0</v>
      </c>
      <c r="U201" s="116">
        <v>1</v>
      </c>
      <c r="V201" s="116">
        <v>1</v>
      </c>
      <c r="W201" s="116">
        <v>23.5</v>
      </c>
      <c r="X201" s="257">
        <v>23.499981999999999</v>
      </c>
      <c r="Y201" s="116">
        <v>9.51</v>
      </c>
      <c r="Z201" s="257">
        <v>9.9999999999999995E-7</v>
      </c>
      <c r="AA201" s="257">
        <v>9.9999999999999995E-7</v>
      </c>
      <c r="AB201" s="116">
        <v>0</v>
      </c>
      <c r="AC201" s="257">
        <v>23.499993</v>
      </c>
      <c r="AD201" s="257">
        <v>0.150001</v>
      </c>
      <c r="AE201" s="257">
        <v>1.09351</v>
      </c>
      <c r="AF201" s="116">
        <v>0.5</v>
      </c>
      <c r="AG201" s="116">
        <v>0.55000000000000004</v>
      </c>
      <c r="AH201" s="116">
        <v>75</v>
      </c>
      <c r="AI201" s="116">
        <v>41.25</v>
      </c>
      <c r="AJ201" s="116">
        <f>IFERROR(VLOOKUP($B201,SWB!C199:BE582,37,FALSE),0)</f>
        <v>0</v>
      </c>
      <c r="AK201" s="116">
        <f t="shared" si="9"/>
        <v>0</v>
      </c>
      <c r="AL201" s="116">
        <f>IFERROR(VLOOKUP($B201,SWB!C199:BE582,38,FALSE),0)</f>
        <v>0</v>
      </c>
      <c r="AM201" s="116">
        <f>IFERROR(VLOOKUP($B201,SWB!C199:BE582,38,FALSE),0)</f>
        <v>0</v>
      </c>
      <c r="AN201" s="257">
        <f>IFERROR(VLOOKUP($B201,SWB!C199:BE582,40,FALSE),0)</f>
        <v>2.1005993821371929E-2</v>
      </c>
      <c r="AO201" s="257">
        <f>IFERROR(VLOOKUP($B201,SWB!C199:BE582,43,FALSE),0)</f>
        <v>0.14914255613174068</v>
      </c>
      <c r="AP201" s="257">
        <v>42.186169999999997</v>
      </c>
      <c r="AQ201" s="257">
        <f>IFERROR(VLOOKUP($B201,SWB!C199:BE582,44,FALSE),0)</f>
        <v>482.06899720456823</v>
      </c>
      <c r="AR201" s="116">
        <f t="shared" si="11"/>
        <v>270</v>
      </c>
      <c r="AS201" s="116">
        <v>224.93</v>
      </c>
      <c r="AT201" s="116" t="s">
        <v>131</v>
      </c>
      <c r="AU201" s="116" t="s">
        <v>131</v>
      </c>
      <c r="AV201" s="116" t="s">
        <v>131</v>
      </c>
      <c r="AW201" s="116" t="s">
        <v>131</v>
      </c>
      <c r="AX201" s="116" t="s">
        <v>131</v>
      </c>
      <c r="AY201" s="116" t="s">
        <v>131</v>
      </c>
      <c r="AZ201" s="116"/>
      <c r="BA201" s="116" t="s">
        <v>132</v>
      </c>
      <c r="BB201" s="116"/>
    </row>
    <row r="202" spans="1:54">
      <c r="A202" s="101" t="s">
        <v>131</v>
      </c>
      <c r="B202" s="69">
        <f t="shared" si="10"/>
        <v>42201</v>
      </c>
      <c r="C202" s="101" t="s">
        <v>131</v>
      </c>
      <c r="D202" s="116">
        <f>VLOOKUP(B202,SWB!$C$15:$H$244,6,FALSE)</f>
        <v>197</v>
      </c>
      <c r="E202" s="102">
        <f>VLOOKUP($B202,Clima!$W$8:$AI$1506,3,FALSE)</f>
        <v>36.799999999999997</v>
      </c>
      <c r="F202" s="102">
        <f>VLOOKUP($B202,Clima!$W$8:$AI$1506,4,FALSE)</f>
        <v>17.2</v>
      </c>
      <c r="G202" s="102">
        <f>VLOOKUP($B202,Clima!$W$8:$AI$1506,2,FALSE)</f>
        <v>27.7</v>
      </c>
      <c r="H202" s="102"/>
      <c r="I202" s="102">
        <f>VLOOKUP($B202,Clima!$W$8:$AI$1506,13,FALSE)</f>
        <v>6.9</v>
      </c>
      <c r="J202" s="102"/>
      <c r="K202" s="102"/>
      <c r="L202" s="102">
        <f>VLOOKUP($B202,Clima!$W$8:$AI$1506,12,FALSE)</f>
        <v>0</v>
      </c>
      <c r="M202" s="102">
        <f t="shared" si="8"/>
        <v>0</v>
      </c>
      <c r="N202" s="257">
        <f>VLOOKUP(B202,SWB!$C$15:$S$244,17,FALSE)</f>
        <v>0.33768888959999999</v>
      </c>
      <c r="O202" s="116"/>
      <c r="P202" s="116">
        <f>SWB!$M$4</f>
        <v>0.15</v>
      </c>
      <c r="Q202" s="257">
        <f>VLOOKUP(B202,SWB!$C$15:$AJ$244,34,FALSE)</f>
        <v>0.6</v>
      </c>
      <c r="R202" s="257">
        <f>VLOOKUP(B202,SWB!$C$15:$V$244,20,FALSE)</f>
        <v>1.1338733331349999</v>
      </c>
      <c r="S202" s="116">
        <v>0</v>
      </c>
      <c r="T202" s="116">
        <v>0</v>
      </c>
      <c r="U202" s="116">
        <v>1</v>
      </c>
      <c r="V202" s="116">
        <v>1</v>
      </c>
      <c r="W202" s="116">
        <v>23.5</v>
      </c>
      <c r="X202" s="257">
        <v>23.499993</v>
      </c>
      <c r="Y202" s="116">
        <v>9.51</v>
      </c>
      <c r="Z202" s="257">
        <v>9.9999999999999995E-7</v>
      </c>
      <c r="AA202" s="257">
        <v>9.9999999999999995E-7</v>
      </c>
      <c r="AB202" s="116">
        <v>0</v>
      </c>
      <c r="AC202" s="257">
        <v>23.499997</v>
      </c>
      <c r="AD202" s="257">
        <v>0.150001</v>
      </c>
      <c r="AE202" s="257">
        <v>1.0365040000000001</v>
      </c>
      <c r="AF202" s="116">
        <v>0.5</v>
      </c>
      <c r="AG202" s="116">
        <v>0.55000000000000004</v>
      </c>
      <c r="AH202" s="116">
        <v>75</v>
      </c>
      <c r="AI202" s="116">
        <v>41.25</v>
      </c>
      <c r="AJ202" s="116">
        <f>IFERROR(VLOOKUP($B202,SWB!C200:BE583,37,FALSE),0)</f>
        <v>0</v>
      </c>
      <c r="AK202" s="116">
        <f t="shared" si="9"/>
        <v>0</v>
      </c>
      <c r="AL202" s="116">
        <f>IFERROR(VLOOKUP($B202,SWB!C200:BE583,38,FALSE),0)</f>
        <v>0</v>
      </c>
      <c r="AM202" s="116">
        <f>IFERROR(VLOOKUP($B202,SWB!C200:BE583,38,FALSE),0)</f>
        <v>0</v>
      </c>
      <c r="AN202" s="257">
        <f>IFERROR(VLOOKUP($B202,SWB!C200:BE583,40,FALSE),0)</f>
        <v>2.1852640767166899E-2</v>
      </c>
      <c r="AO202" s="257">
        <f>IFERROR(VLOOKUP($B202,SWB!C200:BE583,43,FALSE),0)</f>
        <v>0.14204216498658484</v>
      </c>
      <c r="AP202" s="257">
        <v>1.0077529999999999</v>
      </c>
      <c r="AQ202" s="257">
        <f>IFERROR(VLOOKUP($B202,SWB!C200:BE583,44,FALSE),0)</f>
        <v>482.21103936955484</v>
      </c>
      <c r="AR202" s="116">
        <f t="shared" si="11"/>
        <v>270</v>
      </c>
      <c r="AS202" s="116">
        <v>224.93</v>
      </c>
      <c r="AT202" s="116">
        <v>0.85</v>
      </c>
      <c r="AU202" s="116">
        <v>40.32</v>
      </c>
      <c r="AV202" s="116" t="s">
        <v>131</v>
      </c>
      <c r="AW202" s="116">
        <v>0.45162400000000003</v>
      </c>
      <c r="AX202" s="116">
        <v>49.630788000000003</v>
      </c>
      <c r="AY202" s="116">
        <v>109.89400999999999</v>
      </c>
      <c r="AZ202" s="116" t="s">
        <v>574</v>
      </c>
      <c r="BA202" s="116" t="s">
        <v>132</v>
      </c>
      <c r="BB202" s="116"/>
    </row>
    <row r="203" spans="1:54">
      <c r="B203" s="69">
        <f>B202+1</f>
        <v>42202</v>
      </c>
      <c r="D203" s="116">
        <f>VLOOKUP(B203,SWB!$C$15:$H$244,6,FALSE)</f>
        <v>198</v>
      </c>
      <c r="E203" s="102">
        <f>VLOOKUP($B203,Clima!$W$8:$AI$1506,3,FALSE)</f>
        <v>36.299999999999997</v>
      </c>
      <c r="F203" s="102">
        <f>VLOOKUP($B203,Clima!$W$8:$AI$1506,4,FALSE)</f>
        <v>19</v>
      </c>
      <c r="G203" s="102">
        <f>VLOOKUP($B203,Clima!$W$8:$AI$1506,2,FALSE)</f>
        <v>28.1</v>
      </c>
      <c r="H203" s="102"/>
      <c r="I203" s="102"/>
      <c r="J203" s="102"/>
      <c r="K203" s="102"/>
      <c r="L203" s="102">
        <f>VLOOKUP($B203,Clima!$W$8:$AI$1506,12,FALSE)</f>
        <v>0</v>
      </c>
      <c r="M203" s="102">
        <f t="shared" si="8"/>
        <v>0</v>
      </c>
      <c r="N203" s="257">
        <f>VLOOKUP(B203,SWB!$C$15:$S$244,17,FALSE)</f>
        <v>0.33632592657777771</v>
      </c>
      <c r="O203" s="116"/>
      <c r="P203" s="116">
        <f>SWB!$M$4</f>
        <v>0.15</v>
      </c>
      <c r="Q203" s="257">
        <f>VLOOKUP(B203,SWB!$C$15:$AJ$244,34,FALSE)</f>
        <v>0.6</v>
      </c>
      <c r="R203" s="257">
        <f>VLOOKUP(B203,SWB!$C$15:$V$244,20,FALSE)</f>
        <v>1.1338733331349999</v>
      </c>
      <c r="S203" s="116"/>
      <c r="T203" s="116"/>
      <c r="U203" s="116"/>
      <c r="V203" s="116"/>
      <c r="W203" s="116"/>
      <c r="X203" s="257"/>
      <c r="Y203" s="116"/>
      <c r="Z203" s="116"/>
      <c r="AA203" s="257"/>
      <c r="AB203" s="116"/>
      <c r="AC203" s="257"/>
      <c r="AD203" s="257"/>
      <c r="AE203" s="257"/>
      <c r="AF203" s="116"/>
      <c r="AG203" s="116"/>
      <c r="AH203" s="116"/>
      <c r="AI203" s="116"/>
      <c r="AJ203" s="116">
        <f>IFERROR(VLOOKUP($B203,SWB!C201:BE584,37,FALSE),0)</f>
        <v>0</v>
      </c>
      <c r="AK203" s="116"/>
      <c r="AL203" s="116">
        <f>IFERROR(VLOOKUP($B203,SWB!C201:BE584,38,FALSE),0)</f>
        <v>0</v>
      </c>
      <c r="AM203" s="116"/>
      <c r="AN203" s="257"/>
      <c r="AO203" s="257"/>
      <c r="AP203" s="257"/>
      <c r="AQ203" s="257"/>
      <c r="AR203" s="116">
        <f t="shared" si="11"/>
        <v>270</v>
      </c>
      <c r="AS203" s="116"/>
      <c r="AT203" s="116"/>
      <c r="AU203" s="116"/>
      <c r="AV203" s="116"/>
      <c r="AW203" s="116"/>
      <c r="AX203" s="116"/>
      <c r="AY203" s="116"/>
      <c r="AZ203" s="116"/>
      <c r="BA203" s="116"/>
      <c r="BB203" s="116"/>
    </row>
    <row r="204" spans="1:54">
      <c r="B204" s="69">
        <f t="shared" ref="B204:B237" si="12">B203+1</f>
        <v>42203</v>
      </c>
      <c r="D204" s="116">
        <f>VLOOKUP(B204,SWB!$C$15:$H$244,6,FALSE)</f>
        <v>199</v>
      </c>
      <c r="E204" s="102">
        <f>VLOOKUP($B204,Clima!$W$8:$AI$1506,3,FALSE)</f>
        <v>34.700000000000003</v>
      </c>
      <c r="F204" s="102">
        <f>VLOOKUP($B204,Clima!$W$8:$AI$1506,4,FALSE)</f>
        <v>18.399999999999999</v>
      </c>
      <c r="G204" s="102">
        <f>VLOOKUP($B204,Clima!$W$8:$AI$1506,2,FALSE)</f>
        <v>26.2</v>
      </c>
      <c r="H204" s="102"/>
      <c r="I204" s="102"/>
      <c r="J204" s="102"/>
      <c r="K204" s="102"/>
      <c r="L204" s="102">
        <f>VLOOKUP($B204,Clima!$W$8:$AI$1506,12,FALSE)</f>
        <v>0</v>
      </c>
      <c r="M204" s="102">
        <f t="shared" si="8"/>
        <v>0</v>
      </c>
      <c r="N204" s="257">
        <f>VLOOKUP(B204,SWB!$C$15:$S$244,17,FALSE)</f>
        <v>0.33496296355555544</v>
      </c>
      <c r="O204" s="116"/>
      <c r="P204" s="116">
        <f>SWB!$M$4</f>
        <v>0.15</v>
      </c>
      <c r="Q204" s="257">
        <f>VLOOKUP(B204,SWB!$C$15:$AJ$244,34,FALSE)</f>
        <v>0.6</v>
      </c>
      <c r="R204" s="257">
        <f>VLOOKUP(B204,SWB!$C$15:$V$244,20,FALSE)</f>
        <v>1.1338733331349999</v>
      </c>
      <c r="S204" s="116"/>
      <c r="T204" s="116"/>
      <c r="U204" s="116"/>
      <c r="V204" s="116"/>
      <c r="W204" s="116"/>
      <c r="X204" s="257"/>
      <c r="Y204" s="116"/>
      <c r="Z204" s="116"/>
      <c r="AA204" s="257"/>
      <c r="AB204" s="116"/>
      <c r="AC204" s="257"/>
      <c r="AD204" s="257"/>
      <c r="AE204" s="257"/>
      <c r="AF204" s="116"/>
      <c r="AG204" s="116"/>
      <c r="AH204" s="116"/>
      <c r="AI204" s="116"/>
      <c r="AJ204" s="116">
        <f>IFERROR(VLOOKUP($B204,SWB!C202:BE585,37,FALSE),0)</f>
        <v>0</v>
      </c>
      <c r="AK204" s="116"/>
      <c r="AL204" s="116">
        <f>IFERROR(VLOOKUP($B204,SWB!C202:BE585,38,FALSE),0)</f>
        <v>0</v>
      </c>
      <c r="AM204" s="116"/>
      <c r="AN204" s="257"/>
      <c r="AO204" s="257"/>
      <c r="AP204" s="257"/>
      <c r="AQ204" s="257"/>
      <c r="AR204" s="116">
        <f t="shared" si="11"/>
        <v>270</v>
      </c>
      <c r="AS204" s="116"/>
      <c r="AT204" s="116"/>
      <c r="AU204" s="116"/>
      <c r="AV204" s="116"/>
      <c r="AW204" s="116"/>
      <c r="AX204" s="116"/>
      <c r="AY204" s="116"/>
      <c r="AZ204" s="116"/>
      <c r="BA204" s="116"/>
      <c r="BB204" s="116"/>
    </row>
    <row r="205" spans="1:54">
      <c r="B205" s="69">
        <f t="shared" si="12"/>
        <v>42204</v>
      </c>
      <c r="D205" s="116" t="e">
        <f>VLOOKUP(B205,SWB!$C$15:$H$244,6,FALSE)</f>
        <v>#N/A</v>
      </c>
      <c r="E205" s="102">
        <f>VLOOKUP($B205,Clima!$W$8:$AI$1506,3,FALSE)</f>
        <v>34.6</v>
      </c>
      <c r="F205" s="102">
        <f>VLOOKUP($B205,Clima!$W$8:$AI$1506,4,FALSE)</f>
        <v>15.8</v>
      </c>
      <c r="G205" s="102">
        <f>VLOOKUP($B205,Clima!$W$8:$AI$1506,2,FALSE)</f>
        <v>25.5</v>
      </c>
      <c r="H205" s="102"/>
      <c r="I205" s="102"/>
      <c r="J205" s="102"/>
      <c r="K205" s="102"/>
      <c r="L205" s="102">
        <f>VLOOKUP($B205,Clima!$W$8:$AI$1506,12,FALSE)</f>
        <v>0</v>
      </c>
      <c r="M205" s="102">
        <f t="shared" si="8"/>
        <v>0</v>
      </c>
      <c r="N205" s="257" t="e">
        <f>VLOOKUP(B205,SWB!$C$15:$S$244,17,FALSE)</f>
        <v>#N/A</v>
      </c>
      <c r="O205" s="116"/>
      <c r="P205" s="116">
        <f>SWB!$M$4</f>
        <v>0.15</v>
      </c>
      <c r="Q205" s="257" t="e">
        <f>VLOOKUP(B205,SWB!$C$15:$AJ$244,34,FALSE)</f>
        <v>#N/A</v>
      </c>
      <c r="R205" s="257" t="e">
        <f>VLOOKUP(B205,SWB!$C$15:$V$244,20,FALSE)</f>
        <v>#N/A</v>
      </c>
      <c r="S205" s="116"/>
      <c r="T205" s="116"/>
      <c r="U205" s="116"/>
      <c r="V205" s="116"/>
      <c r="W205" s="116"/>
      <c r="X205" s="257"/>
      <c r="Y205" s="116"/>
      <c r="Z205" s="116"/>
      <c r="AA205" s="257"/>
      <c r="AB205" s="116"/>
      <c r="AC205" s="257"/>
      <c r="AD205" s="257"/>
      <c r="AE205" s="257"/>
      <c r="AF205" s="116"/>
      <c r="AG205" s="116"/>
      <c r="AH205" s="116"/>
      <c r="AI205" s="116"/>
      <c r="AJ205" s="116">
        <f>IFERROR(VLOOKUP($B205,SWB!C203:BE586,37,FALSE),0)</f>
        <v>0</v>
      </c>
      <c r="AK205" s="116"/>
      <c r="AL205" s="116">
        <f>IFERROR(VLOOKUP($B205,SWB!C203:BE586,38,FALSE),0)</f>
        <v>0</v>
      </c>
      <c r="AM205" s="116"/>
      <c r="AN205" s="257"/>
      <c r="AO205" s="257"/>
      <c r="AP205" s="257"/>
      <c r="AQ205" s="257"/>
      <c r="AR205" s="116">
        <f t="shared" si="11"/>
        <v>270</v>
      </c>
      <c r="AS205" s="116"/>
      <c r="AT205" s="116"/>
      <c r="AU205" s="116"/>
      <c r="AV205" s="116"/>
      <c r="AW205" s="116"/>
      <c r="AX205" s="116"/>
      <c r="AY205" s="116"/>
      <c r="AZ205" s="116"/>
      <c r="BA205" s="116"/>
      <c r="BB205" s="116"/>
    </row>
    <row r="206" spans="1:54">
      <c r="B206" s="69">
        <f t="shared" si="12"/>
        <v>42205</v>
      </c>
      <c r="D206" s="116" t="e">
        <f>VLOOKUP(B206,SWB!$C$15:$H$244,6,FALSE)</f>
        <v>#N/A</v>
      </c>
      <c r="E206" s="102">
        <f>VLOOKUP($B206,Clima!$W$8:$AI$1506,3,FALSE)</f>
        <v>37.299999999999997</v>
      </c>
      <c r="F206" s="102">
        <f>VLOOKUP($B206,Clima!$W$8:$AI$1506,4,FALSE)</f>
        <v>15.3</v>
      </c>
      <c r="G206" s="102">
        <f>VLOOKUP($B206,Clima!$W$8:$AI$1506,2,FALSE)</f>
        <v>27.3</v>
      </c>
      <c r="H206" s="102"/>
      <c r="I206" s="102"/>
      <c r="J206" s="102"/>
      <c r="K206" s="102"/>
      <c r="L206" s="102">
        <f>VLOOKUP($B206,Clima!$W$8:$AI$1506,12,FALSE)</f>
        <v>0</v>
      </c>
      <c r="M206" s="102">
        <f t="shared" si="8"/>
        <v>0</v>
      </c>
      <c r="N206" s="257" t="e">
        <f>VLOOKUP(B206,SWB!$C$15:$S$244,17,FALSE)</f>
        <v>#N/A</v>
      </c>
      <c r="O206" s="116"/>
      <c r="P206" s="116">
        <f>SWB!$M$4</f>
        <v>0.15</v>
      </c>
      <c r="Q206" s="257" t="e">
        <f>VLOOKUP(B206,SWB!$C$15:$AJ$244,34,FALSE)</f>
        <v>#N/A</v>
      </c>
      <c r="R206" s="257" t="e">
        <f>VLOOKUP(B206,SWB!$C$15:$V$244,20,FALSE)</f>
        <v>#N/A</v>
      </c>
      <c r="S206" s="116"/>
      <c r="T206" s="116"/>
      <c r="U206" s="116"/>
      <c r="V206" s="116"/>
      <c r="W206" s="116"/>
      <c r="X206" s="257"/>
      <c r="Y206" s="116"/>
      <c r="Z206" s="116"/>
      <c r="AA206" s="257"/>
      <c r="AB206" s="116"/>
      <c r="AC206" s="257"/>
      <c r="AD206" s="257"/>
      <c r="AE206" s="257"/>
      <c r="AF206" s="116"/>
      <c r="AG206" s="116"/>
      <c r="AH206" s="116"/>
      <c r="AI206" s="116"/>
      <c r="AJ206" s="116">
        <f>IFERROR(VLOOKUP($B206,SWB!C204:BE587,37,FALSE),0)</f>
        <v>0</v>
      </c>
      <c r="AK206" s="116"/>
      <c r="AL206" s="116">
        <f>IFERROR(VLOOKUP($B206,SWB!C204:BE587,38,FALSE),0)</f>
        <v>0</v>
      </c>
      <c r="AM206" s="116"/>
      <c r="AN206" s="257"/>
      <c r="AO206" s="257"/>
      <c r="AP206" s="257"/>
      <c r="AQ206" s="257"/>
      <c r="AR206" s="116">
        <f t="shared" si="11"/>
        <v>270</v>
      </c>
      <c r="AS206" s="116"/>
      <c r="AT206" s="116"/>
      <c r="AU206" s="116"/>
      <c r="AV206" s="116"/>
      <c r="AW206" s="116"/>
      <c r="AX206" s="116"/>
      <c r="AY206" s="116"/>
      <c r="AZ206" s="116"/>
      <c r="BA206" s="116"/>
      <c r="BB206" s="116"/>
    </row>
    <row r="207" spans="1:54">
      <c r="B207" s="69">
        <f t="shared" si="12"/>
        <v>42206</v>
      </c>
      <c r="D207" s="116" t="e">
        <f>VLOOKUP(B207,SWB!$C$15:$H$244,6,FALSE)</f>
        <v>#N/A</v>
      </c>
      <c r="E207" s="102">
        <f>VLOOKUP($B207,Clima!$W$8:$AI$1506,3,FALSE)</f>
        <v>37.4</v>
      </c>
      <c r="F207" s="102">
        <f>VLOOKUP($B207,Clima!$W$8:$AI$1506,4,FALSE)</f>
        <v>18.5</v>
      </c>
      <c r="G207" s="102">
        <f>VLOOKUP($B207,Clima!$W$8:$AI$1506,2,FALSE)</f>
        <v>28.3</v>
      </c>
      <c r="H207" s="102"/>
      <c r="I207" s="102"/>
      <c r="J207" s="102"/>
      <c r="K207" s="102"/>
      <c r="L207" s="102">
        <f>VLOOKUP($B207,Clima!$W$8:$AI$1506,12,FALSE)</f>
        <v>0</v>
      </c>
      <c r="M207" s="102">
        <f t="shared" si="8"/>
        <v>0</v>
      </c>
      <c r="N207" s="257" t="e">
        <f>VLOOKUP(B207,SWB!$C$15:$S$244,17,FALSE)</f>
        <v>#N/A</v>
      </c>
      <c r="O207" s="116"/>
      <c r="P207" s="116">
        <f>SWB!$M$4</f>
        <v>0.15</v>
      </c>
      <c r="Q207" s="257" t="e">
        <f>VLOOKUP(B207,SWB!$C$15:$AJ$244,34,FALSE)</f>
        <v>#N/A</v>
      </c>
      <c r="R207" s="257" t="e">
        <f>VLOOKUP(B207,SWB!$C$15:$V$244,20,FALSE)</f>
        <v>#N/A</v>
      </c>
      <c r="S207" s="116"/>
      <c r="T207" s="116"/>
      <c r="U207" s="116"/>
      <c r="V207" s="116"/>
      <c r="W207" s="116"/>
      <c r="X207" s="257"/>
      <c r="Y207" s="116"/>
      <c r="Z207" s="116"/>
      <c r="AA207" s="257"/>
      <c r="AB207" s="116"/>
      <c r="AC207" s="257"/>
      <c r="AD207" s="257"/>
      <c r="AE207" s="257"/>
      <c r="AF207" s="116"/>
      <c r="AG207" s="116"/>
      <c r="AH207" s="116"/>
      <c r="AI207" s="116"/>
      <c r="AJ207" s="116">
        <f>IFERROR(VLOOKUP($B207,SWB!C205:BE588,37,FALSE),0)</f>
        <v>0</v>
      </c>
      <c r="AK207" s="116"/>
      <c r="AL207" s="116">
        <f>IFERROR(VLOOKUP($B207,SWB!C205:BE588,38,FALSE),0)</f>
        <v>0</v>
      </c>
      <c r="AM207" s="116"/>
      <c r="AN207" s="257"/>
      <c r="AO207" s="257"/>
      <c r="AP207" s="257"/>
      <c r="AQ207" s="257"/>
      <c r="AR207" s="116">
        <f t="shared" si="11"/>
        <v>270</v>
      </c>
      <c r="AS207" s="116"/>
      <c r="AT207" s="116"/>
      <c r="AU207" s="116"/>
      <c r="AV207" s="116"/>
      <c r="AW207" s="116"/>
      <c r="AX207" s="116"/>
      <c r="AY207" s="116"/>
      <c r="AZ207" s="116"/>
      <c r="BA207" s="116"/>
      <c r="BB207" s="116"/>
    </row>
    <row r="208" spans="1:54">
      <c r="B208" s="69">
        <f t="shared" si="12"/>
        <v>42207</v>
      </c>
      <c r="D208" s="116" t="e">
        <f>VLOOKUP(B208,SWB!$C$15:$H$244,6,FALSE)</f>
        <v>#N/A</v>
      </c>
      <c r="E208" s="102">
        <f>VLOOKUP($B208,Clima!$W$8:$AI$1506,3,FALSE)</f>
        <v>36.1</v>
      </c>
      <c r="F208" s="102">
        <f>VLOOKUP($B208,Clima!$W$8:$AI$1506,4,FALSE)</f>
        <v>16.8</v>
      </c>
      <c r="G208" s="102">
        <f>VLOOKUP($B208,Clima!$W$8:$AI$1506,2,FALSE)</f>
        <v>25.6</v>
      </c>
      <c r="H208" s="102"/>
      <c r="I208" s="102"/>
      <c r="J208" s="102"/>
      <c r="K208" s="102"/>
      <c r="L208" s="102">
        <f>VLOOKUP($B208,Clima!$W$8:$AI$1506,12,FALSE)</f>
        <v>0</v>
      </c>
      <c r="M208" s="102">
        <f t="shared" si="8"/>
        <v>0</v>
      </c>
      <c r="N208" s="257" t="e">
        <f>VLOOKUP(B208,SWB!$C$15:$S$244,17,FALSE)</f>
        <v>#N/A</v>
      </c>
      <c r="O208" s="116"/>
      <c r="P208" s="116">
        <f>SWB!$M$4</f>
        <v>0.15</v>
      </c>
      <c r="Q208" s="257" t="e">
        <f>VLOOKUP(B208,SWB!$C$15:$AJ$244,34,FALSE)</f>
        <v>#N/A</v>
      </c>
      <c r="R208" s="257" t="e">
        <f>VLOOKUP(B208,SWB!$C$15:$V$244,20,FALSE)</f>
        <v>#N/A</v>
      </c>
      <c r="S208" s="116"/>
      <c r="T208" s="116"/>
      <c r="U208" s="116"/>
      <c r="V208" s="116"/>
      <c r="W208" s="116"/>
      <c r="X208" s="257"/>
      <c r="Y208" s="116"/>
      <c r="Z208" s="116"/>
      <c r="AA208" s="257"/>
      <c r="AB208" s="116"/>
      <c r="AC208" s="257"/>
      <c r="AD208" s="257"/>
      <c r="AE208" s="257"/>
      <c r="AF208" s="116"/>
      <c r="AG208" s="116"/>
      <c r="AH208" s="116"/>
      <c r="AI208" s="116"/>
      <c r="AJ208" s="116">
        <f>IFERROR(VLOOKUP($B208,SWB!C206:BE589,37,FALSE),0)</f>
        <v>0</v>
      </c>
      <c r="AK208" s="116"/>
      <c r="AL208" s="116">
        <f>IFERROR(VLOOKUP($B208,SWB!C206:BE589,38,FALSE),0)</f>
        <v>0</v>
      </c>
      <c r="AM208" s="116"/>
      <c r="AN208" s="257"/>
      <c r="AO208" s="257"/>
      <c r="AP208" s="257"/>
      <c r="AQ208" s="257"/>
      <c r="AR208" s="116">
        <f t="shared" si="11"/>
        <v>270</v>
      </c>
      <c r="AS208" s="116"/>
      <c r="AT208" s="116"/>
      <c r="AU208" s="116"/>
      <c r="AV208" s="116"/>
      <c r="AW208" s="116"/>
      <c r="AX208" s="116"/>
      <c r="AY208" s="116"/>
      <c r="AZ208" s="116"/>
      <c r="BA208" s="116"/>
      <c r="BB208" s="116"/>
    </row>
    <row r="209" spans="2:54">
      <c r="B209" s="69">
        <f t="shared" si="12"/>
        <v>42208</v>
      </c>
      <c r="D209" s="116" t="e">
        <f>VLOOKUP(B209,SWB!$C$15:$H$244,6,FALSE)</f>
        <v>#N/A</v>
      </c>
      <c r="E209" s="102">
        <f>VLOOKUP($B209,Clima!$W$8:$AI$1506,3,FALSE)</f>
        <v>33.4</v>
      </c>
      <c r="F209" s="102">
        <f>VLOOKUP($B209,Clima!$W$8:$AI$1506,4,FALSE)</f>
        <v>16.8</v>
      </c>
      <c r="G209" s="102">
        <f>VLOOKUP($B209,Clima!$W$8:$AI$1506,2,FALSE)</f>
        <v>25.7</v>
      </c>
      <c r="H209" s="102"/>
      <c r="I209" s="102"/>
      <c r="J209" s="102"/>
      <c r="K209" s="102"/>
      <c r="L209" s="102">
        <f>VLOOKUP($B209,Clima!$W$8:$AI$1506,12,FALSE)</f>
        <v>0</v>
      </c>
      <c r="M209" s="102">
        <f t="shared" si="8"/>
        <v>0</v>
      </c>
      <c r="N209" s="257" t="e">
        <f>VLOOKUP(B209,SWB!$C$15:$S$244,17,FALSE)</f>
        <v>#N/A</v>
      </c>
      <c r="O209" s="116"/>
      <c r="P209" s="116">
        <f>SWB!$M$4</f>
        <v>0.15</v>
      </c>
      <c r="Q209" s="257" t="e">
        <f>VLOOKUP(B209,SWB!$C$15:$AJ$244,34,FALSE)</f>
        <v>#N/A</v>
      </c>
      <c r="R209" s="257" t="e">
        <f>VLOOKUP(B209,SWB!$C$15:$V$244,20,FALSE)</f>
        <v>#N/A</v>
      </c>
      <c r="S209" s="116"/>
      <c r="T209" s="116"/>
      <c r="U209" s="116"/>
      <c r="V209" s="116"/>
      <c r="W209" s="116"/>
      <c r="X209" s="257"/>
      <c r="Y209" s="116"/>
      <c r="Z209" s="116"/>
      <c r="AA209" s="257"/>
      <c r="AB209" s="116"/>
      <c r="AC209" s="257"/>
      <c r="AD209" s="257"/>
      <c r="AE209" s="257"/>
      <c r="AF209" s="116"/>
      <c r="AG209" s="116"/>
      <c r="AH209" s="116"/>
      <c r="AI209" s="116"/>
      <c r="AJ209" s="116">
        <f>IFERROR(VLOOKUP($B209,SWB!C207:BE590,37,FALSE),0)</f>
        <v>0</v>
      </c>
      <c r="AK209" s="116"/>
      <c r="AL209" s="116">
        <f>IFERROR(VLOOKUP($B209,SWB!C207:BE590,38,FALSE),0)</f>
        <v>0</v>
      </c>
      <c r="AM209" s="116"/>
      <c r="AN209" s="257"/>
      <c r="AO209" s="257"/>
      <c r="AP209" s="257"/>
      <c r="AQ209" s="257"/>
      <c r="AR209" s="116">
        <f t="shared" si="11"/>
        <v>270</v>
      </c>
      <c r="AS209" s="116"/>
      <c r="AT209" s="116"/>
      <c r="AU209" s="116"/>
      <c r="AV209" s="116"/>
      <c r="AW209" s="116"/>
      <c r="AX209" s="116"/>
      <c r="AY209" s="116"/>
      <c r="AZ209" s="116"/>
      <c r="BA209" s="116"/>
      <c r="BB209" s="116"/>
    </row>
    <row r="210" spans="2:54">
      <c r="B210" s="69">
        <f t="shared" si="12"/>
        <v>42209</v>
      </c>
      <c r="D210" s="116" t="e">
        <f>VLOOKUP(B210,SWB!$C$15:$H$244,6,FALSE)</f>
        <v>#N/A</v>
      </c>
      <c r="E210" s="102">
        <f>VLOOKUP($B210,Clima!$W$8:$AI$1506,3,FALSE)</f>
        <v>37.200000000000003</v>
      </c>
      <c r="F210" s="102">
        <f>VLOOKUP($B210,Clima!$W$8:$AI$1506,4,FALSE)</f>
        <v>16.600000000000001</v>
      </c>
      <c r="G210" s="102">
        <f>VLOOKUP($B210,Clima!$W$8:$AI$1506,2,FALSE)</f>
        <v>28.1</v>
      </c>
      <c r="H210" s="102"/>
      <c r="I210" s="102"/>
      <c r="J210" s="102"/>
      <c r="K210" s="102"/>
      <c r="L210" s="102">
        <f>VLOOKUP($B210,Clima!$W$8:$AI$1506,12,FALSE)</f>
        <v>0</v>
      </c>
      <c r="M210" s="102">
        <f t="shared" ref="M210:M246" si="13">L210</f>
        <v>0</v>
      </c>
      <c r="N210" s="257" t="e">
        <f>VLOOKUP(B210,SWB!$C$15:$S$244,17,FALSE)</f>
        <v>#N/A</v>
      </c>
      <c r="O210" s="116"/>
      <c r="P210" s="116">
        <f>SWB!$M$4</f>
        <v>0.15</v>
      </c>
      <c r="Q210" s="257" t="e">
        <f>VLOOKUP(B210,SWB!$C$15:$AJ$244,34,FALSE)</f>
        <v>#N/A</v>
      </c>
      <c r="R210" s="257" t="e">
        <f>VLOOKUP(B210,SWB!$C$15:$V$244,20,FALSE)</f>
        <v>#N/A</v>
      </c>
      <c r="S210" s="116"/>
      <c r="T210" s="116"/>
      <c r="U210" s="116"/>
      <c r="V210" s="116"/>
      <c r="W210" s="116"/>
      <c r="X210" s="257"/>
      <c r="Y210" s="116"/>
      <c r="Z210" s="116"/>
      <c r="AA210" s="257"/>
      <c r="AB210" s="116"/>
      <c r="AC210" s="257"/>
      <c r="AD210" s="257"/>
      <c r="AE210" s="257"/>
      <c r="AF210" s="116"/>
      <c r="AG210" s="116"/>
      <c r="AH210" s="116"/>
      <c r="AI210" s="116"/>
      <c r="AJ210" s="116">
        <f>IFERROR(VLOOKUP($B210,SWB!C208:BE591,37,FALSE),0)</f>
        <v>0</v>
      </c>
      <c r="AK210" s="116"/>
      <c r="AL210" s="116">
        <f>IFERROR(VLOOKUP($B210,SWB!C208:BE591,38,FALSE),0)</f>
        <v>0</v>
      </c>
      <c r="AM210" s="116"/>
      <c r="AN210" s="257"/>
      <c r="AO210" s="257"/>
      <c r="AP210" s="257"/>
      <c r="AQ210" s="257"/>
      <c r="AR210" s="116">
        <f t="shared" si="11"/>
        <v>270</v>
      </c>
      <c r="AS210" s="116"/>
      <c r="AT210" s="116"/>
      <c r="AU210" s="116"/>
      <c r="AV210" s="116"/>
      <c r="AW210" s="116"/>
      <c r="AX210" s="116"/>
      <c r="AY210" s="116"/>
      <c r="AZ210" s="116"/>
      <c r="BA210" s="116"/>
      <c r="BB210" s="116"/>
    </row>
    <row r="211" spans="2:54">
      <c r="B211" s="69">
        <f t="shared" si="12"/>
        <v>42210</v>
      </c>
      <c r="D211" s="116" t="e">
        <f>VLOOKUP(B211,SWB!$C$15:$H$244,6,FALSE)</f>
        <v>#N/A</v>
      </c>
      <c r="E211" s="102">
        <f>VLOOKUP($B211,Clima!$W$8:$AI$1506,3,FALSE)</f>
        <v>34.200000000000003</v>
      </c>
      <c r="F211" s="102">
        <f>VLOOKUP($B211,Clima!$W$8:$AI$1506,4,FALSE)</f>
        <v>17</v>
      </c>
      <c r="G211" s="102">
        <f>VLOOKUP($B211,Clima!$W$8:$AI$1506,2,FALSE)</f>
        <v>26</v>
      </c>
      <c r="H211" s="102"/>
      <c r="I211" s="102"/>
      <c r="J211" s="102"/>
      <c r="K211" s="102"/>
      <c r="L211" s="102">
        <f>VLOOKUP($B211,Clima!$W$8:$AI$1506,12,FALSE)</f>
        <v>0</v>
      </c>
      <c r="M211" s="102">
        <f t="shared" si="13"/>
        <v>0</v>
      </c>
      <c r="N211" s="257" t="e">
        <f>VLOOKUP(B211,SWB!$C$15:$S$244,17,FALSE)</f>
        <v>#N/A</v>
      </c>
      <c r="O211" s="116"/>
      <c r="P211" s="116">
        <f>SWB!$M$4</f>
        <v>0.15</v>
      </c>
      <c r="Q211" s="257" t="e">
        <f>VLOOKUP(B211,SWB!$C$15:$AJ$244,34,FALSE)</f>
        <v>#N/A</v>
      </c>
      <c r="R211" s="257" t="e">
        <f>VLOOKUP(B211,SWB!$C$15:$V$244,20,FALSE)</f>
        <v>#N/A</v>
      </c>
      <c r="S211" s="116"/>
      <c r="T211" s="116"/>
      <c r="U211" s="116"/>
      <c r="V211" s="116"/>
      <c r="W211" s="116"/>
      <c r="X211" s="257"/>
      <c r="Y211" s="116"/>
      <c r="Z211" s="116"/>
      <c r="AA211" s="257"/>
      <c r="AB211" s="116"/>
      <c r="AC211" s="257"/>
      <c r="AD211" s="257"/>
      <c r="AE211" s="257"/>
      <c r="AF211" s="116"/>
      <c r="AG211" s="116"/>
      <c r="AH211" s="116"/>
      <c r="AI211" s="116"/>
      <c r="AJ211" s="116">
        <f>IFERROR(VLOOKUP($B211,SWB!C209:BE592,37,FALSE),0)</f>
        <v>0</v>
      </c>
      <c r="AK211" s="116"/>
      <c r="AL211" s="116">
        <f>IFERROR(VLOOKUP($B211,SWB!C209:BE592,38,FALSE),0)</f>
        <v>0</v>
      </c>
      <c r="AM211" s="116"/>
      <c r="AN211" s="257"/>
      <c r="AO211" s="257"/>
      <c r="AP211" s="257"/>
      <c r="AQ211" s="257"/>
      <c r="AR211" s="116">
        <f t="shared" ref="AR211:AR246" si="14">AK210+AR210</f>
        <v>270</v>
      </c>
      <c r="AS211" s="116"/>
      <c r="AT211" s="116"/>
      <c r="AU211" s="116"/>
      <c r="AV211" s="116"/>
      <c r="AW211" s="116"/>
      <c r="AX211" s="116"/>
      <c r="AY211" s="116"/>
      <c r="AZ211" s="116"/>
      <c r="BA211" s="116"/>
      <c r="BB211" s="116"/>
    </row>
    <row r="212" spans="2:54">
      <c r="B212" s="69">
        <f t="shared" si="12"/>
        <v>42211</v>
      </c>
      <c r="D212" s="116" t="e">
        <f>VLOOKUP(B212,SWB!$C$15:$H$244,6,FALSE)</f>
        <v>#N/A</v>
      </c>
      <c r="E212" s="102">
        <f>VLOOKUP($B212,Clima!$W$8:$AI$1506,3,FALSE)</f>
        <v>37.1</v>
      </c>
      <c r="F212" s="102">
        <f>VLOOKUP($B212,Clima!$W$8:$AI$1506,4,FALSE)</f>
        <v>19.7</v>
      </c>
      <c r="G212" s="102">
        <f>VLOOKUP($B212,Clima!$W$8:$AI$1506,2,FALSE)</f>
        <v>27.6</v>
      </c>
      <c r="H212" s="102"/>
      <c r="I212" s="102"/>
      <c r="J212" s="102"/>
      <c r="K212" s="102"/>
      <c r="L212" s="102">
        <f>VLOOKUP($B212,Clima!$W$8:$AI$1506,12,FALSE)</f>
        <v>0</v>
      </c>
      <c r="M212" s="102">
        <f t="shared" si="13"/>
        <v>0</v>
      </c>
      <c r="N212" s="257" t="e">
        <f>VLOOKUP(B212,SWB!$C$15:$S$244,17,FALSE)</f>
        <v>#N/A</v>
      </c>
      <c r="O212" s="116"/>
      <c r="P212" s="116">
        <f>SWB!$M$4</f>
        <v>0.15</v>
      </c>
      <c r="Q212" s="257" t="e">
        <f>VLOOKUP(B212,SWB!$C$15:$AJ$244,34,FALSE)</f>
        <v>#N/A</v>
      </c>
      <c r="R212" s="257" t="e">
        <f>VLOOKUP(B212,SWB!$C$15:$V$244,20,FALSE)</f>
        <v>#N/A</v>
      </c>
      <c r="S212" s="116"/>
      <c r="T212" s="116"/>
      <c r="U212" s="116"/>
      <c r="V212" s="116"/>
      <c r="W212" s="116"/>
      <c r="X212" s="257"/>
      <c r="Y212" s="116"/>
      <c r="Z212" s="116"/>
      <c r="AA212" s="257"/>
      <c r="AB212" s="116"/>
      <c r="AC212" s="257"/>
      <c r="AD212" s="257"/>
      <c r="AE212" s="257"/>
      <c r="AF212" s="116"/>
      <c r="AG212" s="116"/>
      <c r="AH212" s="116"/>
      <c r="AI212" s="116"/>
      <c r="AJ212" s="116">
        <f>IFERROR(VLOOKUP($B212,SWB!C210:BE593,37,FALSE),0)</f>
        <v>0</v>
      </c>
      <c r="AK212" s="116"/>
      <c r="AL212" s="116">
        <f>IFERROR(VLOOKUP($B212,SWB!C210:BE593,38,FALSE),0)</f>
        <v>0</v>
      </c>
      <c r="AM212" s="116"/>
      <c r="AN212" s="257"/>
      <c r="AO212" s="257"/>
      <c r="AP212" s="257"/>
      <c r="AQ212" s="257"/>
      <c r="AR212" s="116">
        <f t="shared" si="14"/>
        <v>270</v>
      </c>
      <c r="AS212" s="116"/>
      <c r="AT212" s="116"/>
      <c r="AU212" s="116"/>
      <c r="AV212" s="116"/>
      <c r="AW212" s="116"/>
      <c r="AX212" s="116"/>
      <c r="AY212" s="116"/>
      <c r="AZ212" s="116"/>
      <c r="BA212" s="116"/>
      <c r="BB212" s="116"/>
    </row>
    <row r="213" spans="2:54">
      <c r="B213" s="69">
        <f t="shared" si="12"/>
        <v>42212</v>
      </c>
      <c r="D213" s="116" t="e">
        <f>VLOOKUP(B213,SWB!$C$15:$H$244,6,FALSE)</f>
        <v>#N/A</v>
      </c>
      <c r="E213" s="102">
        <f>VLOOKUP($B213,Clima!$W$8:$AI$1506,3,FALSE)</f>
        <v>37.9</v>
      </c>
      <c r="F213" s="102">
        <f>VLOOKUP($B213,Clima!$W$8:$AI$1506,4,FALSE)</f>
        <v>16.8</v>
      </c>
      <c r="G213" s="102">
        <f>VLOOKUP($B213,Clima!$W$8:$AI$1506,2,FALSE)</f>
        <v>28.3</v>
      </c>
      <c r="H213" s="102"/>
      <c r="I213" s="102"/>
      <c r="J213" s="102"/>
      <c r="K213" s="102"/>
      <c r="L213" s="102">
        <f>VLOOKUP($B213,Clima!$W$8:$AI$1506,12,FALSE)</f>
        <v>0</v>
      </c>
      <c r="M213" s="102">
        <f t="shared" si="13"/>
        <v>0</v>
      </c>
      <c r="N213" s="257" t="e">
        <f>VLOOKUP(B213,SWB!$C$15:$S$244,17,FALSE)</f>
        <v>#N/A</v>
      </c>
      <c r="O213" s="116"/>
      <c r="P213" s="116">
        <f>SWB!$M$4</f>
        <v>0.15</v>
      </c>
      <c r="Q213" s="257" t="e">
        <f>VLOOKUP(B213,SWB!$C$15:$AJ$244,34,FALSE)</f>
        <v>#N/A</v>
      </c>
      <c r="R213" s="257" t="e">
        <f>VLOOKUP(B213,SWB!$C$15:$V$244,20,FALSE)</f>
        <v>#N/A</v>
      </c>
      <c r="S213" s="116"/>
      <c r="T213" s="116"/>
      <c r="U213" s="116"/>
      <c r="V213" s="116"/>
      <c r="W213" s="116"/>
      <c r="X213" s="257"/>
      <c r="Y213" s="116"/>
      <c r="Z213" s="116"/>
      <c r="AA213" s="257"/>
      <c r="AB213" s="116"/>
      <c r="AC213" s="257"/>
      <c r="AD213" s="257"/>
      <c r="AE213" s="257"/>
      <c r="AF213" s="116"/>
      <c r="AG213" s="116"/>
      <c r="AH213" s="116"/>
      <c r="AI213" s="116"/>
      <c r="AJ213" s="116">
        <f>IFERROR(VLOOKUP($B213,SWB!C211:BE594,37,FALSE),0)</f>
        <v>0</v>
      </c>
      <c r="AK213" s="116"/>
      <c r="AL213" s="116">
        <f>IFERROR(VLOOKUP($B213,SWB!C211:BE594,38,FALSE),0)</f>
        <v>0</v>
      </c>
      <c r="AM213" s="116"/>
      <c r="AN213" s="257"/>
      <c r="AO213" s="257"/>
      <c r="AP213" s="257"/>
      <c r="AQ213" s="257"/>
      <c r="AR213" s="116">
        <f t="shared" si="14"/>
        <v>270</v>
      </c>
      <c r="AS213" s="116"/>
      <c r="AT213" s="116"/>
      <c r="AU213" s="116"/>
      <c r="AV213" s="116"/>
      <c r="AW213" s="116"/>
      <c r="AX213" s="116"/>
      <c r="AY213" s="116"/>
      <c r="AZ213" s="116"/>
      <c r="BA213" s="116"/>
      <c r="BB213" s="116"/>
    </row>
    <row r="214" spans="2:54">
      <c r="B214" s="69">
        <f t="shared" si="12"/>
        <v>42213</v>
      </c>
      <c r="D214" s="116" t="e">
        <f>VLOOKUP(B214,SWB!$C$15:$H$244,6,FALSE)</f>
        <v>#N/A</v>
      </c>
      <c r="E214" s="102">
        <f>VLOOKUP($B214,Clima!$W$8:$AI$1506,3,FALSE)</f>
        <v>38.4</v>
      </c>
      <c r="F214" s="102">
        <f>VLOOKUP($B214,Clima!$W$8:$AI$1506,4,FALSE)</f>
        <v>17.100000000000001</v>
      </c>
      <c r="G214" s="102">
        <f>VLOOKUP($B214,Clima!$W$8:$AI$1506,2,FALSE)</f>
        <v>27.7</v>
      </c>
      <c r="H214" s="102"/>
      <c r="I214" s="102"/>
      <c r="J214" s="102"/>
      <c r="K214" s="102"/>
      <c r="L214" s="102">
        <f>VLOOKUP($B214,Clima!$W$8:$AI$1506,12,FALSE)</f>
        <v>0</v>
      </c>
      <c r="M214" s="102">
        <f t="shared" si="13"/>
        <v>0</v>
      </c>
      <c r="N214" s="257" t="e">
        <f>VLOOKUP(B214,SWB!$C$15:$S$244,17,FALSE)</f>
        <v>#N/A</v>
      </c>
      <c r="O214" s="116"/>
      <c r="P214" s="116">
        <f>SWB!$M$4</f>
        <v>0.15</v>
      </c>
      <c r="Q214" s="257" t="e">
        <f>VLOOKUP(B214,SWB!$C$15:$AJ$244,34,FALSE)</f>
        <v>#N/A</v>
      </c>
      <c r="R214" s="257" t="e">
        <f>VLOOKUP(B214,SWB!$C$15:$V$244,20,FALSE)</f>
        <v>#N/A</v>
      </c>
      <c r="S214" s="116"/>
      <c r="T214" s="116"/>
      <c r="U214" s="116"/>
      <c r="V214" s="116"/>
      <c r="W214" s="116"/>
      <c r="X214" s="257"/>
      <c r="Y214" s="116"/>
      <c r="Z214" s="116"/>
      <c r="AA214" s="257"/>
      <c r="AB214" s="116"/>
      <c r="AC214" s="257"/>
      <c r="AD214" s="257"/>
      <c r="AE214" s="257"/>
      <c r="AF214" s="116"/>
      <c r="AG214" s="116"/>
      <c r="AH214" s="116"/>
      <c r="AI214" s="116"/>
      <c r="AJ214" s="116">
        <f>IFERROR(VLOOKUP($B214,SWB!C212:BE595,37,FALSE),0)</f>
        <v>0</v>
      </c>
      <c r="AK214" s="116"/>
      <c r="AL214" s="116">
        <f>IFERROR(VLOOKUP($B214,SWB!C212:BE595,38,FALSE),0)</f>
        <v>0</v>
      </c>
      <c r="AM214" s="116"/>
      <c r="AN214" s="257"/>
      <c r="AO214" s="257"/>
      <c r="AP214" s="257"/>
      <c r="AQ214" s="257"/>
      <c r="AR214" s="116">
        <f t="shared" si="14"/>
        <v>270</v>
      </c>
      <c r="AS214" s="116"/>
      <c r="AT214" s="116"/>
      <c r="AU214" s="116"/>
      <c r="AV214" s="116"/>
      <c r="AW214" s="116"/>
      <c r="AX214" s="116"/>
      <c r="AY214" s="116"/>
      <c r="AZ214" s="116"/>
      <c r="BA214" s="116"/>
      <c r="BB214" s="116"/>
    </row>
    <row r="215" spans="2:54">
      <c r="B215" s="69">
        <f t="shared" si="12"/>
        <v>42214</v>
      </c>
      <c r="D215" s="116" t="e">
        <f>VLOOKUP(B215,SWB!$C$15:$H$244,6,FALSE)</f>
        <v>#N/A</v>
      </c>
      <c r="E215" s="102">
        <f>VLOOKUP($B215,Clima!$W$8:$AI$1506,3,FALSE)</f>
        <v>39.200000000000003</v>
      </c>
      <c r="F215" s="102">
        <f>VLOOKUP($B215,Clima!$W$8:$AI$1506,4,FALSE)</f>
        <v>18.2</v>
      </c>
      <c r="G215" s="102">
        <f>VLOOKUP($B215,Clima!$W$8:$AI$1506,2,FALSE)</f>
        <v>27.8</v>
      </c>
      <c r="H215" s="102"/>
      <c r="I215" s="102"/>
      <c r="J215" s="102"/>
      <c r="K215" s="102"/>
      <c r="L215" s="102">
        <f>VLOOKUP($B215,Clima!$W$8:$AI$1506,12,FALSE)</f>
        <v>0</v>
      </c>
      <c r="M215" s="102">
        <f t="shared" si="13"/>
        <v>0</v>
      </c>
      <c r="N215" s="257" t="e">
        <f>VLOOKUP(B215,SWB!$C$15:$S$244,17,FALSE)</f>
        <v>#N/A</v>
      </c>
      <c r="O215" s="116"/>
      <c r="P215" s="116">
        <f>SWB!$M$4</f>
        <v>0.15</v>
      </c>
      <c r="Q215" s="257" t="e">
        <f>VLOOKUP(B215,SWB!$C$15:$AJ$244,34,FALSE)</f>
        <v>#N/A</v>
      </c>
      <c r="R215" s="257" t="e">
        <f>VLOOKUP(B215,SWB!$C$15:$V$244,20,FALSE)</f>
        <v>#N/A</v>
      </c>
      <c r="S215" s="116"/>
      <c r="T215" s="116"/>
      <c r="U215" s="116"/>
      <c r="V215" s="116"/>
      <c r="W215" s="116"/>
      <c r="X215" s="257"/>
      <c r="Y215" s="116"/>
      <c r="Z215" s="116"/>
      <c r="AA215" s="257"/>
      <c r="AB215" s="116"/>
      <c r="AC215" s="257"/>
      <c r="AD215" s="257"/>
      <c r="AE215" s="257"/>
      <c r="AF215" s="116"/>
      <c r="AG215" s="116"/>
      <c r="AH215" s="116"/>
      <c r="AI215" s="116"/>
      <c r="AJ215" s="116">
        <f>IFERROR(VLOOKUP($B215,SWB!C213:BE596,37,FALSE),0)</f>
        <v>0</v>
      </c>
      <c r="AK215" s="116"/>
      <c r="AL215" s="116">
        <f>IFERROR(VLOOKUP($B215,SWB!C213:BE596,38,FALSE),0)</f>
        <v>0</v>
      </c>
      <c r="AM215" s="116"/>
      <c r="AN215" s="257"/>
      <c r="AO215" s="257"/>
      <c r="AP215" s="257"/>
      <c r="AQ215" s="257"/>
      <c r="AR215" s="116">
        <f t="shared" si="14"/>
        <v>270</v>
      </c>
      <c r="AS215" s="116"/>
      <c r="AT215" s="116"/>
      <c r="AU215" s="116"/>
      <c r="AV215" s="116"/>
      <c r="AW215" s="116"/>
      <c r="AX215" s="116"/>
      <c r="AY215" s="116"/>
      <c r="AZ215" s="116"/>
      <c r="BA215" s="116"/>
      <c r="BB215" s="116"/>
    </row>
    <row r="216" spans="2:54">
      <c r="B216" s="69">
        <f t="shared" si="12"/>
        <v>42215</v>
      </c>
      <c r="D216" s="116" t="e">
        <f>VLOOKUP(B216,SWB!$C$15:$H$244,6,FALSE)</f>
        <v>#N/A</v>
      </c>
      <c r="E216" s="102">
        <f>VLOOKUP($B216,Clima!$W$8:$AI$1506,3,FALSE)</f>
        <v>34</v>
      </c>
      <c r="F216" s="102">
        <f>VLOOKUP($B216,Clima!$W$8:$AI$1506,4,FALSE)</f>
        <v>17.600000000000001</v>
      </c>
      <c r="G216" s="102">
        <f>VLOOKUP($B216,Clima!$W$8:$AI$1506,2,FALSE)</f>
        <v>25.8</v>
      </c>
      <c r="H216" s="102"/>
      <c r="I216" s="102"/>
      <c r="J216" s="102"/>
      <c r="K216" s="102"/>
      <c r="L216" s="102">
        <f>VLOOKUP($B216,Clima!$W$8:$AI$1506,12,FALSE)</f>
        <v>0</v>
      </c>
      <c r="M216" s="102">
        <f t="shared" si="13"/>
        <v>0</v>
      </c>
      <c r="N216" s="257" t="e">
        <f>VLOOKUP(B216,SWB!$C$15:$S$244,17,FALSE)</f>
        <v>#N/A</v>
      </c>
      <c r="O216" s="116"/>
      <c r="P216" s="116">
        <f>SWB!$M$4</f>
        <v>0.15</v>
      </c>
      <c r="Q216" s="257" t="e">
        <f>VLOOKUP(B216,SWB!$C$15:$AJ$244,34,FALSE)</f>
        <v>#N/A</v>
      </c>
      <c r="R216" s="257" t="e">
        <f>VLOOKUP(B216,SWB!$C$15:$V$244,20,FALSE)</f>
        <v>#N/A</v>
      </c>
      <c r="S216" s="116"/>
      <c r="T216" s="116"/>
      <c r="U216" s="116"/>
      <c r="V216" s="116"/>
      <c r="W216" s="116"/>
      <c r="X216" s="257"/>
      <c r="Y216" s="116"/>
      <c r="Z216" s="116"/>
      <c r="AA216" s="257"/>
      <c r="AB216" s="116"/>
      <c r="AC216" s="257"/>
      <c r="AD216" s="257"/>
      <c r="AE216" s="257"/>
      <c r="AF216" s="116"/>
      <c r="AG216" s="116"/>
      <c r="AH216" s="116"/>
      <c r="AI216" s="116"/>
      <c r="AJ216" s="116">
        <f>IFERROR(VLOOKUP($B216,SWB!C214:BE597,37,FALSE),0)</f>
        <v>0</v>
      </c>
      <c r="AK216" s="116"/>
      <c r="AL216" s="116">
        <f>IFERROR(VLOOKUP($B216,SWB!C214:BE597,38,FALSE),0)</f>
        <v>0</v>
      </c>
      <c r="AM216" s="116"/>
      <c r="AN216" s="257"/>
      <c r="AO216" s="257"/>
      <c r="AP216" s="257"/>
      <c r="AQ216" s="257"/>
      <c r="AR216" s="116">
        <f t="shared" si="14"/>
        <v>270</v>
      </c>
      <c r="AS216" s="116"/>
      <c r="AT216" s="116"/>
      <c r="AU216" s="116"/>
      <c r="AV216" s="116"/>
      <c r="AW216" s="116"/>
      <c r="AX216" s="116"/>
      <c r="AY216" s="116"/>
      <c r="AZ216" s="116"/>
      <c r="BA216" s="116"/>
      <c r="BB216" s="116"/>
    </row>
    <row r="217" spans="2:54">
      <c r="B217" s="69">
        <f t="shared" si="12"/>
        <v>42216</v>
      </c>
      <c r="D217" s="116" t="e">
        <f>VLOOKUP(B217,SWB!$C$15:$H$244,6,FALSE)</f>
        <v>#N/A</v>
      </c>
      <c r="E217" s="102">
        <f>VLOOKUP($B217,Clima!$W$8:$AI$1506,3,FALSE)</f>
        <v>31.1</v>
      </c>
      <c r="F217" s="102">
        <f>VLOOKUP($B217,Clima!$W$8:$AI$1506,4,FALSE)</f>
        <v>20.2</v>
      </c>
      <c r="G217" s="102">
        <f>VLOOKUP($B217,Clima!$W$8:$AI$1506,2,FALSE)</f>
        <v>25.1</v>
      </c>
      <c r="H217" s="102"/>
      <c r="I217" s="102"/>
      <c r="J217" s="102"/>
      <c r="K217" s="102"/>
      <c r="L217" s="102">
        <f>VLOOKUP($B217,Clima!$W$8:$AI$1506,12,FALSE)</f>
        <v>0</v>
      </c>
      <c r="M217" s="102">
        <f t="shared" si="13"/>
        <v>0</v>
      </c>
      <c r="N217" s="257" t="e">
        <f>VLOOKUP(B217,SWB!$C$15:$S$244,17,FALSE)</f>
        <v>#N/A</v>
      </c>
      <c r="O217" s="116"/>
      <c r="P217" s="116">
        <f>SWB!$M$4</f>
        <v>0.15</v>
      </c>
      <c r="Q217" s="257" t="e">
        <f>VLOOKUP(B217,SWB!$C$15:$AJ$244,34,FALSE)</f>
        <v>#N/A</v>
      </c>
      <c r="R217" s="257" t="e">
        <f>VLOOKUP(B217,SWB!$C$15:$V$244,20,FALSE)</f>
        <v>#N/A</v>
      </c>
      <c r="S217" s="116"/>
      <c r="T217" s="116"/>
      <c r="U217" s="116"/>
      <c r="V217" s="116"/>
      <c r="W217" s="116"/>
      <c r="X217" s="257"/>
      <c r="Y217" s="116"/>
      <c r="Z217" s="116"/>
      <c r="AA217" s="257"/>
      <c r="AB217" s="116"/>
      <c r="AC217" s="257"/>
      <c r="AD217" s="257"/>
      <c r="AE217" s="257"/>
      <c r="AF217" s="116"/>
      <c r="AG217" s="116"/>
      <c r="AH217" s="116"/>
      <c r="AI217" s="116"/>
      <c r="AJ217" s="116">
        <f>IFERROR(VLOOKUP($B217,SWB!C215:BE598,37,FALSE),0)</f>
        <v>0</v>
      </c>
      <c r="AK217" s="116"/>
      <c r="AL217" s="116">
        <f>IFERROR(VLOOKUP($B217,SWB!C215:BE598,38,FALSE),0)</f>
        <v>0</v>
      </c>
      <c r="AM217" s="116"/>
      <c r="AN217" s="257"/>
      <c r="AO217" s="257"/>
      <c r="AP217" s="257"/>
      <c r="AQ217" s="257"/>
      <c r="AR217" s="116">
        <f t="shared" si="14"/>
        <v>270</v>
      </c>
      <c r="AS217" s="116"/>
      <c r="AT217" s="116"/>
      <c r="AU217" s="116"/>
      <c r="AV217" s="116"/>
      <c r="AW217" s="116"/>
      <c r="AX217" s="116"/>
      <c r="AY217" s="116"/>
      <c r="AZ217" s="116"/>
      <c r="BA217" s="116"/>
      <c r="BB217" s="116"/>
    </row>
    <row r="218" spans="2:54">
      <c r="B218" s="69">
        <f t="shared" si="12"/>
        <v>42217</v>
      </c>
      <c r="D218" s="116" t="e">
        <f>VLOOKUP(B218,SWB!$C$15:$H$244,6,FALSE)</f>
        <v>#N/A</v>
      </c>
      <c r="E218" s="102">
        <f>VLOOKUP($B218,Clima!$W$8:$AI$1506,3,FALSE)</f>
        <v>31.6</v>
      </c>
      <c r="F218" s="102">
        <f>VLOOKUP($B218,Clima!$W$8:$AI$1506,4,FALSE)</f>
        <v>16.7</v>
      </c>
      <c r="G218" s="102">
        <f>VLOOKUP($B218,Clima!$W$8:$AI$1506,2,FALSE)</f>
        <v>24</v>
      </c>
      <c r="H218" s="102"/>
      <c r="I218" s="102"/>
      <c r="J218" s="102"/>
      <c r="K218" s="102"/>
      <c r="L218" s="102">
        <f>VLOOKUP($B218,Clima!$W$8:$AI$1506,12,FALSE)</f>
        <v>0</v>
      </c>
      <c r="M218" s="102">
        <f t="shared" si="13"/>
        <v>0</v>
      </c>
      <c r="N218" s="257" t="e">
        <f>VLOOKUP(B218,SWB!$C$15:$S$244,17,FALSE)</f>
        <v>#N/A</v>
      </c>
      <c r="O218" s="116"/>
      <c r="P218" s="116">
        <f>SWB!$M$4</f>
        <v>0.15</v>
      </c>
      <c r="Q218" s="257" t="e">
        <f>VLOOKUP(B218,SWB!$C$15:$AJ$244,34,FALSE)</f>
        <v>#N/A</v>
      </c>
      <c r="R218" s="257" t="e">
        <f>VLOOKUP(B218,SWB!$C$15:$V$244,20,FALSE)</f>
        <v>#N/A</v>
      </c>
      <c r="S218" s="116"/>
      <c r="T218" s="116"/>
      <c r="U218" s="116"/>
      <c r="V218" s="116"/>
      <c r="W218" s="116"/>
      <c r="X218" s="257"/>
      <c r="Y218" s="116"/>
      <c r="Z218" s="116"/>
      <c r="AA218" s="257"/>
      <c r="AB218" s="116"/>
      <c r="AC218" s="257"/>
      <c r="AD218" s="257"/>
      <c r="AE218" s="257"/>
      <c r="AF218" s="116"/>
      <c r="AG218" s="116"/>
      <c r="AH218" s="116"/>
      <c r="AI218" s="116"/>
      <c r="AJ218" s="116">
        <f>IFERROR(VLOOKUP($B218,SWB!C216:BE599,37,FALSE),0)</f>
        <v>0</v>
      </c>
      <c r="AK218" s="116"/>
      <c r="AL218" s="116">
        <f>IFERROR(VLOOKUP($B218,SWB!C216:BE599,38,FALSE),0)</f>
        <v>0</v>
      </c>
      <c r="AM218" s="116"/>
      <c r="AN218" s="257"/>
      <c r="AO218" s="257"/>
      <c r="AP218" s="257"/>
      <c r="AQ218" s="257"/>
      <c r="AR218" s="116">
        <f t="shared" si="14"/>
        <v>270</v>
      </c>
      <c r="AS218" s="116"/>
      <c r="AT218" s="116"/>
      <c r="AU218" s="116"/>
      <c r="AV218" s="116"/>
      <c r="AW218" s="116"/>
      <c r="AX218" s="116"/>
      <c r="AY218" s="116"/>
      <c r="AZ218" s="116"/>
      <c r="BA218" s="116"/>
      <c r="BB218" s="116"/>
    </row>
    <row r="219" spans="2:54">
      <c r="B219" s="69">
        <f t="shared" si="12"/>
        <v>42218</v>
      </c>
      <c r="D219" s="116" t="e">
        <f>VLOOKUP(B219,SWB!$C$15:$H$244,6,FALSE)</f>
        <v>#N/A</v>
      </c>
      <c r="E219" s="102">
        <f>VLOOKUP($B219,Clima!$W$8:$AI$1506,3,FALSE)</f>
        <v>31.8</v>
      </c>
      <c r="F219" s="102">
        <f>VLOOKUP($B219,Clima!$W$8:$AI$1506,4,FALSE)</f>
        <v>16.600000000000001</v>
      </c>
      <c r="G219" s="102">
        <f>VLOOKUP($B219,Clima!$W$8:$AI$1506,2,FALSE)</f>
        <v>24.5</v>
      </c>
      <c r="H219" s="102"/>
      <c r="I219" s="102"/>
      <c r="J219" s="102"/>
      <c r="K219" s="102"/>
      <c r="L219" s="102">
        <f>VLOOKUP($B219,Clima!$W$8:$AI$1506,12,FALSE)</f>
        <v>0</v>
      </c>
      <c r="M219" s="102">
        <f t="shared" si="13"/>
        <v>0</v>
      </c>
      <c r="N219" s="257" t="e">
        <f>VLOOKUP(B219,SWB!$C$15:$S$244,17,FALSE)</f>
        <v>#N/A</v>
      </c>
      <c r="O219" s="116"/>
      <c r="P219" s="116">
        <f>SWB!$M$4</f>
        <v>0.15</v>
      </c>
      <c r="Q219" s="257" t="e">
        <f>VLOOKUP(B219,SWB!$C$15:$AJ$244,34,FALSE)</f>
        <v>#N/A</v>
      </c>
      <c r="R219" s="257" t="e">
        <f>VLOOKUP(B219,SWB!$C$15:$V$244,20,FALSE)</f>
        <v>#N/A</v>
      </c>
      <c r="S219" s="116"/>
      <c r="T219" s="116"/>
      <c r="U219" s="116"/>
      <c r="V219" s="116"/>
      <c r="W219" s="116"/>
      <c r="X219" s="257"/>
      <c r="Y219" s="116"/>
      <c r="Z219" s="116"/>
      <c r="AA219" s="257"/>
      <c r="AB219" s="116"/>
      <c r="AC219" s="257"/>
      <c r="AD219" s="257"/>
      <c r="AE219" s="257"/>
      <c r="AF219" s="116"/>
      <c r="AG219" s="116"/>
      <c r="AH219" s="116"/>
      <c r="AI219" s="116"/>
      <c r="AJ219" s="116">
        <f>IFERROR(VLOOKUP($B219,SWB!C217:BE600,37,FALSE),0)</f>
        <v>0</v>
      </c>
      <c r="AK219" s="116"/>
      <c r="AL219" s="116">
        <f>IFERROR(VLOOKUP($B219,SWB!C217:BE600,38,FALSE),0)</f>
        <v>0</v>
      </c>
      <c r="AM219" s="116"/>
      <c r="AN219" s="257"/>
      <c r="AO219" s="257"/>
      <c r="AP219" s="257"/>
      <c r="AQ219" s="257"/>
      <c r="AR219" s="116">
        <f t="shared" si="14"/>
        <v>270</v>
      </c>
      <c r="AS219" s="116"/>
      <c r="AT219" s="116"/>
      <c r="AU219" s="116"/>
      <c r="AV219" s="116"/>
      <c r="AW219" s="116"/>
      <c r="AX219" s="116"/>
      <c r="AY219" s="116"/>
      <c r="AZ219" s="116"/>
      <c r="BA219" s="116"/>
      <c r="BB219" s="116"/>
    </row>
    <row r="220" spans="2:54">
      <c r="B220" s="69">
        <f t="shared" si="12"/>
        <v>42219</v>
      </c>
      <c r="D220" s="116" t="e">
        <f>VLOOKUP(B220,SWB!$C$15:$H$244,6,FALSE)</f>
        <v>#N/A</v>
      </c>
      <c r="E220" s="102">
        <f>VLOOKUP($B220,Clima!$W$8:$AI$1506,3,FALSE)</f>
        <v>32.5</v>
      </c>
      <c r="F220" s="102">
        <f>VLOOKUP($B220,Clima!$W$8:$AI$1506,4,FALSE)</f>
        <v>18.399999999999999</v>
      </c>
      <c r="G220" s="102">
        <f>VLOOKUP($B220,Clima!$W$8:$AI$1506,2,FALSE)</f>
        <v>26</v>
      </c>
      <c r="H220" s="102"/>
      <c r="I220" s="102"/>
      <c r="J220" s="102"/>
      <c r="K220" s="102"/>
      <c r="L220" s="102">
        <f>VLOOKUP($B220,Clima!$W$8:$AI$1506,12,FALSE)</f>
        <v>0</v>
      </c>
      <c r="M220" s="102">
        <f t="shared" si="13"/>
        <v>0</v>
      </c>
      <c r="N220" s="257" t="e">
        <f>VLOOKUP(B220,SWB!$C$15:$S$244,17,FALSE)</f>
        <v>#N/A</v>
      </c>
      <c r="O220" s="116"/>
      <c r="P220" s="116">
        <f>SWB!$M$4</f>
        <v>0.15</v>
      </c>
      <c r="Q220" s="257" t="e">
        <f>VLOOKUP(B220,SWB!$C$15:$AJ$244,34,FALSE)</f>
        <v>#N/A</v>
      </c>
      <c r="R220" s="257" t="e">
        <f>VLOOKUP(B220,SWB!$C$15:$V$244,20,FALSE)</f>
        <v>#N/A</v>
      </c>
      <c r="S220" s="116"/>
      <c r="T220" s="116"/>
      <c r="U220" s="116"/>
      <c r="V220" s="116"/>
      <c r="W220" s="116"/>
      <c r="X220" s="257"/>
      <c r="Y220" s="116"/>
      <c r="Z220" s="116"/>
      <c r="AA220" s="257"/>
      <c r="AB220" s="116"/>
      <c r="AC220" s="257"/>
      <c r="AD220" s="257"/>
      <c r="AE220" s="257"/>
      <c r="AF220" s="116"/>
      <c r="AG220" s="116"/>
      <c r="AH220" s="116"/>
      <c r="AI220" s="116"/>
      <c r="AJ220" s="116">
        <f>IFERROR(VLOOKUP($B220,SWB!C218:BE601,37,FALSE),0)</f>
        <v>0</v>
      </c>
      <c r="AK220" s="116"/>
      <c r="AL220" s="116">
        <f>IFERROR(VLOOKUP($B220,SWB!C218:BE601,38,FALSE),0)</f>
        <v>0</v>
      </c>
      <c r="AM220" s="116"/>
      <c r="AN220" s="257"/>
      <c r="AO220" s="257"/>
      <c r="AP220" s="257"/>
      <c r="AQ220" s="257"/>
      <c r="AR220" s="116">
        <f t="shared" si="14"/>
        <v>270</v>
      </c>
      <c r="AS220" s="116"/>
      <c r="AT220" s="116"/>
      <c r="AU220" s="116"/>
      <c r="AV220" s="116"/>
      <c r="AW220" s="116"/>
      <c r="AX220" s="116"/>
      <c r="AY220" s="116"/>
      <c r="AZ220" s="116"/>
      <c r="BA220" s="116"/>
      <c r="BB220" s="116"/>
    </row>
    <row r="221" spans="2:54">
      <c r="B221" s="69">
        <f t="shared" si="12"/>
        <v>42220</v>
      </c>
      <c r="D221" s="116" t="e">
        <f>VLOOKUP(B221,SWB!$C$15:$H$244,6,FALSE)</f>
        <v>#N/A</v>
      </c>
      <c r="E221" s="102">
        <f>VLOOKUP($B221,Clima!$W$8:$AI$1506,3,FALSE)</f>
        <v>36.6</v>
      </c>
      <c r="F221" s="102">
        <f>VLOOKUP($B221,Clima!$W$8:$AI$1506,4,FALSE)</f>
        <v>19.899999999999999</v>
      </c>
      <c r="G221" s="102">
        <f>VLOOKUP($B221,Clima!$W$8:$AI$1506,2,FALSE)</f>
        <v>27.9</v>
      </c>
      <c r="H221" s="102"/>
      <c r="I221" s="102"/>
      <c r="J221" s="102"/>
      <c r="K221" s="102"/>
      <c r="L221" s="102">
        <f>VLOOKUP($B221,Clima!$W$8:$AI$1506,12,FALSE)</f>
        <v>0</v>
      </c>
      <c r="M221" s="102">
        <f t="shared" si="13"/>
        <v>0</v>
      </c>
      <c r="N221" s="257" t="e">
        <f>VLOOKUP(B221,SWB!$C$15:$S$244,17,FALSE)</f>
        <v>#N/A</v>
      </c>
      <c r="O221" s="116"/>
      <c r="P221" s="116">
        <f>SWB!$M$4</f>
        <v>0.15</v>
      </c>
      <c r="Q221" s="257" t="e">
        <f>VLOOKUP(B221,SWB!$C$15:$AJ$244,34,FALSE)</f>
        <v>#N/A</v>
      </c>
      <c r="R221" s="257" t="e">
        <f>VLOOKUP(B221,SWB!$C$15:$V$244,20,FALSE)</f>
        <v>#N/A</v>
      </c>
      <c r="S221" s="116"/>
      <c r="T221" s="116"/>
      <c r="U221" s="116"/>
      <c r="V221" s="116"/>
      <c r="W221" s="116"/>
      <c r="X221" s="257"/>
      <c r="Y221" s="116"/>
      <c r="Z221" s="116"/>
      <c r="AA221" s="257"/>
      <c r="AB221" s="116"/>
      <c r="AC221" s="257"/>
      <c r="AD221" s="257"/>
      <c r="AE221" s="257"/>
      <c r="AF221" s="116"/>
      <c r="AG221" s="116"/>
      <c r="AH221" s="116"/>
      <c r="AI221" s="116"/>
      <c r="AJ221" s="116">
        <f>IFERROR(VLOOKUP($B221,SWB!C219:BE602,37,FALSE),0)</f>
        <v>0</v>
      </c>
      <c r="AK221" s="116"/>
      <c r="AL221" s="116">
        <f>IFERROR(VLOOKUP($B221,SWB!C219:BE602,38,FALSE),0)</f>
        <v>0</v>
      </c>
      <c r="AM221" s="116"/>
      <c r="AN221" s="257"/>
      <c r="AO221" s="257"/>
      <c r="AP221" s="257"/>
      <c r="AQ221" s="257"/>
      <c r="AR221" s="116">
        <f t="shared" si="14"/>
        <v>270</v>
      </c>
      <c r="AS221" s="116"/>
      <c r="AT221" s="116"/>
      <c r="AU221" s="116"/>
      <c r="AV221" s="116"/>
      <c r="AW221" s="116"/>
      <c r="AX221" s="116"/>
      <c r="AY221" s="116"/>
      <c r="AZ221" s="116"/>
      <c r="BA221" s="116"/>
      <c r="BB221" s="116"/>
    </row>
    <row r="222" spans="2:54">
      <c r="B222" s="69">
        <f t="shared" si="12"/>
        <v>42221</v>
      </c>
      <c r="D222" s="116" t="e">
        <f>VLOOKUP(B222,SWB!$C$15:$H$244,6,FALSE)</f>
        <v>#N/A</v>
      </c>
      <c r="E222" s="102">
        <f>VLOOKUP($B222,Clima!$W$8:$AI$1506,3,FALSE)</f>
        <v>40.1</v>
      </c>
      <c r="F222" s="102">
        <f>VLOOKUP($B222,Clima!$W$8:$AI$1506,4,FALSE)</f>
        <v>17.8</v>
      </c>
      <c r="G222" s="102">
        <f>VLOOKUP($B222,Clima!$W$8:$AI$1506,2,FALSE)</f>
        <v>28.2</v>
      </c>
      <c r="H222" s="102"/>
      <c r="I222" s="102"/>
      <c r="J222" s="102"/>
      <c r="K222" s="102"/>
      <c r="L222" s="102">
        <f>VLOOKUP($B222,Clima!$W$8:$AI$1506,12,FALSE)</f>
        <v>0</v>
      </c>
      <c r="M222" s="102">
        <f t="shared" si="13"/>
        <v>0</v>
      </c>
      <c r="N222" s="257" t="e">
        <f>VLOOKUP(B222,SWB!$C$15:$S$244,17,FALSE)</f>
        <v>#N/A</v>
      </c>
      <c r="O222" s="116"/>
      <c r="P222" s="116">
        <f>SWB!$M$4</f>
        <v>0.15</v>
      </c>
      <c r="Q222" s="257" t="e">
        <f>VLOOKUP(B222,SWB!$C$15:$AJ$244,34,FALSE)</f>
        <v>#N/A</v>
      </c>
      <c r="R222" s="257" t="e">
        <f>VLOOKUP(B222,SWB!$C$15:$V$244,20,FALSE)</f>
        <v>#N/A</v>
      </c>
      <c r="S222" s="116"/>
      <c r="T222" s="116"/>
      <c r="U222" s="116"/>
      <c r="V222" s="116"/>
      <c r="W222" s="116"/>
      <c r="X222" s="257"/>
      <c r="Y222" s="116"/>
      <c r="Z222" s="116"/>
      <c r="AA222" s="257"/>
      <c r="AB222" s="116"/>
      <c r="AC222" s="257"/>
      <c r="AD222" s="257"/>
      <c r="AE222" s="257"/>
      <c r="AF222" s="116"/>
      <c r="AG222" s="116"/>
      <c r="AH222" s="116"/>
      <c r="AI222" s="116"/>
      <c r="AJ222" s="116">
        <f>IFERROR(VLOOKUP($B222,SWB!C220:BE603,37,FALSE),0)</f>
        <v>0</v>
      </c>
      <c r="AK222" s="116"/>
      <c r="AL222" s="116">
        <f>IFERROR(VLOOKUP($B222,SWB!C220:BE603,38,FALSE),0)</f>
        <v>0</v>
      </c>
      <c r="AM222" s="116"/>
      <c r="AN222" s="257"/>
      <c r="AO222" s="257"/>
      <c r="AP222" s="257"/>
      <c r="AQ222" s="257"/>
      <c r="AR222" s="116">
        <f t="shared" si="14"/>
        <v>270</v>
      </c>
      <c r="AS222" s="116"/>
      <c r="AT222" s="116"/>
      <c r="AU222" s="116"/>
      <c r="AV222" s="116"/>
      <c r="AW222" s="116"/>
      <c r="AX222" s="116"/>
      <c r="AY222" s="116"/>
      <c r="AZ222" s="116"/>
      <c r="BA222" s="116"/>
      <c r="BB222" s="116"/>
    </row>
    <row r="223" spans="2:54">
      <c r="B223" s="69">
        <f t="shared" si="12"/>
        <v>42222</v>
      </c>
      <c r="D223" s="116" t="e">
        <f>VLOOKUP(B223,SWB!$C$15:$H$244,6,FALSE)</f>
        <v>#N/A</v>
      </c>
      <c r="E223" s="102">
        <f>VLOOKUP($B223,Clima!$W$8:$AI$1506,3,FALSE)</f>
        <v>39.799999999999997</v>
      </c>
      <c r="F223" s="102">
        <f>VLOOKUP($B223,Clima!$W$8:$AI$1506,4,FALSE)</f>
        <v>17.2</v>
      </c>
      <c r="G223" s="102">
        <f>VLOOKUP($B223,Clima!$W$8:$AI$1506,2,FALSE)</f>
        <v>27</v>
      </c>
      <c r="H223" s="102"/>
      <c r="I223" s="102"/>
      <c r="J223" s="102"/>
      <c r="K223" s="102"/>
      <c r="L223" s="102">
        <f>VLOOKUP($B223,Clima!$W$8:$AI$1506,12,FALSE)</f>
        <v>4.9000000000000004</v>
      </c>
      <c r="M223" s="102">
        <f t="shared" si="13"/>
        <v>4.9000000000000004</v>
      </c>
      <c r="N223" s="257" t="e">
        <f>VLOOKUP(B223,SWB!$C$15:$S$244,17,FALSE)</f>
        <v>#N/A</v>
      </c>
      <c r="O223" s="116"/>
      <c r="P223" s="116">
        <f>SWB!$M$4</f>
        <v>0.15</v>
      </c>
      <c r="Q223" s="257" t="e">
        <f>VLOOKUP(B223,SWB!$C$15:$AJ$244,34,FALSE)</f>
        <v>#N/A</v>
      </c>
      <c r="R223" s="257" t="e">
        <f>VLOOKUP(B223,SWB!$C$15:$V$244,20,FALSE)</f>
        <v>#N/A</v>
      </c>
      <c r="S223" s="116"/>
      <c r="T223" s="116"/>
      <c r="U223" s="116"/>
      <c r="V223" s="116"/>
      <c r="W223" s="116"/>
      <c r="X223" s="257"/>
      <c r="Y223" s="116"/>
      <c r="Z223" s="116"/>
      <c r="AA223" s="257"/>
      <c r="AB223" s="116"/>
      <c r="AC223" s="257"/>
      <c r="AD223" s="257"/>
      <c r="AE223" s="257"/>
      <c r="AF223" s="116"/>
      <c r="AG223" s="116"/>
      <c r="AH223" s="116"/>
      <c r="AI223" s="116"/>
      <c r="AJ223" s="116">
        <f>IFERROR(VLOOKUP($B223,SWB!C221:BE604,37,FALSE),0)</f>
        <v>0</v>
      </c>
      <c r="AK223" s="116"/>
      <c r="AL223" s="116">
        <f>IFERROR(VLOOKUP($B223,SWB!C221:BE604,38,FALSE),0)</f>
        <v>0</v>
      </c>
      <c r="AM223" s="116"/>
      <c r="AN223" s="257"/>
      <c r="AO223" s="257"/>
      <c r="AP223" s="257"/>
      <c r="AQ223" s="257"/>
      <c r="AR223" s="116">
        <f t="shared" si="14"/>
        <v>270</v>
      </c>
      <c r="AS223" s="116"/>
      <c r="AT223" s="116"/>
      <c r="AU223" s="116"/>
      <c r="AV223" s="116"/>
      <c r="AW223" s="116"/>
      <c r="AX223" s="116"/>
      <c r="AY223" s="116"/>
      <c r="AZ223" s="116"/>
      <c r="BA223" s="116"/>
      <c r="BB223" s="116"/>
    </row>
    <row r="224" spans="2:54">
      <c r="B224" s="69">
        <f t="shared" si="12"/>
        <v>42223</v>
      </c>
      <c r="D224" s="116" t="e">
        <f>VLOOKUP(B224,SWB!$C$15:$H$244,6,FALSE)</f>
        <v>#N/A</v>
      </c>
      <c r="E224" s="102">
        <f>VLOOKUP($B224,Clima!$W$8:$AI$1506,3,FALSE)</f>
        <v>36.799999999999997</v>
      </c>
      <c r="F224" s="102">
        <f>VLOOKUP($B224,Clima!$W$8:$AI$1506,4,FALSE)</f>
        <v>19.7</v>
      </c>
      <c r="G224" s="102">
        <f>VLOOKUP($B224,Clima!$W$8:$AI$1506,2,FALSE)</f>
        <v>26.4</v>
      </c>
      <c r="H224" s="102"/>
      <c r="I224" s="102"/>
      <c r="J224" s="102"/>
      <c r="K224" s="102"/>
      <c r="L224" s="102">
        <f>VLOOKUP($B224,Clima!$W$8:$AI$1506,12,FALSE)</f>
        <v>0</v>
      </c>
      <c r="M224" s="102">
        <f t="shared" si="13"/>
        <v>0</v>
      </c>
      <c r="N224" s="257" t="e">
        <f>VLOOKUP(B224,SWB!$C$15:$S$244,17,FALSE)</f>
        <v>#N/A</v>
      </c>
      <c r="O224" s="116"/>
      <c r="P224" s="116">
        <f>SWB!$M$4</f>
        <v>0.15</v>
      </c>
      <c r="Q224" s="257" t="e">
        <f>VLOOKUP(B224,SWB!$C$15:$AJ$244,34,FALSE)</f>
        <v>#N/A</v>
      </c>
      <c r="R224" s="257" t="e">
        <f>VLOOKUP(B224,SWB!$C$15:$V$244,20,FALSE)</f>
        <v>#N/A</v>
      </c>
      <c r="S224" s="116"/>
      <c r="T224" s="116"/>
      <c r="U224" s="116"/>
      <c r="V224" s="116"/>
      <c r="W224" s="116"/>
      <c r="X224" s="257"/>
      <c r="Y224" s="116"/>
      <c r="Z224" s="116"/>
      <c r="AA224" s="257"/>
      <c r="AB224" s="116"/>
      <c r="AC224" s="257"/>
      <c r="AD224" s="257"/>
      <c r="AE224" s="257"/>
      <c r="AF224" s="116"/>
      <c r="AG224" s="116"/>
      <c r="AH224" s="116"/>
      <c r="AI224" s="116"/>
      <c r="AJ224" s="116">
        <f>IFERROR(VLOOKUP($B224,SWB!C222:BE605,37,FALSE),0)</f>
        <v>0</v>
      </c>
      <c r="AK224" s="116"/>
      <c r="AL224" s="116">
        <f>IFERROR(VLOOKUP($B224,SWB!C222:BE605,38,FALSE),0)</f>
        <v>0</v>
      </c>
      <c r="AM224" s="116"/>
      <c r="AN224" s="257"/>
      <c r="AO224" s="257"/>
      <c r="AP224" s="257"/>
      <c r="AQ224" s="257"/>
      <c r="AR224" s="116">
        <f t="shared" si="14"/>
        <v>270</v>
      </c>
      <c r="AS224" s="116"/>
      <c r="AT224" s="116"/>
      <c r="AU224" s="116"/>
      <c r="AV224" s="116"/>
      <c r="AW224" s="116"/>
      <c r="AX224" s="116"/>
      <c r="AY224" s="116"/>
      <c r="AZ224" s="116"/>
      <c r="BA224" s="116"/>
      <c r="BB224" s="116"/>
    </row>
    <row r="225" spans="2:54">
      <c r="B225" s="69">
        <f t="shared" si="12"/>
        <v>42224</v>
      </c>
      <c r="D225" s="116" t="e">
        <f>VLOOKUP(B225,SWB!$C$15:$H$244,6,FALSE)</f>
        <v>#N/A</v>
      </c>
      <c r="E225" s="102">
        <f>VLOOKUP($B225,Clima!$W$8:$AI$1506,3,FALSE)</f>
        <v>27.7</v>
      </c>
      <c r="F225" s="102">
        <f>VLOOKUP($B225,Clima!$W$8:$AI$1506,4,FALSE)</f>
        <v>18.399999999999999</v>
      </c>
      <c r="G225" s="102">
        <f>VLOOKUP($B225,Clima!$W$8:$AI$1506,2,FALSE)</f>
        <v>22.3</v>
      </c>
      <c r="H225" s="102"/>
      <c r="I225" s="102"/>
      <c r="J225" s="102"/>
      <c r="K225" s="102"/>
      <c r="L225" s="102">
        <f>VLOOKUP($B225,Clima!$W$8:$AI$1506,12,FALSE)</f>
        <v>0.4</v>
      </c>
      <c r="M225" s="102">
        <f t="shared" si="13"/>
        <v>0.4</v>
      </c>
      <c r="N225" s="257" t="e">
        <f>VLOOKUP(B225,SWB!$C$15:$S$244,17,FALSE)</f>
        <v>#N/A</v>
      </c>
      <c r="O225" s="116"/>
      <c r="P225" s="116">
        <f>SWB!$M$4</f>
        <v>0.15</v>
      </c>
      <c r="Q225" s="257" t="e">
        <f>VLOOKUP(B225,SWB!$C$15:$AJ$244,34,FALSE)</f>
        <v>#N/A</v>
      </c>
      <c r="R225" s="257" t="e">
        <f>VLOOKUP(B225,SWB!$C$15:$V$244,20,FALSE)</f>
        <v>#N/A</v>
      </c>
      <c r="S225" s="116"/>
      <c r="T225" s="116"/>
      <c r="U225" s="116"/>
      <c r="V225" s="116"/>
      <c r="W225" s="116"/>
      <c r="X225" s="257"/>
      <c r="Y225" s="116"/>
      <c r="Z225" s="116"/>
      <c r="AA225" s="257"/>
      <c r="AB225" s="116"/>
      <c r="AC225" s="257"/>
      <c r="AD225" s="257"/>
      <c r="AE225" s="257"/>
      <c r="AF225" s="116"/>
      <c r="AG225" s="116"/>
      <c r="AH225" s="116"/>
      <c r="AI225" s="116"/>
      <c r="AJ225" s="116">
        <f>IFERROR(VLOOKUP($B225,SWB!C223:BE606,37,FALSE),0)</f>
        <v>0</v>
      </c>
      <c r="AK225" s="116"/>
      <c r="AL225" s="116">
        <f>IFERROR(VLOOKUP($B225,SWB!C223:BE606,38,FALSE),0)</f>
        <v>0</v>
      </c>
      <c r="AM225" s="116"/>
      <c r="AN225" s="257"/>
      <c r="AO225" s="257"/>
      <c r="AP225" s="257"/>
      <c r="AQ225" s="257"/>
      <c r="AR225" s="116">
        <f t="shared" si="14"/>
        <v>270</v>
      </c>
      <c r="AS225" s="116"/>
      <c r="AT225" s="116"/>
      <c r="AU225" s="116"/>
      <c r="AV225" s="116"/>
      <c r="AW225" s="116"/>
      <c r="AX225" s="116"/>
      <c r="AY225" s="116"/>
      <c r="AZ225" s="116"/>
      <c r="BA225" s="116"/>
      <c r="BB225" s="116"/>
    </row>
    <row r="226" spans="2:54">
      <c r="B226" s="69">
        <f t="shared" si="12"/>
        <v>42225</v>
      </c>
      <c r="D226" s="116" t="e">
        <f>VLOOKUP(B226,SWB!$C$15:$H$244,6,FALSE)</f>
        <v>#N/A</v>
      </c>
      <c r="E226" s="102">
        <f>VLOOKUP($B226,Clima!$W$8:$AI$1506,3,FALSE)</f>
        <v>35.1</v>
      </c>
      <c r="F226" s="102">
        <f>VLOOKUP($B226,Clima!$W$8:$AI$1506,4,FALSE)</f>
        <v>17.7</v>
      </c>
      <c r="G226" s="102">
        <f>VLOOKUP($B226,Clima!$W$8:$AI$1506,2,FALSE)</f>
        <v>25.2</v>
      </c>
      <c r="H226" s="102"/>
      <c r="I226" s="102"/>
      <c r="J226" s="102"/>
      <c r="K226" s="102"/>
      <c r="L226" s="102">
        <f>VLOOKUP($B226,Clima!$W$8:$AI$1506,12,FALSE)</f>
        <v>0</v>
      </c>
      <c r="M226" s="102">
        <f t="shared" si="13"/>
        <v>0</v>
      </c>
      <c r="N226" s="257" t="e">
        <f>VLOOKUP(B226,SWB!$C$15:$S$244,17,FALSE)</f>
        <v>#N/A</v>
      </c>
      <c r="O226" s="116"/>
      <c r="P226" s="116">
        <f>SWB!$M$4</f>
        <v>0.15</v>
      </c>
      <c r="Q226" s="257" t="e">
        <f>VLOOKUP(B226,SWB!$C$15:$AJ$244,34,FALSE)</f>
        <v>#N/A</v>
      </c>
      <c r="R226" s="257" t="e">
        <f>VLOOKUP(B226,SWB!$C$15:$V$244,20,FALSE)</f>
        <v>#N/A</v>
      </c>
      <c r="S226" s="116"/>
      <c r="T226" s="116"/>
      <c r="U226" s="116"/>
      <c r="V226" s="116"/>
      <c r="W226" s="116"/>
      <c r="X226" s="257"/>
      <c r="Y226" s="116"/>
      <c r="Z226" s="116"/>
      <c r="AA226" s="257"/>
      <c r="AB226" s="116"/>
      <c r="AC226" s="257"/>
      <c r="AD226" s="257"/>
      <c r="AE226" s="257"/>
      <c r="AF226" s="116"/>
      <c r="AG226" s="116"/>
      <c r="AH226" s="116"/>
      <c r="AI226" s="116"/>
      <c r="AJ226" s="116">
        <f>IFERROR(VLOOKUP($B226,SWB!C224:BE607,37,FALSE),0)</f>
        <v>0</v>
      </c>
      <c r="AK226" s="116"/>
      <c r="AL226" s="116">
        <f>IFERROR(VLOOKUP($B226,SWB!C224:BE607,38,FALSE),0)</f>
        <v>0</v>
      </c>
      <c r="AM226" s="116"/>
      <c r="AN226" s="257"/>
      <c r="AO226" s="257"/>
      <c r="AP226" s="257"/>
      <c r="AQ226" s="257"/>
      <c r="AR226" s="116">
        <f t="shared" si="14"/>
        <v>270</v>
      </c>
      <c r="AS226" s="116"/>
      <c r="AT226" s="116"/>
      <c r="AU226" s="116"/>
      <c r="AV226" s="116"/>
      <c r="AW226" s="116"/>
      <c r="AX226" s="116"/>
      <c r="AY226" s="116"/>
      <c r="AZ226" s="116"/>
      <c r="BA226" s="116"/>
      <c r="BB226" s="116"/>
    </row>
    <row r="227" spans="2:54">
      <c r="B227" s="69">
        <f t="shared" si="12"/>
        <v>42226</v>
      </c>
      <c r="D227" s="116" t="e">
        <f>VLOOKUP(B227,SWB!$C$15:$H$244,6,FALSE)</f>
        <v>#N/A</v>
      </c>
      <c r="E227" s="102">
        <f>VLOOKUP($B227,Clima!$W$8:$AI$1506,3,FALSE)</f>
        <v>35.799999999999997</v>
      </c>
      <c r="F227" s="102">
        <f>VLOOKUP($B227,Clima!$W$8:$AI$1506,4,FALSE)</f>
        <v>17.3</v>
      </c>
      <c r="G227" s="102">
        <f>VLOOKUP($B227,Clima!$W$8:$AI$1506,2,FALSE)</f>
        <v>26.1</v>
      </c>
      <c r="H227" s="102"/>
      <c r="I227" s="102"/>
      <c r="J227" s="102"/>
      <c r="K227" s="102"/>
      <c r="L227" s="102">
        <f>VLOOKUP($B227,Clima!$W$8:$AI$1506,12,FALSE)</f>
        <v>0</v>
      </c>
      <c r="M227" s="102">
        <f t="shared" si="13"/>
        <v>0</v>
      </c>
      <c r="N227" s="257" t="e">
        <f>VLOOKUP(B227,SWB!$C$15:$S$244,17,FALSE)</f>
        <v>#N/A</v>
      </c>
      <c r="O227" s="116"/>
      <c r="P227" s="116">
        <f>SWB!$M$4</f>
        <v>0.15</v>
      </c>
      <c r="Q227" s="257" t="e">
        <f>VLOOKUP(B227,SWB!$C$15:$AJ$244,34,FALSE)</f>
        <v>#N/A</v>
      </c>
      <c r="R227" s="257" t="e">
        <f>VLOOKUP(B227,SWB!$C$15:$V$244,20,FALSE)</f>
        <v>#N/A</v>
      </c>
      <c r="S227" s="116"/>
      <c r="T227" s="116"/>
      <c r="U227" s="116"/>
      <c r="V227" s="116"/>
      <c r="W227" s="116"/>
      <c r="X227" s="257"/>
      <c r="Y227" s="116"/>
      <c r="Z227" s="116"/>
      <c r="AA227" s="257"/>
      <c r="AB227" s="116"/>
      <c r="AC227" s="257"/>
      <c r="AD227" s="257"/>
      <c r="AE227" s="257"/>
      <c r="AF227" s="116"/>
      <c r="AG227" s="116"/>
      <c r="AH227" s="116"/>
      <c r="AI227" s="116"/>
      <c r="AJ227" s="116">
        <f>IFERROR(VLOOKUP($B227,SWB!C225:BE608,37,FALSE),0)</f>
        <v>0</v>
      </c>
      <c r="AK227" s="116"/>
      <c r="AL227" s="116">
        <f>IFERROR(VLOOKUP($B227,SWB!C225:BE608,38,FALSE),0)</f>
        <v>0</v>
      </c>
      <c r="AM227" s="116"/>
      <c r="AN227" s="257"/>
      <c r="AO227" s="257"/>
      <c r="AP227" s="257"/>
      <c r="AQ227" s="257"/>
      <c r="AR227" s="116">
        <f t="shared" si="14"/>
        <v>270</v>
      </c>
      <c r="AS227" s="116"/>
      <c r="AT227" s="116"/>
      <c r="AU227" s="116"/>
      <c r="AV227" s="116"/>
      <c r="AW227" s="116"/>
      <c r="AX227" s="116"/>
      <c r="AY227" s="116"/>
      <c r="AZ227" s="116"/>
      <c r="BA227" s="116"/>
      <c r="BB227" s="116"/>
    </row>
    <row r="228" spans="2:54">
      <c r="B228" s="69">
        <f t="shared" si="12"/>
        <v>42227</v>
      </c>
      <c r="D228" s="116" t="e">
        <f>VLOOKUP(B228,SWB!$C$15:$H$244,6,FALSE)</f>
        <v>#N/A</v>
      </c>
      <c r="E228" s="102">
        <f>VLOOKUP($B228,Clima!$W$8:$AI$1506,3,FALSE)</f>
        <v>35.299999999999997</v>
      </c>
      <c r="F228" s="102">
        <f>VLOOKUP($B228,Clima!$W$8:$AI$1506,4,FALSE)</f>
        <v>19.100000000000001</v>
      </c>
      <c r="G228" s="102">
        <f>VLOOKUP($B228,Clima!$W$8:$AI$1506,2,FALSE)</f>
        <v>26.5</v>
      </c>
      <c r="H228" s="102"/>
      <c r="I228" s="102"/>
      <c r="J228" s="102"/>
      <c r="K228" s="102"/>
      <c r="L228" s="102">
        <f>VLOOKUP($B228,Clima!$W$8:$AI$1506,12,FALSE)</f>
        <v>0</v>
      </c>
      <c r="M228" s="102">
        <f t="shared" si="13"/>
        <v>0</v>
      </c>
      <c r="N228" s="257" t="e">
        <f>VLOOKUP(B228,SWB!$C$15:$S$244,17,FALSE)</f>
        <v>#N/A</v>
      </c>
      <c r="O228" s="116"/>
      <c r="P228" s="116">
        <f>SWB!$M$4</f>
        <v>0.15</v>
      </c>
      <c r="Q228" s="257" t="e">
        <f>VLOOKUP(B228,SWB!$C$15:$AJ$244,34,FALSE)</f>
        <v>#N/A</v>
      </c>
      <c r="R228" s="257" t="e">
        <f>VLOOKUP(B228,SWB!$C$15:$V$244,20,FALSE)</f>
        <v>#N/A</v>
      </c>
      <c r="S228" s="116"/>
      <c r="T228" s="116"/>
      <c r="U228" s="116"/>
      <c r="V228" s="116"/>
      <c r="W228" s="116"/>
      <c r="X228" s="257"/>
      <c r="Y228" s="116"/>
      <c r="Z228" s="116"/>
      <c r="AA228" s="257"/>
      <c r="AB228" s="116"/>
      <c r="AC228" s="257"/>
      <c r="AD228" s="257"/>
      <c r="AE228" s="257"/>
      <c r="AF228" s="116"/>
      <c r="AG228" s="116"/>
      <c r="AH228" s="116"/>
      <c r="AI228" s="116"/>
      <c r="AJ228" s="116">
        <f>IFERROR(VLOOKUP($B228,SWB!C226:BE609,37,FALSE),0)</f>
        <v>0</v>
      </c>
      <c r="AK228" s="116"/>
      <c r="AL228" s="116">
        <f>IFERROR(VLOOKUP($B228,SWB!C226:BE609,38,FALSE),0)</f>
        <v>0</v>
      </c>
      <c r="AM228" s="116"/>
      <c r="AN228" s="257"/>
      <c r="AO228" s="257"/>
      <c r="AP228" s="257"/>
      <c r="AQ228" s="257"/>
      <c r="AR228" s="116">
        <f t="shared" si="14"/>
        <v>270</v>
      </c>
      <c r="AS228" s="116"/>
      <c r="AT228" s="116"/>
      <c r="AU228" s="116"/>
      <c r="AV228" s="116"/>
      <c r="AW228" s="116"/>
      <c r="AX228" s="116"/>
      <c r="AY228" s="116"/>
      <c r="AZ228" s="116"/>
      <c r="BA228" s="116"/>
      <c r="BB228" s="116"/>
    </row>
    <row r="229" spans="2:54">
      <c r="B229" s="69">
        <f t="shared" si="12"/>
        <v>42228</v>
      </c>
      <c r="D229" s="116" t="e">
        <f>VLOOKUP(B229,SWB!$C$15:$H$244,6,FALSE)</f>
        <v>#N/A</v>
      </c>
      <c r="E229" s="102">
        <f>VLOOKUP($B229,Clima!$W$8:$AI$1506,3,FALSE)</f>
        <v>37.1</v>
      </c>
      <c r="F229" s="102">
        <f>VLOOKUP($B229,Clima!$W$8:$AI$1506,4,FALSE)</f>
        <v>17.8</v>
      </c>
      <c r="G229" s="102">
        <f>VLOOKUP($B229,Clima!$W$8:$AI$1506,2,FALSE)</f>
        <v>27.1</v>
      </c>
      <c r="H229" s="102"/>
      <c r="I229" s="102"/>
      <c r="J229" s="102"/>
      <c r="K229" s="102"/>
      <c r="L229" s="102">
        <f>VLOOKUP($B229,Clima!$W$8:$AI$1506,12,FALSE)</f>
        <v>0</v>
      </c>
      <c r="M229" s="102">
        <f t="shared" si="13"/>
        <v>0</v>
      </c>
      <c r="N229" s="257" t="e">
        <f>VLOOKUP(B229,SWB!$C$15:$S$244,17,FALSE)</f>
        <v>#N/A</v>
      </c>
      <c r="O229" s="116"/>
      <c r="P229" s="116">
        <f>SWB!$M$4</f>
        <v>0.15</v>
      </c>
      <c r="Q229" s="257" t="e">
        <f>VLOOKUP(B229,SWB!$C$15:$AJ$244,34,FALSE)</f>
        <v>#N/A</v>
      </c>
      <c r="R229" s="257" t="e">
        <f>VLOOKUP(B229,SWB!$C$15:$V$244,20,FALSE)</f>
        <v>#N/A</v>
      </c>
      <c r="S229" s="116"/>
      <c r="T229" s="116"/>
      <c r="U229" s="116"/>
      <c r="V229" s="116"/>
      <c r="W229" s="116"/>
      <c r="X229" s="257"/>
      <c r="Y229" s="116"/>
      <c r="Z229" s="116"/>
      <c r="AA229" s="257"/>
      <c r="AB229" s="116"/>
      <c r="AC229" s="257"/>
      <c r="AD229" s="257"/>
      <c r="AE229" s="257"/>
      <c r="AF229" s="116"/>
      <c r="AG229" s="116"/>
      <c r="AH229" s="116"/>
      <c r="AI229" s="116"/>
      <c r="AJ229" s="116">
        <f>IFERROR(VLOOKUP($B229,SWB!C227:BE610,37,FALSE),0)</f>
        <v>0</v>
      </c>
      <c r="AK229" s="116"/>
      <c r="AL229" s="116">
        <f>IFERROR(VLOOKUP($B229,SWB!C227:BE610,38,FALSE),0)</f>
        <v>0</v>
      </c>
      <c r="AM229" s="116"/>
      <c r="AN229" s="257"/>
      <c r="AO229" s="257"/>
      <c r="AP229" s="257"/>
      <c r="AQ229" s="257"/>
      <c r="AR229" s="116">
        <f t="shared" si="14"/>
        <v>270</v>
      </c>
      <c r="AS229" s="116"/>
      <c r="AT229" s="116"/>
      <c r="AU229" s="116"/>
      <c r="AV229" s="116"/>
      <c r="AW229" s="116"/>
      <c r="AX229" s="116"/>
      <c r="AY229" s="116"/>
      <c r="AZ229" s="116"/>
      <c r="BA229" s="116"/>
      <c r="BB229" s="116"/>
    </row>
    <row r="230" spans="2:54">
      <c r="B230" s="69">
        <f t="shared" si="12"/>
        <v>42229</v>
      </c>
      <c r="D230" s="116" t="e">
        <f>VLOOKUP(B230,SWB!$C$15:$H$244,6,FALSE)</f>
        <v>#N/A</v>
      </c>
      <c r="E230" s="102">
        <f>VLOOKUP($B230,Clima!$W$8:$AI$1506,3,FALSE)</f>
        <v>30</v>
      </c>
      <c r="F230" s="102">
        <f>VLOOKUP($B230,Clima!$W$8:$AI$1506,4,FALSE)</f>
        <v>16.3</v>
      </c>
      <c r="G230" s="102">
        <f>VLOOKUP($B230,Clima!$W$8:$AI$1506,2,FALSE)</f>
        <v>22.9</v>
      </c>
      <c r="H230" s="102"/>
      <c r="I230" s="102"/>
      <c r="J230" s="102"/>
      <c r="K230" s="102"/>
      <c r="L230" s="102">
        <f>VLOOKUP($B230,Clima!$W$8:$AI$1506,12,FALSE)</f>
        <v>0</v>
      </c>
      <c r="M230" s="102">
        <f t="shared" si="13"/>
        <v>0</v>
      </c>
      <c r="N230" s="257" t="e">
        <f>VLOOKUP(B230,SWB!$C$15:$S$244,17,FALSE)</f>
        <v>#N/A</v>
      </c>
      <c r="O230" s="116"/>
      <c r="P230" s="116">
        <f>SWB!$M$4</f>
        <v>0.15</v>
      </c>
      <c r="Q230" s="257" t="e">
        <f>VLOOKUP(B230,SWB!$C$15:$AJ$244,34,FALSE)</f>
        <v>#N/A</v>
      </c>
      <c r="R230" s="257" t="e">
        <f>VLOOKUP(B230,SWB!$C$15:$V$244,20,FALSE)</f>
        <v>#N/A</v>
      </c>
      <c r="S230" s="116"/>
      <c r="T230" s="116"/>
      <c r="U230" s="116"/>
      <c r="V230" s="116"/>
      <c r="W230" s="116"/>
      <c r="X230" s="257"/>
      <c r="Y230" s="116"/>
      <c r="Z230" s="116"/>
      <c r="AA230" s="257"/>
      <c r="AB230" s="116"/>
      <c r="AC230" s="257"/>
      <c r="AD230" s="257"/>
      <c r="AE230" s="257"/>
      <c r="AF230" s="116"/>
      <c r="AG230" s="116"/>
      <c r="AH230" s="116"/>
      <c r="AI230" s="116"/>
      <c r="AJ230" s="116">
        <f>IFERROR(VLOOKUP($B230,SWB!C228:BE611,37,FALSE),0)</f>
        <v>0</v>
      </c>
      <c r="AK230" s="116"/>
      <c r="AL230" s="116">
        <f>IFERROR(VLOOKUP($B230,SWB!C228:BE611,38,FALSE),0)</f>
        <v>0</v>
      </c>
      <c r="AM230" s="116"/>
      <c r="AN230" s="257"/>
      <c r="AO230" s="257"/>
      <c r="AP230" s="257"/>
      <c r="AQ230" s="257"/>
      <c r="AR230" s="116">
        <f t="shared" si="14"/>
        <v>270</v>
      </c>
      <c r="AS230" s="116"/>
      <c r="AT230" s="116"/>
      <c r="AU230" s="116"/>
      <c r="AV230" s="116"/>
      <c r="AW230" s="116"/>
      <c r="AX230" s="116"/>
      <c r="AY230" s="116"/>
      <c r="AZ230" s="116"/>
      <c r="BA230" s="116"/>
      <c r="BB230" s="116"/>
    </row>
    <row r="231" spans="2:54">
      <c r="B231" s="69">
        <f t="shared" si="12"/>
        <v>42230</v>
      </c>
      <c r="D231" s="116" t="e">
        <f>VLOOKUP(B231,SWB!$C$15:$H$244,6,FALSE)</f>
        <v>#N/A</v>
      </c>
      <c r="E231" s="102">
        <f>VLOOKUP($B231,Clima!$W$8:$AI$1506,3,FALSE)</f>
        <v>27.7</v>
      </c>
      <c r="F231" s="102">
        <f>VLOOKUP($B231,Clima!$W$8:$AI$1506,4,FALSE)</f>
        <v>14.4</v>
      </c>
      <c r="G231" s="102">
        <f>VLOOKUP($B231,Clima!$W$8:$AI$1506,2,FALSE)</f>
        <v>21.3</v>
      </c>
      <c r="H231" s="102"/>
      <c r="I231" s="102"/>
      <c r="J231" s="102"/>
      <c r="K231" s="102"/>
      <c r="L231" s="102">
        <f>VLOOKUP($B231,Clima!$W$8:$AI$1506,12,FALSE)</f>
        <v>0</v>
      </c>
      <c r="M231" s="102">
        <f t="shared" si="13"/>
        <v>0</v>
      </c>
      <c r="N231" s="257" t="e">
        <f>VLOOKUP(B231,SWB!$C$15:$S$244,17,FALSE)</f>
        <v>#N/A</v>
      </c>
      <c r="O231" s="116"/>
      <c r="P231" s="116">
        <f>SWB!$M$4</f>
        <v>0.15</v>
      </c>
      <c r="Q231" s="257" t="e">
        <f>VLOOKUP(B231,SWB!$C$15:$AJ$244,34,FALSE)</f>
        <v>#N/A</v>
      </c>
      <c r="R231" s="257" t="e">
        <f>VLOOKUP(B231,SWB!$C$15:$V$244,20,FALSE)</f>
        <v>#N/A</v>
      </c>
      <c r="S231" s="116"/>
      <c r="T231" s="116"/>
      <c r="U231" s="116"/>
      <c r="V231" s="116"/>
      <c r="W231" s="116"/>
      <c r="X231" s="257"/>
      <c r="Y231" s="116"/>
      <c r="Z231" s="116"/>
      <c r="AA231" s="257"/>
      <c r="AB231" s="116"/>
      <c r="AC231" s="257"/>
      <c r="AD231" s="257"/>
      <c r="AE231" s="257"/>
      <c r="AF231" s="116"/>
      <c r="AG231" s="116"/>
      <c r="AH231" s="116"/>
      <c r="AI231" s="116"/>
      <c r="AJ231" s="116">
        <f>IFERROR(VLOOKUP($B231,SWB!C229:BE612,37,FALSE),0)</f>
        <v>0</v>
      </c>
      <c r="AK231" s="116"/>
      <c r="AL231" s="116">
        <f>IFERROR(VLOOKUP($B231,SWB!C229:BE612,38,FALSE),0)</f>
        <v>0</v>
      </c>
      <c r="AM231" s="116"/>
      <c r="AN231" s="257"/>
      <c r="AO231" s="257"/>
      <c r="AP231" s="257"/>
      <c r="AQ231" s="257"/>
      <c r="AR231" s="116">
        <f t="shared" si="14"/>
        <v>270</v>
      </c>
      <c r="AS231" s="116"/>
      <c r="AT231" s="116"/>
      <c r="AU231" s="116"/>
      <c r="AV231" s="116"/>
      <c r="AW231" s="116"/>
      <c r="AX231" s="116"/>
      <c r="AY231" s="116"/>
      <c r="AZ231" s="116"/>
      <c r="BA231" s="116"/>
      <c r="BB231" s="116"/>
    </row>
    <row r="232" spans="2:54">
      <c r="B232" s="69">
        <f t="shared" si="12"/>
        <v>42231</v>
      </c>
      <c r="D232" s="116" t="e">
        <f>VLOOKUP(B232,SWB!$C$15:$H$244,6,FALSE)</f>
        <v>#N/A</v>
      </c>
      <c r="E232" s="102">
        <f>VLOOKUP($B232,Clima!$W$8:$AI$1506,3,FALSE)</f>
        <v>28.2</v>
      </c>
      <c r="F232" s="102">
        <f>VLOOKUP($B232,Clima!$W$8:$AI$1506,4,FALSE)</f>
        <v>15.6</v>
      </c>
      <c r="G232" s="102">
        <f>VLOOKUP($B232,Clima!$W$8:$AI$1506,2,FALSE)</f>
        <v>21.6</v>
      </c>
      <c r="H232" s="102"/>
      <c r="I232" s="102"/>
      <c r="J232" s="102"/>
      <c r="K232" s="102"/>
      <c r="L232" s="102">
        <f>VLOOKUP($B232,Clima!$W$8:$AI$1506,12,FALSE)</f>
        <v>0</v>
      </c>
      <c r="M232" s="102">
        <f t="shared" si="13"/>
        <v>0</v>
      </c>
      <c r="N232" s="257" t="e">
        <f>VLOOKUP(B232,SWB!$C$15:$S$244,17,FALSE)</f>
        <v>#N/A</v>
      </c>
      <c r="O232" s="116"/>
      <c r="P232" s="116">
        <f>SWB!$M$4</f>
        <v>0.15</v>
      </c>
      <c r="Q232" s="257" t="e">
        <f>VLOOKUP(B232,SWB!$C$15:$AJ$244,34,FALSE)</f>
        <v>#N/A</v>
      </c>
      <c r="R232" s="257" t="e">
        <f>VLOOKUP(B232,SWB!$C$15:$V$244,20,FALSE)</f>
        <v>#N/A</v>
      </c>
      <c r="S232" s="116"/>
      <c r="T232" s="116"/>
      <c r="U232" s="116"/>
      <c r="V232" s="116"/>
      <c r="W232" s="116"/>
      <c r="X232" s="257"/>
      <c r="Y232" s="116"/>
      <c r="Z232" s="116"/>
      <c r="AA232" s="257"/>
      <c r="AB232" s="116"/>
      <c r="AC232" s="257"/>
      <c r="AD232" s="257"/>
      <c r="AE232" s="257"/>
      <c r="AF232" s="116"/>
      <c r="AG232" s="116"/>
      <c r="AH232" s="116"/>
      <c r="AI232" s="116"/>
      <c r="AJ232" s="116">
        <f>IFERROR(VLOOKUP($B232,SWB!C230:BE613,37,FALSE),0)</f>
        <v>0</v>
      </c>
      <c r="AK232" s="116"/>
      <c r="AL232" s="116">
        <f>IFERROR(VLOOKUP($B232,SWB!C230:BE613,38,FALSE),0)</f>
        <v>0</v>
      </c>
      <c r="AM232" s="116"/>
      <c r="AN232" s="257"/>
      <c r="AO232" s="257"/>
      <c r="AP232" s="257"/>
      <c r="AQ232" s="257"/>
      <c r="AR232" s="116">
        <f t="shared" si="14"/>
        <v>270</v>
      </c>
      <c r="AS232" s="116"/>
      <c r="AT232" s="116"/>
      <c r="AU232" s="116"/>
      <c r="AV232" s="116"/>
      <c r="AW232" s="116"/>
      <c r="AX232" s="116"/>
      <c r="AY232" s="116"/>
      <c r="AZ232" s="116"/>
      <c r="BA232" s="116"/>
      <c r="BB232" s="116"/>
    </row>
    <row r="233" spans="2:54">
      <c r="B233" s="69">
        <f t="shared" si="12"/>
        <v>42232</v>
      </c>
      <c r="D233" s="116" t="e">
        <f>VLOOKUP(B233,SWB!$C$15:$H$244,6,FALSE)</f>
        <v>#N/A</v>
      </c>
      <c r="E233" s="102">
        <f>VLOOKUP($B233,Clima!$W$8:$AI$1506,3,FALSE)</f>
        <v>30.6</v>
      </c>
      <c r="F233" s="102">
        <f>VLOOKUP($B233,Clima!$W$8:$AI$1506,4,FALSE)</f>
        <v>12.3</v>
      </c>
      <c r="G233" s="102">
        <f>VLOOKUP($B233,Clima!$W$8:$AI$1506,2,FALSE)</f>
        <v>21.8</v>
      </c>
      <c r="H233" s="102"/>
      <c r="I233" s="102"/>
      <c r="J233" s="102"/>
      <c r="K233" s="102"/>
      <c r="L233" s="102">
        <f>VLOOKUP($B233,Clima!$W$8:$AI$1506,12,FALSE)</f>
        <v>0</v>
      </c>
      <c r="M233" s="102">
        <f t="shared" si="13"/>
        <v>0</v>
      </c>
      <c r="N233" s="257" t="e">
        <f>VLOOKUP(B233,SWB!$C$15:$S$244,17,FALSE)</f>
        <v>#N/A</v>
      </c>
      <c r="O233" s="116"/>
      <c r="P233" s="116">
        <f>SWB!$M$4</f>
        <v>0.15</v>
      </c>
      <c r="Q233" s="257" t="e">
        <f>VLOOKUP(B233,SWB!$C$15:$AJ$244,34,FALSE)</f>
        <v>#N/A</v>
      </c>
      <c r="R233" s="257" t="e">
        <f>VLOOKUP(B233,SWB!$C$15:$V$244,20,FALSE)</f>
        <v>#N/A</v>
      </c>
      <c r="S233" s="116"/>
      <c r="T233" s="116"/>
      <c r="U233" s="116"/>
      <c r="V233" s="116"/>
      <c r="W233" s="116"/>
      <c r="X233" s="257"/>
      <c r="Y233" s="116"/>
      <c r="Z233" s="116"/>
      <c r="AA233" s="257"/>
      <c r="AB233" s="116"/>
      <c r="AC233" s="257"/>
      <c r="AD233" s="257"/>
      <c r="AE233" s="257"/>
      <c r="AF233" s="116"/>
      <c r="AG233" s="116"/>
      <c r="AH233" s="116"/>
      <c r="AI233" s="116"/>
      <c r="AJ233" s="116">
        <f>IFERROR(VLOOKUP($B233,SWB!C231:BE614,37,FALSE),0)</f>
        <v>0</v>
      </c>
      <c r="AK233" s="116"/>
      <c r="AL233" s="116">
        <f>IFERROR(VLOOKUP($B233,SWB!C231:BE614,38,FALSE),0)</f>
        <v>0</v>
      </c>
      <c r="AM233" s="116"/>
      <c r="AN233" s="257"/>
      <c r="AO233" s="257"/>
      <c r="AP233" s="257"/>
      <c r="AQ233" s="257"/>
      <c r="AR233" s="116">
        <f t="shared" si="14"/>
        <v>270</v>
      </c>
      <c r="AS233" s="116"/>
      <c r="AT233" s="116"/>
      <c r="AU233" s="116"/>
      <c r="AV233" s="116"/>
      <c r="AW233" s="116"/>
      <c r="AX233" s="116"/>
      <c r="AY233" s="116"/>
      <c r="AZ233" s="116"/>
      <c r="BA233" s="116"/>
      <c r="BB233" s="116"/>
    </row>
    <row r="234" spans="2:54">
      <c r="B234" s="69">
        <f t="shared" si="12"/>
        <v>42233</v>
      </c>
      <c r="D234" s="116" t="e">
        <f>VLOOKUP(B234,SWB!$C$15:$H$244,6,FALSE)</f>
        <v>#N/A</v>
      </c>
      <c r="E234" s="102">
        <f>VLOOKUP($B234,Clima!$W$8:$AI$1506,3,FALSE)</f>
        <v>31.8</v>
      </c>
      <c r="F234" s="102">
        <f>VLOOKUP($B234,Clima!$W$8:$AI$1506,4,FALSE)</f>
        <v>19.600000000000001</v>
      </c>
      <c r="G234" s="102">
        <f>VLOOKUP($B234,Clima!$W$8:$AI$1506,2,FALSE)</f>
        <v>25.3</v>
      </c>
      <c r="H234" s="102"/>
      <c r="I234" s="102"/>
      <c r="J234" s="102"/>
      <c r="K234" s="102"/>
      <c r="L234" s="102">
        <f>VLOOKUP($B234,Clima!$W$8:$AI$1506,12,FALSE)</f>
        <v>0</v>
      </c>
      <c r="M234" s="102">
        <f t="shared" si="13"/>
        <v>0</v>
      </c>
      <c r="N234" s="257" t="e">
        <f>VLOOKUP(B234,SWB!$C$15:$S$244,17,FALSE)</f>
        <v>#N/A</v>
      </c>
      <c r="O234" s="116"/>
      <c r="P234" s="116">
        <f>SWB!$M$4</f>
        <v>0.15</v>
      </c>
      <c r="Q234" s="257" t="e">
        <f>VLOOKUP(B234,SWB!$C$15:$AJ$244,34,FALSE)</f>
        <v>#N/A</v>
      </c>
      <c r="R234" s="257" t="e">
        <f>VLOOKUP(B234,SWB!$C$15:$V$244,20,FALSE)</f>
        <v>#N/A</v>
      </c>
      <c r="S234" s="116"/>
      <c r="T234" s="116"/>
      <c r="U234" s="116"/>
      <c r="V234" s="116"/>
      <c r="W234" s="116"/>
      <c r="X234" s="257"/>
      <c r="Y234" s="116"/>
      <c r="Z234" s="116"/>
      <c r="AA234" s="257"/>
      <c r="AB234" s="116"/>
      <c r="AC234" s="257"/>
      <c r="AD234" s="257"/>
      <c r="AE234" s="257"/>
      <c r="AF234" s="116"/>
      <c r="AG234" s="116"/>
      <c r="AH234" s="116"/>
      <c r="AI234" s="116"/>
      <c r="AJ234" s="116">
        <f>IFERROR(VLOOKUP($B234,SWB!C232:BE615,37,FALSE),0)</f>
        <v>0</v>
      </c>
      <c r="AK234" s="116"/>
      <c r="AL234" s="116">
        <f>IFERROR(VLOOKUP($B234,SWB!C232:BE615,38,FALSE),0)</f>
        <v>0</v>
      </c>
      <c r="AM234" s="116"/>
      <c r="AN234" s="257"/>
      <c r="AO234" s="257"/>
      <c r="AP234" s="257"/>
      <c r="AQ234" s="257"/>
      <c r="AR234" s="116">
        <f t="shared" si="14"/>
        <v>270</v>
      </c>
      <c r="AS234" s="116"/>
      <c r="AT234" s="116"/>
      <c r="AU234" s="116"/>
      <c r="AV234" s="116"/>
      <c r="AW234" s="116"/>
      <c r="AX234" s="116"/>
      <c r="AY234" s="116"/>
      <c r="AZ234" s="116"/>
      <c r="BA234" s="116"/>
      <c r="BB234" s="116"/>
    </row>
    <row r="235" spans="2:54">
      <c r="B235" s="69">
        <f t="shared" si="12"/>
        <v>42234</v>
      </c>
      <c r="D235" s="116" t="e">
        <f>VLOOKUP(B235,SWB!$C$15:$H$244,6,FALSE)</f>
        <v>#N/A</v>
      </c>
      <c r="E235" s="102">
        <f>VLOOKUP($B235,Clima!$W$8:$AI$1506,3,FALSE)</f>
        <v>33</v>
      </c>
      <c r="F235" s="102">
        <f>VLOOKUP($B235,Clima!$W$8:$AI$1506,4,FALSE)</f>
        <v>17.100000000000001</v>
      </c>
      <c r="G235" s="102">
        <f>VLOOKUP($B235,Clima!$W$8:$AI$1506,2,FALSE)</f>
        <v>24</v>
      </c>
      <c r="H235" s="102"/>
      <c r="I235" s="102"/>
      <c r="J235" s="102"/>
      <c r="K235" s="102"/>
      <c r="L235" s="102">
        <f>VLOOKUP($B235,Clima!$W$8:$AI$1506,12,FALSE)</f>
        <v>0</v>
      </c>
      <c r="M235" s="102">
        <f t="shared" si="13"/>
        <v>0</v>
      </c>
      <c r="N235" s="257" t="e">
        <f>VLOOKUP(B235,SWB!$C$15:$S$244,17,FALSE)</f>
        <v>#N/A</v>
      </c>
      <c r="O235" s="116"/>
      <c r="P235" s="116">
        <f>SWB!$M$4</f>
        <v>0.15</v>
      </c>
      <c r="Q235" s="257" t="e">
        <f>VLOOKUP(B235,SWB!$C$15:$AJ$244,34,FALSE)</f>
        <v>#N/A</v>
      </c>
      <c r="R235" s="257" t="e">
        <f>VLOOKUP(B235,SWB!$C$15:$V$244,20,FALSE)</f>
        <v>#N/A</v>
      </c>
      <c r="S235" s="116"/>
      <c r="T235" s="116"/>
      <c r="U235" s="116"/>
      <c r="V235" s="116"/>
      <c r="W235" s="116"/>
      <c r="X235" s="257"/>
      <c r="Y235" s="116"/>
      <c r="Z235" s="116"/>
      <c r="AA235" s="257"/>
      <c r="AB235" s="116"/>
      <c r="AC235" s="257"/>
      <c r="AD235" s="257"/>
      <c r="AE235" s="257"/>
      <c r="AF235" s="116"/>
      <c r="AG235" s="116"/>
      <c r="AH235" s="116"/>
      <c r="AI235" s="116"/>
      <c r="AJ235" s="116">
        <f>IFERROR(VLOOKUP($B235,SWB!C233:BE616,37,FALSE),0)</f>
        <v>0</v>
      </c>
      <c r="AK235" s="116"/>
      <c r="AL235" s="116">
        <f>IFERROR(VLOOKUP($B235,SWB!C233:BE616,38,FALSE),0)</f>
        <v>0</v>
      </c>
      <c r="AM235" s="116"/>
      <c r="AN235" s="257"/>
      <c r="AO235" s="257"/>
      <c r="AP235" s="257"/>
      <c r="AQ235" s="257"/>
      <c r="AR235" s="116">
        <f t="shared" si="14"/>
        <v>270</v>
      </c>
      <c r="AS235" s="116"/>
      <c r="AT235" s="116"/>
      <c r="AU235" s="116"/>
      <c r="AV235" s="116"/>
      <c r="AW235" s="116"/>
      <c r="AX235" s="116"/>
      <c r="AY235" s="116"/>
      <c r="AZ235" s="116"/>
      <c r="BA235" s="116"/>
      <c r="BB235" s="116"/>
    </row>
    <row r="236" spans="2:54">
      <c r="B236" s="69">
        <f t="shared" si="12"/>
        <v>42235</v>
      </c>
      <c r="D236" s="116" t="e">
        <f>VLOOKUP(B236,SWB!$C$15:$H$244,6,FALSE)</f>
        <v>#N/A</v>
      </c>
      <c r="E236" s="102">
        <f>VLOOKUP($B236,Clima!$W$8:$AI$1506,3,FALSE)</f>
        <v>30.5</v>
      </c>
      <c r="F236" s="102">
        <f>VLOOKUP($B236,Clima!$W$8:$AI$1506,4,FALSE)</f>
        <v>20</v>
      </c>
      <c r="G236" s="102">
        <f>VLOOKUP($B236,Clima!$W$8:$AI$1506,2,FALSE)</f>
        <v>24.2</v>
      </c>
      <c r="H236" s="102"/>
      <c r="I236" s="102"/>
      <c r="J236" s="102"/>
      <c r="K236" s="102"/>
      <c r="L236" s="102">
        <f>VLOOKUP($B236,Clima!$W$8:$AI$1506,12,FALSE)</f>
        <v>0</v>
      </c>
      <c r="M236" s="102">
        <f t="shared" si="13"/>
        <v>0</v>
      </c>
      <c r="N236" s="257" t="e">
        <f>VLOOKUP(B236,SWB!$C$15:$S$244,17,FALSE)</f>
        <v>#N/A</v>
      </c>
      <c r="O236" s="116"/>
      <c r="P236" s="116">
        <f>SWB!$M$4</f>
        <v>0.15</v>
      </c>
      <c r="Q236" s="257" t="e">
        <f>VLOOKUP(B236,SWB!$C$15:$AJ$244,34,FALSE)</f>
        <v>#N/A</v>
      </c>
      <c r="R236" s="257" t="e">
        <f>VLOOKUP(B236,SWB!$C$15:$V$244,20,FALSE)</f>
        <v>#N/A</v>
      </c>
      <c r="S236" s="116"/>
      <c r="T236" s="116"/>
      <c r="U236" s="116"/>
      <c r="V236" s="116"/>
      <c r="W236" s="116"/>
      <c r="X236" s="257"/>
      <c r="Y236" s="116"/>
      <c r="Z236" s="116"/>
      <c r="AA236" s="257"/>
      <c r="AB236" s="116"/>
      <c r="AC236" s="257"/>
      <c r="AD236" s="257"/>
      <c r="AE236" s="257"/>
      <c r="AF236" s="116"/>
      <c r="AG236" s="116"/>
      <c r="AH236" s="116"/>
      <c r="AI236" s="116"/>
      <c r="AJ236" s="116">
        <f>IFERROR(VLOOKUP($B236,SWB!C234:BE617,37,FALSE),0)</f>
        <v>0</v>
      </c>
      <c r="AK236" s="116"/>
      <c r="AL236" s="116">
        <f>IFERROR(VLOOKUP($B236,SWB!C234:BE617,38,FALSE),0)</f>
        <v>0</v>
      </c>
      <c r="AM236" s="116"/>
      <c r="AN236" s="257"/>
      <c r="AO236" s="257"/>
      <c r="AP236" s="257"/>
      <c r="AQ236" s="257"/>
      <c r="AR236" s="116">
        <f t="shared" si="14"/>
        <v>270</v>
      </c>
      <c r="AS236" s="116"/>
      <c r="AT236" s="116"/>
      <c r="AU236" s="116"/>
      <c r="AV236" s="116"/>
      <c r="AW236" s="116"/>
      <c r="AX236" s="116"/>
      <c r="AY236" s="116"/>
      <c r="AZ236" s="116"/>
      <c r="BA236" s="116"/>
      <c r="BB236" s="116"/>
    </row>
    <row r="237" spans="2:54">
      <c r="B237" s="69">
        <f t="shared" si="12"/>
        <v>42236</v>
      </c>
      <c r="D237" s="116" t="e">
        <f>VLOOKUP(B237,SWB!$C$15:$H$244,6,FALSE)</f>
        <v>#N/A</v>
      </c>
      <c r="E237" s="102">
        <f>VLOOKUP($B237,Clima!$W$8:$AI$1506,3,FALSE)</f>
        <v>32.700000000000003</v>
      </c>
      <c r="F237" s="102">
        <f>VLOOKUP($B237,Clima!$W$8:$AI$1506,4,FALSE)</f>
        <v>19.8</v>
      </c>
      <c r="G237" s="102">
        <f>VLOOKUP($B237,Clima!$W$8:$AI$1506,2,FALSE)</f>
        <v>25.4</v>
      </c>
      <c r="H237" s="102"/>
      <c r="I237" s="102"/>
      <c r="J237" s="102"/>
      <c r="K237" s="102"/>
      <c r="L237" s="102">
        <f>VLOOKUP($B237,Clima!$W$8:$AI$1506,12,FALSE)</f>
        <v>0</v>
      </c>
      <c r="M237" s="102">
        <f t="shared" si="13"/>
        <v>0</v>
      </c>
      <c r="N237" s="257" t="e">
        <f>VLOOKUP(B237,SWB!$C$15:$S$244,17,FALSE)</f>
        <v>#N/A</v>
      </c>
      <c r="O237" s="116"/>
      <c r="P237" s="116">
        <f>SWB!$M$4</f>
        <v>0.15</v>
      </c>
      <c r="Q237" s="257" t="e">
        <f>VLOOKUP(B237,SWB!$C$15:$AJ$244,34,FALSE)</f>
        <v>#N/A</v>
      </c>
      <c r="R237" s="257" t="e">
        <f>VLOOKUP(B237,SWB!$C$15:$V$244,20,FALSE)</f>
        <v>#N/A</v>
      </c>
      <c r="S237" s="116"/>
      <c r="T237" s="116"/>
      <c r="U237" s="116"/>
      <c r="V237" s="116"/>
      <c r="W237" s="116"/>
      <c r="X237" s="257"/>
      <c r="Y237" s="116"/>
      <c r="Z237" s="116"/>
      <c r="AA237" s="257"/>
      <c r="AB237" s="116"/>
      <c r="AC237" s="257"/>
      <c r="AD237" s="257"/>
      <c r="AE237" s="257"/>
      <c r="AF237" s="116"/>
      <c r="AG237" s="116"/>
      <c r="AH237" s="116"/>
      <c r="AI237" s="116"/>
      <c r="AJ237" s="116">
        <f>IFERROR(VLOOKUP($B237,SWB!C235:BE618,37,FALSE),0)</f>
        <v>0</v>
      </c>
      <c r="AK237" s="116"/>
      <c r="AL237" s="116">
        <f>IFERROR(VLOOKUP($B237,SWB!C235:BE618,38,FALSE),0)</f>
        <v>0</v>
      </c>
      <c r="AM237" s="116"/>
      <c r="AN237" s="257"/>
      <c r="AO237" s="257"/>
      <c r="AP237" s="257"/>
      <c r="AQ237" s="257"/>
      <c r="AR237" s="116">
        <f t="shared" si="14"/>
        <v>270</v>
      </c>
      <c r="AS237" s="116"/>
      <c r="AT237" s="116"/>
      <c r="AU237" s="116"/>
      <c r="AV237" s="116"/>
      <c r="AW237" s="116"/>
      <c r="AX237" s="116"/>
      <c r="AY237" s="116"/>
      <c r="AZ237" s="116"/>
      <c r="BA237" s="116"/>
      <c r="BB237" s="116"/>
    </row>
    <row r="238" spans="2:54">
      <c r="B238" s="69">
        <f>B237+1</f>
        <v>42237</v>
      </c>
      <c r="D238" s="116" t="e">
        <f>VLOOKUP(B238,SWB!$C$15:$H$244,6,FALSE)</f>
        <v>#N/A</v>
      </c>
      <c r="E238" s="102">
        <f>VLOOKUP($B238,Clima!$W$8:$AI$1506,3,FALSE)</f>
        <v>32.9</v>
      </c>
      <c r="F238" s="102">
        <f>VLOOKUP($B238,Clima!$W$8:$AI$1506,4,FALSE)</f>
        <v>17.8</v>
      </c>
      <c r="G238" s="102">
        <f>VLOOKUP($B238,Clima!$W$8:$AI$1506,2,FALSE)</f>
        <v>24.7</v>
      </c>
      <c r="H238" s="102"/>
      <c r="I238" s="102"/>
      <c r="J238" s="102"/>
      <c r="K238" s="102"/>
      <c r="L238" s="102">
        <f>VLOOKUP($B238,Clima!$W$8:$AI$1506,12,FALSE)</f>
        <v>0</v>
      </c>
      <c r="M238" s="102">
        <f t="shared" si="13"/>
        <v>0</v>
      </c>
      <c r="N238" s="257" t="e">
        <f>VLOOKUP(B238,SWB!$C$15:$S$244,17,FALSE)</f>
        <v>#N/A</v>
      </c>
      <c r="O238" s="116"/>
      <c r="P238" s="116">
        <f>SWB!$M$4</f>
        <v>0.15</v>
      </c>
      <c r="Q238" s="257" t="e">
        <f>VLOOKUP(B238,SWB!$C$15:$AJ$244,34,FALSE)</f>
        <v>#N/A</v>
      </c>
      <c r="R238" s="257" t="e">
        <f>VLOOKUP(B238,SWB!$C$15:$V$244,20,FALSE)</f>
        <v>#N/A</v>
      </c>
      <c r="S238" s="116"/>
      <c r="T238" s="116"/>
      <c r="U238" s="116"/>
      <c r="V238" s="116"/>
      <c r="W238" s="116"/>
      <c r="X238" s="257"/>
      <c r="Y238" s="116"/>
      <c r="Z238" s="116"/>
      <c r="AA238" s="257"/>
      <c r="AB238" s="116"/>
      <c r="AC238" s="257"/>
      <c r="AD238" s="257"/>
      <c r="AE238" s="257"/>
      <c r="AF238" s="116"/>
      <c r="AG238" s="116"/>
      <c r="AH238" s="116"/>
      <c r="AI238" s="116"/>
      <c r="AJ238" s="116">
        <f>IFERROR(VLOOKUP($B238,SWB!C236:BE619,37,FALSE),0)</f>
        <v>0</v>
      </c>
      <c r="AK238" s="116"/>
      <c r="AL238" s="116">
        <f>IFERROR(VLOOKUP($B238,SWB!C236:BE619,38,FALSE),0)</f>
        <v>0</v>
      </c>
      <c r="AM238" s="116"/>
      <c r="AN238" s="257"/>
      <c r="AO238" s="257"/>
      <c r="AP238" s="257"/>
      <c r="AQ238" s="257"/>
      <c r="AR238" s="116">
        <f t="shared" si="14"/>
        <v>270</v>
      </c>
      <c r="AS238" s="116"/>
      <c r="AT238" s="116"/>
      <c r="AU238" s="116"/>
      <c r="AV238" s="116"/>
      <c r="AW238" s="116"/>
      <c r="AX238" s="116"/>
      <c r="AY238" s="116"/>
      <c r="AZ238" s="116"/>
      <c r="BA238" s="116"/>
      <c r="BB238" s="116"/>
    </row>
    <row r="239" spans="2:54">
      <c r="B239" s="69">
        <f t="shared" ref="B239:B246" si="15">B238+1</f>
        <v>42238</v>
      </c>
      <c r="D239" s="116" t="e">
        <f>VLOOKUP(B239,SWB!$C$15:$H$244,6,FALSE)</f>
        <v>#N/A</v>
      </c>
      <c r="E239" s="102">
        <f>VLOOKUP($B239,Clima!$W$8:$AI$1506,3,FALSE)</f>
        <v>31.4</v>
      </c>
      <c r="F239" s="102">
        <f>VLOOKUP($B239,Clima!$W$8:$AI$1506,4,FALSE)</f>
        <v>17.2</v>
      </c>
      <c r="G239" s="102">
        <f>VLOOKUP($B239,Clima!$W$8:$AI$1506,2,FALSE)</f>
        <v>22.9</v>
      </c>
      <c r="H239" s="102"/>
      <c r="I239" s="102"/>
      <c r="J239" s="102"/>
      <c r="K239" s="102"/>
      <c r="L239" s="102">
        <f>VLOOKUP($B239,Clima!$W$8:$AI$1506,12,FALSE)</f>
        <v>2</v>
      </c>
      <c r="M239" s="102">
        <f t="shared" si="13"/>
        <v>2</v>
      </c>
      <c r="N239" s="257" t="e">
        <f>VLOOKUP(B239,SWB!$C$15:$S$244,17,FALSE)</f>
        <v>#N/A</v>
      </c>
      <c r="O239" s="116"/>
      <c r="P239" s="116">
        <f>SWB!$M$4</f>
        <v>0.15</v>
      </c>
      <c r="Q239" s="257" t="e">
        <f>VLOOKUP(B239,SWB!$C$15:$AJ$244,34,FALSE)</f>
        <v>#N/A</v>
      </c>
      <c r="R239" s="257" t="e">
        <f>VLOOKUP(B239,SWB!$C$15:$V$244,20,FALSE)</f>
        <v>#N/A</v>
      </c>
      <c r="S239" s="116"/>
      <c r="T239" s="116"/>
      <c r="U239" s="116"/>
      <c r="V239" s="116"/>
      <c r="W239" s="116"/>
      <c r="X239" s="257"/>
      <c r="Y239" s="116"/>
      <c r="Z239" s="116"/>
      <c r="AA239" s="257"/>
      <c r="AB239" s="116"/>
      <c r="AC239" s="257"/>
      <c r="AD239" s="257"/>
      <c r="AE239" s="257"/>
      <c r="AF239" s="116"/>
      <c r="AG239" s="116"/>
      <c r="AH239" s="116"/>
      <c r="AI239" s="116"/>
      <c r="AJ239" s="116">
        <f>IFERROR(VLOOKUP($B239,SWB!C237:BE620,37,FALSE),0)</f>
        <v>0</v>
      </c>
      <c r="AK239" s="116"/>
      <c r="AL239" s="116">
        <f>IFERROR(VLOOKUP($B239,SWB!C237:BE620,38,FALSE),0)</f>
        <v>0</v>
      </c>
      <c r="AM239" s="116"/>
      <c r="AN239" s="257"/>
      <c r="AO239" s="257"/>
      <c r="AP239" s="257"/>
      <c r="AQ239" s="257"/>
      <c r="AR239" s="116">
        <f t="shared" si="14"/>
        <v>270</v>
      </c>
      <c r="AS239" s="116"/>
      <c r="AT239" s="116"/>
      <c r="AU239" s="116"/>
      <c r="AV239" s="116"/>
      <c r="AW239" s="116"/>
      <c r="AX239" s="116"/>
      <c r="AY239" s="116"/>
      <c r="AZ239" s="116"/>
      <c r="BA239" s="116"/>
      <c r="BB239" s="116"/>
    </row>
    <row r="240" spans="2:54">
      <c r="B240" s="69">
        <f t="shared" si="15"/>
        <v>42239</v>
      </c>
      <c r="D240" s="116" t="e">
        <f>VLOOKUP(B240,SWB!$C$15:$H$244,6,FALSE)</f>
        <v>#N/A</v>
      </c>
      <c r="E240" s="102">
        <f>VLOOKUP($B240,Clima!$W$8:$AI$1506,3,FALSE)</f>
        <v>27.4</v>
      </c>
      <c r="F240" s="102">
        <f>VLOOKUP($B240,Clima!$W$8:$AI$1506,4,FALSE)</f>
        <v>16.2</v>
      </c>
      <c r="G240" s="102">
        <f>VLOOKUP($B240,Clima!$W$8:$AI$1506,2,FALSE)</f>
        <v>21.3</v>
      </c>
      <c r="H240" s="102"/>
      <c r="I240" s="102"/>
      <c r="J240" s="102"/>
      <c r="K240" s="102"/>
      <c r="L240" s="102">
        <f>VLOOKUP($B240,Clima!$W$8:$AI$1506,12,FALSE)</f>
        <v>0</v>
      </c>
      <c r="M240" s="102">
        <f t="shared" si="13"/>
        <v>0</v>
      </c>
      <c r="N240" s="257" t="e">
        <f>VLOOKUP(B240,SWB!$C$15:$S$244,17,FALSE)</f>
        <v>#N/A</v>
      </c>
      <c r="O240" s="116"/>
      <c r="P240" s="116">
        <f>SWB!$M$4</f>
        <v>0.15</v>
      </c>
      <c r="Q240" s="257" t="e">
        <f>VLOOKUP(B240,SWB!$C$15:$AJ$244,34,FALSE)</f>
        <v>#N/A</v>
      </c>
      <c r="R240" s="257" t="e">
        <f>VLOOKUP(B240,SWB!$C$15:$V$244,20,FALSE)</f>
        <v>#N/A</v>
      </c>
      <c r="S240" s="116"/>
      <c r="T240" s="116"/>
      <c r="U240" s="116"/>
      <c r="V240" s="116"/>
      <c r="W240" s="116"/>
      <c r="X240" s="257"/>
      <c r="Y240" s="116"/>
      <c r="Z240" s="116"/>
      <c r="AA240" s="257"/>
      <c r="AB240" s="116"/>
      <c r="AC240" s="257"/>
      <c r="AD240" s="257"/>
      <c r="AE240" s="257"/>
      <c r="AF240" s="116"/>
      <c r="AG240" s="116"/>
      <c r="AH240" s="116"/>
      <c r="AI240" s="116"/>
      <c r="AJ240" s="116">
        <f>IFERROR(VLOOKUP($B240,SWB!C238:BE621,37,FALSE),0)</f>
        <v>0</v>
      </c>
      <c r="AK240" s="116"/>
      <c r="AL240" s="116">
        <f>IFERROR(VLOOKUP($B240,SWB!C238:BE621,38,FALSE),0)</f>
        <v>0</v>
      </c>
      <c r="AM240" s="116"/>
      <c r="AN240" s="257"/>
      <c r="AO240" s="257"/>
      <c r="AP240" s="257"/>
      <c r="AQ240" s="257"/>
      <c r="AR240" s="116">
        <f t="shared" si="14"/>
        <v>270</v>
      </c>
      <c r="AS240" s="116"/>
      <c r="AT240" s="116"/>
      <c r="AU240" s="116"/>
      <c r="AV240" s="116"/>
      <c r="AW240" s="116"/>
      <c r="AX240" s="116"/>
      <c r="AY240" s="116"/>
      <c r="AZ240" s="116"/>
      <c r="BA240" s="116"/>
      <c r="BB240" s="116"/>
    </row>
    <row r="241" spans="2:54">
      <c r="B241" s="69">
        <f t="shared" si="15"/>
        <v>42240</v>
      </c>
      <c r="D241" s="116" t="e">
        <f>VLOOKUP(B241,SWB!$C$15:$H$244,6,FALSE)</f>
        <v>#N/A</v>
      </c>
      <c r="E241" s="102">
        <f>VLOOKUP($B241,Clima!$W$8:$AI$1506,3,FALSE)</f>
        <v>26.8</v>
      </c>
      <c r="F241" s="102">
        <f>VLOOKUP($B241,Clima!$W$8:$AI$1506,4,FALSE)</f>
        <v>12.8</v>
      </c>
      <c r="G241" s="102">
        <f>VLOOKUP($B241,Clima!$W$8:$AI$1506,2,FALSE)</f>
        <v>19.600000000000001</v>
      </c>
      <c r="H241" s="102"/>
      <c r="I241" s="102"/>
      <c r="J241" s="102"/>
      <c r="K241" s="102"/>
      <c r="L241" s="102">
        <f>VLOOKUP($B241,Clima!$W$8:$AI$1506,12,FALSE)</f>
        <v>0</v>
      </c>
      <c r="M241" s="102">
        <f t="shared" si="13"/>
        <v>0</v>
      </c>
      <c r="N241" s="257" t="e">
        <f>VLOOKUP(B241,SWB!$C$15:$S$244,17,FALSE)</f>
        <v>#N/A</v>
      </c>
      <c r="O241" s="116"/>
      <c r="P241" s="116">
        <f>SWB!$M$4</f>
        <v>0.15</v>
      </c>
      <c r="Q241" s="257" t="e">
        <f>VLOOKUP(B241,SWB!$C$15:$AJ$244,34,FALSE)</f>
        <v>#N/A</v>
      </c>
      <c r="R241" s="257" t="e">
        <f>VLOOKUP(B241,SWB!$C$15:$V$244,20,FALSE)</f>
        <v>#N/A</v>
      </c>
      <c r="S241" s="116"/>
      <c r="T241" s="116"/>
      <c r="U241" s="116"/>
      <c r="V241" s="116"/>
      <c r="W241" s="116"/>
      <c r="X241" s="257"/>
      <c r="Y241" s="116"/>
      <c r="Z241" s="116"/>
      <c r="AA241" s="257"/>
      <c r="AB241" s="116"/>
      <c r="AC241" s="257"/>
      <c r="AD241" s="257"/>
      <c r="AE241" s="257"/>
      <c r="AF241" s="116"/>
      <c r="AG241" s="116"/>
      <c r="AH241" s="116"/>
      <c r="AI241" s="116"/>
      <c r="AJ241" s="116">
        <f>IFERROR(VLOOKUP($B241,SWB!C239:BE622,37,FALSE),0)</f>
        <v>0</v>
      </c>
      <c r="AK241" s="116"/>
      <c r="AL241" s="116">
        <f>IFERROR(VLOOKUP($B241,SWB!C239:BE622,38,FALSE),0)</f>
        <v>0</v>
      </c>
      <c r="AM241" s="116"/>
      <c r="AN241" s="257"/>
      <c r="AO241" s="257"/>
      <c r="AP241" s="257"/>
      <c r="AQ241" s="257"/>
      <c r="AR241" s="116">
        <f t="shared" si="14"/>
        <v>270</v>
      </c>
      <c r="AS241" s="116"/>
      <c r="AT241" s="116"/>
      <c r="AU241" s="116"/>
      <c r="AV241" s="116"/>
      <c r="AW241" s="116"/>
      <c r="AX241" s="116"/>
      <c r="AY241" s="116"/>
      <c r="AZ241" s="116"/>
      <c r="BA241" s="116"/>
      <c r="BB241" s="116"/>
    </row>
    <row r="242" spans="2:54">
      <c r="B242" s="69">
        <f t="shared" si="15"/>
        <v>42241</v>
      </c>
      <c r="D242" s="116" t="e">
        <f>VLOOKUP(B242,SWB!$C$15:$H$244,6,FALSE)</f>
        <v>#N/A</v>
      </c>
      <c r="E242" s="102">
        <f>VLOOKUP($B242,Clima!$W$8:$AI$1506,3,FALSE)</f>
        <v>30.3</v>
      </c>
      <c r="F242" s="102">
        <f>VLOOKUP($B242,Clima!$W$8:$AI$1506,4,FALSE)</f>
        <v>8.8000000000000007</v>
      </c>
      <c r="G242" s="102">
        <f>VLOOKUP($B242,Clima!$W$8:$AI$1506,2,FALSE)</f>
        <v>20.5</v>
      </c>
      <c r="H242" s="102"/>
      <c r="I242" s="102"/>
      <c r="J242" s="102"/>
      <c r="K242" s="102"/>
      <c r="L242" s="102">
        <f>VLOOKUP($B242,Clima!$W$8:$AI$1506,12,FALSE)</f>
        <v>0</v>
      </c>
      <c r="M242" s="102">
        <f t="shared" si="13"/>
        <v>0</v>
      </c>
      <c r="N242" s="257" t="e">
        <f>VLOOKUP(B242,SWB!$C$15:$S$244,17,FALSE)</f>
        <v>#N/A</v>
      </c>
      <c r="O242" s="116"/>
      <c r="P242" s="116">
        <f>SWB!$M$4</f>
        <v>0.15</v>
      </c>
      <c r="Q242" s="257" t="e">
        <f>VLOOKUP(B242,SWB!$C$15:$AJ$244,34,FALSE)</f>
        <v>#N/A</v>
      </c>
      <c r="R242" s="257" t="e">
        <f>VLOOKUP(B242,SWB!$C$15:$V$244,20,FALSE)</f>
        <v>#N/A</v>
      </c>
      <c r="S242" s="116"/>
      <c r="T242" s="116"/>
      <c r="U242" s="116"/>
      <c r="V242" s="116"/>
      <c r="W242" s="116"/>
      <c r="X242" s="257"/>
      <c r="Y242" s="116"/>
      <c r="Z242" s="116"/>
      <c r="AA242" s="257"/>
      <c r="AB242" s="116"/>
      <c r="AC242" s="257"/>
      <c r="AD242" s="257"/>
      <c r="AE242" s="257"/>
      <c r="AF242" s="116"/>
      <c r="AG242" s="116"/>
      <c r="AH242" s="116"/>
      <c r="AI242" s="116"/>
      <c r="AJ242" s="116">
        <f>IFERROR(VLOOKUP($B242,SWB!C240:BE623,37,FALSE),0)</f>
        <v>0</v>
      </c>
      <c r="AK242" s="116"/>
      <c r="AL242" s="116">
        <f>IFERROR(VLOOKUP($B242,SWB!C240:BE623,38,FALSE),0)</f>
        <v>0</v>
      </c>
      <c r="AM242" s="116"/>
      <c r="AN242" s="257"/>
      <c r="AO242" s="257"/>
      <c r="AP242" s="257"/>
      <c r="AQ242" s="257"/>
      <c r="AR242" s="116">
        <f t="shared" si="14"/>
        <v>270</v>
      </c>
      <c r="AS242" s="116"/>
      <c r="AT242" s="116"/>
      <c r="AU242" s="116"/>
      <c r="AV242" s="116"/>
      <c r="AW242" s="116"/>
      <c r="AX242" s="116"/>
      <c r="AY242" s="116"/>
      <c r="AZ242" s="116"/>
      <c r="BA242" s="116"/>
      <c r="BB242" s="116"/>
    </row>
    <row r="243" spans="2:54">
      <c r="B243" s="69">
        <f t="shared" si="15"/>
        <v>42242</v>
      </c>
      <c r="D243" s="116" t="e">
        <f>VLOOKUP(B243,SWB!$C$15:$H$244,6,FALSE)</f>
        <v>#N/A</v>
      </c>
      <c r="E243" s="102">
        <f>VLOOKUP($B243,Clima!$W$8:$AI$1506,3,FALSE)</f>
        <v>32.799999999999997</v>
      </c>
      <c r="F243" s="102">
        <f>VLOOKUP($B243,Clima!$W$8:$AI$1506,4,FALSE)</f>
        <v>15.1</v>
      </c>
      <c r="G243" s="102">
        <f>VLOOKUP($B243,Clima!$W$8:$AI$1506,2,FALSE)</f>
        <v>23.5</v>
      </c>
      <c r="H243" s="102"/>
      <c r="I243" s="102"/>
      <c r="J243" s="102"/>
      <c r="K243" s="102"/>
      <c r="L243" s="102">
        <f>VLOOKUP($B243,Clima!$W$8:$AI$1506,12,FALSE)</f>
        <v>0</v>
      </c>
      <c r="M243" s="102">
        <f t="shared" si="13"/>
        <v>0</v>
      </c>
      <c r="N243" s="257" t="e">
        <f>VLOOKUP(B243,SWB!$C$15:$S$244,17,FALSE)</f>
        <v>#N/A</v>
      </c>
      <c r="O243" s="116"/>
      <c r="P243" s="116">
        <f>SWB!$M$4</f>
        <v>0.15</v>
      </c>
      <c r="Q243" s="257" t="e">
        <f>VLOOKUP(B243,SWB!$C$15:$AJ$244,34,FALSE)</f>
        <v>#N/A</v>
      </c>
      <c r="R243" s="257" t="e">
        <f>VLOOKUP(B243,SWB!$C$15:$V$244,20,FALSE)</f>
        <v>#N/A</v>
      </c>
      <c r="S243" s="116"/>
      <c r="T243" s="116"/>
      <c r="U243" s="116"/>
      <c r="V243" s="116"/>
      <c r="W243" s="116"/>
      <c r="X243" s="257"/>
      <c r="Y243" s="116"/>
      <c r="Z243" s="116"/>
      <c r="AA243" s="257"/>
      <c r="AB243" s="116"/>
      <c r="AC243" s="257"/>
      <c r="AD243" s="257"/>
      <c r="AE243" s="257"/>
      <c r="AF243" s="116"/>
      <c r="AG243" s="116"/>
      <c r="AH243" s="116"/>
      <c r="AI243" s="116"/>
      <c r="AJ243" s="116">
        <f>IFERROR(VLOOKUP($B243,SWB!C241:BE624,37,FALSE),0)</f>
        <v>0</v>
      </c>
      <c r="AK243" s="116"/>
      <c r="AL243" s="116">
        <f>IFERROR(VLOOKUP($B243,SWB!C241:BE624,38,FALSE),0)</f>
        <v>0</v>
      </c>
      <c r="AM243" s="116"/>
      <c r="AN243" s="257"/>
      <c r="AO243" s="257"/>
      <c r="AP243" s="257"/>
      <c r="AQ243" s="257"/>
      <c r="AR243" s="116">
        <f t="shared" si="14"/>
        <v>270</v>
      </c>
      <c r="AS243" s="116"/>
      <c r="AT243" s="116"/>
      <c r="AU243" s="116"/>
      <c r="AV243" s="116"/>
      <c r="AW243" s="116"/>
      <c r="AX243" s="116"/>
      <c r="AY243" s="116"/>
      <c r="AZ243" s="116"/>
      <c r="BA243" s="116"/>
      <c r="BB243" s="116"/>
    </row>
    <row r="244" spans="2:54">
      <c r="B244" s="69">
        <f t="shared" si="15"/>
        <v>42243</v>
      </c>
      <c r="D244" s="116" t="e">
        <f>VLOOKUP(B244,SWB!$C$15:$H$244,6,FALSE)</f>
        <v>#N/A</v>
      </c>
      <c r="E244" s="102">
        <f>VLOOKUP($B244,Clima!$W$8:$AI$1506,3,FALSE)</f>
        <v>34.299999999999997</v>
      </c>
      <c r="F244" s="102">
        <f>VLOOKUP($B244,Clima!$W$8:$AI$1506,4,FALSE)</f>
        <v>14.5</v>
      </c>
      <c r="G244" s="102">
        <f>VLOOKUP($B244,Clima!$W$8:$AI$1506,2,FALSE)</f>
        <v>24.7</v>
      </c>
      <c r="H244" s="102"/>
      <c r="I244" s="102"/>
      <c r="J244" s="102"/>
      <c r="K244" s="102"/>
      <c r="L244" s="102">
        <f>VLOOKUP($B244,Clima!$W$8:$AI$1506,12,FALSE)</f>
        <v>0</v>
      </c>
      <c r="M244" s="102">
        <f t="shared" si="13"/>
        <v>0</v>
      </c>
      <c r="N244" s="257" t="e">
        <f>VLOOKUP(B244,SWB!$C$15:$S$244,17,FALSE)</f>
        <v>#N/A</v>
      </c>
      <c r="O244" s="116"/>
      <c r="P244" s="116">
        <f>SWB!$M$4</f>
        <v>0.15</v>
      </c>
      <c r="Q244" s="257" t="e">
        <f>VLOOKUP(B244,SWB!$C$15:$AJ$244,34,FALSE)</f>
        <v>#N/A</v>
      </c>
      <c r="R244" s="257" t="e">
        <f>VLOOKUP(B244,SWB!$C$15:$V$244,20,FALSE)</f>
        <v>#N/A</v>
      </c>
      <c r="S244" s="116"/>
      <c r="T244" s="116"/>
      <c r="U244" s="116"/>
      <c r="V244" s="116"/>
      <c r="W244" s="116"/>
      <c r="X244" s="257"/>
      <c r="Y244" s="116"/>
      <c r="Z244" s="116"/>
      <c r="AA244" s="257"/>
      <c r="AB244" s="116"/>
      <c r="AC244" s="257"/>
      <c r="AD244" s="257"/>
      <c r="AE244" s="257"/>
      <c r="AF244" s="116"/>
      <c r="AG244" s="116"/>
      <c r="AH244" s="116"/>
      <c r="AI244" s="116"/>
      <c r="AJ244" s="116">
        <f>IFERROR(VLOOKUP($B244,SWB!C242:BE625,37,FALSE),0)</f>
        <v>0</v>
      </c>
      <c r="AK244" s="116"/>
      <c r="AL244" s="116">
        <f>IFERROR(VLOOKUP($B244,SWB!C242:BE625,38,FALSE),0)</f>
        <v>0</v>
      </c>
      <c r="AM244" s="116"/>
      <c r="AN244" s="257"/>
      <c r="AO244" s="257"/>
      <c r="AP244" s="257"/>
      <c r="AQ244" s="257"/>
      <c r="AR244" s="116">
        <f t="shared" si="14"/>
        <v>270</v>
      </c>
      <c r="AS244" s="116"/>
      <c r="AT244" s="116"/>
      <c r="AU244" s="116"/>
      <c r="AV244" s="116"/>
      <c r="AW244" s="116"/>
      <c r="AX244" s="116"/>
      <c r="AY244" s="116"/>
      <c r="AZ244" s="116"/>
      <c r="BA244" s="116"/>
      <c r="BB244" s="116"/>
    </row>
    <row r="245" spans="2:54">
      <c r="B245" s="69">
        <f t="shared" si="15"/>
        <v>42244</v>
      </c>
      <c r="D245" s="116" t="e">
        <f>VLOOKUP(B245,SWB!$C$15:$H$244,6,FALSE)</f>
        <v>#N/A</v>
      </c>
      <c r="E245" s="102">
        <f>VLOOKUP($B245,Clima!$W$8:$AI$1506,3,FALSE)</f>
        <v>33.9</v>
      </c>
      <c r="F245" s="102">
        <f>VLOOKUP($B245,Clima!$W$8:$AI$1506,4,FALSE)</f>
        <v>15.8</v>
      </c>
      <c r="G245" s="102">
        <f>VLOOKUP($B245,Clima!$W$8:$AI$1506,2,FALSE)</f>
        <v>24.9</v>
      </c>
      <c r="H245" s="102"/>
      <c r="I245" s="102"/>
      <c r="J245" s="102"/>
      <c r="K245" s="102"/>
      <c r="L245" s="102">
        <f>VLOOKUP($B245,Clima!$W$8:$AI$1506,12,FALSE)</f>
        <v>0</v>
      </c>
      <c r="M245" s="102">
        <f t="shared" si="13"/>
        <v>0</v>
      </c>
      <c r="N245" s="257" t="e">
        <f>VLOOKUP(B245,SWB!$C$15:$S$244,17,FALSE)</f>
        <v>#N/A</v>
      </c>
      <c r="O245" s="116"/>
      <c r="P245" s="116">
        <f>SWB!$M$4</f>
        <v>0.15</v>
      </c>
      <c r="Q245" s="257" t="e">
        <f>VLOOKUP(B245,SWB!$C$15:$AJ$244,34,FALSE)</f>
        <v>#N/A</v>
      </c>
      <c r="R245" s="257" t="e">
        <f>VLOOKUP(B245,SWB!$C$15:$V$244,20,FALSE)</f>
        <v>#N/A</v>
      </c>
      <c r="S245" s="116"/>
      <c r="T245" s="116"/>
      <c r="U245" s="116"/>
      <c r="V245" s="116"/>
      <c r="W245" s="116"/>
      <c r="X245" s="257"/>
      <c r="Y245" s="116"/>
      <c r="Z245" s="116"/>
      <c r="AA245" s="257"/>
      <c r="AB245" s="116"/>
      <c r="AC245" s="257"/>
      <c r="AD245" s="257"/>
      <c r="AE245" s="257"/>
      <c r="AF245" s="116"/>
      <c r="AG245" s="116"/>
      <c r="AH245" s="116"/>
      <c r="AI245" s="116"/>
      <c r="AJ245" s="116">
        <f>IFERROR(VLOOKUP($B245,SWB!C243:BE626,37,FALSE),0)</f>
        <v>0</v>
      </c>
      <c r="AK245" s="116"/>
      <c r="AL245" s="116">
        <f>IFERROR(VLOOKUP($B245,SWB!C243:BE626,38,FALSE),0)</f>
        <v>0</v>
      </c>
      <c r="AM245" s="116"/>
      <c r="AN245" s="257"/>
      <c r="AO245" s="257"/>
      <c r="AP245" s="257"/>
      <c r="AQ245" s="257"/>
      <c r="AR245" s="116">
        <f t="shared" si="14"/>
        <v>270</v>
      </c>
      <c r="AS245" s="116"/>
      <c r="AT245" s="116"/>
      <c r="AU245" s="116"/>
      <c r="AV245" s="116"/>
      <c r="AW245" s="116"/>
      <c r="AX245" s="116"/>
      <c r="AY245" s="116"/>
      <c r="AZ245" s="116"/>
      <c r="BA245" s="116"/>
      <c r="BB245" s="116"/>
    </row>
    <row r="246" spans="2:54">
      <c r="B246" s="69">
        <f t="shared" si="15"/>
        <v>42245</v>
      </c>
      <c r="D246" s="116" t="e">
        <f>VLOOKUP(B246,SWB!$C$15:$H$244,6,FALSE)</f>
        <v>#N/A</v>
      </c>
      <c r="E246" s="102">
        <f>VLOOKUP($B246,Clima!$W$8:$AI$1506,3,FALSE)</f>
        <v>31.7</v>
      </c>
      <c r="F246" s="102">
        <f>VLOOKUP($B246,Clima!$W$8:$AI$1506,4,FALSE)</f>
        <v>17.100000000000001</v>
      </c>
      <c r="G246" s="102">
        <f>VLOOKUP($B246,Clima!$W$8:$AI$1506,2,FALSE)</f>
        <v>23.8</v>
      </c>
      <c r="H246" s="102"/>
      <c r="I246" s="102"/>
      <c r="J246" s="102"/>
      <c r="K246" s="102"/>
      <c r="L246" s="102">
        <f>VLOOKUP($B246,Clima!$W$8:$AI$1506,12,FALSE)</f>
        <v>0</v>
      </c>
      <c r="M246" s="102">
        <f t="shared" si="13"/>
        <v>0</v>
      </c>
      <c r="N246" s="257" t="e">
        <f>VLOOKUP(B246,SWB!$C$15:$S$244,17,FALSE)</f>
        <v>#N/A</v>
      </c>
      <c r="O246" s="116"/>
      <c r="P246" s="116">
        <f>SWB!$M$4</f>
        <v>0.15</v>
      </c>
      <c r="Q246" s="257" t="e">
        <f>VLOOKUP(B246,SWB!$C$15:$AJ$244,34,FALSE)</f>
        <v>#N/A</v>
      </c>
      <c r="R246" s="257" t="e">
        <f>VLOOKUP(B246,SWB!$C$15:$V$244,20,FALSE)</f>
        <v>#N/A</v>
      </c>
      <c r="S246" s="116"/>
      <c r="T246" s="116"/>
      <c r="U246" s="116"/>
      <c r="V246" s="116"/>
      <c r="W246" s="116"/>
      <c r="X246" s="257"/>
      <c r="Y246" s="116"/>
      <c r="Z246" s="116"/>
      <c r="AA246" s="257"/>
      <c r="AB246" s="116"/>
      <c r="AC246" s="257"/>
      <c r="AD246" s="257"/>
      <c r="AE246" s="257"/>
      <c r="AF246" s="116"/>
      <c r="AG246" s="116"/>
      <c r="AH246" s="116"/>
      <c r="AI246" s="116"/>
      <c r="AJ246" s="116">
        <f>IFERROR(VLOOKUP($B246,SWB!C244:BE627,37,FALSE),0)</f>
        <v>0</v>
      </c>
      <c r="AK246" s="116"/>
      <c r="AL246" s="116">
        <f>IFERROR(VLOOKUP($B246,SWB!C244:BE627,38,FALSE),0)</f>
        <v>0</v>
      </c>
      <c r="AM246" s="116"/>
      <c r="AN246" s="257"/>
      <c r="AO246" s="257"/>
      <c r="AP246" s="257"/>
      <c r="AQ246" s="257"/>
      <c r="AR246" s="116">
        <f t="shared" si="14"/>
        <v>270</v>
      </c>
      <c r="AS246" s="116"/>
      <c r="AT246" s="116"/>
      <c r="AU246" s="116"/>
      <c r="AV246" s="116"/>
      <c r="AW246" s="116"/>
      <c r="AX246" s="116"/>
      <c r="AY246" s="116"/>
      <c r="AZ246" s="116"/>
      <c r="BA246" s="116"/>
      <c r="BB246" s="116"/>
    </row>
    <row r="247" spans="2:54">
      <c r="B247" s="69"/>
      <c r="C247" s="69"/>
      <c r="D247" s="116"/>
      <c r="E247" s="116"/>
      <c r="F247" s="116"/>
      <c r="G247" s="116"/>
      <c r="H247" s="116"/>
      <c r="I247" s="116"/>
      <c r="J247" s="116"/>
      <c r="K247" s="116"/>
      <c r="L247" s="116"/>
      <c r="M247" s="116"/>
      <c r="N247" s="116"/>
      <c r="O247" s="116"/>
      <c r="P247" s="116"/>
      <c r="Q247" s="116"/>
      <c r="R247" s="116"/>
      <c r="S247" s="116"/>
      <c r="T247" s="116"/>
      <c r="U247" s="116"/>
      <c r="V247" s="116"/>
      <c r="W247" s="116"/>
      <c r="X247" s="116"/>
      <c r="Y247" s="116"/>
      <c r="Z247" s="116"/>
      <c r="AA247" s="116"/>
      <c r="AB247" s="116"/>
      <c r="AC247" s="116"/>
      <c r="AD247" s="116"/>
      <c r="AE247" s="116"/>
      <c r="AF247" s="116"/>
      <c r="AG247" s="116"/>
      <c r="AH247" s="116"/>
      <c r="AI247" s="116"/>
      <c r="AJ247" s="116"/>
      <c r="AK247" s="116"/>
      <c r="AL247" s="116"/>
      <c r="AM247" s="116"/>
      <c r="AN247" s="116"/>
      <c r="AO247" s="116"/>
      <c r="AP247" s="116"/>
      <c r="AQ247" s="116"/>
      <c r="AR247" s="116"/>
      <c r="AS247" s="116"/>
      <c r="AT247" s="116"/>
      <c r="AU247" s="116"/>
      <c r="AV247" s="116"/>
      <c r="AW247" s="116"/>
      <c r="AX247" s="116"/>
      <c r="AY247" s="116"/>
      <c r="AZ247" s="116"/>
      <c r="BA247" s="116"/>
      <c r="BB247" s="116"/>
    </row>
    <row r="248" spans="2:54">
      <c r="B248" s="69"/>
      <c r="C248" s="69"/>
      <c r="D248" s="116"/>
      <c r="E248" s="116"/>
      <c r="F248" s="116"/>
      <c r="G248" s="116"/>
      <c r="H248" s="116"/>
      <c r="I248" s="116"/>
      <c r="J248" s="116"/>
      <c r="K248" s="116"/>
      <c r="L248" s="116"/>
      <c r="M248" s="116"/>
      <c r="N248" s="116"/>
      <c r="O248" s="116"/>
      <c r="P248" s="116"/>
      <c r="Q248" s="116"/>
      <c r="R248" s="116"/>
      <c r="S248" s="116"/>
      <c r="T248" s="116"/>
      <c r="U248" s="116"/>
      <c r="V248" s="116"/>
      <c r="W248" s="116"/>
      <c r="X248" s="116"/>
      <c r="Y248" s="116"/>
      <c r="Z248" s="116"/>
      <c r="AA248" s="116"/>
      <c r="AB248" s="116"/>
      <c r="AC248" s="116"/>
      <c r="AD248" s="116"/>
      <c r="AE248" s="116"/>
      <c r="AF248" s="116"/>
      <c r="AG248" s="116"/>
      <c r="AH248" s="116"/>
      <c r="AI248" s="116"/>
      <c r="AJ248" s="116"/>
      <c r="AK248" s="116"/>
      <c r="AL248" s="116"/>
      <c r="AM248" s="116"/>
      <c r="AN248" s="116"/>
      <c r="AO248" s="116"/>
      <c r="AP248" s="116"/>
      <c r="AQ248" s="116"/>
      <c r="AR248" s="116"/>
      <c r="AS248" s="116"/>
      <c r="AT248" s="116"/>
      <c r="AU248" s="116"/>
      <c r="AV248" s="116"/>
      <c r="AW248" s="116"/>
      <c r="AX248" s="116"/>
      <c r="AY248" s="116"/>
      <c r="AZ248" s="116"/>
      <c r="BA248" s="116"/>
      <c r="BB248" s="116"/>
    </row>
    <row r="249" spans="2:54">
      <c r="B249" s="69"/>
      <c r="C249" s="69"/>
      <c r="D249" s="116"/>
      <c r="E249" s="116"/>
      <c r="F249" s="116"/>
      <c r="G249" s="116"/>
      <c r="H249" s="116"/>
      <c r="I249" s="116"/>
      <c r="J249" s="116"/>
      <c r="K249" s="116"/>
      <c r="L249" s="116"/>
      <c r="M249" s="116"/>
      <c r="N249" s="116"/>
      <c r="O249" s="116"/>
      <c r="P249" s="116"/>
      <c r="Q249" s="116"/>
      <c r="R249" s="116"/>
      <c r="S249" s="116"/>
      <c r="T249" s="116"/>
      <c r="U249" s="116"/>
      <c r="V249" s="116"/>
      <c r="W249" s="116"/>
      <c r="X249" s="116"/>
      <c r="Y249" s="116"/>
      <c r="Z249" s="116"/>
      <c r="AA249" s="116"/>
      <c r="AB249" s="116"/>
      <c r="AC249" s="116"/>
      <c r="AD249" s="116"/>
      <c r="AE249" s="116"/>
      <c r="AF249" s="116"/>
      <c r="AG249" s="116"/>
      <c r="AH249" s="116"/>
      <c r="AI249" s="116"/>
      <c r="AJ249" s="116"/>
      <c r="AK249" s="116"/>
      <c r="AL249" s="116"/>
      <c r="AM249" s="116"/>
      <c r="AN249" s="116"/>
      <c r="AO249" s="116"/>
      <c r="AP249" s="116"/>
      <c r="AQ249" s="116"/>
      <c r="AR249" s="116"/>
      <c r="AS249" s="116"/>
      <c r="AT249" s="116"/>
      <c r="AU249" s="116"/>
      <c r="AV249" s="116"/>
      <c r="AW249" s="116"/>
      <c r="AX249" s="116"/>
      <c r="AY249" s="116"/>
      <c r="AZ249" s="116"/>
      <c r="BA249" s="116"/>
      <c r="BB249" s="116"/>
    </row>
    <row r="250" spans="2:54">
      <c r="B250" s="69"/>
      <c r="C250" s="69"/>
      <c r="D250" s="116"/>
      <c r="E250" s="116"/>
      <c r="F250" s="116"/>
      <c r="G250" s="116"/>
      <c r="H250" s="116"/>
      <c r="I250" s="116"/>
      <c r="J250" s="116"/>
      <c r="K250" s="116"/>
      <c r="L250" s="116"/>
      <c r="M250" s="116"/>
      <c r="N250" s="116"/>
      <c r="O250" s="116"/>
      <c r="P250" s="116"/>
      <c r="Q250" s="116"/>
      <c r="R250" s="116"/>
      <c r="S250" s="116"/>
      <c r="T250" s="116"/>
      <c r="U250" s="116"/>
      <c r="V250" s="116"/>
      <c r="W250" s="116"/>
      <c r="X250" s="116"/>
      <c r="Y250" s="116"/>
      <c r="Z250" s="116"/>
      <c r="AA250" s="116"/>
      <c r="AB250" s="116"/>
      <c r="AC250" s="116"/>
      <c r="AD250" s="116"/>
      <c r="AE250" s="116"/>
      <c r="AF250" s="116"/>
      <c r="AG250" s="116"/>
      <c r="AH250" s="116"/>
      <c r="AI250" s="116"/>
      <c r="AJ250" s="116"/>
      <c r="AK250" s="116"/>
      <c r="AL250" s="116"/>
      <c r="AM250" s="116"/>
      <c r="AN250" s="116"/>
      <c r="AO250" s="116"/>
      <c r="AP250" s="116"/>
      <c r="AQ250" s="116"/>
      <c r="AR250" s="116"/>
      <c r="AS250" s="116"/>
      <c r="AT250" s="116"/>
      <c r="AU250" s="116"/>
      <c r="AV250" s="116"/>
      <c r="AW250" s="116"/>
      <c r="AX250" s="116"/>
      <c r="AY250" s="116"/>
      <c r="AZ250" s="116"/>
      <c r="BA250" s="116"/>
      <c r="BB250" s="116"/>
    </row>
    <row r="251" spans="2:54">
      <c r="B251" s="69"/>
      <c r="C251" s="69"/>
      <c r="D251" s="116"/>
      <c r="E251" s="116"/>
      <c r="F251" s="116"/>
      <c r="G251" s="116"/>
      <c r="H251" s="116"/>
      <c r="I251" s="116"/>
      <c r="J251" s="116"/>
      <c r="K251" s="116"/>
      <c r="L251" s="116"/>
      <c r="M251" s="116"/>
      <c r="N251" s="116"/>
      <c r="O251" s="116"/>
      <c r="P251" s="116"/>
      <c r="Q251" s="116"/>
      <c r="R251" s="116"/>
      <c r="S251" s="116"/>
      <c r="T251" s="116"/>
      <c r="U251" s="116"/>
      <c r="V251" s="116"/>
      <c r="W251" s="116"/>
      <c r="X251" s="116"/>
      <c r="Y251" s="116"/>
      <c r="Z251" s="116"/>
      <c r="AA251" s="116"/>
      <c r="AB251" s="116"/>
      <c r="AC251" s="116"/>
      <c r="AD251" s="116"/>
      <c r="AE251" s="116"/>
      <c r="AF251" s="116"/>
      <c r="AG251" s="116"/>
      <c r="AH251" s="116"/>
      <c r="AI251" s="116"/>
      <c r="AJ251" s="116"/>
      <c r="AK251" s="116"/>
      <c r="AL251" s="116"/>
      <c r="AM251" s="116"/>
      <c r="AN251" s="116"/>
      <c r="AO251" s="116"/>
      <c r="AP251" s="116"/>
      <c r="AQ251" s="116"/>
      <c r="AR251" s="116"/>
      <c r="AS251" s="116"/>
      <c r="AT251" s="116"/>
      <c r="AU251" s="116"/>
      <c r="AV251" s="116"/>
      <c r="AW251" s="116"/>
      <c r="AX251" s="116"/>
      <c r="AY251" s="116"/>
      <c r="AZ251" s="116"/>
      <c r="BA251" s="116"/>
      <c r="BB251" s="116"/>
    </row>
    <row r="252" spans="2:54">
      <c r="B252" s="69"/>
      <c r="C252" s="69"/>
      <c r="D252" s="116"/>
      <c r="E252" s="116"/>
      <c r="F252" s="116"/>
      <c r="G252" s="116"/>
      <c r="H252" s="116"/>
      <c r="I252" s="116"/>
      <c r="J252" s="116"/>
      <c r="K252" s="116"/>
      <c r="L252" s="116"/>
      <c r="M252" s="116"/>
      <c r="N252" s="116"/>
      <c r="O252" s="116"/>
      <c r="P252" s="116"/>
      <c r="Q252" s="116"/>
      <c r="R252" s="116"/>
      <c r="S252" s="116"/>
      <c r="T252" s="116"/>
      <c r="U252" s="116"/>
      <c r="V252" s="116"/>
      <c r="W252" s="116"/>
      <c r="X252" s="116"/>
      <c r="Y252" s="116"/>
      <c r="Z252" s="116"/>
      <c r="AA252" s="116"/>
      <c r="AB252" s="116"/>
      <c r="AC252" s="116"/>
      <c r="AD252" s="116"/>
      <c r="AE252" s="116"/>
      <c r="AF252" s="116"/>
      <c r="AG252" s="116"/>
      <c r="AH252" s="116"/>
      <c r="AI252" s="116"/>
      <c r="AJ252" s="116"/>
      <c r="AK252" s="116"/>
      <c r="AL252" s="116"/>
      <c r="AM252" s="116"/>
      <c r="AN252" s="116"/>
      <c r="AO252" s="116"/>
      <c r="AP252" s="116"/>
      <c r="AQ252" s="116"/>
      <c r="AR252" s="116"/>
      <c r="AS252" s="116"/>
      <c r="AT252" s="116"/>
      <c r="AU252" s="116"/>
      <c r="AV252" s="116"/>
      <c r="AW252" s="116"/>
      <c r="AX252" s="116"/>
      <c r="AY252" s="116"/>
      <c r="AZ252" s="116"/>
      <c r="BA252" s="116"/>
      <c r="BB252" s="116"/>
    </row>
    <row r="253" spans="2:54">
      <c r="B253" s="69"/>
      <c r="C253" s="69"/>
      <c r="D253" s="116"/>
      <c r="E253" s="116"/>
      <c r="F253" s="116"/>
      <c r="G253" s="116"/>
      <c r="H253" s="116"/>
      <c r="I253" s="116"/>
      <c r="J253" s="116"/>
      <c r="K253" s="116"/>
      <c r="L253" s="116"/>
      <c r="M253" s="116"/>
      <c r="N253" s="116"/>
      <c r="O253" s="116"/>
      <c r="P253" s="116"/>
      <c r="Q253" s="116"/>
      <c r="R253" s="116"/>
      <c r="S253" s="116"/>
      <c r="T253" s="116"/>
      <c r="U253" s="116"/>
      <c r="V253" s="116"/>
      <c r="W253" s="116"/>
      <c r="X253" s="116"/>
      <c r="Y253" s="116"/>
      <c r="Z253" s="116"/>
      <c r="AA253" s="116"/>
      <c r="AB253" s="116"/>
      <c r="AC253" s="116"/>
      <c r="AD253" s="116"/>
      <c r="AE253" s="116"/>
      <c r="AF253" s="116"/>
      <c r="AG253" s="116"/>
      <c r="AH253" s="116"/>
      <c r="AI253" s="116"/>
      <c r="AJ253" s="116"/>
      <c r="AK253" s="116"/>
      <c r="AL253" s="116"/>
      <c r="AM253" s="116"/>
      <c r="AN253" s="116"/>
      <c r="AO253" s="116"/>
      <c r="AP253" s="116"/>
      <c r="AQ253" s="116"/>
      <c r="AR253" s="116"/>
      <c r="AS253" s="116"/>
      <c r="AT253" s="116"/>
      <c r="AU253" s="116"/>
      <c r="AV253" s="116"/>
      <c r="AW253" s="116"/>
      <c r="AX253" s="116"/>
      <c r="AY253" s="116"/>
      <c r="AZ253" s="116"/>
      <c r="BA253" s="116"/>
      <c r="BB253" s="116"/>
    </row>
    <row r="254" spans="2:54">
      <c r="B254" s="69"/>
      <c r="C254" s="69"/>
      <c r="D254" s="116"/>
      <c r="E254" s="116"/>
      <c r="F254" s="116"/>
      <c r="G254" s="116"/>
      <c r="H254" s="116"/>
      <c r="I254" s="116"/>
      <c r="J254" s="116"/>
      <c r="K254" s="116"/>
      <c r="L254" s="116"/>
      <c r="M254" s="116"/>
      <c r="N254" s="116"/>
      <c r="O254" s="116"/>
      <c r="P254" s="116"/>
      <c r="Q254" s="116"/>
      <c r="R254" s="116"/>
      <c r="S254" s="116"/>
      <c r="T254" s="116"/>
      <c r="U254" s="116"/>
      <c r="V254" s="116"/>
      <c r="W254" s="116"/>
      <c r="X254" s="116"/>
      <c r="Y254" s="116"/>
      <c r="Z254" s="116"/>
      <c r="AA254" s="116"/>
      <c r="AB254" s="116"/>
      <c r="AC254" s="116"/>
      <c r="AD254" s="116"/>
      <c r="AE254" s="116"/>
      <c r="AF254" s="116"/>
      <c r="AG254" s="116"/>
      <c r="AH254" s="116"/>
      <c r="AI254" s="116"/>
      <c r="AJ254" s="116"/>
      <c r="AK254" s="116"/>
      <c r="AL254" s="116"/>
      <c r="AM254" s="116"/>
      <c r="AN254" s="116"/>
      <c r="AO254" s="116"/>
      <c r="AP254" s="116"/>
      <c r="AQ254" s="116"/>
      <c r="AR254" s="116"/>
      <c r="AS254" s="116"/>
      <c r="AT254" s="116"/>
      <c r="AU254" s="116"/>
      <c r="AV254" s="116"/>
      <c r="AW254" s="116"/>
      <c r="AX254" s="116"/>
      <c r="AY254" s="116"/>
      <c r="AZ254" s="116"/>
      <c r="BA254" s="116"/>
      <c r="BB254" s="116"/>
    </row>
    <row r="255" spans="2:54">
      <c r="D255" s="116"/>
      <c r="E255" s="116"/>
      <c r="F255" s="116"/>
      <c r="G255" s="116"/>
      <c r="H255" s="116"/>
      <c r="I255" s="116"/>
      <c r="J255" s="116"/>
      <c r="K255" s="116"/>
      <c r="L255" s="116"/>
      <c r="M255" s="116"/>
      <c r="N255" s="116"/>
      <c r="O255" s="116"/>
      <c r="P255" s="116"/>
      <c r="Q255" s="116"/>
      <c r="R255" s="116"/>
      <c r="S255" s="116"/>
      <c r="T255" s="116"/>
      <c r="U255" s="116"/>
      <c r="V255" s="116"/>
      <c r="W255" s="116"/>
      <c r="X255" s="116"/>
      <c r="Y255" s="116"/>
      <c r="Z255" s="116"/>
      <c r="AA255" s="116"/>
      <c r="AB255" s="116"/>
      <c r="AC255" s="116"/>
      <c r="AD255" s="116"/>
      <c r="AE255" s="116"/>
      <c r="AF255" s="116"/>
      <c r="AG255" s="116"/>
      <c r="AH255" s="116"/>
      <c r="AI255" s="116"/>
      <c r="AJ255" s="116"/>
      <c r="AK255" s="116"/>
      <c r="AL255" s="116"/>
      <c r="AM255" s="116"/>
      <c r="AN255" s="116"/>
      <c r="AO255" s="116"/>
      <c r="AP255" s="116"/>
      <c r="AQ255" s="116"/>
      <c r="AR255" s="116"/>
      <c r="AS255" s="116"/>
      <c r="AT255" s="116"/>
      <c r="AU255" s="116"/>
      <c r="AV255" s="116"/>
      <c r="AW255" s="116"/>
      <c r="AX255" s="116"/>
      <c r="AY255" s="116"/>
      <c r="AZ255" s="116"/>
      <c r="BA255" s="116"/>
      <c r="BB255" s="116"/>
    </row>
    <row r="256" spans="2:54">
      <c r="D256" s="116"/>
      <c r="E256" s="116"/>
      <c r="F256" s="116"/>
      <c r="G256" s="116"/>
      <c r="H256" s="116"/>
      <c r="I256" s="116"/>
      <c r="J256" s="116"/>
      <c r="K256" s="116"/>
      <c r="L256" s="116"/>
      <c r="M256" s="116"/>
      <c r="N256" s="116"/>
      <c r="O256" s="116"/>
      <c r="P256" s="116"/>
      <c r="Q256" s="116"/>
      <c r="R256" s="116"/>
      <c r="S256" s="116"/>
      <c r="T256" s="116"/>
      <c r="U256" s="116"/>
      <c r="V256" s="116"/>
      <c r="W256" s="116"/>
      <c r="X256" s="116"/>
      <c r="Y256" s="116"/>
      <c r="Z256" s="116"/>
      <c r="AA256" s="116"/>
      <c r="AB256" s="116"/>
      <c r="AC256" s="116"/>
      <c r="AD256" s="116"/>
      <c r="AE256" s="116"/>
      <c r="AF256" s="116"/>
      <c r="AG256" s="116"/>
      <c r="AH256" s="116"/>
      <c r="AI256" s="116"/>
      <c r="AJ256" s="116"/>
      <c r="AK256" s="116"/>
      <c r="AL256" s="116"/>
      <c r="AM256" s="116"/>
      <c r="AN256" s="116"/>
      <c r="AO256" s="116"/>
      <c r="AP256" s="116"/>
      <c r="AQ256" s="116"/>
      <c r="AR256" s="116"/>
      <c r="AS256" s="116"/>
      <c r="AT256" s="116"/>
      <c r="AU256" s="116"/>
      <c r="AV256" s="116"/>
      <c r="AW256" s="116"/>
      <c r="AX256" s="116"/>
      <c r="AY256" s="116"/>
      <c r="AZ256" s="116"/>
      <c r="BA256" s="116"/>
      <c r="BB256" s="116"/>
    </row>
    <row r="257" spans="4:54">
      <c r="D257" s="116"/>
      <c r="E257" s="116"/>
      <c r="F257" s="116"/>
      <c r="G257" s="116"/>
      <c r="H257" s="116"/>
      <c r="I257" s="116"/>
      <c r="J257" s="116"/>
      <c r="K257" s="116"/>
      <c r="L257" s="116"/>
      <c r="M257" s="116"/>
      <c r="N257" s="116"/>
      <c r="O257" s="116"/>
      <c r="P257" s="116"/>
      <c r="Q257" s="116"/>
      <c r="R257" s="116"/>
      <c r="S257" s="116"/>
      <c r="T257" s="116"/>
      <c r="U257" s="116"/>
      <c r="V257" s="116"/>
      <c r="W257" s="116"/>
      <c r="X257" s="116"/>
      <c r="Y257" s="116"/>
      <c r="Z257" s="116"/>
      <c r="AA257" s="116"/>
      <c r="AB257" s="116"/>
      <c r="AC257" s="116"/>
      <c r="AD257" s="116"/>
      <c r="AE257" s="116"/>
      <c r="AF257" s="116"/>
      <c r="AG257" s="116"/>
      <c r="AH257" s="116"/>
      <c r="AI257" s="116"/>
      <c r="AJ257" s="116"/>
      <c r="AK257" s="116"/>
      <c r="AL257" s="116"/>
      <c r="AM257" s="116"/>
      <c r="AN257" s="116"/>
      <c r="AO257" s="116"/>
      <c r="AP257" s="116"/>
      <c r="AQ257" s="116"/>
      <c r="AR257" s="116"/>
      <c r="AS257" s="116"/>
      <c r="AT257" s="116"/>
      <c r="AU257" s="116"/>
      <c r="AV257" s="116"/>
      <c r="AW257" s="116"/>
      <c r="AX257" s="116"/>
      <c r="AY257" s="116"/>
      <c r="AZ257" s="116"/>
      <c r="BA257" s="116"/>
      <c r="BB257" s="116"/>
    </row>
    <row r="258" spans="4:54">
      <c r="D258" s="116"/>
      <c r="E258" s="116"/>
      <c r="F258" s="116"/>
      <c r="G258" s="116"/>
      <c r="H258" s="116"/>
      <c r="I258" s="116"/>
      <c r="J258" s="116"/>
      <c r="K258" s="116"/>
      <c r="L258" s="116"/>
      <c r="M258" s="116"/>
      <c r="N258" s="116"/>
      <c r="O258" s="116"/>
      <c r="P258" s="116"/>
      <c r="Q258" s="116"/>
      <c r="R258" s="116"/>
      <c r="S258" s="116"/>
      <c r="T258" s="116"/>
      <c r="U258" s="116"/>
      <c r="V258" s="116"/>
      <c r="W258" s="116"/>
      <c r="X258" s="116"/>
      <c r="Y258" s="116"/>
      <c r="Z258" s="116"/>
      <c r="AA258" s="116"/>
      <c r="AB258" s="116"/>
      <c r="AC258" s="116"/>
      <c r="AD258" s="116"/>
      <c r="AE258" s="116"/>
      <c r="AF258" s="116"/>
      <c r="AG258" s="116"/>
      <c r="AH258" s="116"/>
      <c r="AI258" s="116"/>
      <c r="AJ258" s="116"/>
      <c r="AK258" s="116"/>
      <c r="AL258" s="116"/>
      <c r="AM258" s="116"/>
      <c r="AN258" s="116"/>
      <c r="AO258" s="116"/>
      <c r="AP258" s="116"/>
      <c r="AQ258" s="116"/>
      <c r="AR258" s="116"/>
      <c r="AS258" s="116"/>
      <c r="AT258" s="116"/>
      <c r="AU258" s="116"/>
      <c r="AV258" s="116"/>
      <c r="AW258" s="116"/>
      <c r="AX258" s="116"/>
      <c r="AY258" s="116"/>
      <c r="AZ258" s="116"/>
      <c r="BA258" s="116"/>
      <c r="BB258" s="116"/>
    </row>
    <row r="259" spans="4:54">
      <c r="D259" s="116"/>
      <c r="E259" s="116"/>
      <c r="F259" s="116"/>
      <c r="G259" s="116"/>
      <c r="H259" s="116"/>
      <c r="I259" s="116"/>
      <c r="J259" s="116"/>
      <c r="K259" s="116"/>
      <c r="L259" s="116"/>
      <c r="M259" s="116"/>
      <c r="N259" s="116"/>
      <c r="O259" s="116"/>
      <c r="P259" s="116"/>
      <c r="Q259" s="116"/>
      <c r="R259" s="116"/>
      <c r="S259" s="116"/>
      <c r="T259" s="116"/>
      <c r="U259" s="116"/>
      <c r="V259" s="116"/>
      <c r="W259" s="116"/>
      <c r="X259" s="116"/>
      <c r="Y259" s="116"/>
      <c r="Z259" s="116"/>
      <c r="AA259" s="116"/>
      <c r="AB259" s="116"/>
      <c r="AC259" s="116"/>
      <c r="AD259" s="116"/>
      <c r="AE259" s="116"/>
      <c r="AF259" s="116"/>
      <c r="AG259" s="116"/>
      <c r="AH259" s="116"/>
      <c r="AI259" s="116"/>
      <c r="AJ259" s="116"/>
      <c r="AK259" s="116"/>
      <c r="AL259" s="116"/>
      <c r="AM259" s="116"/>
      <c r="AN259" s="116"/>
      <c r="AO259" s="116"/>
      <c r="AP259" s="116"/>
      <c r="AQ259" s="116"/>
      <c r="AR259" s="116"/>
      <c r="AS259" s="116"/>
      <c r="AT259" s="116"/>
      <c r="AU259" s="116"/>
      <c r="AV259" s="116"/>
      <c r="AW259" s="116"/>
      <c r="AX259" s="116"/>
      <c r="AY259" s="116"/>
      <c r="AZ259" s="116"/>
      <c r="BA259" s="116"/>
      <c r="BB259" s="116"/>
    </row>
    <row r="260" spans="4:54">
      <c r="D260" s="116"/>
      <c r="E260" s="116"/>
      <c r="F260" s="116"/>
      <c r="G260" s="116"/>
      <c r="H260" s="116"/>
      <c r="I260" s="116"/>
      <c r="J260" s="116"/>
      <c r="K260" s="116"/>
      <c r="L260" s="116"/>
      <c r="M260" s="116"/>
      <c r="N260" s="116"/>
      <c r="O260" s="116"/>
      <c r="P260" s="116"/>
      <c r="Q260" s="116"/>
      <c r="R260" s="116"/>
      <c r="S260" s="116"/>
      <c r="T260" s="116"/>
      <c r="U260" s="116"/>
      <c r="V260" s="116"/>
      <c r="W260" s="116"/>
      <c r="X260" s="116"/>
      <c r="Y260" s="116"/>
      <c r="Z260" s="116"/>
      <c r="AA260" s="116"/>
      <c r="AB260" s="116"/>
      <c r="AC260" s="116"/>
      <c r="AD260" s="116"/>
      <c r="AE260" s="116"/>
      <c r="AF260" s="116"/>
      <c r="AG260" s="116"/>
      <c r="AH260" s="116"/>
      <c r="AI260" s="116"/>
      <c r="AJ260" s="116"/>
      <c r="AK260" s="116"/>
      <c r="AL260" s="116"/>
      <c r="AM260" s="116"/>
      <c r="AN260" s="116"/>
      <c r="AO260" s="116"/>
      <c r="AP260" s="116"/>
      <c r="AQ260" s="116"/>
      <c r="AR260" s="116"/>
      <c r="AS260" s="116"/>
      <c r="AT260" s="116"/>
      <c r="AU260" s="116"/>
      <c r="AV260" s="116"/>
      <c r="AW260" s="116"/>
      <c r="AX260" s="116"/>
      <c r="AY260" s="116"/>
      <c r="AZ260" s="116"/>
      <c r="BA260" s="116"/>
      <c r="BB260" s="116"/>
    </row>
    <row r="261" spans="4:54">
      <c r="D261" s="116"/>
      <c r="E261" s="116"/>
      <c r="F261" s="116"/>
      <c r="G261" s="116"/>
      <c r="H261" s="116"/>
      <c r="I261" s="116"/>
      <c r="J261" s="116"/>
      <c r="K261" s="116"/>
      <c r="L261" s="116"/>
      <c r="M261" s="116"/>
      <c r="N261" s="116"/>
      <c r="O261" s="116"/>
      <c r="P261" s="116"/>
      <c r="Q261" s="116"/>
      <c r="R261" s="116"/>
      <c r="S261" s="116"/>
      <c r="T261" s="116"/>
      <c r="U261" s="116"/>
      <c r="V261" s="116"/>
      <c r="W261" s="116"/>
      <c r="X261" s="116"/>
      <c r="Y261" s="116"/>
      <c r="Z261" s="116"/>
      <c r="AA261" s="116"/>
      <c r="AB261" s="116"/>
      <c r="AC261" s="116"/>
      <c r="AD261" s="116"/>
      <c r="AE261" s="116"/>
      <c r="AF261" s="116"/>
      <c r="AG261" s="116"/>
      <c r="AH261" s="116"/>
      <c r="AI261" s="116"/>
      <c r="AJ261" s="116"/>
      <c r="AK261" s="116"/>
      <c r="AL261" s="116"/>
      <c r="AM261" s="116"/>
      <c r="AN261" s="116"/>
      <c r="AO261" s="116"/>
      <c r="AP261" s="116"/>
      <c r="AQ261" s="116"/>
      <c r="AR261" s="116"/>
      <c r="AS261" s="116"/>
      <c r="AT261" s="116"/>
      <c r="AU261" s="116"/>
      <c r="AV261" s="116"/>
      <c r="AW261" s="116"/>
      <c r="AX261" s="116"/>
      <c r="AY261" s="116"/>
      <c r="AZ261" s="116"/>
      <c r="BA261" s="116"/>
      <c r="BB261" s="116"/>
    </row>
    <row r="262" spans="4:54">
      <c r="D262" s="116"/>
      <c r="E262" s="116"/>
      <c r="F262" s="116"/>
      <c r="G262" s="116"/>
      <c r="H262" s="116"/>
      <c r="I262" s="116"/>
      <c r="J262" s="116"/>
      <c r="K262" s="116"/>
      <c r="L262" s="116"/>
      <c r="M262" s="116"/>
      <c r="N262" s="116"/>
      <c r="O262" s="116"/>
      <c r="P262" s="116"/>
      <c r="Q262" s="116"/>
      <c r="R262" s="116"/>
      <c r="S262" s="116"/>
      <c r="T262" s="116"/>
      <c r="U262" s="116"/>
      <c r="V262" s="116"/>
      <c r="W262" s="116"/>
      <c r="X262" s="116"/>
      <c r="Y262" s="116"/>
      <c r="Z262" s="116"/>
      <c r="AA262" s="116"/>
      <c r="AB262" s="116"/>
      <c r="AC262" s="116"/>
      <c r="AD262" s="116"/>
      <c r="AE262" s="116"/>
      <c r="AF262" s="116"/>
      <c r="AG262" s="116"/>
      <c r="AH262" s="116"/>
      <c r="AI262" s="116"/>
      <c r="AJ262" s="116"/>
      <c r="AK262" s="116"/>
      <c r="AL262" s="116"/>
      <c r="AM262" s="116"/>
      <c r="AN262" s="116"/>
      <c r="AO262" s="116"/>
      <c r="AP262" s="116"/>
      <c r="AQ262" s="116"/>
      <c r="AR262" s="116"/>
      <c r="AS262" s="116"/>
      <c r="AT262" s="116"/>
      <c r="AU262" s="116"/>
      <c r="AV262" s="116"/>
      <c r="AW262" s="116"/>
      <c r="AX262" s="116"/>
      <c r="AY262" s="116"/>
      <c r="AZ262" s="116"/>
      <c r="BA262" s="116"/>
      <c r="BB262" s="116"/>
    </row>
    <row r="263" spans="4:54">
      <c r="D263" s="116"/>
      <c r="E263" s="116"/>
      <c r="F263" s="116"/>
      <c r="G263" s="116"/>
      <c r="H263" s="116"/>
      <c r="I263" s="116"/>
      <c r="J263" s="116"/>
      <c r="K263" s="116"/>
      <c r="L263" s="116"/>
      <c r="M263" s="116"/>
      <c r="N263" s="116"/>
      <c r="O263" s="116"/>
      <c r="P263" s="116"/>
      <c r="Q263" s="116"/>
      <c r="R263" s="116"/>
      <c r="S263" s="116"/>
      <c r="T263" s="116"/>
      <c r="U263" s="116"/>
      <c r="V263" s="116"/>
      <c r="W263" s="116"/>
      <c r="X263" s="116"/>
      <c r="Y263" s="116"/>
      <c r="Z263" s="116"/>
      <c r="AA263" s="116"/>
      <c r="AB263" s="116"/>
      <c r="AC263" s="116"/>
      <c r="AD263" s="116"/>
      <c r="AE263" s="116"/>
      <c r="AF263" s="116"/>
      <c r="AG263" s="116"/>
      <c r="AH263" s="116"/>
      <c r="AI263" s="116"/>
      <c r="AJ263" s="116"/>
      <c r="AK263" s="116"/>
      <c r="AL263" s="116"/>
      <c r="AM263" s="116"/>
      <c r="AN263" s="116"/>
      <c r="AO263" s="116"/>
      <c r="AP263" s="116"/>
      <c r="AQ263" s="116"/>
      <c r="AR263" s="116"/>
      <c r="AS263" s="116"/>
      <c r="AT263" s="116"/>
      <c r="AU263" s="116"/>
      <c r="AV263" s="116"/>
      <c r="AW263" s="116"/>
      <c r="AX263" s="116"/>
      <c r="AY263" s="116"/>
      <c r="AZ263" s="116"/>
      <c r="BA263" s="116"/>
      <c r="BB263" s="116"/>
    </row>
    <row r="264" spans="4:54">
      <c r="D264" s="116"/>
      <c r="E264" s="116"/>
      <c r="F264" s="116"/>
      <c r="G264" s="116"/>
      <c r="H264" s="116"/>
      <c r="I264" s="116"/>
      <c r="J264" s="116"/>
      <c r="K264" s="116"/>
      <c r="L264" s="116"/>
      <c r="M264" s="116"/>
      <c r="N264" s="116"/>
      <c r="O264" s="116"/>
      <c r="P264" s="116"/>
      <c r="Q264" s="116"/>
      <c r="R264" s="116"/>
      <c r="S264" s="116"/>
      <c r="T264" s="116"/>
      <c r="U264" s="116"/>
      <c r="V264" s="116"/>
      <c r="W264" s="116"/>
      <c r="X264" s="116"/>
      <c r="Y264" s="116"/>
      <c r="Z264" s="116"/>
      <c r="AA264" s="116"/>
      <c r="AB264" s="116"/>
      <c r="AC264" s="116"/>
      <c r="AD264" s="116"/>
      <c r="AE264" s="116"/>
      <c r="AF264" s="116"/>
      <c r="AG264" s="116"/>
      <c r="AH264" s="116"/>
      <c r="AI264" s="116"/>
      <c r="AJ264" s="116"/>
      <c r="AK264" s="116"/>
      <c r="AL264" s="116"/>
      <c r="AM264" s="116"/>
      <c r="AN264" s="116"/>
      <c r="AO264" s="116"/>
      <c r="AP264" s="116"/>
      <c r="AQ264" s="116"/>
      <c r="AR264" s="116"/>
      <c r="AS264" s="116"/>
      <c r="AT264" s="116"/>
      <c r="AU264" s="116"/>
      <c r="AV264" s="116"/>
      <c r="AW264" s="116"/>
      <c r="AX264" s="116"/>
      <c r="AY264" s="116"/>
      <c r="AZ264" s="116"/>
      <c r="BA264" s="116"/>
      <c r="BB264" s="116"/>
    </row>
    <row r="265" spans="4:54">
      <c r="D265" s="116"/>
      <c r="E265" s="116"/>
      <c r="F265" s="116"/>
      <c r="G265" s="116"/>
      <c r="H265" s="116"/>
      <c r="I265" s="116"/>
      <c r="J265" s="116"/>
      <c r="K265" s="116"/>
      <c r="L265" s="116"/>
      <c r="M265" s="116"/>
      <c r="N265" s="116"/>
      <c r="O265" s="116"/>
      <c r="P265" s="116"/>
      <c r="Q265" s="116"/>
      <c r="R265" s="116"/>
      <c r="S265" s="116"/>
      <c r="T265" s="116"/>
      <c r="U265" s="116"/>
      <c r="V265" s="116"/>
      <c r="W265" s="116"/>
      <c r="X265" s="116"/>
      <c r="Y265" s="116"/>
      <c r="Z265" s="116"/>
      <c r="AA265" s="116"/>
      <c r="AB265" s="116"/>
      <c r="AC265" s="116"/>
      <c r="AD265" s="116"/>
      <c r="AE265" s="116"/>
      <c r="AF265" s="116"/>
      <c r="AG265" s="116"/>
      <c r="AH265" s="116"/>
      <c r="AI265" s="116"/>
      <c r="AJ265" s="116"/>
      <c r="AK265" s="116"/>
      <c r="AL265" s="116"/>
      <c r="AM265" s="116"/>
      <c r="AN265" s="116"/>
      <c r="AO265" s="116"/>
      <c r="AP265" s="116"/>
      <c r="AQ265" s="116"/>
      <c r="AR265" s="116"/>
      <c r="AS265" s="116"/>
      <c r="AT265" s="116"/>
      <c r="AU265" s="116"/>
      <c r="AV265" s="116"/>
      <c r="AW265" s="116"/>
      <c r="AX265" s="116"/>
      <c r="AY265" s="116"/>
      <c r="AZ265" s="116"/>
      <c r="BA265" s="116"/>
      <c r="BB265" s="116"/>
    </row>
    <row r="266" spans="4:54">
      <c r="D266" s="116"/>
      <c r="E266" s="116"/>
      <c r="F266" s="116"/>
      <c r="G266" s="116"/>
      <c r="H266" s="116"/>
      <c r="I266" s="116"/>
      <c r="J266" s="116"/>
      <c r="K266" s="116"/>
      <c r="L266" s="116"/>
      <c r="M266" s="116"/>
      <c r="N266" s="116"/>
      <c r="O266" s="116"/>
      <c r="P266" s="116"/>
      <c r="Q266" s="116"/>
      <c r="R266" s="116"/>
      <c r="S266" s="116"/>
      <c r="T266" s="116"/>
      <c r="U266" s="116"/>
      <c r="V266" s="116"/>
      <c r="W266" s="116"/>
      <c r="X266" s="116"/>
      <c r="Y266" s="116"/>
      <c r="Z266" s="116"/>
      <c r="AA266" s="116"/>
      <c r="AB266" s="116"/>
      <c r="AC266" s="116"/>
      <c r="AD266" s="116"/>
      <c r="AE266" s="116"/>
      <c r="AF266" s="116"/>
      <c r="AG266" s="116"/>
      <c r="AH266" s="116"/>
      <c r="AI266" s="116"/>
      <c r="AJ266" s="116"/>
      <c r="AK266" s="116"/>
      <c r="AL266" s="116"/>
      <c r="AM266" s="116"/>
      <c r="AN266" s="116"/>
      <c r="AO266" s="116"/>
      <c r="AP266" s="116"/>
      <c r="AQ266" s="116"/>
      <c r="AR266" s="116"/>
      <c r="AS266" s="116"/>
      <c r="AT266" s="116"/>
      <c r="AU266" s="116"/>
      <c r="AV266" s="116"/>
      <c r="AW266" s="116"/>
      <c r="AX266" s="116"/>
      <c r="AY266" s="116"/>
      <c r="AZ266" s="116"/>
      <c r="BA266" s="116"/>
      <c r="BB266" s="116"/>
    </row>
    <row r="267" spans="4:54">
      <c r="D267" s="116"/>
      <c r="E267" s="116"/>
      <c r="F267" s="116"/>
      <c r="G267" s="116"/>
      <c r="H267" s="116"/>
      <c r="I267" s="116"/>
      <c r="J267" s="116"/>
      <c r="K267" s="116"/>
      <c r="L267" s="116"/>
      <c r="M267" s="116"/>
      <c r="N267" s="116"/>
      <c r="O267" s="116"/>
      <c r="P267" s="116"/>
      <c r="Q267" s="116"/>
      <c r="R267" s="116"/>
      <c r="S267" s="116"/>
      <c r="T267" s="116"/>
      <c r="U267" s="116"/>
      <c r="V267" s="116"/>
      <c r="W267" s="116"/>
      <c r="X267" s="116"/>
      <c r="Y267" s="116"/>
      <c r="Z267" s="116"/>
      <c r="AA267" s="116"/>
      <c r="AB267" s="116"/>
      <c r="AC267" s="116"/>
      <c r="AD267" s="116"/>
      <c r="AE267" s="116"/>
      <c r="AF267" s="116"/>
      <c r="AG267" s="116"/>
      <c r="AH267" s="116"/>
      <c r="AI267" s="116"/>
      <c r="AJ267" s="116"/>
      <c r="AK267" s="116"/>
      <c r="AL267" s="116"/>
      <c r="AM267" s="116"/>
      <c r="AN267" s="116"/>
      <c r="AO267" s="116"/>
      <c r="AP267" s="116"/>
      <c r="AQ267" s="116"/>
      <c r="AR267" s="116"/>
      <c r="AS267" s="116"/>
      <c r="AT267" s="116"/>
      <c r="AU267" s="116"/>
      <c r="AV267" s="116"/>
      <c r="AW267" s="116"/>
      <c r="AX267" s="116"/>
      <c r="AY267" s="116"/>
      <c r="AZ267" s="116"/>
      <c r="BA267" s="116"/>
      <c r="BB267" s="116"/>
    </row>
    <row r="268" spans="4:54">
      <c r="D268" s="116"/>
      <c r="E268" s="116"/>
      <c r="F268" s="116"/>
      <c r="G268" s="116"/>
      <c r="H268" s="116"/>
      <c r="I268" s="116"/>
      <c r="J268" s="116"/>
      <c r="K268" s="116"/>
      <c r="L268" s="116"/>
      <c r="M268" s="116"/>
      <c r="N268" s="116"/>
      <c r="O268" s="116"/>
      <c r="P268" s="116"/>
      <c r="Q268" s="116"/>
      <c r="R268" s="116"/>
      <c r="S268" s="116"/>
      <c r="T268" s="116"/>
      <c r="U268" s="116"/>
      <c r="V268" s="116"/>
      <c r="W268" s="116"/>
      <c r="X268" s="116"/>
      <c r="Y268" s="116"/>
      <c r="Z268" s="116"/>
      <c r="AA268" s="116"/>
      <c r="AB268" s="116"/>
      <c r="AC268" s="116"/>
      <c r="AD268" s="116"/>
      <c r="AE268" s="116"/>
      <c r="AF268" s="116"/>
      <c r="AG268" s="116"/>
      <c r="AH268" s="116"/>
      <c r="AI268" s="116"/>
      <c r="AJ268" s="116"/>
      <c r="AK268" s="116"/>
      <c r="AL268" s="116"/>
      <c r="AM268" s="116"/>
      <c r="AN268" s="116"/>
      <c r="AO268" s="116"/>
      <c r="AP268" s="116"/>
      <c r="AQ268" s="116"/>
      <c r="AR268" s="116"/>
      <c r="AS268" s="116"/>
      <c r="AT268" s="116"/>
      <c r="AU268" s="116"/>
      <c r="AV268" s="116"/>
      <c r="AW268" s="116"/>
      <c r="AX268" s="116"/>
      <c r="AY268" s="116"/>
      <c r="AZ268" s="116"/>
      <c r="BA268" s="116"/>
      <c r="BB268" s="116"/>
    </row>
    <row r="269" spans="4:54">
      <c r="D269" s="116"/>
      <c r="E269" s="116"/>
      <c r="F269" s="116"/>
      <c r="G269" s="116"/>
      <c r="H269" s="116"/>
      <c r="I269" s="116"/>
      <c r="J269" s="116"/>
      <c r="K269" s="116"/>
      <c r="L269" s="116"/>
      <c r="M269" s="116"/>
      <c r="N269" s="116"/>
      <c r="O269" s="116"/>
      <c r="P269" s="116"/>
      <c r="Q269" s="116"/>
      <c r="R269" s="116"/>
      <c r="S269" s="116"/>
      <c r="T269" s="116"/>
      <c r="U269" s="116"/>
      <c r="V269" s="116"/>
      <c r="W269" s="116"/>
      <c r="X269" s="116"/>
      <c r="Y269" s="116"/>
      <c r="Z269" s="116"/>
      <c r="AA269" s="116"/>
      <c r="AB269" s="116"/>
      <c r="AC269" s="116"/>
      <c r="AD269" s="116"/>
      <c r="AE269" s="116"/>
      <c r="AF269" s="116"/>
      <c r="AG269" s="116"/>
      <c r="AH269" s="116"/>
      <c r="AI269" s="116"/>
      <c r="AJ269" s="116"/>
      <c r="AK269" s="116"/>
      <c r="AL269" s="116"/>
      <c r="AM269" s="116"/>
      <c r="AN269" s="116"/>
      <c r="AO269" s="116"/>
      <c r="AP269" s="116"/>
      <c r="AQ269" s="116"/>
      <c r="AR269" s="116"/>
      <c r="AS269" s="116"/>
      <c r="AT269" s="116"/>
      <c r="AU269" s="116"/>
      <c r="AV269" s="116"/>
      <c r="AW269" s="116"/>
      <c r="AX269" s="116"/>
      <c r="AY269" s="116"/>
      <c r="AZ269" s="116"/>
      <c r="BA269" s="116"/>
      <c r="BB269" s="116"/>
    </row>
    <row r="270" spans="4:54">
      <c r="D270" s="116"/>
      <c r="E270" s="116"/>
      <c r="F270" s="116"/>
      <c r="G270" s="116"/>
      <c r="H270" s="116"/>
      <c r="I270" s="116"/>
      <c r="J270" s="116"/>
      <c r="K270" s="116"/>
      <c r="L270" s="116"/>
      <c r="M270" s="116"/>
      <c r="N270" s="116"/>
      <c r="O270" s="116"/>
      <c r="P270" s="116"/>
      <c r="Q270" s="116"/>
      <c r="R270" s="116"/>
      <c r="S270" s="116"/>
      <c r="T270" s="116"/>
      <c r="U270" s="116"/>
      <c r="V270" s="116"/>
      <c r="W270" s="116"/>
      <c r="X270" s="116"/>
      <c r="Y270" s="116"/>
      <c r="Z270" s="116"/>
      <c r="AA270" s="116"/>
      <c r="AB270" s="116"/>
      <c r="AC270" s="116"/>
      <c r="AD270" s="116"/>
      <c r="AE270" s="116"/>
      <c r="AF270" s="116"/>
      <c r="AG270" s="116"/>
      <c r="AH270" s="116"/>
      <c r="AI270" s="116"/>
      <c r="AJ270" s="116"/>
      <c r="AK270" s="116"/>
      <c r="AL270" s="116"/>
      <c r="AM270" s="116"/>
      <c r="AN270" s="116"/>
      <c r="AO270" s="116"/>
      <c r="AP270" s="116"/>
      <c r="AQ270" s="116"/>
      <c r="AR270" s="116"/>
      <c r="AS270" s="116"/>
      <c r="AT270" s="116"/>
      <c r="AU270" s="116"/>
      <c r="AV270" s="116"/>
      <c r="AW270" s="116"/>
      <c r="AX270" s="116"/>
      <c r="AY270" s="116"/>
      <c r="AZ270" s="116"/>
      <c r="BA270" s="116"/>
      <c r="BB270" s="116"/>
    </row>
    <row r="271" spans="4:54">
      <c r="D271" s="116"/>
      <c r="E271" s="116"/>
      <c r="F271" s="116"/>
      <c r="G271" s="116"/>
      <c r="H271" s="116"/>
      <c r="I271" s="116"/>
      <c r="J271" s="116"/>
      <c r="K271" s="116"/>
      <c r="L271" s="116"/>
      <c r="M271" s="116"/>
      <c r="N271" s="116"/>
      <c r="O271" s="116"/>
      <c r="P271" s="116"/>
      <c r="Q271" s="116"/>
      <c r="R271" s="116"/>
      <c r="S271" s="116"/>
      <c r="T271" s="116"/>
      <c r="U271" s="116"/>
      <c r="V271" s="116"/>
      <c r="W271" s="116"/>
      <c r="X271" s="116"/>
      <c r="Y271" s="116"/>
      <c r="Z271" s="116"/>
      <c r="AA271" s="116"/>
      <c r="AB271" s="116"/>
      <c r="AC271" s="116"/>
      <c r="AD271" s="116"/>
      <c r="AE271" s="116"/>
      <c r="AF271" s="116"/>
      <c r="AG271" s="116"/>
      <c r="AH271" s="116"/>
      <c r="AI271" s="116"/>
      <c r="AJ271" s="116"/>
      <c r="AK271" s="116"/>
      <c r="AL271" s="116"/>
      <c r="AM271" s="116"/>
      <c r="AN271" s="116"/>
      <c r="AO271" s="116"/>
      <c r="AP271" s="116"/>
      <c r="AQ271" s="116"/>
      <c r="AR271" s="116"/>
      <c r="AS271" s="116"/>
      <c r="AT271" s="116"/>
      <c r="AU271" s="116"/>
      <c r="AV271" s="116"/>
      <c r="AW271" s="116"/>
      <c r="AX271" s="116"/>
      <c r="AY271" s="116"/>
      <c r="AZ271" s="116"/>
      <c r="BA271" s="116"/>
      <c r="BB271" s="116"/>
    </row>
    <row r="272" spans="4:54">
      <c r="D272" s="116"/>
      <c r="E272" s="116"/>
      <c r="F272" s="116"/>
      <c r="G272" s="116"/>
      <c r="H272" s="116"/>
      <c r="I272" s="116"/>
      <c r="J272" s="116"/>
      <c r="K272" s="116"/>
      <c r="L272" s="116"/>
      <c r="M272" s="116"/>
      <c r="N272" s="116"/>
      <c r="O272" s="116"/>
      <c r="P272" s="116"/>
      <c r="Q272" s="116"/>
      <c r="R272" s="116"/>
      <c r="S272" s="116"/>
      <c r="T272" s="116"/>
      <c r="U272" s="116"/>
      <c r="V272" s="116"/>
      <c r="W272" s="116"/>
      <c r="X272" s="116"/>
      <c r="Y272" s="116"/>
      <c r="Z272" s="116"/>
      <c r="AA272" s="116"/>
      <c r="AB272" s="116"/>
      <c r="AC272" s="116"/>
      <c r="AD272" s="116"/>
      <c r="AE272" s="116"/>
      <c r="AF272" s="116"/>
      <c r="AG272" s="116"/>
      <c r="AH272" s="116"/>
      <c r="AI272" s="116"/>
      <c r="AJ272" s="116"/>
      <c r="AK272" s="116"/>
      <c r="AL272" s="116"/>
      <c r="AM272" s="116"/>
      <c r="AN272" s="116"/>
      <c r="AO272" s="116"/>
      <c r="AP272" s="116"/>
      <c r="AQ272" s="116"/>
      <c r="AR272" s="116"/>
      <c r="AS272" s="116"/>
      <c r="AT272" s="116"/>
      <c r="AU272" s="116"/>
      <c r="AV272" s="116"/>
      <c r="AW272" s="116"/>
      <c r="AX272" s="116"/>
      <c r="AY272" s="116"/>
      <c r="AZ272" s="116"/>
      <c r="BA272" s="116"/>
      <c r="BB272" s="116"/>
    </row>
    <row r="273" spans="4:54">
      <c r="D273" s="116"/>
      <c r="E273" s="116"/>
      <c r="F273" s="116"/>
      <c r="G273" s="116"/>
      <c r="H273" s="116"/>
      <c r="I273" s="116"/>
      <c r="J273" s="116"/>
      <c r="K273" s="116"/>
      <c r="L273" s="116"/>
      <c r="M273" s="116"/>
      <c r="N273" s="116"/>
      <c r="O273" s="116"/>
      <c r="P273" s="116"/>
      <c r="Q273" s="116"/>
      <c r="R273" s="116"/>
      <c r="S273" s="116"/>
      <c r="T273" s="116"/>
      <c r="U273" s="116"/>
      <c r="V273" s="116"/>
      <c r="W273" s="116"/>
      <c r="X273" s="116"/>
      <c r="Y273" s="116"/>
      <c r="Z273" s="116"/>
      <c r="AA273" s="116"/>
      <c r="AB273" s="116"/>
      <c r="AC273" s="116"/>
      <c r="AD273" s="116"/>
      <c r="AE273" s="116"/>
      <c r="AF273" s="116"/>
      <c r="AG273" s="116"/>
      <c r="AH273" s="116"/>
      <c r="AI273" s="116"/>
      <c r="AJ273" s="116"/>
      <c r="AK273" s="116"/>
      <c r="AL273" s="116"/>
      <c r="AM273" s="116"/>
      <c r="AN273" s="116"/>
      <c r="AO273" s="116"/>
      <c r="AP273" s="116"/>
      <c r="AQ273" s="116"/>
      <c r="AR273" s="116"/>
      <c r="AS273" s="116"/>
      <c r="AT273" s="116"/>
      <c r="AU273" s="116"/>
      <c r="AV273" s="116"/>
      <c r="AW273" s="116"/>
      <c r="AX273" s="116"/>
      <c r="AY273" s="116"/>
      <c r="AZ273" s="116"/>
      <c r="BA273" s="116"/>
      <c r="BB273" s="116"/>
    </row>
    <row r="274" spans="4:54">
      <c r="D274" s="116"/>
      <c r="E274" s="116"/>
      <c r="F274" s="116"/>
      <c r="G274" s="116"/>
      <c r="H274" s="116"/>
      <c r="I274" s="116"/>
      <c r="J274" s="116"/>
      <c r="K274" s="116"/>
      <c r="L274" s="116"/>
      <c r="M274" s="116"/>
      <c r="N274" s="116"/>
      <c r="O274" s="116"/>
      <c r="P274" s="116"/>
      <c r="Q274" s="116"/>
      <c r="R274" s="116"/>
      <c r="S274" s="116"/>
      <c r="T274" s="116"/>
      <c r="U274" s="116"/>
      <c r="V274" s="116"/>
      <c r="W274" s="116"/>
      <c r="X274" s="116"/>
      <c r="Y274" s="116"/>
      <c r="Z274" s="116"/>
      <c r="AA274" s="116"/>
      <c r="AB274" s="116"/>
      <c r="AC274" s="116"/>
      <c r="AD274" s="116"/>
      <c r="AE274" s="116"/>
      <c r="AF274" s="116"/>
      <c r="AG274" s="116"/>
      <c r="AH274" s="116"/>
      <c r="AI274" s="116"/>
      <c r="AJ274" s="116"/>
      <c r="AK274" s="116"/>
      <c r="AL274" s="116"/>
      <c r="AM274" s="116"/>
      <c r="AN274" s="116"/>
      <c r="AO274" s="116"/>
      <c r="AP274" s="116"/>
      <c r="AQ274" s="116"/>
      <c r="AR274" s="116"/>
      <c r="AS274" s="116"/>
      <c r="AT274" s="116"/>
      <c r="AU274" s="116"/>
      <c r="AV274" s="116"/>
      <c r="AW274" s="116"/>
      <c r="AX274" s="116"/>
      <c r="AY274" s="116"/>
      <c r="AZ274" s="116"/>
      <c r="BA274" s="116"/>
      <c r="BB274" s="116"/>
    </row>
    <row r="275" spans="4:54">
      <c r="D275" s="116"/>
      <c r="E275" s="116"/>
      <c r="F275" s="116"/>
      <c r="G275" s="116"/>
      <c r="H275" s="116"/>
      <c r="I275" s="116"/>
      <c r="J275" s="116"/>
      <c r="K275" s="116"/>
      <c r="L275" s="116"/>
      <c r="M275" s="116"/>
      <c r="N275" s="116"/>
      <c r="O275" s="116"/>
      <c r="P275" s="116"/>
      <c r="Q275" s="116"/>
      <c r="R275" s="116"/>
      <c r="S275" s="116"/>
      <c r="T275" s="116"/>
      <c r="U275" s="116"/>
      <c r="V275" s="116"/>
      <c r="W275" s="116"/>
      <c r="X275" s="116"/>
      <c r="Y275" s="116"/>
      <c r="Z275" s="116"/>
      <c r="AA275" s="116"/>
      <c r="AB275" s="116"/>
      <c r="AC275" s="116"/>
      <c r="AD275" s="116"/>
      <c r="AE275" s="116"/>
      <c r="AF275" s="116"/>
      <c r="AG275" s="116"/>
      <c r="AH275" s="116"/>
      <c r="AI275" s="116"/>
      <c r="AJ275" s="116"/>
      <c r="AK275" s="116"/>
      <c r="AL275" s="116"/>
      <c r="AM275" s="116"/>
      <c r="AN275" s="116"/>
      <c r="AO275" s="116"/>
      <c r="AP275" s="116"/>
      <c r="AQ275" s="116"/>
      <c r="AR275" s="116"/>
      <c r="AS275" s="116"/>
      <c r="AT275" s="116"/>
      <c r="AU275" s="116"/>
      <c r="AV275" s="116"/>
      <c r="AW275" s="116"/>
      <c r="AX275" s="116"/>
      <c r="AY275" s="116"/>
      <c r="AZ275" s="116"/>
      <c r="BA275" s="116"/>
      <c r="BB275" s="116"/>
    </row>
    <row r="276" spans="4:54">
      <c r="D276" s="116"/>
      <c r="E276" s="116"/>
      <c r="F276" s="116"/>
      <c r="G276" s="116"/>
      <c r="H276" s="116"/>
      <c r="I276" s="116"/>
      <c r="J276" s="116"/>
      <c r="K276" s="116"/>
      <c r="L276" s="116"/>
      <c r="M276" s="116"/>
      <c r="N276" s="116"/>
      <c r="O276" s="116"/>
      <c r="P276" s="116"/>
      <c r="Q276" s="116"/>
      <c r="R276" s="116"/>
      <c r="S276" s="116"/>
      <c r="T276" s="116"/>
      <c r="U276" s="116"/>
      <c r="V276" s="116"/>
      <c r="W276" s="116"/>
      <c r="X276" s="116"/>
      <c r="Y276" s="116"/>
      <c r="Z276" s="116"/>
      <c r="AA276" s="116"/>
      <c r="AB276" s="116"/>
      <c r="AC276" s="116"/>
      <c r="AD276" s="116"/>
      <c r="AE276" s="116"/>
      <c r="AF276" s="116"/>
      <c r="AG276" s="116"/>
      <c r="AH276" s="116"/>
      <c r="AI276" s="116"/>
      <c r="AJ276" s="116"/>
      <c r="AK276" s="116"/>
      <c r="AL276" s="116"/>
      <c r="AM276" s="116"/>
      <c r="AN276" s="116"/>
      <c r="AO276" s="116"/>
      <c r="AP276" s="116"/>
      <c r="AQ276" s="116"/>
      <c r="AR276" s="116"/>
      <c r="AS276" s="116"/>
      <c r="AT276" s="116"/>
      <c r="AU276" s="116"/>
      <c r="AV276" s="116"/>
      <c r="AW276" s="116"/>
      <c r="AX276" s="116"/>
      <c r="AY276" s="116"/>
      <c r="AZ276" s="116"/>
      <c r="BA276" s="116"/>
      <c r="BB276" s="116"/>
    </row>
    <row r="277" spans="4:54">
      <c r="D277" s="116"/>
      <c r="E277" s="116"/>
      <c r="F277" s="116"/>
      <c r="G277" s="116"/>
      <c r="H277" s="116"/>
      <c r="I277" s="116"/>
      <c r="J277" s="116"/>
      <c r="K277" s="116"/>
      <c r="L277" s="116"/>
      <c r="M277" s="116"/>
      <c r="N277" s="116"/>
      <c r="O277" s="116"/>
      <c r="P277" s="116"/>
      <c r="Q277" s="116"/>
      <c r="R277" s="116"/>
      <c r="S277" s="116"/>
      <c r="T277" s="116"/>
      <c r="U277" s="116"/>
      <c r="V277" s="116"/>
      <c r="W277" s="116"/>
      <c r="X277" s="116"/>
      <c r="Y277" s="116"/>
      <c r="Z277" s="116"/>
      <c r="AA277" s="116"/>
      <c r="AB277" s="116"/>
      <c r="AC277" s="116"/>
      <c r="AD277" s="116"/>
      <c r="AE277" s="116"/>
      <c r="AF277" s="116"/>
      <c r="AG277" s="116"/>
      <c r="AH277" s="116"/>
      <c r="AI277" s="116"/>
      <c r="AJ277" s="116"/>
      <c r="AK277" s="116"/>
      <c r="AL277" s="116"/>
      <c r="AM277" s="116"/>
      <c r="AN277" s="116"/>
      <c r="AO277" s="116"/>
      <c r="AP277" s="116"/>
      <c r="AQ277" s="116"/>
      <c r="AR277" s="116"/>
      <c r="AS277" s="116"/>
      <c r="AT277" s="116"/>
      <c r="AU277" s="116"/>
      <c r="AV277" s="116"/>
      <c r="AW277" s="116"/>
      <c r="AX277" s="116"/>
      <c r="AY277" s="116"/>
      <c r="AZ277" s="116"/>
      <c r="BA277" s="116"/>
      <c r="BB277" s="116"/>
    </row>
    <row r="278" spans="4:54">
      <c r="D278" s="116"/>
      <c r="E278" s="116"/>
      <c r="F278" s="116"/>
      <c r="G278" s="116"/>
      <c r="H278" s="116"/>
      <c r="I278" s="116"/>
      <c r="J278" s="116"/>
      <c r="K278" s="116"/>
      <c r="L278" s="116"/>
      <c r="M278" s="116"/>
      <c r="N278" s="116"/>
      <c r="O278" s="116"/>
      <c r="P278" s="116"/>
      <c r="Q278" s="116"/>
      <c r="R278" s="116"/>
      <c r="S278" s="116"/>
      <c r="T278" s="116"/>
      <c r="U278" s="116"/>
      <c r="V278" s="116"/>
      <c r="W278" s="116"/>
      <c r="X278" s="116"/>
      <c r="Y278" s="116"/>
      <c r="Z278" s="116"/>
      <c r="AA278" s="116"/>
      <c r="AB278" s="116"/>
      <c r="AC278" s="116"/>
      <c r="AD278" s="116"/>
      <c r="AE278" s="116"/>
      <c r="AF278" s="116"/>
      <c r="AG278" s="116"/>
      <c r="AH278" s="116"/>
      <c r="AI278" s="116"/>
      <c r="AJ278" s="116"/>
      <c r="AK278" s="116"/>
      <c r="AL278" s="116"/>
      <c r="AM278" s="116"/>
      <c r="AN278" s="116"/>
      <c r="AO278" s="116"/>
      <c r="AP278" s="116"/>
      <c r="AQ278" s="116"/>
      <c r="AR278" s="116"/>
      <c r="AS278" s="116"/>
      <c r="AT278" s="116"/>
      <c r="AU278" s="116"/>
      <c r="AV278" s="116"/>
      <c r="AW278" s="116"/>
      <c r="AX278" s="116"/>
      <c r="AY278" s="116"/>
      <c r="AZ278" s="116"/>
      <c r="BA278" s="116"/>
      <c r="BB278" s="116"/>
    </row>
    <row r="279" spans="4:54">
      <c r="D279" s="116"/>
      <c r="E279" s="116"/>
      <c r="F279" s="116"/>
      <c r="G279" s="116"/>
      <c r="H279" s="116"/>
      <c r="I279" s="116"/>
      <c r="J279" s="116"/>
      <c r="K279" s="116"/>
      <c r="L279" s="116"/>
      <c r="M279" s="116"/>
      <c r="N279" s="116"/>
      <c r="O279" s="116"/>
      <c r="P279" s="116"/>
      <c r="Q279" s="116"/>
      <c r="R279" s="116"/>
      <c r="S279" s="116"/>
      <c r="T279" s="116"/>
      <c r="U279" s="116"/>
      <c r="V279" s="116"/>
      <c r="W279" s="116"/>
      <c r="X279" s="116"/>
      <c r="Y279" s="116"/>
      <c r="Z279" s="116"/>
      <c r="AA279" s="116"/>
      <c r="AB279" s="116"/>
      <c r="AC279" s="116"/>
      <c r="AD279" s="116"/>
      <c r="AE279" s="116"/>
      <c r="AF279" s="116"/>
      <c r="AG279" s="116"/>
      <c r="AH279" s="116"/>
      <c r="AI279" s="116"/>
      <c r="AJ279" s="116"/>
      <c r="AK279" s="116"/>
      <c r="AL279" s="116"/>
      <c r="AM279" s="116"/>
      <c r="AN279" s="116"/>
      <c r="AO279" s="116"/>
      <c r="AP279" s="116"/>
      <c r="AQ279" s="116"/>
      <c r="AR279" s="116"/>
      <c r="AS279" s="116"/>
      <c r="AT279" s="116"/>
      <c r="AU279" s="116"/>
      <c r="AV279" s="116"/>
      <c r="AW279" s="116"/>
      <c r="AX279" s="116"/>
      <c r="AY279" s="116"/>
      <c r="AZ279" s="116"/>
      <c r="BA279" s="116"/>
      <c r="BB279" s="116"/>
    </row>
    <row r="280" spans="4:54">
      <c r="D280" s="116"/>
      <c r="E280" s="116"/>
      <c r="F280" s="116"/>
      <c r="G280" s="116"/>
      <c r="H280" s="116"/>
      <c r="I280" s="116"/>
      <c r="J280" s="116"/>
      <c r="K280" s="116"/>
      <c r="L280" s="116"/>
      <c r="M280" s="116"/>
      <c r="N280" s="116"/>
      <c r="O280" s="116"/>
      <c r="P280" s="116"/>
      <c r="Q280" s="116"/>
      <c r="R280" s="116"/>
      <c r="S280" s="116"/>
      <c r="T280" s="116"/>
      <c r="U280" s="116"/>
      <c r="V280" s="116"/>
      <c r="W280" s="116"/>
      <c r="X280" s="116"/>
      <c r="Y280" s="116"/>
      <c r="Z280" s="116"/>
      <c r="AA280" s="116"/>
      <c r="AB280" s="116"/>
      <c r="AC280" s="116"/>
      <c r="AD280" s="116"/>
      <c r="AE280" s="116"/>
      <c r="AF280" s="116"/>
      <c r="AG280" s="116"/>
      <c r="AH280" s="116"/>
      <c r="AI280" s="116"/>
      <c r="AJ280" s="116"/>
      <c r="AK280" s="116"/>
      <c r="AL280" s="116"/>
      <c r="AM280" s="116"/>
      <c r="AN280" s="116"/>
      <c r="AO280" s="116"/>
      <c r="AP280" s="116"/>
      <c r="AQ280" s="116"/>
      <c r="AR280" s="116"/>
      <c r="AS280" s="116"/>
      <c r="AT280" s="116"/>
      <c r="AU280" s="116"/>
      <c r="AV280" s="116"/>
      <c r="AW280" s="116"/>
      <c r="AX280" s="116"/>
      <c r="AY280" s="116"/>
      <c r="AZ280" s="116"/>
      <c r="BA280" s="116"/>
      <c r="BB280" s="116"/>
    </row>
    <row r="281" spans="4:54">
      <c r="D281" s="116"/>
      <c r="E281" s="116"/>
      <c r="F281" s="116"/>
      <c r="G281" s="116"/>
      <c r="H281" s="116"/>
      <c r="I281" s="116"/>
      <c r="J281" s="116"/>
      <c r="K281" s="116"/>
      <c r="L281" s="116"/>
      <c r="M281" s="116"/>
      <c r="N281" s="116"/>
      <c r="O281" s="116"/>
      <c r="P281" s="116"/>
      <c r="Q281" s="116"/>
      <c r="R281" s="116"/>
      <c r="S281" s="116"/>
      <c r="T281" s="116"/>
      <c r="U281" s="116"/>
      <c r="V281" s="116"/>
      <c r="W281" s="116"/>
      <c r="X281" s="116"/>
      <c r="Y281" s="116"/>
      <c r="Z281" s="116"/>
      <c r="AA281" s="116"/>
      <c r="AB281" s="116"/>
      <c r="AC281" s="116"/>
      <c r="AD281" s="116"/>
      <c r="AE281" s="116"/>
      <c r="AF281" s="116"/>
      <c r="AG281" s="116"/>
      <c r="AH281" s="116"/>
      <c r="AI281" s="116"/>
      <c r="AJ281" s="116"/>
      <c r="AK281" s="116"/>
      <c r="AL281" s="116"/>
      <c r="AM281" s="116"/>
      <c r="AN281" s="116"/>
      <c r="AO281" s="116"/>
      <c r="AP281" s="116"/>
      <c r="AQ281" s="116"/>
      <c r="AR281" s="116"/>
      <c r="AS281" s="116"/>
      <c r="AT281" s="116"/>
      <c r="AU281" s="116"/>
      <c r="AV281" s="116"/>
      <c r="AW281" s="116"/>
      <c r="AX281" s="116"/>
      <c r="AY281" s="116"/>
      <c r="AZ281" s="116"/>
      <c r="BA281" s="116"/>
      <c r="BB281" s="116"/>
    </row>
    <row r="282" spans="4:54">
      <c r="D282" s="116"/>
      <c r="E282" s="116"/>
      <c r="F282" s="116"/>
      <c r="G282" s="116"/>
      <c r="H282" s="116"/>
      <c r="I282" s="116"/>
      <c r="J282" s="116"/>
      <c r="K282" s="116"/>
      <c r="L282" s="116"/>
      <c r="M282" s="116"/>
      <c r="N282" s="116"/>
      <c r="O282" s="116"/>
      <c r="P282" s="116"/>
      <c r="Q282" s="116"/>
      <c r="R282" s="116"/>
      <c r="S282" s="116"/>
      <c r="T282" s="116"/>
      <c r="U282" s="116"/>
      <c r="V282" s="116"/>
      <c r="W282" s="116"/>
      <c r="X282" s="116"/>
      <c r="Y282" s="116"/>
      <c r="Z282" s="116"/>
      <c r="AA282" s="116"/>
      <c r="AB282" s="116"/>
      <c r="AC282" s="116"/>
      <c r="AD282" s="116"/>
      <c r="AE282" s="116"/>
      <c r="AF282" s="116"/>
      <c r="AG282" s="116"/>
      <c r="AH282" s="116"/>
      <c r="AI282" s="116"/>
      <c r="AJ282" s="116"/>
      <c r="AK282" s="116"/>
      <c r="AL282" s="116"/>
      <c r="AM282" s="116"/>
      <c r="AN282" s="116"/>
      <c r="AO282" s="116"/>
      <c r="AP282" s="116"/>
      <c r="AQ282" s="116"/>
      <c r="AR282" s="116"/>
      <c r="AS282" s="116"/>
      <c r="AT282" s="116"/>
      <c r="AU282" s="116"/>
      <c r="AV282" s="116"/>
      <c r="AW282" s="116"/>
      <c r="AX282" s="116"/>
      <c r="AY282" s="116"/>
      <c r="AZ282" s="116"/>
      <c r="BA282" s="116"/>
      <c r="BB282" s="116"/>
    </row>
    <row r="283" spans="4:54">
      <c r="D283" s="116"/>
      <c r="E283" s="116"/>
      <c r="F283" s="116"/>
      <c r="G283" s="116"/>
      <c r="H283" s="116"/>
      <c r="I283" s="116"/>
      <c r="J283" s="116"/>
      <c r="K283" s="116"/>
      <c r="L283" s="116"/>
      <c r="M283" s="116"/>
      <c r="N283" s="116"/>
      <c r="O283" s="116"/>
      <c r="P283" s="116"/>
      <c r="Q283" s="116"/>
      <c r="R283" s="116"/>
      <c r="S283" s="116"/>
      <c r="T283" s="116"/>
      <c r="U283" s="116"/>
      <c r="V283" s="116"/>
      <c r="W283" s="116"/>
      <c r="X283" s="116"/>
      <c r="Y283" s="116"/>
      <c r="Z283" s="116"/>
      <c r="AA283" s="116"/>
      <c r="AB283" s="116"/>
      <c r="AC283" s="116"/>
      <c r="AD283" s="116"/>
      <c r="AE283" s="116"/>
      <c r="AF283" s="116"/>
      <c r="AG283" s="116"/>
      <c r="AH283" s="116"/>
      <c r="AI283" s="116"/>
      <c r="AJ283" s="116"/>
      <c r="AK283" s="116"/>
      <c r="AL283" s="116"/>
      <c r="AM283" s="116"/>
      <c r="AN283" s="116"/>
      <c r="AO283" s="116"/>
      <c r="AP283" s="116"/>
      <c r="AQ283" s="116"/>
      <c r="AR283" s="116"/>
      <c r="AS283" s="116"/>
      <c r="AT283" s="116"/>
      <c r="AU283" s="116"/>
      <c r="AV283" s="116"/>
      <c r="AW283" s="116"/>
      <c r="AX283" s="116"/>
      <c r="AY283" s="116"/>
      <c r="AZ283" s="116"/>
      <c r="BA283" s="116"/>
      <c r="BB283" s="116"/>
    </row>
    <row r="284" spans="4:54">
      <c r="D284" s="116"/>
      <c r="E284" s="116"/>
      <c r="F284" s="116"/>
      <c r="G284" s="116"/>
      <c r="H284" s="116"/>
      <c r="I284" s="116"/>
      <c r="J284" s="116"/>
      <c r="K284" s="116"/>
      <c r="L284" s="116"/>
      <c r="M284" s="116"/>
      <c r="N284" s="116"/>
      <c r="O284" s="116"/>
      <c r="P284" s="116"/>
      <c r="Q284" s="116"/>
      <c r="R284" s="116"/>
      <c r="S284" s="116"/>
      <c r="T284" s="116"/>
      <c r="U284" s="116"/>
      <c r="V284" s="116"/>
      <c r="W284" s="116"/>
      <c r="X284" s="116"/>
      <c r="Y284" s="116"/>
      <c r="Z284" s="116"/>
      <c r="AA284" s="116"/>
      <c r="AB284" s="116"/>
      <c r="AC284" s="116"/>
      <c r="AD284" s="116"/>
      <c r="AE284" s="116"/>
      <c r="AF284" s="116"/>
      <c r="AG284" s="116"/>
      <c r="AH284" s="116"/>
      <c r="AI284" s="116"/>
      <c r="AJ284" s="116"/>
      <c r="AK284" s="116"/>
      <c r="AL284" s="116"/>
      <c r="AM284" s="116"/>
      <c r="AN284" s="116"/>
      <c r="AO284" s="116"/>
      <c r="AP284" s="116"/>
      <c r="AQ284" s="116"/>
      <c r="AR284" s="116"/>
      <c r="AS284" s="116"/>
      <c r="AT284" s="116"/>
      <c r="AU284" s="116"/>
      <c r="AV284" s="116"/>
      <c r="AW284" s="116"/>
      <c r="AX284" s="116"/>
      <c r="AY284" s="116"/>
      <c r="AZ284" s="116"/>
      <c r="BA284" s="116"/>
      <c r="BB284" s="116"/>
    </row>
    <row r="285" spans="4:54">
      <c r="D285" s="116"/>
      <c r="E285" s="116"/>
      <c r="F285" s="116"/>
      <c r="G285" s="116"/>
      <c r="H285" s="116"/>
      <c r="I285" s="116"/>
      <c r="J285" s="116"/>
      <c r="K285" s="116"/>
      <c r="L285" s="116"/>
      <c r="M285" s="116"/>
      <c r="N285" s="116"/>
      <c r="O285" s="116"/>
      <c r="P285" s="116"/>
      <c r="Q285" s="116"/>
      <c r="R285" s="116"/>
      <c r="S285" s="116"/>
      <c r="T285" s="116"/>
      <c r="U285" s="116"/>
      <c r="V285" s="116"/>
      <c r="W285" s="116"/>
      <c r="X285" s="116"/>
      <c r="Y285" s="116"/>
      <c r="Z285" s="116"/>
      <c r="AA285" s="116"/>
      <c r="AB285" s="116"/>
      <c r="AC285" s="116"/>
      <c r="AD285" s="116"/>
      <c r="AE285" s="116"/>
      <c r="AF285" s="116"/>
      <c r="AG285" s="116"/>
      <c r="AH285" s="116"/>
      <c r="AI285" s="116"/>
      <c r="AJ285" s="116"/>
      <c r="AK285" s="116"/>
      <c r="AL285" s="116"/>
      <c r="AM285" s="116"/>
      <c r="AN285" s="116"/>
      <c r="AO285" s="116"/>
      <c r="AP285" s="116"/>
      <c r="AQ285" s="116"/>
      <c r="AR285" s="116"/>
      <c r="AS285" s="116"/>
      <c r="AT285" s="116"/>
      <c r="AU285" s="116"/>
      <c r="AV285" s="116"/>
      <c r="AW285" s="116"/>
      <c r="AX285" s="116"/>
      <c r="AY285" s="116"/>
      <c r="AZ285" s="116"/>
      <c r="BA285" s="116"/>
      <c r="BB285" s="116"/>
    </row>
    <row r="286" spans="4:54">
      <c r="D286" s="116"/>
      <c r="E286" s="116"/>
      <c r="F286" s="116"/>
      <c r="G286" s="116"/>
      <c r="H286" s="116"/>
      <c r="I286" s="116"/>
      <c r="J286" s="116"/>
      <c r="K286" s="116"/>
      <c r="L286" s="116"/>
      <c r="M286" s="116"/>
      <c r="N286" s="116"/>
      <c r="O286" s="116"/>
      <c r="P286" s="116"/>
      <c r="Q286" s="116"/>
      <c r="R286" s="116"/>
      <c r="S286" s="116"/>
      <c r="T286" s="116"/>
      <c r="U286" s="116"/>
      <c r="V286" s="116"/>
      <c r="W286" s="116"/>
      <c r="X286" s="116"/>
      <c r="Y286" s="116"/>
      <c r="Z286" s="116"/>
      <c r="AA286" s="116"/>
      <c r="AB286" s="116"/>
      <c r="AC286" s="116"/>
      <c r="AD286" s="116"/>
      <c r="AE286" s="116"/>
      <c r="AF286" s="116"/>
      <c r="AG286" s="116"/>
      <c r="AH286" s="116"/>
      <c r="AI286" s="116"/>
      <c r="AJ286" s="116"/>
      <c r="AK286" s="116"/>
      <c r="AL286" s="116"/>
      <c r="AM286" s="116"/>
      <c r="AN286" s="116"/>
      <c r="AO286" s="116"/>
      <c r="AP286" s="116"/>
      <c r="AQ286" s="116"/>
      <c r="AR286" s="116"/>
      <c r="AS286" s="116"/>
      <c r="AT286" s="116"/>
      <c r="AU286" s="116"/>
      <c r="AV286" s="116"/>
      <c r="AW286" s="116"/>
      <c r="AX286" s="116"/>
      <c r="AY286" s="116"/>
      <c r="AZ286" s="116"/>
      <c r="BA286" s="116"/>
      <c r="BB286" s="116"/>
    </row>
    <row r="287" spans="4:54">
      <c r="D287" s="116"/>
      <c r="E287" s="116"/>
      <c r="F287" s="116"/>
      <c r="G287" s="116"/>
      <c r="H287" s="116"/>
      <c r="I287" s="116"/>
      <c r="J287" s="116"/>
      <c r="K287" s="116"/>
      <c r="L287" s="116"/>
      <c r="M287" s="116"/>
      <c r="N287" s="116"/>
      <c r="O287" s="116"/>
      <c r="P287" s="116"/>
      <c r="Q287" s="116"/>
      <c r="R287" s="116"/>
      <c r="S287" s="116"/>
      <c r="T287" s="116"/>
      <c r="U287" s="116"/>
      <c r="V287" s="116"/>
      <c r="W287" s="116"/>
      <c r="X287" s="116"/>
      <c r="Y287" s="116"/>
      <c r="Z287" s="116"/>
      <c r="AA287" s="116"/>
      <c r="AB287" s="116"/>
      <c r="AC287" s="116"/>
      <c r="AD287" s="116"/>
      <c r="AE287" s="116"/>
      <c r="AF287" s="116"/>
      <c r="AG287" s="116"/>
      <c r="AH287" s="116"/>
      <c r="AI287" s="116"/>
      <c r="AJ287" s="116"/>
      <c r="AK287" s="116"/>
      <c r="AL287" s="116"/>
      <c r="AM287" s="116"/>
      <c r="AN287" s="116"/>
      <c r="AO287" s="116"/>
      <c r="AP287" s="116"/>
      <c r="AQ287" s="116"/>
      <c r="AR287" s="116"/>
      <c r="AS287" s="116"/>
      <c r="AT287" s="116"/>
      <c r="AU287" s="116"/>
      <c r="AV287" s="116"/>
      <c r="AW287" s="116"/>
      <c r="AX287" s="116"/>
      <c r="AY287" s="116"/>
      <c r="AZ287" s="116"/>
      <c r="BA287" s="116"/>
      <c r="BB287" s="116"/>
    </row>
    <row r="288" spans="4:54">
      <c r="D288" s="116"/>
      <c r="E288" s="116"/>
      <c r="F288" s="116"/>
      <c r="G288" s="116"/>
      <c r="H288" s="116"/>
      <c r="I288" s="116"/>
      <c r="J288" s="116"/>
      <c r="K288" s="116"/>
      <c r="L288" s="116"/>
      <c r="M288" s="116"/>
      <c r="N288" s="116"/>
      <c r="O288" s="116"/>
      <c r="P288" s="116"/>
      <c r="Q288" s="116"/>
      <c r="R288" s="116"/>
      <c r="S288" s="116"/>
      <c r="T288" s="116"/>
      <c r="U288" s="116"/>
      <c r="V288" s="116"/>
      <c r="W288" s="116"/>
      <c r="X288" s="116"/>
      <c r="Y288" s="116"/>
      <c r="Z288" s="116"/>
      <c r="AA288" s="116"/>
      <c r="AB288" s="116"/>
      <c r="AC288" s="116"/>
      <c r="AD288" s="116"/>
      <c r="AE288" s="116"/>
      <c r="AF288" s="116"/>
      <c r="AG288" s="116"/>
      <c r="AH288" s="116"/>
      <c r="AI288" s="116"/>
      <c r="AJ288" s="116"/>
      <c r="AK288" s="116"/>
      <c r="AL288" s="116"/>
      <c r="AM288" s="116"/>
      <c r="AN288" s="116"/>
      <c r="AO288" s="116"/>
      <c r="AP288" s="116"/>
      <c r="AQ288" s="116"/>
      <c r="AR288" s="116"/>
      <c r="AS288" s="116"/>
      <c r="AT288" s="116"/>
      <c r="AU288" s="116"/>
      <c r="AV288" s="116"/>
      <c r="AW288" s="116"/>
      <c r="AX288" s="116"/>
      <c r="AY288" s="116"/>
      <c r="AZ288" s="116"/>
      <c r="BA288" s="116"/>
      <c r="BB288" s="116"/>
    </row>
    <row r="289" spans="4:54">
      <c r="D289" s="116"/>
      <c r="E289" s="116"/>
      <c r="F289" s="116"/>
      <c r="G289" s="116"/>
      <c r="H289" s="116"/>
      <c r="I289" s="116"/>
      <c r="J289" s="116"/>
      <c r="K289" s="116"/>
      <c r="L289" s="116"/>
      <c r="M289" s="116"/>
      <c r="N289" s="116"/>
      <c r="O289" s="116"/>
      <c r="P289" s="116"/>
      <c r="Q289" s="116"/>
      <c r="R289" s="116"/>
      <c r="S289" s="116"/>
      <c r="T289" s="116"/>
      <c r="U289" s="116"/>
      <c r="V289" s="116"/>
      <c r="W289" s="116"/>
      <c r="X289" s="116"/>
      <c r="Y289" s="116"/>
      <c r="Z289" s="116"/>
      <c r="AA289" s="116"/>
      <c r="AB289" s="116"/>
      <c r="AC289" s="116"/>
      <c r="AD289" s="116"/>
      <c r="AE289" s="116"/>
      <c r="AF289" s="116"/>
      <c r="AG289" s="116"/>
      <c r="AH289" s="116"/>
      <c r="AI289" s="116"/>
      <c r="AJ289" s="116"/>
      <c r="AK289" s="116"/>
      <c r="AL289" s="116"/>
      <c r="AM289" s="116"/>
      <c r="AN289" s="116"/>
      <c r="AO289" s="116"/>
      <c r="AP289" s="116"/>
      <c r="AQ289" s="116"/>
      <c r="AR289" s="116"/>
      <c r="AS289" s="116"/>
      <c r="AT289" s="116"/>
      <c r="AU289" s="116"/>
      <c r="AV289" s="116"/>
      <c r="AW289" s="116"/>
      <c r="AX289" s="116"/>
      <c r="AY289" s="116"/>
      <c r="AZ289" s="116"/>
      <c r="BA289" s="116"/>
      <c r="BB289" s="116"/>
    </row>
    <row r="290" spans="4:54">
      <c r="D290" s="116"/>
      <c r="E290" s="116"/>
      <c r="F290" s="116"/>
      <c r="G290" s="116"/>
      <c r="H290" s="116"/>
      <c r="I290" s="116"/>
      <c r="J290" s="116"/>
      <c r="K290" s="116"/>
      <c r="L290" s="116"/>
      <c r="M290" s="116"/>
      <c r="N290" s="116"/>
      <c r="O290" s="116"/>
      <c r="P290" s="116"/>
      <c r="Q290" s="116"/>
      <c r="R290" s="116"/>
      <c r="S290" s="116"/>
      <c r="T290" s="116"/>
      <c r="U290" s="116"/>
      <c r="V290" s="116"/>
      <c r="W290" s="116"/>
      <c r="X290" s="116"/>
      <c r="Y290" s="116"/>
      <c r="Z290" s="116"/>
      <c r="AA290" s="116"/>
      <c r="AB290" s="116"/>
      <c r="AC290" s="116"/>
      <c r="AD290" s="116"/>
      <c r="AE290" s="116"/>
      <c r="AF290" s="116"/>
      <c r="AG290" s="116"/>
      <c r="AH290" s="116"/>
      <c r="AI290" s="116"/>
      <c r="AJ290" s="116"/>
      <c r="AK290" s="116"/>
      <c r="AL290" s="116"/>
      <c r="AM290" s="116"/>
      <c r="AN290" s="116"/>
      <c r="AO290" s="116"/>
      <c r="AP290" s="116"/>
      <c r="AQ290" s="116"/>
      <c r="AR290" s="116"/>
      <c r="AS290" s="116"/>
      <c r="AT290" s="116"/>
      <c r="AU290" s="116"/>
      <c r="AV290" s="116"/>
      <c r="AW290" s="116"/>
      <c r="AX290" s="116"/>
      <c r="AY290" s="116"/>
      <c r="AZ290" s="116"/>
      <c r="BA290" s="116"/>
      <c r="BB290" s="116"/>
    </row>
    <row r="291" spans="4:54">
      <c r="D291" s="116"/>
      <c r="E291" s="116"/>
      <c r="F291" s="116"/>
      <c r="G291" s="116"/>
      <c r="H291" s="116"/>
      <c r="I291" s="116"/>
      <c r="J291" s="116"/>
      <c r="K291" s="116"/>
      <c r="L291" s="116"/>
      <c r="M291" s="116"/>
      <c r="N291" s="116"/>
      <c r="O291" s="116"/>
      <c r="P291" s="116"/>
      <c r="Q291" s="116"/>
      <c r="R291" s="116"/>
      <c r="S291" s="116"/>
      <c r="T291" s="116"/>
      <c r="U291" s="116"/>
      <c r="V291" s="116"/>
      <c r="W291" s="116"/>
      <c r="X291" s="116"/>
      <c r="Y291" s="116"/>
      <c r="Z291" s="116"/>
      <c r="AA291" s="116"/>
      <c r="AB291" s="116"/>
      <c r="AC291" s="116"/>
      <c r="AD291" s="116"/>
      <c r="AE291" s="116"/>
      <c r="AF291" s="116"/>
      <c r="AG291" s="116"/>
      <c r="AH291" s="116"/>
      <c r="AI291" s="116"/>
      <c r="AJ291" s="116"/>
      <c r="AK291" s="116"/>
      <c r="AL291" s="116"/>
      <c r="AM291" s="116"/>
      <c r="AN291" s="116"/>
      <c r="AO291" s="116"/>
      <c r="AP291" s="116"/>
      <c r="AQ291" s="116"/>
      <c r="AR291" s="116"/>
      <c r="AS291" s="116"/>
      <c r="AT291" s="116"/>
      <c r="AU291" s="116"/>
      <c r="AV291" s="116"/>
      <c r="AW291" s="116"/>
      <c r="AX291" s="116"/>
      <c r="AY291" s="116"/>
      <c r="AZ291" s="116"/>
      <c r="BA291" s="116"/>
      <c r="BB291" s="116"/>
    </row>
    <row r="292" spans="4:54">
      <c r="D292" s="116"/>
      <c r="E292" s="116"/>
      <c r="F292" s="116"/>
      <c r="G292" s="116"/>
      <c r="H292" s="116"/>
      <c r="I292" s="116"/>
      <c r="J292" s="116"/>
      <c r="K292" s="116"/>
      <c r="L292" s="116"/>
      <c r="M292" s="116"/>
      <c r="N292" s="116"/>
      <c r="O292" s="116"/>
      <c r="P292" s="116"/>
      <c r="Q292" s="116"/>
      <c r="R292" s="116"/>
      <c r="S292" s="116"/>
      <c r="T292" s="116"/>
      <c r="U292" s="116"/>
      <c r="V292" s="116"/>
      <c r="W292" s="116"/>
      <c r="X292" s="116"/>
      <c r="Y292" s="116"/>
      <c r="Z292" s="116"/>
      <c r="AA292" s="116"/>
      <c r="AB292" s="116"/>
      <c r="AC292" s="116"/>
      <c r="AD292" s="116"/>
      <c r="AE292" s="116"/>
      <c r="AF292" s="116"/>
      <c r="AG292" s="116"/>
      <c r="AH292" s="116"/>
      <c r="AI292" s="116"/>
      <c r="AJ292" s="116"/>
      <c r="AK292" s="116"/>
      <c r="AL292" s="116"/>
      <c r="AM292" s="116"/>
      <c r="AN292" s="116"/>
      <c r="AO292" s="116"/>
      <c r="AP292" s="116"/>
      <c r="AQ292" s="116"/>
      <c r="AR292" s="116"/>
      <c r="AS292" s="116"/>
      <c r="AT292" s="116"/>
      <c r="AU292" s="116"/>
      <c r="AV292" s="116"/>
      <c r="AW292" s="116"/>
      <c r="AX292" s="116"/>
      <c r="AY292" s="116"/>
      <c r="AZ292" s="116"/>
      <c r="BA292" s="116"/>
      <c r="BB292" s="116"/>
    </row>
    <row r="293" spans="4:54">
      <c r="D293" s="116"/>
      <c r="E293" s="116"/>
      <c r="F293" s="116"/>
      <c r="G293" s="116"/>
      <c r="H293" s="116"/>
      <c r="I293" s="116"/>
      <c r="J293" s="116"/>
      <c r="K293" s="116"/>
      <c r="L293" s="116"/>
      <c r="M293" s="116"/>
      <c r="N293" s="116"/>
      <c r="O293" s="116"/>
      <c r="P293" s="116"/>
      <c r="Q293" s="116"/>
      <c r="R293" s="116"/>
      <c r="S293" s="116"/>
      <c r="T293" s="116"/>
      <c r="U293" s="116"/>
      <c r="V293" s="116"/>
      <c r="W293" s="116"/>
      <c r="X293" s="116"/>
      <c r="Y293" s="116"/>
      <c r="Z293" s="116"/>
      <c r="AA293" s="116"/>
      <c r="AB293" s="116"/>
      <c r="AC293" s="116"/>
      <c r="AD293" s="116"/>
      <c r="AE293" s="116"/>
      <c r="AF293" s="116"/>
      <c r="AG293" s="116"/>
      <c r="AH293" s="116"/>
      <c r="AI293" s="116"/>
      <c r="AJ293" s="116"/>
      <c r="AK293" s="116"/>
      <c r="AL293" s="116"/>
      <c r="AM293" s="116"/>
      <c r="AN293" s="116"/>
      <c r="AO293" s="116"/>
      <c r="AP293" s="116"/>
      <c r="AQ293" s="116"/>
      <c r="AR293" s="116"/>
      <c r="AS293" s="116"/>
      <c r="AT293" s="116"/>
      <c r="AU293" s="116"/>
      <c r="AV293" s="116"/>
      <c r="AW293" s="116"/>
      <c r="AX293" s="116"/>
      <c r="AY293" s="116"/>
      <c r="AZ293" s="116"/>
      <c r="BA293" s="116"/>
      <c r="BB293" s="116"/>
    </row>
    <row r="294" spans="4:54">
      <c r="D294" s="116"/>
      <c r="E294" s="116"/>
      <c r="F294" s="116"/>
      <c r="G294" s="116"/>
      <c r="H294" s="116"/>
      <c r="I294" s="116"/>
      <c r="J294" s="116"/>
      <c r="K294" s="116"/>
      <c r="L294" s="116"/>
      <c r="M294" s="116"/>
      <c r="N294" s="116"/>
      <c r="O294" s="116"/>
      <c r="P294" s="116"/>
      <c r="Q294" s="116"/>
      <c r="R294" s="116"/>
      <c r="S294" s="116"/>
      <c r="T294" s="116"/>
      <c r="U294" s="116"/>
      <c r="V294" s="116"/>
      <c r="W294" s="116"/>
      <c r="X294" s="116"/>
      <c r="Y294" s="116"/>
      <c r="Z294" s="116"/>
      <c r="AA294" s="116"/>
      <c r="AB294" s="116"/>
      <c r="AC294" s="116"/>
      <c r="AD294" s="116"/>
      <c r="AE294" s="116"/>
      <c r="AF294" s="116"/>
      <c r="AG294" s="116"/>
      <c r="AH294" s="116"/>
      <c r="AI294" s="116"/>
      <c r="AJ294" s="116"/>
      <c r="AK294" s="116"/>
      <c r="AL294" s="116"/>
      <c r="AM294" s="116"/>
      <c r="AN294" s="116"/>
      <c r="AO294" s="116"/>
      <c r="AP294" s="116"/>
      <c r="AQ294" s="116"/>
      <c r="AR294" s="116"/>
      <c r="AS294" s="116"/>
      <c r="AT294" s="116"/>
      <c r="AU294" s="116"/>
      <c r="AV294" s="116"/>
      <c r="AW294" s="116"/>
      <c r="AX294" s="116"/>
      <c r="AY294" s="116"/>
      <c r="AZ294" s="116"/>
      <c r="BA294" s="116"/>
      <c r="BB294" s="116"/>
    </row>
    <row r="295" spans="4:54">
      <c r="D295" s="116"/>
      <c r="E295" s="116"/>
      <c r="F295" s="116"/>
      <c r="G295" s="116"/>
      <c r="H295" s="116"/>
      <c r="I295" s="116"/>
      <c r="J295" s="116"/>
      <c r="K295" s="116"/>
      <c r="L295" s="116"/>
      <c r="M295" s="116"/>
      <c r="N295" s="116"/>
      <c r="O295" s="116"/>
      <c r="P295" s="116"/>
      <c r="Q295" s="116"/>
      <c r="R295" s="116"/>
      <c r="S295" s="116"/>
      <c r="T295" s="116"/>
      <c r="U295" s="116"/>
      <c r="V295" s="116"/>
      <c r="W295" s="116"/>
      <c r="X295" s="116"/>
      <c r="Y295" s="116"/>
      <c r="Z295" s="116"/>
      <c r="AA295" s="116"/>
      <c r="AB295" s="116"/>
      <c r="AC295" s="116"/>
      <c r="AD295" s="116"/>
      <c r="AE295" s="116"/>
      <c r="AF295" s="116"/>
      <c r="AG295" s="116"/>
      <c r="AH295" s="116"/>
      <c r="AI295" s="116"/>
      <c r="AJ295" s="116"/>
      <c r="AK295" s="116"/>
      <c r="AL295" s="116"/>
      <c r="AM295" s="116"/>
      <c r="AN295" s="116"/>
      <c r="AO295" s="116"/>
      <c r="AP295" s="116"/>
      <c r="AQ295" s="116"/>
      <c r="AR295" s="116"/>
      <c r="AS295" s="116"/>
      <c r="AT295" s="116"/>
      <c r="AU295" s="116"/>
      <c r="AV295" s="116"/>
      <c r="AW295" s="116"/>
      <c r="AX295" s="116"/>
      <c r="AY295" s="116"/>
      <c r="AZ295" s="116"/>
      <c r="BA295" s="116"/>
      <c r="BB295" s="116"/>
    </row>
    <row r="296" spans="4:54">
      <c r="D296" s="116"/>
      <c r="E296" s="116"/>
      <c r="F296" s="116"/>
      <c r="G296" s="116"/>
      <c r="H296" s="116"/>
      <c r="I296" s="116"/>
      <c r="J296" s="116"/>
      <c r="K296" s="116"/>
      <c r="L296" s="116"/>
      <c r="M296" s="116"/>
      <c r="N296" s="116"/>
      <c r="O296" s="116"/>
      <c r="P296" s="116"/>
      <c r="Q296" s="116"/>
      <c r="R296" s="116"/>
      <c r="S296" s="116"/>
      <c r="T296" s="116"/>
      <c r="U296" s="116"/>
      <c r="V296" s="116"/>
      <c r="W296" s="116"/>
      <c r="X296" s="116"/>
      <c r="Y296" s="116"/>
      <c r="Z296" s="116"/>
      <c r="AA296" s="116"/>
      <c r="AB296" s="116"/>
      <c r="AC296" s="116"/>
      <c r="AD296" s="116"/>
      <c r="AE296" s="116"/>
      <c r="AF296" s="116"/>
      <c r="AG296" s="116"/>
      <c r="AH296" s="116"/>
      <c r="AI296" s="116"/>
      <c r="AJ296" s="116"/>
      <c r="AK296" s="116"/>
      <c r="AL296" s="116"/>
      <c r="AM296" s="116"/>
      <c r="AN296" s="116"/>
      <c r="AO296" s="116"/>
      <c r="AP296" s="116"/>
      <c r="AQ296" s="116"/>
      <c r="AR296" s="116"/>
      <c r="AS296" s="116"/>
      <c r="AT296" s="116"/>
      <c r="AU296" s="116"/>
      <c r="AV296" s="116"/>
      <c r="AW296" s="116"/>
      <c r="AX296" s="116"/>
      <c r="AY296" s="116"/>
      <c r="AZ296" s="116"/>
      <c r="BA296" s="116"/>
      <c r="BB296" s="116"/>
    </row>
    <row r="297" spans="4:54">
      <c r="D297" s="116"/>
      <c r="E297" s="116"/>
      <c r="F297" s="116"/>
      <c r="G297" s="116"/>
      <c r="H297" s="116"/>
      <c r="I297" s="116"/>
      <c r="J297" s="116"/>
      <c r="K297" s="116"/>
      <c r="L297" s="116"/>
      <c r="M297" s="116"/>
      <c r="N297" s="116"/>
      <c r="O297" s="116"/>
      <c r="P297" s="116"/>
      <c r="Q297" s="116"/>
      <c r="R297" s="116"/>
      <c r="S297" s="116"/>
      <c r="T297" s="116"/>
      <c r="U297" s="116"/>
      <c r="V297" s="116"/>
      <c r="W297" s="116"/>
      <c r="X297" s="116"/>
      <c r="Y297" s="116"/>
      <c r="Z297" s="116"/>
      <c r="AA297" s="116"/>
      <c r="AB297" s="116"/>
      <c r="AC297" s="116"/>
      <c r="AD297" s="116"/>
      <c r="AE297" s="116"/>
      <c r="AF297" s="116"/>
      <c r="AG297" s="116"/>
      <c r="AH297" s="116"/>
      <c r="AI297" s="116"/>
      <c r="AJ297" s="116"/>
      <c r="AK297" s="116"/>
      <c r="AL297" s="116"/>
      <c r="AM297" s="116"/>
      <c r="AN297" s="116"/>
      <c r="AO297" s="116"/>
      <c r="AP297" s="116"/>
      <c r="AQ297" s="116"/>
      <c r="AR297" s="116"/>
      <c r="AS297" s="116"/>
      <c r="AT297" s="116"/>
      <c r="AU297" s="116"/>
      <c r="AV297" s="116"/>
      <c r="AW297" s="116"/>
      <c r="AX297" s="116"/>
      <c r="AY297" s="116"/>
      <c r="AZ297" s="116"/>
      <c r="BA297" s="116"/>
      <c r="BB297" s="116"/>
    </row>
    <row r="298" spans="4:54">
      <c r="D298" s="116"/>
      <c r="E298" s="116"/>
      <c r="F298" s="116"/>
      <c r="G298" s="116"/>
      <c r="H298" s="116"/>
      <c r="I298" s="116"/>
      <c r="J298" s="116"/>
      <c r="K298" s="116"/>
      <c r="L298" s="116"/>
      <c r="M298" s="116"/>
      <c r="N298" s="116"/>
      <c r="O298" s="116"/>
      <c r="P298" s="116"/>
      <c r="Q298" s="116"/>
      <c r="R298" s="116"/>
      <c r="S298" s="116"/>
      <c r="T298" s="116"/>
      <c r="U298" s="116"/>
      <c r="V298" s="116"/>
      <c r="W298" s="116"/>
      <c r="X298" s="116"/>
      <c r="Y298" s="116"/>
      <c r="Z298" s="116"/>
      <c r="AA298" s="116"/>
      <c r="AB298" s="116"/>
      <c r="AC298" s="116"/>
      <c r="AD298" s="116"/>
      <c r="AE298" s="116"/>
      <c r="AF298" s="116"/>
      <c r="AG298" s="116"/>
      <c r="AH298" s="116"/>
      <c r="AI298" s="116"/>
      <c r="AJ298" s="116"/>
      <c r="AK298" s="116"/>
      <c r="AL298" s="116"/>
      <c r="AM298" s="116"/>
      <c r="AN298" s="116"/>
      <c r="AO298" s="116"/>
      <c r="AP298" s="116"/>
      <c r="AQ298" s="116"/>
      <c r="AR298" s="116"/>
      <c r="AS298" s="116"/>
      <c r="AT298" s="116"/>
      <c r="AU298" s="116"/>
      <c r="AV298" s="116"/>
      <c r="AW298" s="116"/>
      <c r="AX298" s="116"/>
      <c r="AY298" s="116"/>
      <c r="AZ298" s="116"/>
      <c r="BA298" s="116"/>
      <c r="BB298" s="116"/>
    </row>
    <row r="299" spans="4:54">
      <c r="D299" s="116"/>
      <c r="E299" s="116"/>
      <c r="F299" s="116"/>
      <c r="G299" s="116"/>
      <c r="H299" s="116"/>
      <c r="I299" s="116"/>
      <c r="J299" s="116"/>
      <c r="K299" s="116"/>
      <c r="L299" s="116"/>
      <c r="M299" s="116"/>
      <c r="N299" s="116"/>
      <c r="O299" s="116"/>
      <c r="P299" s="116"/>
      <c r="Q299" s="116"/>
      <c r="R299" s="116"/>
      <c r="S299" s="116"/>
      <c r="T299" s="116"/>
      <c r="U299" s="116"/>
      <c r="V299" s="116"/>
      <c r="W299" s="116"/>
      <c r="X299" s="116"/>
      <c r="Y299" s="116"/>
      <c r="Z299" s="116"/>
      <c r="AA299" s="116"/>
      <c r="AB299" s="116"/>
      <c r="AC299" s="116"/>
      <c r="AD299" s="116"/>
      <c r="AE299" s="116"/>
      <c r="AF299" s="116"/>
      <c r="AG299" s="116"/>
      <c r="AH299" s="116"/>
      <c r="AI299" s="116"/>
      <c r="AJ299" s="116"/>
      <c r="AK299" s="116"/>
      <c r="AL299" s="116"/>
      <c r="AM299" s="116"/>
      <c r="AN299" s="116"/>
      <c r="AO299" s="116"/>
      <c r="AP299" s="116"/>
      <c r="AQ299" s="116"/>
      <c r="AR299" s="116"/>
      <c r="AS299" s="116"/>
      <c r="AT299" s="116"/>
      <c r="AU299" s="116"/>
      <c r="AV299" s="116"/>
      <c r="AW299" s="116"/>
      <c r="AX299" s="116"/>
      <c r="AY299" s="116"/>
      <c r="AZ299" s="116"/>
      <c r="BA299" s="116"/>
      <c r="BB299" s="116"/>
    </row>
    <row r="300" spans="4:54">
      <c r="D300" s="116"/>
      <c r="E300" s="116"/>
      <c r="F300" s="116"/>
      <c r="G300" s="116"/>
      <c r="H300" s="116"/>
      <c r="I300" s="116"/>
      <c r="J300" s="116"/>
      <c r="K300" s="116"/>
      <c r="L300" s="116"/>
      <c r="M300" s="116"/>
      <c r="N300" s="116"/>
      <c r="O300" s="116"/>
      <c r="P300" s="116"/>
      <c r="Q300" s="116"/>
      <c r="R300" s="116"/>
      <c r="S300" s="116"/>
      <c r="T300" s="116"/>
      <c r="U300" s="116"/>
      <c r="V300" s="116"/>
      <c r="W300" s="116"/>
      <c r="X300" s="116"/>
      <c r="Y300" s="116"/>
      <c r="Z300" s="116"/>
      <c r="AA300" s="116"/>
      <c r="AB300" s="116"/>
      <c r="AC300" s="116"/>
      <c r="AD300" s="116"/>
      <c r="AE300" s="116"/>
      <c r="AF300" s="116"/>
      <c r="AG300" s="116"/>
      <c r="AH300" s="116"/>
      <c r="AI300" s="116"/>
      <c r="AJ300" s="116"/>
      <c r="AK300" s="116"/>
      <c r="AL300" s="116"/>
      <c r="AM300" s="116"/>
      <c r="AN300" s="116"/>
      <c r="AO300" s="116"/>
      <c r="AP300" s="116"/>
      <c r="AQ300" s="116"/>
      <c r="AR300" s="116"/>
      <c r="AS300" s="116"/>
      <c r="AT300" s="116"/>
      <c r="AU300" s="116"/>
      <c r="AV300" s="116"/>
      <c r="AW300" s="116"/>
      <c r="AX300" s="116"/>
      <c r="AY300" s="116"/>
      <c r="AZ300" s="116"/>
      <c r="BA300" s="116"/>
      <c r="BB300" s="116"/>
    </row>
    <row r="301" spans="4:54">
      <c r="D301" s="116"/>
      <c r="E301" s="116"/>
      <c r="F301" s="116"/>
      <c r="G301" s="116"/>
      <c r="H301" s="116"/>
      <c r="I301" s="116"/>
      <c r="J301" s="116"/>
      <c r="K301" s="116"/>
      <c r="L301" s="116"/>
      <c r="M301" s="116"/>
      <c r="N301" s="116"/>
      <c r="O301" s="116"/>
      <c r="P301" s="116"/>
      <c r="Q301" s="116"/>
      <c r="R301" s="116"/>
      <c r="S301" s="116"/>
      <c r="T301" s="116"/>
      <c r="U301" s="116"/>
      <c r="V301" s="116"/>
      <c r="W301" s="116"/>
      <c r="X301" s="116"/>
      <c r="Y301" s="116"/>
      <c r="Z301" s="116"/>
      <c r="AA301" s="116"/>
      <c r="AB301" s="116"/>
      <c r="AC301" s="116"/>
      <c r="AD301" s="116"/>
      <c r="AE301" s="116"/>
      <c r="AF301" s="116"/>
      <c r="AG301" s="116"/>
      <c r="AH301" s="116"/>
      <c r="AI301" s="116"/>
      <c r="AJ301" s="116"/>
      <c r="AK301" s="116"/>
      <c r="AL301" s="116"/>
      <c r="AM301" s="116"/>
      <c r="AN301" s="116"/>
      <c r="AO301" s="116"/>
      <c r="AP301" s="116"/>
      <c r="AQ301" s="116"/>
      <c r="AR301" s="116"/>
      <c r="AS301" s="116"/>
      <c r="AT301" s="116"/>
      <c r="AU301" s="116"/>
      <c r="AV301" s="116"/>
      <c r="AW301" s="116"/>
      <c r="AX301" s="116"/>
      <c r="AY301" s="116"/>
      <c r="AZ301" s="116"/>
      <c r="BA301" s="116"/>
      <c r="BB301" s="116"/>
    </row>
    <row r="302" spans="4:54">
      <c r="D302" s="116"/>
      <c r="E302" s="116"/>
      <c r="F302" s="116"/>
      <c r="G302" s="116"/>
      <c r="H302" s="116"/>
      <c r="I302" s="116"/>
      <c r="J302" s="116"/>
      <c r="K302" s="116"/>
      <c r="L302" s="116"/>
      <c r="M302" s="116"/>
      <c r="N302" s="116"/>
      <c r="O302" s="116"/>
      <c r="P302" s="116"/>
      <c r="Q302" s="116"/>
      <c r="R302" s="116"/>
      <c r="S302" s="116"/>
      <c r="T302" s="116"/>
      <c r="U302" s="116"/>
      <c r="V302" s="116"/>
      <c r="W302" s="116"/>
      <c r="X302" s="116"/>
      <c r="Y302" s="116"/>
      <c r="Z302" s="116"/>
      <c r="AA302" s="116"/>
      <c r="AB302" s="116"/>
      <c r="AC302" s="116"/>
      <c r="AD302" s="116"/>
      <c r="AE302" s="116"/>
      <c r="AF302" s="116"/>
      <c r="AG302" s="116"/>
      <c r="AH302" s="116"/>
      <c r="AI302" s="116"/>
      <c r="AJ302" s="116"/>
      <c r="AK302" s="116"/>
      <c r="AL302" s="116"/>
      <c r="AM302" s="116"/>
      <c r="AN302" s="116"/>
      <c r="AO302" s="116"/>
      <c r="AP302" s="116"/>
      <c r="AQ302" s="116"/>
      <c r="AR302" s="116"/>
      <c r="AS302" s="116"/>
      <c r="AT302" s="116"/>
      <c r="AU302" s="116"/>
      <c r="AV302" s="116"/>
      <c r="AW302" s="116"/>
      <c r="AX302" s="116"/>
      <c r="AY302" s="116"/>
      <c r="AZ302" s="116"/>
      <c r="BA302" s="116"/>
      <c r="BB302" s="116"/>
    </row>
    <row r="303" spans="4:54">
      <c r="D303" s="116"/>
      <c r="E303" s="116"/>
      <c r="F303" s="116"/>
      <c r="G303" s="116"/>
      <c r="H303" s="116"/>
      <c r="I303" s="116"/>
      <c r="J303" s="116"/>
      <c r="K303" s="116"/>
      <c r="L303" s="116"/>
      <c r="M303" s="116"/>
      <c r="N303" s="116"/>
      <c r="O303" s="116"/>
      <c r="P303" s="116"/>
      <c r="Q303" s="116"/>
      <c r="R303" s="116"/>
      <c r="S303" s="116"/>
      <c r="T303" s="116"/>
      <c r="U303" s="116"/>
      <c r="V303" s="116"/>
      <c r="W303" s="116"/>
      <c r="X303" s="116"/>
      <c r="Y303" s="116"/>
      <c r="Z303" s="116"/>
      <c r="AA303" s="116"/>
      <c r="AB303" s="116"/>
      <c r="AC303" s="116"/>
      <c r="AD303" s="116"/>
      <c r="AE303" s="116"/>
      <c r="AF303" s="116"/>
      <c r="AG303" s="116"/>
      <c r="AH303" s="116"/>
      <c r="AI303" s="116"/>
      <c r="AJ303" s="116"/>
      <c r="AK303" s="116"/>
      <c r="AL303" s="116"/>
      <c r="AM303" s="116"/>
      <c r="AN303" s="116"/>
      <c r="AO303" s="116"/>
      <c r="AP303" s="116"/>
      <c r="AQ303" s="116"/>
      <c r="AR303" s="116"/>
      <c r="AS303" s="116"/>
      <c r="AT303" s="116"/>
      <c r="AU303" s="116"/>
      <c r="AV303" s="116"/>
      <c r="AW303" s="116"/>
      <c r="AX303" s="116"/>
      <c r="AY303" s="116"/>
      <c r="AZ303" s="116"/>
      <c r="BA303" s="116"/>
      <c r="BB303" s="116"/>
    </row>
    <row r="304" spans="4:54">
      <c r="D304" s="116"/>
      <c r="E304" s="116"/>
      <c r="F304" s="116"/>
      <c r="G304" s="116"/>
      <c r="H304" s="116"/>
      <c r="I304" s="116"/>
      <c r="J304" s="116"/>
      <c r="K304" s="116"/>
      <c r="L304" s="116"/>
      <c r="M304" s="116"/>
      <c r="N304" s="116"/>
      <c r="O304" s="116"/>
      <c r="P304" s="116"/>
      <c r="Q304" s="116"/>
      <c r="R304" s="116"/>
      <c r="S304" s="116"/>
      <c r="T304" s="116"/>
      <c r="U304" s="116"/>
      <c r="V304" s="116"/>
      <c r="W304" s="116"/>
      <c r="X304" s="116"/>
      <c r="Y304" s="116"/>
      <c r="Z304" s="116"/>
      <c r="AA304" s="116"/>
      <c r="AB304" s="116"/>
      <c r="AC304" s="116"/>
      <c r="AD304" s="116"/>
      <c r="AE304" s="116"/>
      <c r="AF304" s="116"/>
      <c r="AG304" s="116"/>
      <c r="AH304" s="116"/>
      <c r="AI304" s="116"/>
      <c r="AJ304" s="116"/>
      <c r="AK304" s="116"/>
      <c r="AL304" s="116"/>
      <c r="AM304" s="116"/>
      <c r="AN304" s="116"/>
      <c r="AO304" s="116"/>
      <c r="AP304" s="116"/>
      <c r="AQ304" s="116"/>
      <c r="AR304" s="116"/>
      <c r="AS304" s="116"/>
      <c r="AT304" s="116"/>
      <c r="AU304" s="116"/>
      <c r="AV304" s="116"/>
      <c r="AW304" s="116"/>
      <c r="AX304" s="116"/>
      <c r="AY304" s="116"/>
      <c r="AZ304" s="116"/>
      <c r="BA304" s="116"/>
      <c r="BB304" s="116"/>
    </row>
    <row r="305" spans="4:54">
      <c r="D305" s="116"/>
      <c r="E305" s="116"/>
      <c r="F305" s="116"/>
      <c r="G305" s="116"/>
      <c r="H305" s="116"/>
      <c r="I305" s="116"/>
      <c r="J305" s="116"/>
      <c r="K305" s="116"/>
      <c r="L305" s="116"/>
      <c r="M305" s="116"/>
      <c r="N305" s="116"/>
      <c r="O305" s="116"/>
      <c r="P305" s="116"/>
      <c r="Q305" s="116"/>
      <c r="R305" s="116"/>
      <c r="S305" s="116"/>
      <c r="T305" s="116"/>
      <c r="U305" s="116"/>
      <c r="V305" s="116"/>
      <c r="W305" s="116"/>
      <c r="X305" s="116"/>
      <c r="Y305" s="116"/>
      <c r="Z305" s="116"/>
      <c r="AA305" s="116"/>
      <c r="AB305" s="116"/>
      <c r="AC305" s="116"/>
      <c r="AD305" s="116"/>
      <c r="AE305" s="116"/>
      <c r="AF305" s="116"/>
      <c r="AG305" s="116"/>
      <c r="AH305" s="116"/>
      <c r="AI305" s="116"/>
      <c r="AJ305" s="116"/>
      <c r="AK305" s="116"/>
      <c r="AL305" s="116"/>
      <c r="AM305" s="116"/>
      <c r="AN305" s="116"/>
      <c r="AO305" s="116"/>
      <c r="AP305" s="116"/>
      <c r="AQ305" s="116"/>
      <c r="AR305" s="116"/>
      <c r="AS305" s="116"/>
      <c r="AT305" s="116"/>
      <c r="AU305" s="116"/>
      <c r="AV305" s="116"/>
      <c r="AW305" s="116"/>
      <c r="AX305" s="116"/>
      <c r="AY305" s="116"/>
      <c r="AZ305" s="116"/>
      <c r="BA305" s="116"/>
      <c r="BB305" s="116"/>
    </row>
    <row r="306" spans="4:54">
      <c r="D306" s="116"/>
      <c r="E306" s="116"/>
      <c r="F306" s="116"/>
      <c r="G306" s="116"/>
      <c r="H306" s="116"/>
      <c r="I306" s="116"/>
      <c r="J306" s="116"/>
      <c r="K306" s="116"/>
      <c r="L306" s="116"/>
      <c r="M306" s="116"/>
      <c r="N306" s="116"/>
      <c r="O306" s="116"/>
      <c r="P306" s="116"/>
      <c r="Q306" s="116"/>
      <c r="R306" s="116"/>
      <c r="S306" s="116"/>
      <c r="T306" s="116"/>
      <c r="U306" s="116"/>
      <c r="V306" s="116"/>
      <c r="W306" s="116"/>
      <c r="X306" s="116"/>
      <c r="Y306" s="116"/>
      <c r="Z306" s="116"/>
      <c r="AA306" s="116"/>
      <c r="AB306" s="116"/>
      <c r="AC306" s="116"/>
      <c r="AD306" s="116"/>
      <c r="AE306" s="116"/>
      <c r="AF306" s="116"/>
      <c r="AG306" s="116"/>
      <c r="AH306" s="116"/>
      <c r="AI306" s="116"/>
      <c r="AJ306" s="116"/>
      <c r="AK306" s="116"/>
      <c r="AL306" s="116"/>
      <c r="AM306" s="116"/>
      <c r="AN306" s="116"/>
      <c r="AO306" s="116"/>
      <c r="AP306" s="116"/>
      <c r="AQ306" s="116"/>
      <c r="AR306" s="116"/>
      <c r="AS306" s="116"/>
      <c r="AT306" s="116"/>
      <c r="AU306" s="116"/>
      <c r="AV306" s="116"/>
      <c r="AW306" s="116"/>
      <c r="AX306" s="116"/>
      <c r="AY306" s="116"/>
      <c r="AZ306" s="116"/>
      <c r="BA306" s="116"/>
      <c r="BB306" s="116"/>
    </row>
    <row r="307" spans="4:54">
      <c r="D307" s="116"/>
      <c r="E307" s="116"/>
      <c r="F307" s="116"/>
      <c r="G307" s="116"/>
      <c r="H307" s="116"/>
      <c r="I307" s="116"/>
      <c r="J307" s="116"/>
      <c r="K307" s="116"/>
      <c r="L307" s="116"/>
      <c r="M307" s="116"/>
      <c r="N307" s="116"/>
      <c r="O307" s="116"/>
      <c r="P307" s="116"/>
      <c r="Q307" s="116"/>
      <c r="R307" s="116"/>
      <c r="S307" s="116"/>
      <c r="T307" s="116"/>
      <c r="U307" s="116"/>
      <c r="V307" s="116"/>
      <c r="W307" s="116"/>
      <c r="X307" s="116"/>
      <c r="Y307" s="116"/>
      <c r="Z307" s="116"/>
      <c r="AA307" s="116"/>
      <c r="AB307" s="116"/>
      <c r="AC307" s="116"/>
      <c r="AD307" s="116"/>
      <c r="AE307" s="116"/>
      <c r="AF307" s="116"/>
      <c r="AG307" s="116"/>
      <c r="AH307" s="116"/>
      <c r="AI307" s="116"/>
      <c r="AJ307" s="116"/>
      <c r="AK307" s="116"/>
      <c r="AL307" s="116"/>
      <c r="AM307" s="116"/>
      <c r="AN307" s="116"/>
      <c r="AO307" s="116"/>
      <c r="AP307" s="116"/>
      <c r="AQ307" s="116"/>
      <c r="AR307" s="116"/>
      <c r="AS307" s="116"/>
      <c r="AT307" s="116"/>
      <c r="AU307" s="116"/>
      <c r="AV307" s="116"/>
      <c r="AW307" s="116"/>
      <c r="AX307" s="116"/>
      <c r="AY307" s="116"/>
      <c r="AZ307" s="116"/>
      <c r="BA307" s="116"/>
      <c r="BB307" s="116"/>
    </row>
    <row r="308" spans="4:54">
      <c r="D308" s="116"/>
      <c r="E308" s="116"/>
      <c r="F308" s="116"/>
      <c r="G308" s="116"/>
      <c r="H308" s="116"/>
      <c r="I308" s="116"/>
      <c r="J308" s="116"/>
      <c r="K308" s="116"/>
      <c r="L308" s="116"/>
      <c r="M308" s="116"/>
      <c r="N308" s="116"/>
      <c r="O308" s="116"/>
      <c r="P308" s="116"/>
      <c r="Q308" s="116"/>
      <c r="R308" s="116"/>
      <c r="S308" s="116"/>
      <c r="T308" s="116"/>
      <c r="U308" s="116"/>
      <c r="V308" s="116"/>
      <c r="W308" s="116"/>
      <c r="X308" s="116"/>
      <c r="Y308" s="116"/>
      <c r="Z308" s="116"/>
      <c r="AA308" s="116"/>
      <c r="AB308" s="116"/>
      <c r="AC308" s="116"/>
      <c r="AD308" s="116"/>
      <c r="AE308" s="116"/>
      <c r="AF308" s="116"/>
      <c r="AG308" s="116"/>
      <c r="AH308" s="116"/>
      <c r="AI308" s="116"/>
      <c r="AJ308" s="116"/>
      <c r="AK308" s="116"/>
      <c r="AL308" s="116"/>
      <c r="AM308" s="116"/>
      <c r="AN308" s="116"/>
      <c r="AO308" s="116"/>
      <c r="AP308" s="116"/>
      <c r="AQ308" s="116"/>
      <c r="AR308" s="116"/>
      <c r="AS308" s="116"/>
      <c r="AT308" s="116"/>
      <c r="AU308" s="116"/>
      <c r="AV308" s="116"/>
      <c r="AW308" s="116"/>
      <c r="AX308" s="116"/>
      <c r="AY308" s="116"/>
      <c r="AZ308" s="116"/>
      <c r="BA308" s="116"/>
      <c r="BB308" s="116"/>
    </row>
    <row r="309" spans="4:54">
      <c r="D309" s="116"/>
      <c r="E309" s="116"/>
      <c r="F309" s="116"/>
      <c r="G309" s="116"/>
      <c r="H309" s="116"/>
      <c r="I309" s="116"/>
      <c r="J309" s="116"/>
      <c r="K309" s="116"/>
      <c r="L309" s="116"/>
      <c r="M309" s="116"/>
      <c r="N309" s="116"/>
      <c r="O309" s="116"/>
      <c r="P309" s="116"/>
      <c r="Q309" s="116"/>
      <c r="R309" s="116"/>
      <c r="S309" s="116"/>
      <c r="T309" s="116"/>
      <c r="U309" s="116"/>
      <c r="V309" s="116"/>
      <c r="W309" s="116"/>
      <c r="X309" s="116"/>
      <c r="Y309" s="116"/>
      <c r="Z309" s="116"/>
      <c r="AA309" s="116"/>
      <c r="AB309" s="116"/>
      <c r="AC309" s="116"/>
      <c r="AD309" s="116"/>
      <c r="AE309" s="116"/>
      <c r="AF309" s="116"/>
      <c r="AG309" s="116"/>
      <c r="AH309" s="116"/>
      <c r="AI309" s="116"/>
      <c r="AJ309" s="116"/>
      <c r="AK309" s="116"/>
      <c r="AL309" s="116"/>
      <c r="AM309" s="116"/>
      <c r="AN309" s="116"/>
      <c r="AO309" s="116"/>
      <c r="AP309" s="116"/>
      <c r="AQ309" s="116"/>
      <c r="AR309" s="116"/>
      <c r="AS309" s="116"/>
      <c r="AT309" s="116"/>
      <c r="AU309" s="116"/>
      <c r="AV309" s="116"/>
      <c r="AW309" s="116"/>
      <c r="AX309" s="116"/>
      <c r="AY309" s="116"/>
      <c r="AZ309" s="116"/>
      <c r="BA309" s="116"/>
      <c r="BB309" s="116"/>
    </row>
    <row r="310" spans="4:54">
      <c r="D310" s="116"/>
      <c r="E310" s="116"/>
      <c r="F310" s="116"/>
      <c r="G310" s="116"/>
      <c r="H310" s="116"/>
      <c r="I310" s="116"/>
      <c r="J310" s="116"/>
      <c r="K310" s="116"/>
      <c r="L310" s="116"/>
      <c r="M310" s="116"/>
      <c r="N310" s="116"/>
      <c r="O310" s="116"/>
      <c r="P310" s="116"/>
      <c r="Q310" s="116"/>
      <c r="R310" s="116"/>
      <c r="S310" s="116"/>
      <c r="T310" s="116"/>
      <c r="U310" s="116"/>
      <c r="V310" s="116"/>
      <c r="W310" s="116"/>
      <c r="X310" s="116"/>
      <c r="Y310" s="116"/>
      <c r="Z310" s="116"/>
      <c r="AA310" s="116"/>
      <c r="AB310" s="116"/>
      <c r="AC310" s="116"/>
      <c r="AD310" s="116"/>
      <c r="AE310" s="116"/>
      <c r="AF310" s="116"/>
      <c r="AG310" s="116"/>
      <c r="AH310" s="116"/>
      <c r="AI310" s="116"/>
      <c r="AJ310" s="116"/>
      <c r="AK310" s="116"/>
      <c r="AL310" s="116"/>
      <c r="AM310" s="116"/>
      <c r="AN310" s="116"/>
      <c r="AO310" s="116"/>
      <c r="AP310" s="116"/>
      <c r="AQ310" s="116"/>
      <c r="AR310" s="116"/>
      <c r="AS310" s="116"/>
      <c r="AT310" s="116"/>
      <c r="AU310" s="116"/>
      <c r="AV310" s="116"/>
      <c r="AW310" s="116"/>
      <c r="AX310" s="116"/>
      <c r="AY310" s="116"/>
      <c r="AZ310" s="116"/>
      <c r="BA310" s="116"/>
      <c r="BB310" s="116"/>
    </row>
    <row r="311" spans="4:54">
      <c r="D311" s="116"/>
      <c r="E311" s="116"/>
      <c r="F311" s="116"/>
      <c r="G311" s="116"/>
      <c r="H311" s="116"/>
      <c r="I311" s="116"/>
      <c r="J311" s="116"/>
      <c r="K311" s="116"/>
      <c r="L311" s="116"/>
      <c r="M311" s="116"/>
      <c r="N311" s="116"/>
      <c r="O311" s="116"/>
      <c r="P311" s="116"/>
      <c r="Q311" s="116"/>
      <c r="R311" s="116"/>
      <c r="S311" s="116"/>
      <c r="T311" s="116"/>
      <c r="U311" s="116"/>
      <c r="V311" s="116"/>
      <c r="W311" s="116"/>
      <c r="X311" s="116"/>
      <c r="Y311" s="116"/>
      <c r="Z311" s="116"/>
      <c r="AA311" s="116"/>
      <c r="AB311" s="116"/>
      <c r="AC311" s="116"/>
      <c r="AD311" s="116"/>
      <c r="AE311" s="116"/>
      <c r="AF311" s="116"/>
      <c r="AG311" s="116"/>
      <c r="AH311" s="116"/>
      <c r="AI311" s="116"/>
      <c r="AJ311" s="116"/>
      <c r="AK311" s="116"/>
      <c r="AL311" s="116"/>
      <c r="AM311" s="116"/>
      <c r="AN311" s="116"/>
      <c r="AO311" s="116"/>
      <c r="AP311" s="116"/>
      <c r="AQ311" s="116"/>
      <c r="AR311" s="116"/>
      <c r="AS311" s="116"/>
      <c r="AT311" s="116"/>
      <c r="AU311" s="116"/>
      <c r="AV311" s="116"/>
      <c r="AW311" s="116"/>
      <c r="AX311" s="116"/>
      <c r="AY311" s="116"/>
      <c r="AZ311" s="116"/>
      <c r="BA311" s="116"/>
      <c r="BB311" s="116"/>
    </row>
    <row r="312" spans="4:54">
      <c r="D312" s="116"/>
      <c r="E312" s="116"/>
      <c r="F312" s="116"/>
      <c r="G312" s="116"/>
      <c r="H312" s="116"/>
      <c r="I312" s="116"/>
      <c r="J312" s="116"/>
      <c r="K312" s="116"/>
      <c r="L312" s="116"/>
      <c r="M312" s="116"/>
      <c r="N312" s="116"/>
      <c r="O312" s="116"/>
      <c r="P312" s="116"/>
      <c r="Q312" s="116"/>
      <c r="R312" s="116"/>
      <c r="S312" s="116"/>
      <c r="T312" s="116"/>
      <c r="U312" s="116"/>
      <c r="V312" s="116"/>
      <c r="W312" s="116"/>
      <c r="X312" s="116"/>
      <c r="Y312" s="116"/>
      <c r="Z312" s="116"/>
      <c r="AA312" s="116"/>
      <c r="AB312" s="116"/>
      <c r="AC312" s="116"/>
      <c r="AD312" s="116"/>
      <c r="AE312" s="116"/>
      <c r="AF312" s="116"/>
      <c r="AG312" s="116"/>
      <c r="AH312" s="116"/>
      <c r="AI312" s="116"/>
      <c r="AJ312" s="116"/>
      <c r="AK312" s="116"/>
      <c r="AL312" s="116"/>
      <c r="AM312" s="116"/>
      <c r="AN312" s="116"/>
      <c r="AO312" s="116"/>
      <c r="AP312" s="116"/>
      <c r="AQ312" s="116"/>
      <c r="AR312" s="116"/>
      <c r="AS312" s="116"/>
      <c r="AT312" s="116"/>
      <c r="AU312" s="116"/>
      <c r="AV312" s="116"/>
      <c r="AW312" s="116"/>
      <c r="AX312" s="116"/>
      <c r="AY312" s="116"/>
      <c r="AZ312" s="116"/>
      <c r="BA312" s="116"/>
      <c r="BB312" s="116"/>
    </row>
    <row r="313" spans="4:54">
      <c r="D313" s="116"/>
      <c r="E313" s="116"/>
      <c r="F313" s="116"/>
      <c r="G313" s="116"/>
      <c r="H313" s="116"/>
      <c r="I313" s="116"/>
      <c r="J313" s="116"/>
      <c r="K313" s="116"/>
      <c r="L313" s="116"/>
      <c r="M313" s="116"/>
      <c r="N313" s="116"/>
      <c r="O313" s="116"/>
      <c r="P313" s="116"/>
      <c r="Q313" s="116"/>
      <c r="R313" s="116"/>
      <c r="S313" s="116"/>
      <c r="T313" s="116"/>
      <c r="U313" s="116"/>
      <c r="V313" s="116"/>
      <c r="W313" s="116"/>
      <c r="X313" s="116"/>
      <c r="Y313" s="116"/>
      <c r="Z313" s="116"/>
      <c r="AA313" s="116"/>
      <c r="AB313" s="116"/>
      <c r="AC313" s="116"/>
      <c r="AD313" s="116"/>
      <c r="AE313" s="116"/>
      <c r="AF313" s="116"/>
      <c r="AG313" s="116"/>
      <c r="AH313" s="116"/>
      <c r="AI313" s="116"/>
      <c r="AJ313" s="116"/>
      <c r="AK313" s="116"/>
      <c r="AL313" s="116"/>
      <c r="AM313" s="116"/>
      <c r="AN313" s="116"/>
      <c r="AO313" s="116"/>
      <c r="AP313" s="116"/>
      <c r="AQ313" s="116"/>
      <c r="AR313" s="116"/>
      <c r="AS313" s="116"/>
      <c r="AT313" s="116"/>
      <c r="AU313" s="116"/>
      <c r="AV313" s="116"/>
      <c r="AW313" s="116"/>
      <c r="AX313" s="116"/>
      <c r="AY313" s="116"/>
      <c r="AZ313" s="116"/>
      <c r="BA313" s="116"/>
      <c r="BB313" s="116"/>
    </row>
    <row r="314" spans="4:54">
      <c r="D314" s="116"/>
      <c r="E314" s="116"/>
      <c r="F314" s="116"/>
      <c r="G314" s="116"/>
      <c r="H314" s="116"/>
      <c r="I314" s="116"/>
      <c r="J314" s="116"/>
      <c r="K314" s="116"/>
      <c r="L314" s="116"/>
      <c r="M314" s="116"/>
      <c r="N314" s="116"/>
      <c r="O314" s="116"/>
      <c r="P314" s="116"/>
      <c r="Q314" s="116"/>
      <c r="R314" s="116"/>
      <c r="S314" s="116"/>
      <c r="T314" s="116"/>
      <c r="U314" s="116"/>
      <c r="V314" s="116"/>
      <c r="W314" s="116"/>
      <c r="X314" s="116"/>
      <c r="Y314" s="116"/>
      <c r="Z314" s="116"/>
      <c r="AA314" s="116"/>
      <c r="AB314" s="116"/>
      <c r="AC314" s="116"/>
      <c r="AD314" s="116"/>
      <c r="AE314" s="116"/>
      <c r="AF314" s="116"/>
      <c r="AG314" s="116"/>
      <c r="AH314" s="116"/>
      <c r="AI314" s="116"/>
      <c r="AJ314" s="116"/>
      <c r="AK314" s="116"/>
      <c r="AL314" s="116"/>
      <c r="AM314" s="116"/>
      <c r="AN314" s="116"/>
      <c r="AO314" s="116"/>
      <c r="AP314" s="116"/>
      <c r="AQ314" s="116"/>
      <c r="AR314" s="116"/>
      <c r="AS314" s="116"/>
      <c r="AT314" s="116"/>
      <c r="AU314" s="116"/>
      <c r="AV314" s="116"/>
      <c r="AW314" s="116"/>
      <c r="AX314" s="116"/>
      <c r="AY314" s="116"/>
      <c r="AZ314" s="116"/>
      <c r="BA314" s="116"/>
      <c r="BB314" s="116"/>
    </row>
    <row r="315" spans="4:54">
      <c r="D315" s="116"/>
      <c r="E315" s="116"/>
      <c r="F315" s="116"/>
      <c r="G315" s="116"/>
      <c r="H315" s="116"/>
      <c r="I315" s="116"/>
      <c r="J315" s="116"/>
      <c r="K315" s="116"/>
      <c r="L315" s="116"/>
      <c r="M315" s="116"/>
      <c r="N315" s="116"/>
      <c r="O315" s="116"/>
      <c r="P315" s="116"/>
      <c r="Q315" s="116"/>
      <c r="R315" s="116"/>
      <c r="S315" s="116"/>
      <c r="T315" s="116"/>
      <c r="U315" s="116"/>
      <c r="V315" s="116"/>
      <c r="W315" s="116"/>
      <c r="X315" s="116"/>
      <c r="Y315" s="116"/>
      <c r="Z315" s="116"/>
      <c r="AA315" s="116"/>
      <c r="AB315" s="116"/>
      <c r="AC315" s="116"/>
      <c r="AD315" s="116"/>
      <c r="AE315" s="116"/>
      <c r="AF315" s="116"/>
      <c r="AG315" s="116"/>
      <c r="AH315" s="116"/>
      <c r="AI315" s="116"/>
      <c r="AJ315" s="116"/>
      <c r="AK315" s="116"/>
      <c r="AL315" s="116"/>
      <c r="AM315" s="116"/>
      <c r="AN315" s="116"/>
      <c r="AO315" s="116"/>
      <c r="AP315" s="116"/>
      <c r="AQ315" s="116"/>
      <c r="AR315" s="116"/>
      <c r="AS315" s="116"/>
      <c r="AT315" s="116"/>
      <c r="AU315" s="116"/>
      <c r="AV315" s="116"/>
      <c r="AW315" s="116"/>
      <c r="AX315" s="116"/>
      <c r="AY315" s="116"/>
      <c r="AZ315" s="116"/>
      <c r="BA315" s="116"/>
      <c r="BB315" s="116"/>
    </row>
    <row r="316" spans="4:54">
      <c r="D316" s="116"/>
      <c r="E316" s="116"/>
      <c r="F316" s="116"/>
      <c r="G316" s="116"/>
      <c r="H316" s="116"/>
      <c r="I316" s="116"/>
      <c r="J316" s="116"/>
      <c r="K316" s="116"/>
      <c r="L316" s="116"/>
      <c r="M316" s="116"/>
      <c r="N316" s="116"/>
      <c r="O316" s="116"/>
      <c r="P316" s="116"/>
      <c r="Q316" s="116"/>
      <c r="R316" s="116"/>
      <c r="S316" s="116"/>
      <c r="T316" s="116"/>
      <c r="U316" s="116"/>
      <c r="V316" s="116"/>
      <c r="W316" s="116"/>
      <c r="X316" s="116"/>
      <c r="Y316" s="116"/>
      <c r="Z316" s="116"/>
      <c r="AA316" s="116"/>
      <c r="AB316" s="116"/>
      <c r="AC316" s="116"/>
      <c r="AD316" s="116"/>
      <c r="AE316" s="116"/>
      <c r="AF316" s="116"/>
      <c r="AG316" s="116"/>
      <c r="AH316" s="116"/>
      <c r="AI316" s="116"/>
      <c r="AJ316" s="116"/>
      <c r="AK316" s="116"/>
      <c r="AL316" s="116"/>
      <c r="AM316" s="116"/>
      <c r="AN316" s="116"/>
      <c r="AO316" s="116"/>
      <c r="AP316" s="116"/>
      <c r="AQ316" s="116"/>
      <c r="AR316" s="116"/>
      <c r="AS316" s="116"/>
      <c r="AT316" s="116"/>
      <c r="AU316" s="116"/>
      <c r="AV316" s="116"/>
      <c r="AW316" s="116"/>
      <c r="AX316" s="116"/>
      <c r="AY316" s="116"/>
      <c r="AZ316" s="116"/>
      <c r="BA316" s="116"/>
      <c r="BB316" s="116"/>
    </row>
    <row r="317" spans="4:54">
      <c r="D317" s="116"/>
      <c r="E317" s="116"/>
      <c r="F317" s="116"/>
      <c r="G317" s="116"/>
      <c r="H317" s="116"/>
      <c r="I317" s="116"/>
      <c r="J317" s="116"/>
      <c r="K317" s="116"/>
      <c r="L317" s="116"/>
      <c r="M317" s="116"/>
      <c r="N317" s="116"/>
      <c r="O317" s="116"/>
      <c r="P317" s="116"/>
      <c r="Q317" s="116"/>
      <c r="R317" s="116"/>
      <c r="S317" s="116"/>
      <c r="T317" s="116"/>
      <c r="U317" s="116"/>
      <c r="V317" s="116"/>
      <c r="W317" s="116"/>
      <c r="X317" s="116"/>
      <c r="Y317" s="116"/>
      <c r="Z317" s="116"/>
      <c r="AA317" s="116"/>
      <c r="AB317" s="116"/>
      <c r="AC317" s="116"/>
      <c r="AD317" s="116"/>
      <c r="AE317" s="116"/>
      <c r="AF317" s="116"/>
      <c r="AG317" s="116"/>
      <c r="AH317" s="116"/>
      <c r="AI317" s="116"/>
      <c r="AJ317" s="116"/>
      <c r="AK317" s="116"/>
      <c r="AL317" s="116"/>
      <c r="AM317" s="116"/>
      <c r="AN317" s="116"/>
      <c r="AO317" s="116"/>
      <c r="AP317" s="116"/>
      <c r="AQ317" s="116"/>
      <c r="AR317" s="116"/>
      <c r="AS317" s="116"/>
      <c r="AT317" s="116"/>
      <c r="AU317" s="116"/>
      <c r="AV317" s="116"/>
      <c r="AW317" s="116"/>
      <c r="AX317" s="116"/>
      <c r="AY317" s="116"/>
      <c r="AZ317" s="116"/>
      <c r="BA317" s="116"/>
      <c r="BB317" s="116"/>
    </row>
    <row r="318" spans="4:54">
      <c r="D318" s="116"/>
      <c r="E318" s="116"/>
      <c r="F318" s="116"/>
      <c r="G318" s="116"/>
      <c r="H318" s="116"/>
      <c r="I318" s="116"/>
      <c r="J318" s="116"/>
      <c r="K318" s="116"/>
      <c r="L318" s="116"/>
      <c r="M318" s="116"/>
      <c r="N318" s="116"/>
      <c r="O318" s="116"/>
      <c r="P318" s="116"/>
      <c r="Q318" s="116"/>
      <c r="R318" s="116"/>
      <c r="S318" s="116"/>
      <c r="T318" s="116"/>
      <c r="U318" s="116"/>
      <c r="V318" s="116"/>
      <c r="W318" s="116"/>
      <c r="X318" s="116"/>
      <c r="Y318" s="116"/>
      <c r="Z318" s="116"/>
      <c r="AA318" s="116"/>
      <c r="AB318" s="116"/>
      <c r="AC318" s="116"/>
      <c r="AD318" s="116"/>
      <c r="AE318" s="116"/>
      <c r="AF318" s="116"/>
      <c r="AG318" s="116"/>
      <c r="AH318" s="116"/>
      <c r="AI318" s="116"/>
      <c r="AJ318" s="116"/>
      <c r="AK318" s="116"/>
      <c r="AL318" s="116"/>
      <c r="AM318" s="116"/>
      <c r="AN318" s="116"/>
      <c r="AO318" s="116"/>
      <c r="AP318" s="116"/>
      <c r="AQ318" s="116"/>
      <c r="AR318" s="116"/>
      <c r="AS318" s="116"/>
      <c r="AT318" s="116"/>
      <c r="AU318" s="116"/>
      <c r="AV318" s="116"/>
      <c r="AW318" s="116"/>
      <c r="AX318" s="116"/>
      <c r="AY318" s="116"/>
      <c r="AZ318" s="116"/>
      <c r="BA318" s="116"/>
      <c r="BB318" s="116"/>
    </row>
    <row r="319" spans="4:54">
      <c r="D319" s="116"/>
      <c r="E319" s="116"/>
      <c r="F319" s="116"/>
      <c r="G319" s="116"/>
      <c r="H319" s="116"/>
      <c r="I319" s="116"/>
      <c r="J319" s="116"/>
      <c r="K319" s="116"/>
      <c r="L319" s="116"/>
      <c r="M319" s="116"/>
      <c r="N319" s="116"/>
      <c r="O319" s="116"/>
      <c r="P319" s="116"/>
      <c r="Q319" s="116"/>
      <c r="R319" s="116"/>
      <c r="S319" s="116"/>
      <c r="T319" s="116"/>
      <c r="U319" s="116"/>
      <c r="V319" s="116"/>
      <c r="W319" s="116"/>
      <c r="X319" s="116"/>
      <c r="Y319" s="116"/>
      <c r="Z319" s="116"/>
      <c r="AA319" s="116"/>
      <c r="AB319" s="116"/>
      <c r="AC319" s="116"/>
      <c r="AD319" s="116"/>
      <c r="AE319" s="116"/>
      <c r="AF319" s="116"/>
      <c r="AG319" s="116"/>
      <c r="AH319" s="116"/>
      <c r="AI319" s="116"/>
      <c r="AJ319" s="116"/>
      <c r="AK319" s="116"/>
      <c r="AL319" s="116"/>
      <c r="AM319" s="116"/>
      <c r="AN319" s="116"/>
      <c r="AO319" s="116"/>
      <c r="AP319" s="116"/>
      <c r="AQ319" s="116"/>
      <c r="AR319" s="116"/>
      <c r="AS319" s="116"/>
      <c r="AT319" s="116"/>
      <c r="AU319" s="116"/>
      <c r="AV319" s="116"/>
      <c r="AW319" s="116"/>
      <c r="AX319" s="116"/>
      <c r="AY319" s="116"/>
      <c r="AZ319" s="116"/>
      <c r="BA319" s="116"/>
      <c r="BB319" s="116"/>
    </row>
    <row r="320" spans="4:54">
      <c r="D320" s="116"/>
      <c r="E320" s="116"/>
      <c r="F320" s="116"/>
      <c r="G320" s="116"/>
      <c r="H320" s="116"/>
      <c r="I320" s="116"/>
      <c r="J320" s="116"/>
      <c r="K320" s="116"/>
      <c r="L320" s="116"/>
      <c r="M320" s="116"/>
      <c r="N320" s="116"/>
      <c r="O320" s="116"/>
      <c r="P320" s="116"/>
      <c r="Q320" s="116"/>
      <c r="R320" s="116"/>
      <c r="S320" s="116"/>
      <c r="T320" s="116"/>
      <c r="U320" s="116"/>
      <c r="V320" s="116"/>
      <c r="W320" s="116"/>
      <c r="X320" s="116"/>
      <c r="Y320" s="116"/>
      <c r="Z320" s="116"/>
      <c r="AA320" s="116"/>
      <c r="AB320" s="116"/>
      <c r="AC320" s="116"/>
      <c r="AD320" s="116"/>
      <c r="AE320" s="116"/>
      <c r="AF320" s="116"/>
      <c r="AG320" s="116"/>
      <c r="AH320" s="116"/>
      <c r="AI320" s="116"/>
      <c r="AJ320" s="116"/>
      <c r="AK320" s="116"/>
      <c r="AL320" s="116"/>
      <c r="AM320" s="116"/>
      <c r="AN320" s="116"/>
      <c r="AO320" s="116"/>
      <c r="AP320" s="116"/>
      <c r="AQ320" s="116"/>
      <c r="AR320" s="116"/>
      <c r="AS320" s="116"/>
      <c r="AT320" s="116"/>
      <c r="AU320" s="116"/>
      <c r="AV320" s="116"/>
      <c r="AW320" s="116"/>
      <c r="AX320" s="116"/>
      <c r="AY320" s="116"/>
      <c r="AZ320" s="116"/>
      <c r="BA320" s="116"/>
      <c r="BB320" s="116"/>
    </row>
    <row r="321" spans="4:54">
      <c r="D321" s="116"/>
      <c r="E321" s="116"/>
      <c r="F321" s="116"/>
      <c r="G321" s="116"/>
      <c r="H321" s="116"/>
      <c r="I321" s="116"/>
      <c r="J321" s="116"/>
      <c r="K321" s="116"/>
      <c r="L321" s="116"/>
      <c r="M321" s="116"/>
      <c r="N321" s="116"/>
      <c r="O321" s="116"/>
      <c r="P321" s="116"/>
      <c r="Q321" s="116"/>
      <c r="R321" s="116"/>
      <c r="S321" s="116"/>
      <c r="T321" s="116"/>
      <c r="U321" s="116"/>
      <c r="V321" s="116"/>
      <c r="W321" s="116"/>
      <c r="X321" s="116"/>
      <c r="Y321" s="116"/>
      <c r="Z321" s="116"/>
      <c r="AA321" s="116"/>
      <c r="AB321" s="116"/>
      <c r="AC321" s="116"/>
      <c r="AD321" s="116"/>
      <c r="AE321" s="116"/>
      <c r="AF321" s="116"/>
      <c r="AG321" s="116"/>
      <c r="AH321" s="116"/>
      <c r="AI321" s="116"/>
      <c r="AJ321" s="116"/>
      <c r="AK321" s="116"/>
      <c r="AL321" s="116"/>
      <c r="AM321" s="116"/>
      <c r="AN321" s="116"/>
      <c r="AO321" s="116"/>
      <c r="AP321" s="116"/>
      <c r="AQ321" s="116"/>
      <c r="AR321" s="116"/>
      <c r="AS321" s="116"/>
      <c r="AT321" s="116"/>
      <c r="AU321" s="116"/>
      <c r="AV321" s="116"/>
      <c r="AW321" s="116"/>
      <c r="AX321" s="116"/>
      <c r="AY321" s="116"/>
      <c r="AZ321" s="116"/>
      <c r="BA321" s="116"/>
      <c r="BB321" s="116"/>
    </row>
    <row r="322" spans="4:54">
      <c r="D322" s="116"/>
      <c r="E322" s="116"/>
      <c r="F322" s="116"/>
      <c r="G322" s="116"/>
      <c r="H322" s="116"/>
      <c r="I322" s="116"/>
      <c r="J322" s="116"/>
      <c r="K322" s="116"/>
      <c r="L322" s="116"/>
      <c r="M322" s="116"/>
      <c r="N322" s="116"/>
      <c r="O322" s="116"/>
      <c r="P322" s="116"/>
      <c r="Q322" s="116"/>
      <c r="R322" s="116"/>
      <c r="S322" s="116"/>
      <c r="T322" s="116"/>
      <c r="U322" s="116"/>
      <c r="V322" s="116"/>
      <c r="W322" s="116"/>
      <c r="X322" s="116"/>
      <c r="Y322" s="116"/>
      <c r="Z322" s="116"/>
      <c r="AA322" s="116"/>
      <c r="AB322" s="116"/>
      <c r="AC322" s="116"/>
      <c r="AD322" s="116"/>
      <c r="AE322" s="116"/>
      <c r="AF322" s="116"/>
      <c r="AG322" s="116"/>
      <c r="AH322" s="116"/>
      <c r="AI322" s="116"/>
      <c r="AJ322" s="116"/>
      <c r="AK322" s="116"/>
      <c r="AL322" s="116"/>
      <c r="AM322" s="116"/>
      <c r="AN322" s="116"/>
      <c r="AO322" s="116"/>
      <c r="AP322" s="116"/>
      <c r="AQ322" s="116"/>
      <c r="AR322" s="116"/>
      <c r="AS322" s="116"/>
      <c r="AT322" s="116"/>
      <c r="AU322" s="116"/>
      <c r="AV322" s="116"/>
      <c r="AW322" s="116"/>
      <c r="AX322" s="116"/>
      <c r="AY322" s="116"/>
      <c r="AZ322" s="116"/>
      <c r="BA322" s="116"/>
      <c r="BB322" s="116"/>
    </row>
    <row r="323" spans="4:54">
      <c r="D323" s="116"/>
      <c r="E323" s="116"/>
      <c r="F323" s="116"/>
      <c r="G323" s="116"/>
      <c r="H323" s="116"/>
      <c r="I323" s="116"/>
      <c r="J323" s="116"/>
      <c r="K323" s="116"/>
      <c r="L323" s="116"/>
      <c r="M323" s="116"/>
      <c r="N323" s="116"/>
      <c r="O323" s="116"/>
      <c r="P323" s="116"/>
      <c r="Q323" s="116"/>
      <c r="R323" s="116"/>
      <c r="S323" s="116"/>
      <c r="T323" s="116"/>
      <c r="U323" s="116"/>
      <c r="V323" s="116"/>
      <c r="W323" s="116"/>
      <c r="X323" s="116"/>
      <c r="Y323" s="116"/>
      <c r="Z323" s="116"/>
      <c r="AA323" s="116"/>
      <c r="AB323" s="116"/>
      <c r="AC323" s="116"/>
      <c r="AD323" s="116"/>
      <c r="AE323" s="116"/>
      <c r="AF323" s="116"/>
      <c r="AG323" s="116"/>
      <c r="AH323" s="116"/>
      <c r="AI323" s="116"/>
      <c r="AJ323" s="116"/>
      <c r="AK323" s="116"/>
      <c r="AL323" s="116"/>
      <c r="AM323" s="116"/>
      <c r="AN323" s="116"/>
      <c r="AO323" s="116"/>
      <c r="AP323" s="116"/>
      <c r="AQ323" s="116"/>
      <c r="AR323" s="116"/>
      <c r="AS323" s="116"/>
      <c r="AT323" s="116"/>
      <c r="AU323" s="116"/>
      <c r="AV323" s="116"/>
      <c r="AW323" s="116"/>
      <c r="AX323" s="116"/>
      <c r="AY323" s="116"/>
      <c r="AZ323" s="116"/>
      <c r="BA323" s="116"/>
      <c r="BB323" s="116"/>
    </row>
    <row r="324" spans="4:54">
      <c r="D324" s="116"/>
      <c r="E324" s="116"/>
      <c r="F324" s="116"/>
      <c r="G324" s="116"/>
      <c r="H324" s="116"/>
      <c r="I324" s="116"/>
      <c r="J324" s="116"/>
      <c r="K324" s="116"/>
      <c r="L324" s="116"/>
      <c r="M324" s="116"/>
      <c r="N324" s="116"/>
      <c r="O324" s="116"/>
      <c r="P324" s="116"/>
      <c r="Q324" s="116"/>
      <c r="R324" s="116"/>
      <c r="S324" s="116"/>
      <c r="T324" s="116"/>
      <c r="U324" s="116"/>
      <c r="V324" s="116"/>
      <c r="W324" s="116"/>
      <c r="X324" s="116"/>
      <c r="Y324" s="116"/>
      <c r="Z324" s="116"/>
      <c r="AA324" s="116"/>
      <c r="AB324" s="116"/>
      <c r="AC324" s="116"/>
      <c r="AD324" s="116"/>
      <c r="AE324" s="116"/>
      <c r="AF324" s="116"/>
      <c r="AG324" s="116"/>
      <c r="AH324" s="116"/>
      <c r="AI324" s="116"/>
      <c r="AJ324" s="116"/>
      <c r="AK324" s="116"/>
      <c r="AL324" s="116"/>
      <c r="AM324" s="116"/>
      <c r="AN324" s="116"/>
      <c r="AO324" s="116"/>
      <c r="AP324" s="116"/>
      <c r="AQ324" s="116"/>
      <c r="AR324" s="116"/>
      <c r="AS324" s="116"/>
      <c r="AT324" s="116"/>
      <c r="AU324" s="116"/>
      <c r="AV324" s="116"/>
      <c r="AW324" s="116"/>
      <c r="AX324" s="116"/>
      <c r="AY324" s="116"/>
      <c r="AZ324" s="116"/>
      <c r="BA324" s="116"/>
      <c r="BB324" s="116"/>
    </row>
    <row r="325" spans="4:54">
      <c r="D325" s="116"/>
      <c r="E325" s="116"/>
      <c r="F325" s="116"/>
      <c r="G325" s="116"/>
      <c r="H325" s="116"/>
      <c r="I325" s="116"/>
      <c r="J325" s="116"/>
      <c r="K325" s="116"/>
      <c r="L325" s="116"/>
      <c r="M325" s="116"/>
      <c r="N325" s="116"/>
      <c r="O325" s="116"/>
      <c r="P325" s="116"/>
      <c r="Q325" s="116"/>
      <c r="R325" s="116"/>
      <c r="S325" s="116"/>
      <c r="T325" s="116"/>
      <c r="U325" s="116"/>
      <c r="V325" s="116"/>
      <c r="W325" s="116"/>
      <c r="X325" s="116"/>
      <c r="Y325" s="116"/>
      <c r="Z325" s="116"/>
      <c r="AA325" s="116"/>
      <c r="AB325" s="116"/>
      <c r="AC325" s="116"/>
      <c r="AD325" s="116"/>
      <c r="AE325" s="116"/>
      <c r="AF325" s="116"/>
      <c r="AG325" s="116"/>
      <c r="AH325" s="116"/>
      <c r="AI325" s="116"/>
      <c r="AJ325" s="116"/>
      <c r="AK325" s="116"/>
      <c r="AL325" s="116"/>
      <c r="AM325" s="116"/>
      <c r="AN325" s="116"/>
      <c r="AO325" s="116"/>
      <c r="AP325" s="116"/>
      <c r="AQ325" s="116"/>
      <c r="AR325" s="116"/>
      <c r="AS325" s="116"/>
      <c r="AT325" s="116"/>
      <c r="AU325" s="116"/>
      <c r="AV325" s="116"/>
      <c r="AW325" s="116"/>
      <c r="AX325" s="116"/>
      <c r="AY325" s="116"/>
      <c r="AZ325" s="116"/>
      <c r="BA325" s="116"/>
      <c r="BB325" s="116"/>
    </row>
    <row r="326" spans="4:54">
      <c r="D326" s="116"/>
      <c r="E326" s="116"/>
      <c r="F326" s="116"/>
      <c r="G326" s="116"/>
      <c r="H326" s="116"/>
      <c r="I326" s="116"/>
      <c r="J326" s="116"/>
      <c r="K326" s="116"/>
      <c r="L326" s="116"/>
      <c r="M326" s="116"/>
      <c r="N326" s="116"/>
      <c r="O326" s="116"/>
      <c r="P326" s="116"/>
      <c r="Q326" s="116"/>
      <c r="R326" s="116"/>
      <c r="S326" s="116"/>
      <c r="T326" s="116"/>
      <c r="U326" s="116"/>
      <c r="V326" s="116"/>
      <c r="W326" s="116"/>
      <c r="X326" s="116"/>
      <c r="Y326" s="116"/>
      <c r="Z326" s="116"/>
      <c r="AA326" s="116"/>
      <c r="AB326" s="116"/>
      <c r="AC326" s="116"/>
      <c r="AD326" s="116"/>
      <c r="AE326" s="116"/>
      <c r="AF326" s="116"/>
      <c r="AG326" s="116"/>
      <c r="AH326" s="116"/>
      <c r="AI326" s="116"/>
      <c r="AJ326" s="116"/>
      <c r="AK326" s="116"/>
      <c r="AL326" s="116"/>
      <c r="AM326" s="116"/>
      <c r="AN326" s="116"/>
      <c r="AO326" s="116"/>
      <c r="AP326" s="116"/>
      <c r="AQ326" s="116"/>
      <c r="AR326" s="116"/>
      <c r="AS326" s="116"/>
      <c r="AT326" s="116"/>
      <c r="AU326" s="116"/>
      <c r="AV326" s="116"/>
      <c r="AW326" s="116"/>
      <c r="AX326" s="116"/>
      <c r="AY326" s="116"/>
      <c r="AZ326" s="116"/>
      <c r="BA326" s="116"/>
      <c r="BB326" s="116"/>
    </row>
    <row r="327" spans="4:54">
      <c r="D327" s="116"/>
      <c r="E327" s="116"/>
      <c r="F327" s="116"/>
      <c r="G327" s="116"/>
      <c r="H327" s="116"/>
      <c r="I327" s="116"/>
      <c r="J327" s="116"/>
      <c r="K327" s="116"/>
      <c r="L327" s="116"/>
      <c r="M327" s="116"/>
      <c r="N327" s="116"/>
      <c r="O327" s="116"/>
      <c r="P327" s="116"/>
      <c r="Q327" s="116"/>
      <c r="R327" s="116"/>
      <c r="S327" s="116"/>
      <c r="T327" s="116"/>
      <c r="U327" s="116"/>
      <c r="V327" s="116"/>
      <c r="W327" s="116"/>
      <c r="X327" s="116"/>
      <c r="Y327" s="116"/>
      <c r="Z327" s="116"/>
      <c r="AA327" s="116"/>
      <c r="AB327" s="116"/>
      <c r="AC327" s="116"/>
      <c r="AD327" s="116"/>
      <c r="AE327" s="116"/>
      <c r="AF327" s="116"/>
      <c r="AG327" s="116"/>
      <c r="AH327" s="116"/>
      <c r="AI327" s="116"/>
      <c r="AJ327" s="116"/>
      <c r="AK327" s="116"/>
      <c r="AL327" s="116"/>
      <c r="AM327" s="116"/>
      <c r="AN327" s="116"/>
      <c r="AO327" s="116"/>
      <c r="AP327" s="116"/>
      <c r="AQ327" s="116"/>
      <c r="AR327" s="116"/>
      <c r="AS327" s="116"/>
      <c r="AT327" s="116"/>
      <c r="AU327" s="116"/>
      <c r="AV327" s="116"/>
      <c r="AW327" s="116"/>
      <c r="AX327" s="116"/>
      <c r="AY327" s="116"/>
      <c r="AZ327" s="116"/>
      <c r="BA327" s="116"/>
      <c r="BB327" s="116"/>
    </row>
    <row r="328" spans="4:54">
      <c r="D328" s="116"/>
      <c r="E328" s="116"/>
      <c r="F328" s="116"/>
      <c r="G328" s="116"/>
      <c r="H328" s="116"/>
      <c r="I328" s="116"/>
      <c r="J328" s="116"/>
      <c r="K328" s="116"/>
      <c r="L328" s="116"/>
      <c r="M328" s="116"/>
      <c r="N328" s="116"/>
      <c r="O328" s="116"/>
      <c r="P328" s="116"/>
      <c r="Q328" s="116"/>
      <c r="R328" s="116"/>
      <c r="S328" s="116"/>
      <c r="T328" s="116"/>
      <c r="U328" s="116"/>
      <c r="V328" s="116"/>
      <c r="W328" s="116"/>
      <c r="X328" s="116"/>
      <c r="Y328" s="116"/>
      <c r="Z328" s="116"/>
      <c r="AA328" s="116"/>
      <c r="AB328" s="116"/>
      <c r="AC328" s="116"/>
      <c r="AD328" s="116"/>
      <c r="AE328" s="116"/>
      <c r="AF328" s="116"/>
      <c r="AG328" s="116"/>
      <c r="AH328" s="116"/>
      <c r="AI328" s="116"/>
      <c r="AJ328" s="116"/>
      <c r="AK328" s="116"/>
      <c r="AL328" s="116"/>
      <c r="AM328" s="116"/>
      <c r="AN328" s="116"/>
      <c r="AO328" s="116"/>
      <c r="AP328" s="116"/>
      <c r="AQ328" s="116"/>
      <c r="AR328" s="116"/>
      <c r="AS328" s="116"/>
      <c r="AT328" s="116"/>
      <c r="AU328" s="116"/>
      <c r="AV328" s="116"/>
      <c r="AW328" s="116"/>
      <c r="AX328" s="116"/>
      <c r="AY328" s="116"/>
      <c r="AZ328" s="116"/>
      <c r="BA328" s="116"/>
      <c r="BB328" s="116"/>
    </row>
    <row r="329" spans="4:54">
      <c r="D329" s="116"/>
      <c r="E329" s="116"/>
      <c r="F329" s="116"/>
      <c r="G329" s="116"/>
      <c r="H329" s="116"/>
      <c r="I329" s="116"/>
      <c r="J329" s="116"/>
      <c r="K329" s="116"/>
      <c r="L329" s="116"/>
      <c r="M329" s="116"/>
      <c r="N329" s="116"/>
      <c r="O329" s="116"/>
      <c r="P329" s="116"/>
      <c r="Q329" s="116"/>
      <c r="R329" s="116"/>
      <c r="S329" s="116"/>
      <c r="T329" s="116"/>
      <c r="U329" s="116"/>
      <c r="V329" s="116"/>
      <c r="W329" s="116"/>
      <c r="X329" s="116"/>
      <c r="Y329" s="116"/>
      <c r="Z329" s="116"/>
      <c r="AA329" s="116"/>
      <c r="AB329" s="116"/>
      <c r="AC329" s="116"/>
      <c r="AD329" s="116"/>
      <c r="AE329" s="116"/>
      <c r="AF329" s="116"/>
      <c r="AG329" s="116"/>
      <c r="AH329" s="116"/>
      <c r="AI329" s="116"/>
      <c r="AJ329" s="116"/>
      <c r="AK329" s="116"/>
      <c r="AL329" s="116"/>
      <c r="AM329" s="116"/>
      <c r="AN329" s="116"/>
      <c r="AO329" s="116"/>
      <c r="AP329" s="116"/>
      <c r="AQ329" s="116"/>
      <c r="AR329" s="116"/>
      <c r="AS329" s="116"/>
      <c r="AT329" s="116"/>
      <c r="AU329" s="116"/>
      <c r="AV329" s="116"/>
      <c r="AW329" s="116"/>
      <c r="AX329" s="116"/>
      <c r="AY329" s="116"/>
      <c r="AZ329" s="116"/>
      <c r="BA329" s="116"/>
      <c r="BB329" s="116"/>
    </row>
    <row r="330" spans="4:54">
      <c r="D330" s="116"/>
      <c r="E330" s="116"/>
      <c r="F330" s="116"/>
      <c r="G330" s="116"/>
      <c r="H330" s="116"/>
      <c r="I330" s="116"/>
      <c r="J330" s="116"/>
      <c r="K330" s="116"/>
      <c r="L330" s="116"/>
      <c r="M330" s="116"/>
      <c r="N330" s="116"/>
      <c r="O330" s="116"/>
      <c r="P330" s="116"/>
      <c r="Q330" s="116"/>
      <c r="R330" s="116"/>
      <c r="S330" s="116"/>
      <c r="T330" s="116"/>
      <c r="U330" s="116"/>
      <c r="V330" s="116"/>
      <c r="W330" s="116"/>
      <c r="X330" s="116"/>
      <c r="Y330" s="116"/>
      <c r="Z330" s="116"/>
      <c r="AA330" s="116"/>
      <c r="AB330" s="116"/>
      <c r="AC330" s="116"/>
      <c r="AD330" s="116"/>
      <c r="AE330" s="116"/>
      <c r="AF330" s="116"/>
      <c r="AG330" s="116"/>
      <c r="AH330" s="116"/>
      <c r="AI330" s="116"/>
      <c r="AJ330" s="116"/>
      <c r="AK330" s="116"/>
      <c r="AL330" s="116"/>
      <c r="AM330" s="116"/>
      <c r="AN330" s="116"/>
      <c r="AO330" s="116"/>
      <c r="AP330" s="116"/>
      <c r="AQ330" s="116"/>
      <c r="AR330" s="116"/>
      <c r="AS330" s="116"/>
      <c r="AT330" s="116"/>
      <c r="AU330" s="116"/>
      <c r="AV330" s="116"/>
      <c r="AW330" s="116"/>
      <c r="AX330" s="116"/>
      <c r="AY330" s="116"/>
      <c r="AZ330" s="116"/>
      <c r="BA330" s="116"/>
      <c r="BB330" s="116"/>
    </row>
    <row r="331" spans="4:54">
      <c r="D331" s="116"/>
      <c r="E331" s="116"/>
      <c r="F331" s="116"/>
      <c r="G331" s="116"/>
      <c r="H331" s="116"/>
      <c r="I331" s="116"/>
      <c r="J331" s="116"/>
      <c r="K331" s="116"/>
      <c r="L331" s="116"/>
      <c r="M331" s="116"/>
      <c r="N331" s="116"/>
      <c r="O331" s="116"/>
      <c r="P331" s="116"/>
      <c r="Q331" s="116"/>
      <c r="R331" s="116"/>
      <c r="S331" s="116"/>
      <c r="T331" s="116"/>
      <c r="U331" s="116"/>
      <c r="V331" s="116"/>
      <c r="W331" s="116"/>
      <c r="X331" s="116"/>
      <c r="Y331" s="116"/>
      <c r="Z331" s="116"/>
      <c r="AA331" s="116"/>
      <c r="AB331" s="116"/>
      <c r="AC331" s="116"/>
      <c r="AD331" s="116"/>
      <c r="AE331" s="116"/>
      <c r="AF331" s="116"/>
      <c r="AG331" s="116"/>
      <c r="AH331" s="116"/>
      <c r="AI331" s="116"/>
      <c r="AJ331" s="116"/>
      <c r="AK331" s="116"/>
      <c r="AL331" s="116"/>
      <c r="AM331" s="116"/>
      <c r="AN331" s="116"/>
      <c r="AO331" s="116"/>
      <c r="AP331" s="116"/>
      <c r="AQ331" s="116"/>
      <c r="AR331" s="116"/>
      <c r="AS331" s="116"/>
      <c r="AT331" s="116"/>
      <c r="AU331" s="116"/>
      <c r="AV331" s="116"/>
      <c r="AW331" s="116"/>
      <c r="AX331" s="116"/>
      <c r="AY331" s="116"/>
      <c r="AZ331" s="116"/>
      <c r="BA331" s="116"/>
      <c r="BB331" s="116"/>
    </row>
    <row r="332" spans="4:54">
      <c r="D332" s="116"/>
      <c r="E332" s="116"/>
      <c r="F332" s="116"/>
      <c r="G332" s="116"/>
      <c r="H332" s="116"/>
      <c r="I332" s="116"/>
      <c r="J332" s="116"/>
      <c r="K332" s="116"/>
      <c r="L332" s="116"/>
      <c r="M332" s="116"/>
      <c r="N332" s="116"/>
      <c r="O332" s="116"/>
      <c r="P332" s="116"/>
      <c r="Q332" s="116"/>
      <c r="R332" s="116"/>
      <c r="S332" s="116"/>
      <c r="T332" s="116"/>
      <c r="U332" s="116"/>
      <c r="V332" s="116"/>
      <c r="W332" s="116"/>
      <c r="X332" s="116"/>
      <c r="Y332" s="116"/>
      <c r="Z332" s="116"/>
      <c r="AA332" s="116"/>
      <c r="AB332" s="116"/>
      <c r="AC332" s="116"/>
      <c r="AD332" s="116"/>
      <c r="AE332" s="116"/>
      <c r="AF332" s="116"/>
      <c r="AG332" s="116"/>
      <c r="AH332" s="116"/>
      <c r="AI332" s="116"/>
      <c r="AJ332" s="116"/>
      <c r="AK332" s="116"/>
      <c r="AL332" s="116"/>
      <c r="AM332" s="116"/>
      <c r="AN332" s="116"/>
      <c r="AO332" s="116"/>
      <c r="AP332" s="116"/>
      <c r="AQ332" s="116"/>
      <c r="AR332" s="116"/>
      <c r="AS332" s="116"/>
      <c r="AT332" s="116"/>
      <c r="AU332" s="116"/>
      <c r="AV332" s="116"/>
      <c r="AW332" s="116"/>
      <c r="AX332" s="116"/>
      <c r="AY332" s="116"/>
      <c r="AZ332" s="116"/>
      <c r="BA332" s="116"/>
      <c r="BB332" s="116"/>
    </row>
    <row r="333" spans="4:54">
      <c r="D333" s="116"/>
      <c r="E333" s="116"/>
      <c r="F333" s="116"/>
      <c r="G333" s="116"/>
      <c r="H333" s="116"/>
      <c r="I333" s="116"/>
      <c r="J333" s="116"/>
      <c r="K333" s="116"/>
      <c r="L333" s="116"/>
      <c r="M333" s="116"/>
      <c r="N333" s="116"/>
      <c r="O333" s="116"/>
      <c r="P333" s="116"/>
      <c r="Q333" s="116"/>
      <c r="R333" s="116"/>
      <c r="S333" s="116"/>
      <c r="T333" s="116"/>
      <c r="U333" s="116"/>
      <c r="V333" s="116"/>
      <c r="W333" s="116"/>
      <c r="X333" s="116"/>
      <c r="Y333" s="116"/>
      <c r="Z333" s="116"/>
      <c r="AA333" s="116"/>
      <c r="AB333" s="116"/>
      <c r="AC333" s="116"/>
      <c r="AD333" s="116"/>
      <c r="AE333" s="116"/>
      <c r="AF333" s="116"/>
      <c r="AG333" s="116"/>
      <c r="AH333" s="116"/>
      <c r="AI333" s="116"/>
      <c r="AJ333" s="116"/>
      <c r="AK333" s="116"/>
      <c r="AL333" s="116"/>
      <c r="AM333" s="116"/>
      <c r="AN333" s="116"/>
      <c r="AO333" s="116"/>
      <c r="AP333" s="116"/>
      <c r="AQ333" s="116"/>
      <c r="AR333" s="116"/>
      <c r="AS333" s="116"/>
      <c r="AT333" s="116"/>
      <c r="AU333" s="116"/>
      <c r="AV333" s="116"/>
      <c r="AW333" s="116"/>
      <c r="AX333" s="116"/>
      <c r="AY333" s="116"/>
      <c r="AZ333" s="116"/>
      <c r="BA333" s="116"/>
      <c r="BB333" s="116"/>
    </row>
    <row r="334" spans="4:54">
      <c r="D334" s="116"/>
      <c r="E334" s="116"/>
      <c r="F334" s="116"/>
      <c r="G334" s="116"/>
      <c r="H334" s="116"/>
      <c r="I334" s="116"/>
      <c r="J334" s="116"/>
      <c r="K334" s="116"/>
      <c r="L334" s="116"/>
      <c r="M334" s="116"/>
      <c r="N334" s="116"/>
      <c r="O334" s="116"/>
      <c r="P334" s="116"/>
      <c r="Q334" s="116"/>
      <c r="R334" s="116"/>
      <c r="S334" s="116"/>
      <c r="T334" s="116"/>
      <c r="U334" s="116"/>
      <c r="V334" s="116"/>
      <c r="W334" s="116"/>
      <c r="X334" s="116"/>
      <c r="Y334" s="116"/>
      <c r="Z334" s="116"/>
      <c r="AA334" s="116"/>
      <c r="AB334" s="116"/>
      <c r="AC334" s="116"/>
      <c r="AD334" s="116"/>
      <c r="AE334" s="116"/>
      <c r="AF334" s="116"/>
      <c r="AG334" s="116"/>
      <c r="AH334" s="116"/>
      <c r="AI334" s="116"/>
      <c r="AJ334" s="116"/>
      <c r="AK334" s="116"/>
      <c r="AL334" s="116"/>
      <c r="AM334" s="116"/>
      <c r="AN334" s="116"/>
      <c r="AO334" s="116"/>
      <c r="AP334" s="116"/>
      <c r="AQ334" s="116"/>
      <c r="AR334" s="116"/>
      <c r="AS334" s="116"/>
      <c r="AT334" s="116"/>
      <c r="AU334" s="116"/>
      <c r="AV334" s="116"/>
      <c r="AW334" s="116"/>
      <c r="AX334" s="116"/>
      <c r="AY334" s="116"/>
      <c r="AZ334" s="116"/>
      <c r="BA334" s="116"/>
      <c r="BB334" s="116"/>
    </row>
    <row r="335" spans="4:54">
      <c r="D335" s="116"/>
      <c r="E335" s="116"/>
      <c r="F335" s="116"/>
      <c r="G335" s="116"/>
      <c r="H335" s="116"/>
      <c r="I335" s="116"/>
      <c r="J335" s="116"/>
      <c r="K335" s="116"/>
      <c r="L335" s="116"/>
      <c r="M335" s="116"/>
      <c r="N335" s="116"/>
      <c r="O335" s="116"/>
      <c r="P335" s="116"/>
      <c r="Q335" s="116"/>
      <c r="R335" s="116"/>
      <c r="S335" s="116"/>
      <c r="T335" s="116"/>
      <c r="U335" s="116"/>
      <c r="V335" s="116"/>
      <c r="W335" s="116"/>
      <c r="X335" s="116"/>
      <c r="Y335" s="116"/>
      <c r="Z335" s="116"/>
      <c r="AA335" s="116"/>
      <c r="AB335" s="116"/>
      <c r="AC335" s="116"/>
      <c r="AD335" s="116"/>
      <c r="AE335" s="116"/>
      <c r="AF335" s="116"/>
      <c r="AG335" s="116"/>
      <c r="AH335" s="116"/>
      <c r="AI335" s="116"/>
      <c r="AJ335" s="116"/>
      <c r="AK335" s="116"/>
      <c r="AL335" s="116"/>
      <c r="AM335" s="116"/>
      <c r="AN335" s="116"/>
      <c r="AO335" s="116"/>
      <c r="AP335" s="116"/>
      <c r="AQ335" s="116"/>
      <c r="AR335" s="116"/>
      <c r="AS335" s="116"/>
      <c r="AT335" s="116"/>
      <c r="AU335" s="116"/>
      <c r="AV335" s="116"/>
      <c r="AW335" s="116"/>
      <c r="AX335" s="116"/>
      <c r="AY335" s="116"/>
      <c r="AZ335" s="116"/>
      <c r="BA335" s="116"/>
      <c r="BB335" s="116"/>
    </row>
    <row r="336" spans="4:54" hidden="1">
      <c r="D336" s="116"/>
      <c r="E336" s="116"/>
      <c r="F336" s="116"/>
      <c r="G336" s="116"/>
      <c r="H336" s="116"/>
      <c r="I336" s="116"/>
      <c r="J336" s="116"/>
      <c r="K336" s="116"/>
      <c r="L336" s="116"/>
      <c r="M336" s="116"/>
      <c r="N336" s="116"/>
      <c r="O336" s="116"/>
      <c r="P336" s="116"/>
      <c r="Q336" s="116"/>
      <c r="R336" s="116"/>
      <c r="S336" s="116"/>
      <c r="T336" s="116"/>
      <c r="U336" s="116"/>
      <c r="V336" s="116"/>
      <c r="W336" s="116"/>
      <c r="X336" s="116"/>
      <c r="Y336" s="116"/>
      <c r="Z336" s="116"/>
      <c r="AA336" s="116"/>
      <c r="AB336" s="116"/>
      <c r="AC336" s="116"/>
      <c r="AD336" s="116"/>
      <c r="AE336" s="116"/>
      <c r="AF336" s="116"/>
      <c r="AG336" s="116"/>
      <c r="AH336" s="116"/>
      <c r="AI336" s="116"/>
      <c r="AJ336" s="116"/>
      <c r="AK336" s="116"/>
      <c r="AL336" s="116"/>
      <c r="AM336" s="116"/>
      <c r="AN336" s="116"/>
      <c r="AO336" s="116"/>
      <c r="AP336" s="116"/>
      <c r="AQ336" s="116"/>
      <c r="AR336" s="116"/>
      <c r="AS336" s="116"/>
      <c r="AT336" s="116"/>
      <c r="AU336" s="116"/>
      <c r="AV336" s="116"/>
      <c r="AW336" s="116"/>
      <c r="AX336" s="116"/>
      <c r="AY336" s="116"/>
      <c r="AZ336" s="116"/>
      <c r="BA336" s="116"/>
      <c r="BB336" s="116"/>
    </row>
    <row r="337" spans="4:54" hidden="1">
      <c r="D337" s="116"/>
      <c r="E337" s="116"/>
      <c r="F337" s="116"/>
      <c r="G337" s="116"/>
      <c r="H337" s="116"/>
      <c r="I337" s="116"/>
      <c r="J337" s="116"/>
      <c r="K337" s="116"/>
      <c r="L337" s="116"/>
      <c r="M337" s="116"/>
      <c r="N337" s="116"/>
      <c r="O337" s="116"/>
      <c r="P337" s="116"/>
      <c r="Q337" s="116"/>
      <c r="R337" s="116"/>
      <c r="S337" s="116"/>
      <c r="T337" s="116"/>
      <c r="U337" s="116"/>
      <c r="V337" s="116"/>
      <c r="W337" s="116"/>
      <c r="X337" s="116"/>
      <c r="Y337" s="116"/>
      <c r="Z337" s="116"/>
      <c r="AA337" s="116"/>
      <c r="AB337" s="116"/>
      <c r="AC337" s="116"/>
      <c r="AD337" s="116"/>
      <c r="AE337" s="116"/>
      <c r="AF337" s="116"/>
      <c r="AG337" s="116"/>
      <c r="AH337" s="116"/>
      <c r="AI337" s="116"/>
      <c r="AJ337" s="116"/>
      <c r="AK337" s="116"/>
      <c r="AL337" s="116"/>
      <c r="AM337" s="116"/>
      <c r="AN337" s="116"/>
      <c r="AO337" s="116"/>
      <c r="AP337" s="116"/>
      <c r="AQ337" s="116"/>
      <c r="AR337" s="116"/>
      <c r="AS337" s="116"/>
      <c r="AT337" s="116"/>
      <c r="AU337" s="116"/>
      <c r="AV337" s="116"/>
      <c r="AW337" s="116"/>
      <c r="AX337" s="116"/>
      <c r="AY337" s="116"/>
      <c r="AZ337" s="116"/>
      <c r="BA337" s="116"/>
      <c r="BB337" s="116"/>
    </row>
    <row r="338" spans="4:54" hidden="1">
      <c r="D338" s="116"/>
      <c r="E338" s="116"/>
      <c r="F338" s="116"/>
      <c r="G338" s="116"/>
      <c r="H338" s="116"/>
      <c r="I338" s="116"/>
      <c r="J338" s="116"/>
      <c r="K338" s="116"/>
      <c r="L338" s="116"/>
      <c r="M338" s="116"/>
      <c r="N338" s="116"/>
      <c r="O338" s="116"/>
      <c r="P338" s="116"/>
      <c r="Q338" s="116"/>
      <c r="R338" s="116"/>
      <c r="S338" s="116"/>
      <c r="T338" s="116"/>
      <c r="U338" s="116"/>
      <c r="V338" s="116"/>
      <c r="W338" s="116"/>
      <c r="X338" s="116"/>
      <c r="Y338" s="116"/>
      <c r="Z338" s="116"/>
      <c r="AA338" s="116"/>
      <c r="AB338" s="116"/>
      <c r="AC338" s="116"/>
      <c r="AD338" s="116"/>
      <c r="AE338" s="116"/>
      <c r="AF338" s="116"/>
      <c r="AG338" s="116"/>
      <c r="AH338" s="116"/>
      <c r="AI338" s="116"/>
      <c r="AJ338" s="116"/>
      <c r="AK338" s="116"/>
      <c r="AL338" s="116"/>
      <c r="AM338" s="116"/>
      <c r="AN338" s="116"/>
      <c r="AO338" s="116"/>
      <c r="AP338" s="116"/>
      <c r="AQ338" s="116"/>
      <c r="AR338" s="116"/>
      <c r="AS338" s="116"/>
      <c r="AT338" s="116"/>
      <c r="AU338" s="116"/>
      <c r="AV338" s="116"/>
      <c r="AW338" s="116"/>
      <c r="AX338" s="116"/>
      <c r="AY338" s="116"/>
      <c r="AZ338" s="116"/>
      <c r="BA338" s="116"/>
      <c r="BB338" s="116"/>
    </row>
    <row r="339" spans="4:54" hidden="1">
      <c r="D339" s="116"/>
      <c r="E339" s="116"/>
      <c r="F339" s="116"/>
      <c r="G339" s="116"/>
      <c r="H339" s="116"/>
      <c r="I339" s="116"/>
      <c r="J339" s="116"/>
      <c r="K339" s="116"/>
      <c r="L339" s="116"/>
      <c r="M339" s="116"/>
      <c r="N339" s="116"/>
      <c r="O339" s="116"/>
      <c r="P339" s="116"/>
      <c r="Q339" s="116"/>
      <c r="R339" s="116"/>
      <c r="S339" s="116"/>
      <c r="T339" s="116"/>
      <c r="U339" s="116"/>
      <c r="V339" s="116"/>
      <c r="W339" s="116"/>
      <c r="X339" s="116"/>
      <c r="Y339" s="116"/>
      <c r="Z339" s="116"/>
      <c r="AA339" s="116"/>
      <c r="AB339" s="116"/>
      <c r="AC339" s="116"/>
      <c r="AD339" s="116"/>
      <c r="AE339" s="116"/>
      <c r="AF339" s="116"/>
      <c r="AG339" s="116"/>
      <c r="AH339" s="116"/>
      <c r="AI339" s="116"/>
      <c r="AJ339" s="116"/>
      <c r="AK339" s="116"/>
      <c r="AL339" s="116"/>
      <c r="AM339" s="116"/>
      <c r="AN339" s="116"/>
      <c r="AO339" s="116"/>
      <c r="AP339" s="116"/>
      <c r="AQ339" s="116"/>
      <c r="AR339" s="116"/>
      <c r="AS339" s="116"/>
      <c r="AT339" s="116"/>
      <c r="AU339" s="116"/>
      <c r="AV339" s="116"/>
      <c r="AW339" s="116"/>
      <c r="AX339" s="116"/>
      <c r="AY339" s="116"/>
      <c r="AZ339" s="116"/>
      <c r="BA339" s="116"/>
      <c r="BB339" s="116"/>
    </row>
    <row r="340" spans="4:54" hidden="1">
      <c r="D340" s="116"/>
      <c r="E340" s="116"/>
      <c r="F340" s="116"/>
      <c r="G340" s="116"/>
      <c r="H340" s="116"/>
      <c r="I340" s="116"/>
      <c r="J340" s="116"/>
      <c r="K340" s="116"/>
      <c r="L340" s="116"/>
      <c r="M340" s="116"/>
      <c r="N340" s="116"/>
      <c r="O340" s="116"/>
      <c r="P340" s="116"/>
      <c r="Q340" s="116"/>
      <c r="R340" s="116"/>
      <c r="S340" s="116"/>
      <c r="T340" s="116"/>
      <c r="U340" s="116"/>
      <c r="V340" s="116"/>
      <c r="W340" s="116"/>
      <c r="X340" s="116"/>
      <c r="Y340" s="116"/>
      <c r="Z340" s="116"/>
      <c r="AA340" s="116"/>
      <c r="AB340" s="116"/>
      <c r="AC340" s="116"/>
      <c r="AD340" s="116"/>
      <c r="AE340" s="116"/>
      <c r="AF340" s="116"/>
      <c r="AG340" s="116"/>
      <c r="AH340" s="116"/>
      <c r="AI340" s="116"/>
      <c r="AJ340" s="116"/>
      <c r="AK340" s="116"/>
      <c r="AL340" s="116"/>
      <c r="AM340" s="116"/>
      <c r="AN340" s="116"/>
      <c r="AO340" s="116"/>
      <c r="AP340" s="116"/>
      <c r="AQ340" s="116"/>
      <c r="AR340" s="116"/>
      <c r="AS340" s="116"/>
      <c r="AT340" s="116"/>
      <c r="AU340" s="116"/>
      <c r="AV340" s="116"/>
      <c r="AW340" s="116"/>
      <c r="AX340" s="116"/>
      <c r="AY340" s="116"/>
      <c r="AZ340" s="116"/>
      <c r="BA340" s="116"/>
      <c r="BB340" s="116"/>
    </row>
    <row r="341" spans="4:54" hidden="1">
      <c r="D341" s="116"/>
      <c r="E341" s="116"/>
      <c r="F341" s="116"/>
      <c r="G341" s="116"/>
      <c r="H341" s="116"/>
      <c r="I341" s="116"/>
      <c r="J341" s="116"/>
      <c r="K341" s="116"/>
      <c r="L341" s="116"/>
      <c r="M341" s="116"/>
      <c r="N341" s="116"/>
      <c r="O341" s="116"/>
      <c r="P341" s="116"/>
      <c r="Q341" s="116"/>
      <c r="R341" s="116"/>
      <c r="S341" s="116"/>
      <c r="T341" s="116"/>
      <c r="U341" s="116"/>
      <c r="V341" s="116"/>
      <c r="W341" s="116"/>
      <c r="X341" s="116"/>
      <c r="Y341" s="116"/>
      <c r="Z341" s="116"/>
      <c r="AA341" s="116"/>
      <c r="AB341" s="116"/>
      <c r="AC341" s="116"/>
      <c r="AD341" s="116"/>
      <c r="AE341" s="116"/>
      <c r="AF341" s="116"/>
      <c r="AG341" s="116"/>
      <c r="AH341" s="116"/>
      <c r="AI341" s="116"/>
      <c r="AJ341" s="116"/>
      <c r="AK341" s="116"/>
      <c r="AL341" s="116"/>
      <c r="AM341" s="116"/>
      <c r="AN341" s="116"/>
      <c r="AO341" s="116"/>
      <c r="AP341" s="116"/>
      <c r="AQ341" s="116"/>
      <c r="AR341" s="116"/>
      <c r="AS341" s="116"/>
      <c r="AT341" s="116"/>
      <c r="AU341" s="116"/>
      <c r="AV341" s="116"/>
      <c r="AW341" s="116"/>
      <c r="AX341" s="116"/>
      <c r="AY341" s="116"/>
      <c r="AZ341" s="116"/>
      <c r="BA341" s="116"/>
      <c r="BB341" s="116"/>
    </row>
    <row r="342" spans="4:54" hidden="1">
      <c r="D342" s="116"/>
      <c r="E342" s="116"/>
      <c r="F342" s="116"/>
      <c r="G342" s="116"/>
      <c r="H342" s="116"/>
      <c r="I342" s="116"/>
      <c r="J342" s="116"/>
      <c r="K342" s="116"/>
      <c r="L342" s="116"/>
      <c r="M342" s="116"/>
      <c r="N342" s="116"/>
      <c r="O342" s="116"/>
      <c r="P342" s="116"/>
      <c r="Q342" s="116"/>
      <c r="R342" s="116"/>
      <c r="S342" s="116"/>
      <c r="T342" s="116"/>
      <c r="U342" s="116"/>
      <c r="V342" s="116"/>
      <c r="W342" s="116"/>
      <c r="X342" s="116"/>
      <c r="Y342" s="116"/>
      <c r="Z342" s="116"/>
      <c r="AA342" s="116"/>
      <c r="AB342" s="116"/>
      <c r="AC342" s="116"/>
      <c r="AD342" s="116"/>
      <c r="AE342" s="116"/>
      <c r="AF342" s="116"/>
      <c r="AG342" s="116"/>
      <c r="AH342" s="116"/>
      <c r="AI342" s="116"/>
      <c r="AJ342" s="116"/>
      <c r="AK342" s="116"/>
      <c r="AL342" s="116"/>
      <c r="AM342" s="116"/>
      <c r="AN342" s="116"/>
      <c r="AO342" s="116"/>
      <c r="AP342" s="116"/>
      <c r="AQ342" s="116"/>
      <c r="AR342" s="116"/>
      <c r="AS342" s="116"/>
      <c r="AT342" s="116"/>
      <c r="AU342" s="116"/>
      <c r="AV342" s="116"/>
      <c r="AW342" s="116"/>
      <c r="AX342" s="116"/>
      <c r="AY342" s="116"/>
      <c r="AZ342" s="116"/>
      <c r="BA342" s="116"/>
      <c r="BB342" s="116"/>
    </row>
    <row r="343" spans="4:54" hidden="1">
      <c r="D343" s="116"/>
      <c r="E343" s="116"/>
      <c r="F343" s="116"/>
      <c r="G343" s="116"/>
      <c r="H343" s="116"/>
      <c r="I343" s="116"/>
      <c r="J343" s="116"/>
      <c r="K343" s="116"/>
      <c r="L343" s="116"/>
      <c r="M343" s="116"/>
      <c r="N343" s="116"/>
      <c r="O343" s="116"/>
      <c r="P343" s="116"/>
      <c r="Q343" s="116"/>
      <c r="R343" s="116"/>
      <c r="S343" s="116"/>
      <c r="T343" s="116"/>
      <c r="U343" s="116"/>
      <c r="V343" s="116"/>
      <c r="W343" s="116"/>
      <c r="X343" s="116"/>
      <c r="Y343" s="116"/>
      <c r="Z343" s="116"/>
      <c r="AA343" s="116"/>
      <c r="AB343" s="116"/>
      <c r="AC343" s="116"/>
      <c r="AD343" s="116"/>
      <c r="AE343" s="116"/>
      <c r="AF343" s="116"/>
      <c r="AG343" s="116"/>
      <c r="AH343" s="116"/>
      <c r="AI343" s="116"/>
      <c r="AJ343" s="116"/>
      <c r="AK343" s="116"/>
      <c r="AL343" s="116"/>
      <c r="AM343" s="116"/>
      <c r="AN343" s="116"/>
      <c r="AO343" s="116"/>
      <c r="AP343" s="116"/>
      <c r="AQ343" s="116"/>
      <c r="AR343" s="116"/>
      <c r="AS343" s="116"/>
      <c r="AT343" s="116"/>
      <c r="AU343" s="116"/>
      <c r="AV343" s="116"/>
      <c r="AW343" s="116"/>
      <c r="AX343" s="116"/>
      <c r="AY343" s="116"/>
      <c r="AZ343" s="116"/>
      <c r="BA343" s="116"/>
      <c r="BB343" s="116"/>
    </row>
    <row r="344" spans="4:54" hidden="1">
      <c r="D344" s="116"/>
      <c r="E344" s="116"/>
      <c r="F344" s="116"/>
      <c r="G344" s="116"/>
      <c r="H344" s="116"/>
      <c r="I344" s="116"/>
      <c r="J344" s="116"/>
      <c r="K344" s="116"/>
      <c r="L344" s="116"/>
      <c r="M344" s="116"/>
      <c r="N344" s="116"/>
      <c r="O344" s="116"/>
      <c r="P344" s="116"/>
      <c r="Q344" s="116"/>
      <c r="R344" s="116"/>
      <c r="S344" s="116"/>
      <c r="T344" s="116"/>
      <c r="U344" s="116"/>
      <c r="V344" s="116"/>
      <c r="W344" s="116"/>
      <c r="X344" s="116"/>
      <c r="Y344" s="116"/>
      <c r="Z344" s="116"/>
      <c r="AA344" s="116"/>
      <c r="AB344" s="116"/>
      <c r="AC344" s="116"/>
      <c r="AD344" s="116"/>
      <c r="AE344" s="116"/>
      <c r="AF344" s="116"/>
      <c r="AG344" s="116"/>
      <c r="AH344" s="116"/>
      <c r="AI344" s="116"/>
      <c r="AJ344" s="116"/>
      <c r="AK344" s="116"/>
      <c r="AL344" s="116"/>
      <c r="AM344" s="116"/>
      <c r="AN344" s="116"/>
      <c r="AO344" s="116"/>
      <c r="AP344" s="116"/>
      <c r="AQ344" s="116"/>
      <c r="AR344" s="116"/>
      <c r="AS344" s="116"/>
      <c r="AT344" s="116"/>
      <c r="AU344" s="116"/>
      <c r="AV344" s="116"/>
      <c r="AW344" s="116"/>
      <c r="AX344" s="116"/>
      <c r="AY344" s="116"/>
      <c r="AZ344" s="116"/>
      <c r="BA344" s="116"/>
      <c r="BB344" s="116"/>
    </row>
    <row r="345" spans="4:54" hidden="1">
      <c r="D345" s="116"/>
      <c r="E345" s="116"/>
      <c r="F345" s="116"/>
      <c r="G345" s="116"/>
      <c r="H345" s="116"/>
      <c r="I345" s="116"/>
      <c r="J345" s="116"/>
      <c r="K345" s="116"/>
      <c r="L345" s="116"/>
      <c r="M345" s="116"/>
      <c r="N345" s="116"/>
      <c r="O345" s="116"/>
      <c r="P345" s="116"/>
      <c r="Q345" s="116"/>
      <c r="R345" s="116"/>
      <c r="S345" s="116"/>
      <c r="T345" s="116"/>
      <c r="U345" s="116"/>
      <c r="V345" s="116"/>
      <c r="W345" s="116"/>
      <c r="X345" s="116"/>
      <c r="Y345" s="116"/>
      <c r="Z345" s="116"/>
      <c r="AA345" s="116"/>
      <c r="AB345" s="116"/>
      <c r="AC345" s="116"/>
      <c r="AD345" s="116"/>
      <c r="AE345" s="116"/>
      <c r="AF345" s="116"/>
      <c r="AG345" s="116"/>
      <c r="AH345" s="116"/>
      <c r="AI345" s="116"/>
      <c r="AJ345" s="116"/>
      <c r="AK345" s="116"/>
      <c r="AL345" s="116"/>
      <c r="AM345" s="116"/>
      <c r="AN345" s="116"/>
      <c r="AO345" s="116"/>
      <c r="AP345" s="116"/>
      <c r="AQ345" s="116"/>
      <c r="AR345" s="116"/>
      <c r="AS345" s="116"/>
      <c r="AT345" s="116"/>
      <c r="AU345" s="116"/>
      <c r="AV345" s="116"/>
      <c r="AW345" s="116"/>
      <c r="AX345" s="116"/>
      <c r="AY345" s="116"/>
      <c r="AZ345" s="116"/>
      <c r="BA345" s="116"/>
      <c r="BB345" s="116"/>
    </row>
    <row r="346" spans="4:54" hidden="1">
      <c r="D346" s="116"/>
      <c r="E346" s="116"/>
      <c r="F346" s="116"/>
      <c r="G346" s="116"/>
      <c r="H346" s="116"/>
      <c r="I346" s="116"/>
      <c r="J346" s="116"/>
      <c r="K346" s="116"/>
      <c r="L346" s="116"/>
      <c r="M346" s="116"/>
      <c r="N346" s="116"/>
      <c r="O346" s="116"/>
      <c r="P346" s="116"/>
      <c r="Q346" s="116"/>
      <c r="R346" s="116"/>
      <c r="S346" s="116"/>
      <c r="T346" s="116"/>
      <c r="U346" s="116"/>
      <c r="V346" s="116"/>
      <c r="W346" s="116"/>
      <c r="X346" s="116"/>
      <c r="Y346" s="116"/>
      <c r="Z346" s="116"/>
      <c r="AA346" s="116"/>
      <c r="AB346" s="116"/>
      <c r="AC346" s="116"/>
      <c r="AD346" s="116"/>
      <c r="AE346" s="116"/>
      <c r="AF346" s="116"/>
      <c r="AG346" s="116"/>
      <c r="AH346" s="116"/>
      <c r="AI346" s="116"/>
      <c r="AJ346" s="116"/>
      <c r="AK346" s="116"/>
      <c r="AL346" s="116"/>
      <c r="AM346" s="116"/>
      <c r="AN346" s="116"/>
      <c r="AO346" s="116"/>
      <c r="AP346" s="116"/>
      <c r="AQ346" s="116"/>
      <c r="AR346" s="116"/>
      <c r="AS346" s="116"/>
      <c r="AT346" s="116"/>
      <c r="AU346" s="116"/>
      <c r="AV346" s="116"/>
      <c r="AW346" s="116"/>
      <c r="AX346" s="116"/>
      <c r="AY346" s="116"/>
      <c r="AZ346" s="116"/>
      <c r="BA346" s="116"/>
      <c r="BB346" s="116"/>
    </row>
    <row r="347" spans="4:54" hidden="1">
      <c r="D347" s="116"/>
      <c r="E347" s="116"/>
      <c r="F347" s="116"/>
      <c r="G347" s="116"/>
      <c r="H347" s="116"/>
      <c r="I347" s="116"/>
      <c r="J347" s="116"/>
      <c r="K347" s="116"/>
      <c r="L347" s="116"/>
      <c r="M347" s="116"/>
      <c r="N347" s="116"/>
      <c r="O347" s="116"/>
      <c r="P347" s="116"/>
      <c r="Q347" s="116"/>
      <c r="R347" s="116"/>
      <c r="S347" s="116"/>
      <c r="T347" s="116"/>
      <c r="U347" s="116"/>
      <c r="V347" s="116"/>
      <c r="W347" s="116"/>
      <c r="X347" s="116"/>
      <c r="Y347" s="116"/>
      <c r="Z347" s="116"/>
      <c r="AA347" s="116"/>
      <c r="AB347" s="116"/>
      <c r="AC347" s="116"/>
      <c r="AD347" s="116"/>
      <c r="AE347" s="116"/>
      <c r="AF347" s="116"/>
      <c r="AG347" s="116"/>
      <c r="AH347" s="116"/>
      <c r="AI347" s="116"/>
      <c r="AJ347" s="116"/>
      <c r="AK347" s="116"/>
      <c r="AL347" s="116"/>
      <c r="AM347" s="116"/>
      <c r="AN347" s="116"/>
      <c r="AO347" s="116"/>
      <c r="AP347" s="116"/>
      <c r="AQ347" s="116"/>
      <c r="AR347" s="116"/>
      <c r="AS347" s="116"/>
      <c r="AT347" s="116"/>
      <c r="AU347" s="116"/>
      <c r="AV347" s="116"/>
      <c r="AW347" s="116"/>
      <c r="AX347" s="116"/>
      <c r="AY347" s="116"/>
      <c r="AZ347" s="116"/>
      <c r="BA347" s="116"/>
      <c r="BB347" s="116"/>
    </row>
    <row r="348" spans="4:54" hidden="1">
      <c r="D348" s="116"/>
      <c r="E348" s="116"/>
      <c r="F348" s="116"/>
      <c r="G348" s="116"/>
      <c r="H348" s="116"/>
      <c r="I348" s="116"/>
      <c r="J348" s="116"/>
      <c r="K348" s="116"/>
      <c r="L348" s="116"/>
      <c r="M348" s="116"/>
      <c r="N348" s="116"/>
      <c r="O348" s="116"/>
      <c r="P348" s="116"/>
      <c r="Q348" s="116"/>
      <c r="R348" s="116"/>
      <c r="S348" s="116"/>
      <c r="T348" s="116"/>
      <c r="U348" s="116"/>
      <c r="V348" s="116"/>
      <c r="W348" s="116"/>
      <c r="X348" s="116"/>
      <c r="Y348" s="116"/>
      <c r="Z348" s="116"/>
      <c r="AA348" s="116"/>
      <c r="AB348" s="116"/>
      <c r="AC348" s="116"/>
      <c r="AD348" s="116"/>
      <c r="AE348" s="116"/>
      <c r="AF348" s="116"/>
      <c r="AG348" s="116"/>
      <c r="AH348" s="116"/>
      <c r="AI348" s="116"/>
      <c r="AJ348" s="116"/>
      <c r="AK348" s="116"/>
      <c r="AL348" s="116"/>
      <c r="AM348" s="116"/>
      <c r="AN348" s="116"/>
      <c r="AO348" s="116"/>
      <c r="AP348" s="116"/>
      <c r="AQ348" s="116"/>
      <c r="AR348" s="116"/>
      <c r="AS348" s="116"/>
      <c r="AT348" s="116"/>
      <c r="AU348" s="116"/>
      <c r="AV348" s="116"/>
      <c r="AW348" s="116"/>
      <c r="AX348" s="116"/>
      <c r="AY348" s="116"/>
      <c r="AZ348" s="116"/>
      <c r="BA348" s="116"/>
      <c r="BB348" s="116"/>
    </row>
    <row r="349" spans="4:54" hidden="1">
      <c r="D349" s="116"/>
      <c r="E349" s="116"/>
      <c r="F349" s="116"/>
      <c r="G349" s="116"/>
      <c r="H349" s="116"/>
      <c r="I349" s="116"/>
      <c r="J349" s="116"/>
      <c r="K349" s="116"/>
      <c r="L349" s="116"/>
      <c r="M349" s="116"/>
      <c r="N349" s="116"/>
      <c r="O349" s="116"/>
      <c r="P349" s="116"/>
      <c r="Q349" s="116"/>
      <c r="R349" s="116"/>
      <c r="S349" s="116"/>
      <c r="T349" s="116"/>
      <c r="U349" s="116"/>
      <c r="V349" s="116"/>
      <c r="W349" s="116"/>
      <c r="X349" s="116"/>
      <c r="Y349" s="116"/>
      <c r="Z349" s="116"/>
      <c r="AA349" s="116"/>
      <c r="AB349" s="116"/>
      <c r="AC349" s="116"/>
      <c r="AD349" s="116"/>
      <c r="AE349" s="116"/>
      <c r="AF349" s="116"/>
      <c r="AG349" s="116"/>
      <c r="AH349" s="116"/>
      <c r="AI349" s="116"/>
      <c r="AJ349" s="116"/>
      <c r="AK349" s="116"/>
      <c r="AL349" s="116"/>
      <c r="AM349" s="116"/>
      <c r="AN349" s="116"/>
      <c r="AO349" s="116"/>
      <c r="AP349" s="116"/>
      <c r="AQ349" s="116"/>
      <c r="AR349" s="116"/>
      <c r="AS349" s="116"/>
      <c r="AT349" s="116"/>
      <c r="AU349" s="116"/>
      <c r="AV349" s="116"/>
      <c r="AW349" s="116"/>
      <c r="AX349" s="116"/>
      <c r="AY349" s="116"/>
      <c r="AZ349" s="116"/>
      <c r="BA349" s="116"/>
      <c r="BB349" s="116"/>
    </row>
    <row r="350" spans="4:54" hidden="1">
      <c r="D350" s="116"/>
      <c r="E350" s="116"/>
      <c r="F350" s="116"/>
      <c r="G350" s="116"/>
      <c r="H350" s="116"/>
      <c r="I350" s="116"/>
      <c r="J350" s="116"/>
      <c r="K350" s="116"/>
      <c r="L350" s="116"/>
      <c r="M350" s="116"/>
      <c r="N350" s="116"/>
      <c r="O350" s="116"/>
      <c r="P350" s="116"/>
      <c r="Q350" s="116"/>
      <c r="R350" s="116"/>
      <c r="S350" s="116"/>
      <c r="T350" s="116"/>
      <c r="U350" s="116"/>
      <c r="V350" s="116"/>
      <c r="W350" s="116"/>
      <c r="X350" s="116"/>
      <c r="Y350" s="116"/>
      <c r="Z350" s="116"/>
      <c r="AA350" s="116"/>
      <c r="AB350" s="116"/>
      <c r="AC350" s="116"/>
      <c r="AD350" s="116"/>
      <c r="AE350" s="116"/>
      <c r="AF350" s="116"/>
      <c r="AG350" s="116"/>
      <c r="AH350" s="116"/>
      <c r="AI350" s="116"/>
      <c r="AJ350" s="116"/>
      <c r="AK350" s="116"/>
      <c r="AL350" s="116"/>
      <c r="AM350" s="116"/>
      <c r="AN350" s="116"/>
      <c r="AO350" s="116"/>
      <c r="AP350" s="116"/>
      <c r="AQ350" s="116"/>
      <c r="AR350" s="116"/>
      <c r="AS350" s="116"/>
      <c r="AT350" s="116"/>
      <c r="AU350" s="116"/>
      <c r="AV350" s="116"/>
      <c r="AW350" s="116"/>
      <c r="AX350" s="116"/>
      <c r="AY350" s="116"/>
      <c r="AZ350" s="116"/>
      <c r="BA350" s="116"/>
      <c r="BB350" s="116"/>
    </row>
    <row r="351" spans="4:54" hidden="1">
      <c r="D351" s="116"/>
      <c r="E351" s="116"/>
      <c r="F351" s="116"/>
      <c r="G351" s="116"/>
      <c r="H351" s="116"/>
      <c r="I351" s="116"/>
      <c r="J351" s="116"/>
      <c r="K351" s="116"/>
      <c r="L351" s="116"/>
      <c r="M351" s="116"/>
      <c r="N351" s="116"/>
      <c r="O351" s="116"/>
      <c r="P351" s="116"/>
      <c r="Q351" s="116"/>
      <c r="R351" s="116"/>
      <c r="S351" s="116"/>
      <c r="T351" s="116"/>
      <c r="U351" s="116"/>
      <c r="V351" s="116"/>
      <c r="W351" s="116"/>
      <c r="X351" s="116"/>
      <c r="Y351" s="116"/>
      <c r="Z351" s="116"/>
      <c r="AA351" s="116"/>
      <c r="AB351" s="116"/>
      <c r="AC351" s="116"/>
      <c r="AD351" s="116"/>
      <c r="AE351" s="116"/>
      <c r="AF351" s="116"/>
      <c r="AG351" s="116"/>
      <c r="AH351" s="116"/>
      <c r="AI351" s="116"/>
      <c r="AJ351" s="116"/>
      <c r="AK351" s="116"/>
      <c r="AL351" s="116"/>
      <c r="AM351" s="116"/>
      <c r="AN351" s="116"/>
      <c r="AO351" s="116"/>
      <c r="AP351" s="116"/>
      <c r="AQ351" s="116"/>
      <c r="AR351" s="116"/>
      <c r="AS351" s="116"/>
      <c r="AT351" s="116"/>
      <c r="AU351" s="116"/>
      <c r="AV351" s="116"/>
      <c r="AW351" s="116"/>
      <c r="AX351" s="116"/>
      <c r="AY351" s="116"/>
      <c r="AZ351" s="116"/>
      <c r="BA351" s="116"/>
      <c r="BB351" s="116"/>
    </row>
    <row r="352" spans="4:54" hidden="1">
      <c r="D352" s="116"/>
      <c r="E352" s="116"/>
      <c r="F352" s="116"/>
      <c r="G352" s="116"/>
      <c r="H352" s="116"/>
      <c r="I352" s="116"/>
      <c r="J352" s="116"/>
      <c r="K352" s="116"/>
      <c r="L352" s="116"/>
      <c r="M352" s="116"/>
      <c r="N352" s="116"/>
      <c r="O352" s="116"/>
      <c r="P352" s="116"/>
      <c r="Q352" s="116"/>
      <c r="R352" s="116"/>
      <c r="S352" s="116"/>
      <c r="T352" s="116"/>
      <c r="U352" s="116"/>
      <c r="V352" s="116"/>
      <c r="W352" s="116"/>
      <c r="X352" s="116"/>
      <c r="Y352" s="116"/>
      <c r="Z352" s="116"/>
      <c r="AA352" s="116"/>
      <c r="AB352" s="116"/>
      <c r="AC352" s="116"/>
      <c r="AD352" s="116"/>
      <c r="AE352" s="116"/>
      <c r="AF352" s="116"/>
      <c r="AG352" s="116"/>
      <c r="AH352" s="116"/>
      <c r="AI352" s="116"/>
      <c r="AJ352" s="116"/>
      <c r="AK352" s="116"/>
      <c r="AL352" s="116"/>
      <c r="AM352" s="116"/>
      <c r="AN352" s="116"/>
      <c r="AO352" s="116"/>
      <c r="AP352" s="116"/>
      <c r="AQ352" s="116"/>
      <c r="AR352" s="116"/>
      <c r="AS352" s="116"/>
      <c r="AT352" s="116"/>
      <c r="AU352" s="116"/>
      <c r="AV352" s="116"/>
      <c r="AW352" s="116"/>
      <c r="AX352" s="116"/>
      <c r="AY352" s="116"/>
      <c r="AZ352" s="116"/>
      <c r="BA352" s="116"/>
      <c r="BB352" s="116"/>
    </row>
    <row r="353" spans="4:54" hidden="1">
      <c r="D353" s="116"/>
      <c r="E353" s="116"/>
      <c r="F353" s="116"/>
      <c r="G353" s="116"/>
      <c r="H353" s="116"/>
      <c r="I353" s="116"/>
      <c r="J353" s="116"/>
      <c r="K353" s="116"/>
      <c r="L353" s="116"/>
      <c r="M353" s="116"/>
      <c r="N353" s="116"/>
      <c r="O353" s="116"/>
      <c r="P353" s="116"/>
      <c r="Q353" s="116"/>
      <c r="R353" s="116"/>
      <c r="S353" s="116"/>
      <c r="T353" s="116"/>
      <c r="U353" s="116"/>
      <c r="V353" s="116"/>
      <c r="W353" s="116"/>
      <c r="X353" s="116"/>
      <c r="Y353" s="116"/>
      <c r="Z353" s="116"/>
      <c r="AA353" s="116"/>
      <c r="AB353" s="116"/>
      <c r="AC353" s="116"/>
      <c r="AD353" s="116"/>
      <c r="AE353" s="116"/>
      <c r="AF353" s="116"/>
      <c r="AG353" s="116"/>
      <c r="AH353" s="116"/>
      <c r="AI353" s="116"/>
      <c r="AJ353" s="116"/>
      <c r="AK353" s="116"/>
      <c r="AL353" s="116"/>
      <c r="AM353" s="116"/>
      <c r="AN353" s="116"/>
      <c r="AO353" s="116"/>
      <c r="AP353" s="116"/>
      <c r="AQ353" s="116"/>
      <c r="AR353" s="116"/>
      <c r="AS353" s="116"/>
      <c r="AT353" s="116"/>
      <c r="AU353" s="116"/>
      <c r="AV353" s="116"/>
      <c r="AW353" s="116"/>
      <c r="AX353" s="116"/>
      <c r="AY353" s="116"/>
      <c r="AZ353" s="116"/>
      <c r="BA353" s="116"/>
      <c r="BB353" s="116"/>
    </row>
    <row r="354" spans="4:54" hidden="1">
      <c r="D354" s="116"/>
      <c r="E354" s="116"/>
      <c r="F354" s="116"/>
      <c r="G354" s="116"/>
      <c r="H354" s="116"/>
      <c r="I354" s="116"/>
      <c r="J354" s="116"/>
      <c r="K354" s="116"/>
      <c r="L354" s="116"/>
      <c r="M354" s="116"/>
      <c r="N354" s="116"/>
      <c r="O354" s="116"/>
      <c r="P354" s="116"/>
      <c r="Q354" s="116"/>
      <c r="R354" s="116"/>
      <c r="S354" s="116"/>
      <c r="T354" s="116"/>
      <c r="U354" s="116"/>
      <c r="V354" s="116"/>
      <c r="W354" s="116"/>
      <c r="X354" s="116"/>
      <c r="Y354" s="116"/>
      <c r="Z354" s="116"/>
      <c r="AA354" s="116"/>
      <c r="AB354" s="116"/>
      <c r="AC354" s="116"/>
      <c r="AD354" s="116"/>
      <c r="AE354" s="116"/>
      <c r="AF354" s="116"/>
      <c r="AG354" s="116"/>
      <c r="AH354" s="116"/>
      <c r="AI354" s="116"/>
      <c r="AJ354" s="116"/>
      <c r="AK354" s="116"/>
      <c r="AL354" s="116"/>
      <c r="AM354" s="116"/>
      <c r="AN354" s="116"/>
      <c r="AO354" s="116"/>
      <c r="AP354" s="116"/>
      <c r="AQ354" s="116"/>
      <c r="AR354" s="116"/>
      <c r="AS354" s="116"/>
      <c r="AT354" s="116"/>
      <c r="AU354" s="116"/>
      <c r="AV354" s="116"/>
      <c r="AW354" s="116"/>
      <c r="AX354" s="116"/>
      <c r="AY354" s="116"/>
      <c r="AZ354" s="116"/>
      <c r="BA354" s="116"/>
      <c r="BB354" s="116"/>
    </row>
    <row r="355" spans="4:54" hidden="1">
      <c r="D355" s="116"/>
      <c r="E355" s="116"/>
      <c r="F355" s="116"/>
      <c r="G355" s="116"/>
      <c r="H355" s="116"/>
      <c r="I355" s="116"/>
      <c r="J355" s="116"/>
      <c r="K355" s="116"/>
      <c r="L355" s="116"/>
      <c r="M355" s="116"/>
      <c r="N355" s="116"/>
      <c r="O355" s="116"/>
      <c r="P355" s="116"/>
      <c r="Q355" s="116"/>
      <c r="R355" s="116"/>
      <c r="S355" s="116"/>
      <c r="T355" s="116"/>
      <c r="U355" s="116"/>
      <c r="V355" s="116"/>
      <c r="W355" s="116"/>
      <c r="X355" s="116"/>
      <c r="Y355" s="116"/>
      <c r="Z355" s="116"/>
      <c r="AA355" s="116"/>
      <c r="AB355" s="116"/>
      <c r="AC355" s="116"/>
      <c r="AD355" s="116"/>
      <c r="AE355" s="116"/>
      <c r="AF355" s="116"/>
      <c r="AG355" s="116"/>
      <c r="AH355" s="116"/>
      <c r="AI355" s="116"/>
      <c r="AJ355" s="116"/>
      <c r="AK355" s="116"/>
      <c r="AL355" s="116"/>
      <c r="AM355" s="116"/>
      <c r="AN355" s="116"/>
      <c r="AO355" s="116"/>
      <c r="AP355" s="116"/>
      <c r="AQ355" s="116"/>
      <c r="AR355" s="116"/>
      <c r="AS355" s="116"/>
      <c r="AT355" s="116"/>
      <c r="AU355" s="116"/>
      <c r="AV355" s="116"/>
      <c r="AW355" s="116"/>
      <c r="AX355" s="116"/>
      <c r="AY355" s="116"/>
      <c r="AZ355" s="116"/>
      <c r="BA355" s="116"/>
      <c r="BB355" s="116"/>
    </row>
    <row r="356" spans="4:54" hidden="1">
      <c r="D356" s="116"/>
      <c r="E356" s="116"/>
      <c r="F356" s="116"/>
      <c r="G356" s="116"/>
      <c r="H356" s="116"/>
      <c r="I356" s="116"/>
      <c r="J356" s="116"/>
      <c r="K356" s="116"/>
      <c r="L356" s="116"/>
      <c r="M356" s="116"/>
      <c r="N356" s="116"/>
      <c r="O356" s="116"/>
      <c r="P356" s="116"/>
      <c r="Q356" s="116"/>
      <c r="R356" s="116"/>
      <c r="S356" s="116"/>
      <c r="T356" s="116"/>
      <c r="U356" s="116"/>
      <c r="V356" s="116"/>
      <c r="W356" s="116"/>
      <c r="X356" s="116"/>
      <c r="Y356" s="116"/>
      <c r="Z356" s="116"/>
      <c r="AA356" s="116"/>
      <c r="AB356" s="116"/>
      <c r="AC356" s="116"/>
      <c r="AD356" s="116"/>
      <c r="AE356" s="116"/>
      <c r="AF356" s="116"/>
      <c r="AG356" s="116"/>
      <c r="AH356" s="116"/>
      <c r="AI356" s="116"/>
      <c r="AJ356" s="116"/>
      <c r="AK356" s="116"/>
      <c r="AL356" s="116"/>
      <c r="AM356" s="116"/>
      <c r="AN356" s="116"/>
      <c r="AO356" s="116"/>
      <c r="AP356" s="116"/>
      <c r="AQ356" s="116"/>
      <c r="AR356" s="116"/>
      <c r="AS356" s="116"/>
      <c r="AT356" s="116"/>
      <c r="AU356" s="116"/>
      <c r="AV356" s="116"/>
      <c r="AW356" s="116"/>
      <c r="AX356" s="116"/>
      <c r="AY356" s="116"/>
      <c r="AZ356" s="116"/>
      <c r="BA356" s="116"/>
      <c r="BB356" s="116"/>
    </row>
    <row r="357" spans="4:54" hidden="1">
      <c r="D357" s="116"/>
      <c r="E357" s="116"/>
      <c r="F357" s="116"/>
      <c r="G357" s="116"/>
      <c r="H357" s="116"/>
      <c r="I357" s="116"/>
      <c r="J357" s="116"/>
      <c r="K357" s="116"/>
      <c r="L357" s="116"/>
      <c r="M357" s="116"/>
      <c r="N357" s="116"/>
      <c r="O357" s="116"/>
      <c r="P357" s="116"/>
      <c r="Q357" s="116"/>
      <c r="R357" s="116"/>
      <c r="S357" s="116"/>
      <c r="T357" s="116"/>
      <c r="U357" s="116"/>
      <c r="V357" s="116"/>
      <c r="W357" s="116"/>
      <c r="X357" s="116"/>
      <c r="Y357" s="116"/>
      <c r="Z357" s="116"/>
      <c r="AA357" s="116"/>
      <c r="AB357" s="116"/>
      <c r="AC357" s="116"/>
      <c r="AD357" s="116"/>
      <c r="AE357" s="116"/>
      <c r="AF357" s="116"/>
      <c r="AG357" s="116"/>
      <c r="AH357" s="116"/>
      <c r="AI357" s="116"/>
      <c r="AJ357" s="116"/>
      <c r="AK357" s="116"/>
      <c r="AL357" s="116"/>
      <c r="AM357" s="116"/>
      <c r="AN357" s="116"/>
      <c r="AO357" s="116"/>
      <c r="AP357" s="116"/>
      <c r="AQ357" s="116"/>
      <c r="AR357" s="116"/>
      <c r="AS357" s="116"/>
      <c r="AT357" s="116"/>
      <c r="AU357" s="116"/>
      <c r="AV357" s="116"/>
      <c r="AW357" s="116"/>
      <c r="AX357" s="116"/>
      <c r="AY357" s="116"/>
      <c r="AZ357" s="116"/>
      <c r="BA357" s="116"/>
      <c r="BB357" s="116"/>
    </row>
    <row r="358" spans="4:54" hidden="1">
      <c r="D358" s="116"/>
      <c r="E358" s="116"/>
      <c r="F358" s="116"/>
      <c r="G358" s="116"/>
      <c r="H358" s="116"/>
      <c r="I358" s="116"/>
      <c r="J358" s="116"/>
      <c r="K358" s="116"/>
      <c r="L358" s="116"/>
      <c r="M358" s="116"/>
      <c r="N358" s="116"/>
      <c r="O358" s="116"/>
      <c r="P358" s="116"/>
      <c r="Q358" s="116"/>
      <c r="R358" s="116"/>
      <c r="S358" s="116"/>
      <c r="T358" s="116"/>
      <c r="U358" s="116"/>
      <c r="V358" s="116"/>
      <c r="W358" s="116"/>
      <c r="X358" s="116"/>
      <c r="Y358" s="116"/>
      <c r="Z358" s="116"/>
      <c r="AA358" s="116"/>
      <c r="AB358" s="116"/>
      <c r="AC358" s="116"/>
      <c r="AD358" s="116"/>
      <c r="AE358" s="116"/>
      <c r="AF358" s="116"/>
      <c r="AG358" s="116"/>
      <c r="AH358" s="116"/>
      <c r="AI358" s="116"/>
      <c r="AJ358" s="116"/>
      <c r="AK358" s="116"/>
      <c r="AL358" s="116"/>
      <c r="AM358" s="116"/>
      <c r="AN358" s="116"/>
      <c r="AO358" s="116"/>
      <c r="AP358" s="116"/>
      <c r="AQ358" s="116"/>
      <c r="AR358" s="116"/>
      <c r="AS358" s="116"/>
      <c r="AT358" s="116"/>
      <c r="AU358" s="116"/>
      <c r="AV358" s="116"/>
      <c r="AW358" s="116"/>
      <c r="AX358" s="116"/>
      <c r="AY358" s="116"/>
      <c r="AZ358" s="116"/>
      <c r="BA358" s="116"/>
      <c r="BB358" s="116"/>
    </row>
    <row r="359" spans="4:54" hidden="1">
      <c r="D359" s="116"/>
      <c r="E359" s="116"/>
      <c r="F359" s="116"/>
      <c r="G359" s="116"/>
      <c r="H359" s="116"/>
      <c r="I359" s="116"/>
      <c r="J359" s="116"/>
      <c r="K359" s="116"/>
      <c r="L359" s="116"/>
      <c r="M359" s="116"/>
      <c r="N359" s="116"/>
      <c r="O359" s="116"/>
      <c r="P359" s="116"/>
      <c r="Q359" s="116"/>
      <c r="R359" s="116"/>
      <c r="S359" s="116"/>
      <c r="T359" s="116"/>
      <c r="U359" s="116"/>
      <c r="V359" s="116"/>
      <c r="W359" s="116"/>
      <c r="X359" s="116"/>
      <c r="Y359" s="116"/>
      <c r="Z359" s="116"/>
      <c r="AA359" s="116"/>
      <c r="AB359" s="116"/>
      <c r="AC359" s="116"/>
      <c r="AD359" s="116"/>
      <c r="AE359" s="116"/>
      <c r="AF359" s="116"/>
      <c r="AG359" s="116"/>
      <c r="AH359" s="116"/>
      <c r="AI359" s="116"/>
      <c r="AJ359" s="116"/>
      <c r="AK359" s="116"/>
      <c r="AL359" s="116"/>
      <c r="AM359" s="116"/>
      <c r="AN359" s="116"/>
      <c r="AO359" s="116"/>
      <c r="AP359" s="116"/>
      <c r="AQ359" s="116"/>
      <c r="AR359" s="116"/>
      <c r="AS359" s="116"/>
      <c r="AT359" s="116"/>
      <c r="AU359" s="116"/>
      <c r="AV359" s="116"/>
      <c r="AW359" s="116"/>
      <c r="AX359" s="116"/>
      <c r="AY359" s="116"/>
      <c r="AZ359" s="116"/>
      <c r="BA359" s="116"/>
      <c r="BB359" s="116"/>
    </row>
    <row r="360" spans="4:54" hidden="1">
      <c r="D360" s="116"/>
      <c r="E360" s="116"/>
      <c r="F360" s="116"/>
      <c r="G360" s="116"/>
      <c r="H360" s="116"/>
      <c r="I360" s="116"/>
      <c r="J360" s="116"/>
      <c r="K360" s="116"/>
      <c r="L360" s="116"/>
      <c r="M360" s="116"/>
      <c r="N360" s="116"/>
      <c r="O360" s="116"/>
      <c r="P360" s="116"/>
      <c r="Q360" s="116"/>
      <c r="R360" s="116"/>
      <c r="S360" s="116"/>
      <c r="T360" s="116"/>
      <c r="U360" s="116"/>
      <c r="V360" s="116"/>
      <c r="W360" s="116"/>
      <c r="X360" s="116"/>
      <c r="Y360" s="116"/>
      <c r="Z360" s="116"/>
      <c r="AA360" s="116"/>
      <c r="AB360" s="116"/>
      <c r="AC360" s="116"/>
      <c r="AD360" s="116"/>
      <c r="AE360" s="116"/>
      <c r="AF360" s="116"/>
      <c r="AG360" s="116"/>
      <c r="AH360" s="116"/>
      <c r="AI360" s="116"/>
      <c r="AJ360" s="116"/>
      <c r="AK360" s="116"/>
      <c r="AL360" s="116"/>
      <c r="AM360" s="116"/>
      <c r="AN360" s="116"/>
      <c r="AO360" s="116"/>
      <c r="AP360" s="116"/>
      <c r="AQ360" s="116"/>
      <c r="AR360" s="116"/>
      <c r="AS360" s="116"/>
      <c r="AT360" s="116"/>
      <c r="AU360" s="116"/>
      <c r="AV360" s="116"/>
      <c r="AW360" s="116"/>
      <c r="AX360" s="116"/>
      <c r="AY360" s="116"/>
      <c r="AZ360" s="116"/>
      <c r="BA360" s="116"/>
      <c r="BB360" s="116"/>
    </row>
    <row r="361" spans="4:54" hidden="1">
      <c r="D361" s="116"/>
      <c r="E361" s="116"/>
      <c r="F361" s="116"/>
      <c r="G361" s="116"/>
      <c r="H361" s="116"/>
      <c r="I361" s="116"/>
      <c r="J361" s="116"/>
      <c r="K361" s="116"/>
      <c r="L361" s="116"/>
      <c r="M361" s="116"/>
      <c r="N361" s="116"/>
      <c r="O361" s="116"/>
      <c r="P361" s="116"/>
      <c r="Q361" s="116"/>
      <c r="R361" s="116"/>
      <c r="S361" s="116"/>
      <c r="T361" s="116"/>
      <c r="U361" s="116"/>
      <c r="V361" s="116"/>
      <c r="W361" s="116"/>
      <c r="X361" s="116"/>
      <c r="Y361" s="116"/>
      <c r="Z361" s="116"/>
      <c r="AA361" s="116"/>
      <c r="AB361" s="116"/>
      <c r="AC361" s="116"/>
      <c r="AD361" s="116"/>
      <c r="AE361" s="116"/>
      <c r="AF361" s="116"/>
      <c r="AG361" s="116"/>
      <c r="AH361" s="116"/>
      <c r="AI361" s="116"/>
      <c r="AJ361" s="116"/>
      <c r="AK361" s="116"/>
      <c r="AL361" s="116"/>
      <c r="AM361" s="116"/>
      <c r="AN361" s="116"/>
      <c r="AO361" s="116"/>
      <c r="AP361" s="116"/>
      <c r="AQ361" s="116"/>
      <c r="AR361" s="116"/>
      <c r="AS361" s="116"/>
      <c r="AT361" s="116"/>
      <c r="AU361" s="116"/>
      <c r="AV361" s="116"/>
      <c r="AW361" s="116"/>
      <c r="AX361" s="116"/>
      <c r="AY361" s="116"/>
      <c r="AZ361" s="116"/>
      <c r="BA361" s="116"/>
      <c r="BB361" s="116"/>
    </row>
    <row r="362" spans="4:54" hidden="1">
      <c r="D362" s="116"/>
      <c r="E362" s="116"/>
      <c r="F362" s="116"/>
      <c r="G362" s="116"/>
      <c r="H362" s="116"/>
      <c r="I362" s="116"/>
      <c r="J362" s="116"/>
      <c r="K362" s="116"/>
      <c r="L362" s="116"/>
      <c r="M362" s="116"/>
      <c r="N362" s="116"/>
      <c r="O362" s="116"/>
      <c r="P362" s="116"/>
      <c r="Q362" s="116"/>
      <c r="R362" s="116"/>
      <c r="S362" s="116"/>
      <c r="T362" s="116"/>
      <c r="U362" s="116"/>
      <c r="V362" s="116"/>
      <c r="W362" s="116"/>
      <c r="X362" s="116"/>
      <c r="Y362" s="116"/>
      <c r="Z362" s="116"/>
      <c r="AA362" s="116"/>
      <c r="AB362" s="116"/>
      <c r="AC362" s="116"/>
      <c r="AD362" s="116"/>
      <c r="AE362" s="116"/>
      <c r="AF362" s="116"/>
      <c r="AG362" s="116"/>
      <c r="AH362" s="116"/>
      <c r="AI362" s="116"/>
      <c r="AJ362" s="116"/>
      <c r="AK362" s="116"/>
      <c r="AL362" s="116"/>
      <c r="AM362" s="116"/>
      <c r="AN362" s="116"/>
      <c r="AO362" s="116"/>
      <c r="AP362" s="116"/>
      <c r="AQ362" s="116"/>
      <c r="AR362" s="116"/>
      <c r="AS362" s="116"/>
      <c r="AT362" s="116"/>
      <c r="AU362" s="116"/>
      <c r="AV362" s="116"/>
      <c r="AW362" s="116"/>
      <c r="AX362" s="116"/>
      <c r="AY362" s="116"/>
      <c r="AZ362" s="116"/>
      <c r="BA362" s="116"/>
      <c r="BB362" s="116"/>
    </row>
    <row r="363" spans="4:54" hidden="1">
      <c r="D363" s="116"/>
      <c r="E363" s="116"/>
      <c r="F363" s="116"/>
      <c r="G363" s="116"/>
      <c r="H363" s="116"/>
      <c r="I363" s="116"/>
      <c r="J363" s="116"/>
      <c r="K363" s="116"/>
      <c r="L363" s="116"/>
      <c r="M363" s="116"/>
      <c r="N363" s="116"/>
      <c r="O363" s="116"/>
      <c r="P363" s="116"/>
      <c r="Q363" s="116"/>
      <c r="R363" s="116"/>
      <c r="S363" s="116"/>
      <c r="T363" s="116"/>
      <c r="U363" s="116"/>
      <c r="V363" s="116"/>
      <c r="W363" s="116"/>
      <c r="X363" s="116"/>
      <c r="Y363" s="116"/>
      <c r="Z363" s="116"/>
      <c r="AA363" s="116"/>
      <c r="AB363" s="116"/>
      <c r="AC363" s="116"/>
      <c r="AD363" s="116"/>
      <c r="AE363" s="116"/>
      <c r="AF363" s="116"/>
      <c r="AG363" s="116"/>
      <c r="AH363" s="116"/>
      <c r="AI363" s="116"/>
      <c r="AJ363" s="116"/>
      <c r="AK363" s="116"/>
      <c r="AL363" s="116"/>
      <c r="AM363" s="116"/>
      <c r="AN363" s="116"/>
      <c r="AO363" s="116"/>
      <c r="AP363" s="116"/>
      <c r="AQ363" s="116"/>
      <c r="AR363" s="116"/>
      <c r="AS363" s="116"/>
      <c r="AT363" s="116"/>
      <c r="AU363" s="116"/>
      <c r="AV363" s="116"/>
      <c r="AW363" s="116"/>
      <c r="AX363" s="116"/>
      <c r="AY363" s="116"/>
      <c r="AZ363" s="116"/>
      <c r="BA363" s="116"/>
      <c r="BB363" s="116"/>
    </row>
    <row r="364" spans="4:54" hidden="1">
      <c r="D364" s="116"/>
      <c r="E364" s="116"/>
      <c r="F364" s="116"/>
      <c r="G364" s="116"/>
      <c r="H364" s="116"/>
      <c r="I364" s="116"/>
      <c r="J364" s="116"/>
      <c r="K364" s="116"/>
      <c r="L364" s="116"/>
      <c r="M364" s="116"/>
      <c r="N364" s="116"/>
      <c r="O364" s="116"/>
      <c r="P364" s="116"/>
      <c r="Q364" s="116"/>
      <c r="R364" s="116"/>
      <c r="S364" s="116"/>
      <c r="T364" s="116"/>
      <c r="U364" s="116"/>
      <c r="V364" s="116"/>
      <c r="W364" s="116"/>
      <c r="X364" s="116"/>
      <c r="Y364" s="116"/>
      <c r="Z364" s="116"/>
      <c r="AA364" s="116"/>
      <c r="AB364" s="116"/>
      <c r="AC364" s="116"/>
      <c r="AD364" s="116"/>
      <c r="AE364" s="116"/>
      <c r="AF364" s="116"/>
      <c r="AG364" s="116"/>
      <c r="AH364" s="116"/>
      <c r="AI364" s="116"/>
      <c r="AJ364" s="116"/>
      <c r="AK364" s="116"/>
      <c r="AL364" s="116"/>
      <c r="AM364" s="116"/>
      <c r="AN364" s="116"/>
      <c r="AO364" s="116"/>
      <c r="AP364" s="116"/>
      <c r="AQ364" s="116"/>
      <c r="AR364" s="116"/>
      <c r="AS364" s="116"/>
      <c r="AT364" s="116"/>
      <c r="AU364" s="116"/>
      <c r="AV364" s="116"/>
      <c r="AW364" s="116"/>
      <c r="AX364" s="116"/>
      <c r="AY364" s="116"/>
      <c r="AZ364" s="116"/>
      <c r="BA364" s="116"/>
      <c r="BB364" s="116"/>
    </row>
    <row r="365" spans="4:54" hidden="1">
      <c r="D365" s="116"/>
      <c r="E365" s="116"/>
      <c r="F365" s="116"/>
      <c r="G365" s="116"/>
      <c r="H365" s="116"/>
      <c r="I365" s="116"/>
      <c r="J365" s="116"/>
      <c r="K365" s="116"/>
      <c r="L365" s="116"/>
      <c r="M365" s="116"/>
      <c r="N365" s="116"/>
      <c r="O365" s="116"/>
      <c r="P365" s="116"/>
      <c r="Q365" s="116"/>
      <c r="R365" s="116"/>
      <c r="S365" s="116"/>
      <c r="T365" s="116"/>
      <c r="U365" s="116"/>
      <c r="V365" s="116"/>
      <c r="W365" s="116"/>
      <c r="X365" s="116"/>
      <c r="Y365" s="116"/>
      <c r="Z365" s="116"/>
      <c r="AA365" s="116"/>
      <c r="AB365" s="116"/>
      <c r="AC365" s="116"/>
      <c r="AD365" s="116"/>
      <c r="AE365" s="116"/>
      <c r="AF365" s="116"/>
      <c r="AG365" s="116"/>
      <c r="AH365" s="116"/>
      <c r="AI365" s="116"/>
      <c r="AJ365" s="116"/>
      <c r="AK365" s="116"/>
      <c r="AL365" s="116"/>
      <c r="AM365" s="116"/>
      <c r="AN365" s="116"/>
      <c r="AO365" s="116"/>
      <c r="AP365" s="116"/>
      <c r="AQ365" s="116"/>
      <c r="AR365" s="116"/>
      <c r="AS365" s="116"/>
      <c r="AT365" s="116"/>
      <c r="AU365" s="116"/>
      <c r="AV365" s="116"/>
      <c r="AW365" s="116"/>
      <c r="AX365" s="116"/>
      <c r="AY365" s="116"/>
      <c r="AZ365" s="116"/>
      <c r="BA365" s="116"/>
      <c r="BB365" s="116"/>
    </row>
    <row r="366" spans="4:54" hidden="1">
      <c r="D366" s="116"/>
      <c r="E366" s="116"/>
      <c r="F366" s="116"/>
      <c r="G366" s="116"/>
      <c r="H366" s="116"/>
      <c r="I366" s="116"/>
      <c r="J366" s="116"/>
      <c r="K366" s="116"/>
      <c r="L366" s="116"/>
      <c r="M366" s="116"/>
      <c r="N366" s="116"/>
      <c r="O366" s="116"/>
      <c r="P366" s="116"/>
      <c r="Q366" s="116"/>
      <c r="R366" s="116"/>
      <c r="S366" s="116"/>
      <c r="T366" s="116"/>
      <c r="U366" s="116"/>
      <c r="V366" s="116"/>
      <c r="W366" s="116"/>
      <c r="X366" s="116"/>
      <c r="Y366" s="116"/>
      <c r="Z366" s="116"/>
      <c r="AA366" s="116"/>
      <c r="AB366" s="116"/>
      <c r="AC366" s="116"/>
      <c r="AD366" s="116"/>
      <c r="AE366" s="116"/>
      <c r="AF366" s="116"/>
      <c r="AG366" s="116"/>
      <c r="AH366" s="116"/>
      <c r="AI366" s="116"/>
      <c r="AJ366" s="116"/>
      <c r="AK366" s="116"/>
      <c r="AL366" s="116"/>
      <c r="AM366" s="116"/>
      <c r="AN366" s="116"/>
      <c r="AO366" s="116"/>
      <c r="AP366" s="116"/>
      <c r="AQ366" s="116"/>
      <c r="AR366" s="116"/>
      <c r="AS366" s="116"/>
      <c r="AT366" s="116"/>
      <c r="AU366" s="116"/>
      <c r="AV366" s="116"/>
      <c r="AW366" s="116"/>
      <c r="AX366" s="116"/>
      <c r="AY366" s="116"/>
      <c r="AZ366" s="116"/>
      <c r="BA366" s="116"/>
      <c r="BB366" s="116"/>
    </row>
    <row r="367" spans="4:54" hidden="1">
      <c r="D367" s="116"/>
      <c r="E367" s="116"/>
      <c r="F367" s="116"/>
      <c r="G367" s="116"/>
      <c r="H367" s="116"/>
      <c r="I367" s="116"/>
      <c r="J367" s="116"/>
      <c r="K367" s="116"/>
      <c r="L367" s="116"/>
      <c r="M367" s="116"/>
      <c r="N367" s="116"/>
      <c r="O367" s="116"/>
      <c r="P367" s="116"/>
      <c r="Q367" s="116"/>
      <c r="R367" s="116"/>
      <c r="S367" s="116"/>
      <c r="T367" s="116"/>
      <c r="U367" s="116"/>
      <c r="V367" s="116"/>
      <c r="W367" s="116"/>
      <c r="X367" s="116"/>
      <c r="Y367" s="116"/>
      <c r="Z367" s="116"/>
      <c r="AA367" s="116"/>
      <c r="AB367" s="116"/>
      <c r="AC367" s="116"/>
      <c r="AD367" s="116"/>
      <c r="AE367" s="116"/>
      <c r="AF367" s="116"/>
      <c r="AG367" s="116"/>
      <c r="AH367" s="116"/>
      <c r="AI367" s="116"/>
      <c r="AJ367" s="116"/>
      <c r="AK367" s="116"/>
      <c r="AL367" s="116"/>
      <c r="AM367" s="116"/>
      <c r="AN367" s="116"/>
      <c r="AO367" s="116"/>
      <c r="AP367" s="116"/>
      <c r="AQ367" s="116"/>
      <c r="AR367" s="116"/>
      <c r="AS367" s="116"/>
      <c r="AT367" s="116"/>
      <c r="AU367" s="116"/>
      <c r="AV367" s="116"/>
      <c r="AW367" s="116"/>
      <c r="AX367" s="116"/>
      <c r="AY367" s="116"/>
      <c r="AZ367" s="116"/>
      <c r="BA367" s="116"/>
      <c r="BB367" s="116"/>
    </row>
    <row r="368" spans="4:54" hidden="1">
      <c r="D368" s="116"/>
      <c r="E368" s="116"/>
      <c r="F368" s="116"/>
      <c r="G368" s="116"/>
      <c r="H368" s="116"/>
      <c r="I368" s="116"/>
      <c r="J368" s="116"/>
      <c r="K368" s="116"/>
      <c r="L368" s="116"/>
      <c r="M368" s="116"/>
      <c r="N368" s="116"/>
      <c r="O368" s="116"/>
      <c r="P368" s="116"/>
      <c r="Q368" s="116"/>
      <c r="R368" s="116"/>
      <c r="S368" s="116"/>
      <c r="T368" s="116"/>
      <c r="U368" s="116"/>
      <c r="V368" s="116"/>
      <c r="W368" s="116"/>
      <c r="X368" s="116"/>
      <c r="Y368" s="116"/>
      <c r="Z368" s="116"/>
      <c r="AA368" s="116"/>
      <c r="AB368" s="116"/>
      <c r="AC368" s="116"/>
      <c r="AD368" s="116"/>
      <c r="AE368" s="116"/>
      <c r="AF368" s="116"/>
      <c r="AG368" s="116"/>
      <c r="AH368" s="116"/>
      <c r="AI368" s="116"/>
      <c r="AJ368" s="116"/>
      <c r="AK368" s="116"/>
      <c r="AL368" s="116"/>
      <c r="AM368" s="116"/>
      <c r="AN368" s="116"/>
      <c r="AO368" s="116"/>
      <c r="AP368" s="116"/>
      <c r="AQ368" s="116"/>
      <c r="AR368" s="116"/>
      <c r="AS368" s="116"/>
      <c r="AT368" s="116"/>
      <c r="AU368" s="116"/>
      <c r="AV368" s="116"/>
      <c r="AW368" s="116"/>
      <c r="AX368" s="116"/>
      <c r="AY368" s="116"/>
      <c r="AZ368" s="116"/>
      <c r="BA368" s="116"/>
      <c r="BB368" s="116"/>
    </row>
    <row r="369" spans="4:54" hidden="1">
      <c r="D369" s="116"/>
      <c r="E369" s="116"/>
      <c r="F369" s="116"/>
      <c r="G369" s="116"/>
      <c r="H369" s="116"/>
      <c r="I369" s="116"/>
      <c r="J369" s="116"/>
      <c r="K369" s="116"/>
      <c r="L369" s="116"/>
      <c r="M369" s="116"/>
      <c r="N369" s="116"/>
      <c r="O369" s="116"/>
      <c r="P369" s="116"/>
      <c r="Q369" s="116"/>
      <c r="R369" s="116"/>
      <c r="S369" s="116"/>
      <c r="T369" s="116"/>
      <c r="U369" s="116"/>
      <c r="V369" s="116"/>
      <c r="W369" s="116"/>
      <c r="X369" s="116"/>
      <c r="Y369" s="116"/>
      <c r="Z369" s="116"/>
      <c r="AA369" s="116"/>
      <c r="AB369" s="116"/>
      <c r="AC369" s="116"/>
      <c r="AD369" s="116"/>
      <c r="AE369" s="116"/>
      <c r="AF369" s="116"/>
      <c r="AG369" s="116"/>
      <c r="AH369" s="116"/>
      <c r="AI369" s="116"/>
      <c r="AJ369" s="116"/>
      <c r="AK369" s="116"/>
      <c r="AL369" s="116"/>
      <c r="AM369" s="116"/>
      <c r="AN369" s="116"/>
      <c r="AO369" s="116"/>
      <c r="AP369" s="116"/>
      <c r="AQ369" s="116"/>
      <c r="AR369" s="116"/>
      <c r="AS369" s="116"/>
      <c r="AT369" s="116"/>
      <c r="AU369" s="116"/>
      <c r="AV369" s="116"/>
      <c r="AW369" s="116"/>
      <c r="AX369" s="116"/>
      <c r="AY369" s="116"/>
      <c r="AZ369" s="116"/>
      <c r="BA369" s="116"/>
      <c r="BB369" s="116"/>
    </row>
    <row r="370" spans="4:54" hidden="1">
      <c r="D370" s="116"/>
      <c r="E370" s="116"/>
      <c r="F370" s="116"/>
      <c r="G370" s="116"/>
      <c r="H370" s="116"/>
      <c r="I370" s="116"/>
      <c r="J370" s="116"/>
      <c r="K370" s="116"/>
      <c r="L370" s="116"/>
      <c r="M370" s="116"/>
      <c r="N370" s="116"/>
      <c r="O370" s="116"/>
      <c r="P370" s="116"/>
      <c r="Q370" s="116"/>
      <c r="R370" s="116"/>
      <c r="S370" s="116"/>
      <c r="T370" s="116"/>
      <c r="U370" s="116"/>
      <c r="V370" s="116"/>
      <c r="W370" s="116"/>
      <c r="X370" s="116"/>
      <c r="Y370" s="116"/>
      <c r="Z370" s="116"/>
      <c r="AA370" s="116"/>
      <c r="AB370" s="116"/>
      <c r="AC370" s="116"/>
      <c r="AD370" s="116"/>
      <c r="AE370" s="116"/>
      <c r="AF370" s="116"/>
      <c r="AG370" s="116"/>
      <c r="AH370" s="116"/>
      <c r="AI370" s="116"/>
      <c r="AJ370" s="116"/>
      <c r="AK370" s="116"/>
      <c r="AL370" s="116"/>
      <c r="AM370" s="116"/>
      <c r="AN370" s="116"/>
      <c r="AO370" s="116"/>
      <c r="AP370" s="116"/>
      <c r="AQ370" s="116"/>
      <c r="AR370" s="116"/>
      <c r="AS370" s="116"/>
      <c r="AT370" s="116"/>
      <c r="AU370" s="116"/>
      <c r="AV370" s="116"/>
      <c r="AW370" s="116"/>
      <c r="AX370" s="116"/>
      <c r="AY370" s="116"/>
      <c r="AZ370" s="116"/>
      <c r="BA370" s="116"/>
      <c r="BB370" s="116"/>
    </row>
    <row r="371" spans="4:54" hidden="1">
      <c r="D371" s="116"/>
      <c r="E371" s="116"/>
      <c r="F371" s="116"/>
      <c r="G371" s="116"/>
      <c r="H371" s="116"/>
      <c r="I371" s="116"/>
      <c r="J371" s="116"/>
      <c r="K371" s="116"/>
      <c r="L371" s="116"/>
      <c r="M371" s="116"/>
      <c r="N371" s="116"/>
      <c r="O371" s="116"/>
      <c r="P371" s="116"/>
      <c r="Q371" s="116"/>
      <c r="R371" s="116"/>
      <c r="S371" s="116"/>
      <c r="T371" s="116"/>
      <c r="U371" s="116"/>
      <c r="V371" s="116"/>
      <c r="W371" s="116"/>
      <c r="X371" s="116"/>
      <c r="Y371" s="116"/>
      <c r="Z371" s="116"/>
      <c r="AA371" s="116"/>
      <c r="AB371" s="116"/>
      <c r="AC371" s="116"/>
      <c r="AD371" s="116"/>
      <c r="AE371" s="116"/>
      <c r="AF371" s="116"/>
      <c r="AG371" s="116"/>
      <c r="AH371" s="116"/>
      <c r="AI371" s="116"/>
      <c r="AJ371" s="116"/>
      <c r="AK371" s="116"/>
      <c r="AL371" s="116"/>
      <c r="AM371" s="116"/>
      <c r="AN371" s="116"/>
      <c r="AO371" s="116"/>
      <c r="AP371" s="116"/>
      <c r="AQ371" s="116"/>
      <c r="AR371" s="116"/>
      <c r="AS371" s="116"/>
      <c r="AT371" s="116"/>
      <c r="AU371" s="116"/>
      <c r="AV371" s="116"/>
      <c r="AW371" s="116"/>
      <c r="AX371" s="116"/>
      <c r="AY371" s="116"/>
      <c r="AZ371" s="116"/>
      <c r="BA371" s="116"/>
      <c r="BB371" s="116"/>
    </row>
    <row r="372" spans="4:54" hidden="1">
      <c r="D372" s="116"/>
      <c r="E372" s="116"/>
      <c r="F372" s="116"/>
      <c r="G372" s="116"/>
      <c r="H372" s="116"/>
      <c r="I372" s="116"/>
      <c r="J372" s="116"/>
      <c r="K372" s="116"/>
      <c r="L372" s="116"/>
      <c r="M372" s="116"/>
      <c r="N372" s="116"/>
      <c r="O372" s="116"/>
      <c r="P372" s="116"/>
      <c r="Q372" s="116"/>
      <c r="R372" s="116"/>
      <c r="S372" s="116"/>
      <c r="T372" s="116"/>
      <c r="U372" s="116"/>
      <c r="V372" s="116"/>
      <c r="W372" s="116"/>
      <c r="X372" s="116"/>
      <c r="Y372" s="116"/>
      <c r="Z372" s="116"/>
      <c r="AA372" s="116"/>
      <c r="AB372" s="116"/>
      <c r="AC372" s="116"/>
      <c r="AD372" s="116"/>
      <c r="AE372" s="116"/>
      <c r="AF372" s="116"/>
      <c r="AG372" s="116"/>
      <c r="AH372" s="116"/>
      <c r="AI372" s="116"/>
      <c r="AJ372" s="116"/>
      <c r="AK372" s="116"/>
      <c r="AL372" s="116"/>
      <c r="AM372" s="116"/>
      <c r="AN372" s="116"/>
      <c r="AO372" s="116"/>
      <c r="AP372" s="116"/>
      <c r="AQ372" s="116"/>
      <c r="AR372" s="116"/>
      <c r="AS372" s="116"/>
      <c r="AT372" s="116"/>
      <c r="AU372" s="116"/>
      <c r="AV372" s="116"/>
      <c r="AW372" s="116"/>
      <c r="AX372" s="116"/>
      <c r="AY372" s="116"/>
      <c r="AZ372" s="116"/>
      <c r="BA372" s="116"/>
      <c r="BB372" s="116"/>
    </row>
    <row r="373" spans="4:54" hidden="1">
      <c r="D373" s="116"/>
      <c r="E373" s="116"/>
      <c r="F373" s="116"/>
      <c r="G373" s="116"/>
      <c r="H373" s="116"/>
      <c r="I373" s="116"/>
      <c r="J373" s="116"/>
      <c r="K373" s="116"/>
      <c r="L373" s="116"/>
      <c r="M373" s="116"/>
      <c r="N373" s="116"/>
      <c r="O373" s="116"/>
      <c r="P373" s="116"/>
      <c r="Q373" s="116"/>
      <c r="R373" s="116"/>
      <c r="S373" s="116"/>
      <c r="T373" s="116"/>
      <c r="U373" s="116"/>
      <c r="V373" s="116"/>
      <c r="W373" s="116"/>
      <c r="X373" s="116"/>
      <c r="Y373" s="116"/>
      <c r="Z373" s="116"/>
      <c r="AA373" s="116"/>
      <c r="AB373" s="116"/>
      <c r="AC373" s="116"/>
      <c r="AD373" s="116"/>
      <c r="AE373" s="116"/>
      <c r="AF373" s="116"/>
      <c r="AG373" s="116"/>
      <c r="AH373" s="116"/>
      <c r="AI373" s="116"/>
      <c r="AJ373" s="116"/>
      <c r="AK373" s="116"/>
      <c r="AL373" s="116"/>
      <c r="AM373" s="116"/>
      <c r="AN373" s="116"/>
      <c r="AO373" s="116"/>
      <c r="AP373" s="116"/>
      <c r="AQ373" s="116"/>
      <c r="AR373" s="116"/>
      <c r="AS373" s="116"/>
      <c r="AT373" s="116"/>
      <c r="AU373" s="116"/>
      <c r="AV373" s="116"/>
      <c r="AW373" s="116"/>
      <c r="AX373" s="116"/>
      <c r="AY373" s="116"/>
      <c r="AZ373" s="116"/>
      <c r="BA373" s="116"/>
      <c r="BB373" s="116"/>
    </row>
    <row r="374" spans="4:54" hidden="1">
      <c r="D374" s="116"/>
      <c r="E374" s="116"/>
      <c r="F374" s="116"/>
      <c r="G374" s="116"/>
      <c r="H374" s="116"/>
      <c r="I374" s="116"/>
      <c r="J374" s="116"/>
      <c r="K374" s="116"/>
      <c r="L374" s="116"/>
      <c r="M374" s="116"/>
      <c r="N374" s="116"/>
      <c r="O374" s="116"/>
      <c r="P374" s="116"/>
      <c r="Q374" s="116"/>
      <c r="R374" s="116"/>
      <c r="S374" s="116"/>
      <c r="T374" s="116"/>
      <c r="U374" s="116"/>
      <c r="V374" s="116"/>
      <c r="W374" s="116"/>
      <c r="X374" s="116"/>
      <c r="Y374" s="116"/>
      <c r="Z374" s="116"/>
      <c r="AA374" s="116"/>
      <c r="AB374" s="116"/>
      <c r="AC374" s="116"/>
      <c r="AD374" s="116"/>
      <c r="AE374" s="116"/>
      <c r="AF374" s="116"/>
      <c r="AG374" s="116"/>
      <c r="AH374" s="116"/>
      <c r="AI374" s="116"/>
      <c r="AJ374" s="116"/>
      <c r="AK374" s="116"/>
      <c r="AL374" s="116"/>
      <c r="AM374" s="116"/>
      <c r="AN374" s="116"/>
      <c r="AO374" s="116"/>
      <c r="AP374" s="116"/>
      <c r="AQ374" s="116"/>
      <c r="AR374" s="116"/>
      <c r="AS374" s="116"/>
      <c r="AT374" s="116"/>
      <c r="AU374" s="116"/>
      <c r="AV374" s="116"/>
      <c r="AW374" s="116"/>
      <c r="AX374" s="116"/>
      <c r="AY374" s="116"/>
      <c r="AZ374" s="116"/>
      <c r="BA374" s="116"/>
      <c r="BB374" s="116"/>
    </row>
    <row r="375" spans="4:54" hidden="1">
      <c r="D375" s="116"/>
      <c r="E375" s="116"/>
      <c r="F375" s="116"/>
      <c r="G375" s="116"/>
      <c r="H375" s="116"/>
      <c r="I375" s="116"/>
      <c r="J375" s="116"/>
      <c r="K375" s="116"/>
      <c r="L375" s="116"/>
      <c r="M375" s="116"/>
      <c r="N375" s="116"/>
      <c r="O375" s="116"/>
      <c r="P375" s="116"/>
      <c r="Q375" s="116"/>
      <c r="R375" s="116"/>
      <c r="S375" s="116"/>
      <c r="T375" s="116"/>
      <c r="U375" s="116"/>
      <c r="V375" s="116"/>
      <c r="W375" s="116"/>
      <c r="X375" s="116"/>
      <c r="Y375" s="116"/>
      <c r="Z375" s="116"/>
      <c r="AA375" s="116"/>
      <c r="AB375" s="116"/>
      <c r="AC375" s="116"/>
      <c r="AD375" s="116"/>
      <c r="AE375" s="116"/>
      <c r="AF375" s="116"/>
      <c r="AG375" s="116"/>
      <c r="AH375" s="116"/>
      <c r="AI375" s="116"/>
      <c r="AJ375" s="116"/>
      <c r="AK375" s="116"/>
      <c r="AL375" s="116"/>
      <c r="AM375" s="116"/>
      <c r="AN375" s="116"/>
      <c r="AO375" s="116"/>
      <c r="AP375" s="116"/>
      <c r="AQ375" s="116"/>
      <c r="AR375" s="116"/>
      <c r="AS375" s="116"/>
      <c r="AT375" s="116"/>
      <c r="AU375" s="116"/>
      <c r="AV375" s="116"/>
      <c r="AW375" s="116"/>
      <c r="AX375" s="116"/>
      <c r="AY375" s="116"/>
      <c r="AZ375" s="116"/>
      <c r="BA375" s="116"/>
      <c r="BB375" s="116"/>
    </row>
    <row r="376" spans="4:54" hidden="1">
      <c r="D376" s="116"/>
      <c r="E376" s="116"/>
      <c r="F376" s="116"/>
      <c r="G376" s="116"/>
      <c r="H376" s="116"/>
      <c r="I376" s="116"/>
      <c r="J376" s="116"/>
      <c r="K376" s="116"/>
      <c r="L376" s="116"/>
      <c r="M376" s="116"/>
      <c r="N376" s="116"/>
      <c r="O376" s="116"/>
      <c r="P376" s="116"/>
      <c r="Q376" s="116"/>
      <c r="R376" s="116"/>
      <c r="S376" s="116"/>
      <c r="T376" s="116"/>
      <c r="U376" s="116"/>
      <c r="V376" s="116"/>
      <c r="W376" s="116"/>
      <c r="X376" s="116"/>
      <c r="Y376" s="116"/>
      <c r="Z376" s="116"/>
      <c r="AA376" s="116"/>
      <c r="AB376" s="116"/>
      <c r="AC376" s="116"/>
      <c r="AD376" s="116"/>
      <c r="AE376" s="116"/>
      <c r="AF376" s="116"/>
      <c r="AG376" s="116"/>
      <c r="AH376" s="116"/>
      <c r="AI376" s="116"/>
      <c r="AJ376" s="116"/>
      <c r="AK376" s="116"/>
      <c r="AL376" s="116"/>
      <c r="AM376" s="116"/>
      <c r="AN376" s="116"/>
      <c r="AO376" s="116"/>
      <c r="AP376" s="116"/>
      <c r="AQ376" s="116"/>
      <c r="AR376" s="116"/>
      <c r="AS376" s="116"/>
      <c r="AT376" s="116"/>
      <c r="AU376" s="116"/>
      <c r="AV376" s="116"/>
      <c r="AW376" s="116"/>
      <c r="AX376" s="116"/>
      <c r="AY376" s="116"/>
      <c r="AZ376" s="116"/>
      <c r="BA376" s="116"/>
      <c r="BB376" s="116"/>
    </row>
    <row r="377" spans="4:54" hidden="1">
      <c r="D377" s="116"/>
      <c r="E377" s="116"/>
      <c r="F377" s="116"/>
      <c r="G377" s="116"/>
      <c r="H377" s="116"/>
      <c r="I377" s="116"/>
      <c r="J377" s="116"/>
      <c r="K377" s="116"/>
      <c r="L377" s="116"/>
      <c r="M377" s="116"/>
      <c r="N377" s="116"/>
      <c r="O377" s="116"/>
      <c r="P377" s="116"/>
      <c r="Q377" s="116"/>
      <c r="R377" s="116"/>
      <c r="S377" s="116"/>
      <c r="T377" s="116"/>
      <c r="U377" s="116"/>
      <c r="V377" s="116"/>
      <c r="W377" s="116"/>
      <c r="X377" s="116"/>
      <c r="Y377" s="116"/>
      <c r="Z377" s="116"/>
      <c r="AA377" s="116"/>
      <c r="AB377" s="116"/>
      <c r="AC377" s="116"/>
      <c r="AD377" s="116"/>
      <c r="AE377" s="116"/>
      <c r="AF377" s="116"/>
      <c r="AG377" s="116"/>
      <c r="AH377" s="116"/>
      <c r="AI377" s="116"/>
      <c r="AJ377" s="116"/>
      <c r="AK377" s="116"/>
      <c r="AL377" s="116"/>
      <c r="AM377" s="116"/>
      <c r="AN377" s="116"/>
      <c r="AO377" s="116"/>
      <c r="AP377" s="116"/>
      <c r="AQ377" s="116"/>
      <c r="AR377" s="116"/>
      <c r="AS377" s="116"/>
      <c r="AT377" s="116"/>
      <c r="AU377" s="116"/>
      <c r="AV377" s="116"/>
      <c r="AW377" s="116"/>
      <c r="AX377" s="116"/>
      <c r="AY377" s="116"/>
      <c r="AZ377" s="116"/>
      <c r="BA377" s="116"/>
      <c r="BB377" s="116"/>
    </row>
    <row r="378" spans="4:54" hidden="1">
      <c r="D378" s="116"/>
      <c r="E378" s="116"/>
      <c r="F378" s="116"/>
      <c r="G378" s="116"/>
      <c r="H378" s="116"/>
      <c r="I378" s="116"/>
      <c r="J378" s="116"/>
      <c r="K378" s="116"/>
      <c r="L378" s="116"/>
      <c r="M378" s="116"/>
      <c r="N378" s="116"/>
      <c r="O378" s="116"/>
      <c r="P378" s="116"/>
      <c r="Q378" s="116"/>
      <c r="R378" s="116"/>
      <c r="S378" s="116"/>
      <c r="T378" s="116"/>
      <c r="U378" s="116"/>
      <c r="V378" s="116"/>
      <c r="W378" s="116"/>
      <c r="X378" s="116"/>
      <c r="Y378" s="116"/>
      <c r="Z378" s="116"/>
      <c r="AA378" s="116"/>
      <c r="AB378" s="116"/>
      <c r="AC378" s="116"/>
      <c r="AD378" s="116"/>
      <c r="AE378" s="116"/>
      <c r="AF378" s="116"/>
      <c r="AG378" s="116"/>
      <c r="AH378" s="116"/>
      <c r="AI378" s="116"/>
      <c r="AJ378" s="116"/>
      <c r="AK378" s="116"/>
      <c r="AL378" s="116"/>
      <c r="AM378" s="116"/>
      <c r="AN378" s="116"/>
      <c r="AO378" s="116"/>
      <c r="AP378" s="116"/>
      <c r="AQ378" s="116"/>
      <c r="AR378" s="116"/>
      <c r="AS378" s="116"/>
      <c r="AT378" s="116"/>
      <c r="AU378" s="116"/>
      <c r="AV378" s="116"/>
      <c r="AW378" s="116"/>
      <c r="AX378" s="116"/>
      <c r="AY378" s="116"/>
      <c r="AZ378" s="116"/>
      <c r="BA378" s="116"/>
      <c r="BB378" s="116"/>
    </row>
    <row r="379" spans="4:54" hidden="1">
      <c r="D379" s="116"/>
      <c r="E379" s="116"/>
      <c r="F379" s="116"/>
      <c r="G379" s="116"/>
      <c r="H379" s="116"/>
      <c r="I379" s="116"/>
      <c r="J379" s="116"/>
      <c r="K379" s="116"/>
      <c r="L379" s="116"/>
      <c r="M379" s="116"/>
      <c r="N379" s="116"/>
      <c r="O379" s="116"/>
      <c r="P379" s="116"/>
      <c r="Q379" s="116"/>
      <c r="R379" s="116"/>
      <c r="S379" s="116"/>
      <c r="T379" s="116"/>
      <c r="U379" s="116"/>
      <c r="V379" s="116"/>
      <c r="W379" s="116"/>
      <c r="X379" s="116"/>
      <c r="Y379" s="116"/>
      <c r="Z379" s="116"/>
      <c r="AA379" s="116"/>
      <c r="AB379" s="116"/>
      <c r="AC379" s="116"/>
      <c r="AD379" s="116"/>
      <c r="AE379" s="116"/>
      <c r="AF379" s="116"/>
      <c r="AG379" s="116"/>
      <c r="AH379" s="116"/>
      <c r="AI379" s="116"/>
      <c r="AJ379" s="116"/>
      <c r="AK379" s="116"/>
      <c r="AL379" s="116"/>
      <c r="AM379" s="116"/>
      <c r="AN379" s="116"/>
      <c r="AO379" s="116"/>
      <c r="AP379" s="116"/>
      <c r="AQ379" s="116"/>
      <c r="AR379" s="116"/>
      <c r="AS379" s="116"/>
      <c r="AT379" s="116"/>
      <c r="AU379" s="116"/>
      <c r="AV379" s="116"/>
      <c r="AW379" s="116"/>
      <c r="AX379" s="116"/>
      <c r="AY379" s="116"/>
      <c r="AZ379" s="116"/>
      <c r="BA379" s="116"/>
      <c r="BB379" s="116"/>
    </row>
    <row r="380" spans="4:54" hidden="1">
      <c r="D380" s="116"/>
      <c r="E380" s="116"/>
      <c r="F380" s="116"/>
      <c r="G380" s="116"/>
      <c r="H380" s="116"/>
      <c r="I380" s="116"/>
      <c r="J380" s="116"/>
      <c r="K380" s="116"/>
      <c r="L380" s="116"/>
      <c r="M380" s="116"/>
      <c r="N380" s="116"/>
      <c r="O380" s="116"/>
      <c r="P380" s="116"/>
      <c r="Q380" s="116"/>
      <c r="R380" s="116"/>
      <c r="S380" s="116"/>
      <c r="T380" s="116"/>
      <c r="U380" s="116"/>
      <c r="V380" s="116"/>
      <c r="W380" s="116"/>
      <c r="X380" s="116"/>
      <c r="Y380" s="116"/>
      <c r="Z380" s="116"/>
      <c r="AA380" s="116"/>
      <c r="AB380" s="116"/>
      <c r="AC380" s="116"/>
      <c r="AD380" s="116"/>
      <c r="AE380" s="116"/>
      <c r="AF380" s="116"/>
      <c r="AG380" s="116"/>
      <c r="AH380" s="116"/>
      <c r="AI380" s="116"/>
      <c r="AJ380" s="116"/>
      <c r="AK380" s="116"/>
      <c r="AL380" s="116"/>
      <c r="AM380" s="116"/>
      <c r="AN380" s="116"/>
      <c r="AO380" s="116"/>
      <c r="AP380" s="116"/>
      <c r="AQ380" s="116"/>
      <c r="AR380" s="116"/>
      <c r="AS380" s="116"/>
      <c r="AT380" s="116"/>
      <c r="AU380" s="116"/>
      <c r="AV380" s="116"/>
      <c r="AW380" s="116"/>
      <c r="AX380" s="116"/>
      <c r="AY380" s="116"/>
      <c r="AZ380" s="116"/>
      <c r="BA380" s="116"/>
      <c r="BB380" s="116"/>
    </row>
    <row r="381" spans="4:54" hidden="1">
      <c r="D381" s="116"/>
      <c r="E381" s="116"/>
      <c r="F381" s="116"/>
      <c r="G381" s="116"/>
      <c r="H381" s="116"/>
      <c r="I381" s="116"/>
      <c r="J381" s="116"/>
      <c r="K381" s="116"/>
      <c r="L381" s="116"/>
      <c r="M381" s="116"/>
      <c r="N381" s="116"/>
      <c r="O381" s="116"/>
      <c r="P381" s="116"/>
      <c r="Q381" s="116"/>
      <c r="R381" s="116"/>
      <c r="S381" s="116"/>
      <c r="T381" s="116"/>
      <c r="U381" s="116"/>
      <c r="V381" s="116"/>
      <c r="W381" s="116"/>
      <c r="X381" s="116"/>
      <c r="Y381" s="116"/>
      <c r="Z381" s="116"/>
      <c r="AA381" s="116"/>
      <c r="AB381" s="116"/>
      <c r="AC381" s="116"/>
      <c r="AD381" s="116"/>
      <c r="AE381" s="116"/>
      <c r="AF381" s="116"/>
      <c r="AG381" s="116"/>
      <c r="AH381" s="116"/>
      <c r="AI381" s="116"/>
      <c r="AJ381" s="116"/>
      <c r="AK381" s="116"/>
      <c r="AL381" s="116"/>
      <c r="AM381" s="116"/>
      <c r="AN381" s="116"/>
      <c r="AO381" s="116"/>
      <c r="AP381" s="116"/>
      <c r="AQ381" s="116"/>
      <c r="AR381" s="116"/>
      <c r="AS381" s="116"/>
      <c r="AT381" s="116"/>
      <c r="AU381" s="116"/>
      <c r="AV381" s="116"/>
      <c r="AW381" s="116"/>
      <c r="AX381" s="116"/>
      <c r="AY381" s="116"/>
      <c r="AZ381" s="116"/>
      <c r="BA381" s="116"/>
      <c r="BB381" s="116"/>
    </row>
    <row r="382" spans="4:54" hidden="1">
      <c r="D382" s="116"/>
      <c r="E382" s="116"/>
      <c r="F382" s="116"/>
      <c r="G382" s="116"/>
      <c r="H382" s="116"/>
      <c r="I382" s="116"/>
      <c r="J382" s="116"/>
      <c r="K382" s="116"/>
      <c r="L382" s="116"/>
      <c r="M382" s="116"/>
      <c r="N382" s="116"/>
      <c r="O382" s="116"/>
      <c r="P382" s="116"/>
      <c r="Q382" s="116"/>
      <c r="R382" s="116"/>
      <c r="S382" s="116"/>
      <c r="T382" s="116"/>
      <c r="U382" s="116"/>
      <c r="V382" s="116"/>
      <c r="W382" s="116"/>
      <c r="X382" s="116"/>
      <c r="Y382" s="116"/>
      <c r="Z382" s="116"/>
      <c r="AA382" s="116"/>
      <c r="AB382" s="116"/>
      <c r="AC382" s="116"/>
      <c r="AD382" s="116"/>
      <c r="AE382" s="116"/>
      <c r="AF382" s="116"/>
      <c r="AG382" s="116"/>
      <c r="AH382" s="116"/>
      <c r="AI382" s="116"/>
      <c r="AJ382" s="116"/>
      <c r="AK382" s="116"/>
      <c r="AL382" s="116"/>
      <c r="AM382" s="116"/>
      <c r="AN382" s="116"/>
      <c r="AO382" s="116"/>
      <c r="AP382" s="116"/>
      <c r="AQ382" s="116"/>
      <c r="AR382" s="116"/>
      <c r="AS382" s="116"/>
      <c r="AT382" s="116"/>
      <c r="AU382" s="116"/>
      <c r="AV382" s="116"/>
      <c r="AW382" s="116"/>
      <c r="AX382" s="116"/>
      <c r="AY382" s="116"/>
      <c r="AZ382" s="116"/>
      <c r="BA382" s="116"/>
      <c r="BB382" s="116"/>
    </row>
    <row r="383" spans="4:54" hidden="1">
      <c r="D383" s="116"/>
      <c r="E383" s="116"/>
      <c r="F383" s="116"/>
      <c r="G383" s="116"/>
      <c r="H383" s="116"/>
      <c r="I383" s="116"/>
      <c r="J383" s="116"/>
      <c r="K383" s="116"/>
      <c r="L383" s="116"/>
      <c r="M383" s="116"/>
      <c r="N383" s="116"/>
      <c r="O383" s="116"/>
      <c r="P383" s="116"/>
      <c r="Q383" s="116"/>
      <c r="R383" s="116"/>
      <c r="S383" s="116"/>
      <c r="T383" s="116"/>
      <c r="U383" s="116"/>
      <c r="V383" s="116"/>
      <c r="W383" s="116"/>
      <c r="X383" s="116"/>
      <c r="Y383" s="116"/>
      <c r="Z383" s="116"/>
      <c r="AA383" s="116"/>
      <c r="AB383" s="116"/>
      <c r="AC383" s="116"/>
      <c r="AD383" s="116"/>
      <c r="AE383" s="116"/>
      <c r="AF383" s="116"/>
      <c r="AG383" s="116"/>
      <c r="AH383" s="116"/>
      <c r="AI383" s="116"/>
      <c r="AJ383" s="116"/>
      <c r="AK383" s="116"/>
      <c r="AL383" s="116"/>
      <c r="AM383" s="116"/>
      <c r="AN383" s="116"/>
      <c r="AO383" s="116"/>
      <c r="AP383" s="116"/>
      <c r="AQ383" s="116"/>
      <c r="AR383" s="116"/>
      <c r="AS383" s="116"/>
      <c r="AT383" s="116"/>
      <c r="AU383" s="116"/>
      <c r="AV383" s="116"/>
      <c r="AW383" s="116"/>
      <c r="AX383" s="116"/>
      <c r="AY383" s="116"/>
      <c r="AZ383" s="116"/>
      <c r="BA383" s="116"/>
      <c r="BB383" s="116"/>
    </row>
    <row r="384" spans="4:54" hidden="1">
      <c r="D384" s="116"/>
      <c r="E384" s="116"/>
      <c r="F384" s="116"/>
      <c r="G384" s="116"/>
      <c r="H384" s="116"/>
      <c r="I384" s="116"/>
      <c r="J384" s="116"/>
      <c r="K384" s="116"/>
      <c r="L384" s="116"/>
      <c r="M384" s="116"/>
      <c r="N384" s="116"/>
      <c r="O384" s="116"/>
      <c r="P384" s="116"/>
      <c r="Q384" s="116"/>
      <c r="R384" s="116"/>
      <c r="S384" s="116"/>
      <c r="T384" s="116"/>
      <c r="U384" s="116"/>
      <c r="V384" s="116"/>
      <c r="W384" s="116"/>
      <c r="X384" s="116"/>
      <c r="Y384" s="116"/>
      <c r="Z384" s="116"/>
      <c r="AA384" s="116"/>
      <c r="AB384" s="116"/>
      <c r="AC384" s="116"/>
      <c r="AD384" s="116"/>
      <c r="AE384" s="116"/>
      <c r="AF384" s="116"/>
      <c r="AG384" s="116"/>
      <c r="AH384" s="116"/>
      <c r="AI384" s="116"/>
      <c r="AJ384" s="116"/>
      <c r="AK384" s="116"/>
      <c r="AL384" s="116"/>
      <c r="AM384" s="116"/>
      <c r="AN384" s="116"/>
      <c r="AO384" s="116"/>
      <c r="AP384" s="116"/>
      <c r="AQ384" s="116"/>
      <c r="AR384" s="116"/>
      <c r="AS384" s="116"/>
      <c r="AT384" s="116"/>
      <c r="AU384" s="116"/>
      <c r="AV384" s="116"/>
      <c r="AW384" s="116"/>
      <c r="AX384" s="116"/>
      <c r="AY384" s="116"/>
      <c r="AZ384" s="116"/>
      <c r="BA384" s="116"/>
      <c r="BB384" s="116"/>
    </row>
    <row r="385" spans="4:54" hidden="1">
      <c r="D385" s="116"/>
      <c r="E385" s="116"/>
      <c r="F385" s="116"/>
      <c r="G385" s="116"/>
      <c r="H385" s="116"/>
      <c r="I385" s="116"/>
      <c r="J385" s="116"/>
      <c r="K385" s="116"/>
      <c r="L385" s="116"/>
      <c r="M385" s="116"/>
      <c r="N385" s="116"/>
      <c r="O385" s="116"/>
      <c r="P385" s="116"/>
      <c r="Q385" s="116"/>
      <c r="R385" s="116"/>
      <c r="S385" s="116"/>
      <c r="T385" s="116"/>
      <c r="U385" s="116"/>
      <c r="V385" s="116"/>
      <c r="W385" s="116"/>
      <c r="X385" s="116"/>
      <c r="Y385" s="116"/>
      <c r="Z385" s="116"/>
      <c r="AA385" s="116"/>
      <c r="AB385" s="116"/>
      <c r="AC385" s="116"/>
      <c r="AD385" s="116"/>
      <c r="AE385" s="116"/>
      <c r="AF385" s="116"/>
      <c r="AG385" s="116"/>
      <c r="AH385" s="116"/>
      <c r="AI385" s="116"/>
      <c r="AJ385" s="116"/>
      <c r="AK385" s="116"/>
      <c r="AL385" s="116"/>
      <c r="AM385" s="116"/>
      <c r="AN385" s="116"/>
      <c r="AO385" s="116"/>
      <c r="AP385" s="116"/>
      <c r="AQ385" s="116"/>
      <c r="AR385" s="116"/>
      <c r="AS385" s="116"/>
      <c r="AT385" s="116"/>
      <c r="AU385" s="116"/>
      <c r="AV385" s="116"/>
      <c r="AW385" s="116"/>
      <c r="AX385" s="116"/>
      <c r="AY385" s="116"/>
      <c r="AZ385" s="116"/>
      <c r="BA385" s="116"/>
      <c r="BB385" s="116"/>
    </row>
    <row r="386" spans="4:54" hidden="1">
      <c r="D386" s="116"/>
      <c r="E386" s="116"/>
      <c r="F386" s="116"/>
      <c r="G386" s="116"/>
      <c r="H386" s="116"/>
      <c r="I386" s="116"/>
      <c r="J386" s="116"/>
      <c r="K386" s="116"/>
      <c r="L386" s="116"/>
      <c r="M386" s="116"/>
      <c r="N386" s="116"/>
      <c r="O386" s="116"/>
      <c r="P386" s="116"/>
      <c r="Q386" s="116"/>
      <c r="R386" s="116"/>
      <c r="S386" s="116"/>
      <c r="T386" s="116"/>
      <c r="U386" s="116"/>
      <c r="V386" s="116"/>
      <c r="W386" s="116"/>
      <c r="X386" s="116"/>
      <c r="Y386" s="116"/>
      <c r="Z386" s="116"/>
      <c r="AA386" s="116"/>
      <c r="AB386" s="116"/>
      <c r="AC386" s="116"/>
      <c r="AD386" s="116"/>
      <c r="AE386" s="116"/>
      <c r="AF386" s="116"/>
      <c r="AG386" s="116"/>
      <c r="AH386" s="116"/>
      <c r="AI386" s="116"/>
      <c r="AJ386" s="116"/>
      <c r="AK386" s="116"/>
      <c r="AL386" s="116"/>
      <c r="AM386" s="116"/>
      <c r="AN386" s="116"/>
      <c r="AO386" s="116"/>
      <c r="AP386" s="116"/>
      <c r="AQ386" s="116"/>
      <c r="AR386" s="116"/>
      <c r="AS386" s="116"/>
      <c r="AT386" s="116"/>
      <c r="AU386" s="116"/>
      <c r="AV386" s="116"/>
      <c r="AW386" s="116"/>
      <c r="AX386" s="116"/>
      <c r="AY386" s="116"/>
      <c r="AZ386" s="116"/>
      <c r="BA386" s="116"/>
      <c r="BB386" s="116"/>
    </row>
    <row r="387" spans="4:54" hidden="1">
      <c r="D387" s="116"/>
      <c r="E387" s="116"/>
      <c r="F387" s="116"/>
      <c r="G387" s="116"/>
      <c r="H387" s="116"/>
      <c r="I387" s="116"/>
      <c r="J387" s="116"/>
      <c r="K387" s="116"/>
      <c r="L387" s="116"/>
      <c r="M387" s="116"/>
      <c r="N387" s="116"/>
      <c r="O387" s="116"/>
      <c r="P387" s="116"/>
      <c r="Q387" s="116"/>
      <c r="R387" s="116"/>
      <c r="S387" s="116"/>
      <c r="T387" s="116"/>
      <c r="U387" s="116"/>
      <c r="V387" s="116"/>
      <c r="W387" s="116"/>
      <c r="X387" s="116"/>
      <c r="Y387" s="116"/>
      <c r="Z387" s="116"/>
      <c r="AA387" s="116"/>
      <c r="AB387" s="116"/>
      <c r="AC387" s="116"/>
      <c r="AD387" s="116"/>
      <c r="AE387" s="116"/>
      <c r="AF387" s="116"/>
      <c r="AG387" s="116"/>
      <c r="AH387" s="116"/>
      <c r="AI387" s="116"/>
      <c r="AJ387" s="116"/>
      <c r="AK387" s="116"/>
      <c r="AL387" s="116"/>
      <c r="AM387" s="116"/>
      <c r="AN387" s="116"/>
      <c r="AO387" s="116"/>
      <c r="AP387" s="116"/>
      <c r="AQ387" s="116"/>
      <c r="AR387" s="116"/>
      <c r="AS387" s="116"/>
      <c r="AT387" s="116"/>
      <c r="AU387" s="116"/>
      <c r="AV387" s="116"/>
      <c r="AW387" s="116"/>
      <c r="AX387" s="116"/>
      <c r="AY387" s="116"/>
      <c r="AZ387" s="116"/>
      <c r="BA387" s="116"/>
      <c r="BB387" s="116"/>
    </row>
    <row r="388" spans="4:54" hidden="1">
      <c r="D388" s="116"/>
      <c r="E388" s="116"/>
      <c r="F388" s="116"/>
      <c r="G388" s="116"/>
      <c r="H388" s="116"/>
      <c r="I388" s="116"/>
      <c r="J388" s="116"/>
      <c r="K388" s="116"/>
      <c r="L388" s="116"/>
      <c r="M388" s="116"/>
      <c r="N388" s="116"/>
      <c r="O388" s="116"/>
      <c r="P388" s="116"/>
      <c r="Q388" s="116"/>
      <c r="R388" s="116"/>
      <c r="S388" s="116"/>
      <c r="T388" s="116"/>
      <c r="U388" s="116"/>
      <c r="V388" s="116"/>
      <c r="W388" s="116"/>
      <c r="X388" s="116"/>
      <c r="Y388" s="116"/>
      <c r="Z388" s="116"/>
      <c r="AA388" s="116"/>
      <c r="AB388" s="116"/>
      <c r="AC388" s="116"/>
      <c r="AD388" s="116"/>
      <c r="AE388" s="116"/>
      <c r="AF388" s="116"/>
      <c r="AG388" s="116"/>
      <c r="AH388" s="116"/>
      <c r="AI388" s="116"/>
      <c r="AJ388" s="116"/>
      <c r="AK388" s="116"/>
      <c r="AL388" s="116"/>
      <c r="AM388" s="116"/>
      <c r="AN388" s="116"/>
      <c r="AO388" s="116"/>
      <c r="AP388" s="116"/>
      <c r="AQ388" s="116"/>
      <c r="AR388" s="116"/>
      <c r="AS388" s="116"/>
      <c r="AT388" s="116"/>
      <c r="AU388" s="116"/>
      <c r="AV388" s="116"/>
      <c r="AW388" s="116"/>
      <c r="AX388" s="116"/>
      <c r="AY388" s="116"/>
      <c r="AZ388" s="116"/>
      <c r="BA388" s="116"/>
      <c r="BB388" s="116"/>
    </row>
    <row r="389" spans="4:54" hidden="1">
      <c r="D389" s="116"/>
      <c r="E389" s="116"/>
      <c r="F389" s="116"/>
      <c r="G389" s="116"/>
      <c r="H389" s="116"/>
      <c r="I389" s="116"/>
      <c r="J389" s="116"/>
      <c r="K389" s="116"/>
      <c r="L389" s="116"/>
      <c r="M389" s="116"/>
      <c r="N389" s="116"/>
      <c r="O389" s="116"/>
      <c r="P389" s="116"/>
      <c r="Q389" s="116"/>
      <c r="R389" s="116"/>
      <c r="S389" s="116"/>
      <c r="T389" s="116"/>
      <c r="U389" s="116"/>
      <c r="V389" s="116"/>
      <c r="W389" s="116"/>
      <c r="X389" s="116"/>
      <c r="Y389" s="116"/>
      <c r="Z389" s="116"/>
      <c r="AA389" s="116"/>
      <c r="AB389" s="116"/>
      <c r="AC389" s="116"/>
      <c r="AD389" s="116"/>
      <c r="AE389" s="116"/>
      <c r="AF389" s="116"/>
      <c r="AG389" s="116"/>
      <c r="AH389" s="116"/>
      <c r="AI389" s="116"/>
      <c r="AJ389" s="116"/>
      <c r="AK389" s="116"/>
      <c r="AL389" s="116"/>
      <c r="AM389" s="116"/>
      <c r="AN389" s="116"/>
      <c r="AO389" s="116"/>
      <c r="AP389" s="116"/>
      <c r="AQ389" s="116"/>
      <c r="AR389" s="116"/>
      <c r="AS389" s="116"/>
      <c r="AT389" s="116"/>
      <c r="AU389" s="116"/>
      <c r="AV389" s="116"/>
      <c r="AW389" s="116"/>
      <c r="AX389" s="116"/>
      <c r="AY389" s="116"/>
      <c r="AZ389" s="116"/>
      <c r="BA389" s="116"/>
      <c r="BB389" s="116"/>
    </row>
    <row r="390" spans="4:54" hidden="1">
      <c r="D390" s="116"/>
      <c r="E390" s="116"/>
      <c r="F390" s="116"/>
      <c r="G390" s="116"/>
      <c r="H390" s="116"/>
      <c r="I390" s="116"/>
      <c r="J390" s="116"/>
      <c r="K390" s="116"/>
      <c r="L390" s="116"/>
      <c r="M390" s="116"/>
      <c r="N390" s="116"/>
      <c r="O390" s="116"/>
      <c r="P390" s="116"/>
      <c r="Q390" s="116"/>
      <c r="R390" s="116"/>
      <c r="S390" s="116"/>
      <c r="T390" s="116"/>
      <c r="U390" s="116"/>
      <c r="V390" s="116"/>
      <c r="W390" s="116"/>
      <c r="X390" s="116"/>
      <c r="Y390" s="116"/>
      <c r="Z390" s="116"/>
      <c r="AA390" s="116"/>
      <c r="AB390" s="116"/>
      <c r="AC390" s="116"/>
      <c r="AD390" s="116"/>
      <c r="AE390" s="116"/>
      <c r="AF390" s="116"/>
      <c r="AG390" s="116"/>
      <c r="AH390" s="116"/>
      <c r="AI390" s="116"/>
      <c r="AJ390" s="116"/>
      <c r="AK390" s="116"/>
      <c r="AL390" s="116"/>
      <c r="AM390" s="116"/>
      <c r="AN390" s="116"/>
      <c r="AO390" s="116"/>
      <c r="AP390" s="116"/>
      <c r="AQ390" s="116"/>
      <c r="AR390" s="116"/>
      <c r="AS390" s="116"/>
      <c r="AT390" s="116"/>
      <c r="AU390" s="116"/>
      <c r="AV390" s="116"/>
      <c r="AW390" s="116"/>
      <c r="AX390" s="116"/>
      <c r="AY390" s="116"/>
      <c r="AZ390" s="116"/>
      <c r="BA390" s="116"/>
      <c r="BB390" s="116"/>
    </row>
    <row r="391" spans="4:54" hidden="1">
      <c r="D391" s="116"/>
      <c r="E391" s="116"/>
      <c r="F391" s="116"/>
      <c r="G391" s="116"/>
      <c r="H391" s="116"/>
      <c r="I391" s="116"/>
      <c r="J391" s="116"/>
      <c r="K391" s="116"/>
      <c r="L391" s="116"/>
      <c r="M391" s="116"/>
      <c r="N391" s="116"/>
      <c r="O391" s="116"/>
      <c r="P391" s="116"/>
      <c r="Q391" s="116"/>
      <c r="R391" s="116"/>
      <c r="S391" s="116"/>
      <c r="T391" s="116"/>
      <c r="U391" s="116"/>
      <c r="V391" s="116"/>
      <c r="W391" s="116"/>
      <c r="X391" s="116"/>
      <c r="Y391" s="116"/>
      <c r="Z391" s="116"/>
      <c r="AA391" s="116"/>
      <c r="AB391" s="116"/>
      <c r="AC391" s="116"/>
      <c r="AD391" s="116"/>
      <c r="AE391" s="116"/>
      <c r="AF391" s="116"/>
      <c r="AG391" s="116"/>
      <c r="AH391" s="116"/>
      <c r="AI391" s="116"/>
      <c r="AJ391" s="116"/>
      <c r="AK391" s="116"/>
      <c r="AL391" s="116"/>
      <c r="AM391" s="116"/>
      <c r="AN391" s="116"/>
      <c r="AO391" s="116"/>
      <c r="AP391" s="116"/>
      <c r="AQ391" s="116"/>
      <c r="AR391" s="116"/>
      <c r="AS391" s="116"/>
      <c r="AT391" s="116"/>
      <c r="AU391" s="116"/>
      <c r="AV391" s="116"/>
      <c r="AW391" s="116"/>
      <c r="AX391" s="116"/>
      <c r="AY391" s="116"/>
      <c r="AZ391" s="116"/>
      <c r="BA391" s="116"/>
      <c r="BB391" s="116"/>
    </row>
    <row r="392" spans="4:54" hidden="1">
      <c r="D392" s="116"/>
      <c r="E392" s="116"/>
      <c r="F392" s="116"/>
      <c r="G392" s="116"/>
      <c r="H392" s="116"/>
      <c r="I392" s="116"/>
      <c r="J392" s="116"/>
      <c r="K392" s="116"/>
      <c r="L392" s="116"/>
      <c r="M392" s="116"/>
      <c r="N392" s="116"/>
      <c r="O392" s="116"/>
      <c r="P392" s="116"/>
      <c r="Q392" s="116"/>
      <c r="R392" s="116"/>
      <c r="S392" s="116"/>
      <c r="T392" s="116"/>
      <c r="U392" s="116"/>
      <c r="V392" s="116"/>
      <c r="W392" s="116"/>
      <c r="X392" s="116"/>
      <c r="Y392" s="116"/>
      <c r="Z392" s="116"/>
      <c r="AA392" s="116"/>
      <c r="AB392" s="116"/>
      <c r="AC392" s="116"/>
      <c r="AD392" s="116"/>
      <c r="AE392" s="116"/>
      <c r="AF392" s="116"/>
      <c r="AG392" s="116"/>
      <c r="AH392" s="116"/>
      <c r="AI392" s="116"/>
      <c r="AJ392" s="116"/>
      <c r="AK392" s="116"/>
      <c r="AL392" s="116"/>
      <c r="AM392" s="116"/>
      <c r="AN392" s="116"/>
      <c r="AO392" s="116"/>
      <c r="AP392" s="116"/>
      <c r="AQ392" s="116"/>
      <c r="AR392" s="116"/>
      <c r="AS392" s="116"/>
      <c r="AT392" s="116"/>
      <c r="AU392" s="116"/>
      <c r="AV392" s="116"/>
      <c r="AW392" s="116"/>
      <c r="AX392" s="116"/>
      <c r="AY392" s="116"/>
      <c r="AZ392" s="116"/>
      <c r="BA392" s="116"/>
      <c r="BB392" s="116"/>
    </row>
    <row r="393" spans="4:54" hidden="1">
      <c r="D393" s="116"/>
      <c r="E393" s="116"/>
      <c r="F393" s="116"/>
      <c r="G393" s="116"/>
      <c r="H393" s="116"/>
      <c r="I393" s="116"/>
      <c r="J393" s="116"/>
      <c r="K393" s="116"/>
      <c r="L393" s="116"/>
      <c r="M393" s="116"/>
      <c r="N393" s="116"/>
      <c r="O393" s="116"/>
      <c r="P393" s="116"/>
      <c r="Q393" s="116"/>
      <c r="R393" s="116"/>
      <c r="S393" s="116"/>
      <c r="T393" s="116"/>
      <c r="U393" s="116"/>
      <c r="V393" s="116"/>
      <c r="W393" s="116"/>
      <c r="X393" s="116"/>
      <c r="Y393" s="116"/>
      <c r="Z393" s="116"/>
      <c r="AA393" s="116"/>
      <c r="AB393" s="116"/>
      <c r="AC393" s="116"/>
      <c r="AD393" s="116"/>
      <c r="AE393" s="116"/>
      <c r="AF393" s="116"/>
      <c r="AG393" s="116"/>
      <c r="AH393" s="116"/>
      <c r="AI393" s="116"/>
      <c r="AJ393" s="116"/>
      <c r="AK393" s="116"/>
      <c r="AL393" s="116"/>
      <c r="AM393" s="116"/>
      <c r="AN393" s="116"/>
      <c r="AO393" s="116"/>
      <c r="AP393" s="116"/>
      <c r="AQ393" s="116"/>
      <c r="AR393" s="116"/>
      <c r="AS393" s="116"/>
      <c r="AT393" s="116"/>
      <c r="AU393" s="116"/>
      <c r="AV393" s="116"/>
      <c r="AW393" s="116"/>
      <c r="AX393" s="116"/>
      <c r="AY393" s="116"/>
      <c r="AZ393" s="116"/>
      <c r="BA393" s="116"/>
      <c r="BB393" s="116"/>
    </row>
    <row r="394" spans="4:54" hidden="1">
      <c r="D394" s="116"/>
      <c r="E394" s="116"/>
      <c r="F394" s="116"/>
      <c r="G394" s="116"/>
      <c r="H394" s="116"/>
      <c r="I394" s="116"/>
      <c r="J394" s="116"/>
      <c r="K394" s="116"/>
      <c r="L394" s="116"/>
      <c r="M394" s="116"/>
      <c r="N394" s="116"/>
      <c r="O394" s="116"/>
      <c r="P394" s="116"/>
      <c r="Q394" s="116"/>
      <c r="R394" s="116"/>
      <c r="S394" s="116"/>
      <c r="T394" s="116"/>
      <c r="U394" s="116"/>
      <c r="V394" s="116"/>
      <c r="W394" s="116"/>
      <c r="X394" s="116"/>
      <c r="Y394" s="116"/>
      <c r="Z394" s="116"/>
      <c r="AA394" s="116"/>
      <c r="AB394" s="116"/>
      <c r="AC394" s="116"/>
      <c r="AD394" s="116"/>
      <c r="AE394" s="116"/>
      <c r="AF394" s="116"/>
      <c r="AG394" s="116"/>
      <c r="AH394" s="116"/>
      <c r="AI394" s="116"/>
      <c r="AJ394" s="116"/>
      <c r="AK394" s="116"/>
      <c r="AL394" s="116"/>
      <c r="AM394" s="116"/>
      <c r="AN394" s="116"/>
      <c r="AO394" s="116"/>
      <c r="AP394" s="116"/>
      <c r="AQ394" s="116"/>
      <c r="AR394" s="116"/>
      <c r="AS394" s="116"/>
      <c r="AT394" s="116"/>
      <c r="AU394" s="116"/>
      <c r="AV394" s="116"/>
      <c r="AW394" s="116"/>
      <c r="AX394" s="116"/>
      <c r="AY394" s="116"/>
      <c r="AZ394" s="116"/>
      <c r="BA394" s="116"/>
      <c r="BB394" s="116"/>
    </row>
    <row r="395" spans="4:54" hidden="1">
      <c r="D395" s="116"/>
      <c r="E395" s="116"/>
      <c r="F395" s="116"/>
      <c r="G395" s="116"/>
      <c r="H395" s="116"/>
      <c r="I395" s="116"/>
      <c r="J395" s="116"/>
      <c r="K395" s="116"/>
      <c r="L395" s="116"/>
      <c r="M395" s="116"/>
      <c r="N395" s="116"/>
      <c r="O395" s="116"/>
      <c r="P395" s="116"/>
      <c r="Q395" s="116"/>
      <c r="R395" s="116"/>
      <c r="S395" s="116"/>
      <c r="T395" s="116"/>
      <c r="U395" s="116"/>
      <c r="V395" s="116"/>
      <c r="W395" s="116"/>
      <c r="X395" s="116"/>
      <c r="Y395" s="116"/>
      <c r="Z395" s="116"/>
      <c r="AA395" s="116"/>
      <c r="AB395" s="116"/>
      <c r="AC395" s="116"/>
      <c r="AD395" s="116"/>
      <c r="AE395" s="116"/>
      <c r="AF395" s="116"/>
      <c r="AG395" s="116"/>
      <c r="AH395" s="116"/>
      <c r="AI395" s="116"/>
      <c r="AJ395" s="116"/>
      <c r="AK395" s="116"/>
      <c r="AL395" s="116"/>
      <c r="AM395" s="116"/>
      <c r="AN395" s="116"/>
      <c r="AO395" s="116"/>
      <c r="AP395" s="116"/>
      <c r="AQ395" s="116"/>
      <c r="AR395" s="116"/>
      <c r="AS395" s="116"/>
      <c r="AT395" s="116"/>
      <c r="AU395" s="116"/>
      <c r="AV395" s="116"/>
      <c r="AW395" s="116"/>
      <c r="AX395" s="116"/>
      <c r="AY395" s="116"/>
      <c r="AZ395" s="116"/>
      <c r="BA395" s="116"/>
      <c r="BB395" s="116"/>
    </row>
    <row r="396" spans="4:54" hidden="1">
      <c r="D396" s="116"/>
      <c r="E396" s="116"/>
      <c r="F396" s="116"/>
      <c r="G396" s="116"/>
      <c r="H396" s="116"/>
      <c r="I396" s="116"/>
      <c r="J396" s="116"/>
      <c r="K396" s="116"/>
      <c r="L396" s="116"/>
      <c r="M396" s="116"/>
      <c r="N396" s="116"/>
      <c r="O396" s="116"/>
      <c r="P396" s="116"/>
      <c r="Q396" s="116"/>
      <c r="R396" s="116"/>
      <c r="S396" s="116"/>
      <c r="T396" s="116"/>
      <c r="U396" s="116"/>
      <c r="V396" s="116"/>
      <c r="W396" s="116"/>
      <c r="X396" s="116"/>
      <c r="Y396" s="116"/>
      <c r="Z396" s="116"/>
      <c r="AA396" s="116"/>
      <c r="AB396" s="116"/>
      <c r="AC396" s="116"/>
      <c r="AD396" s="116"/>
      <c r="AE396" s="116"/>
      <c r="AF396" s="116"/>
      <c r="AG396" s="116"/>
      <c r="AH396" s="116"/>
      <c r="AI396" s="116"/>
      <c r="AJ396" s="116"/>
      <c r="AK396" s="116"/>
      <c r="AL396" s="116"/>
      <c r="AM396" s="116"/>
      <c r="AN396" s="116"/>
      <c r="AO396" s="116"/>
      <c r="AP396" s="116"/>
      <c r="AQ396" s="116"/>
      <c r="AR396" s="116"/>
      <c r="AS396" s="116"/>
      <c r="AT396" s="116"/>
      <c r="AU396" s="116"/>
      <c r="AV396" s="116"/>
      <c r="AW396" s="116"/>
      <c r="AX396" s="116"/>
      <c r="AY396" s="116"/>
      <c r="AZ396" s="116"/>
      <c r="BA396" s="116"/>
      <c r="BB396" s="116"/>
    </row>
    <row r="397" spans="4:54" hidden="1">
      <c r="D397" s="116"/>
      <c r="E397" s="116"/>
      <c r="F397" s="116"/>
      <c r="G397" s="116"/>
      <c r="H397" s="116"/>
      <c r="I397" s="116"/>
      <c r="J397" s="116"/>
      <c r="K397" s="116"/>
      <c r="L397" s="116"/>
      <c r="M397" s="116"/>
      <c r="N397" s="116"/>
      <c r="O397" s="116"/>
      <c r="P397" s="116"/>
      <c r="Q397" s="116"/>
      <c r="R397" s="116"/>
      <c r="S397" s="116"/>
      <c r="T397" s="116"/>
      <c r="U397" s="116"/>
      <c r="V397" s="116"/>
      <c r="W397" s="116"/>
      <c r="X397" s="116"/>
      <c r="Y397" s="116"/>
      <c r="Z397" s="116"/>
      <c r="AA397" s="116"/>
      <c r="AB397" s="116"/>
      <c r="AC397" s="116"/>
      <c r="AD397" s="116"/>
      <c r="AE397" s="116"/>
      <c r="AF397" s="116"/>
      <c r="AG397" s="116"/>
      <c r="AH397" s="116"/>
      <c r="AI397" s="116"/>
      <c r="AJ397" s="116"/>
      <c r="AK397" s="116"/>
      <c r="AL397" s="116"/>
      <c r="AM397" s="116"/>
      <c r="AN397" s="116"/>
      <c r="AO397" s="116"/>
      <c r="AP397" s="116"/>
      <c r="AQ397" s="116"/>
      <c r="AR397" s="116"/>
      <c r="AS397" s="116"/>
      <c r="AT397" s="116"/>
      <c r="AU397" s="116"/>
      <c r="AV397" s="116"/>
      <c r="AW397" s="116"/>
      <c r="AX397" s="116"/>
      <c r="AY397" s="116"/>
      <c r="AZ397" s="116"/>
      <c r="BA397" s="116"/>
      <c r="BB397" s="116"/>
    </row>
    <row r="398" spans="4:54" hidden="1">
      <c r="D398" s="116"/>
      <c r="E398" s="116"/>
      <c r="F398" s="116"/>
      <c r="G398" s="116"/>
      <c r="H398" s="116"/>
      <c r="I398" s="116"/>
      <c r="J398" s="116"/>
      <c r="K398" s="116"/>
      <c r="L398" s="116"/>
      <c r="M398" s="116"/>
      <c r="N398" s="116"/>
      <c r="O398" s="116"/>
      <c r="P398" s="116"/>
      <c r="Q398" s="116"/>
      <c r="R398" s="116"/>
      <c r="S398" s="116"/>
      <c r="T398" s="116"/>
      <c r="U398" s="116"/>
      <c r="V398" s="116"/>
      <c r="W398" s="116"/>
      <c r="X398" s="116"/>
      <c r="Y398" s="116"/>
      <c r="Z398" s="116"/>
      <c r="AA398" s="116"/>
      <c r="AB398" s="116"/>
      <c r="AC398" s="116"/>
      <c r="AD398" s="116"/>
      <c r="AE398" s="116"/>
      <c r="AF398" s="116"/>
      <c r="AG398" s="116"/>
      <c r="AH398" s="116"/>
      <c r="AI398" s="116"/>
      <c r="AJ398" s="116"/>
      <c r="AK398" s="116"/>
      <c r="AL398" s="116"/>
      <c r="AM398" s="116"/>
      <c r="AN398" s="116"/>
      <c r="AO398" s="116"/>
      <c r="AP398" s="116"/>
      <c r="AQ398" s="116"/>
      <c r="AR398" s="116"/>
      <c r="AS398" s="116"/>
      <c r="AT398" s="116"/>
      <c r="AU398" s="116"/>
      <c r="AV398" s="116"/>
      <c r="AW398" s="116"/>
      <c r="AX398" s="116"/>
      <c r="AY398" s="116"/>
      <c r="AZ398" s="116"/>
      <c r="BA398" s="116"/>
      <c r="BB398" s="116"/>
    </row>
    <row r="399" spans="4:54" hidden="1">
      <c r="D399" s="116"/>
      <c r="E399" s="116"/>
      <c r="F399" s="116"/>
      <c r="G399" s="116"/>
      <c r="H399" s="116"/>
      <c r="I399" s="116"/>
      <c r="J399" s="116"/>
      <c r="K399" s="116"/>
      <c r="L399" s="116"/>
      <c r="M399" s="116"/>
      <c r="N399" s="116"/>
      <c r="O399" s="116"/>
      <c r="P399" s="116"/>
      <c r="Q399" s="116"/>
      <c r="R399" s="116"/>
      <c r="S399" s="116"/>
      <c r="T399" s="116"/>
      <c r="U399" s="116"/>
      <c r="V399" s="116"/>
      <c r="W399" s="116"/>
      <c r="X399" s="116"/>
      <c r="Y399" s="116"/>
      <c r="Z399" s="116"/>
      <c r="AA399" s="116"/>
      <c r="AB399" s="116"/>
      <c r="AC399" s="116"/>
      <c r="AD399" s="116"/>
      <c r="AE399" s="116"/>
      <c r="AF399" s="116"/>
      <c r="AG399" s="116"/>
      <c r="AH399" s="116"/>
      <c r="AI399" s="116"/>
      <c r="AJ399" s="116"/>
      <c r="AK399" s="116"/>
      <c r="AL399" s="116"/>
      <c r="AM399" s="116"/>
      <c r="AN399" s="116"/>
      <c r="AO399" s="116"/>
      <c r="AP399" s="116"/>
      <c r="AQ399" s="116"/>
      <c r="AR399" s="116"/>
      <c r="AS399" s="116"/>
      <c r="AT399" s="116"/>
      <c r="AU399" s="116"/>
      <c r="AV399" s="116"/>
      <c r="AW399" s="116"/>
      <c r="AX399" s="116"/>
      <c r="AY399" s="116"/>
      <c r="AZ399" s="116"/>
      <c r="BA399" s="116"/>
      <c r="BB399" s="116"/>
    </row>
    <row r="400" spans="4:54" hidden="1">
      <c r="D400" s="116"/>
      <c r="E400" s="116"/>
      <c r="F400" s="116"/>
      <c r="G400" s="116"/>
      <c r="H400" s="116"/>
      <c r="I400" s="116"/>
      <c r="J400" s="116"/>
      <c r="K400" s="116"/>
      <c r="L400" s="116"/>
      <c r="M400" s="116"/>
      <c r="N400" s="116"/>
      <c r="O400" s="116"/>
      <c r="P400" s="116"/>
      <c r="Q400" s="116"/>
      <c r="R400" s="116"/>
      <c r="S400" s="116"/>
      <c r="T400" s="116"/>
      <c r="U400" s="116"/>
      <c r="V400" s="116"/>
      <c r="W400" s="116"/>
      <c r="X400" s="116"/>
      <c r="Y400" s="116"/>
      <c r="Z400" s="116"/>
      <c r="AA400" s="116"/>
      <c r="AB400" s="116"/>
      <c r="AC400" s="116"/>
      <c r="AD400" s="116"/>
      <c r="AE400" s="116"/>
      <c r="AF400" s="116"/>
      <c r="AG400" s="116"/>
      <c r="AH400" s="116"/>
      <c r="AI400" s="116"/>
      <c r="AJ400" s="116"/>
      <c r="AK400" s="116"/>
      <c r="AL400" s="116"/>
      <c r="AM400" s="116"/>
      <c r="AN400" s="116"/>
      <c r="AO400" s="116"/>
      <c r="AP400" s="116"/>
      <c r="AQ400" s="116"/>
      <c r="AR400" s="116"/>
      <c r="AS400" s="116"/>
      <c r="AT400" s="116"/>
      <c r="AU400" s="116"/>
      <c r="AV400" s="116"/>
      <c r="AW400" s="116"/>
      <c r="AX400" s="116"/>
      <c r="AY400" s="116"/>
      <c r="AZ400" s="116"/>
      <c r="BA400" s="116"/>
      <c r="BB400" s="116"/>
    </row>
    <row r="401" spans="4:54" hidden="1">
      <c r="D401" s="116"/>
      <c r="E401" s="116"/>
      <c r="F401" s="116"/>
      <c r="G401" s="116"/>
      <c r="H401" s="116"/>
      <c r="I401" s="116"/>
      <c r="J401" s="116"/>
      <c r="K401" s="116"/>
      <c r="L401" s="116"/>
      <c r="M401" s="116"/>
      <c r="N401" s="116"/>
      <c r="O401" s="116"/>
      <c r="P401" s="116"/>
      <c r="Q401" s="116"/>
      <c r="R401" s="116"/>
      <c r="S401" s="116"/>
      <c r="T401" s="116"/>
      <c r="U401" s="116"/>
      <c r="V401" s="116"/>
      <c r="W401" s="116"/>
      <c r="X401" s="116"/>
      <c r="Y401" s="116"/>
      <c r="Z401" s="116"/>
      <c r="AA401" s="116"/>
      <c r="AB401" s="116"/>
      <c r="AC401" s="116"/>
      <c r="AD401" s="116"/>
      <c r="AE401" s="116"/>
      <c r="AF401" s="116"/>
      <c r="AG401" s="116"/>
      <c r="AH401" s="116"/>
      <c r="AI401" s="116"/>
      <c r="AJ401" s="116"/>
      <c r="AK401" s="116"/>
      <c r="AL401" s="116"/>
      <c r="AM401" s="116"/>
      <c r="AN401" s="116"/>
      <c r="AO401" s="116"/>
      <c r="AP401" s="116"/>
      <c r="AQ401" s="116"/>
      <c r="AR401" s="116"/>
      <c r="AS401" s="116"/>
      <c r="AT401" s="116"/>
      <c r="AU401" s="116"/>
      <c r="AV401" s="116"/>
      <c r="AW401" s="116"/>
      <c r="AX401" s="116"/>
      <c r="AY401" s="116"/>
      <c r="AZ401" s="116"/>
      <c r="BA401" s="116"/>
      <c r="BB401" s="116"/>
    </row>
    <row r="402" spans="4:54" hidden="1">
      <c r="D402" s="116"/>
      <c r="E402" s="116"/>
      <c r="F402" s="116"/>
      <c r="G402" s="116"/>
      <c r="H402" s="116"/>
      <c r="I402" s="116"/>
      <c r="J402" s="116"/>
      <c r="K402" s="116"/>
      <c r="L402" s="116"/>
      <c r="M402" s="116"/>
      <c r="N402" s="116"/>
      <c r="O402" s="116"/>
      <c r="P402" s="116"/>
      <c r="Q402" s="116"/>
      <c r="R402" s="116"/>
      <c r="S402" s="116"/>
      <c r="T402" s="116"/>
      <c r="U402" s="116"/>
      <c r="V402" s="116"/>
      <c r="W402" s="116"/>
      <c r="X402" s="116"/>
      <c r="Y402" s="116"/>
      <c r="Z402" s="116"/>
      <c r="AA402" s="116"/>
      <c r="AB402" s="116"/>
      <c r="AC402" s="116"/>
      <c r="AD402" s="116"/>
      <c r="AE402" s="116"/>
      <c r="AF402" s="116"/>
      <c r="AG402" s="116"/>
      <c r="AH402" s="116"/>
      <c r="AI402" s="116"/>
      <c r="AJ402" s="116"/>
      <c r="AK402" s="116"/>
      <c r="AL402" s="116"/>
      <c r="AM402" s="116"/>
      <c r="AN402" s="116"/>
      <c r="AO402" s="116"/>
      <c r="AP402" s="116"/>
      <c r="AQ402" s="116"/>
      <c r="AR402" s="116"/>
      <c r="AS402" s="116"/>
      <c r="AT402" s="116"/>
      <c r="AU402" s="116"/>
      <c r="AV402" s="116"/>
      <c r="AW402" s="116"/>
      <c r="AX402" s="116"/>
      <c r="AY402" s="116"/>
      <c r="AZ402" s="116"/>
      <c r="BA402" s="116"/>
      <c r="BB402" s="116"/>
    </row>
    <row r="403" spans="4:54" hidden="1">
      <c r="D403" s="116"/>
      <c r="E403" s="116"/>
      <c r="F403" s="116"/>
      <c r="G403" s="116"/>
      <c r="H403" s="116"/>
      <c r="I403" s="116"/>
      <c r="J403" s="116"/>
      <c r="K403" s="116"/>
      <c r="L403" s="116"/>
      <c r="M403" s="116"/>
      <c r="N403" s="116"/>
      <c r="O403" s="116"/>
      <c r="P403" s="116"/>
      <c r="Q403" s="116"/>
      <c r="R403" s="116"/>
      <c r="S403" s="116"/>
      <c r="T403" s="116"/>
      <c r="U403" s="116"/>
      <c r="V403" s="116"/>
      <c r="W403" s="116"/>
      <c r="X403" s="116"/>
      <c r="Y403" s="116"/>
      <c r="Z403" s="116"/>
      <c r="AA403" s="116"/>
      <c r="AB403" s="116"/>
      <c r="AC403" s="116"/>
      <c r="AD403" s="116"/>
      <c r="AE403" s="116"/>
      <c r="AF403" s="116"/>
      <c r="AG403" s="116"/>
      <c r="AH403" s="116"/>
      <c r="AI403" s="116"/>
      <c r="AJ403" s="116"/>
      <c r="AK403" s="116"/>
      <c r="AL403" s="116"/>
      <c r="AM403" s="116"/>
      <c r="AN403" s="116"/>
      <c r="AO403" s="116"/>
      <c r="AP403" s="116"/>
      <c r="AQ403" s="116"/>
      <c r="AR403" s="116"/>
      <c r="AS403" s="116"/>
      <c r="AT403" s="116"/>
      <c r="AU403" s="116"/>
      <c r="AV403" s="116"/>
      <c r="AW403" s="116"/>
      <c r="AX403" s="116"/>
      <c r="AY403" s="116"/>
      <c r="AZ403" s="116"/>
      <c r="BA403" s="116"/>
      <c r="BB403" s="116"/>
    </row>
    <row r="404" spans="4:54" hidden="1">
      <c r="D404" s="116"/>
      <c r="E404" s="116"/>
      <c r="F404" s="116"/>
      <c r="G404" s="116"/>
      <c r="H404" s="116"/>
      <c r="I404" s="116"/>
      <c r="J404" s="116"/>
      <c r="K404" s="116"/>
      <c r="L404" s="116"/>
      <c r="M404" s="116"/>
      <c r="N404" s="116"/>
      <c r="O404" s="116"/>
      <c r="P404" s="116"/>
      <c r="Q404" s="116"/>
      <c r="R404" s="116"/>
      <c r="S404" s="116"/>
      <c r="T404" s="116"/>
      <c r="U404" s="116"/>
      <c r="V404" s="116"/>
      <c r="W404" s="116"/>
      <c r="X404" s="116"/>
      <c r="Y404" s="116"/>
      <c r="Z404" s="116"/>
      <c r="AA404" s="116"/>
      <c r="AB404" s="116"/>
      <c r="AC404" s="116"/>
      <c r="AD404" s="116"/>
      <c r="AE404" s="116"/>
      <c r="AF404" s="116"/>
      <c r="AG404" s="116"/>
      <c r="AH404" s="116"/>
      <c r="AI404" s="116"/>
      <c r="AJ404" s="116"/>
      <c r="AK404" s="116"/>
      <c r="AL404" s="116"/>
      <c r="AM404" s="116"/>
      <c r="AN404" s="116"/>
      <c r="AO404" s="116"/>
      <c r="AP404" s="116"/>
      <c r="AQ404" s="116"/>
      <c r="AR404" s="116"/>
      <c r="AS404" s="116"/>
      <c r="AT404" s="116"/>
      <c r="AU404" s="116"/>
      <c r="AV404" s="116"/>
      <c r="AW404" s="116"/>
      <c r="AX404" s="116"/>
      <c r="AY404" s="116"/>
      <c r="AZ404" s="116"/>
      <c r="BA404" s="116"/>
      <c r="BB404" s="116"/>
    </row>
    <row r="405" spans="4:54" hidden="1">
      <c r="D405" s="116"/>
      <c r="E405" s="116"/>
      <c r="F405" s="116"/>
      <c r="G405" s="116"/>
      <c r="H405" s="116"/>
      <c r="I405" s="116"/>
      <c r="J405" s="116"/>
      <c r="K405" s="116"/>
      <c r="L405" s="116"/>
      <c r="M405" s="116"/>
      <c r="N405" s="116"/>
      <c r="O405" s="116"/>
      <c r="P405" s="116"/>
      <c r="Q405" s="116"/>
      <c r="R405" s="116"/>
      <c r="S405" s="116"/>
      <c r="T405" s="116"/>
      <c r="U405" s="116"/>
      <c r="V405" s="116"/>
      <c r="W405" s="116"/>
      <c r="X405" s="116"/>
      <c r="Y405" s="116"/>
      <c r="Z405" s="116"/>
      <c r="AA405" s="116"/>
      <c r="AB405" s="116"/>
      <c r="AC405" s="116"/>
      <c r="AD405" s="116"/>
      <c r="AE405" s="116"/>
      <c r="AF405" s="116"/>
      <c r="AG405" s="116"/>
      <c r="AH405" s="116"/>
      <c r="AI405" s="116"/>
      <c r="AJ405" s="116"/>
      <c r="AK405" s="116"/>
      <c r="AL405" s="116"/>
      <c r="AM405" s="116"/>
      <c r="AN405" s="116"/>
      <c r="AO405" s="116"/>
      <c r="AP405" s="116"/>
      <c r="AQ405" s="116"/>
      <c r="AR405" s="116"/>
      <c r="AS405" s="116"/>
      <c r="AT405" s="116"/>
      <c r="AU405" s="116"/>
      <c r="AV405" s="116"/>
      <c r="AW405" s="116"/>
      <c r="AX405" s="116"/>
      <c r="AY405" s="116"/>
      <c r="AZ405" s="116"/>
      <c r="BA405" s="116"/>
      <c r="BB405" s="116"/>
    </row>
    <row r="406" spans="4:54" hidden="1">
      <c r="D406" s="116"/>
      <c r="E406" s="116"/>
      <c r="F406" s="116"/>
      <c r="G406" s="116"/>
      <c r="H406" s="116"/>
      <c r="I406" s="116"/>
      <c r="J406" s="116"/>
      <c r="K406" s="116"/>
      <c r="L406" s="116"/>
      <c r="M406" s="116"/>
      <c r="N406" s="116"/>
      <c r="O406" s="116"/>
      <c r="P406" s="116"/>
      <c r="Q406" s="116"/>
      <c r="R406" s="116"/>
      <c r="S406" s="116"/>
      <c r="T406" s="116"/>
      <c r="U406" s="116"/>
      <c r="V406" s="116"/>
      <c r="W406" s="116"/>
      <c r="X406" s="116"/>
      <c r="Y406" s="116"/>
      <c r="Z406" s="116"/>
      <c r="AA406" s="116"/>
      <c r="AB406" s="116"/>
      <c r="AC406" s="116"/>
      <c r="AD406" s="116"/>
      <c r="AE406" s="116"/>
      <c r="AF406" s="116"/>
      <c r="AG406" s="116"/>
      <c r="AH406" s="116"/>
      <c r="AI406" s="116"/>
      <c r="AJ406" s="116"/>
      <c r="AK406" s="116"/>
      <c r="AL406" s="116"/>
      <c r="AM406" s="116"/>
      <c r="AN406" s="116"/>
      <c r="AO406" s="116"/>
      <c r="AP406" s="116"/>
      <c r="AQ406" s="116"/>
      <c r="AR406" s="116"/>
      <c r="AS406" s="116"/>
      <c r="AT406" s="116"/>
      <c r="AU406" s="116"/>
      <c r="AV406" s="116"/>
      <c r="AW406" s="116"/>
      <c r="AX406" s="116"/>
      <c r="AY406" s="116"/>
      <c r="AZ406" s="116"/>
      <c r="BA406" s="116"/>
      <c r="BB406" s="116"/>
    </row>
    <row r="407" spans="4:54" hidden="1">
      <c r="D407" s="116"/>
      <c r="E407" s="116"/>
      <c r="F407" s="116"/>
      <c r="G407" s="116"/>
      <c r="H407" s="116"/>
      <c r="I407" s="116"/>
      <c r="J407" s="116"/>
      <c r="K407" s="116"/>
      <c r="L407" s="116"/>
      <c r="M407" s="116"/>
      <c r="N407" s="116"/>
      <c r="O407" s="116"/>
      <c r="P407" s="116"/>
      <c r="Q407" s="116"/>
      <c r="R407" s="116"/>
      <c r="S407" s="116"/>
      <c r="T407" s="116"/>
      <c r="U407" s="116"/>
      <c r="V407" s="116"/>
      <c r="W407" s="116"/>
      <c r="X407" s="116"/>
      <c r="Y407" s="116"/>
      <c r="Z407" s="116"/>
      <c r="AA407" s="116"/>
      <c r="AB407" s="116"/>
      <c r="AC407" s="116"/>
      <c r="AD407" s="116"/>
      <c r="AE407" s="116"/>
      <c r="AF407" s="116"/>
      <c r="AG407" s="116"/>
      <c r="AH407" s="116"/>
      <c r="AI407" s="116"/>
      <c r="AJ407" s="116"/>
      <c r="AK407" s="116"/>
      <c r="AL407" s="116"/>
      <c r="AM407" s="116"/>
      <c r="AN407" s="116"/>
      <c r="AO407" s="116"/>
      <c r="AP407" s="116"/>
      <c r="AQ407" s="116"/>
      <c r="AR407" s="116"/>
      <c r="AS407" s="116"/>
      <c r="AT407" s="116"/>
      <c r="AU407" s="116"/>
      <c r="AV407" s="116"/>
      <c r="AW407" s="116"/>
      <c r="AX407" s="116"/>
      <c r="AY407" s="116"/>
      <c r="AZ407" s="116"/>
      <c r="BA407" s="116"/>
      <c r="BB407" s="116"/>
    </row>
    <row r="408" spans="4:54" hidden="1">
      <c r="D408" s="116"/>
      <c r="E408" s="116"/>
      <c r="F408" s="116"/>
      <c r="G408" s="116"/>
      <c r="H408" s="116"/>
      <c r="I408" s="116"/>
      <c r="J408" s="116"/>
      <c r="K408" s="116"/>
      <c r="L408" s="116"/>
      <c r="M408" s="116"/>
      <c r="N408" s="116"/>
      <c r="O408" s="116"/>
      <c r="P408" s="116"/>
      <c r="Q408" s="116"/>
      <c r="R408" s="116"/>
      <c r="S408" s="116"/>
      <c r="T408" s="116"/>
      <c r="U408" s="116"/>
      <c r="V408" s="116"/>
      <c r="W408" s="116"/>
      <c r="X408" s="116"/>
      <c r="Y408" s="116"/>
      <c r="Z408" s="116"/>
      <c r="AA408" s="116"/>
      <c r="AB408" s="116"/>
      <c r="AC408" s="116"/>
      <c r="AD408" s="116"/>
      <c r="AE408" s="116"/>
      <c r="AF408" s="116"/>
      <c r="AG408" s="116"/>
      <c r="AH408" s="116"/>
      <c r="AI408" s="116"/>
      <c r="AJ408" s="116"/>
      <c r="AK408" s="116"/>
      <c r="AL408" s="116"/>
      <c r="AM408" s="116"/>
      <c r="AN408" s="116"/>
      <c r="AO408" s="116"/>
      <c r="AP408" s="116"/>
      <c r="AQ408" s="116"/>
      <c r="AR408" s="116"/>
      <c r="AS408" s="116"/>
      <c r="AT408" s="116"/>
      <c r="AU408" s="116"/>
      <c r="AV408" s="116"/>
      <c r="AW408" s="116"/>
      <c r="AX408" s="116"/>
      <c r="AY408" s="116"/>
      <c r="AZ408" s="116"/>
      <c r="BA408" s="116"/>
      <c r="BB408" s="116"/>
    </row>
    <row r="409" spans="4:54" hidden="1">
      <c r="D409" s="116"/>
      <c r="E409" s="116"/>
      <c r="F409" s="116"/>
      <c r="G409" s="116"/>
      <c r="H409" s="116"/>
      <c r="I409" s="116"/>
      <c r="J409" s="116"/>
      <c r="K409" s="116"/>
      <c r="L409" s="116"/>
      <c r="M409" s="116"/>
      <c r="N409" s="116"/>
      <c r="O409" s="116"/>
      <c r="P409" s="116"/>
      <c r="Q409" s="116"/>
      <c r="R409" s="116"/>
      <c r="S409" s="116"/>
      <c r="T409" s="116"/>
      <c r="U409" s="116"/>
      <c r="V409" s="116"/>
      <c r="W409" s="116"/>
      <c r="X409" s="116"/>
      <c r="Y409" s="116"/>
      <c r="Z409" s="116"/>
      <c r="AA409" s="116"/>
      <c r="AB409" s="116"/>
      <c r="AC409" s="116"/>
      <c r="AD409" s="116"/>
      <c r="AE409" s="116"/>
      <c r="AF409" s="116"/>
      <c r="AG409" s="116"/>
      <c r="AH409" s="116"/>
      <c r="AI409" s="116"/>
      <c r="AJ409" s="116"/>
      <c r="AK409" s="116"/>
      <c r="AL409" s="116"/>
      <c r="AM409" s="116"/>
      <c r="AN409" s="116"/>
      <c r="AO409" s="116"/>
      <c r="AP409" s="116"/>
      <c r="AQ409" s="116"/>
      <c r="AR409" s="116"/>
      <c r="AS409" s="116"/>
      <c r="AT409" s="116"/>
      <c r="AU409" s="116"/>
      <c r="AV409" s="116"/>
      <c r="AW409" s="116"/>
      <c r="AX409" s="116"/>
      <c r="AY409" s="116"/>
      <c r="AZ409" s="116"/>
      <c r="BA409" s="116"/>
      <c r="BB409" s="116"/>
    </row>
    <row r="410" spans="4:54" hidden="1">
      <c r="D410" s="116"/>
      <c r="E410" s="116"/>
      <c r="F410" s="116"/>
      <c r="G410" s="116"/>
      <c r="H410" s="116"/>
      <c r="I410" s="116"/>
      <c r="J410" s="116"/>
      <c r="K410" s="116"/>
      <c r="L410" s="116"/>
      <c r="M410" s="116"/>
      <c r="N410" s="116"/>
      <c r="O410" s="116"/>
      <c r="P410" s="116"/>
      <c r="Q410" s="116"/>
      <c r="R410" s="116"/>
      <c r="S410" s="116"/>
      <c r="T410" s="116"/>
      <c r="U410" s="116"/>
      <c r="V410" s="116"/>
      <c r="W410" s="116"/>
      <c r="X410" s="116"/>
      <c r="Y410" s="116"/>
      <c r="Z410" s="116"/>
      <c r="AA410" s="116"/>
      <c r="AB410" s="116"/>
      <c r="AC410" s="116"/>
      <c r="AD410" s="116"/>
      <c r="AE410" s="116"/>
      <c r="AF410" s="116"/>
      <c r="AG410" s="116"/>
      <c r="AH410" s="116"/>
      <c r="AI410" s="116"/>
      <c r="AJ410" s="116"/>
      <c r="AK410" s="116"/>
      <c r="AL410" s="116"/>
      <c r="AM410" s="116"/>
      <c r="AN410" s="116"/>
      <c r="AO410" s="116"/>
      <c r="AP410" s="116"/>
      <c r="AQ410" s="116"/>
      <c r="AR410" s="116"/>
      <c r="AS410" s="116"/>
      <c r="AT410" s="116"/>
      <c r="AU410" s="116"/>
      <c r="AV410" s="116"/>
      <c r="AW410" s="116"/>
      <c r="AX410" s="116"/>
      <c r="AY410" s="116"/>
      <c r="AZ410" s="116"/>
      <c r="BA410" s="116"/>
      <c r="BB410" s="116"/>
    </row>
    <row r="411" spans="4:54" hidden="1">
      <c r="D411" s="116"/>
      <c r="E411" s="116"/>
      <c r="F411" s="116"/>
      <c r="G411" s="116"/>
      <c r="H411" s="116"/>
      <c r="I411" s="116"/>
      <c r="J411" s="116"/>
      <c r="K411" s="116"/>
      <c r="L411" s="116"/>
      <c r="M411" s="116"/>
      <c r="N411" s="116"/>
      <c r="O411" s="116"/>
      <c r="P411" s="116"/>
      <c r="Q411" s="116"/>
      <c r="R411" s="116"/>
      <c r="S411" s="116"/>
      <c r="T411" s="116"/>
      <c r="U411" s="116"/>
      <c r="V411" s="116"/>
      <c r="W411" s="116"/>
      <c r="X411" s="116"/>
      <c r="Y411" s="116"/>
      <c r="Z411" s="116"/>
      <c r="AA411" s="116"/>
      <c r="AB411" s="116"/>
      <c r="AC411" s="116"/>
      <c r="AD411" s="116"/>
      <c r="AE411" s="116"/>
      <c r="AF411" s="116"/>
      <c r="AG411" s="116"/>
      <c r="AH411" s="116"/>
      <c r="AI411" s="116"/>
      <c r="AJ411" s="116"/>
      <c r="AK411" s="116"/>
      <c r="AL411" s="116"/>
      <c r="AM411" s="116"/>
      <c r="AN411" s="116"/>
      <c r="AO411" s="116"/>
      <c r="AP411" s="116"/>
      <c r="AQ411" s="116"/>
      <c r="AR411" s="116"/>
      <c r="AS411" s="116"/>
      <c r="AT411" s="116"/>
      <c r="AU411" s="116"/>
      <c r="AV411" s="116"/>
      <c r="AW411" s="116"/>
      <c r="AX411" s="116"/>
      <c r="AY411" s="116"/>
      <c r="AZ411" s="116"/>
      <c r="BA411" s="116"/>
      <c r="BB411" s="116"/>
    </row>
    <row r="412" spans="4:54" hidden="1">
      <c r="D412" s="116"/>
      <c r="E412" s="116"/>
      <c r="F412" s="116"/>
      <c r="G412" s="116"/>
      <c r="H412" s="116"/>
      <c r="I412" s="116"/>
      <c r="J412" s="116"/>
      <c r="K412" s="116"/>
      <c r="L412" s="116"/>
      <c r="M412" s="116"/>
      <c r="N412" s="116"/>
      <c r="O412" s="116"/>
      <c r="P412" s="116"/>
      <c r="Q412" s="116"/>
      <c r="R412" s="116"/>
      <c r="S412" s="116"/>
      <c r="T412" s="116"/>
      <c r="U412" s="116"/>
      <c r="V412" s="116"/>
      <c r="W412" s="116"/>
      <c r="X412" s="116"/>
      <c r="Y412" s="116"/>
      <c r="Z412" s="116"/>
      <c r="AA412" s="116"/>
      <c r="AB412" s="116"/>
      <c r="AC412" s="116"/>
      <c r="AD412" s="116"/>
      <c r="AE412" s="116"/>
      <c r="AF412" s="116"/>
      <c r="AG412" s="116"/>
      <c r="AH412" s="116"/>
      <c r="AI412" s="116"/>
      <c r="AJ412" s="116"/>
      <c r="AK412" s="116"/>
      <c r="AL412" s="116"/>
      <c r="AM412" s="116"/>
      <c r="AN412" s="116"/>
      <c r="AO412" s="116"/>
      <c r="AP412" s="116"/>
      <c r="AQ412" s="116"/>
      <c r="AR412" s="116"/>
      <c r="AS412" s="116"/>
      <c r="AT412" s="116"/>
      <c r="AU412" s="116"/>
      <c r="AV412" s="116"/>
      <c r="AW412" s="116"/>
      <c r="AX412" s="116"/>
      <c r="AY412" s="116"/>
      <c r="AZ412" s="116"/>
      <c r="BA412" s="116"/>
      <c r="BB412" s="116"/>
    </row>
    <row r="413" spans="4:54" hidden="1">
      <c r="D413" s="116"/>
      <c r="E413" s="116"/>
      <c r="F413" s="116"/>
      <c r="G413" s="116"/>
      <c r="H413" s="116"/>
      <c r="I413" s="116"/>
      <c r="J413" s="116"/>
      <c r="K413" s="116"/>
      <c r="L413" s="116"/>
      <c r="M413" s="116"/>
      <c r="N413" s="116"/>
      <c r="O413" s="116"/>
      <c r="P413" s="116"/>
      <c r="Q413" s="116"/>
      <c r="R413" s="116"/>
      <c r="S413" s="116"/>
      <c r="T413" s="116"/>
      <c r="U413" s="116"/>
      <c r="V413" s="116"/>
      <c r="W413" s="116"/>
      <c r="X413" s="116"/>
      <c r="Y413" s="116"/>
      <c r="Z413" s="116"/>
      <c r="AA413" s="116"/>
      <c r="AB413" s="116"/>
      <c r="AC413" s="116"/>
      <c r="AD413" s="116"/>
      <c r="AE413" s="116"/>
      <c r="AF413" s="116"/>
      <c r="AG413" s="116"/>
      <c r="AH413" s="116"/>
      <c r="AI413" s="116"/>
      <c r="AJ413" s="116"/>
      <c r="AK413" s="116"/>
      <c r="AL413" s="116"/>
      <c r="AM413" s="116"/>
      <c r="AN413" s="116"/>
      <c r="AO413" s="116"/>
      <c r="AP413" s="116"/>
      <c r="AQ413" s="116"/>
      <c r="AR413" s="116"/>
      <c r="AS413" s="116"/>
      <c r="AT413" s="116"/>
      <c r="AU413" s="116"/>
      <c r="AV413" s="116"/>
      <c r="AW413" s="116"/>
      <c r="AX413" s="116"/>
      <c r="AY413" s="116"/>
      <c r="AZ413" s="116"/>
      <c r="BA413" s="116"/>
      <c r="BB413" s="116"/>
    </row>
    <row r="414" spans="4:54" hidden="1">
      <c r="D414" s="116"/>
      <c r="E414" s="116"/>
      <c r="F414" s="116"/>
      <c r="G414" s="116"/>
      <c r="H414" s="116"/>
      <c r="I414" s="116"/>
      <c r="J414" s="116"/>
      <c r="K414" s="116"/>
      <c r="L414" s="116"/>
      <c r="M414" s="116"/>
      <c r="N414" s="116"/>
      <c r="O414" s="116"/>
      <c r="P414" s="116"/>
      <c r="Q414" s="116"/>
      <c r="R414" s="116"/>
      <c r="S414" s="116"/>
      <c r="T414" s="116"/>
      <c r="U414" s="116"/>
      <c r="V414" s="116"/>
      <c r="W414" s="116"/>
      <c r="X414" s="116"/>
      <c r="Y414" s="116"/>
      <c r="Z414" s="116"/>
      <c r="AA414" s="116"/>
      <c r="AB414" s="116"/>
      <c r="AC414" s="116"/>
      <c r="AD414" s="116"/>
      <c r="AE414" s="116"/>
      <c r="AF414" s="116"/>
      <c r="AG414" s="116"/>
      <c r="AH414" s="116"/>
      <c r="AI414" s="116"/>
      <c r="AJ414" s="116"/>
      <c r="AK414" s="116"/>
      <c r="AL414" s="116"/>
      <c r="AM414" s="116"/>
      <c r="AN414" s="116"/>
      <c r="AO414" s="116"/>
      <c r="AP414" s="116"/>
      <c r="AQ414" s="116"/>
      <c r="AR414" s="116"/>
      <c r="AS414" s="116"/>
      <c r="AT414" s="116"/>
      <c r="AU414" s="116"/>
      <c r="AV414" s="116"/>
      <c r="AW414" s="116"/>
      <c r="AX414" s="116"/>
      <c r="AY414" s="116"/>
      <c r="AZ414" s="116"/>
      <c r="BA414" s="116"/>
      <c r="BB414" s="116"/>
    </row>
    <row r="415" spans="4:54" hidden="1">
      <c r="D415" s="116"/>
      <c r="E415" s="116"/>
      <c r="F415" s="116"/>
      <c r="G415" s="116"/>
      <c r="H415" s="116"/>
      <c r="I415" s="116"/>
      <c r="J415" s="116"/>
      <c r="K415" s="116"/>
      <c r="L415" s="116"/>
      <c r="M415" s="116"/>
      <c r="N415" s="116"/>
      <c r="O415" s="116"/>
      <c r="P415" s="116"/>
      <c r="Q415" s="116"/>
      <c r="R415" s="116"/>
      <c r="S415" s="116"/>
      <c r="T415" s="116"/>
      <c r="U415" s="116"/>
      <c r="V415" s="116"/>
      <c r="W415" s="116"/>
      <c r="X415" s="116"/>
      <c r="Y415" s="116"/>
      <c r="Z415" s="116"/>
      <c r="AA415" s="116"/>
      <c r="AB415" s="116"/>
      <c r="AC415" s="116"/>
      <c r="AD415" s="116"/>
      <c r="AE415" s="116"/>
      <c r="AF415" s="116"/>
      <c r="AG415" s="116"/>
      <c r="AH415" s="116"/>
      <c r="AI415" s="116"/>
      <c r="AJ415" s="116"/>
      <c r="AK415" s="116"/>
      <c r="AL415" s="116"/>
      <c r="AM415" s="116"/>
      <c r="AN415" s="116"/>
      <c r="AO415" s="116"/>
      <c r="AP415" s="116"/>
      <c r="AQ415" s="116"/>
      <c r="AR415" s="116"/>
      <c r="AS415" s="116"/>
      <c r="AT415" s="116"/>
      <c r="AU415" s="116"/>
      <c r="AV415" s="116"/>
      <c r="AW415" s="116"/>
      <c r="AX415" s="116"/>
      <c r="AY415" s="116"/>
      <c r="AZ415" s="116"/>
      <c r="BA415" s="116"/>
      <c r="BB415" s="116"/>
    </row>
    <row r="416" spans="4:54" hidden="1">
      <c r="D416" s="116"/>
      <c r="E416" s="116"/>
      <c r="F416" s="116"/>
      <c r="G416" s="116"/>
      <c r="H416" s="116"/>
      <c r="I416" s="116"/>
      <c r="J416" s="116"/>
      <c r="K416" s="116"/>
      <c r="L416" s="116"/>
      <c r="M416" s="116"/>
      <c r="N416" s="116"/>
      <c r="O416" s="116"/>
      <c r="P416" s="116"/>
      <c r="Q416" s="116"/>
      <c r="R416" s="116"/>
      <c r="S416" s="116"/>
      <c r="T416" s="116"/>
      <c r="U416" s="116"/>
      <c r="V416" s="116"/>
      <c r="W416" s="116"/>
      <c r="X416" s="116"/>
      <c r="Y416" s="116"/>
      <c r="Z416" s="116"/>
      <c r="AA416" s="116"/>
      <c r="AB416" s="116"/>
      <c r="AC416" s="116"/>
      <c r="AD416" s="116"/>
      <c r="AE416" s="116"/>
      <c r="AF416" s="116"/>
      <c r="AG416" s="116"/>
      <c r="AH416" s="116"/>
      <c r="AI416" s="116"/>
      <c r="AJ416" s="116"/>
      <c r="AK416" s="116"/>
      <c r="AL416" s="116"/>
      <c r="AM416" s="116"/>
      <c r="AN416" s="116"/>
      <c r="AO416" s="116"/>
      <c r="AP416" s="116"/>
      <c r="AQ416" s="116"/>
      <c r="AR416" s="116"/>
      <c r="AS416" s="116"/>
      <c r="AT416" s="116"/>
      <c r="AU416" s="116"/>
      <c r="AV416" s="116"/>
      <c r="AW416" s="116"/>
      <c r="AX416" s="116"/>
      <c r="AY416" s="116"/>
      <c r="AZ416" s="116"/>
      <c r="BA416" s="116"/>
      <c r="BB416" s="116"/>
    </row>
    <row r="417" spans="4:54" hidden="1">
      <c r="D417" s="116"/>
      <c r="E417" s="116"/>
      <c r="F417" s="116"/>
      <c r="G417" s="116"/>
      <c r="H417" s="116"/>
      <c r="I417" s="116"/>
      <c r="J417" s="116"/>
      <c r="K417" s="116"/>
      <c r="L417" s="116"/>
      <c r="M417" s="116"/>
      <c r="N417" s="116"/>
      <c r="O417" s="116"/>
      <c r="P417" s="116"/>
      <c r="Q417" s="116"/>
      <c r="R417" s="116"/>
      <c r="S417" s="116"/>
      <c r="T417" s="116"/>
      <c r="U417" s="116"/>
      <c r="V417" s="116"/>
      <c r="W417" s="116"/>
      <c r="X417" s="116"/>
      <c r="Y417" s="116"/>
      <c r="Z417" s="116"/>
      <c r="AA417" s="116"/>
      <c r="AB417" s="116"/>
      <c r="AC417" s="116"/>
      <c r="AD417" s="116"/>
      <c r="AE417" s="116"/>
      <c r="AF417" s="116"/>
      <c r="AG417" s="116"/>
      <c r="AH417" s="116"/>
      <c r="AI417" s="116"/>
      <c r="AJ417" s="116"/>
      <c r="AK417" s="116"/>
      <c r="AL417" s="116"/>
      <c r="AM417" s="116"/>
      <c r="AN417" s="116"/>
      <c r="AO417" s="116"/>
      <c r="AP417" s="116"/>
      <c r="AQ417" s="116"/>
      <c r="AR417" s="116"/>
      <c r="AS417" s="116"/>
      <c r="AT417" s="116"/>
      <c r="AU417" s="116"/>
      <c r="AV417" s="116"/>
      <c r="AW417" s="116"/>
      <c r="AX417" s="116"/>
      <c r="AY417" s="116"/>
      <c r="AZ417" s="116"/>
      <c r="BA417" s="116"/>
      <c r="BB417" s="116"/>
    </row>
    <row r="418" spans="4:54" hidden="1">
      <c r="D418" s="116"/>
      <c r="E418" s="116"/>
      <c r="F418" s="116"/>
      <c r="G418" s="116"/>
      <c r="H418" s="116"/>
      <c r="I418" s="116"/>
      <c r="J418" s="116"/>
      <c r="K418" s="116"/>
      <c r="L418" s="116"/>
      <c r="M418" s="116"/>
      <c r="N418" s="116"/>
      <c r="O418" s="116"/>
      <c r="P418" s="116"/>
      <c r="Q418" s="116"/>
      <c r="R418" s="116"/>
      <c r="S418" s="116"/>
      <c r="T418" s="116"/>
      <c r="U418" s="116"/>
      <c r="V418" s="116"/>
      <c r="W418" s="116"/>
      <c r="X418" s="116"/>
      <c r="Y418" s="116"/>
      <c r="Z418" s="116"/>
      <c r="AA418" s="116"/>
      <c r="AB418" s="116"/>
      <c r="AC418" s="116"/>
      <c r="AD418" s="116"/>
      <c r="AE418" s="116"/>
      <c r="AF418" s="116"/>
      <c r="AG418" s="116"/>
      <c r="AH418" s="116"/>
      <c r="AI418" s="116"/>
      <c r="AJ418" s="116"/>
      <c r="AK418" s="116"/>
      <c r="AL418" s="116"/>
      <c r="AM418" s="116"/>
      <c r="AN418" s="116"/>
      <c r="AO418" s="116"/>
      <c r="AP418" s="116"/>
      <c r="AQ418" s="116"/>
      <c r="AR418" s="116"/>
      <c r="AS418" s="116"/>
      <c r="AT418" s="116"/>
      <c r="AU418" s="116"/>
      <c r="AV418" s="116"/>
      <c r="AW418" s="116"/>
      <c r="AX418" s="116"/>
      <c r="AY418" s="116"/>
      <c r="AZ418" s="116"/>
      <c r="BA418" s="116"/>
      <c r="BB418" s="116"/>
    </row>
    <row r="419" spans="4:54" hidden="1">
      <c r="D419" s="116"/>
      <c r="E419" s="116"/>
      <c r="F419" s="116"/>
      <c r="G419" s="116"/>
      <c r="H419" s="116"/>
      <c r="I419" s="116"/>
      <c r="J419" s="116"/>
      <c r="K419" s="116"/>
      <c r="L419" s="116"/>
      <c r="M419" s="116"/>
      <c r="N419" s="116"/>
      <c r="O419" s="116"/>
      <c r="P419" s="116"/>
      <c r="Q419" s="116"/>
      <c r="R419" s="116"/>
      <c r="S419" s="116"/>
      <c r="T419" s="116"/>
      <c r="U419" s="116"/>
      <c r="V419" s="116"/>
      <c r="W419" s="116"/>
      <c r="X419" s="116"/>
      <c r="Y419" s="116"/>
      <c r="Z419" s="116"/>
      <c r="AA419" s="116"/>
      <c r="AB419" s="116"/>
      <c r="AC419" s="116"/>
      <c r="AD419" s="116"/>
      <c r="AE419" s="116"/>
      <c r="AF419" s="116"/>
      <c r="AG419" s="116"/>
      <c r="AH419" s="116"/>
      <c r="AI419" s="116"/>
      <c r="AJ419" s="116"/>
      <c r="AK419" s="116"/>
      <c r="AL419" s="116"/>
      <c r="AM419" s="116"/>
      <c r="AN419" s="116"/>
      <c r="AO419" s="116"/>
      <c r="AP419" s="116"/>
      <c r="AQ419" s="116"/>
      <c r="AR419" s="116"/>
      <c r="AS419" s="116"/>
      <c r="AT419" s="116"/>
      <c r="AU419" s="116"/>
      <c r="AV419" s="116"/>
      <c r="AW419" s="116"/>
      <c r="AX419" s="116"/>
      <c r="AY419" s="116"/>
      <c r="AZ419" s="116"/>
      <c r="BA419" s="116"/>
      <c r="BB419" s="116"/>
    </row>
    <row r="420" spans="4:54" hidden="1">
      <c r="D420" s="116"/>
      <c r="E420" s="116"/>
      <c r="F420" s="116"/>
      <c r="G420" s="116"/>
      <c r="H420" s="116"/>
      <c r="I420" s="116"/>
      <c r="J420" s="116"/>
      <c r="K420" s="116"/>
      <c r="L420" s="116"/>
      <c r="M420" s="116"/>
      <c r="N420" s="116"/>
      <c r="O420" s="116"/>
      <c r="P420" s="116"/>
      <c r="Q420" s="116"/>
      <c r="R420" s="116"/>
      <c r="S420" s="116"/>
      <c r="T420" s="116"/>
      <c r="U420" s="116"/>
      <c r="V420" s="116"/>
      <c r="W420" s="116"/>
      <c r="X420" s="116"/>
      <c r="Y420" s="116"/>
      <c r="Z420" s="116"/>
      <c r="AA420" s="116"/>
      <c r="AB420" s="116"/>
      <c r="AC420" s="116"/>
      <c r="AD420" s="116"/>
      <c r="AE420" s="116"/>
      <c r="AF420" s="116"/>
      <c r="AG420" s="116"/>
      <c r="AH420" s="116"/>
      <c r="AI420" s="116"/>
      <c r="AJ420" s="116"/>
      <c r="AK420" s="116"/>
      <c r="AL420" s="116"/>
      <c r="AM420" s="116"/>
      <c r="AN420" s="116"/>
      <c r="AO420" s="116"/>
      <c r="AP420" s="116"/>
      <c r="AQ420" s="116"/>
      <c r="AR420" s="116"/>
      <c r="AS420" s="116"/>
      <c r="AT420" s="116"/>
      <c r="AU420" s="116"/>
      <c r="AV420" s="116"/>
      <c r="AW420" s="116"/>
      <c r="AX420" s="116"/>
      <c r="AY420" s="116"/>
      <c r="AZ420" s="116"/>
      <c r="BA420" s="116"/>
      <c r="BB420" s="116"/>
    </row>
    <row r="421" spans="4:54" hidden="1">
      <c r="D421" s="116"/>
      <c r="E421" s="116"/>
      <c r="F421" s="116"/>
      <c r="G421" s="116"/>
      <c r="H421" s="116"/>
      <c r="I421" s="116"/>
      <c r="J421" s="116"/>
      <c r="K421" s="116"/>
      <c r="L421" s="116"/>
      <c r="M421" s="116"/>
      <c r="N421" s="116"/>
      <c r="O421" s="116"/>
      <c r="P421" s="116"/>
      <c r="Q421" s="116"/>
      <c r="R421" s="116"/>
      <c r="S421" s="116"/>
      <c r="T421" s="116"/>
      <c r="U421" s="116"/>
      <c r="V421" s="116"/>
      <c r="W421" s="116"/>
      <c r="X421" s="116"/>
      <c r="Y421" s="116"/>
      <c r="Z421" s="116"/>
      <c r="AA421" s="116"/>
      <c r="AB421" s="116"/>
      <c r="AC421" s="116"/>
      <c r="AD421" s="116"/>
      <c r="AE421" s="116"/>
      <c r="AF421" s="116"/>
      <c r="AG421" s="116"/>
      <c r="AH421" s="116"/>
      <c r="AI421" s="116"/>
      <c r="AJ421" s="116"/>
      <c r="AK421" s="116"/>
      <c r="AL421" s="116"/>
      <c r="AM421" s="116"/>
      <c r="AN421" s="116"/>
      <c r="AO421" s="116"/>
      <c r="AP421" s="116"/>
      <c r="AQ421" s="116"/>
      <c r="AR421" s="116"/>
      <c r="AS421" s="116"/>
      <c r="AT421" s="116"/>
      <c r="AU421" s="116"/>
      <c r="AV421" s="116"/>
      <c r="AW421" s="116"/>
      <c r="AX421" s="116"/>
      <c r="AY421" s="116"/>
      <c r="AZ421" s="116"/>
      <c r="BA421" s="116"/>
      <c r="BB421" s="116"/>
    </row>
    <row r="422" spans="4:54" hidden="1">
      <c r="D422" s="116"/>
      <c r="E422" s="116"/>
      <c r="F422" s="116"/>
      <c r="G422" s="116"/>
      <c r="H422" s="116"/>
      <c r="I422" s="116"/>
      <c r="J422" s="116"/>
      <c r="K422" s="116"/>
      <c r="L422" s="116"/>
      <c r="M422" s="116"/>
      <c r="N422" s="116"/>
      <c r="O422" s="116"/>
      <c r="P422" s="116"/>
      <c r="Q422" s="116"/>
      <c r="R422" s="116"/>
      <c r="S422" s="116"/>
      <c r="T422" s="116"/>
      <c r="U422" s="116"/>
      <c r="V422" s="116"/>
      <c r="W422" s="116"/>
      <c r="X422" s="116"/>
      <c r="Y422" s="116"/>
      <c r="Z422" s="116"/>
      <c r="AA422" s="116"/>
      <c r="AB422" s="116"/>
      <c r="AC422" s="116"/>
      <c r="AD422" s="116"/>
      <c r="AE422" s="116"/>
      <c r="AF422" s="116"/>
      <c r="AG422" s="116"/>
      <c r="AH422" s="116"/>
      <c r="AI422" s="116"/>
      <c r="AJ422" s="116"/>
      <c r="AK422" s="116"/>
      <c r="AL422" s="116"/>
      <c r="AM422" s="116"/>
      <c r="AN422" s="116"/>
      <c r="AO422" s="116"/>
      <c r="AP422" s="116"/>
      <c r="AQ422" s="116"/>
      <c r="AR422" s="116"/>
      <c r="AS422" s="116"/>
      <c r="AT422" s="116"/>
      <c r="AU422" s="116"/>
      <c r="AV422" s="116"/>
      <c r="AW422" s="116"/>
      <c r="AX422" s="116"/>
      <c r="AY422" s="116"/>
      <c r="AZ422" s="116"/>
      <c r="BA422" s="116"/>
      <c r="BB422" s="116"/>
    </row>
    <row r="423" spans="4:54" hidden="1">
      <c r="D423" s="116"/>
      <c r="E423" s="116"/>
      <c r="F423" s="116"/>
      <c r="G423" s="116"/>
      <c r="H423" s="116"/>
      <c r="I423" s="116"/>
      <c r="J423" s="116"/>
      <c r="K423" s="116"/>
      <c r="L423" s="116"/>
      <c r="M423" s="116"/>
      <c r="N423" s="116"/>
      <c r="O423" s="116"/>
      <c r="P423" s="116"/>
      <c r="Q423" s="116"/>
      <c r="R423" s="116"/>
      <c r="S423" s="116"/>
      <c r="T423" s="116"/>
      <c r="U423" s="116"/>
      <c r="V423" s="116"/>
      <c r="W423" s="116"/>
      <c r="X423" s="116"/>
      <c r="Y423" s="116"/>
      <c r="Z423" s="116"/>
      <c r="AA423" s="116"/>
      <c r="AB423" s="116"/>
      <c r="AC423" s="116"/>
      <c r="AD423" s="116"/>
      <c r="AE423" s="116"/>
      <c r="AF423" s="116"/>
      <c r="AG423" s="116"/>
      <c r="AH423" s="116"/>
      <c r="AI423" s="116"/>
      <c r="AJ423" s="116"/>
      <c r="AK423" s="116"/>
      <c r="AL423" s="116"/>
      <c r="AM423" s="116"/>
      <c r="AN423" s="116"/>
      <c r="AO423" s="116"/>
      <c r="AP423" s="116"/>
      <c r="AQ423" s="116"/>
      <c r="AR423" s="116"/>
      <c r="AS423" s="116"/>
      <c r="AT423" s="116"/>
      <c r="AU423" s="116"/>
      <c r="AV423" s="116"/>
      <c r="AW423" s="116"/>
      <c r="AX423" s="116"/>
      <c r="AY423" s="116"/>
      <c r="AZ423" s="116"/>
      <c r="BA423" s="116"/>
      <c r="BB423" s="116"/>
    </row>
    <row r="424" spans="4:54" hidden="1">
      <c r="D424" s="116"/>
      <c r="E424" s="116"/>
      <c r="F424" s="116"/>
      <c r="G424" s="116"/>
      <c r="H424" s="116"/>
      <c r="I424" s="116"/>
      <c r="J424" s="116"/>
      <c r="K424" s="116"/>
      <c r="L424" s="116"/>
      <c r="M424" s="116"/>
      <c r="N424" s="116"/>
      <c r="O424" s="116"/>
      <c r="P424" s="116"/>
      <c r="Q424" s="116"/>
      <c r="R424" s="116"/>
      <c r="S424" s="116"/>
      <c r="T424" s="116"/>
      <c r="U424" s="116"/>
      <c r="V424" s="116"/>
      <c r="W424" s="116"/>
      <c r="X424" s="116"/>
      <c r="Y424" s="116"/>
      <c r="Z424" s="116"/>
      <c r="AA424" s="116"/>
      <c r="AB424" s="116"/>
      <c r="AC424" s="116"/>
      <c r="AD424" s="116"/>
      <c r="AE424" s="116"/>
      <c r="AF424" s="116"/>
      <c r="AG424" s="116"/>
      <c r="AH424" s="116"/>
      <c r="AI424" s="116"/>
      <c r="AJ424" s="116"/>
      <c r="AK424" s="116"/>
      <c r="AL424" s="116"/>
      <c r="AM424" s="116"/>
      <c r="AN424" s="116"/>
      <c r="AO424" s="116"/>
      <c r="AP424" s="116"/>
      <c r="AQ424" s="116"/>
      <c r="AR424" s="116"/>
      <c r="AS424" s="116"/>
      <c r="AT424" s="116"/>
      <c r="AU424" s="116"/>
      <c r="AV424" s="116"/>
      <c r="AW424" s="116"/>
      <c r="AX424" s="116"/>
      <c r="AY424" s="116"/>
      <c r="AZ424" s="116"/>
      <c r="BA424" s="116"/>
      <c r="BB424" s="116"/>
    </row>
    <row r="425" spans="4:54" hidden="1">
      <c r="D425" s="116"/>
      <c r="E425" s="116"/>
      <c r="F425" s="116"/>
      <c r="G425" s="116"/>
      <c r="H425" s="116"/>
      <c r="I425" s="116"/>
      <c r="J425" s="116"/>
      <c r="K425" s="116"/>
      <c r="L425" s="116"/>
      <c r="M425" s="116"/>
      <c r="N425" s="116"/>
      <c r="O425" s="116"/>
      <c r="P425" s="116"/>
      <c r="Q425" s="116"/>
      <c r="R425" s="116"/>
      <c r="S425" s="116"/>
      <c r="T425" s="116"/>
      <c r="U425" s="116"/>
      <c r="V425" s="116"/>
      <c r="W425" s="116"/>
      <c r="X425" s="116"/>
      <c r="Y425" s="116"/>
      <c r="Z425" s="116"/>
      <c r="AA425" s="116"/>
      <c r="AB425" s="116"/>
      <c r="AC425" s="116"/>
      <c r="AD425" s="116"/>
      <c r="AE425" s="116"/>
      <c r="AF425" s="116"/>
      <c r="AG425" s="116"/>
      <c r="AH425" s="116"/>
      <c r="AI425" s="116"/>
      <c r="AJ425" s="116"/>
      <c r="AK425" s="116"/>
      <c r="AL425" s="116"/>
      <c r="AM425" s="116"/>
      <c r="AN425" s="116"/>
      <c r="AO425" s="116"/>
      <c r="AP425" s="116"/>
      <c r="AQ425" s="116"/>
      <c r="AR425" s="116"/>
      <c r="AS425" s="116"/>
      <c r="AT425" s="116"/>
      <c r="AU425" s="116"/>
      <c r="AV425" s="116"/>
      <c r="AW425" s="116"/>
      <c r="AX425" s="116"/>
      <c r="AY425" s="116"/>
      <c r="AZ425" s="116"/>
      <c r="BA425" s="116"/>
      <c r="BB425" s="116"/>
    </row>
    <row r="426" spans="4:54" hidden="1">
      <c r="D426" s="116"/>
      <c r="E426" s="116"/>
      <c r="F426" s="116"/>
      <c r="G426" s="116"/>
      <c r="H426" s="116"/>
      <c r="I426" s="116"/>
      <c r="J426" s="116"/>
      <c r="K426" s="116"/>
      <c r="L426" s="116"/>
      <c r="M426" s="116"/>
      <c r="N426" s="116"/>
      <c r="O426" s="116"/>
      <c r="P426" s="116"/>
      <c r="Q426" s="116"/>
      <c r="R426" s="116"/>
      <c r="S426" s="116"/>
      <c r="T426" s="116"/>
      <c r="U426" s="116"/>
      <c r="V426" s="116"/>
      <c r="W426" s="116"/>
      <c r="X426" s="116"/>
      <c r="Y426" s="116"/>
      <c r="Z426" s="116"/>
      <c r="AA426" s="116"/>
      <c r="AB426" s="116"/>
      <c r="AC426" s="116"/>
      <c r="AD426" s="116"/>
      <c r="AE426" s="116"/>
      <c r="AF426" s="116"/>
      <c r="AG426" s="116"/>
      <c r="AH426" s="116"/>
      <c r="AI426" s="116"/>
      <c r="AJ426" s="116"/>
      <c r="AK426" s="116"/>
      <c r="AL426" s="116"/>
      <c r="AM426" s="116"/>
      <c r="AN426" s="116"/>
      <c r="AO426" s="116"/>
      <c r="AP426" s="116"/>
      <c r="AQ426" s="116"/>
      <c r="AR426" s="116"/>
      <c r="AS426" s="116"/>
      <c r="AT426" s="116"/>
      <c r="AU426" s="116"/>
      <c r="AV426" s="116"/>
      <c r="AW426" s="116"/>
      <c r="AX426" s="116"/>
      <c r="AY426" s="116"/>
      <c r="AZ426" s="116"/>
      <c r="BA426" s="116"/>
      <c r="BB426" s="116"/>
    </row>
    <row r="427" spans="4:54" hidden="1">
      <c r="D427" s="116"/>
      <c r="E427" s="116"/>
      <c r="F427" s="116"/>
      <c r="G427" s="116"/>
      <c r="H427" s="116"/>
      <c r="I427" s="116"/>
      <c r="J427" s="116"/>
      <c r="K427" s="116"/>
      <c r="L427" s="116"/>
      <c r="M427" s="116"/>
      <c r="N427" s="116"/>
      <c r="O427" s="116"/>
      <c r="P427" s="116"/>
      <c r="Q427" s="116"/>
      <c r="R427" s="116"/>
      <c r="S427" s="116"/>
      <c r="T427" s="116"/>
      <c r="U427" s="116"/>
      <c r="V427" s="116"/>
      <c r="W427" s="116"/>
      <c r="X427" s="116"/>
      <c r="Y427" s="116"/>
      <c r="Z427" s="116"/>
      <c r="AA427" s="116"/>
      <c r="AB427" s="116"/>
      <c r="AC427" s="116"/>
      <c r="AD427" s="116"/>
      <c r="AE427" s="116"/>
      <c r="AF427" s="116"/>
      <c r="AG427" s="116"/>
      <c r="AH427" s="116"/>
      <c r="AI427" s="116"/>
      <c r="AJ427" s="116"/>
      <c r="AK427" s="116"/>
      <c r="AL427" s="116"/>
      <c r="AM427" s="116"/>
      <c r="AN427" s="116"/>
      <c r="AO427" s="116"/>
      <c r="AP427" s="116"/>
      <c r="AQ427" s="116"/>
      <c r="AR427" s="116"/>
      <c r="AS427" s="116"/>
      <c r="AT427" s="116"/>
      <c r="AU427" s="116"/>
      <c r="AV427" s="116"/>
      <c r="AW427" s="116"/>
      <c r="AX427" s="116"/>
      <c r="AY427" s="116"/>
      <c r="AZ427" s="116"/>
      <c r="BA427" s="116"/>
      <c r="BB427" s="116"/>
    </row>
    <row r="428" spans="4:54" hidden="1">
      <c r="D428" s="116"/>
      <c r="E428" s="116"/>
      <c r="F428" s="116"/>
      <c r="G428" s="116"/>
      <c r="H428" s="116"/>
      <c r="I428" s="116"/>
      <c r="J428" s="116"/>
      <c r="K428" s="116"/>
      <c r="L428" s="116"/>
      <c r="M428" s="116"/>
      <c r="N428" s="116"/>
      <c r="O428" s="116"/>
      <c r="P428" s="116"/>
      <c r="Q428" s="116"/>
      <c r="R428" s="116"/>
      <c r="S428" s="116"/>
      <c r="T428" s="116"/>
      <c r="U428" s="116"/>
      <c r="V428" s="116"/>
      <c r="W428" s="116"/>
      <c r="X428" s="116"/>
      <c r="Y428" s="116"/>
      <c r="Z428" s="116"/>
      <c r="AA428" s="116"/>
      <c r="AB428" s="116"/>
      <c r="AC428" s="116"/>
      <c r="AD428" s="116"/>
      <c r="AE428" s="116"/>
      <c r="AF428" s="116"/>
      <c r="AG428" s="116"/>
      <c r="AH428" s="116"/>
      <c r="AI428" s="116"/>
      <c r="AJ428" s="116"/>
      <c r="AK428" s="116"/>
      <c r="AL428" s="116"/>
      <c r="AM428" s="116"/>
      <c r="AN428" s="116"/>
      <c r="AO428" s="116"/>
      <c r="AP428" s="116"/>
      <c r="AQ428" s="116"/>
      <c r="AR428" s="116"/>
      <c r="AS428" s="116"/>
      <c r="AT428" s="116"/>
      <c r="AU428" s="116"/>
      <c r="AV428" s="116"/>
      <c r="AW428" s="116"/>
      <c r="AX428" s="116"/>
      <c r="AY428" s="116"/>
      <c r="AZ428" s="116"/>
      <c r="BA428" s="116"/>
      <c r="BB428" s="116"/>
    </row>
    <row r="429" spans="4:54" hidden="1">
      <c r="D429" s="116"/>
      <c r="E429" s="116"/>
      <c r="F429" s="116"/>
      <c r="G429" s="116"/>
      <c r="H429" s="116"/>
      <c r="I429" s="116"/>
      <c r="J429" s="116"/>
      <c r="K429" s="116"/>
      <c r="L429" s="116"/>
      <c r="M429" s="116"/>
      <c r="N429" s="116"/>
      <c r="O429" s="116"/>
      <c r="P429" s="116"/>
      <c r="Q429" s="116"/>
      <c r="R429" s="116"/>
      <c r="S429" s="116"/>
      <c r="T429" s="116"/>
      <c r="U429" s="116"/>
      <c r="V429" s="116"/>
      <c r="W429" s="116"/>
      <c r="X429" s="116"/>
      <c r="Y429" s="116"/>
      <c r="Z429" s="116"/>
      <c r="AA429" s="116"/>
      <c r="AB429" s="116"/>
      <c r="AC429" s="116"/>
      <c r="AD429" s="116"/>
      <c r="AE429" s="116"/>
      <c r="AF429" s="116"/>
      <c r="AG429" s="116"/>
      <c r="AH429" s="116"/>
      <c r="AI429" s="116"/>
      <c r="AJ429" s="116"/>
      <c r="AK429" s="116"/>
      <c r="AL429" s="116"/>
      <c r="AM429" s="116"/>
      <c r="AN429" s="116"/>
      <c r="AO429" s="116"/>
      <c r="AP429" s="116"/>
      <c r="AQ429" s="116"/>
      <c r="AR429" s="116"/>
      <c r="AS429" s="116"/>
      <c r="AT429" s="116"/>
      <c r="AU429" s="116"/>
      <c r="AV429" s="116"/>
      <c r="AW429" s="116"/>
      <c r="AX429" s="116"/>
      <c r="AY429" s="116"/>
      <c r="AZ429" s="116"/>
      <c r="BA429" s="116"/>
      <c r="BB429" s="116"/>
    </row>
    <row r="430" spans="4:54" hidden="1">
      <c r="D430" s="116"/>
      <c r="E430" s="116"/>
      <c r="F430" s="116"/>
      <c r="G430" s="116"/>
      <c r="H430" s="116"/>
      <c r="I430" s="116"/>
      <c r="J430" s="116"/>
      <c r="K430" s="116"/>
      <c r="L430" s="116"/>
      <c r="M430" s="116"/>
      <c r="N430" s="116"/>
      <c r="O430" s="116"/>
      <c r="P430" s="116"/>
      <c r="Q430" s="116"/>
      <c r="R430" s="116"/>
      <c r="S430" s="116"/>
      <c r="T430" s="116"/>
      <c r="U430" s="116"/>
      <c r="V430" s="116"/>
      <c r="W430" s="116"/>
      <c r="X430" s="116"/>
      <c r="Y430" s="116"/>
      <c r="Z430" s="116"/>
      <c r="AA430" s="116"/>
      <c r="AB430" s="116"/>
      <c r="AC430" s="116"/>
      <c r="AD430" s="116"/>
      <c r="AE430" s="116"/>
      <c r="AF430" s="116"/>
      <c r="AG430" s="116"/>
      <c r="AH430" s="116"/>
      <c r="AI430" s="116"/>
      <c r="AJ430" s="116"/>
      <c r="AK430" s="116"/>
      <c r="AL430" s="116"/>
      <c r="AM430" s="116"/>
      <c r="AN430" s="116"/>
      <c r="AO430" s="116"/>
      <c r="AP430" s="116"/>
      <c r="AQ430" s="116"/>
      <c r="AR430" s="116"/>
      <c r="AS430" s="116"/>
      <c r="AT430" s="116"/>
      <c r="AU430" s="116"/>
      <c r="AV430" s="116"/>
      <c r="AW430" s="116"/>
      <c r="AX430" s="116"/>
      <c r="AY430" s="116"/>
      <c r="AZ430" s="116"/>
      <c r="BA430" s="116"/>
      <c r="BB430" s="116"/>
    </row>
    <row r="431" spans="4:54" hidden="1">
      <c r="D431" s="116"/>
      <c r="E431" s="116"/>
      <c r="F431" s="116"/>
      <c r="G431" s="116"/>
      <c r="H431" s="116"/>
      <c r="I431" s="116"/>
      <c r="J431" s="116"/>
      <c r="K431" s="116"/>
      <c r="L431" s="116"/>
      <c r="M431" s="116"/>
      <c r="N431" s="116"/>
      <c r="O431" s="116"/>
      <c r="P431" s="116"/>
      <c r="Q431" s="116"/>
      <c r="R431" s="116"/>
      <c r="S431" s="116"/>
      <c r="T431" s="116"/>
      <c r="U431" s="116"/>
      <c r="V431" s="116"/>
      <c r="W431" s="116"/>
      <c r="X431" s="116"/>
      <c r="Y431" s="116"/>
      <c r="Z431" s="116"/>
      <c r="AA431" s="116"/>
      <c r="AB431" s="116"/>
      <c r="AC431" s="116"/>
      <c r="AD431" s="116"/>
      <c r="AE431" s="116"/>
      <c r="AF431" s="116"/>
      <c r="AG431" s="116"/>
      <c r="AH431" s="116"/>
      <c r="AI431" s="116"/>
      <c r="AJ431" s="116"/>
      <c r="AK431" s="116"/>
      <c r="AL431" s="116"/>
      <c r="AM431" s="116"/>
      <c r="AN431" s="116"/>
      <c r="AO431" s="116"/>
      <c r="AP431" s="116"/>
      <c r="AQ431" s="116"/>
      <c r="AR431" s="116"/>
      <c r="AS431" s="116"/>
      <c r="AT431" s="116"/>
      <c r="AU431" s="116"/>
      <c r="AV431" s="116"/>
      <c r="AW431" s="116"/>
      <c r="AX431" s="116"/>
      <c r="AY431" s="116"/>
      <c r="AZ431" s="116"/>
      <c r="BA431" s="116"/>
      <c r="BB431" s="116"/>
    </row>
    <row r="432" spans="4:54" hidden="1">
      <c r="D432" s="116"/>
      <c r="E432" s="116"/>
      <c r="F432" s="116"/>
      <c r="G432" s="116"/>
      <c r="H432" s="116"/>
      <c r="I432" s="116"/>
      <c r="J432" s="116"/>
      <c r="K432" s="116"/>
      <c r="L432" s="116"/>
      <c r="M432" s="116"/>
      <c r="N432" s="116"/>
      <c r="O432" s="116"/>
      <c r="P432" s="116"/>
      <c r="Q432" s="116"/>
      <c r="R432" s="116"/>
      <c r="S432" s="116"/>
      <c r="T432" s="116"/>
      <c r="U432" s="116"/>
      <c r="V432" s="116"/>
      <c r="W432" s="116"/>
      <c r="X432" s="116"/>
      <c r="Y432" s="116"/>
      <c r="Z432" s="116"/>
      <c r="AA432" s="116"/>
      <c r="AB432" s="116"/>
      <c r="AC432" s="116"/>
      <c r="AD432" s="116"/>
      <c r="AE432" s="116"/>
      <c r="AF432" s="116"/>
      <c r="AG432" s="116"/>
      <c r="AH432" s="116"/>
      <c r="AI432" s="116"/>
      <c r="AJ432" s="116"/>
      <c r="AK432" s="116"/>
      <c r="AL432" s="116"/>
      <c r="AM432" s="116"/>
      <c r="AN432" s="116"/>
      <c r="AO432" s="116"/>
      <c r="AP432" s="116"/>
      <c r="AQ432" s="116"/>
      <c r="AR432" s="116"/>
      <c r="AS432" s="116"/>
      <c r="AT432" s="116"/>
      <c r="AU432" s="116"/>
      <c r="AV432" s="116"/>
      <c r="AW432" s="116"/>
      <c r="AX432" s="116"/>
      <c r="AY432" s="116"/>
      <c r="AZ432" s="116"/>
      <c r="BA432" s="116"/>
      <c r="BB432" s="116"/>
    </row>
    <row r="433" spans="4:54" hidden="1">
      <c r="D433" s="116"/>
      <c r="E433" s="116"/>
      <c r="F433" s="116"/>
      <c r="G433" s="116"/>
      <c r="H433" s="116"/>
      <c r="I433" s="116"/>
      <c r="J433" s="116"/>
      <c r="K433" s="116"/>
      <c r="L433" s="116"/>
      <c r="M433" s="116"/>
      <c r="N433" s="116"/>
      <c r="O433" s="116"/>
      <c r="P433" s="116"/>
      <c r="Q433" s="116"/>
      <c r="R433" s="116"/>
      <c r="S433" s="116"/>
      <c r="T433" s="116"/>
      <c r="U433" s="116"/>
      <c r="V433" s="116"/>
      <c r="W433" s="116"/>
      <c r="X433" s="116"/>
      <c r="Y433" s="116"/>
      <c r="Z433" s="116"/>
      <c r="AA433" s="116"/>
      <c r="AB433" s="116"/>
      <c r="AC433" s="116"/>
      <c r="AD433" s="116"/>
      <c r="AE433" s="116"/>
      <c r="AF433" s="116"/>
      <c r="AG433" s="116"/>
      <c r="AH433" s="116"/>
      <c r="AI433" s="116"/>
      <c r="AJ433" s="116"/>
      <c r="AK433" s="116"/>
      <c r="AL433" s="116"/>
      <c r="AM433" s="116"/>
      <c r="AN433" s="116"/>
      <c r="AO433" s="116"/>
      <c r="AP433" s="116"/>
      <c r="AQ433" s="116"/>
      <c r="AR433" s="116"/>
      <c r="AS433" s="116"/>
      <c r="AT433" s="116"/>
      <c r="AU433" s="116"/>
      <c r="AV433" s="116"/>
      <c r="AW433" s="116"/>
      <c r="AX433" s="116"/>
      <c r="AY433" s="116"/>
      <c r="AZ433" s="116"/>
      <c r="BA433" s="116"/>
      <c r="BB433" s="116"/>
    </row>
    <row r="434" spans="4:54" hidden="1">
      <c r="D434" s="116"/>
      <c r="E434" s="116"/>
      <c r="F434" s="116"/>
      <c r="G434" s="116"/>
      <c r="H434" s="116"/>
      <c r="I434" s="116"/>
      <c r="J434" s="116"/>
      <c r="K434" s="116"/>
      <c r="L434" s="116"/>
      <c r="M434" s="116"/>
      <c r="N434" s="116"/>
      <c r="O434" s="116"/>
      <c r="P434" s="116"/>
      <c r="Q434" s="116"/>
      <c r="R434" s="116"/>
      <c r="S434" s="116"/>
      <c r="T434" s="116"/>
      <c r="U434" s="116"/>
      <c r="V434" s="116"/>
      <c r="W434" s="116"/>
      <c r="X434" s="116"/>
      <c r="Y434" s="116"/>
      <c r="Z434" s="116"/>
      <c r="AA434" s="116"/>
      <c r="AB434" s="116"/>
      <c r="AC434" s="116"/>
      <c r="AD434" s="116"/>
      <c r="AE434" s="116"/>
      <c r="AF434" s="116"/>
      <c r="AG434" s="116"/>
      <c r="AH434" s="116"/>
      <c r="AI434" s="116"/>
      <c r="AJ434" s="116"/>
      <c r="AK434" s="116"/>
      <c r="AL434" s="116"/>
      <c r="AM434" s="116"/>
      <c r="AN434" s="116"/>
      <c r="AO434" s="116"/>
      <c r="AP434" s="116"/>
      <c r="AQ434" s="116"/>
      <c r="AR434" s="116"/>
      <c r="AS434" s="116"/>
      <c r="AT434" s="116"/>
      <c r="AU434" s="116"/>
      <c r="AV434" s="116"/>
      <c r="AW434" s="116"/>
      <c r="AX434" s="116"/>
      <c r="AY434" s="116"/>
      <c r="AZ434" s="116"/>
      <c r="BA434" s="116"/>
      <c r="BB434" s="116"/>
    </row>
    <row r="435" spans="4:54" hidden="1">
      <c r="D435" s="116"/>
      <c r="E435" s="116"/>
      <c r="F435" s="116"/>
      <c r="G435" s="116"/>
      <c r="H435" s="116"/>
      <c r="I435" s="116"/>
      <c r="J435" s="116"/>
      <c r="K435" s="116"/>
      <c r="L435" s="116"/>
      <c r="M435" s="116"/>
      <c r="N435" s="116"/>
      <c r="O435" s="116"/>
      <c r="P435" s="116"/>
      <c r="Q435" s="116"/>
      <c r="R435" s="116"/>
      <c r="S435" s="116"/>
      <c r="T435" s="116"/>
      <c r="U435" s="116"/>
      <c r="V435" s="116"/>
      <c r="W435" s="116"/>
      <c r="X435" s="116"/>
      <c r="Y435" s="116"/>
      <c r="Z435" s="116"/>
      <c r="AA435" s="116"/>
      <c r="AB435" s="116"/>
      <c r="AC435" s="116"/>
      <c r="AD435" s="116"/>
      <c r="AE435" s="116"/>
      <c r="AF435" s="116"/>
      <c r="AG435" s="116"/>
      <c r="AH435" s="116"/>
      <c r="AI435" s="116"/>
      <c r="AJ435" s="116"/>
      <c r="AK435" s="116"/>
      <c r="AL435" s="116"/>
      <c r="AM435" s="116"/>
      <c r="AN435" s="116"/>
      <c r="AO435" s="116"/>
      <c r="AP435" s="116"/>
      <c r="AQ435" s="116"/>
      <c r="AR435" s="116"/>
      <c r="AS435" s="116"/>
      <c r="AT435" s="116"/>
      <c r="AU435" s="116"/>
      <c r="AV435" s="116"/>
      <c r="AW435" s="116"/>
      <c r="AX435" s="116"/>
      <c r="AY435" s="116"/>
      <c r="AZ435" s="116"/>
      <c r="BA435" s="116"/>
      <c r="BB435" s="116"/>
    </row>
    <row r="436" spans="4:54" hidden="1">
      <c r="D436" s="116"/>
      <c r="E436" s="116"/>
      <c r="F436" s="116"/>
      <c r="G436" s="116"/>
      <c r="H436" s="116"/>
      <c r="I436" s="116"/>
      <c r="J436" s="116"/>
      <c r="K436" s="116"/>
      <c r="L436" s="116"/>
      <c r="M436" s="116"/>
      <c r="N436" s="116"/>
      <c r="O436" s="116"/>
      <c r="P436" s="116"/>
      <c r="Q436" s="116"/>
      <c r="R436" s="116"/>
      <c r="S436" s="116"/>
      <c r="T436" s="116"/>
      <c r="U436" s="116"/>
      <c r="V436" s="116"/>
      <c r="W436" s="116"/>
      <c r="X436" s="116"/>
      <c r="Y436" s="116"/>
      <c r="Z436" s="116"/>
      <c r="AA436" s="116"/>
      <c r="AB436" s="116"/>
      <c r="AC436" s="116"/>
      <c r="AD436" s="116"/>
      <c r="AE436" s="116"/>
      <c r="AF436" s="116"/>
      <c r="AG436" s="116"/>
      <c r="AH436" s="116"/>
      <c r="AI436" s="116"/>
      <c r="AJ436" s="116"/>
      <c r="AK436" s="116"/>
      <c r="AL436" s="116"/>
      <c r="AM436" s="116"/>
      <c r="AN436" s="116"/>
      <c r="AO436" s="116"/>
      <c r="AP436" s="116"/>
      <c r="AQ436" s="116"/>
      <c r="AR436" s="116"/>
      <c r="AS436" s="116"/>
      <c r="AT436" s="116"/>
      <c r="AU436" s="116"/>
      <c r="AV436" s="116"/>
      <c r="AW436" s="116"/>
      <c r="AX436" s="116"/>
      <c r="AY436" s="116"/>
      <c r="AZ436" s="116"/>
      <c r="BA436" s="116"/>
      <c r="BB436" s="116"/>
    </row>
    <row r="437" spans="4:54" hidden="1">
      <c r="D437" s="116"/>
      <c r="E437" s="116"/>
      <c r="F437" s="116"/>
      <c r="G437" s="116"/>
      <c r="H437" s="116"/>
      <c r="I437" s="116"/>
      <c r="J437" s="116"/>
      <c r="K437" s="116"/>
      <c r="L437" s="116"/>
      <c r="M437" s="116"/>
      <c r="N437" s="116"/>
      <c r="O437" s="116"/>
      <c r="P437" s="116"/>
      <c r="Q437" s="116"/>
      <c r="R437" s="116"/>
      <c r="S437" s="116"/>
      <c r="T437" s="116"/>
      <c r="U437" s="116"/>
      <c r="V437" s="116"/>
      <c r="W437" s="116"/>
      <c r="X437" s="116"/>
      <c r="Y437" s="116"/>
      <c r="Z437" s="116"/>
      <c r="AA437" s="116"/>
      <c r="AB437" s="116"/>
      <c r="AC437" s="116"/>
      <c r="AD437" s="116"/>
      <c r="AE437" s="116"/>
      <c r="AF437" s="116"/>
      <c r="AG437" s="116"/>
      <c r="AH437" s="116"/>
      <c r="AI437" s="116"/>
      <c r="AJ437" s="116"/>
      <c r="AK437" s="116"/>
      <c r="AL437" s="116"/>
      <c r="AM437" s="116"/>
      <c r="AN437" s="116"/>
      <c r="AO437" s="116"/>
      <c r="AP437" s="116"/>
      <c r="AQ437" s="116"/>
      <c r="AR437" s="116"/>
      <c r="AS437" s="116"/>
      <c r="AT437" s="116"/>
      <c r="AU437" s="116"/>
      <c r="AV437" s="116"/>
      <c r="AW437" s="116"/>
      <c r="AX437" s="116"/>
      <c r="AY437" s="116"/>
      <c r="AZ437" s="116"/>
      <c r="BA437" s="116"/>
      <c r="BB437" s="116"/>
    </row>
    <row r="438" spans="4:54" hidden="1">
      <c r="D438" s="116"/>
      <c r="E438" s="116"/>
      <c r="F438" s="116"/>
      <c r="G438" s="116"/>
      <c r="H438" s="116"/>
      <c r="I438" s="116"/>
      <c r="J438" s="116"/>
      <c r="K438" s="116"/>
      <c r="L438" s="116"/>
      <c r="M438" s="116"/>
      <c r="N438" s="116"/>
      <c r="O438" s="116"/>
      <c r="P438" s="116"/>
      <c r="Q438" s="116"/>
      <c r="R438" s="116"/>
      <c r="S438" s="116"/>
      <c r="T438" s="116"/>
      <c r="U438" s="116"/>
      <c r="V438" s="116"/>
      <c r="W438" s="116"/>
      <c r="X438" s="116"/>
      <c r="Y438" s="116"/>
      <c r="Z438" s="116"/>
      <c r="AA438" s="116"/>
      <c r="AB438" s="116"/>
      <c r="AC438" s="116"/>
      <c r="AD438" s="116"/>
      <c r="AE438" s="116"/>
      <c r="AF438" s="116"/>
      <c r="AG438" s="116"/>
      <c r="AH438" s="116"/>
      <c r="AI438" s="116"/>
      <c r="AJ438" s="116"/>
      <c r="AK438" s="116"/>
      <c r="AL438" s="116"/>
      <c r="AM438" s="116"/>
      <c r="AN438" s="116"/>
      <c r="AO438" s="116"/>
      <c r="AP438" s="116"/>
      <c r="AQ438" s="116"/>
      <c r="AR438" s="116"/>
      <c r="AS438" s="116"/>
      <c r="AT438" s="116"/>
      <c r="AU438" s="116"/>
      <c r="AV438" s="116"/>
      <c r="AW438" s="116"/>
      <c r="AX438" s="116"/>
      <c r="AY438" s="116"/>
      <c r="AZ438" s="116"/>
      <c r="BA438" s="116"/>
      <c r="BB438" s="116"/>
    </row>
    <row r="439" spans="4:54" hidden="1">
      <c r="D439" s="116"/>
      <c r="E439" s="116"/>
      <c r="F439" s="116"/>
      <c r="G439" s="116"/>
      <c r="H439" s="116"/>
      <c r="I439" s="116"/>
      <c r="J439" s="116"/>
      <c r="K439" s="116"/>
      <c r="L439" s="116"/>
      <c r="M439" s="116"/>
      <c r="N439" s="116"/>
      <c r="O439" s="116"/>
      <c r="P439" s="116"/>
      <c r="Q439" s="116"/>
      <c r="R439" s="116"/>
      <c r="S439" s="116"/>
      <c r="T439" s="116"/>
      <c r="U439" s="116"/>
      <c r="V439" s="116"/>
      <c r="W439" s="116"/>
      <c r="X439" s="116"/>
      <c r="Y439" s="116"/>
      <c r="Z439" s="116"/>
      <c r="AA439" s="116"/>
      <c r="AB439" s="116"/>
      <c r="AC439" s="116"/>
      <c r="AD439" s="116"/>
      <c r="AE439" s="116"/>
      <c r="AF439" s="116"/>
      <c r="AG439" s="116"/>
      <c r="AH439" s="116"/>
      <c r="AI439" s="116"/>
      <c r="AJ439" s="116"/>
      <c r="AK439" s="116"/>
      <c r="AL439" s="116"/>
      <c r="AM439" s="116"/>
      <c r="AN439" s="116"/>
      <c r="AO439" s="116"/>
      <c r="AP439" s="116"/>
      <c r="AQ439" s="116"/>
      <c r="AR439" s="116"/>
      <c r="AS439" s="116"/>
      <c r="AT439" s="116"/>
      <c r="AU439" s="116"/>
      <c r="AV439" s="116"/>
      <c r="AW439" s="116"/>
      <c r="AX439" s="116"/>
      <c r="AY439" s="116"/>
      <c r="AZ439" s="116"/>
      <c r="BA439" s="116"/>
      <c r="BB439" s="116"/>
    </row>
    <row r="440" spans="4:54" hidden="1">
      <c r="D440" s="116"/>
      <c r="E440" s="116"/>
      <c r="F440" s="116"/>
      <c r="G440" s="116"/>
      <c r="H440" s="116"/>
      <c r="I440" s="116"/>
      <c r="J440" s="116"/>
      <c r="K440" s="116"/>
      <c r="L440" s="116"/>
      <c r="M440" s="116"/>
      <c r="N440" s="116"/>
      <c r="O440" s="116"/>
      <c r="P440" s="116"/>
      <c r="Q440" s="116"/>
      <c r="R440" s="116"/>
      <c r="S440" s="116"/>
      <c r="T440" s="116"/>
      <c r="U440" s="116"/>
      <c r="V440" s="116"/>
      <c r="W440" s="116"/>
      <c r="X440" s="116"/>
      <c r="Y440" s="116"/>
      <c r="Z440" s="116"/>
      <c r="AA440" s="116"/>
      <c r="AB440" s="116"/>
      <c r="AC440" s="116"/>
      <c r="AD440" s="116"/>
      <c r="AE440" s="116"/>
      <c r="AF440" s="116"/>
      <c r="AG440" s="116"/>
      <c r="AH440" s="116"/>
      <c r="AI440" s="116"/>
      <c r="AJ440" s="116"/>
      <c r="AK440" s="116"/>
      <c r="AL440" s="116"/>
      <c r="AM440" s="116"/>
      <c r="AN440" s="116"/>
      <c r="AO440" s="116"/>
      <c r="AP440" s="116"/>
      <c r="AQ440" s="116"/>
      <c r="AR440" s="116"/>
      <c r="AS440" s="116"/>
      <c r="AT440" s="116"/>
      <c r="AU440" s="116"/>
      <c r="AV440" s="116"/>
      <c r="AW440" s="116"/>
      <c r="AX440" s="116"/>
      <c r="AY440" s="116"/>
      <c r="AZ440" s="116"/>
      <c r="BA440" s="116"/>
      <c r="BB440" s="116"/>
    </row>
    <row r="441" spans="4:54" hidden="1">
      <c r="D441" s="116"/>
      <c r="E441" s="116"/>
      <c r="F441" s="116"/>
      <c r="G441" s="116"/>
      <c r="H441" s="116"/>
      <c r="I441" s="116"/>
      <c r="J441" s="116"/>
      <c r="K441" s="116"/>
      <c r="L441" s="116"/>
      <c r="M441" s="116"/>
      <c r="N441" s="116"/>
      <c r="O441" s="116"/>
      <c r="P441" s="116"/>
      <c r="Q441" s="116"/>
      <c r="R441" s="116"/>
      <c r="S441" s="116"/>
      <c r="T441" s="116"/>
      <c r="U441" s="116"/>
      <c r="V441" s="116"/>
      <c r="W441" s="116"/>
      <c r="X441" s="116"/>
      <c r="Y441" s="116"/>
      <c r="Z441" s="116"/>
      <c r="AA441" s="116"/>
      <c r="AB441" s="116"/>
      <c r="AC441" s="116"/>
      <c r="AD441" s="116"/>
      <c r="AE441" s="116"/>
      <c r="AF441" s="116"/>
      <c r="AG441" s="116"/>
      <c r="AH441" s="116"/>
      <c r="AI441" s="116"/>
      <c r="AJ441" s="116"/>
      <c r="AK441" s="116"/>
      <c r="AL441" s="116"/>
      <c r="AM441" s="116"/>
      <c r="AN441" s="116"/>
      <c r="AO441" s="116"/>
      <c r="AP441" s="116"/>
      <c r="AQ441" s="116"/>
      <c r="AR441" s="116"/>
      <c r="AS441" s="116"/>
      <c r="AT441" s="116"/>
      <c r="AU441" s="116"/>
      <c r="AV441" s="116"/>
      <c r="AW441" s="116"/>
      <c r="AX441" s="116"/>
      <c r="AY441" s="116"/>
      <c r="AZ441" s="116"/>
      <c r="BA441" s="116"/>
      <c r="BB441" s="116"/>
    </row>
    <row r="442" spans="4:54" hidden="1">
      <c r="D442" s="116"/>
      <c r="E442" s="116"/>
      <c r="F442" s="116"/>
      <c r="G442" s="116"/>
      <c r="H442" s="116"/>
      <c r="I442" s="116"/>
      <c r="J442" s="116"/>
      <c r="K442" s="116"/>
      <c r="L442" s="116"/>
      <c r="M442" s="116"/>
      <c r="N442" s="116"/>
      <c r="O442" s="116"/>
      <c r="P442" s="116"/>
      <c r="Q442" s="116"/>
      <c r="R442" s="116"/>
      <c r="S442" s="116"/>
      <c r="T442" s="116"/>
      <c r="U442" s="116"/>
      <c r="V442" s="116"/>
      <c r="W442" s="116"/>
      <c r="X442" s="116"/>
      <c r="Y442" s="116"/>
      <c r="Z442" s="116"/>
      <c r="AA442" s="116"/>
      <c r="AB442" s="116"/>
      <c r="AC442" s="116"/>
      <c r="AD442" s="116"/>
      <c r="AE442" s="116"/>
      <c r="AF442" s="116"/>
      <c r="AG442" s="116"/>
      <c r="AH442" s="116"/>
      <c r="AI442" s="116"/>
      <c r="AJ442" s="116"/>
      <c r="AK442" s="116"/>
      <c r="AL442" s="116"/>
      <c r="AM442" s="116"/>
      <c r="AN442" s="116"/>
      <c r="AO442" s="116"/>
      <c r="AP442" s="116"/>
      <c r="AQ442" s="116"/>
      <c r="AR442" s="116"/>
      <c r="AS442" s="116"/>
      <c r="AT442" s="116"/>
      <c r="AU442" s="116"/>
      <c r="AV442" s="116"/>
      <c r="AW442" s="116"/>
      <c r="AX442" s="116"/>
      <c r="AY442" s="116"/>
      <c r="AZ442" s="116"/>
      <c r="BA442" s="116"/>
      <c r="BB442" s="116"/>
    </row>
    <row r="443" spans="4:54" hidden="1">
      <c r="D443" s="116"/>
      <c r="E443" s="116"/>
      <c r="F443" s="116"/>
      <c r="G443" s="116"/>
      <c r="H443" s="116"/>
      <c r="I443" s="116"/>
      <c r="J443" s="116"/>
      <c r="K443" s="116"/>
      <c r="L443" s="116"/>
      <c r="M443" s="116"/>
      <c r="N443" s="116"/>
      <c r="O443" s="116"/>
      <c r="P443" s="116"/>
      <c r="Q443" s="116"/>
      <c r="R443" s="116"/>
      <c r="S443" s="116"/>
      <c r="T443" s="116"/>
      <c r="U443" s="116"/>
      <c r="V443" s="116"/>
      <c r="W443" s="116"/>
      <c r="X443" s="116"/>
      <c r="Y443" s="116"/>
      <c r="Z443" s="116"/>
      <c r="AA443" s="116"/>
      <c r="AB443" s="116"/>
      <c r="AC443" s="116"/>
      <c r="AD443" s="116"/>
      <c r="AE443" s="116"/>
      <c r="AF443" s="116"/>
      <c r="AG443" s="116"/>
      <c r="AH443" s="116"/>
      <c r="AI443" s="116"/>
      <c r="AJ443" s="116"/>
      <c r="AK443" s="116"/>
      <c r="AL443" s="116"/>
      <c r="AM443" s="116"/>
      <c r="AN443" s="116"/>
      <c r="AO443" s="116"/>
      <c r="AP443" s="116"/>
      <c r="AQ443" s="116"/>
      <c r="AR443" s="116"/>
      <c r="AS443" s="116"/>
      <c r="AT443" s="116"/>
      <c r="AU443" s="116"/>
      <c r="AV443" s="116"/>
      <c r="AW443" s="116"/>
      <c r="AX443" s="116"/>
      <c r="AY443" s="116"/>
      <c r="AZ443" s="116"/>
      <c r="BA443" s="116"/>
      <c r="BB443" s="116"/>
    </row>
    <row r="444" spans="4:54" hidden="1">
      <c r="D444" s="116"/>
      <c r="E444" s="116"/>
      <c r="F444" s="116"/>
      <c r="G444" s="116"/>
      <c r="H444" s="116"/>
      <c r="I444" s="116"/>
      <c r="J444" s="116"/>
      <c r="K444" s="116"/>
      <c r="L444" s="116"/>
      <c r="M444" s="116"/>
      <c r="N444" s="116"/>
      <c r="O444" s="116"/>
      <c r="P444" s="116"/>
      <c r="Q444" s="116"/>
      <c r="R444" s="116"/>
      <c r="S444" s="116"/>
      <c r="T444" s="116"/>
      <c r="U444" s="116"/>
      <c r="V444" s="116"/>
      <c r="W444" s="116"/>
      <c r="X444" s="116"/>
      <c r="Y444" s="116"/>
      <c r="Z444" s="116"/>
      <c r="AA444" s="116"/>
      <c r="AB444" s="116"/>
      <c r="AC444" s="116"/>
      <c r="AD444" s="116"/>
      <c r="AE444" s="116"/>
      <c r="AF444" s="116"/>
      <c r="AG444" s="116"/>
      <c r="AH444" s="116"/>
      <c r="AI444" s="116"/>
      <c r="AJ444" s="116"/>
      <c r="AK444" s="116"/>
      <c r="AL444" s="116"/>
      <c r="AM444" s="116"/>
      <c r="AN444" s="116"/>
      <c r="AO444" s="116"/>
      <c r="AP444" s="116"/>
      <c r="AQ444" s="116"/>
      <c r="AR444" s="116"/>
      <c r="AS444" s="116"/>
      <c r="AT444" s="116"/>
      <c r="AU444" s="116"/>
      <c r="AV444" s="116"/>
      <c r="AW444" s="116"/>
      <c r="AX444" s="116"/>
      <c r="AY444" s="116"/>
      <c r="AZ444" s="116"/>
      <c r="BA444" s="116"/>
      <c r="BB444" s="116"/>
    </row>
    <row r="445" spans="4:54" hidden="1">
      <c r="D445" s="116"/>
      <c r="E445" s="116"/>
      <c r="F445" s="116"/>
      <c r="G445" s="116"/>
      <c r="H445" s="116"/>
      <c r="I445" s="116"/>
      <c r="J445" s="116"/>
      <c r="K445" s="116"/>
      <c r="L445" s="116"/>
      <c r="M445" s="116"/>
      <c r="N445" s="116"/>
      <c r="O445" s="116"/>
      <c r="P445" s="116"/>
      <c r="Q445" s="116"/>
      <c r="R445" s="116"/>
      <c r="S445" s="116"/>
      <c r="T445" s="116"/>
      <c r="U445" s="116"/>
      <c r="V445" s="116"/>
      <c r="W445" s="116"/>
      <c r="X445" s="116"/>
      <c r="Y445" s="116"/>
      <c r="Z445" s="116"/>
      <c r="AA445" s="116"/>
      <c r="AB445" s="116"/>
      <c r="AC445" s="116"/>
      <c r="AD445" s="116"/>
      <c r="AE445" s="116"/>
      <c r="AF445" s="116"/>
      <c r="AG445" s="116"/>
      <c r="AH445" s="116"/>
      <c r="AI445" s="116"/>
      <c r="AJ445" s="116"/>
      <c r="AK445" s="116"/>
      <c r="AL445" s="116"/>
      <c r="AM445" s="116"/>
      <c r="AN445" s="116"/>
      <c r="AO445" s="116"/>
      <c r="AP445" s="116"/>
      <c r="AQ445" s="116"/>
      <c r="AR445" s="116"/>
      <c r="AS445" s="116"/>
      <c r="AT445" s="116"/>
      <c r="AU445" s="116"/>
      <c r="AV445" s="116"/>
      <c r="AW445" s="116"/>
      <c r="AX445" s="116"/>
      <c r="AY445" s="116"/>
      <c r="AZ445" s="116"/>
      <c r="BA445" s="116"/>
      <c r="BB445" s="116"/>
    </row>
    <row r="446" spans="4:54" hidden="1">
      <c r="D446" s="116"/>
      <c r="E446" s="116"/>
      <c r="F446" s="116"/>
      <c r="G446" s="116"/>
      <c r="H446" s="116"/>
      <c r="I446" s="116"/>
      <c r="J446" s="116"/>
      <c r="K446" s="116"/>
      <c r="L446" s="116"/>
      <c r="M446" s="116"/>
      <c r="N446" s="116"/>
      <c r="O446" s="116"/>
      <c r="P446" s="116"/>
      <c r="Q446" s="116"/>
      <c r="R446" s="116"/>
      <c r="S446" s="116"/>
      <c r="T446" s="116"/>
      <c r="U446" s="116"/>
      <c r="V446" s="116"/>
      <c r="W446" s="116"/>
      <c r="X446" s="116"/>
      <c r="Y446" s="116"/>
      <c r="Z446" s="116"/>
      <c r="AA446" s="116"/>
      <c r="AB446" s="116"/>
      <c r="AC446" s="116"/>
      <c r="AD446" s="116"/>
      <c r="AE446" s="116"/>
      <c r="AF446" s="116"/>
      <c r="AG446" s="116"/>
      <c r="AH446" s="116"/>
      <c r="AI446" s="116"/>
      <c r="AJ446" s="116"/>
      <c r="AK446" s="116"/>
      <c r="AL446" s="116"/>
      <c r="AM446" s="116"/>
      <c r="AN446" s="116"/>
      <c r="AO446" s="116"/>
      <c r="AP446" s="116"/>
      <c r="AQ446" s="116"/>
      <c r="AR446" s="116"/>
      <c r="AS446" s="116"/>
      <c r="AT446" s="116"/>
      <c r="AU446" s="116"/>
      <c r="AV446" s="116"/>
      <c r="AW446" s="116"/>
      <c r="AX446" s="116"/>
      <c r="AY446" s="116"/>
      <c r="AZ446" s="116"/>
      <c r="BA446" s="116"/>
      <c r="BB446" s="116"/>
    </row>
    <row r="447" spans="4:54" hidden="1">
      <c r="D447" s="116"/>
      <c r="E447" s="116"/>
      <c r="F447" s="116"/>
      <c r="G447" s="116"/>
      <c r="H447" s="116"/>
      <c r="I447" s="116"/>
      <c r="J447" s="116"/>
      <c r="K447" s="116"/>
      <c r="L447" s="116"/>
      <c r="M447" s="116"/>
      <c r="N447" s="116"/>
      <c r="O447" s="116"/>
      <c r="P447" s="116"/>
      <c r="Q447" s="116"/>
      <c r="R447" s="116"/>
      <c r="S447" s="116"/>
      <c r="T447" s="116"/>
      <c r="U447" s="116"/>
      <c r="V447" s="116"/>
      <c r="W447" s="116"/>
      <c r="X447" s="116"/>
      <c r="Y447" s="116"/>
      <c r="Z447" s="116"/>
      <c r="AA447" s="116"/>
      <c r="AB447" s="116"/>
      <c r="AC447" s="116"/>
      <c r="AD447" s="116"/>
      <c r="AE447" s="116"/>
      <c r="AF447" s="116"/>
      <c r="AG447" s="116"/>
      <c r="AH447" s="116"/>
      <c r="AI447" s="116"/>
      <c r="AJ447" s="116"/>
      <c r="AK447" s="116"/>
      <c r="AL447" s="116"/>
      <c r="AM447" s="116"/>
      <c r="AN447" s="116"/>
      <c r="AO447" s="116"/>
      <c r="AP447" s="116"/>
      <c r="AQ447" s="116"/>
      <c r="AR447" s="116"/>
      <c r="AS447" s="116"/>
      <c r="AT447" s="116"/>
      <c r="AU447" s="116"/>
      <c r="AV447" s="116"/>
      <c r="AW447" s="116"/>
      <c r="AX447" s="116"/>
      <c r="AY447" s="116"/>
      <c r="AZ447" s="116"/>
      <c r="BA447" s="116"/>
      <c r="BB447" s="116"/>
    </row>
    <row r="448" spans="4:54" hidden="1">
      <c r="D448" s="116"/>
      <c r="E448" s="116"/>
      <c r="F448" s="116"/>
      <c r="G448" s="116"/>
      <c r="H448" s="116"/>
      <c r="I448" s="116"/>
      <c r="J448" s="116"/>
      <c r="K448" s="116"/>
      <c r="L448" s="116"/>
      <c r="M448" s="116"/>
      <c r="N448" s="116"/>
      <c r="O448" s="116"/>
      <c r="P448" s="116"/>
      <c r="Q448" s="116"/>
      <c r="R448" s="116"/>
      <c r="S448" s="116"/>
      <c r="T448" s="116"/>
      <c r="U448" s="116"/>
      <c r="V448" s="116"/>
      <c r="W448" s="116"/>
      <c r="X448" s="116"/>
      <c r="Y448" s="116"/>
      <c r="Z448" s="116"/>
      <c r="AA448" s="116"/>
      <c r="AB448" s="116"/>
      <c r="AC448" s="116"/>
      <c r="AD448" s="116"/>
      <c r="AE448" s="116"/>
      <c r="AF448" s="116"/>
      <c r="AG448" s="116"/>
      <c r="AH448" s="116"/>
      <c r="AI448" s="116"/>
      <c r="AJ448" s="116"/>
      <c r="AK448" s="116"/>
      <c r="AL448" s="116"/>
      <c r="AM448" s="116"/>
      <c r="AN448" s="116"/>
      <c r="AO448" s="116"/>
      <c r="AP448" s="116"/>
      <c r="AQ448" s="116"/>
      <c r="AR448" s="116"/>
      <c r="AS448" s="116"/>
      <c r="AT448" s="116"/>
      <c r="AU448" s="116"/>
      <c r="AV448" s="116"/>
      <c r="AW448" s="116"/>
      <c r="AX448" s="116"/>
      <c r="AY448" s="116"/>
      <c r="AZ448" s="116"/>
      <c r="BA448" s="116"/>
      <c r="BB448" s="116"/>
    </row>
    <row r="449" spans="4:54" hidden="1">
      <c r="D449" s="116"/>
      <c r="E449" s="116"/>
      <c r="F449" s="116"/>
      <c r="G449" s="116"/>
      <c r="H449" s="116"/>
      <c r="I449" s="116"/>
      <c r="J449" s="116"/>
      <c r="K449" s="116"/>
      <c r="L449" s="116"/>
      <c r="M449" s="116"/>
      <c r="N449" s="116"/>
      <c r="O449" s="116"/>
      <c r="P449" s="116"/>
      <c r="Q449" s="116"/>
      <c r="R449" s="116"/>
      <c r="S449" s="116"/>
      <c r="T449" s="116"/>
      <c r="U449" s="116"/>
      <c r="V449" s="116"/>
      <c r="W449" s="116"/>
      <c r="X449" s="116"/>
      <c r="Y449" s="116"/>
      <c r="Z449" s="116"/>
      <c r="AA449" s="116"/>
      <c r="AB449" s="116"/>
      <c r="AC449" s="116"/>
      <c r="AD449" s="116"/>
      <c r="AE449" s="116"/>
      <c r="AF449" s="116"/>
      <c r="AG449" s="116"/>
      <c r="AH449" s="116"/>
      <c r="AI449" s="116"/>
      <c r="AJ449" s="116"/>
      <c r="AK449" s="116"/>
      <c r="AL449" s="116"/>
      <c r="AM449" s="116"/>
      <c r="AN449" s="116"/>
      <c r="AO449" s="116"/>
      <c r="AP449" s="116"/>
      <c r="AQ449" s="116"/>
      <c r="AR449" s="116"/>
      <c r="AS449" s="116"/>
      <c r="AT449" s="116"/>
      <c r="AU449" s="116"/>
      <c r="AV449" s="116"/>
      <c r="AW449" s="116"/>
      <c r="AX449" s="116"/>
      <c r="AY449" s="116"/>
      <c r="AZ449" s="116"/>
      <c r="BA449" s="116"/>
      <c r="BB449" s="116"/>
    </row>
    <row r="450" spans="4:54" hidden="1">
      <c r="D450" s="116"/>
      <c r="E450" s="116"/>
      <c r="F450" s="116"/>
      <c r="G450" s="116"/>
      <c r="H450" s="116"/>
      <c r="I450" s="116"/>
      <c r="J450" s="116"/>
      <c r="K450" s="116"/>
      <c r="L450" s="116"/>
      <c r="M450" s="116"/>
      <c r="N450" s="116"/>
      <c r="O450" s="116"/>
      <c r="P450" s="116"/>
      <c r="Q450" s="116"/>
      <c r="R450" s="116"/>
      <c r="S450" s="116"/>
      <c r="T450" s="116"/>
      <c r="U450" s="116"/>
      <c r="V450" s="116"/>
      <c r="W450" s="116"/>
      <c r="X450" s="116"/>
      <c r="Y450" s="116"/>
      <c r="Z450" s="116"/>
      <c r="AA450" s="116"/>
      <c r="AB450" s="116"/>
      <c r="AC450" s="116"/>
      <c r="AD450" s="116"/>
      <c r="AE450" s="116"/>
      <c r="AF450" s="116"/>
      <c r="AG450" s="116"/>
      <c r="AH450" s="116"/>
      <c r="AI450" s="116"/>
      <c r="AJ450" s="116"/>
      <c r="AK450" s="116"/>
      <c r="AL450" s="116"/>
      <c r="AM450" s="116"/>
      <c r="AN450" s="116"/>
      <c r="AO450" s="116"/>
      <c r="AP450" s="116"/>
      <c r="AQ450" s="116"/>
      <c r="AR450" s="116"/>
      <c r="AS450" s="116"/>
      <c r="AT450" s="116"/>
      <c r="AU450" s="116"/>
      <c r="AV450" s="116"/>
      <c r="AW450" s="116"/>
      <c r="AX450" s="116"/>
      <c r="AY450" s="116"/>
      <c r="AZ450" s="116"/>
      <c r="BA450" s="116"/>
      <c r="BB450" s="116"/>
    </row>
    <row r="451" spans="4:54" hidden="1">
      <c r="D451" s="116"/>
      <c r="E451" s="116"/>
      <c r="F451" s="116"/>
      <c r="G451" s="116"/>
      <c r="H451" s="116"/>
      <c r="I451" s="116"/>
      <c r="J451" s="116"/>
      <c r="K451" s="116"/>
      <c r="L451" s="116"/>
      <c r="M451" s="116"/>
      <c r="N451" s="116"/>
      <c r="O451" s="116"/>
      <c r="P451" s="116"/>
      <c r="Q451" s="116"/>
      <c r="R451" s="116"/>
      <c r="S451" s="116"/>
      <c r="T451" s="116"/>
      <c r="U451" s="116"/>
      <c r="V451" s="116"/>
      <c r="W451" s="116"/>
      <c r="X451" s="116"/>
      <c r="Y451" s="116"/>
      <c r="Z451" s="116"/>
      <c r="AA451" s="116"/>
      <c r="AB451" s="116"/>
      <c r="AC451" s="116"/>
      <c r="AD451" s="116"/>
      <c r="AE451" s="116"/>
      <c r="AF451" s="116"/>
      <c r="AG451" s="116"/>
      <c r="AH451" s="116"/>
      <c r="AI451" s="116"/>
      <c r="AJ451" s="116"/>
      <c r="AK451" s="116"/>
      <c r="AL451" s="116"/>
      <c r="AM451" s="116"/>
      <c r="AN451" s="116"/>
      <c r="AO451" s="116"/>
      <c r="AP451" s="116"/>
      <c r="AQ451" s="116"/>
      <c r="AR451" s="116"/>
      <c r="AS451" s="116"/>
      <c r="AT451" s="116"/>
      <c r="AU451" s="116"/>
      <c r="AV451" s="116"/>
      <c r="AW451" s="116"/>
      <c r="AX451" s="116"/>
      <c r="AY451" s="116"/>
      <c r="AZ451" s="116"/>
      <c r="BA451" s="116"/>
      <c r="BB451" s="116"/>
    </row>
    <row r="452" spans="4:54" hidden="1">
      <c r="D452" s="116"/>
      <c r="E452" s="116"/>
      <c r="F452" s="116"/>
      <c r="G452" s="116"/>
      <c r="H452" s="116"/>
      <c r="I452" s="116"/>
      <c r="J452" s="116"/>
      <c r="K452" s="116"/>
      <c r="L452" s="116"/>
      <c r="M452" s="116"/>
      <c r="N452" s="116"/>
      <c r="O452" s="116"/>
      <c r="P452" s="116"/>
      <c r="Q452" s="116"/>
      <c r="R452" s="116"/>
      <c r="S452" s="116"/>
      <c r="T452" s="116"/>
      <c r="U452" s="116"/>
      <c r="V452" s="116"/>
      <c r="W452" s="116"/>
      <c r="X452" s="116"/>
      <c r="Y452" s="116"/>
      <c r="Z452" s="116"/>
      <c r="AA452" s="116"/>
      <c r="AB452" s="116"/>
      <c r="AC452" s="116"/>
      <c r="AD452" s="116"/>
      <c r="AE452" s="116"/>
      <c r="AF452" s="116"/>
      <c r="AG452" s="116"/>
      <c r="AH452" s="116"/>
      <c r="AI452" s="116"/>
      <c r="AJ452" s="116"/>
      <c r="AK452" s="116"/>
      <c r="AL452" s="116"/>
      <c r="AM452" s="116"/>
      <c r="AN452" s="116"/>
      <c r="AO452" s="116"/>
      <c r="AP452" s="116"/>
      <c r="AQ452" s="116"/>
      <c r="AR452" s="116"/>
      <c r="AS452" s="116"/>
      <c r="AT452" s="116"/>
      <c r="AU452" s="116"/>
      <c r="AV452" s="116"/>
      <c r="AW452" s="116"/>
      <c r="AX452" s="116"/>
      <c r="AY452" s="116"/>
      <c r="AZ452" s="116"/>
      <c r="BA452" s="116"/>
      <c r="BB452" s="116"/>
    </row>
    <row r="453" spans="4:54" hidden="1">
      <c r="D453" s="116"/>
      <c r="E453" s="116"/>
      <c r="F453" s="116"/>
      <c r="G453" s="116"/>
      <c r="H453" s="116"/>
      <c r="I453" s="116"/>
      <c r="J453" s="116"/>
      <c r="K453" s="116"/>
      <c r="L453" s="116"/>
      <c r="M453" s="116"/>
      <c r="N453" s="116"/>
      <c r="O453" s="116"/>
      <c r="P453" s="116"/>
      <c r="Q453" s="116"/>
      <c r="R453" s="116"/>
      <c r="S453" s="116"/>
      <c r="T453" s="116"/>
      <c r="U453" s="116"/>
      <c r="V453" s="116"/>
      <c r="W453" s="116"/>
      <c r="X453" s="116"/>
      <c r="Y453" s="116"/>
      <c r="Z453" s="116"/>
      <c r="AA453" s="116"/>
      <c r="AB453" s="116"/>
      <c r="AC453" s="116"/>
      <c r="AD453" s="116"/>
      <c r="AE453" s="116"/>
      <c r="AF453" s="116"/>
      <c r="AG453" s="116"/>
      <c r="AH453" s="116"/>
      <c r="AI453" s="116"/>
      <c r="AJ453" s="116"/>
      <c r="AK453" s="116"/>
      <c r="AL453" s="116"/>
      <c r="AM453" s="116"/>
      <c r="AN453" s="116"/>
      <c r="AO453" s="116"/>
      <c r="AP453" s="116"/>
      <c r="AQ453" s="116"/>
      <c r="AR453" s="116"/>
      <c r="AS453" s="116"/>
      <c r="AT453" s="116"/>
      <c r="AU453" s="116"/>
      <c r="AV453" s="116"/>
      <c r="AW453" s="116"/>
      <c r="AX453" s="116"/>
      <c r="AY453" s="116"/>
      <c r="AZ453" s="116"/>
      <c r="BA453" s="116"/>
      <c r="BB453" s="116"/>
    </row>
    <row r="454" spans="4:54" hidden="1">
      <c r="D454" s="116"/>
      <c r="E454" s="116"/>
      <c r="F454" s="116"/>
      <c r="G454" s="116"/>
      <c r="H454" s="116"/>
      <c r="I454" s="116"/>
      <c r="J454" s="116"/>
      <c r="K454" s="116"/>
      <c r="L454" s="116"/>
      <c r="M454" s="116"/>
      <c r="N454" s="116"/>
      <c r="O454" s="116"/>
      <c r="P454" s="116"/>
      <c r="Q454" s="116"/>
      <c r="R454" s="116"/>
      <c r="S454" s="116"/>
      <c r="T454" s="116"/>
      <c r="U454" s="116"/>
      <c r="V454" s="116"/>
      <c r="W454" s="116"/>
      <c r="X454" s="116"/>
      <c r="Y454" s="116"/>
      <c r="Z454" s="116"/>
      <c r="AA454" s="116"/>
      <c r="AB454" s="116"/>
      <c r="AC454" s="116"/>
      <c r="AD454" s="116"/>
      <c r="AE454" s="116"/>
      <c r="AF454" s="116"/>
      <c r="AG454" s="116"/>
      <c r="AH454" s="116"/>
      <c r="AI454" s="116"/>
      <c r="AJ454" s="116"/>
      <c r="AK454" s="116"/>
      <c r="AL454" s="116"/>
      <c r="AM454" s="116"/>
      <c r="AN454" s="116"/>
      <c r="AO454" s="116"/>
      <c r="AP454" s="116"/>
      <c r="AQ454" s="116"/>
      <c r="AR454" s="116"/>
      <c r="AS454" s="116"/>
      <c r="AT454" s="116"/>
      <c r="AU454" s="116"/>
      <c r="AV454" s="116"/>
      <c r="AW454" s="116"/>
      <c r="AX454" s="116"/>
      <c r="AY454" s="116"/>
      <c r="AZ454" s="116"/>
      <c r="BA454" s="116"/>
      <c r="BB454" s="116"/>
    </row>
    <row r="455" spans="4:54" hidden="1">
      <c r="D455" s="116"/>
      <c r="E455" s="116"/>
      <c r="F455" s="116"/>
      <c r="G455" s="116"/>
      <c r="H455" s="116"/>
      <c r="I455" s="116"/>
      <c r="J455" s="116"/>
      <c r="K455" s="116"/>
      <c r="L455" s="116"/>
      <c r="M455" s="116"/>
      <c r="N455" s="116"/>
      <c r="O455" s="116"/>
      <c r="P455" s="116"/>
      <c r="Q455" s="116"/>
      <c r="R455" s="116"/>
      <c r="S455" s="116"/>
      <c r="T455" s="116"/>
      <c r="U455" s="116"/>
      <c r="V455" s="116"/>
      <c r="W455" s="116"/>
      <c r="X455" s="116"/>
      <c r="Y455" s="116"/>
      <c r="Z455" s="116"/>
      <c r="AA455" s="116"/>
      <c r="AB455" s="116"/>
      <c r="AC455" s="116"/>
      <c r="AD455" s="116"/>
      <c r="AE455" s="116"/>
      <c r="AF455" s="116"/>
      <c r="AG455" s="116"/>
      <c r="AH455" s="116"/>
      <c r="AI455" s="116"/>
      <c r="AJ455" s="116"/>
      <c r="AK455" s="116"/>
      <c r="AL455" s="116"/>
      <c r="AM455" s="116"/>
      <c r="AN455" s="116"/>
      <c r="AO455" s="116"/>
      <c r="AP455" s="116"/>
      <c r="AQ455" s="116"/>
      <c r="AR455" s="116"/>
      <c r="AS455" s="116"/>
      <c r="AT455" s="116"/>
      <c r="AU455" s="116"/>
      <c r="AV455" s="116"/>
      <c r="AW455" s="116"/>
      <c r="AX455" s="116"/>
      <c r="AY455" s="116"/>
      <c r="AZ455" s="116"/>
      <c r="BA455" s="116"/>
      <c r="BB455" s="116"/>
    </row>
    <row r="456" spans="4:54" hidden="1">
      <c r="D456" s="116"/>
      <c r="E456" s="116"/>
      <c r="F456" s="116"/>
      <c r="G456" s="116"/>
      <c r="H456" s="116"/>
      <c r="I456" s="116"/>
      <c r="J456" s="116"/>
      <c r="K456" s="116"/>
      <c r="L456" s="116"/>
      <c r="M456" s="116"/>
      <c r="N456" s="116"/>
      <c r="O456" s="116"/>
      <c r="P456" s="116"/>
      <c r="Q456" s="116"/>
      <c r="R456" s="116"/>
      <c r="S456" s="116"/>
      <c r="T456" s="116"/>
      <c r="U456" s="116"/>
      <c r="V456" s="116"/>
      <c r="W456" s="116"/>
      <c r="X456" s="116"/>
      <c r="Y456" s="116"/>
      <c r="Z456" s="116"/>
      <c r="AA456" s="116"/>
      <c r="AB456" s="116"/>
      <c r="AC456" s="116"/>
      <c r="AD456" s="116"/>
      <c r="AE456" s="116"/>
      <c r="AF456" s="116"/>
      <c r="AG456" s="116"/>
      <c r="AH456" s="116"/>
      <c r="AI456" s="116"/>
      <c r="AJ456" s="116"/>
      <c r="AK456" s="116"/>
      <c r="AL456" s="116"/>
      <c r="AM456" s="116"/>
      <c r="AN456" s="116"/>
      <c r="AO456" s="116"/>
      <c r="AP456" s="116"/>
      <c r="AQ456" s="116"/>
      <c r="AR456" s="116"/>
      <c r="AS456" s="116"/>
      <c r="AT456" s="116"/>
      <c r="AU456" s="116"/>
      <c r="AV456" s="116"/>
      <c r="AW456" s="116"/>
      <c r="AX456" s="116"/>
      <c r="AY456" s="116"/>
      <c r="AZ456" s="116"/>
      <c r="BA456" s="116"/>
      <c r="BB456" s="116"/>
    </row>
    <row r="457" spans="4:54" hidden="1">
      <c r="D457" s="116"/>
      <c r="E457" s="116"/>
      <c r="F457" s="116"/>
      <c r="G457" s="116"/>
      <c r="H457" s="116"/>
      <c r="I457" s="116"/>
      <c r="J457" s="116"/>
      <c r="K457" s="116"/>
      <c r="L457" s="116"/>
      <c r="M457" s="116"/>
      <c r="N457" s="116"/>
      <c r="O457" s="116"/>
      <c r="P457" s="116"/>
      <c r="Q457" s="116"/>
      <c r="R457" s="116"/>
      <c r="S457" s="116"/>
      <c r="T457" s="116"/>
      <c r="U457" s="116"/>
      <c r="V457" s="116"/>
      <c r="W457" s="116"/>
      <c r="X457" s="116"/>
      <c r="Y457" s="116"/>
      <c r="Z457" s="116"/>
      <c r="AA457" s="116"/>
      <c r="AB457" s="116"/>
      <c r="AC457" s="116"/>
      <c r="AD457" s="116"/>
      <c r="AE457" s="116"/>
      <c r="AF457" s="116"/>
      <c r="AG457" s="116"/>
      <c r="AH457" s="116"/>
      <c r="AI457" s="116"/>
      <c r="AJ457" s="116"/>
      <c r="AK457" s="116"/>
      <c r="AL457" s="116"/>
      <c r="AM457" s="116"/>
      <c r="AN457" s="116"/>
      <c r="AO457" s="116"/>
      <c r="AP457" s="116"/>
      <c r="AQ457" s="116"/>
      <c r="AR457" s="116"/>
      <c r="AS457" s="116"/>
      <c r="AT457" s="116"/>
      <c r="AU457" s="116"/>
      <c r="AV457" s="116"/>
      <c r="AW457" s="116"/>
      <c r="AX457" s="116"/>
      <c r="AY457" s="116"/>
      <c r="AZ457" s="116"/>
      <c r="BA457" s="116"/>
      <c r="BB457" s="116"/>
    </row>
    <row r="458" spans="4:54" hidden="1">
      <c r="D458" s="116"/>
      <c r="E458" s="116"/>
      <c r="F458" s="116"/>
      <c r="G458" s="116"/>
      <c r="H458" s="116"/>
      <c r="I458" s="116"/>
      <c r="J458" s="116"/>
      <c r="K458" s="116"/>
      <c r="L458" s="116"/>
      <c r="M458" s="116"/>
      <c r="N458" s="116"/>
      <c r="O458" s="116"/>
      <c r="P458" s="116"/>
      <c r="Q458" s="116"/>
      <c r="R458" s="116"/>
      <c r="S458" s="116"/>
      <c r="T458" s="116"/>
      <c r="U458" s="116"/>
      <c r="V458" s="116"/>
      <c r="W458" s="116"/>
      <c r="X458" s="116"/>
      <c r="Y458" s="116"/>
      <c r="Z458" s="116"/>
      <c r="AA458" s="116"/>
      <c r="AB458" s="116"/>
      <c r="AC458" s="116"/>
      <c r="AD458" s="116"/>
      <c r="AE458" s="116"/>
      <c r="AF458" s="116"/>
      <c r="AG458" s="116"/>
      <c r="AH458" s="116"/>
      <c r="AI458" s="116"/>
      <c r="AJ458" s="116"/>
      <c r="AK458" s="116"/>
      <c r="AL458" s="116"/>
      <c r="AM458" s="116"/>
      <c r="AN458" s="116"/>
      <c r="AO458" s="116"/>
      <c r="AP458" s="116"/>
      <c r="AQ458" s="116"/>
      <c r="AR458" s="116"/>
      <c r="AS458" s="116"/>
      <c r="AT458" s="116"/>
      <c r="AU458" s="116"/>
      <c r="AV458" s="116"/>
      <c r="AW458" s="116"/>
      <c r="AX458" s="116"/>
      <c r="AY458" s="116"/>
      <c r="AZ458" s="116"/>
      <c r="BA458" s="116"/>
      <c r="BB458" s="116"/>
    </row>
    <row r="459" spans="4:54" hidden="1">
      <c r="D459" s="116"/>
      <c r="E459" s="116"/>
      <c r="F459" s="116"/>
      <c r="G459" s="116"/>
      <c r="H459" s="116"/>
      <c r="I459" s="116"/>
      <c r="J459" s="116"/>
      <c r="K459" s="116"/>
      <c r="L459" s="116"/>
      <c r="M459" s="116"/>
      <c r="N459" s="116"/>
      <c r="O459" s="116"/>
      <c r="P459" s="116"/>
      <c r="Q459" s="116"/>
      <c r="R459" s="116"/>
      <c r="S459" s="116"/>
      <c r="T459" s="116"/>
      <c r="U459" s="116"/>
      <c r="V459" s="116"/>
      <c r="W459" s="116"/>
      <c r="X459" s="116"/>
      <c r="Y459" s="116"/>
      <c r="Z459" s="116"/>
      <c r="AA459" s="116"/>
      <c r="AB459" s="116"/>
      <c r="AC459" s="116"/>
      <c r="AD459" s="116"/>
      <c r="AE459" s="116"/>
      <c r="AF459" s="116"/>
      <c r="AG459" s="116"/>
      <c r="AH459" s="116"/>
      <c r="AI459" s="116"/>
      <c r="AJ459" s="116"/>
      <c r="AK459" s="116"/>
      <c r="AL459" s="116"/>
      <c r="AM459" s="116"/>
      <c r="AN459" s="116"/>
      <c r="AO459" s="116"/>
      <c r="AP459" s="116"/>
      <c r="AQ459" s="116"/>
      <c r="AR459" s="116"/>
      <c r="AS459" s="116"/>
      <c r="AT459" s="116"/>
      <c r="AU459" s="116"/>
      <c r="AV459" s="116"/>
      <c r="AW459" s="116"/>
      <c r="AX459" s="116"/>
      <c r="AY459" s="116"/>
      <c r="AZ459" s="116"/>
      <c r="BA459" s="116"/>
      <c r="BB459" s="116"/>
    </row>
    <row r="460" spans="4:54" hidden="1">
      <c r="D460" s="116"/>
      <c r="E460" s="116"/>
      <c r="F460" s="116"/>
      <c r="G460" s="116"/>
      <c r="H460" s="116"/>
      <c r="I460" s="116"/>
      <c r="J460" s="116"/>
      <c r="K460" s="116"/>
      <c r="L460" s="116"/>
      <c r="M460" s="116"/>
      <c r="N460" s="116"/>
      <c r="O460" s="116"/>
      <c r="P460" s="116"/>
      <c r="Q460" s="116"/>
      <c r="R460" s="116"/>
      <c r="S460" s="116"/>
      <c r="T460" s="116"/>
      <c r="U460" s="116"/>
      <c r="V460" s="116"/>
      <c r="W460" s="116"/>
      <c r="X460" s="116"/>
      <c r="Y460" s="116"/>
      <c r="Z460" s="116"/>
      <c r="AA460" s="116"/>
      <c r="AB460" s="116"/>
      <c r="AC460" s="116"/>
      <c r="AD460" s="116"/>
      <c r="AE460" s="116"/>
      <c r="AF460" s="116"/>
      <c r="AG460" s="116"/>
      <c r="AH460" s="116"/>
      <c r="AI460" s="116"/>
      <c r="AJ460" s="116"/>
      <c r="AK460" s="116"/>
      <c r="AL460" s="116"/>
      <c r="AM460" s="116"/>
      <c r="AN460" s="116"/>
      <c r="AO460" s="116"/>
      <c r="AP460" s="116"/>
      <c r="AQ460" s="116"/>
      <c r="AR460" s="116"/>
      <c r="AS460" s="116"/>
      <c r="AT460" s="116"/>
      <c r="AU460" s="116"/>
      <c r="AV460" s="116"/>
      <c r="AW460" s="116"/>
      <c r="AX460" s="116"/>
      <c r="AY460" s="116"/>
      <c r="AZ460" s="116"/>
      <c r="BA460" s="116"/>
      <c r="BB460" s="116"/>
    </row>
    <row r="461" spans="4:54" hidden="1">
      <c r="D461" s="116"/>
      <c r="E461" s="116"/>
      <c r="F461" s="116"/>
      <c r="G461" s="116"/>
      <c r="H461" s="116"/>
      <c r="I461" s="116"/>
      <c r="J461" s="116"/>
      <c r="K461" s="116"/>
      <c r="L461" s="116"/>
      <c r="M461" s="116"/>
      <c r="N461" s="116"/>
      <c r="O461" s="116"/>
      <c r="P461" s="116"/>
      <c r="Q461" s="116"/>
      <c r="R461" s="116"/>
      <c r="S461" s="116"/>
      <c r="T461" s="116"/>
      <c r="U461" s="116"/>
      <c r="V461" s="116"/>
      <c r="W461" s="116"/>
      <c r="X461" s="116"/>
      <c r="Y461" s="116"/>
      <c r="Z461" s="116"/>
      <c r="AA461" s="116"/>
      <c r="AB461" s="116"/>
      <c r="AC461" s="116"/>
      <c r="AD461" s="116"/>
      <c r="AE461" s="116"/>
      <c r="AF461" s="116"/>
      <c r="AG461" s="116"/>
      <c r="AH461" s="116"/>
      <c r="AI461" s="116"/>
      <c r="AJ461" s="116"/>
      <c r="AK461" s="116"/>
      <c r="AL461" s="116"/>
      <c r="AM461" s="116"/>
      <c r="AN461" s="116"/>
      <c r="AO461" s="116"/>
      <c r="AP461" s="116"/>
      <c r="AQ461" s="116"/>
      <c r="AR461" s="116"/>
      <c r="AS461" s="116"/>
      <c r="AT461" s="116"/>
      <c r="AU461" s="116"/>
      <c r="AV461" s="116"/>
      <c r="AW461" s="116"/>
      <c r="AX461" s="116"/>
      <c r="AY461" s="116"/>
      <c r="AZ461" s="116"/>
      <c r="BA461" s="116"/>
      <c r="BB461" s="116"/>
    </row>
    <row r="462" spans="4:54" hidden="1">
      <c r="D462" s="116"/>
      <c r="E462" s="116"/>
      <c r="F462" s="116"/>
      <c r="G462" s="116"/>
      <c r="H462" s="116"/>
      <c r="I462" s="116"/>
      <c r="J462" s="116"/>
      <c r="K462" s="116"/>
      <c r="L462" s="116"/>
      <c r="M462" s="116"/>
      <c r="N462" s="116"/>
      <c r="O462" s="116"/>
      <c r="P462" s="116"/>
      <c r="Q462" s="116"/>
      <c r="R462" s="116"/>
      <c r="S462" s="116"/>
      <c r="T462" s="116"/>
      <c r="U462" s="116"/>
      <c r="V462" s="116"/>
      <c r="W462" s="116"/>
      <c r="X462" s="116"/>
      <c r="Y462" s="116"/>
      <c r="Z462" s="116"/>
      <c r="AA462" s="116"/>
      <c r="AB462" s="116"/>
      <c r="AC462" s="116"/>
      <c r="AD462" s="116"/>
      <c r="AE462" s="116"/>
      <c r="AF462" s="116"/>
      <c r="AG462" s="116"/>
      <c r="AH462" s="116"/>
      <c r="AI462" s="116"/>
      <c r="AJ462" s="116"/>
      <c r="AK462" s="116"/>
      <c r="AL462" s="116"/>
      <c r="AM462" s="116"/>
      <c r="AN462" s="116"/>
      <c r="AO462" s="116"/>
      <c r="AP462" s="116"/>
      <c r="AQ462" s="116"/>
      <c r="AR462" s="116"/>
      <c r="AS462" s="116"/>
      <c r="AT462" s="116"/>
      <c r="AU462" s="116"/>
      <c r="AV462" s="116"/>
      <c r="AW462" s="116"/>
      <c r="AX462" s="116"/>
      <c r="AY462" s="116"/>
      <c r="AZ462" s="116"/>
      <c r="BA462" s="116"/>
      <c r="BB462" s="116"/>
    </row>
    <row r="463" spans="4:54" hidden="1">
      <c r="D463" s="116"/>
      <c r="E463" s="116"/>
      <c r="F463" s="116"/>
      <c r="G463" s="116"/>
      <c r="H463" s="116"/>
      <c r="I463" s="116"/>
      <c r="J463" s="116"/>
      <c r="K463" s="116"/>
      <c r="L463" s="116"/>
      <c r="M463" s="116"/>
      <c r="N463" s="116"/>
      <c r="O463" s="116"/>
      <c r="P463" s="116"/>
      <c r="Q463" s="116"/>
      <c r="R463" s="116"/>
      <c r="S463" s="116"/>
      <c r="T463" s="116"/>
      <c r="U463" s="116"/>
      <c r="V463" s="116"/>
      <c r="W463" s="116"/>
      <c r="X463" s="116"/>
      <c r="Y463" s="116"/>
      <c r="Z463" s="116"/>
      <c r="AA463" s="116"/>
      <c r="AB463" s="116"/>
      <c r="AC463" s="116"/>
      <c r="AD463" s="116"/>
      <c r="AE463" s="116"/>
      <c r="AF463" s="116"/>
      <c r="AG463" s="116"/>
      <c r="AH463" s="116"/>
      <c r="AI463" s="116"/>
      <c r="AJ463" s="116"/>
      <c r="AK463" s="116"/>
      <c r="AL463" s="116"/>
      <c r="AM463" s="116"/>
      <c r="AN463" s="116"/>
      <c r="AO463" s="116"/>
      <c r="AP463" s="116"/>
      <c r="AQ463" s="116"/>
      <c r="AR463" s="116"/>
      <c r="AS463" s="116"/>
      <c r="AT463" s="116"/>
      <c r="AU463" s="116"/>
      <c r="AV463" s="116"/>
      <c r="AW463" s="116"/>
      <c r="AX463" s="116"/>
      <c r="AY463" s="116"/>
      <c r="AZ463" s="116"/>
      <c r="BA463" s="116"/>
      <c r="BB463" s="116"/>
    </row>
    <row r="464" spans="4:54" hidden="1">
      <c r="D464" s="116"/>
      <c r="E464" s="116"/>
      <c r="F464" s="116"/>
      <c r="G464" s="116"/>
      <c r="H464" s="116"/>
      <c r="I464" s="116"/>
      <c r="J464" s="116"/>
      <c r="K464" s="116"/>
      <c r="L464" s="116"/>
      <c r="M464" s="116"/>
      <c r="N464" s="116"/>
      <c r="O464" s="116"/>
      <c r="P464" s="116"/>
      <c r="Q464" s="116"/>
      <c r="R464" s="116"/>
      <c r="S464" s="116"/>
      <c r="T464" s="116"/>
      <c r="U464" s="116"/>
      <c r="V464" s="116"/>
      <c r="W464" s="116"/>
      <c r="X464" s="116"/>
      <c r="Y464" s="116"/>
      <c r="Z464" s="116"/>
      <c r="AA464" s="116"/>
      <c r="AB464" s="116"/>
      <c r="AC464" s="116"/>
      <c r="AD464" s="116"/>
      <c r="AE464" s="116"/>
      <c r="AF464" s="116"/>
      <c r="AG464" s="116"/>
      <c r="AH464" s="116"/>
      <c r="AI464" s="116"/>
      <c r="AJ464" s="116"/>
      <c r="AK464" s="116"/>
      <c r="AL464" s="116"/>
      <c r="AM464" s="116"/>
      <c r="AN464" s="116"/>
      <c r="AO464" s="116"/>
      <c r="AP464" s="116"/>
      <c r="AQ464" s="116"/>
      <c r="AR464" s="116"/>
      <c r="AS464" s="116"/>
      <c r="AT464" s="116"/>
      <c r="AU464" s="116"/>
      <c r="AV464" s="116"/>
      <c r="AW464" s="116"/>
      <c r="AX464" s="116"/>
      <c r="AY464" s="116"/>
      <c r="AZ464" s="116"/>
      <c r="BA464" s="116"/>
      <c r="BB464" s="116"/>
    </row>
    <row r="465" spans="4:54" hidden="1">
      <c r="D465" s="116"/>
      <c r="E465" s="116"/>
      <c r="F465" s="116"/>
      <c r="G465" s="116"/>
      <c r="H465" s="116"/>
      <c r="I465" s="116"/>
      <c r="J465" s="116"/>
      <c r="K465" s="116"/>
      <c r="L465" s="116"/>
      <c r="M465" s="116"/>
      <c r="N465" s="116"/>
      <c r="O465" s="116"/>
      <c r="P465" s="116"/>
      <c r="Q465" s="116"/>
      <c r="R465" s="116"/>
      <c r="S465" s="116"/>
      <c r="T465" s="116"/>
      <c r="U465" s="116"/>
      <c r="V465" s="116"/>
      <c r="W465" s="116"/>
      <c r="X465" s="116"/>
      <c r="Y465" s="116"/>
      <c r="Z465" s="116"/>
      <c r="AA465" s="116"/>
      <c r="AB465" s="116"/>
      <c r="AC465" s="116"/>
      <c r="AD465" s="116"/>
      <c r="AE465" s="116"/>
      <c r="AF465" s="116"/>
      <c r="AG465" s="116"/>
      <c r="AH465" s="116"/>
      <c r="AI465" s="116"/>
      <c r="AJ465" s="116"/>
      <c r="AK465" s="116"/>
      <c r="AL465" s="116"/>
      <c r="AM465" s="116"/>
      <c r="AN465" s="116"/>
      <c r="AO465" s="116"/>
      <c r="AP465" s="116"/>
      <c r="AQ465" s="116"/>
      <c r="AR465" s="116"/>
      <c r="AS465" s="116"/>
      <c r="AT465" s="116"/>
      <c r="AU465" s="116"/>
      <c r="AV465" s="116"/>
      <c r="AW465" s="116"/>
      <c r="AX465" s="116"/>
      <c r="AY465" s="116"/>
      <c r="AZ465" s="116"/>
      <c r="BA465" s="116"/>
      <c r="BB465" s="116"/>
    </row>
    <row r="466" spans="4:54" hidden="1">
      <c r="D466" s="116"/>
      <c r="E466" s="116"/>
      <c r="F466" s="116"/>
      <c r="G466" s="116"/>
      <c r="H466" s="116"/>
      <c r="I466" s="116"/>
      <c r="J466" s="116"/>
      <c r="K466" s="116"/>
      <c r="L466" s="116"/>
      <c r="M466" s="116"/>
      <c r="N466" s="116"/>
      <c r="O466" s="116"/>
      <c r="P466" s="116"/>
      <c r="Q466" s="116"/>
      <c r="R466" s="116"/>
      <c r="S466" s="116"/>
      <c r="T466" s="116"/>
      <c r="U466" s="116"/>
      <c r="V466" s="116"/>
      <c r="W466" s="116"/>
      <c r="X466" s="116"/>
      <c r="Y466" s="116"/>
      <c r="Z466" s="116"/>
      <c r="AA466" s="116"/>
      <c r="AB466" s="116"/>
      <c r="AC466" s="116"/>
      <c r="AD466" s="116"/>
      <c r="AE466" s="116"/>
      <c r="AF466" s="116"/>
      <c r="AG466" s="116"/>
      <c r="AH466" s="116"/>
      <c r="AI466" s="116"/>
      <c r="AJ466" s="116"/>
      <c r="AK466" s="116"/>
      <c r="AL466" s="116"/>
      <c r="AM466" s="116"/>
      <c r="AN466" s="116"/>
      <c r="AO466" s="116"/>
      <c r="AP466" s="116"/>
      <c r="AQ466" s="116"/>
      <c r="AR466" s="116"/>
      <c r="AS466" s="116"/>
      <c r="AT466" s="116"/>
      <c r="AU466" s="116"/>
      <c r="AV466" s="116"/>
      <c r="AW466" s="116"/>
      <c r="AX466" s="116"/>
      <c r="AY466" s="116"/>
      <c r="AZ466" s="116"/>
      <c r="BA466" s="116"/>
      <c r="BB466" s="116"/>
    </row>
    <row r="467" spans="4:54" hidden="1">
      <c r="D467" s="116"/>
      <c r="E467" s="116"/>
      <c r="F467" s="116"/>
      <c r="G467" s="116"/>
      <c r="H467" s="116"/>
      <c r="I467" s="116"/>
      <c r="J467" s="116"/>
      <c r="K467" s="116"/>
      <c r="L467" s="116"/>
      <c r="M467" s="116"/>
      <c r="N467" s="116"/>
      <c r="O467" s="116"/>
      <c r="P467" s="116"/>
      <c r="Q467" s="116"/>
      <c r="R467" s="116"/>
      <c r="S467" s="116"/>
      <c r="T467" s="116"/>
      <c r="U467" s="116"/>
      <c r="V467" s="116"/>
      <c r="W467" s="116"/>
      <c r="X467" s="116"/>
      <c r="Y467" s="116"/>
      <c r="Z467" s="116"/>
      <c r="AA467" s="116"/>
      <c r="AB467" s="116"/>
      <c r="AC467" s="116"/>
      <c r="AD467" s="116"/>
      <c r="AE467" s="116"/>
      <c r="AF467" s="116"/>
      <c r="AG467" s="116"/>
      <c r="AH467" s="116"/>
      <c r="AI467" s="116"/>
      <c r="AJ467" s="116"/>
      <c r="AK467" s="116"/>
      <c r="AL467" s="116"/>
      <c r="AM467" s="116"/>
      <c r="AN467" s="116"/>
      <c r="AO467" s="116"/>
      <c r="AP467" s="116"/>
      <c r="AQ467" s="116"/>
      <c r="AR467" s="116"/>
      <c r="AS467" s="116"/>
      <c r="AT467" s="116"/>
      <c r="AU467" s="116"/>
      <c r="AV467" s="116"/>
      <c r="AW467" s="116"/>
      <c r="AX467" s="116"/>
      <c r="AY467" s="116"/>
      <c r="AZ467" s="116"/>
      <c r="BA467" s="116"/>
      <c r="BB467" s="116"/>
    </row>
    <row r="468" spans="4:54" hidden="1">
      <c r="D468" s="116"/>
      <c r="E468" s="116"/>
      <c r="F468" s="116"/>
      <c r="G468" s="116"/>
      <c r="H468" s="116"/>
      <c r="I468" s="116"/>
      <c r="J468" s="116"/>
      <c r="K468" s="116"/>
      <c r="L468" s="116"/>
      <c r="M468" s="116"/>
      <c r="N468" s="116"/>
      <c r="O468" s="116"/>
      <c r="P468" s="116"/>
      <c r="Q468" s="116"/>
      <c r="R468" s="116"/>
      <c r="S468" s="116"/>
      <c r="T468" s="116"/>
      <c r="U468" s="116"/>
      <c r="V468" s="116"/>
      <c r="W468" s="116"/>
      <c r="X468" s="116"/>
      <c r="Y468" s="116"/>
      <c r="Z468" s="116"/>
      <c r="AA468" s="116"/>
      <c r="AB468" s="116"/>
      <c r="AC468" s="116"/>
      <c r="AD468" s="116"/>
      <c r="AE468" s="116"/>
      <c r="AF468" s="116"/>
      <c r="AG468" s="116"/>
      <c r="AH468" s="116"/>
      <c r="AI468" s="116"/>
      <c r="AJ468" s="116"/>
      <c r="AK468" s="116"/>
      <c r="AL468" s="116"/>
      <c r="AM468" s="116"/>
      <c r="AN468" s="116"/>
      <c r="AO468" s="116"/>
      <c r="AP468" s="116"/>
      <c r="AQ468" s="116"/>
      <c r="AR468" s="116"/>
      <c r="AS468" s="116"/>
      <c r="AT468" s="116"/>
      <c r="AU468" s="116"/>
      <c r="AV468" s="116"/>
      <c r="AW468" s="116"/>
      <c r="AX468" s="116"/>
      <c r="AY468" s="116"/>
      <c r="AZ468" s="116"/>
      <c r="BA468" s="116"/>
      <c r="BB468" s="116"/>
    </row>
    <row r="469" spans="4:54" hidden="1">
      <c r="D469" s="116"/>
      <c r="E469" s="116"/>
      <c r="F469" s="116"/>
      <c r="G469" s="116"/>
      <c r="H469" s="116"/>
      <c r="I469" s="116"/>
      <c r="J469" s="116"/>
      <c r="K469" s="116"/>
      <c r="L469" s="116"/>
      <c r="M469" s="116"/>
      <c r="N469" s="116"/>
      <c r="O469" s="116"/>
      <c r="P469" s="116"/>
      <c r="Q469" s="116"/>
      <c r="R469" s="116"/>
      <c r="S469" s="116"/>
      <c r="T469" s="116"/>
      <c r="U469" s="116"/>
      <c r="V469" s="116"/>
      <c r="W469" s="116"/>
      <c r="X469" s="116"/>
      <c r="Y469" s="116"/>
      <c r="Z469" s="116"/>
      <c r="AA469" s="116"/>
      <c r="AB469" s="116"/>
      <c r="AC469" s="116"/>
      <c r="AD469" s="116"/>
      <c r="AE469" s="116"/>
      <c r="AF469" s="116"/>
      <c r="AG469" s="116"/>
      <c r="AH469" s="116"/>
      <c r="AI469" s="116"/>
      <c r="AJ469" s="116"/>
      <c r="AK469" s="116"/>
      <c r="AL469" s="116"/>
      <c r="AM469" s="116"/>
      <c r="AN469" s="116"/>
      <c r="AO469" s="116"/>
      <c r="AP469" s="116"/>
      <c r="AQ469" s="116"/>
      <c r="AR469" s="116"/>
      <c r="AS469" s="116"/>
      <c r="AT469" s="116"/>
      <c r="AU469" s="116"/>
      <c r="AV469" s="116"/>
      <c r="AW469" s="116"/>
      <c r="AX469" s="116"/>
      <c r="AY469" s="116"/>
      <c r="AZ469" s="116"/>
      <c r="BA469" s="116"/>
      <c r="BB469" s="116"/>
    </row>
    <row r="470" spans="4:54" hidden="1">
      <c r="D470" s="116"/>
      <c r="E470" s="116"/>
      <c r="F470" s="116"/>
      <c r="G470" s="116"/>
      <c r="H470" s="116"/>
      <c r="I470" s="116"/>
      <c r="J470" s="116"/>
      <c r="K470" s="116"/>
      <c r="L470" s="116"/>
      <c r="M470" s="116"/>
      <c r="N470" s="116"/>
      <c r="O470" s="116"/>
      <c r="P470" s="116"/>
      <c r="Q470" s="116"/>
      <c r="R470" s="116"/>
      <c r="S470" s="116"/>
      <c r="T470" s="116"/>
      <c r="U470" s="116"/>
      <c r="V470" s="116"/>
      <c r="W470" s="116"/>
      <c r="X470" s="116"/>
      <c r="Y470" s="116"/>
      <c r="Z470" s="116"/>
      <c r="AA470" s="116"/>
      <c r="AB470" s="116"/>
      <c r="AC470" s="116"/>
      <c r="AD470" s="116"/>
      <c r="AE470" s="116"/>
      <c r="AF470" s="116"/>
      <c r="AG470" s="116"/>
      <c r="AH470" s="116"/>
      <c r="AI470" s="116"/>
      <c r="AJ470" s="116"/>
      <c r="AK470" s="116"/>
      <c r="AL470" s="116"/>
      <c r="AM470" s="116"/>
      <c r="AN470" s="116"/>
      <c r="AO470" s="116"/>
      <c r="AP470" s="116"/>
      <c r="AQ470" s="116"/>
      <c r="AR470" s="116"/>
      <c r="AS470" s="116"/>
      <c r="AT470" s="116"/>
      <c r="AU470" s="116"/>
      <c r="AV470" s="116"/>
      <c r="AW470" s="116"/>
      <c r="AX470" s="116"/>
      <c r="AY470" s="116"/>
      <c r="AZ470" s="116"/>
      <c r="BA470" s="116"/>
      <c r="BB470" s="116"/>
    </row>
    <row r="471" spans="4:54" hidden="1">
      <c r="D471" s="116"/>
      <c r="E471" s="116"/>
      <c r="F471" s="116"/>
      <c r="G471" s="116"/>
      <c r="H471" s="116"/>
      <c r="I471" s="116"/>
      <c r="J471" s="116"/>
      <c r="K471" s="116"/>
      <c r="L471" s="116"/>
      <c r="M471" s="116"/>
      <c r="N471" s="116"/>
      <c r="O471" s="116"/>
      <c r="P471" s="116"/>
      <c r="Q471" s="116"/>
      <c r="R471" s="116"/>
      <c r="S471" s="116"/>
      <c r="T471" s="116"/>
      <c r="U471" s="116"/>
      <c r="V471" s="116"/>
      <c r="W471" s="116"/>
      <c r="X471" s="116"/>
      <c r="Y471" s="116"/>
      <c r="Z471" s="116"/>
      <c r="AA471" s="116"/>
      <c r="AB471" s="116"/>
      <c r="AC471" s="116"/>
      <c r="AD471" s="116"/>
      <c r="AE471" s="116"/>
      <c r="AF471" s="116"/>
      <c r="AG471" s="116"/>
      <c r="AH471" s="116"/>
      <c r="AI471" s="116"/>
      <c r="AJ471" s="116"/>
      <c r="AK471" s="116"/>
      <c r="AL471" s="116"/>
      <c r="AM471" s="116"/>
      <c r="AN471" s="116"/>
      <c r="AO471" s="116"/>
      <c r="AP471" s="116"/>
      <c r="AQ471" s="116"/>
      <c r="AR471" s="116"/>
      <c r="AS471" s="116"/>
      <c r="AT471" s="116"/>
      <c r="AU471" s="116"/>
      <c r="AV471" s="116"/>
      <c r="AW471" s="116"/>
      <c r="AX471" s="116"/>
      <c r="AY471" s="116"/>
      <c r="AZ471" s="116"/>
      <c r="BA471" s="116"/>
      <c r="BB471" s="116"/>
    </row>
    <row r="472" spans="4:54" hidden="1">
      <c r="D472" s="116"/>
      <c r="E472" s="116"/>
      <c r="F472" s="116"/>
      <c r="G472" s="116"/>
      <c r="H472" s="116"/>
      <c r="I472" s="116"/>
      <c r="J472" s="116"/>
      <c r="K472" s="116"/>
      <c r="L472" s="116"/>
      <c r="M472" s="116"/>
      <c r="N472" s="116"/>
      <c r="O472" s="116"/>
      <c r="P472" s="116"/>
      <c r="Q472" s="116"/>
      <c r="R472" s="116"/>
      <c r="S472" s="116"/>
      <c r="T472" s="116"/>
      <c r="U472" s="116"/>
      <c r="V472" s="116"/>
      <c r="W472" s="116"/>
      <c r="X472" s="116"/>
      <c r="Y472" s="116"/>
      <c r="Z472" s="116"/>
      <c r="AA472" s="116"/>
      <c r="AB472" s="116"/>
      <c r="AC472" s="116"/>
      <c r="AD472" s="116"/>
      <c r="AE472" s="116"/>
      <c r="AF472" s="116"/>
      <c r="AG472" s="116"/>
      <c r="AH472" s="116"/>
      <c r="AI472" s="116"/>
      <c r="AJ472" s="116"/>
      <c r="AK472" s="116"/>
      <c r="AL472" s="116"/>
      <c r="AM472" s="116"/>
      <c r="AN472" s="116"/>
      <c r="AO472" s="116"/>
      <c r="AP472" s="116"/>
      <c r="AQ472" s="116"/>
      <c r="AR472" s="116"/>
      <c r="AS472" s="116"/>
      <c r="AT472" s="116"/>
      <c r="AU472" s="116"/>
      <c r="AV472" s="116"/>
      <c r="AW472" s="116"/>
      <c r="AX472" s="116"/>
      <c r="AY472" s="116"/>
      <c r="AZ472" s="116"/>
      <c r="BA472" s="116"/>
      <c r="BB472" s="116"/>
    </row>
    <row r="473" spans="4:54" hidden="1">
      <c r="D473" s="116"/>
      <c r="E473" s="116"/>
      <c r="F473" s="116"/>
      <c r="G473" s="116"/>
      <c r="H473" s="116"/>
      <c r="I473" s="116"/>
      <c r="J473" s="116"/>
      <c r="K473" s="116"/>
      <c r="L473" s="116"/>
      <c r="M473" s="116"/>
      <c r="N473" s="116"/>
      <c r="O473" s="116"/>
      <c r="P473" s="116"/>
      <c r="Q473" s="116"/>
      <c r="R473" s="116"/>
      <c r="S473" s="116"/>
      <c r="T473" s="116"/>
      <c r="U473" s="116"/>
      <c r="V473" s="116"/>
      <c r="W473" s="116"/>
      <c r="X473" s="116"/>
      <c r="Y473" s="116"/>
      <c r="Z473" s="116"/>
      <c r="AA473" s="116"/>
      <c r="AB473" s="116"/>
      <c r="AC473" s="116"/>
      <c r="AD473" s="116"/>
      <c r="AE473" s="116"/>
      <c r="AF473" s="116"/>
      <c r="AG473" s="116"/>
      <c r="AH473" s="116"/>
      <c r="AI473" s="116"/>
      <c r="AJ473" s="116"/>
      <c r="AK473" s="116"/>
      <c r="AL473" s="116"/>
      <c r="AM473" s="116"/>
      <c r="AN473" s="116"/>
      <c r="AO473" s="116"/>
      <c r="AP473" s="116"/>
      <c r="AQ473" s="116"/>
      <c r="AR473" s="116"/>
      <c r="AS473" s="116"/>
      <c r="AT473" s="116"/>
      <c r="AU473" s="116"/>
      <c r="AV473" s="116"/>
      <c r="AW473" s="116"/>
      <c r="AX473" s="116"/>
      <c r="AY473" s="116"/>
      <c r="AZ473" s="116"/>
      <c r="BA473" s="116"/>
      <c r="BB473" s="116"/>
    </row>
    <row r="474" spans="4:54" hidden="1">
      <c r="D474" s="116"/>
      <c r="E474" s="116"/>
      <c r="F474" s="116"/>
      <c r="G474" s="116"/>
      <c r="H474" s="116"/>
      <c r="I474" s="116"/>
      <c r="J474" s="116"/>
      <c r="K474" s="116"/>
      <c r="L474" s="116"/>
      <c r="M474" s="116"/>
      <c r="N474" s="116"/>
      <c r="O474" s="116"/>
      <c r="P474" s="116"/>
      <c r="Q474" s="116"/>
      <c r="R474" s="116"/>
      <c r="S474" s="116"/>
      <c r="T474" s="116"/>
      <c r="U474" s="116"/>
      <c r="V474" s="116"/>
      <c r="W474" s="116"/>
      <c r="X474" s="116"/>
      <c r="Y474" s="116"/>
      <c r="Z474" s="116"/>
      <c r="AA474" s="116"/>
      <c r="AB474" s="116"/>
      <c r="AC474" s="116"/>
      <c r="AD474" s="116"/>
      <c r="AE474" s="116"/>
      <c r="AF474" s="116"/>
      <c r="AG474" s="116"/>
      <c r="AH474" s="116"/>
      <c r="AI474" s="116"/>
      <c r="AJ474" s="116"/>
      <c r="AK474" s="116"/>
      <c r="AL474" s="116"/>
      <c r="AM474" s="116"/>
      <c r="AN474" s="116"/>
      <c r="AO474" s="116"/>
      <c r="AP474" s="116"/>
      <c r="AQ474" s="116"/>
      <c r="AR474" s="116"/>
      <c r="AS474" s="116"/>
      <c r="AT474" s="116"/>
      <c r="AU474" s="116"/>
      <c r="AV474" s="116"/>
      <c r="AW474" s="116"/>
      <c r="AX474" s="116"/>
      <c r="AY474" s="116"/>
      <c r="AZ474" s="116"/>
      <c r="BA474" s="116"/>
      <c r="BB474" s="116"/>
    </row>
    <row r="475" spans="4:54" hidden="1">
      <c r="D475" s="116"/>
      <c r="E475" s="116"/>
      <c r="F475" s="116"/>
      <c r="G475" s="116"/>
      <c r="H475" s="116"/>
      <c r="I475" s="116"/>
      <c r="J475" s="116"/>
      <c r="K475" s="116"/>
      <c r="L475" s="116"/>
      <c r="M475" s="116"/>
      <c r="N475" s="116"/>
      <c r="O475" s="116"/>
      <c r="P475" s="116"/>
      <c r="Q475" s="116"/>
      <c r="R475" s="116"/>
      <c r="S475" s="116"/>
      <c r="T475" s="116"/>
      <c r="U475" s="116"/>
      <c r="V475" s="116"/>
      <c r="W475" s="116"/>
      <c r="X475" s="116"/>
      <c r="Y475" s="116"/>
      <c r="Z475" s="116"/>
      <c r="AA475" s="116"/>
      <c r="AB475" s="116"/>
      <c r="AC475" s="116"/>
      <c r="AD475" s="116"/>
      <c r="AE475" s="116"/>
      <c r="AF475" s="116"/>
      <c r="AG475" s="116"/>
      <c r="AH475" s="116"/>
      <c r="AI475" s="116"/>
      <c r="AJ475" s="116"/>
      <c r="AK475" s="116"/>
      <c r="AL475" s="116"/>
      <c r="AM475" s="116"/>
      <c r="AN475" s="116"/>
      <c r="AO475" s="116"/>
      <c r="AP475" s="116"/>
      <c r="AQ475" s="116"/>
      <c r="AR475" s="116"/>
      <c r="AS475" s="116"/>
      <c r="AT475" s="116"/>
      <c r="AU475" s="116"/>
      <c r="AV475" s="116"/>
      <c r="AW475" s="116"/>
      <c r="AX475" s="116"/>
      <c r="AY475" s="116"/>
      <c r="AZ475" s="116"/>
      <c r="BA475" s="116"/>
      <c r="BB475" s="116"/>
    </row>
    <row r="476" spans="4:54" hidden="1">
      <c r="D476" s="116"/>
      <c r="E476" s="116"/>
      <c r="F476" s="116"/>
      <c r="G476" s="116"/>
      <c r="H476" s="116"/>
      <c r="I476" s="116"/>
      <c r="J476" s="116"/>
      <c r="K476" s="116"/>
      <c r="L476" s="116"/>
      <c r="M476" s="116"/>
      <c r="N476" s="116"/>
      <c r="O476" s="116"/>
      <c r="P476" s="116"/>
      <c r="Q476" s="116"/>
      <c r="R476" s="116"/>
      <c r="S476" s="116"/>
      <c r="T476" s="116"/>
      <c r="U476" s="116"/>
      <c r="V476" s="116"/>
      <c r="W476" s="116"/>
      <c r="X476" s="116"/>
      <c r="Y476" s="116"/>
      <c r="Z476" s="116"/>
      <c r="AA476" s="116"/>
      <c r="AB476" s="116"/>
      <c r="AC476" s="116"/>
      <c r="AD476" s="116"/>
      <c r="AE476" s="116"/>
      <c r="AF476" s="116"/>
      <c r="AG476" s="116"/>
      <c r="AH476" s="116"/>
      <c r="AI476" s="116"/>
      <c r="AJ476" s="116"/>
      <c r="AK476" s="116"/>
      <c r="AL476" s="116"/>
      <c r="AM476" s="116"/>
      <c r="AN476" s="116"/>
      <c r="AO476" s="116"/>
      <c r="AP476" s="116"/>
      <c r="AQ476" s="116"/>
      <c r="AR476" s="116"/>
      <c r="AS476" s="116"/>
      <c r="AT476" s="116"/>
      <c r="AU476" s="116"/>
      <c r="AV476" s="116"/>
      <c r="AW476" s="116"/>
      <c r="AX476" s="116"/>
      <c r="AY476" s="116"/>
      <c r="AZ476" s="116"/>
      <c r="BA476" s="116"/>
      <c r="BB476" s="116"/>
    </row>
    <row r="477" spans="4:54" hidden="1">
      <c r="D477" s="116"/>
      <c r="E477" s="116"/>
      <c r="F477" s="116"/>
      <c r="G477" s="116"/>
      <c r="H477" s="116"/>
      <c r="I477" s="116"/>
      <c r="J477" s="116"/>
      <c r="K477" s="116"/>
      <c r="L477" s="116"/>
      <c r="M477" s="116"/>
      <c r="N477" s="116"/>
      <c r="O477" s="116"/>
      <c r="P477" s="116"/>
      <c r="Q477" s="116"/>
      <c r="R477" s="116"/>
      <c r="S477" s="116"/>
      <c r="T477" s="116"/>
      <c r="U477" s="116"/>
      <c r="V477" s="116"/>
      <c r="W477" s="116"/>
      <c r="X477" s="116"/>
      <c r="Y477" s="116"/>
      <c r="Z477" s="116"/>
      <c r="AA477" s="116"/>
      <c r="AB477" s="116"/>
      <c r="AC477" s="116"/>
      <c r="AD477" s="116"/>
      <c r="AE477" s="116"/>
      <c r="AF477" s="116"/>
      <c r="AG477" s="116"/>
      <c r="AH477" s="116"/>
      <c r="AI477" s="116"/>
      <c r="AJ477" s="116"/>
      <c r="AK477" s="116"/>
      <c r="AL477" s="116"/>
      <c r="AM477" s="116"/>
      <c r="AN477" s="116"/>
      <c r="AO477" s="116"/>
      <c r="AP477" s="116"/>
      <c r="AQ477" s="116"/>
      <c r="AR477" s="116"/>
      <c r="AS477" s="116"/>
      <c r="AT477" s="116"/>
      <c r="AU477" s="116"/>
      <c r="AV477" s="116"/>
      <c r="AW477" s="116"/>
      <c r="AX477" s="116"/>
      <c r="AY477" s="116"/>
      <c r="AZ477" s="116"/>
      <c r="BA477" s="116"/>
      <c r="BB477" s="116"/>
    </row>
    <row r="478" spans="4:54" hidden="1">
      <c r="D478" s="116"/>
      <c r="E478" s="116"/>
      <c r="F478" s="116"/>
      <c r="G478" s="116"/>
      <c r="H478" s="116"/>
      <c r="I478" s="116"/>
      <c r="J478" s="116"/>
      <c r="K478" s="116"/>
      <c r="L478" s="116"/>
      <c r="M478" s="116"/>
      <c r="N478" s="116"/>
      <c r="O478" s="116"/>
      <c r="P478" s="116"/>
      <c r="Q478" s="116"/>
      <c r="R478" s="116"/>
      <c r="S478" s="116"/>
      <c r="T478" s="116"/>
      <c r="U478" s="116"/>
      <c r="V478" s="116"/>
      <c r="W478" s="116"/>
      <c r="X478" s="116"/>
      <c r="Y478" s="116"/>
      <c r="Z478" s="116"/>
      <c r="AA478" s="116"/>
      <c r="AB478" s="116"/>
      <c r="AC478" s="116"/>
      <c r="AD478" s="116"/>
      <c r="AE478" s="116"/>
      <c r="AF478" s="116"/>
      <c r="AG478" s="116"/>
      <c r="AH478" s="116"/>
      <c r="AI478" s="116"/>
      <c r="AJ478" s="116"/>
      <c r="AK478" s="116"/>
      <c r="AL478" s="116"/>
      <c r="AM478" s="116"/>
      <c r="AN478" s="116"/>
      <c r="AO478" s="116"/>
      <c r="AP478" s="116"/>
      <c r="AQ478" s="116"/>
      <c r="AR478" s="116"/>
      <c r="AS478" s="116"/>
      <c r="AT478" s="116"/>
      <c r="AU478" s="116"/>
      <c r="AV478" s="116"/>
      <c r="AW478" s="116"/>
      <c r="AX478" s="116"/>
      <c r="AY478" s="116"/>
      <c r="AZ478" s="116"/>
      <c r="BA478" s="116"/>
      <c r="BB478" s="116"/>
    </row>
    <row r="479" spans="4:54" hidden="1">
      <c r="D479" s="116"/>
      <c r="E479" s="116"/>
      <c r="F479" s="116"/>
      <c r="G479" s="116"/>
      <c r="H479" s="116"/>
      <c r="I479" s="116"/>
      <c r="J479" s="116"/>
      <c r="K479" s="116"/>
      <c r="L479" s="116"/>
      <c r="M479" s="116"/>
      <c r="N479" s="116"/>
      <c r="O479" s="116"/>
      <c r="P479" s="116"/>
      <c r="Q479" s="116"/>
      <c r="R479" s="116"/>
      <c r="S479" s="116"/>
      <c r="T479" s="116"/>
      <c r="U479" s="116"/>
      <c r="V479" s="116"/>
      <c r="W479" s="116"/>
      <c r="X479" s="116"/>
      <c r="Y479" s="116"/>
      <c r="Z479" s="116"/>
      <c r="AA479" s="116"/>
      <c r="AB479" s="116"/>
      <c r="AC479" s="116"/>
      <c r="AD479" s="116"/>
      <c r="AE479" s="116"/>
      <c r="AF479" s="116"/>
      <c r="AG479" s="116"/>
      <c r="AH479" s="116"/>
      <c r="AI479" s="116"/>
      <c r="AJ479" s="116"/>
      <c r="AK479" s="116"/>
      <c r="AL479" s="116"/>
      <c r="AM479" s="116"/>
      <c r="AN479" s="116"/>
      <c r="AO479" s="116"/>
      <c r="AP479" s="116"/>
      <c r="AQ479" s="116"/>
      <c r="AR479" s="116"/>
      <c r="AS479" s="116"/>
      <c r="AT479" s="116"/>
      <c r="AU479" s="116"/>
      <c r="AV479" s="116"/>
      <c r="AW479" s="116"/>
      <c r="AX479" s="116"/>
      <c r="AY479" s="116"/>
      <c r="AZ479" s="116"/>
      <c r="BA479" s="116"/>
      <c r="BB479" s="116"/>
    </row>
    <row r="480" spans="4:54" hidden="1">
      <c r="D480" s="116"/>
      <c r="E480" s="116"/>
      <c r="F480" s="116"/>
      <c r="G480" s="116"/>
      <c r="H480" s="116"/>
      <c r="I480" s="116"/>
      <c r="J480" s="116"/>
      <c r="K480" s="116"/>
      <c r="L480" s="116"/>
      <c r="M480" s="116"/>
      <c r="N480" s="116"/>
      <c r="O480" s="116"/>
      <c r="P480" s="116"/>
      <c r="Q480" s="116"/>
      <c r="R480" s="116"/>
      <c r="S480" s="116"/>
      <c r="T480" s="116"/>
      <c r="U480" s="116"/>
      <c r="V480" s="116"/>
      <c r="W480" s="116"/>
      <c r="X480" s="116"/>
      <c r="Y480" s="116"/>
      <c r="Z480" s="116"/>
      <c r="AA480" s="116"/>
      <c r="AB480" s="116"/>
      <c r="AC480" s="116"/>
      <c r="AD480" s="116"/>
      <c r="AE480" s="116"/>
      <c r="AF480" s="116"/>
      <c r="AG480" s="116"/>
      <c r="AH480" s="116"/>
      <c r="AI480" s="116"/>
      <c r="AJ480" s="116"/>
      <c r="AK480" s="116"/>
      <c r="AL480" s="116"/>
      <c r="AM480" s="116"/>
      <c r="AN480" s="116"/>
      <c r="AO480" s="116"/>
      <c r="AP480" s="116"/>
      <c r="AQ480" s="116"/>
      <c r="AR480" s="116"/>
      <c r="AS480" s="116"/>
      <c r="AT480" s="116"/>
      <c r="AU480" s="116"/>
      <c r="AV480" s="116"/>
      <c r="AW480" s="116"/>
      <c r="AX480" s="116"/>
      <c r="AY480" s="116"/>
      <c r="AZ480" s="116"/>
      <c r="BA480" s="116"/>
      <c r="BB480" s="116"/>
    </row>
    <row r="481" spans="4:54" hidden="1">
      <c r="D481" s="116"/>
      <c r="E481" s="116"/>
      <c r="F481" s="116"/>
      <c r="G481" s="116"/>
      <c r="H481" s="116"/>
      <c r="I481" s="116"/>
      <c r="J481" s="116"/>
      <c r="K481" s="116"/>
      <c r="L481" s="116"/>
      <c r="M481" s="116"/>
      <c r="N481" s="116"/>
      <c r="O481" s="116"/>
      <c r="P481" s="116"/>
      <c r="Q481" s="116"/>
      <c r="R481" s="116"/>
      <c r="S481" s="116"/>
      <c r="T481" s="116"/>
      <c r="U481" s="116"/>
      <c r="V481" s="116"/>
      <c r="W481" s="116"/>
      <c r="X481" s="116"/>
      <c r="Y481" s="116"/>
      <c r="Z481" s="116"/>
      <c r="AA481" s="116"/>
      <c r="AB481" s="116"/>
      <c r="AC481" s="116"/>
      <c r="AD481" s="116"/>
      <c r="AE481" s="116"/>
      <c r="AF481" s="116"/>
      <c r="AG481" s="116"/>
      <c r="AH481" s="116"/>
      <c r="AI481" s="116"/>
      <c r="AJ481" s="116"/>
      <c r="AK481" s="116"/>
      <c r="AL481" s="116"/>
      <c r="AM481" s="116"/>
      <c r="AN481" s="116"/>
      <c r="AO481" s="116"/>
      <c r="AP481" s="116"/>
      <c r="AQ481" s="116"/>
      <c r="AR481" s="116"/>
      <c r="AS481" s="116"/>
      <c r="AT481" s="116"/>
      <c r="AU481" s="116"/>
      <c r="AV481" s="116"/>
      <c r="AW481" s="116"/>
      <c r="AX481" s="116"/>
      <c r="AY481" s="116"/>
      <c r="AZ481" s="116"/>
      <c r="BA481" s="116"/>
      <c r="BB481" s="116"/>
    </row>
    <row r="482" spans="4:54" hidden="1">
      <c r="D482" s="116"/>
      <c r="E482" s="116"/>
      <c r="F482" s="116"/>
      <c r="G482" s="116"/>
      <c r="H482" s="116"/>
      <c r="I482" s="116"/>
      <c r="J482" s="116"/>
      <c r="K482" s="116"/>
      <c r="L482" s="116"/>
      <c r="M482" s="116"/>
      <c r="N482" s="116"/>
      <c r="O482" s="116"/>
      <c r="P482" s="116"/>
      <c r="Q482" s="116"/>
      <c r="R482" s="116"/>
      <c r="S482" s="116"/>
      <c r="T482" s="116"/>
      <c r="U482" s="116"/>
      <c r="V482" s="116"/>
      <c r="W482" s="116"/>
      <c r="X482" s="116"/>
      <c r="Y482" s="116"/>
      <c r="Z482" s="116"/>
      <c r="AA482" s="116"/>
      <c r="AB482" s="116"/>
      <c r="AC482" s="116"/>
      <c r="AD482" s="116"/>
      <c r="AE482" s="116"/>
      <c r="AF482" s="116"/>
      <c r="AG482" s="116"/>
      <c r="AH482" s="116"/>
      <c r="AI482" s="116"/>
      <c r="AJ482" s="116"/>
      <c r="AK482" s="116"/>
      <c r="AL482" s="116"/>
      <c r="AM482" s="116"/>
      <c r="AN482" s="116"/>
      <c r="AO482" s="116"/>
      <c r="AP482" s="116"/>
      <c r="AQ482" s="116"/>
      <c r="AR482" s="116"/>
      <c r="AS482" s="116"/>
      <c r="AT482" s="116"/>
      <c r="AU482" s="116"/>
      <c r="AV482" s="116"/>
      <c r="AW482" s="116"/>
      <c r="AX482" s="116"/>
      <c r="AY482" s="116"/>
      <c r="AZ482" s="116"/>
      <c r="BA482" s="116"/>
      <c r="BB482" s="116"/>
    </row>
    <row r="483" spans="4:54" hidden="1">
      <c r="D483" s="116"/>
      <c r="E483" s="116"/>
      <c r="F483" s="116"/>
      <c r="G483" s="116"/>
      <c r="H483" s="116"/>
      <c r="I483" s="116"/>
      <c r="J483" s="116"/>
      <c r="K483" s="116"/>
      <c r="L483" s="116"/>
      <c r="M483" s="116"/>
      <c r="N483" s="116"/>
      <c r="O483" s="116"/>
      <c r="P483" s="116"/>
      <c r="Q483" s="116"/>
      <c r="R483" s="116"/>
      <c r="S483" s="116"/>
      <c r="T483" s="116"/>
      <c r="U483" s="116"/>
      <c r="V483" s="116"/>
      <c r="W483" s="116"/>
      <c r="X483" s="116"/>
      <c r="Y483" s="116"/>
      <c r="Z483" s="116"/>
      <c r="AA483" s="116"/>
      <c r="AB483" s="116"/>
      <c r="AC483" s="116"/>
      <c r="AD483" s="116"/>
      <c r="AE483" s="116"/>
      <c r="AF483" s="116"/>
      <c r="AG483" s="116"/>
      <c r="AH483" s="116"/>
      <c r="AI483" s="116"/>
      <c r="AJ483" s="116"/>
      <c r="AK483" s="116"/>
      <c r="AL483" s="116"/>
      <c r="AM483" s="116"/>
      <c r="AN483" s="116"/>
      <c r="AO483" s="116"/>
      <c r="AP483" s="116"/>
      <c r="AQ483" s="116"/>
      <c r="AR483" s="116"/>
      <c r="AS483" s="116"/>
      <c r="AT483" s="116"/>
      <c r="AU483" s="116"/>
      <c r="AV483" s="116"/>
      <c r="AW483" s="116"/>
      <c r="AX483" s="116"/>
      <c r="AY483" s="116"/>
      <c r="AZ483" s="116"/>
      <c r="BA483" s="116"/>
      <c r="BB483" s="116"/>
    </row>
    <row r="484" spans="4:54" hidden="1">
      <c r="D484" s="116"/>
      <c r="E484" s="116"/>
      <c r="F484" s="116"/>
      <c r="G484" s="116"/>
      <c r="H484" s="116"/>
      <c r="I484" s="116"/>
      <c r="J484" s="116"/>
      <c r="K484" s="116"/>
      <c r="L484" s="116"/>
      <c r="M484" s="116"/>
      <c r="N484" s="116"/>
      <c r="O484" s="116"/>
      <c r="P484" s="116"/>
      <c r="Q484" s="116"/>
      <c r="R484" s="116"/>
      <c r="S484" s="116"/>
      <c r="T484" s="116"/>
      <c r="U484" s="116"/>
      <c r="V484" s="116"/>
      <c r="W484" s="116"/>
      <c r="X484" s="116"/>
      <c r="Y484" s="116"/>
      <c r="Z484" s="116"/>
      <c r="AA484" s="116"/>
      <c r="AB484" s="116"/>
      <c r="AC484" s="116"/>
      <c r="AD484" s="116"/>
      <c r="AE484" s="116"/>
      <c r="AF484" s="116"/>
      <c r="AG484" s="116"/>
      <c r="AH484" s="116"/>
      <c r="AI484" s="116"/>
      <c r="AJ484" s="116"/>
      <c r="AK484" s="116"/>
      <c r="AL484" s="116"/>
      <c r="AM484" s="116"/>
      <c r="AN484" s="116"/>
      <c r="AO484" s="116"/>
      <c r="AP484" s="116"/>
      <c r="AQ484" s="116"/>
      <c r="AR484" s="116"/>
      <c r="AS484" s="116"/>
      <c r="AT484" s="116"/>
      <c r="AU484" s="116"/>
      <c r="AV484" s="116"/>
      <c r="AW484" s="116"/>
      <c r="AX484" s="116"/>
      <c r="AY484" s="116"/>
      <c r="AZ484" s="116"/>
      <c r="BA484" s="116"/>
      <c r="BB484" s="116"/>
    </row>
    <row r="485" spans="4:54" hidden="1">
      <c r="D485" s="116"/>
      <c r="E485" s="116"/>
      <c r="F485" s="116"/>
      <c r="G485" s="116"/>
      <c r="H485" s="116"/>
      <c r="I485" s="116"/>
      <c r="J485" s="116"/>
      <c r="K485" s="116"/>
      <c r="L485" s="116"/>
      <c r="M485" s="116"/>
      <c r="N485" s="116"/>
      <c r="O485" s="116"/>
      <c r="P485" s="116"/>
      <c r="Q485" s="116"/>
      <c r="R485" s="116"/>
      <c r="S485" s="116"/>
      <c r="T485" s="116"/>
      <c r="U485" s="116"/>
      <c r="V485" s="116"/>
      <c r="W485" s="116"/>
      <c r="X485" s="116"/>
      <c r="Y485" s="116"/>
      <c r="Z485" s="116"/>
      <c r="AA485" s="116"/>
      <c r="AB485" s="116"/>
      <c r="AC485" s="116"/>
      <c r="AD485" s="116"/>
      <c r="AE485" s="116"/>
      <c r="AF485" s="116"/>
      <c r="AG485" s="116"/>
      <c r="AH485" s="116"/>
      <c r="AI485" s="116"/>
      <c r="AJ485" s="116"/>
      <c r="AK485" s="116"/>
      <c r="AL485" s="116"/>
      <c r="AM485" s="116"/>
      <c r="AN485" s="116"/>
      <c r="AO485" s="116"/>
      <c r="AP485" s="116"/>
      <c r="AQ485" s="116"/>
      <c r="AR485" s="116"/>
      <c r="AS485" s="116"/>
      <c r="AT485" s="116"/>
      <c r="AU485" s="116"/>
      <c r="AV485" s="116"/>
      <c r="AW485" s="116"/>
      <c r="AX485" s="116"/>
      <c r="AY485" s="116"/>
      <c r="AZ485" s="116"/>
      <c r="BA485" s="116"/>
      <c r="BB485" s="116"/>
    </row>
    <row r="486" spans="4:54" hidden="1">
      <c r="D486" s="116"/>
      <c r="E486" s="116"/>
      <c r="F486" s="116"/>
      <c r="G486" s="116"/>
      <c r="H486" s="116"/>
      <c r="I486" s="116"/>
      <c r="J486" s="116"/>
      <c r="K486" s="116"/>
      <c r="L486" s="116"/>
      <c r="M486" s="116"/>
      <c r="N486" s="116"/>
      <c r="O486" s="116"/>
      <c r="P486" s="116"/>
      <c r="Q486" s="116"/>
      <c r="R486" s="116"/>
      <c r="S486" s="116"/>
      <c r="T486" s="116"/>
      <c r="U486" s="116"/>
      <c r="V486" s="116"/>
      <c r="W486" s="116"/>
      <c r="X486" s="116"/>
      <c r="Y486" s="116"/>
      <c r="Z486" s="116"/>
      <c r="AA486" s="116"/>
      <c r="AB486" s="116"/>
      <c r="AC486" s="116"/>
      <c r="AD486" s="116"/>
      <c r="AE486" s="116"/>
      <c r="AF486" s="116"/>
      <c r="AG486" s="116"/>
      <c r="AH486" s="116"/>
      <c r="AI486" s="116"/>
      <c r="AJ486" s="116"/>
      <c r="AK486" s="116"/>
      <c r="AL486" s="116"/>
      <c r="AM486" s="116"/>
      <c r="AN486" s="116"/>
      <c r="AO486" s="116"/>
      <c r="AP486" s="116"/>
      <c r="AQ486" s="116"/>
      <c r="AR486" s="116"/>
      <c r="AS486" s="116"/>
      <c r="AT486" s="116"/>
      <c r="AU486" s="116"/>
      <c r="AV486" s="116"/>
      <c r="AW486" s="116"/>
      <c r="AX486" s="116"/>
      <c r="AY486" s="116"/>
      <c r="AZ486" s="116"/>
      <c r="BA486" s="116"/>
      <c r="BB486" s="116"/>
    </row>
    <row r="487" spans="4:54" hidden="1">
      <c r="D487" s="116"/>
      <c r="E487" s="116"/>
      <c r="F487" s="116"/>
      <c r="G487" s="116"/>
      <c r="H487" s="116"/>
      <c r="I487" s="116"/>
      <c r="J487" s="116"/>
      <c r="K487" s="116"/>
      <c r="L487" s="116"/>
      <c r="M487" s="116"/>
      <c r="N487" s="116"/>
      <c r="O487" s="116"/>
      <c r="P487" s="116"/>
      <c r="Q487" s="116"/>
      <c r="R487" s="116"/>
      <c r="S487" s="116"/>
      <c r="T487" s="116"/>
      <c r="U487" s="116"/>
      <c r="V487" s="116"/>
      <c r="W487" s="116"/>
      <c r="X487" s="116"/>
      <c r="Y487" s="116"/>
      <c r="Z487" s="116"/>
      <c r="AA487" s="116"/>
      <c r="AB487" s="116"/>
      <c r="AC487" s="116"/>
      <c r="AD487" s="116"/>
      <c r="AE487" s="116"/>
      <c r="AF487" s="116"/>
      <c r="AG487" s="116"/>
      <c r="AH487" s="116"/>
      <c r="AI487" s="116"/>
      <c r="AJ487" s="116"/>
      <c r="AK487" s="116"/>
      <c r="AL487" s="116"/>
      <c r="AM487" s="116"/>
      <c r="AN487" s="116"/>
      <c r="AO487" s="116"/>
      <c r="AP487" s="116"/>
      <c r="AQ487" s="116"/>
      <c r="AR487" s="116"/>
      <c r="AS487" s="116"/>
      <c r="AT487" s="116"/>
      <c r="AU487" s="116"/>
      <c r="AV487" s="116"/>
      <c r="AW487" s="116"/>
      <c r="AX487" s="116"/>
      <c r="AY487" s="116"/>
      <c r="AZ487" s="116"/>
      <c r="BA487" s="116"/>
      <c r="BB487" s="116"/>
    </row>
    <row r="488" spans="4:54" hidden="1">
      <c r="D488" s="116"/>
      <c r="E488" s="116"/>
      <c r="F488" s="116"/>
      <c r="G488" s="116"/>
      <c r="H488" s="116"/>
      <c r="I488" s="116"/>
      <c r="J488" s="116"/>
      <c r="K488" s="116"/>
      <c r="L488" s="116"/>
      <c r="M488" s="116"/>
      <c r="N488" s="116"/>
      <c r="O488" s="116"/>
      <c r="P488" s="116"/>
      <c r="Q488" s="116"/>
      <c r="R488" s="116"/>
      <c r="S488" s="116"/>
      <c r="T488" s="116"/>
      <c r="U488" s="116"/>
      <c r="V488" s="116"/>
      <c r="W488" s="116"/>
      <c r="X488" s="116"/>
      <c r="Y488" s="116"/>
      <c r="Z488" s="116"/>
      <c r="AA488" s="116"/>
      <c r="AB488" s="116"/>
      <c r="AC488" s="116"/>
      <c r="AD488" s="116"/>
      <c r="AE488" s="116"/>
      <c r="AF488" s="116"/>
      <c r="AG488" s="116"/>
      <c r="AH488" s="116"/>
      <c r="AI488" s="116"/>
      <c r="AJ488" s="116"/>
      <c r="AK488" s="116"/>
      <c r="AL488" s="116"/>
      <c r="AM488" s="116"/>
      <c r="AN488" s="116"/>
      <c r="AO488" s="116"/>
      <c r="AP488" s="116"/>
      <c r="AQ488" s="116"/>
      <c r="AR488" s="116"/>
      <c r="AS488" s="116"/>
      <c r="AT488" s="116"/>
      <c r="AU488" s="116"/>
      <c r="AV488" s="116"/>
      <c r="AW488" s="116"/>
      <c r="AX488" s="116"/>
      <c r="AY488" s="116"/>
      <c r="AZ488" s="116"/>
      <c r="BA488" s="116"/>
      <c r="BB488" s="116"/>
    </row>
    <row r="489" spans="4:54" hidden="1">
      <c r="D489" s="116"/>
      <c r="E489" s="116"/>
      <c r="F489" s="116"/>
      <c r="G489" s="116"/>
      <c r="H489" s="116"/>
      <c r="I489" s="116"/>
      <c r="J489" s="116"/>
      <c r="K489" s="116"/>
      <c r="L489" s="116"/>
      <c r="M489" s="116"/>
      <c r="N489" s="116"/>
      <c r="O489" s="116"/>
      <c r="P489" s="116"/>
      <c r="Q489" s="116"/>
      <c r="R489" s="116"/>
      <c r="S489" s="116"/>
      <c r="T489" s="116"/>
      <c r="U489" s="116"/>
      <c r="V489" s="116"/>
      <c r="W489" s="116"/>
      <c r="X489" s="116"/>
      <c r="Y489" s="116"/>
      <c r="Z489" s="116"/>
      <c r="AA489" s="116"/>
      <c r="AB489" s="116"/>
      <c r="AC489" s="116"/>
      <c r="AD489" s="116"/>
      <c r="AE489" s="116"/>
      <c r="AF489" s="116"/>
      <c r="AG489" s="116"/>
      <c r="AH489" s="116"/>
      <c r="AI489" s="116"/>
      <c r="AJ489" s="116"/>
      <c r="AK489" s="116"/>
      <c r="AL489" s="116"/>
      <c r="AM489" s="116"/>
      <c r="AN489" s="116"/>
      <c r="AO489" s="116"/>
      <c r="AP489" s="116"/>
      <c r="AQ489" s="116"/>
      <c r="AR489" s="116"/>
      <c r="AS489" s="116"/>
      <c r="AT489" s="116"/>
      <c r="AU489" s="116"/>
      <c r="AV489" s="116"/>
      <c r="AW489" s="116"/>
      <c r="AX489" s="116"/>
      <c r="AY489" s="116"/>
      <c r="AZ489" s="116"/>
      <c r="BA489" s="116"/>
      <c r="BB489" s="116"/>
    </row>
    <row r="490" spans="4:54" hidden="1">
      <c r="D490" s="116"/>
      <c r="E490" s="116"/>
      <c r="F490" s="116"/>
      <c r="G490" s="116"/>
      <c r="H490" s="116"/>
      <c r="I490" s="116"/>
      <c r="J490" s="116"/>
      <c r="K490" s="116"/>
      <c r="L490" s="116"/>
      <c r="M490" s="116"/>
      <c r="N490" s="116"/>
      <c r="O490" s="116"/>
      <c r="P490" s="116"/>
      <c r="Q490" s="116"/>
      <c r="R490" s="116"/>
      <c r="S490" s="116"/>
      <c r="T490" s="116"/>
      <c r="U490" s="116"/>
      <c r="V490" s="116"/>
      <c r="W490" s="116"/>
      <c r="X490" s="116"/>
      <c r="Y490" s="116"/>
      <c r="Z490" s="116"/>
      <c r="AA490" s="116"/>
      <c r="AB490" s="116"/>
      <c r="AC490" s="116"/>
      <c r="AD490" s="116"/>
      <c r="AE490" s="116"/>
      <c r="AF490" s="116"/>
      <c r="AG490" s="116"/>
      <c r="AH490" s="116"/>
      <c r="AI490" s="116"/>
      <c r="AJ490" s="116"/>
      <c r="AK490" s="116"/>
      <c r="AL490" s="116"/>
      <c r="AM490" s="116"/>
      <c r="AN490" s="116"/>
      <c r="AO490" s="116"/>
      <c r="AP490" s="116"/>
      <c r="AQ490" s="116"/>
      <c r="AR490" s="116"/>
      <c r="AS490" s="116"/>
      <c r="AT490" s="116"/>
      <c r="AU490" s="116"/>
      <c r="AV490" s="116"/>
      <c r="AW490" s="116"/>
      <c r="AX490" s="116"/>
      <c r="AY490" s="116"/>
      <c r="AZ490" s="116"/>
      <c r="BA490" s="116"/>
      <c r="BB490" s="116"/>
    </row>
    <row r="491" spans="4:54" hidden="1">
      <c r="D491" s="116"/>
      <c r="E491" s="116"/>
      <c r="F491" s="116"/>
      <c r="G491" s="116"/>
      <c r="H491" s="116"/>
      <c r="I491" s="116"/>
      <c r="J491" s="116"/>
      <c r="K491" s="116"/>
      <c r="L491" s="116"/>
      <c r="M491" s="116"/>
      <c r="N491" s="116"/>
      <c r="O491" s="116"/>
      <c r="P491" s="116"/>
      <c r="Q491" s="116"/>
      <c r="R491" s="116"/>
      <c r="S491" s="116"/>
      <c r="T491" s="116"/>
      <c r="U491" s="116"/>
      <c r="V491" s="116"/>
      <c r="W491" s="116"/>
      <c r="X491" s="116"/>
      <c r="Y491" s="116"/>
      <c r="Z491" s="116"/>
      <c r="AA491" s="116"/>
      <c r="AB491" s="116"/>
      <c r="AC491" s="116"/>
      <c r="AD491" s="116"/>
      <c r="AE491" s="116"/>
      <c r="AF491" s="116"/>
      <c r="AG491" s="116"/>
      <c r="AH491" s="116"/>
      <c r="AI491" s="116"/>
      <c r="AJ491" s="116"/>
      <c r="AK491" s="116"/>
      <c r="AL491" s="116"/>
      <c r="AM491" s="116"/>
      <c r="AN491" s="116"/>
      <c r="AO491" s="116"/>
      <c r="AP491" s="116"/>
      <c r="AQ491" s="116"/>
      <c r="AR491" s="116"/>
      <c r="AS491" s="116"/>
      <c r="AT491" s="116"/>
      <c r="AU491" s="116"/>
      <c r="AV491" s="116"/>
      <c r="AW491" s="116"/>
      <c r="AX491" s="116"/>
      <c r="AY491" s="116"/>
      <c r="AZ491" s="116"/>
      <c r="BA491" s="116"/>
      <c r="BB491" s="116"/>
    </row>
    <row r="492" spans="4:54" hidden="1">
      <c r="D492" s="116"/>
      <c r="E492" s="116"/>
      <c r="F492" s="116"/>
      <c r="G492" s="116"/>
      <c r="H492" s="116"/>
      <c r="I492" s="116"/>
      <c r="J492" s="116"/>
      <c r="K492" s="116"/>
      <c r="L492" s="116"/>
      <c r="M492" s="116"/>
      <c r="N492" s="116"/>
      <c r="O492" s="116"/>
      <c r="P492" s="116"/>
      <c r="Q492" s="116"/>
      <c r="R492" s="116"/>
      <c r="S492" s="116"/>
      <c r="T492" s="116"/>
      <c r="U492" s="116"/>
      <c r="V492" s="116"/>
      <c r="W492" s="116"/>
      <c r="X492" s="116"/>
      <c r="Y492" s="116"/>
      <c r="Z492" s="116"/>
      <c r="AA492" s="116"/>
      <c r="AB492" s="116"/>
      <c r="AC492" s="116"/>
      <c r="AD492" s="116"/>
      <c r="AE492" s="116"/>
      <c r="AF492" s="116"/>
      <c r="AG492" s="116"/>
      <c r="AH492" s="116"/>
      <c r="AI492" s="116"/>
      <c r="AJ492" s="116"/>
      <c r="AK492" s="116"/>
      <c r="AL492" s="116"/>
      <c r="AM492" s="116"/>
      <c r="AN492" s="116"/>
      <c r="AO492" s="116"/>
      <c r="AP492" s="116"/>
      <c r="AQ492" s="116"/>
      <c r="AR492" s="116"/>
      <c r="AS492" s="116"/>
      <c r="AT492" s="116"/>
      <c r="AU492" s="116"/>
      <c r="AV492" s="116"/>
      <c r="AW492" s="116"/>
      <c r="AX492" s="116"/>
      <c r="AY492" s="116"/>
      <c r="AZ492" s="116"/>
      <c r="BA492" s="116"/>
      <c r="BB492" s="116"/>
    </row>
    <row r="493" spans="4:54" hidden="1">
      <c r="D493" s="116"/>
      <c r="E493" s="116"/>
      <c r="F493" s="116"/>
      <c r="G493" s="116"/>
      <c r="H493" s="116"/>
      <c r="I493" s="116"/>
      <c r="J493" s="116"/>
      <c r="K493" s="116"/>
      <c r="L493" s="116"/>
      <c r="M493" s="116"/>
      <c r="N493" s="116"/>
      <c r="O493" s="116"/>
      <c r="P493" s="116"/>
      <c r="Q493" s="116"/>
      <c r="R493" s="116"/>
      <c r="S493" s="116"/>
      <c r="T493" s="116"/>
      <c r="U493" s="116"/>
      <c r="V493" s="116"/>
      <c r="W493" s="116"/>
      <c r="X493" s="116"/>
      <c r="Y493" s="116"/>
      <c r="Z493" s="116"/>
      <c r="AA493" s="116"/>
      <c r="AB493" s="116"/>
      <c r="AC493" s="116"/>
      <c r="AD493" s="116"/>
      <c r="AE493" s="116"/>
      <c r="AF493" s="116"/>
      <c r="AG493" s="116"/>
      <c r="AH493" s="116"/>
      <c r="AI493" s="116"/>
      <c r="AJ493" s="116"/>
      <c r="AK493" s="116"/>
      <c r="AL493" s="116"/>
      <c r="AM493" s="116"/>
      <c r="AN493" s="116"/>
      <c r="AO493" s="116"/>
      <c r="AP493" s="116"/>
      <c r="AQ493" s="116"/>
      <c r="AR493" s="116"/>
      <c r="AS493" s="116"/>
      <c r="AT493" s="116"/>
      <c r="AU493" s="116"/>
      <c r="AV493" s="116"/>
      <c r="AW493" s="116"/>
      <c r="AX493" s="116"/>
      <c r="AY493" s="116"/>
      <c r="AZ493" s="116"/>
      <c r="BA493" s="116"/>
      <c r="BB493" s="116"/>
    </row>
    <row r="494" spans="4:54" hidden="1">
      <c r="D494" s="116"/>
      <c r="E494" s="116"/>
      <c r="F494" s="116"/>
      <c r="G494" s="116"/>
      <c r="H494" s="116"/>
      <c r="I494" s="116"/>
      <c r="J494" s="116"/>
      <c r="K494" s="116"/>
      <c r="L494" s="116"/>
      <c r="M494" s="116"/>
      <c r="N494" s="116"/>
      <c r="O494" s="116"/>
      <c r="P494" s="116"/>
      <c r="Q494" s="116"/>
      <c r="R494" s="116"/>
      <c r="S494" s="116"/>
      <c r="T494" s="116"/>
      <c r="U494" s="116"/>
      <c r="V494" s="116"/>
      <c r="W494" s="116"/>
      <c r="X494" s="116"/>
      <c r="Y494" s="116"/>
      <c r="Z494" s="116"/>
      <c r="AA494" s="116"/>
      <c r="AB494" s="116"/>
      <c r="AC494" s="116"/>
      <c r="AD494" s="116"/>
      <c r="AE494" s="116"/>
      <c r="AF494" s="116"/>
      <c r="AG494" s="116"/>
      <c r="AH494" s="116"/>
      <c r="AI494" s="116"/>
      <c r="AJ494" s="116"/>
      <c r="AK494" s="116"/>
      <c r="AL494" s="116"/>
      <c r="AM494" s="116"/>
      <c r="AN494" s="116"/>
      <c r="AO494" s="116"/>
      <c r="AP494" s="116"/>
      <c r="AQ494" s="116"/>
      <c r="AR494" s="116"/>
      <c r="AS494" s="116"/>
      <c r="AT494" s="116"/>
      <c r="AU494" s="116"/>
      <c r="AV494" s="116"/>
      <c r="AW494" s="116"/>
      <c r="AX494" s="116"/>
      <c r="AY494" s="116"/>
      <c r="AZ494" s="116"/>
      <c r="BA494" s="116"/>
      <c r="BB494" s="116"/>
    </row>
    <row r="495" spans="4:54" hidden="1">
      <c r="D495" s="116"/>
      <c r="E495" s="116"/>
      <c r="F495" s="116"/>
      <c r="G495" s="116"/>
      <c r="H495" s="116"/>
      <c r="I495" s="116"/>
      <c r="J495" s="116"/>
      <c r="K495" s="116"/>
      <c r="L495" s="116"/>
      <c r="M495" s="116"/>
      <c r="N495" s="116"/>
      <c r="O495" s="116"/>
      <c r="P495" s="116"/>
      <c r="Q495" s="116"/>
      <c r="R495" s="116"/>
      <c r="S495" s="116"/>
      <c r="T495" s="116"/>
      <c r="U495" s="116"/>
      <c r="V495" s="116"/>
      <c r="W495" s="116"/>
      <c r="X495" s="116"/>
      <c r="Y495" s="116"/>
      <c r="Z495" s="116"/>
      <c r="AA495" s="116"/>
      <c r="AB495" s="116"/>
      <c r="AC495" s="116"/>
      <c r="AD495" s="116"/>
      <c r="AE495" s="116"/>
      <c r="AF495" s="116"/>
      <c r="AG495" s="116"/>
      <c r="AH495" s="116"/>
      <c r="AI495" s="116"/>
      <c r="AJ495" s="116"/>
      <c r="AK495" s="116"/>
      <c r="AL495" s="116"/>
      <c r="AM495" s="116"/>
      <c r="AN495" s="116"/>
      <c r="AO495" s="116"/>
      <c r="AP495" s="116"/>
      <c r="AQ495" s="116"/>
      <c r="AR495" s="116"/>
      <c r="AS495" s="116"/>
      <c r="AT495" s="116"/>
      <c r="AU495" s="116"/>
      <c r="AV495" s="116"/>
      <c r="AW495" s="116"/>
      <c r="AX495" s="116"/>
      <c r="AY495" s="116"/>
      <c r="AZ495" s="116"/>
      <c r="BA495" s="116"/>
      <c r="BB495" s="116"/>
    </row>
    <row r="496" spans="4:54" hidden="1">
      <c r="D496" s="116"/>
      <c r="E496" s="116"/>
      <c r="F496" s="116"/>
      <c r="G496" s="116"/>
      <c r="H496" s="116"/>
      <c r="I496" s="116"/>
      <c r="J496" s="116"/>
      <c r="K496" s="116"/>
      <c r="L496" s="116"/>
      <c r="M496" s="116"/>
      <c r="N496" s="116"/>
      <c r="O496" s="116"/>
      <c r="P496" s="116"/>
      <c r="Q496" s="116"/>
      <c r="R496" s="116"/>
      <c r="S496" s="116"/>
      <c r="T496" s="116"/>
      <c r="U496" s="116"/>
      <c r="V496" s="116"/>
      <c r="W496" s="116"/>
      <c r="X496" s="116"/>
      <c r="Y496" s="116"/>
      <c r="Z496" s="116"/>
      <c r="AA496" s="116"/>
      <c r="AB496" s="116"/>
      <c r="AC496" s="116"/>
      <c r="AD496" s="116"/>
      <c r="AE496" s="116"/>
      <c r="AF496" s="116"/>
      <c r="AG496" s="116"/>
      <c r="AH496" s="116"/>
      <c r="AI496" s="116"/>
      <c r="AJ496" s="116"/>
      <c r="AK496" s="116"/>
      <c r="AL496" s="116"/>
      <c r="AM496" s="116"/>
      <c r="AN496" s="116"/>
      <c r="AO496" s="116"/>
      <c r="AP496" s="116"/>
      <c r="AQ496" s="116"/>
      <c r="AR496" s="116"/>
      <c r="AS496" s="116"/>
      <c r="AT496" s="116"/>
      <c r="AU496" s="116"/>
      <c r="AV496" s="116"/>
      <c r="AW496" s="116"/>
      <c r="AX496" s="116"/>
      <c r="AY496" s="116"/>
      <c r="AZ496" s="116"/>
      <c r="BA496" s="116"/>
      <c r="BB496" s="116"/>
    </row>
    <row r="497" spans="4:54" hidden="1">
      <c r="D497" s="116"/>
      <c r="E497" s="116"/>
      <c r="F497" s="116"/>
      <c r="G497" s="116"/>
      <c r="H497" s="116"/>
      <c r="I497" s="116"/>
      <c r="J497" s="116"/>
      <c r="K497" s="116"/>
      <c r="L497" s="116"/>
      <c r="M497" s="116"/>
      <c r="N497" s="116"/>
      <c r="O497" s="116"/>
      <c r="P497" s="116"/>
      <c r="Q497" s="116"/>
      <c r="R497" s="116"/>
      <c r="S497" s="116"/>
      <c r="T497" s="116"/>
      <c r="U497" s="116"/>
      <c r="V497" s="116"/>
      <c r="W497" s="116"/>
      <c r="X497" s="116"/>
      <c r="Y497" s="116"/>
      <c r="Z497" s="116"/>
      <c r="AA497" s="116"/>
      <c r="AB497" s="116"/>
      <c r="AC497" s="116"/>
      <c r="AD497" s="116"/>
      <c r="AE497" s="116"/>
      <c r="AF497" s="116"/>
      <c r="AG497" s="116"/>
      <c r="AH497" s="116"/>
      <c r="AI497" s="116"/>
      <c r="AJ497" s="116"/>
      <c r="AK497" s="116"/>
      <c r="AL497" s="116"/>
      <c r="AM497" s="116"/>
      <c r="AN497" s="116"/>
      <c r="AO497" s="116"/>
      <c r="AP497" s="116"/>
      <c r="AQ497" s="116"/>
      <c r="AR497" s="116"/>
      <c r="AS497" s="116"/>
      <c r="AT497" s="116"/>
      <c r="AU497" s="116"/>
      <c r="AV497" s="116"/>
      <c r="AW497" s="116"/>
      <c r="AX497" s="116"/>
      <c r="AY497" s="116"/>
      <c r="AZ497" s="116"/>
      <c r="BA497" s="116"/>
      <c r="BB497" s="116"/>
    </row>
    <row r="498" spans="4:54" hidden="1">
      <c r="D498" s="116"/>
      <c r="E498" s="116"/>
      <c r="F498" s="116"/>
      <c r="G498" s="116"/>
      <c r="H498" s="116"/>
      <c r="I498" s="116"/>
      <c r="J498" s="116"/>
      <c r="K498" s="116"/>
      <c r="L498" s="116"/>
      <c r="M498" s="116"/>
      <c r="N498" s="116"/>
      <c r="O498" s="116"/>
      <c r="P498" s="116"/>
      <c r="Q498" s="116"/>
      <c r="R498" s="116"/>
      <c r="S498" s="116"/>
      <c r="T498" s="116"/>
      <c r="U498" s="116"/>
      <c r="V498" s="116"/>
      <c r="W498" s="116"/>
      <c r="X498" s="116"/>
      <c r="Y498" s="116"/>
      <c r="Z498" s="116"/>
      <c r="AA498" s="116"/>
      <c r="AB498" s="116"/>
      <c r="AC498" s="116"/>
      <c r="AD498" s="116"/>
      <c r="AE498" s="116"/>
      <c r="AF498" s="116"/>
      <c r="AG498" s="116"/>
      <c r="AH498" s="116"/>
      <c r="AI498" s="116"/>
      <c r="AJ498" s="116"/>
      <c r="AK498" s="116"/>
      <c r="AL498" s="116"/>
      <c r="AM498" s="116"/>
      <c r="AN498" s="116"/>
      <c r="AO498" s="116"/>
      <c r="AP498" s="116"/>
      <c r="AQ498" s="116"/>
      <c r="AR498" s="116"/>
      <c r="AS498" s="116"/>
      <c r="AT498" s="116"/>
      <c r="AU498" s="116"/>
      <c r="AV498" s="116"/>
      <c r="AW498" s="116"/>
      <c r="AX498" s="116"/>
      <c r="AY498" s="116"/>
      <c r="AZ498" s="116"/>
      <c r="BA498" s="116"/>
      <c r="BB498" s="116"/>
    </row>
    <row r="499" spans="4:54" hidden="1">
      <c r="D499" s="116"/>
      <c r="E499" s="116"/>
      <c r="F499" s="116"/>
      <c r="G499" s="116"/>
      <c r="H499" s="116"/>
      <c r="I499" s="116"/>
      <c r="J499" s="116"/>
      <c r="K499" s="116"/>
      <c r="L499" s="116"/>
      <c r="M499" s="116"/>
      <c r="N499" s="116"/>
      <c r="O499" s="116"/>
      <c r="P499" s="116"/>
      <c r="Q499" s="116"/>
      <c r="R499" s="116"/>
      <c r="S499" s="116"/>
      <c r="T499" s="116"/>
      <c r="U499" s="116"/>
      <c r="V499" s="116"/>
      <c r="W499" s="116"/>
      <c r="X499" s="116"/>
      <c r="Y499" s="116"/>
      <c r="Z499" s="116"/>
      <c r="AA499" s="116"/>
      <c r="AB499" s="116"/>
      <c r="AC499" s="116"/>
      <c r="AD499" s="116"/>
      <c r="AE499" s="116"/>
      <c r="AF499" s="116"/>
      <c r="AG499" s="116"/>
      <c r="AH499" s="116"/>
      <c r="AI499" s="116"/>
      <c r="AJ499" s="116"/>
      <c r="AK499" s="116"/>
      <c r="AL499" s="116"/>
      <c r="AM499" s="116"/>
      <c r="AN499" s="116"/>
      <c r="AO499" s="116"/>
      <c r="AP499" s="116"/>
      <c r="AQ499" s="116"/>
      <c r="AR499" s="116"/>
      <c r="AS499" s="116"/>
      <c r="AT499" s="116"/>
      <c r="AU499" s="116"/>
      <c r="AV499" s="116"/>
      <c r="AW499" s="116"/>
      <c r="AX499" s="116"/>
      <c r="AY499" s="116"/>
      <c r="AZ499" s="116"/>
      <c r="BA499" s="116"/>
      <c r="BB499" s="116"/>
    </row>
    <row r="500" spans="4:54" hidden="1">
      <c r="D500" s="116"/>
      <c r="E500" s="116"/>
      <c r="F500" s="116"/>
      <c r="G500" s="116"/>
      <c r="H500" s="116"/>
      <c r="I500" s="116"/>
      <c r="J500" s="116"/>
      <c r="K500" s="116"/>
      <c r="L500" s="116"/>
      <c r="M500" s="116"/>
      <c r="N500" s="116"/>
      <c r="O500" s="116"/>
      <c r="P500" s="116"/>
      <c r="Q500" s="116"/>
      <c r="R500" s="116"/>
      <c r="S500" s="116"/>
      <c r="T500" s="116"/>
      <c r="U500" s="116"/>
      <c r="V500" s="116"/>
      <c r="W500" s="116"/>
      <c r="X500" s="116"/>
      <c r="Y500" s="116"/>
      <c r="Z500" s="116"/>
      <c r="AA500" s="116"/>
      <c r="AB500" s="116"/>
      <c r="AC500" s="116"/>
      <c r="AD500" s="116"/>
      <c r="AE500" s="116"/>
      <c r="AF500" s="116"/>
      <c r="AG500" s="116"/>
      <c r="AH500" s="116"/>
      <c r="AI500" s="116"/>
      <c r="AJ500" s="116"/>
      <c r="AK500" s="116"/>
      <c r="AL500" s="116"/>
      <c r="AM500" s="116"/>
      <c r="AN500" s="116"/>
      <c r="AO500" s="116"/>
      <c r="AP500" s="116"/>
      <c r="AQ500" s="116"/>
      <c r="AR500" s="116"/>
      <c r="AS500" s="116"/>
      <c r="AT500" s="116"/>
      <c r="AU500" s="116"/>
      <c r="AV500" s="116"/>
      <c r="AW500" s="116"/>
      <c r="AX500" s="116"/>
      <c r="AY500" s="116"/>
      <c r="AZ500" s="116"/>
      <c r="BA500" s="116"/>
      <c r="BB500" s="116"/>
    </row>
    <row r="501" spans="4:54" hidden="1">
      <c r="D501" s="116"/>
      <c r="E501" s="116"/>
      <c r="F501" s="116"/>
      <c r="G501" s="116"/>
      <c r="H501" s="116"/>
      <c r="I501" s="116"/>
      <c r="J501" s="116"/>
      <c r="K501" s="116"/>
      <c r="L501" s="116"/>
      <c r="M501" s="116"/>
      <c r="N501" s="116"/>
      <c r="O501" s="116"/>
      <c r="P501" s="116"/>
      <c r="Q501" s="116"/>
      <c r="R501" s="116"/>
      <c r="S501" s="116"/>
      <c r="T501" s="116"/>
      <c r="U501" s="116"/>
      <c r="V501" s="116"/>
      <c r="W501" s="116"/>
      <c r="X501" s="116"/>
      <c r="Y501" s="116"/>
      <c r="Z501" s="116"/>
      <c r="AA501" s="116"/>
      <c r="AB501" s="116"/>
      <c r="AC501" s="116"/>
      <c r="AD501" s="116"/>
      <c r="AE501" s="116"/>
      <c r="AF501" s="116"/>
      <c r="AG501" s="116"/>
      <c r="AH501" s="116"/>
      <c r="AI501" s="116"/>
      <c r="AJ501" s="116"/>
      <c r="AK501" s="116"/>
      <c r="AL501" s="116"/>
      <c r="AM501" s="116"/>
      <c r="AN501" s="116"/>
      <c r="AO501" s="116"/>
      <c r="AP501" s="116"/>
      <c r="AQ501" s="116"/>
      <c r="AR501" s="116"/>
      <c r="AS501" s="116"/>
      <c r="AT501" s="116"/>
      <c r="AU501" s="116"/>
      <c r="AV501" s="116"/>
      <c r="AW501" s="116"/>
      <c r="AX501" s="116"/>
      <c r="AY501" s="116"/>
      <c r="AZ501" s="116"/>
      <c r="BA501" s="116"/>
      <c r="BB501" s="116"/>
    </row>
    <row r="502" spans="4:54" hidden="1">
      <c r="D502" s="116"/>
      <c r="E502" s="116"/>
      <c r="F502" s="116"/>
      <c r="G502" s="116"/>
      <c r="H502" s="116"/>
      <c r="I502" s="116"/>
      <c r="J502" s="116"/>
      <c r="K502" s="116"/>
      <c r="L502" s="116"/>
      <c r="M502" s="116"/>
      <c r="N502" s="116"/>
      <c r="O502" s="116"/>
      <c r="P502" s="116"/>
      <c r="Q502" s="116"/>
      <c r="R502" s="116"/>
      <c r="S502" s="116"/>
      <c r="T502" s="116"/>
      <c r="U502" s="116"/>
      <c r="V502" s="116"/>
      <c r="W502" s="116"/>
      <c r="X502" s="116"/>
      <c r="Y502" s="116"/>
      <c r="Z502" s="116"/>
      <c r="AA502" s="116"/>
      <c r="AB502" s="116"/>
      <c r="AC502" s="116"/>
      <c r="AD502" s="116"/>
      <c r="AE502" s="116"/>
      <c r="AF502" s="116"/>
      <c r="AG502" s="116"/>
      <c r="AH502" s="116"/>
      <c r="AI502" s="116"/>
      <c r="AJ502" s="116"/>
      <c r="AK502" s="116"/>
      <c r="AL502" s="116"/>
      <c r="AM502" s="116"/>
      <c r="AN502" s="116"/>
      <c r="AO502" s="116"/>
      <c r="AP502" s="116"/>
      <c r="AQ502" s="116"/>
      <c r="AR502" s="116"/>
      <c r="AS502" s="116"/>
      <c r="AT502" s="116"/>
      <c r="AU502" s="116"/>
      <c r="AV502" s="116"/>
      <c r="AW502" s="116"/>
      <c r="AX502" s="116"/>
      <c r="AY502" s="116"/>
      <c r="AZ502" s="116"/>
      <c r="BA502" s="116"/>
      <c r="BB502" s="116"/>
    </row>
    <row r="503" spans="4:54" hidden="1">
      <c r="D503" s="116"/>
      <c r="E503" s="116"/>
      <c r="F503" s="116"/>
      <c r="G503" s="116"/>
      <c r="H503" s="116"/>
      <c r="I503" s="116"/>
      <c r="J503" s="116"/>
      <c r="K503" s="116"/>
      <c r="L503" s="116"/>
      <c r="M503" s="116"/>
      <c r="N503" s="116"/>
      <c r="O503" s="116"/>
      <c r="P503" s="116"/>
      <c r="Q503" s="116"/>
      <c r="R503" s="116"/>
      <c r="S503" s="116"/>
      <c r="T503" s="116"/>
      <c r="U503" s="116"/>
      <c r="V503" s="116"/>
      <c r="W503" s="116"/>
      <c r="X503" s="116"/>
      <c r="Y503" s="116"/>
      <c r="Z503" s="116"/>
      <c r="AA503" s="116"/>
      <c r="AB503" s="116"/>
      <c r="AC503" s="116"/>
      <c r="AD503" s="116"/>
      <c r="AE503" s="116"/>
      <c r="AF503" s="116"/>
      <c r="AG503" s="116"/>
      <c r="AH503" s="116"/>
      <c r="AI503" s="116"/>
      <c r="AJ503" s="116"/>
      <c r="AK503" s="116"/>
      <c r="AL503" s="116"/>
      <c r="AM503" s="116"/>
      <c r="AN503" s="116"/>
      <c r="AO503" s="116"/>
      <c r="AP503" s="116"/>
      <c r="AQ503" s="116"/>
      <c r="AR503" s="116"/>
      <c r="AS503" s="116"/>
      <c r="AT503" s="116"/>
      <c r="AU503" s="116"/>
      <c r="AV503" s="116"/>
      <c r="AW503" s="116"/>
      <c r="AX503" s="116"/>
      <c r="AY503" s="116"/>
      <c r="AZ503" s="116"/>
      <c r="BA503" s="116"/>
      <c r="BB503" s="116"/>
    </row>
    <row r="504" spans="4:54" hidden="1">
      <c r="D504" s="116"/>
      <c r="E504" s="116"/>
      <c r="F504" s="116"/>
      <c r="G504" s="116"/>
      <c r="H504" s="116"/>
      <c r="I504" s="116"/>
      <c r="J504" s="116"/>
      <c r="K504" s="116"/>
      <c r="L504" s="116"/>
      <c r="M504" s="116"/>
      <c r="N504" s="116"/>
      <c r="O504" s="116"/>
      <c r="P504" s="116"/>
      <c r="Q504" s="116"/>
      <c r="R504" s="116"/>
      <c r="S504" s="116"/>
      <c r="T504" s="116"/>
      <c r="U504" s="116"/>
      <c r="V504" s="116"/>
      <c r="W504" s="116"/>
      <c r="X504" s="116"/>
      <c r="Y504" s="116"/>
      <c r="Z504" s="116"/>
      <c r="AA504" s="116"/>
      <c r="AB504" s="116"/>
      <c r="AC504" s="116"/>
      <c r="AD504" s="116"/>
      <c r="AE504" s="116"/>
      <c r="AF504" s="116"/>
      <c r="AG504" s="116"/>
      <c r="AH504" s="116"/>
      <c r="AI504" s="116"/>
      <c r="AJ504" s="116"/>
      <c r="AK504" s="116"/>
      <c r="AL504" s="116"/>
      <c r="AM504" s="116"/>
      <c r="AN504" s="116"/>
      <c r="AO504" s="116"/>
      <c r="AP504" s="116"/>
      <c r="AQ504" s="116"/>
      <c r="AR504" s="116"/>
      <c r="AS504" s="116"/>
      <c r="AT504" s="116"/>
      <c r="AU504" s="116"/>
      <c r="AV504" s="116"/>
      <c r="AW504" s="116"/>
      <c r="AX504" s="116"/>
      <c r="AY504" s="116"/>
      <c r="AZ504" s="116"/>
      <c r="BA504" s="116"/>
      <c r="BB504" s="116"/>
    </row>
    <row r="505" spans="4:54" hidden="1">
      <c r="D505" s="116"/>
      <c r="E505" s="116"/>
      <c r="F505" s="116"/>
      <c r="G505" s="116"/>
      <c r="H505" s="116"/>
      <c r="I505" s="116"/>
      <c r="J505" s="116"/>
      <c r="K505" s="116"/>
      <c r="L505" s="116"/>
      <c r="M505" s="116"/>
      <c r="N505" s="116"/>
      <c r="O505" s="116"/>
      <c r="P505" s="116"/>
      <c r="Q505" s="116"/>
      <c r="R505" s="116"/>
      <c r="S505" s="116"/>
      <c r="T505" s="116"/>
      <c r="U505" s="116"/>
      <c r="V505" s="116"/>
      <c r="W505" s="116"/>
      <c r="X505" s="116"/>
      <c r="Y505" s="116"/>
      <c r="Z505" s="116"/>
      <c r="AA505" s="116"/>
      <c r="AB505" s="116"/>
      <c r="AC505" s="116"/>
      <c r="AD505" s="116"/>
      <c r="AE505" s="116"/>
      <c r="AF505" s="116"/>
      <c r="AG505" s="116"/>
      <c r="AH505" s="116"/>
      <c r="AI505" s="116"/>
      <c r="AJ505" s="116"/>
      <c r="AK505" s="116"/>
      <c r="AL505" s="116"/>
      <c r="AM505" s="116"/>
      <c r="AN505" s="116"/>
      <c r="AO505" s="116"/>
      <c r="AP505" s="116"/>
      <c r="AQ505" s="116"/>
      <c r="AR505" s="116"/>
      <c r="AS505" s="116"/>
      <c r="AT505" s="116"/>
      <c r="AU505" s="116"/>
      <c r="AV505" s="116"/>
      <c r="AW505" s="116"/>
      <c r="AX505" s="116"/>
      <c r="AY505" s="116"/>
      <c r="AZ505" s="116"/>
      <c r="BA505" s="116"/>
      <c r="BB505" s="116"/>
    </row>
    <row r="506" spans="4:54" hidden="1">
      <c r="D506" s="116"/>
      <c r="E506" s="116"/>
      <c r="F506" s="116"/>
      <c r="G506" s="116"/>
      <c r="H506" s="116"/>
      <c r="I506" s="116"/>
      <c r="J506" s="116"/>
      <c r="K506" s="116"/>
      <c r="L506" s="116"/>
      <c r="M506" s="116"/>
      <c r="N506" s="116"/>
      <c r="O506" s="116"/>
      <c r="P506" s="116"/>
      <c r="Q506" s="116"/>
      <c r="R506" s="116"/>
      <c r="S506" s="116"/>
      <c r="T506" s="116"/>
      <c r="U506" s="116"/>
      <c r="V506" s="116"/>
      <c r="W506" s="116"/>
      <c r="X506" s="116"/>
      <c r="Y506" s="116"/>
      <c r="Z506" s="116"/>
      <c r="AA506" s="116"/>
      <c r="AB506" s="116"/>
      <c r="AC506" s="116"/>
      <c r="AD506" s="116"/>
      <c r="AE506" s="116"/>
      <c r="AF506" s="116"/>
      <c r="AG506" s="116"/>
      <c r="AH506" s="116"/>
      <c r="AI506" s="116"/>
      <c r="AJ506" s="116"/>
      <c r="AK506" s="116"/>
      <c r="AL506" s="116"/>
      <c r="AM506" s="116"/>
      <c r="AN506" s="116"/>
      <c r="AO506" s="116"/>
      <c r="AP506" s="116"/>
      <c r="AQ506" s="116"/>
      <c r="AR506" s="116"/>
      <c r="AS506" s="116"/>
      <c r="AT506" s="116"/>
      <c r="AU506" s="116"/>
      <c r="AV506" s="116"/>
      <c r="AW506" s="116"/>
      <c r="AX506" s="116"/>
      <c r="AY506" s="116"/>
      <c r="AZ506" s="116"/>
      <c r="BA506" s="116"/>
      <c r="BB506" s="116"/>
    </row>
    <row r="507" spans="4:54" hidden="1">
      <c r="D507" s="116"/>
      <c r="E507" s="116"/>
      <c r="F507" s="116"/>
      <c r="G507" s="116"/>
      <c r="H507" s="116"/>
      <c r="I507" s="116"/>
      <c r="J507" s="116"/>
      <c r="K507" s="116"/>
      <c r="L507" s="116"/>
      <c r="M507" s="116"/>
      <c r="N507" s="116"/>
      <c r="O507" s="116"/>
      <c r="P507" s="116"/>
      <c r="Q507" s="116"/>
      <c r="R507" s="116"/>
      <c r="S507" s="116"/>
      <c r="T507" s="116"/>
      <c r="U507" s="116"/>
      <c r="V507" s="116"/>
      <c r="W507" s="116"/>
      <c r="X507" s="116"/>
      <c r="Y507" s="116"/>
      <c r="Z507" s="116"/>
      <c r="AA507" s="116"/>
      <c r="AB507" s="116"/>
      <c r="AC507" s="116"/>
      <c r="AD507" s="116"/>
      <c r="AE507" s="116"/>
      <c r="AF507" s="116"/>
      <c r="AG507" s="116"/>
      <c r="AH507" s="116"/>
      <c r="AI507" s="116"/>
      <c r="AJ507" s="116"/>
      <c r="AK507" s="116"/>
      <c r="AL507" s="116"/>
      <c r="AM507" s="116"/>
      <c r="AN507" s="116"/>
      <c r="AO507" s="116"/>
      <c r="AP507" s="116"/>
      <c r="AQ507" s="116"/>
      <c r="AR507" s="116"/>
      <c r="AS507" s="116"/>
      <c r="AT507" s="116"/>
      <c r="AU507" s="116"/>
      <c r="AV507" s="116"/>
      <c r="AW507" s="116"/>
      <c r="AX507" s="116"/>
      <c r="AY507" s="116"/>
      <c r="AZ507" s="116"/>
      <c r="BA507" s="116"/>
      <c r="BB507" s="116"/>
    </row>
    <row r="508" spans="4:54" hidden="1">
      <c r="D508" s="116"/>
      <c r="E508" s="116"/>
      <c r="F508" s="116"/>
      <c r="G508" s="116"/>
      <c r="H508" s="116"/>
      <c r="I508" s="116"/>
      <c r="J508" s="116"/>
      <c r="K508" s="116"/>
      <c r="L508" s="116"/>
      <c r="M508" s="116"/>
      <c r="N508" s="116"/>
      <c r="O508" s="116"/>
      <c r="P508" s="116"/>
      <c r="Q508" s="116"/>
      <c r="R508" s="116"/>
      <c r="S508" s="116"/>
      <c r="T508" s="116"/>
      <c r="U508" s="116"/>
      <c r="V508" s="116"/>
      <c r="W508" s="116"/>
      <c r="X508" s="116"/>
      <c r="Y508" s="116"/>
      <c r="Z508" s="116"/>
      <c r="AA508" s="116"/>
      <c r="AB508" s="116"/>
      <c r="AC508" s="116"/>
      <c r="AD508" s="116"/>
      <c r="AE508" s="116"/>
      <c r="AF508" s="116"/>
      <c r="AG508" s="116"/>
      <c r="AH508" s="116"/>
      <c r="AI508" s="116"/>
      <c r="AJ508" s="116"/>
      <c r="AK508" s="116"/>
      <c r="AL508" s="116"/>
      <c r="AM508" s="116"/>
      <c r="AN508" s="116"/>
      <c r="AO508" s="116"/>
      <c r="AP508" s="116"/>
      <c r="AQ508" s="116"/>
      <c r="AR508" s="116"/>
      <c r="AS508" s="116"/>
      <c r="AT508" s="116"/>
      <c r="AU508" s="116"/>
      <c r="AV508" s="116"/>
      <c r="AW508" s="116"/>
      <c r="AX508" s="116"/>
      <c r="AY508" s="116"/>
      <c r="AZ508" s="116"/>
      <c r="BA508" s="116"/>
      <c r="BB508" s="116"/>
    </row>
    <row r="509" spans="4:54" hidden="1">
      <c r="D509" s="116"/>
      <c r="E509" s="116"/>
      <c r="F509" s="116"/>
      <c r="G509" s="116"/>
      <c r="H509" s="116"/>
      <c r="I509" s="116"/>
      <c r="J509" s="116"/>
      <c r="K509" s="116"/>
      <c r="L509" s="116"/>
      <c r="M509" s="116"/>
      <c r="N509" s="116"/>
      <c r="O509" s="116"/>
      <c r="P509" s="116"/>
      <c r="Q509" s="116"/>
      <c r="R509" s="116"/>
      <c r="S509" s="116"/>
      <c r="T509" s="116"/>
      <c r="U509" s="116"/>
      <c r="V509" s="116"/>
      <c r="W509" s="116"/>
      <c r="X509" s="116"/>
      <c r="Y509" s="116"/>
      <c r="Z509" s="116"/>
      <c r="AA509" s="116"/>
      <c r="AB509" s="116"/>
      <c r="AC509" s="116"/>
      <c r="AD509" s="116"/>
      <c r="AE509" s="116"/>
      <c r="AF509" s="116"/>
      <c r="AG509" s="116"/>
      <c r="AH509" s="116"/>
      <c r="AI509" s="116"/>
      <c r="AJ509" s="116"/>
      <c r="AK509" s="116"/>
      <c r="AL509" s="116"/>
      <c r="AM509" s="116"/>
      <c r="AN509" s="116"/>
      <c r="AO509" s="116"/>
      <c r="AP509" s="116"/>
      <c r="AQ509" s="116"/>
      <c r="AR509" s="116"/>
      <c r="AS509" s="116"/>
      <c r="AT509" s="116"/>
      <c r="AU509" s="116"/>
      <c r="AV509" s="116"/>
      <c r="AW509" s="116"/>
      <c r="AX509" s="116"/>
      <c r="AY509" s="116"/>
      <c r="AZ509" s="116"/>
      <c r="BA509" s="116"/>
      <c r="BB509" s="116"/>
    </row>
    <row r="510" spans="4:54" hidden="1">
      <c r="D510" s="116"/>
      <c r="E510" s="116"/>
      <c r="F510" s="116"/>
      <c r="G510" s="116"/>
      <c r="H510" s="116"/>
      <c r="I510" s="116"/>
      <c r="J510" s="116"/>
      <c r="K510" s="116"/>
      <c r="L510" s="116"/>
      <c r="M510" s="116"/>
      <c r="N510" s="116"/>
      <c r="O510" s="116"/>
      <c r="P510" s="116"/>
      <c r="Q510" s="116"/>
      <c r="R510" s="116"/>
      <c r="S510" s="116"/>
      <c r="T510" s="116"/>
      <c r="U510" s="116"/>
      <c r="V510" s="116"/>
      <c r="W510" s="116"/>
      <c r="X510" s="116"/>
      <c r="Y510" s="116"/>
      <c r="Z510" s="116"/>
      <c r="AA510" s="116"/>
      <c r="AB510" s="116"/>
      <c r="AC510" s="116"/>
      <c r="AD510" s="116"/>
      <c r="AE510" s="116"/>
      <c r="AF510" s="116"/>
      <c r="AG510" s="116"/>
      <c r="AH510" s="116"/>
      <c r="AI510" s="116"/>
      <c r="AJ510" s="116"/>
      <c r="AK510" s="116"/>
      <c r="AL510" s="116"/>
      <c r="AM510" s="116"/>
      <c r="AN510" s="116"/>
      <c r="AO510" s="116"/>
      <c r="AP510" s="116"/>
      <c r="AQ510" s="116"/>
      <c r="AR510" s="116"/>
      <c r="AS510" s="116"/>
      <c r="AT510" s="116"/>
      <c r="AU510" s="116"/>
      <c r="AV510" s="116"/>
      <c r="AW510" s="116"/>
      <c r="AX510" s="116"/>
      <c r="AY510" s="116"/>
      <c r="AZ510" s="116"/>
      <c r="BA510" s="116"/>
      <c r="BB510" s="116"/>
    </row>
    <row r="511" spans="4:54" hidden="1">
      <c r="D511" s="116"/>
      <c r="E511" s="116"/>
      <c r="F511" s="116"/>
      <c r="G511" s="116"/>
      <c r="H511" s="116"/>
      <c r="I511" s="116"/>
      <c r="J511" s="116"/>
      <c r="K511" s="116"/>
      <c r="L511" s="116"/>
      <c r="M511" s="116"/>
      <c r="N511" s="116"/>
      <c r="O511" s="116"/>
      <c r="P511" s="116"/>
      <c r="Q511" s="116"/>
      <c r="R511" s="116"/>
      <c r="S511" s="116"/>
      <c r="T511" s="116"/>
      <c r="U511" s="116"/>
      <c r="V511" s="116"/>
      <c r="W511" s="116"/>
      <c r="X511" s="116"/>
      <c r="Y511" s="116"/>
      <c r="Z511" s="116"/>
      <c r="AA511" s="116"/>
      <c r="AB511" s="116"/>
      <c r="AC511" s="116"/>
      <c r="AD511" s="116"/>
      <c r="AE511" s="116"/>
      <c r="AF511" s="116"/>
      <c r="AG511" s="116"/>
      <c r="AH511" s="116"/>
      <c r="AI511" s="116"/>
      <c r="AJ511" s="116"/>
      <c r="AK511" s="116"/>
      <c r="AL511" s="116"/>
      <c r="AM511" s="116"/>
      <c r="AN511" s="116"/>
      <c r="AO511" s="116"/>
      <c r="AP511" s="116"/>
      <c r="AQ511" s="116"/>
      <c r="AR511" s="116"/>
      <c r="AS511" s="116"/>
      <c r="AT511" s="116"/>
      <c r="AU511" s="116"/>
      <c r="AV511" s="116"/>
      <c r="AW511" s="116"/>
      <c r="AX511" s="116"/>
      <c r="AY511" s="116"/>
      <c r="AZ511" s="116"/>
      <c r="BA511" s="116"/>
      <c r="BB511" s="116"/>
    </row>
    <row r="512" spans="4:54" hidden="1">
      <c r="D512" s="116"/>
      <c r="E512" s="116"/>
      <c r="F512" s="116"/>
      <c r="G512" s="116"/>
      <c r="H512" s="116"/>
      <c r="I512" s="116"/>
      <c r="J512" s="116"/>
      <c r="K512" s="116"/>
      <c r="L512" s="116"/>
      <c r="M512" s="116"/>
      <c r="N512" s="116"/>
      <c r="O512" s="116"/>
      <c r="P512" s="116"/>
      <c r="Q512" s="116"/>
      <c r="R512" s="116"/>
      <c r="S512" s="116"/>
      <c r="T512" s="116"/>
      <c r="U512" s="116"/>
      <c r="V512" s="116"/>
      <c r="W512" s="116"/>
      <c r="X512" s="116"/>
      <c r="Y512" s="116"/>
      <c r="Z512" s="116"/>
      <c r="AA512" s="116"/>
      <c r="AB512" s="116"/>
      <c r="AC512" s="116"/>
      <c r="AD512" s="116"/>
      <c r="AE512" s="116"/>
      <c r="AF512" s="116"/>
      <c r="AG512" s="116"/>
      <c r="AH512" s="116"/>
      <c r="AI512" s="116"/>
      <c r="AJ512" s="116"/>
      <c r="AK512" s="116"/>
      <c r="AL512" s="116"/>
      <c r="AM512" s="116"/>
      <c r="AN512" s="116"/>
      <c r="AO512" s="116"/>
      <c r="AP512" s="116"/>
      <c r="AQ512" s="116"/>
      <c r="AR512" s="116"/>
      <c r="AS512" s="116"/>
      <c r="AT512" s="116"/>
      <c r="AU512" s="116"/>
      <c r="AV512" s="116"/>
      <c r="AW512" s="116"/>
      <c r="AX512" s="116"/>
      <c r="AY512" s="116"/>
      <c r="AZ512" s="116"/>
      <c r="BA512" s="116"/>
      <c r="BB512" s="116"/>
    </row>
    <row r="513" spans="4:54" hidden="1">
      <c r="D513" s="116"/>
      <c r="E513" s="116"/>
      <c r="F513" s="116"/>
      <c r="G513" s="116"/>
      <c r="H513" s="116"/>
      <c r="I513" s="116"/>
      <c r="J513" s="116"/>
      <c r="K513" s="116"/>
      <c r="L513" s="116"/>
      <c r="M513" s="116"/>
      <c r="N513" s="116"/>
      <c r="O513" s="116"/>
      <c r="P513" s="116"/>
      <c r="Q513" s="116"/>
      <c r="R513" s="116"/>
      <c r="S513" s="116"/>
      <c r="T513" s="116"/>
      <c r="U513" s="116"/>
      <c r="V513" s="116"/>
      <c r="W513" s="116"/>
      <c r="X513" s="116"/>
      <c r="Y513" s="116"/>
      <c r="Z513" s="116"/>
      <c r="AA513" s="116"/>
      <c r="AB513" s="116"/>
      <c r="AC513" s="116"/>
      <c r="AD513" s="116"/>
      <c r="AE513" s="116"/>
      <c r="AF513" s="116"/>
      <c r="AG513" s="116"/>
      <c r="AH513" s="116"/>
      <c r="AI513" s="116"/>
      <c r="AJ513" s="116"/>
      <c r="AK513" s="116"/>
      <c r="AL513" s="116"/>
      <c r="AM513" s="116"/>
      <c r="AN513" s="116"/>
      <c r="AO513" s="116"/>
      <c r="AP513" s="116"/>
      <c r="AQ513" s="116"/>
      <c r="AR513" s="116"/>
      <c r="AS513" s="116"/>
      <c r="AT513" s="116"/>
      <c r="AU513" s="116"/>
      <c r="AV513" s="116"/>
      <c r="AW513" s="116"/>
      <c r="AX513" s="116"/>
      <c r="AY513" s="116"/>
      <c r="AZ513" s="116"/>
      <c r="BA513" s="116"/>
      <c r="BB513" s="116"/>
    </row>
    <row r="514" spans="4:54" hidden="1">
      <c r="D514" s="116"/>
      <c r="E514" s="116"/>
      <c r="F514" s="116"/>
      <c r="G514" s="116"/>
      <c r="H514" s="116"/>
      <c r="I514" s="116"/>
      <c r="J514" s="116"/>
      <c r="K514" s="116"/>
      <c r="L514" s="116"/>
      <c r="M514" s="116"/>
      <c r="N514" s="116"/>
      <c r="O514" s="116"/>
      <c r="P514" s="116"/>
      <c r="Q514" s="116"/>
      <c r="R514" s="116"/>
      <c r="S514" s="116"/>
      <c r="T514" s="116"/>
      <c r="U514" s="116"/>
      <c r="V514" s="116"/>
      <c r="W514" s="116"/>
      <c r="X514" s="116"/>
      <c r="Y514" s="116"/>
      <c r="Z514" s="116"/>
      <c r="AA514" s="116"/>
      <c r="AB514" s="116"/>
      <c r="AC514" s="116"/>
      <c r="AD514" s="116"/>
      <c r="AE514" s="116"/>
      <c r="AF514" s="116"/>
      <c r="AG514" s="116"/>
      <c r="AH514" s="116"/>
      <c r="AI514" s="116"/>
      <c r="AJ514" s="116"/>
      <c r="AK514" s="116"/>
      <c r="AL514" s="116"/>
      <c r="AM514" s="116"/>
      <c r="AN514" s="116"/>
      <c r="AO514" s="116"/>
      <c r="AP514" s="116"/>
      <c r="AQ514" s="116"/>
      <c r="AR514" s="116"/>
      <c r="AS514" s="116"/>
      <c r="AT514" s="116"/>
      <c r="AU514" s="116"/>
      <c r="AV514" s="116"/>
      <c r="AW514" s="116"/>
      <c r="AX514" s="116"/>
      <c r="AY514" s="116"/>
      <c r="AZ514" s="116"/>
      <c r="BA514" s="116"/>
      <c r="BB514" s="116"/>
    </row>
    <row r="515" spans="4:54" hidden="1">
      <c r="D515" s="116"/>
      <c r="E515" s="116"/>
      <c r="F515" s="116"/>
      <c r="G515" s="116"/>
      <c r="H515" s="116"/>
      <c r="I515" s="116"/>
      <c r="J515" s="116"/>
      <c r="K515" s="116"/>
      <c r="L515" s="116"/>
      <c r="M515" s="116"/>
      <c r="N515" s="116"/>
      <c r="O515" s="116"/>
      <c r="P515" s="116"/>
      <c r="Q515" s="116"/>
      <c r="R515" s="116"/>
      <c r="S515" s="116"/>
      <c r="T515" s="116"/>
      <c r="U515" s="116"/>
      <c r="V515" s="116"/>
      <c r="W515" s="116"/>
      <c r="X515" s="116"/>
      <c r="Y515" s="116"/>
      <c r="Z515" s="116"/>
      <c r="AA515" s="116"/>
      <c r="AB515" s="116"/>
      <c r="AC515" s="116"/>
      <c r="AD515" s="116"/>
      <c r="AE515" s="116"/>
      <c r="AF515" s="116"/>
      <c r="AG515" s="116"/>
      <c r="AH515" s="116"/>
      <c r="AI515" s="116"/>
      <c r="AJ515" s="116"/>
      <c r="AK515" s="116"/>
      <c r="AL515" s="116"/>
      <c r="AM515" s="116"/>
      <c r="AN515" s="116"/>
      <c r="AO515" s="116"/>
      <c r="AP515" s="116"/>
      <c r="AQ515" s="116"/>
      <c r="AR515" s="116"/>
      <c r="AS515" s="116"/>
      <c r="AT515" s="116"/>
      <c r="AU515" s="116"/>
      <c r="AV515" s="116"/>
      <c r="AW515" s="116"/>
      <c r="AX515" s="116"/>
      <c r="AY515" s="116"/>
      <c r="AZ515" s="116"/>
      <c r="BA515" s="116"/>
      <c r="BB515" s="116"/>
    </row>
    <row r="516" spans="4:54" hidden="1">
      <c r="D516" s="116"/>
      <c r="E516" s="116"/>
      <c r="F516" s="116"/>
      <c r="G516" s="116"/>
      <c r="H516" s="116"/>
      <c r="I516" s="116"/>
      <c r="J516" s="116"/>
      <c r="K516" s="116"/>
      <c r="L516" s="116"/>
      <c r="M516" s="116"/>
      <c r="N516" s="116"/>
      <c r="O516" s="116"/>
      <c r="P516" s="116"/>
      <c r="Q516" s="116"/>
      <c r="R516" s="116"/>
      <c r="S516" s="116"/>
      <c r="T516" s="116"/>
      <c r="U516" s="116"/>
      <c r="V516" s="116"/>
      <c r="W516" s="116"/>
      <c r="X516" s="116"/>
      <c r="Y516" s="116"/>
      <c r="Z516" s="116"/>
      <c r="AA516" s="116"/>
      <c r="AB516" s="116"/>
      <c r="AC516" s="116"/>
      <c r="AD516" s="116"/>
      <c r="AE516" s="116"/>
      <c r="AF516" s="116"/>
      <c r="AG516" s="116"/>
      <c r="AH516" s="116"/>
      <c r="AI516" s="116"/>
      <c r="AJ516" s="116"/>
      <c r="AK516" s="116"/>
      <c r="AL516" s="116"/>
      <c r="AM516" s="116"/>
      <c r="AN516" s="116"/>
      <c r="AO516" s="116"/>
      <c r="AP516" s="116"/>
      <c r="AQ516" s="116"/>
      <c r="AR516" s="116"/>
      <c r="AS516" s="116"/>
      <c r="AT516" s="116"/>
      <c r="AU516" s="116"/>
      <c r="AV516" s="116"/>
      <c r="AW516" s="116"/>
      <c r="AX516" s="116"/>
      <c r="AY516" s="116"/>
      <c r="AZ516" s="116"/>
      <c r="BA516" s="116"/>
      <c r="BB516" s="116"/>
    </row>
    <row r="517" spans="4:54" hidden="1">
      <c r="D517" s="116"/>
      <c r="E517" s="116"/>
      <c r="F517" s="116"/>
      <c r="G517" s="116"/>
      <c r="H517" s="116"/>
      <c r="I517" s="116"/>
      <c r="J517" s="116"/>
      <c r="K517" s="116"/>
      <c r="L517" s="116"/>
      <c r="M517" s="116"/>
      <c r="N517" s="116"/>
      <c r="O517" s="116"/>
      <c r="P517" s="116"/>
      <c r="Q517" s="116"/>
      <c r="R517" s="116"/>
      <c r="S517" s="116"/>
      <c r="T517" s="116"/>
      <c r="U517" s="116"/>
      <c r="V517" s="116"/>
      <c r="W517" s="116"/>
      <c r="X517" s="116"/>
      <c r="Y517" s="116"/>
      <c r="Z517" s="116"/>
      <c r="AA517" s="116"/>
      <c r="AB517" s="116"/>
      <c r="AC517" s="116"/>
      <c r="AD517" s="116"/>
      <c r="AE517" s="116"/>
      <c r="AF517" s="116"/>
      <c r="AG517" s="116"/>
      <c r="AH517" s="116"/>
      <c r="AI517" s="116"/>
      <c r="AJ517" s="116"/>
      <c r="AK517" s="116"/>
      <c r="AL517" s="116"/>
      <c r="AM517" s="116"/>
      <c r="AN517" s="116"/>
      <c r="AO517" s="116"/>
      <c r="AP517" s="116"/>
      <c r="AQ517" s="116"/>
      <c r="AR517" s="116"/>
      <c r="AS517" s="116"/>
      <c r="AT517" s="116"/>
      <c r="AU517" s="116"/>
      <c r="AV517" s="116"/>
      <c r="AW517" s="116"/>
      <c r="AX517" s="116"/>
      <c r="AY517" s="116"/>
      <c r="AZ517" s="116"/>
      <c r="BA517" s="116"/>
      <c r="BB517" s="116"/>
    </row>
    <row r="518" spans="4:54" hidden="1">
      <c r="D518" s="116"/>
      <c r="E518" s="116"/>
      <c r="F518" s="116"/>
      <c r="G518" s="116"/>
      <c r="H518" s="116"/>
      <c r="I518" s="116"/>
      <c r="J518" s="116"/>
      <c r="K518" s="116"/>
      <c r="L518" s="116"/>
      <c r="M518" s="116"/>
      <c r="N518" s="116"/>
      <c r="O518" s="116"/>
      <c r="P518" s="116"/>
      <c r="Q518" s="116"/>
      <c r="R518" s="116"/>
      <c r="S518" s="116"/>
      <c r="T518" s="116"/>
      <c r="U518" s="116"/>
      <c r="V518" s="116"/>
      <c r="W518" s="116"/>
      <c r="X518" s="116"/>
      <c r="Y518" s="116"/>
      <c r="Z518" s="116"/>
      <c r="AA518" s="116"/>
      <c r="AB518" s="116"/>
      <c r="AC518" s="116"/>
      <c r="AD518" s="116"/>
      <c r="AE518" s="116"/>
      <c r="AF518" s="116"/>
      <c r="AG518" s="116"/>
      <c r="AH518" s="116"/>
      <c r="AI518" s="116"/>
      <c r="AJ518" s="116"/>
      <c r="AK518" s="116"/>
      <c r="AL518" s="116"/>
      <c r="AM518" s="116"/>
      <c r="AN518" s="116"/>
      <c r="AO518" s="116"/>
      <c r="AP518" s="116"/>
      <c r="AQ518" s="116"/>
      <c r="AR518" s="116"/>
      <c r="AS518" s="116"/>
      <c r="AT518" s="116"/>
      <c r="AU518" s="116"/>
      <c r="AV518" s="116"/>
      <c r="AW518" s="116"/>
      <c r="AX518" s="116"/>
      <c r="AY518" s="116"/>
      <c r="AZ518" s="116"/>
      <c r="BA518" s="116"/>
      <c r="BB518" s="116"/>
    </row>
    <row r="519" spans="4:54" hidden="1">
      <c r="D519" s="116"/>
      <c r="E519" s="116"/>
      <c r="F519" s="116"/>
      <c r="G519" s="116"/>
      <c r="H519" s="116"/>
      <c r="I519" s="116"/>
      <c r="J519" s="116"/>
      <c r="K519" s="116"/>
      <c r="L519" s="116"/>
      <c r="M519" s="116"/>
      <c r="N519" s="116"/>
      <c r="O519" s="116"/>
      <c r="P519" s="116"/>
      <c r="Q519" s="116"/>
      <c r="R519" s="116"/>
      <c r="S519" s="116"/>
      <c r="T519" s="116"/>
      <c r="U519" s="116"/>
      <c r="V519" s="116"/>
      <c r="W519" s="116"/>
      <c r="X519" s="116"/>
      <c r="Y519" s="116"/>
      <c r="Z519" s="116"/>
      <c r="AA519" s="116"/>
      <c r="AB519" s="116"/>
      <c r="AC519" s="116"/>
      <c r="AD519" s="116"/>
      <c r="AE519" s="116"/>
      <c r="AF519" s="116"/>
      <c r="AG519" s="116"/>
      <c r="AH519" s="116"/>
      <c r="AI519" s="116"/>
      <c r="AJ519" s="116"/>
      <c r="AK519" s="116"/>
      <c r="AL519" s="116"/>
      <c r="AM519" s="116"/>
      <c r="AN519" s="116"/>
      <c r="AO519" s="116"/>
      <c r="AP519" s="116"/>
      <c r="AQ519" s="116"/>
      <c r="AR519" s="116"/>
      <c r="AS519" s="116"/>
      <c r="AT519" s="116"/>
      <c r="AU519" s="116"/>
      <c r="AV519" s="116"/>
      <c r="AW519" s="116"/>
      <c r="AX519" s="116"/>
      <c r="AY519" s="116"/>
      <c r="AZ519" s="116"/>
      <c r="BA519" s="116"/>
      <c r="BB519" s="116"/>
    </row>
    <row r="520" spans="4:54" hidden="1">
      <c r="D520" s="116"/>
      <c r="E520" s="116"/>
      <c r="F520" s="116"/>
      <c r="G520" s="116"/>
      <c r="H520" s="116"/>
      <c r="I520" s="116"/>
      <c r="J520" s="116"/>
      <c r="K520" s="116"/>
      <c r="L520" s="116"/>
      <c r="M520" s="116"/>
      <c r="N520" s="116"/>
      <c r="O520" s="116"/>
      <c r="P520" s="116"/>
      <c r="Q520" s="116"/>
      <c r="R520" s="116"/>
      <c r="S520" s="116"/>
      <c r="T520" s="116"/>
      <c r="U520" s="116"/>
      <c r="V520" s="116"/>
      <c r="W520" s="116"/>
      <c r="X520" s="116"/>
      <c r="Y520" s="116"/>
      <c r="Z520" s="116"/>
      <c r="AA520" s="116"/>
      <c r="AB520" s="116"/>
      <c r="AC520" s="116"/>
      <c r="AD520" s="116"/>
      <c r="AE520" s="116"/>
      <c r="AF520" s="116"/>
      <c r="AG520" s="116"/>
      <c r="AH520" s="116"/>
      <c r="AI520" s="116"/>
      <c r="AJ520" s="116"/>
      <c r="AK520" s="116"/>
      <c r="AL520" s="116"/>
      <c r="AM520" s="116"/>
      <c r="AN520" s="116"/>
      <c r="AO520" s="116"/>
      <c r="AP520" s="116"/>
      <c r="AQ520" s="116"/>
      <c r="AR520" s="116"/>
      <c r="AS520" s="116"/>
      <c r="AT520" s="116"/>
      <c r="AU520" s="116"/>
      <c r="AV520" s="116"/>
      <c r="AW520" s="116"/>
      <c r="AX520" s="116"/>
      <c r="AY520" s="116"/>
      <c r="AZ520" s="116"/>
      <c r="BA520" s="116"/>
      <c r="BB520" s="116"/>
    </row>
    <row r="521" spans="4:54" hidden="1">
      <c r="D521" s="116"/>
      <c r="E521" s="116"/>
      <c r="F521" s="116"/>
      <c r="G521" s="116"/>
      <c r="H521" s="116"/>
      <c r="I521" s="116"/>
      <c r="J521" s="116"/>
      <c r="K521" s="116"/>
      <c r="L521" s="116"/>
      <c r="M521" s="116"/>
      <c r="N521" s="116"/>
      <c r="O521" s="116"/>
      <c r="P521" s="116"/>
      <c r="Q521" s="116"/>
      <c r="R521" s="116"/>
      <c r="S521" s="116"/>
      <c r="T521" s="116"/>
      <c r="U521" s="116"/>
      <c r="V521" s="116"/>
      <c r="W521" s="116"/>
      <c r="X521" s="116"/>
      <c r="Y521" s="116"/>
      <c r="Z521" s="116"/>
      <c r="AA521" s="116"/>
      <c r="AB521" s="116"/>
      <c r="AC521" s="116"/>
      <c r="AD521" s="116"/>
      <c r="AE521" s="116"/>
      <c r="AF521" s="116"/>
      <c r="AG521" s="116"/>
      <c r="AH521" s="116"/>
      <c r="AI521" s="116"/>
      <c r="AJ521" s="116"/>
      <c r="AK521" s="116"/>
      <c r="AL521" s="116"/>
      <c r="AM521" s="116"/>
      <c r="AN521" s="116"/>
      <c r="AO521" s="116"/>
      <c r="AP521" s="116"/>
      <c r="AQ521" s="116"/>
      <c r="AR521" s="116"/>
      <c r="AS521" s="116"/>
      <c r="AT521" s="116"/>
      <c r="AU521" s="116"/>
      <c r="AV521" s="116"/>
      <c r="AW521" s="116"/>
      <c r="AX521" s="116"/>
      <c r="AY521" s="116"/>
      <c r="AZ521" s="116"/>
      <c r="BA521" s="116"/>
      <c r="BB521" s="116"/>
    </row>
    <row r="522" spans="4:54" hidden="1">
      <c r="D522" s="116"/>
      <c r="E522" s="116"/>
      <c r="F522" s="116"/>
      <c r="G522" s="116"/>
      <c r="H522" s="116"/>
      <c r="I522" s="116"/>
      <c r="J522" s="116"/>
      <c r="K522" s="116"/>
      <c r="L522" s="116"/>
      <c r="M522" s="116"/>
      <c r="N522" s="116"/>
      <c r="O522" s="116"/>
      <c r="P522" s="116"/>
      <c r="Q522" s="116"/>
      <c r="R522" s="116"/>
      <c r="S522" s="116"/>
      <c r="T522" s="116"/>
      <c r="U522" s="116"/>
      <c r="V522" s="116"/>
      <c r="W522" s="116"/>
      <c r="X522" s="116"/>
      <c r="Y522" s="116"/>
      <c r="Z522" s="116"/>
      <c r="AA522" s="116"/>
      <c r="AB522" s="116"/>
      <c r="AC522" s="116"/>
      <c r="AD522" s="116"/>
      <c r="AE522" s="116"/>
      <c r="AF522" s="116"/>
      <c r="AG522" s="116"/>
      <c r="AH522" s="116"/>
      <c r="AI522" s="116"/>
      <c r="AJ522" s="116"/>
      <c r="AK522" s="116"/>
      <c r="AL522" s="116"/>
      <c r="AM522" s="116"/>
      <c r="AN522" s="116"/>
      <c r="AO522" s="116"/>
      <c r="AP522" s="116"/>
      <c r="AQ522" s="116"/>
      <c r="AR522" s="116"/>
      <c r="AS522" s="116"/>
      <c r="AT522" s="116"/>
      <c r="AU522" s="116"/>
      <c r="AV522" s="116"/>
      <c r="AW522" s="116"/>
      <c r="AX522" s="116"/>
      <c r="AY522" s="116"/>
      <c r="AZ522" s="116"/>
      <c r="BA522" s="116"/>
      <c r="BB522" s="116"/>
    </row>
    <row r="523" spans="4:54" hidden="1">
      <c r="D523" s="116"/>
      <c r="E523" s="116"/>
      <c r="F523" s="116"/>
      <c r="G523" s="116"/>
      <c r="H523" s="116"/>
      <c r="I523" s="116"/>
      <c r="J523" s="116"/>
      <c r="K523" s="116"/>
      <c r="L523" s="116"/>
      <c r="M523" s="116"/>
      <c r="N523" s="116"/>
      <c r="O523" s="116"/>
      <c r="P523" s="116"/>
      <c r="Q523" s="116"/>
      <c r="R523" s="116"/>
      <c r="S523" s="116"/>
      <c r="T523" s="116"/>
      <c r="U523" s="116"/>
      <c r="V523" s="116"/>
      <c r="W523" s="116"/>
      <c r="X523" s="116"/>
      <c r="Y523" s="116"/>
      <c r="Z523" s="116"/>
      <c r="AA523" s="116"/>
      <c r="AB523" s="116"/>
      <c r="AC523" s="116"/>
      <c r="AD523" s="116"/>
      <c r="AE523" s="116"/>
      <c r="AF523" s="116"/>
      <c r="AG523" s="116"/>
      <c r="AH523" s="116"/>
      <c r="AI523" s="116"/>
      <c r="AJ523" s="116"/>
      <c r="AK523" s="116"/>
      <c r="AL523" s="116"/>
      <c r="AM523" s="116"/>
      <c r="AN523" s="116"/>
      <c r="AO523" s="116"/>
      <c r="AP523" s="116"/>
      <c r="AQ523" s="116"/>
      <c r="AR523" s="116"/>
      <c r="AS523" s="116"/>
      <c r="AT523" s="116"/>
      <c r="AU523" s="116"/>
      <c r="AV523" s="116"/>
      <c r="AW523" s="116"/>
      <c r="AX523" s="116"/>
      <c r="AY523" s="116"/>
      <c r="AZ523" s="116"/>
      <c r="BA523" s="116"/>
      <c r="BB523" s="116"/>
    </row>
    <row r="524" spans="4:54" hidden="1">
      <c r="D524" s="116"/>
      <c r="E524" s="116"/>
      <c r="F524" s="116"/>
      <c r="G524" s="116"/>
      <c r="H524" s="116"/>
      <c r="I524" s="116"/>
      <c r="J524" s="116"/>
      <c r="K524" s="116"/>
      <c r="L524" s="116"/>
      <c r="M524" s="116"/>
      <c r="N524" s="116"/>
      <c r="O524" s="116"/>
      <c r="P524" s="116"/>
      <c r="Q524" s="116"/>
      <c r="R524" s="116"/>
      <c r="S524" s="116"/>
      <c r="T524" s="116"/>
      <c r="U524" s="116"/>
      <c r="V524" s="116"/>
      <c r="W524" s="116"/>
      <c r="X524" s="116"/>
      <c r="Y524" s="116"/>
      <c r="Z524" s="116"/>
      <c r="AA524" s="116"/>
      <c r="AB524" s="116"/>
      <c r="AC524" s="116"/>
      <c r="AD524" s="116"/>
      <c r="AE524" s="116"/>
      <c r="AF524" s="116"/>
      <c r="AG524" s="116"/>
      <c r="AH524" s="116"/>
      <c r="AI524" s="116"/>
      <c r="AJ524" s="116"/>
      <c r="AK524" s="116"/>
      <c r="AL524" s="116"/>
      <c r="AM524" s="116"/>
      <c r="AN524" s="116"/>
      <c r="AO524" s="116"/>
      <c r="AP524" s="116"/>
      <c r="AQ524" s="116"/>
      <c r="AR524" s="116"/>
      <c r="AS524" s="116"/>
      <c r="AT524" s="116"/>
      <c r="AU524" s="116"/>
      <c r="AV524" s="116"/>
      <c r="AW524" s="116"/>
      <c r="AX524" s="116"/>
      <c r="AY524" s="116"/>
      <c r="AZ524" s="116"/>
      <c r="BA524" s="116"/>
      <c r="BB524" s="116"/>
    </row>
    <row r="525" spans="4:54" hidden="1">
      <c r="D525" s="116"/>
      <c r="E525" s="116"/>
      <c r="F525" s="116"/>
      <c r="G525" s="116"/>
      <c r="H525" s="116"/>
      <c r="I525" s="116"/>
      <c r="J525" s="116"/>
      <c r="K525" s="116"/>
      <c r="L525" s="116"/>
      <c r="M525" s="116"/>
      <c r="N525" s="116"/>
      <c r="O525" s="116"/>
      <c r="P525" s="116"/>
      <c r="Q525" s="116"/>
      <c r="R525" s="116"/>
      <c r="S525" s="116"/>
      <c r="T525" s="116"/>
      <c r="U525" s="116"/>
      <c r="V525" s="116"/>
      <c r="W525" s="116"/>
      <c r="X525" s="116"/>
      <c r="Y525" s="116"/>
      <c r="Z525" s="116"/>
      <c r="AA525" s="116"/>
      <c r="AB525" s="116"/>
      <c r="AC525" s="116"/>
      <c r="AD525" s="116"/>
      <c r="AE525" s="116"/>
      <c r="AF525" s="116"/>
      <c r="AG525" s="116"/>
      <c r="AH525" s="116"/>
      <c r="AI525" s="116"/>
      <c r="AJ525" s="116"/>
      <c r="AK525" s="116"/>
      <c r="AL525" s="116"/>
      <c r="AM525" s="116"/>
      <c r="AN525" s="116"/>
      <c r="AO525" s="116"/>
      <c r="AP525" s="116"/>
      <c r="AQ525" s="116"/>
      <c r="AR525" s="116"/>
      <c r="AS525" s="116"/>
      <c r="AT525" s="116"/>
      <c r="AU525" s="116"/>
      <c r="AV525" s="116"/>
      <c r="AW525" s="116"/>
      <c r="AX525" s="116"/>
      <c r="AY525" s="116"/>
      <c r="AZ525" s="116"/>
      <c r="BA525" s="116"/>
      <c r="BB525" s="116"/>
    </row>
    <row r="526" spans="4:54" hidden="1">
      <c r="D526" s="116"/>
      <c r="E526" s="116"/>
      <c r="F526" s="116"/>
      <c r="G526" s="116"/>
      <c r="H526" s="116"/>
      <c r="I526" s="116"/>
      <c r="J526" s="116"/>
      <c r="K526" s="116"/>
      <c r="L526" s="116"/>
      <c r="M526" s="116"/>
      <c r="N526" s="116"/>
      <c r="O526" s="116"/>
      <c r="P526" s="116"/>
      <c r="Q526" s="116"/>
      <c r="R526" s="116"/>
      <c r="S526" s="116"/>
      <c r="T526" s="116"/>
      <c r="U526" s="116"/>
      <c r="V526" s="116"/>
      <c r="W526" s="116"/>
      <c r="X526" s="116"/>
      <c r="Y526" s="116"/>
      <c r="Z526" s="116"/>
      <c r="AA526" s="116"/>
      <c r="AB526" s="116"/>
      <c r="AC526" s="116"/>
      <c r="AD526" s="116"/>
      <c r="AE526" s="116"/>
      <c r="AF526" s="116"/>
      <c r="AG526" s="116"/>
      <c r="AH526" s="116"/>
      <c r="AI526" s="116"/>
      <c r="AJ526" s="116"/>
      <c r="AK526" s="116"/>
      <c r="AL526" s="116"/>
      <c r="AM526" s="116"/>
      <c r="AN526" s="116"/>
      <c r="AO526" s="116"/>
      <c r="AP526" s="116"/>
      <c r="AQ526" s="116"/>
      <c r="AR526" s="116"/>
      <c r="AS526" s="116"/>
      <c r="AT526" s="116"/>
      <c r="AU526" s="116"/>
      <c r="AV526" s="116"/>
      <c r="AW526" s="116"/>
      <c r="AX526" s="116"/>
      <c r="AY526" s="116"/>
      <c r="AZ526" s="116"/>
      <c r="BA526" s="116"/>
      <c r="BB526" s="116"/>
    </row>
    <row r="527" spans="4:54" hidden="1">
      <c r="D527" s="116"/>
      <c r="E527" s="116"/>
      <c r="F527" s="116"/>
      <c r="G527" s="116"/>
      <c r="H527" s="116"/>
      <c r="I527" s="116"/>
      <c r="J527" s="116"/>
      <c r="K527" s="116"/>
      <c r="L527" s="116"/>
      <c r="M527" s="116"/>
      <c r="N527" s="116"/>
      <c r="O527" s="116"/>
      <c r="P527" s="116"/>
      <c r="Q527" s="116"/>
      <c r="R527" s="116"/>
      <c r="S527" s="116"/>
      <c r="T527" s="116"/>
      <c r="U527" s="116"/>
      <c r="V527" s="116"/>
      <c r="W527" s="116"/>
      <c r="X527" s="116"/>
      <c r="Y527" s="116"/>
      <c r="Z527" s="116"/>
      <c r="AA527" s="116"/>
      <c r="AB527" s="116"/>
      <c r="AC527" s="116"/>
      <c r="AD527" s="116"/>
      <c r="AE527" s="116"/>
      <c r="AF527" s="116"/>
      <c r="AG527" s="116"/>
      <c r="AH527" s="116"/>
      <c r="AI527" s="116"/>
      <c r="AJ527" s="116"/>
      <c r="AK527" s="116"/>
      <c r="AL527" s="116"/>
      <c r="AM527" s="116"/>
      <c r="AN527" s="116"/>
      <c r="AO527" s="116"/>
      <c r="AP527" s="116"/>
      <c r="AQ527" s="116"/>
      <c r="AR527" s="116"/>
      <c r="AS527" s="116"/>
      <c r="AT527" s="116"/>
      <c r="AU527" s="116"/>
      <c r="AV527" s="116"/>
      <c r="AW527" s="116"/>
      <c r="AX527" s="116"/>
      <c r="AY527" s="116"/>
      <c r="AZ527" s="116"/>
      <c r="BA527" s="116"/>
      <c r="BB527" s="116"/>
    </row>
    <row r="528" spans="4:54" hidden="1">
      <c r="D528" s="116"/>
      <c r="E528" s="116"/>
      <c r="F528" s="116"/>
      <c r="G528" s="116"/>
      <c r="H528" s="116"/>
      <c r="I528" s="116"/>
      <c r="J528" s="116"/>
      <c r="K528" s="116"/>
      <c r="L528" s="116"/>
      <c r="M528" s="116"/>
      <c r="N528" s="116"/>
      <c r="O528" s="116"/>
      <c r="P528" s="116"/>
      <c r="Q528" s="116"/>
      <c r="R528" s="116"/>
      <c r="S528" s="116"/>
      <c r="T528" s="116"/>
      <c r="U528" s="116"/>
      <c r="V528" s="116"/>
      <c r="W528" s="116"/>
      <c r="X528" s="116"/>
      <c r="Y528" s="116"/>
      <c r="Z528" s="116"/>
      <c r="AA528" s="116"/>
      <c r="AB528" s="116"/>
      <c r="AC528" s="116"/>
      <c r="AD528" s="116"/>
      <c r="AE528" s="116"/>
      <c r="AF528" s="116"/>
      <c r="AG528" s="116"/>
      <c r="AH528" s="116"/>
      <c r="AI528" s="116"/>
      <c r="AJ528" s="116"/>
      <c r="AK528" s="116"/>
      <c r="AL528" s="116"/>
      <c r="AM528" s="116"/>
      <c r="AN528" s="116"/>
      <c r="AO528" s="116"/>
      <c r="AP528" s="116"/>
      <c r="AQ528" s="116"/>
      <c r="AR528" s="116"/>
      <c r="AS528" s="116"/>
      <c r="AT528" s="116"/>
      <c r="AU528" s="116"/>
      <c r="AV528" s="116"/>
      <c r="AW528" s="116"/>
      <c r="AX528" s="116"/>
      <c r="AY528" s="116"/>
      <c r="AZ528" s="116"/>
      <c r="BA528" s="116"/>
      <c r="BB528" s="116"/>
    </row>
    <row r="529" spans="4:54" hidden="1">
      <c r="D529" s="116"/>
      <c r="E529" s="116"/>
      <c r="F529" s="116"/>
      <c r="G529" s="116"/>
      <c r="H529" s="116"/>
      <c r="I529" s="116"/>
      <c r="J529" s="116"/>
      <c r="K529" s="116"/>
      <c r="L529" s="116"/>
      <c r="M529" s="116"/>
      <c r="N529" s="116"/>
      <c r="O529" s="116"/>
      <c r="P529" s="116"/>
      <c r="Q529" s="116"/>
      <c r="R529" s="116"/>
      <c r="S529" s="116"/>
      <c r="T529" s="116"/>
      <c r="U529" s="116"/>
      <c r="V529" s="116"/>
      <c r="W529" s="116"/>
      <c r="X529" s="116"/>
      <c r="Y529" s="116"/>
      <c r="Z529" s="116"/>
      <c r="AA529" s="116"/>
      <c r="AB529" s="116"/>
      <c r="AC529" s="116"/>
      <c r="AD529" s="116"/>
      <c r="AE529" s="116"/>
      <c r="AF529" s="116"/>
      <c r="AG529" s="116"/>
      <c r="AH529" s="116"/>
      <c r="AI529" s="116"/>
      <c r="AJ529" s="116"/>
      <c r="AK529" s="116"/>
      <c r="AL529" s="116"/>
      <c r="AM529" s="116"/>
      <c r="AN529" s="116"/>
      <c r="AO529" s="116"/>
      <c r="AP529" s="116"/>
      <c r="AQ529" s="116"/>
      <c r="AR529" s="116"/>
      <c r="AS529" s="116"/>
      <c r="AT529" s="116"/>
      <c r="AU529" s="116"/>
      <c r="AV529" s="116"/>
      <c r="AW529" s="116"/>
      <c r="AX529" s="116"/>
      <c r="AY529" s="116"/>
      <c r="AZ529" s="116"/>
      <c r="BA529" s="116"/>
      <c r="BB529" s="116"/>
    </row>
    <row r="530" spans="4:54" hidden="1">
      <c r="D530" s="116"/>
      <c r="E530" s="116"/>
      <c r="F530" s="116"/>
      <c r="G530" s="116"/>
      <c r="H530" s="116"/>
      <c r="I530" s="116"/>
      <c r="J530" s="116"/>
      <c r="K530" s="116"/>
      <c r="L530" s="116"/>
      <c r="M530" s="116"/>
      <c r="N530" s="116"/>
      <c r="O530" s="116"/>
      <c r="P530" s="116"/>
      <c r="Q530" s="116"/>
      <c r="R530" s="116"/>
      <c r="S530" s="116"/>
      <c r="T530" s="116"/>
      <c r="U530" s="116"/>
      <c r="V530" s="116"/>
      <c r="W530" s="116"/>
      <c r="X530" s="116"/>
      <c r="Y530" s="116"/>
      <c r="Z530" s="116"/>
      <c r="AA530" s="116"/>
      <c r="AB530" s="116"/>
      <c r="AC530" s="116"/>
      <c r="AD530" s="116"/>
      <c r="AE530" s="116"/>
      <c r="AF530" s="116"/>
      <c r="AG530" s="116"/>
      <c r="AH530" s="116"/>
      <c r="AI530" s="116"/>
      <c r="AJ530" s="116"/>
      <c r="AK530" s="116"/>
      <c r="AL530" s="116"/>
      <c r="AM530" s="116"/>
      <c r="AN530" s="116"/>
      <c r="AO530" s="116"/>
      <c r="AP530" s="116"/>
      <c r="AQ530" s="116"/>
      <c r="AR530" s="116"/>
      <c r="AS530" s="116"/>
      <c r="AT530" s="116"/>
      <c r="AU530" s="116"/>
      <c r="AV530" s="116"/>
      <c r="AW530" s="116"/>
      <c r="AX530" s="116"/>
      <c r="AY530" s="116"/>
      <c r="AZ530" s="116"/>
      <c r="BA530" s="116"/>
      <c r="BB530" s="116"/>
    </row>
    <row r="531" spans="4:54" hidden="1">
      <c r="D531" s="116"/>
      <c r="E531" s="116"/>
      <c r="F531" s="116"/>
      <c r="G531" s="116"/>
      <c r="H531" s="116"/>
      <c r="I531" s="116"/>
      <c r="J531" s="116"/>
      <c r="K531" s="116"/>
      <c r="L531" s="116"/>
      <c r="M531" s="116"/>
      <c r="N531" s="116"/>
      <c r="O531" s="116"/>
      <c r="P531" s="116"/>
      <c r="Q531" s="116"/>
      <c r="R531" s="116"/>
      <c r="S531" s="116"/>
      <c r="T531" s="116"/>
      <c r="U531" s="116"/>
      <c r="V531" s="116"/>
      <c r="W531" s="116"/>
      <c r="X531" s="116"/>
      <c r="Y531" s="116"/>
      <c r="Z531" s="116"/>
      <c r="AA531" s="116"/>
      <c r="AB531" s="116"/>
      <c r="AC531" s="116"/>
      <c r="AD531" s="116"/>
      <c r="AE531" s="116"/>
      <c r="AF531" s="116"/>
      <c r="AG531" s="116"/>
      <c r="AH531" s="116"/>
      <c r="AI531" s="116"/>
      <c r="AJ531" s="116"/>
      <c r="AK531" s="116"/>
      <c r="AL531" s="116"/>
      <c r="AM531" s="116"/>
      <c r="AN531" s="116"/>
      <c r="AO531" s="116"/>
      <c r="AP531" s="116"/>
      <c r="AQ531" s="116"/>
      <c r="AR531" s="116"/>
      <c r="AS531" s="116"/>
      <c r="AT531" s="116"/>
      <c r="AU531" s="116"/>
      <c r="AV531" s="116"/>
      <c r="AW531" s="116"/>
      <c r="AX531" s="116"/>
      <c r="AY531" s="116"/>
      <c r="AZ531" s="116"/>
      <c r="BA531" s="116"/>
      <c r="BB531" s="116"/>
    </row>
    <row r="532" spans="4:54" hidden="1">
      <c r="D532" s="116"/>
      <c r="E532" s="116"/>
      <c r="F532" s="116"/>
      <c r="G532" s="116"/>
      <c r="H532" s="116"/>
      <c r="I532" s="116"/>
      <c r="J532" s="116"/>
      <c r="K532" s="116"/>
      <c r="L532" s="116"/>
      <c r="M532" s="116"/>
      <c r="N532" s="116"/>
      <c r="O532" s="116"/>
      <c r="P532" s="116"/>
      <c r="Q532" s="116"/>
      <c r="R532" s="116"/>
      <c r="S532" s="116"/>
      <c r="T532" s="116"/>
      <c r="U532" s="116"/>
      <c r="V532" s="116"/>
      <c r="W532" s="116"/>
      <c r="X532" s="116"/>
      <c r="Y532" s="116"/>
      <c r="Z532" s="116"/>
      <c r="AA532" s="116"/>
      <c r="AB532" s="116"/>
      <c r="AC532" s="116"/>
      <c r="AD532" s="116"/>
      <c r="AE532" s="116"/>
      <c r="AF532" s="116"/>
      <c r="AG532" s="116"/>
      <c r="AH532" s="116"/>
      <c r="AI532" s="116"/>
      <c r="AJ532" s="116"/>
      <c r="AK532" s="116"/>
      <c r="AL532" s="116"/>
      <c r="AM532" s="116"/>
      <c r="AN532" s="116"/>
      <c r="AO532" s="116"/>
      <c r="AP532" s="116"/>
      <c r="AQ532" s="116"/>
      <c r="AR532" s="116"/>
      <c r="AS532" s="116"/>
      <c r="AT532" s="116"/>
      <c r="AU532" s="116"/>
      <c r="AV532" s="116"/>
      <c r="AW532" s="116"/>
      <c r="AX532" s="116"/>
      <c r="AY532" s="116"/>
      <c r="AZ532" s="116"/>
      <c r="BA532" s="116"/>
      <c r="BB532" s="116"/>
    </row>
    <row r="533" spans="4:54" hidden="1">
      <c r="D533" s="116"/>
      <c r="E533" s="116"/>
      <c r="F533" s="116"/>
      <c r="G533" s="116"/>
      <c r="H533" s="116"/>
      <c r="I533" s="116"/>
      <c r="J533" s="116"/>
      <c r="K533" s="116"/>
      <c r="L533" s="116"/>
      <c r="M533" s="116"/>
      <c r="N533" s="116"/>
      <c r="O533" s="116"/>
      <c r="P533" s="116"/>
      <c r="Q533" s="116"/>
      <c r="R533" s="116"/>
      <c r="S533" s="116"/>
      <c r="T533" s="116"/>
      <c r="U533" s="116"/>
      <c r="V533" s="116"/>
      <c r="W533" s="116"/>
      <c r="X533" s="116"/>
      <c r="Y533" s="116"/>
      <c r="Z533" s="116"/>
      <c r="AA533" s="116"/>
      <c r="AB533" s="116"/>
      <c r="AC533" s="116"/>
      <c r="AD533" s="116"/>
      <c r="AE533" s="116"/>
      <c r="AF533" s="116"/>
      <c r="AG533" s="116"/>
      <c r="AH533" s="116"/>
      <c r="AI533" s="116"/>
      <c r="AJ533" s="116"/>
      <c r="AK533" s="116"/>
      <c r="AL533" s="116"/>
      <c r="AM533" s="116"/>
      <c r="AN533" s="116"/>
      <c r="AO533" s="116"/>
      <c r="AP533" s="116"/>
      <c r="AQ533" s="116"/>
      <c r="AR533" s="116"/>
      <c r="AS533" s="116"/>
      <c r="AT533" s="116"/>
      <c r="AU533" s="116"/>
      <c r="AV533" s="116"/>
      <c r="AW533" s="116"/>
      <c r="AX533" s="116"/>
      <c r="AY533" s="116"/>
      <c r="AZ533" s="116"/>
      <c r="BA533" s="116"/>
      <c r="BB533" s="116"/>
    </row>
    <row r="534" spans="4:54" hidden="1">
      <c r="D534" s="116"/>
      <c r="E534" s="116"/>
      <c r="F534" s="116"/>
      <c r="G534" s="116"/>
      <c r="H534" s="116"/>
      <c r="I534" s="116"/>
      <c r="J534" s="116"/>
      <c r="K534" s="116"/>
      <c r="L534" s="116"/>
      <c r="M534" s="116"/>
      <c r="N534" s="116"/>
      <c r="O534" s="116"/>
      <c r="P534" s="116"/>
      <c r="Q534" s="116"/>
      <c r="R534" s="116"/>
      <c r="S534" s="116"/>
      <c r="T534" s="116"/>
      <c r="U534" s="116"/>
      <c r="V534" s="116"/>
      <c r="W534" s="116"/>
      <c r="X534" s="116"/>
      <c r="Y534" s="116"/>
      <c r="Z534" s="116"/>
      <c r="AA534" s="116"/>
      <c r="AB534" s="116"/>
      <c r="AC534" s="116"/>
      <c r="AD534" s="116"/>
      <c r="AE534" s="116"/>
      <c r="AF534" s="116"/>
      <c r="AG534" s="116"/>
      <c r="AH534" s="116"/>
      <c r="AI534" s="116"/>
      <c r="AJ534" s="116"/>
      <c r="AK534" s="116"/>
      <c r="AL534" s="116"/>
      <c r="AM534" s="116"/>
      <c r="AN534" s="116"/>
      <c r="AO534" s="116"/>
      <c r="AP534" s="116"/>
      <c r="AQ534" s="116"/>
      <c r="AR534" s="116"/>
      <c r="AS534" s="116"/>
      <c r="AT534" s="116"/>
      <c r="AU534" s="116"/>
      <c r="AV534" s="116"/>
      <c r="AW534" s="116"/>
      <c r="AX534" s="116"/>
      <c r="AY534" s="116"/>
      <c r="AZ534" s="116"/>
      <c r="BA534" s="116"/>
      <c r="BB534" s="116"/>
    </row>
    <row r="535" spans="4:54" hidden="1">
      <c r="D535" s="116"/>
      <c r="E535" s="116"/>
      <c r="F535" s="116"/>
      <c r="G535" s="116"/>
      <c r="H535" s="116"/>
      <c r="I535" s="116"/>
      <c r="J535" s="116"/>
      <c r="K535" s="116"/>
      <c r="L535" s="116"/>
      <c r="M535" s="116"/>
      <c r="N535" s="116"/>
      <c r="O535" s="116"/>
      <c r="P535" s="116"/>
      <c r="Q535" s="116"/>
      <c r="R535" s="116"/>
      <c r="S535" s="116"/>
      <c r="T535" s="116"/>
      <c r="U535" s="116"/>
      <c r="V535" s="116"/>
      <c r="W535" s="116"/>
      <c r="X535" s="116"/>
      <c r="Y535" s="116"/>
      <c r="Z535" s="116"/>
      <c r="AA535" s="116"/>
      <c r="AB535" s="116"/>
      <c r="AC535" s="116"/>
      <c r="AD535" s="116"/>
      <c r="AE535" s="116"/>
      <c r="AF535" s="116"/>
      <c r="AG535" s="116"/>
      <c r="AH535" s="116"/>
      <c r="AI535" s="116"/>
      <c r="AJ535" s="116"/>
      <c r="AK535" s="116"/>
      <c r="AL535" s="116"/>
      <c r="AM535" s="116"/>
      <c r="AN535" s="116"/>
      <c r="AO535" s="116"/>
      <c r="AP535" s="116"/>
      <c r="AQ535" s="116"/>
      <c r="AR535" s="116"/>
      <c r="AS535" s="116"/>
      <c r="AT535" s="116"/>
      <c r="AU535" s="116"/>
      <c r="AV535" s="116"/>
      <c r="AW535" s="116"/>
      <c r="AX535" s="116"/>
      <c r="AY535" s="116"/>
      <c r="AZ535" s="116"/>
      <c r="BA535" s="116"/>
      <c r="BB535" s="116"/>
    </row>
    <row r="536" spans="4:54" hidden="1">
      <c r="D536" s="116"/>
      <c r="E536" s="116"/>
      <c r="F536" s="116"/>
      <c r="G536" s="116"/>
      <c r="H536" s="116"/>
      <c r="I536" s="116"/>
      <c r="J536" s="116"/>
      <c r="K536" s="116"/>
      <c r="L536" s="116"/>
      <c r="M536" s="116"/>
      <c r="N536" s="116"/>
      <c r="O536" s="116"/>
      <c r="P536" s="116"/>
      <c r="Q536" s="116"/>
      <c r="R536" s="116"/>
      <c r="S536" s="116"/>
      <c r="T536" s="116"/>
      <c r="U536" s="116"/>
      <c r="V536" s="116"/>
      <c r="W536" s="116"/>
      <c r="X536" s="116"/>
      <c r="Y536" s="116"/>
      <c r="Z536" s="116"/>
      <c r="AA536" s="116"/>
      <c r="AB536" s="116"/>
      <c r="AC536" s="116"/>
      <c r="AD536" s="116"/>
      <c r="AE536" s="116"/>
      <c r="AF536" s="116"/>
      <c r="AG536" s="116"/>
      <c r="AH536" s="116"/>
      <c r="AI536" s="116"/>
      <c r="AJ536" s="116"/>
      <c r="AK536" s="116"/>
      <c r="AL536" s="116"/>
      <c r="AM536" s="116"/>
      <c r="AN536" s="116"/>
      <c r="AO536" s="116"/>
      <c r="AP536" s="116"/>
      <c r="AQ536" s="116"/>
      <c r="AR536" s="116"/>
      <c r="AS536" s="116"/>
      <c r="AT536" s="116"/>
      <c r="AU536" s="116"/>
      <c r="AV536" s="116"/>
      <c r="AW536" s="116"/>
      <c r="AX536" s="116"/>
      <c r="AY536" s="116"/>
      <c r="AZ536" s="116"/>
      <c r="BA536" s="116"/>
      <c r="BB536" s="116"/>
    </row>
    <row r="537" spans="4:54" hidden="1">
      <c r="D537" s="116"/>
      <c r="E537" s="116"/>
      <c r="F537" s="116"/>
      <c r="G537" s="116"/>
      <c r="H537" s="116"/>
      <c r="I537" s="116"/>
      <c r="J537" s="116"/>
      <c r="K537" s="116"/>
      <c r="L537" s="116"/>
      <c r="M537" s="116"/>
      <c r="N537" s="116"/>
      <c r="O537" s="116"/>
      <c r="P537" s="116"/>
      <c r="Q537" s="116"/>
      <c r="R537" s="116"/>
      <c r="S537" s="116"/>
      <c r="T537" s="116"/>
      <c r="U537" s="116"/>
      <c r="V537" s="116"/>
      <c r="W537" s="116"/>
      <c r="X537" s="116"/>
      <c r="Y537" s="116"/>
      <c r="Z537" s="116"/>
      <c r="AA537" s="116"/>
      <c r="AB537" s="116"/>
      <c r="AC537" s="116"/>
      <c r="AD537" s="116"/>
      <c r="AE537" s="116"/>
      <c r="AF537" s="116"/>
      <c r="AG537" s="116"/>
      <c r="AH537" s="116"/>
      <c r="AI537" s="116"/>
      <c r="AJ537" s="116"/>
      <c r="AK537" s="116"/>
      <c r="AL537" s="116"/>
      <c r="AM537" s="116"/>
      <c r="AN537" s="116"/>
      <c r="AO537" s="116"/>
      <c r="AP537" s="116"/>
      <c r="AQ537" s="116"/>
      <c r="AR537" s="116"/>
      <c r="AS537" s="116"/>
      <c r="AT537" s="116"/>
      <c r="AU537" s="116"/>
      <c r="AV537" s="116"/>
      <c r="AW537" s="116"/>
      <c r="AX537" s="116"/>
      <c r="AY537" s="116"/>
      <c r="AZ537" s="116"/>
      <c r="BA537" s="116"/>
      <c r="BB537" s="116"/>
    </row>
    <row r="538" spans="4:54" hidden="1">
      <c r="D538" s="116"/>
      <c r="E538" s="116"/>
      <c r="F538" s="116"/>
      <c r="G538" s="116"/>
      <c r="H538" s="116"/>
      <c r="I538" s="116"/>
      <c r="J538" s="116"/>
      <c r="K538" s="116"/>
      <c r="L538" s="116"/>
      <c r="M538" s="116"/>
      <c r="N538" s="116"/>
      <c r="O538" s="116"/>
      <c r="P538" s="116"/>
      <c r="Q538" s="116"/>
      <c r="R538" s="116"/>
      <c r="S538" s="116"/>
      <c r="T538" s="116"/>
      <c r="U538" s="116"/>
      <c r="V538" s="116"/>
      <c r="W538" s="116"/>
      <c r="X538" s="116"/>
      <c r="Y538" s="116"/>
      <c r="Z538" s="116"/>
      <c r="AA538" s="116"/>
      <c r="AB538" s="116"/>
      <c r="AC538" s="116"/>
      <c r="AD538" s="116"/>
      <c r="AE538" s="116"/>
      <c r="AF538" s="116"/>
      <c r="AG538" s="116"/>
      <c r="AH538" s="116"/>
      <c r="AI538" s="116"/>
      <c r="AJ538" s="116"/>
      <c r="AK538" s="116"/>
      <c r="AL538" s="116"/>
      <c r="AM538" s="116"/>
      <c r="AN538" s="116"/>
      <c r="AO538" s="116"/>
      <c r="AP538" s="116"/>
      <c r="AQ538" s="116"/>
      <c r="AR538" s="116"/>
      <c r="AS538" s="116"/>
      <c r="AT538" s="116"/>
      <c r="AU538" s="116"/>
      <c r="AV538" s="116"/>
      <c r="AW538" s="116"/>
      <c r="AX538" s="116"/>
      <c r="AY538" s="116"/>
      <c r="AZ538" s="116"/>
      <c r="BA538" s="116"/>
      <c r="BB538" s="116"/>
    </row>
    <row r="539" spans="4:54" hidden="1">
      <c r="D539" s="116"/>
      <c r="E539" s="116"/>
      <c r="F539" s="116"/>
      <c r="G539" s="116"/>
      <c r="H539" s="116"/>
      <c r="I539" s="116"/>
      <c r="J539" s="116"/>
      <c r="K539" s="116"/>
      <c r="L539" s="116"/>
      <c r="M539" s="116"/>
      <c r="N539" s="116"/>
      <c r="O539" s="116"/>
      <c r="P539" s="116"/>
      <c r="Q539" s="116"/>
      <c r="R539" s="116"/>
      <c r="S539" s="116"/>
      <c r="T539" s="116"/>
      <c r="U539" s="116"/>
      <c r="V539" s="116"/>
      <c r="W539" s="116"/>
      <c r="X539" s="116"/>
      <c r="Y539" s="116"/>
      <c r="Z539" s="116"/>
      <c r="AA539" s="116"/>
      <c r="AB539" s="116"/>
      <c r="AC539" s="116"/>
      <c r="AD539" s="116"/>
      <c r="AE539" s="116"/>
      <c r="AF539" s="116"/>
      <c r="AG539" s="116"/>
      <c r="AH539" s="116"/>
      <c r="AI539" s="116"/>
      <c r="AJ539" s="116"/>
      <c r="AK539" s="116"/>
      <c r="AL539" s="116"/>
      <c r="AM539" s="116"/>
      <c r="AN539" s="116"/>
      <c r="AO539" s="116"/>
      <c r="AP539" s="116"/>
      <c r="AQ539" s="116"/>
      <c r="AR539" s="116"/>
      <c r="AS539" s="116"/>
      <c r="AT539" s="116"/>
      <c r="AU539" s="116"/>
      <c r="AV539" s="116"/>
      <c r="AW539" s="116"/>
      <c r="AX539" s="116"/>
      <c r="AY539" s="116"/>
      <c r="AZ539" s="116"/>
      <c r="BA539" s="116"/>
      <c r="BB539" s="116"/>
    </row>
    <row r="540" spans="4:54" hidden="1">
      <c r="D540" s="116"/>
      <c r="E540" s="116"/>
      <c r="F540" s="116"/>
      <c r="G540" s="116"/>
      <c r="H540" s="116"/>
      <c r="I540" s="116"/>
      <c r="J540" s="116"/>
      <c r="K540" s="116"/>
      <c r="L540" s="116"/>
      <c r="M540" s="116"/>
      <c r="N540" s="116"/>
      <c r="O540" s="116"/>
      <c r="P540" s="116"/>
      <c r="Q540" s="116"/>
      <c r="R540" s="116"/>
      <c r="S540" s="116"/>
      <c r="T540" s="116"/>
      <c r="U540" s="116"/>
      <c r="V540" s="116"/>
      <c r="W540" s="116"/>
      <c r="X540" s="116"/>
      <c r="Y540" s="116"/>
      <c r="Z540" s="116"/>
      <c r="AA540" s="116"/>
      <c r="AB540" s="116"/>
      <c r="AC540" s="116"/>
      <c r="AD540" s="116"/>
      <c r="AE540" s="116"/>
      <c r="AF540" s="116"/>
      <c r="AG540" s="116"/>
      <c r="AH540" s="116"/>
      <c r="AI540" s="116"/>
      <c r="AJ540" s="116"/>
      <c r="AK540" s="116"/>
      <c r="AL540" s="116"/>
      <c r="AM540" s="116"/>
      <c r="AN540" s="116"/>
      <c r="AO540" s="116"/>
      <c r="AP540" s="116"/>
      <c r="AQ540" s="116"/>
      <c r="AR540" s="116"/>
      <c r="AS540" s="116"/>
      <c r="AT540" s="116"/>
      <c r="AU540" s="116"/>
      <c r="AV540" s="116"/>
      <c r="AW540" s="116"/>
      <c r="AX540" s="116"/>
      <c r="AY540" s="116"/>
      <c r="AZ540" s="116"/>
      <c r="BA540" s="116"/>
      <c r="BB540" s="116"/>
    </row>
    <row r="541" spans="4:54" hidden="1">
      <c r="D541" s="116"/>
      <c r="E541" s="116"/>
      <c r="F541" s="116"/>
      <c r="G541" s="116"/>
      <c r="H541" s="116"/>
      <c r="I541" s="116"/>
      <c r="J541" s="116"/>
      <c r="K541" s="116"/>
      <c r="L541" s="116"/>
      <c r="M541" s="116"/>
      <c r="N541" s="116"/>
      <c r="O541" s="116"/>
      <c r="P541" s="116"/>
      <c r="Q541" s="116"/>
      <c r="R541" s="116"/>
      <c r="S541" s="116"/>
      <c r="T541" s="116"/>
      <c r="U541" s="116"/>
      <c r="V541" s="116"/>
      <c r="W541" s="116"/>
      <c r="X541" s="116"/>
      <c r="Y541" s="116"/>
      <c r="Z541" s="116"/>
      <c r="AA541" s="116"/>
      <c r="AB541" s="116"/>
      <c r="AC541" s="116"/>
      <c r="AD541" s="116"/>
      <c r="AE541" s="116"/>
      <c r="AF541" s="116"/>
      <c r="AG541" s="116"/>
      <c r="AH541" s="116"/>
      <c r="AI541" s="116"/>
      <c r="AJ541" s="116"/>
      <c r="AK541" s="116"/>
      <c r="AL541" s="116"/>
      <c r="AM541" s="116"/>
      <c r="AN541" s="116"/>
      <c r="AO541" s="116"/>
      <c r="AP541" s="116"/>
      <c r="AQ541" s="116"/>
      <c r="AR541" s="116"/>
      <c r="AS541" s="116"/>
      <c r="AT541" s="116"/>
      <c r="AU541" s="116"/>
      <c r="AV541" s="116"/>
      <c r="AW541" s="116"/>
      <c r="AX541" s="116"/>
      <c r="AY541" s="116"/>
      <c r="AZ541" s="116"/>
      <c r="BA541" s="116"/>
      <c r="BB541" s="116"/>
    </row>
    <row r="542" spans="4:54" hidden="1">
      <c r="D542" s="116"/>
      <c r="E542" s="116"/>
      <c r="F542" s="116"/>
      <c r="G542" s="116"/>
      <c r="H542" s="116"/>
      <c r="I542" s="116"/>
      <c r="J542" s="116"/>
      <c r="K542" s="116"/>
      <c r="L542" s="116"/>
      <c r="M542" s="116"/>
      <c r="N542" s="116"/>
      <c r="O542" s="116"/>
      <c r="P542" s="116"/>
      <c r="Q542" s="116"/>
      <c r="R542" s="116"/>
      <c r="S542" s="116"/>
      <c r="T542" s="116"/>
      <c r="U542" s="116"/>
      <c r="V542" s="116"/>
      <c r="W542" s="116"/>
      <c r="X542" s="116"/>
      <c r="Y542" s="116"/>
      <c r="Z542" s="116"/>
      <c r="AA542" s="116"/>
      <c r="AB542" s="116"/>
      <c r="AC542" s="116"/>
      <c r="AD542" s="116"/>
      <c r="AE542" s="116"/>
      <c r="AF542" s="116"/>
      <c r="AG542" s="116"/>
      <c r="AH542" s="116"/>
      <c r="AI542" s="116"/>
      <c r="AJ542" s="116"/>
      <c r="AK542" s="116"/>
      <c r="AL542" s="116"/>
      <c r="AM542" s="116"/>
      <c r="AN542" s="116"/>
      <c r="AO542" s="116"/>
      <c r="AP542" s="116"/>
      <c r="AQ542" s="116"/>
      <c r="AR542" s="116"/>
      <c r="AS542" s="116"/>
      <c r="AT542" s="116"/>
      <c r="AU542" s="116"/>
      <c r="AV542" s="116"/>
      <c r="AW542" s="116"/>
      <c r="AX542" s="116"/>
      <c r="AY542" s="116"/>
      <c r="AZ542" s="116"/>
      <c r="BA542" s="116"/>
      <c r="BB542" s="116"/>
    </row>
    <row r="543" spans="4:54" hidden="1">
      <c r="D543" s="116"/>
      <c r="E543" s="116"/>
      <c r="F543" s="116"/>
      <c r="G543" s="116"/>
      <c r="H543" s="116"/>
      <c r="I543" s="116"/>
      <c r="J543" s="116"/>
      <c r="K543" s="116"/>
      <c r="L543" s="116"/>
      <c r="M543" s="116"/>
      <c r="N543" s="116"/>
      <c r="O543" s="116"/>
      <c r="P543" s="116"/>
      <c r="Q543" s="116"/>
      <c r="R543" s="116"/>
      <c r="S543" s="116"/>
      <c r="T543" s="116"/>
      <c r="U543" s="116"/>
      <c r="V543" s="116"/>
      <c r="W543" s="116"/>
      <c r="X543" s="116"/>
      <c r="Y543" s="116"/>
      <c r="Z543" s="116"/>
      <c r="AA543" s="116"/>
      <c r="AB543" s="116"/>
      <c r="AC543" s="116"/>
      <c r="AD543" s="116"/>
      <c r="AE543" s="116"/>
      <c r="AF543" s="116"/>
      <c r="AG543" s="116"/>
      <c r="AH543" s="116"/>
      <c r="AI543" s="116"/>
      <c r="AJ543" s="116"/>
      <c r="AK543" s="116"/>
      <c r="AL543" s="116"/>
      <c r="AM543" s="116"/>
      <c r="AN543" s="116"/>
      <c r="AO543" s="116"/>
      <c r="AP543" s="116"/>
      <c r="AQ543" s="116"/>
      <c r="AR543" s="116"/>
      <c r="AS543" s="116"/>
      <c r="AT543" s="116"/>
      <c r="AU543" s="116"/>
      <c r="AV543" s="116"/>
      <c r="AW543" s="116"/>
      <c r="AX543" s="116"/>
      <c r="AY543" s="116"/>
      <c r="AZ543" s="116"/>
      <c r="BA543" s="116"/>
      <c r="BB543" s="116"/>
    </row>
    <row r="544" spans="4:54" hidden="1">
      <c r="D544" s="116"/>
      <c r="E544" s="116"/>
      <c r="F544" s="116"/>
      <c r="G544" s="116"/>
      <c r="H544" s="116"/>
      <c r="I544" s="116"/>
      <c r="J544" s="116"/>
      <c r="K544" s="116"/>
      <c r="L544" s="116"/>
      <c r="M544" s="116"/>
      <c r="N544" s="116"/>
      <c r="O544" s="116"/>
      <c r="P544" s="116"/>
      <c r="Q544" s="116"/>
      <c r="R544" s="116"/>
      <c r="S544" s="116"/>
      <c r="T544" s="116"/>
      <c r="U544" s="116"/>
      <c r="V544" s="116"/>
      <c r="W544" s="116"/>
      <c r="X544" s="116"/>
      <c r="Y544" s="116"/>
      <c r="Z544" s="116"/>
      <c r="AA544" s="116"/>
      <c r="AB544" s="116"/>
      <c r="AC544" s="116"/>
      <c r="AD544" s="116"/>
      <c r="AE544" s="116"/>
      <c r="AF544" s="116"/>
      <c r="AG544" s="116"/>
      <c r="AH544" s="116"/>
      <c r="AI544" s="116"/>
      <c r="AJ544" s="116"/>
      <c r="AK544" s="116"/>
      <c r="AL544" s="116"/>
      <c r="AM544" s="116"/>
      <c r="AN544" s="116"/>
      <c r="AO544" s="116"/>
      <c r="AP544" s="116"/>
      <c r="AQ544" s="116"/>
      <c r="AR544" s="116"/>
      <c r="AS544" s="116"/>
      <c r="AT544" s="116"/>
      <c r="AU544" s="116"/>
      <c r="AV544" s="116"/>
      <c r="AW544" s="116"/>
      <c r="AX544" s="116"/>
      <c r="AY544" s="116"/>
      <c r="AZ544" s="116"/>
      <c r="BA544" s="116"/>
      <c r="BB544" s="116"/>
    </row>
    <row r="545" spans="4:54" hidden="1">
      <c r="D545" s="116"/>
      <c r="E545" s="116"/>
      <c r="F545" s="116"/>
      <c r="G545" s="116"/>
      <c r="H545" s="116"/>
      <c r="I545" s="116"/>
      <c r="J545" s="116"/>
      <c r="K545" s="116"/>
      <c r="L545" s="116"/>
      <c r="M545" s="116"/>
      <c r="N545" s="116"/>
      <c r="O545" s="116"/>
      <c r="P545" s="116"/>
      <c r="Q545" s="116"/>
      <c r="R545" s="116"/>
      <c r="S545" s="116"/>
      <c r="T545" s="116"/>
      <c r="U545" s="116"/>
      <c r="V545" s="116"/>
      <c r="W545" s="116"/>
      <c r="X545" s="116"/>
      <c r="Y545" s="116"/>
      <c r="Z545" s="116"/>
      <c r="AA545" s="116"/>
      <c r="AB545" s="116"/>
      <c r="AC545" s="116"/>
      <c r="AD545" s="116"/>
      <c r="AE545" s="116"/>
      <c r="AF545" s="116"/>
      <c r="AG545" s="116"/>
      <c r="AH545" s="116"/>
      <c r="AI545" s="116"/>
      <c r="AJ545" s="116"/>
      <c r="AK545" s="116"/>
      <c r="AL545" s="116"/>
      <c r="AM545" s="116"/>
      <c r="AN545" s="116"/>
      <c r="AO545" s="116"/>
      <c r="AP545" s="116"/>
      <c r="AQ545" s="116"/>
      <c r="AR545" s="116"/>
      <c r="AS545" s="116"/>
      <c r="AT545" s="116"/>
      <c r="AU545" s="116"/>
      <c r="AV545" s="116"/>
      <c r="AW545" s="116"/>
      <c r="AX545" s="116"/>
      <c r="AY545" s="116"/>
      <c r="AZ545" s="116"/>
      <c r="BA545" s="116"/>
      <c r="BB545" s="116"/>
    </row>
    <row r="546" spans="4:54" hidden="1">
      <c r="D546" s="116"/>
      <c r="E546" s="116"/>
      <c r="F546" s="116"/>
      <c r="G546" s="116"/>
      <c r="H546" s="116"/>
      <c r="I546" s="116"/>
      <c r="J546" s="116"/>
      <c r="K546" s="116"/>
      <c r="L546" s="116"/>
      <c r="M546" s="116"/>
      <c r="N546" s="116"/>
      <c r="O546" s="116"/>
      <c r="P546" s="116"/>
      <c r="Q546" s="116"/>
      <c r="R546" s="116"/>
      <c r="S546" s="116"/>
      <c r="T546" s="116"/>
      <c r="U546" s="116"/>
      <c r="V546" s="116"/>
      <c r="W546" s="116"/>
      <c r="X546" s="116"/>
      <c r="Y546" s="116"/>
      <c r="Z546" s="116"/>
      <c r="AA546" s="116"/>
      <c r="AB546" s="116"/>
      <c r="AC546" s="116"/>
      <c r="AD546" s="116"/>
      <c r="AE546" s="116"/>
      <c r="AF546" s="116"/>
      <c r="AG546" s="116"/>
      <c r="AH546" s="116"/>
      <c r="AI546" s="116"/>
      <c r="AJ546" s="116"/>
      <c r="AK546" s="116"/>
      <c r="AL546" s="116"/>
      <c r="AM546" s="116"/>
      <c r="AN546" s="116"/>
      <c r="AO546" s="116"/>
      <c r="AP546" s="116"/>
      <c r="AQ546" s="116"/>
      <c r="AR546" s="116"/>
      <c r="AS546" s="116"/>
      <c r="AT546" s="116"/>
      <c r="AU546" s="116"/>
      <c r="AV546" s="116"/>
      <c r="AW546" s="116"/>
      <c r="AX546" s="116"/>
      <c r="AY546" s="116"/>
      <c r="AZ546" s="116"/>
      <c r="BA546" s="116"/>
      <c r="BB546" s="116"/>
    </row>
    <row r="547" spans="4:54" hidden="1">
      <c r="D547" s="116"/>
      <c r="E547" s="116"/>
      <c r="F547" s="116"/>
      <c r="G547" s="116"/>
      <c r="H547" s="116"/>
      <c r="I547" s="116"/>
      <c r="J547" s="116"/>
      <c r="K547" s="116"/>
      <c r="L547" s="116"/>
      <c r="M547" s="116"/>
      <c r="N547" s="116"/>
      <c r="O547" s="116"/>
      <c r="P547" s="116"/>
      <c r="Q547" s="116"/>
      <c r="R547" s="116"/>
      <c r="S547" s="116"/>
      <c r="T547" s="116"/>
      <c r="U547" s="116"/>
      <c r="V547" s="116"/>
      <c r="W547" s="116"/>
      <c r="X547" s="116"/>
      <c r="Y547" s="116"/>
      <c r="Z547" s="116"/>
      <c r="AA547" s="116"/>
      <c r="AB547" s="116"/>
      <c r="AC547" s="116"/>
      <c r="AD547" s="116"/>
      <c r="AE547" s="116"/>
      <c r="AF547" s="116"/>
      <c r="AG547" s="116"/>
      <c r="AH547" s="116"/>
      <c r="AI547" s="116"/>
      <c r="AJ547" s="116"/>
      <c r="AK547" s="116"/>
      <c r="AL547" s="116"/>
      <c r="AM547" s="116"/>
      <c r="AN547" s="116"/>
      <c r="AO547" s="116"/>
      <c r="AP547" s="116"/>
      <c r="AQ547" s="116"/>
      <c r="AR547" s="116"/>
      <c r="AS547" s="116"/>
      <c r="AT547" s="116"/>
      <c r="AU547" s="116"/>
      <c r="AV547" s="116"/>
      <c r="AW547" s="116"/>
      <c r="AX547" s="116"/>
      <c r="AY547" s="116"/>
      <c r="AZ547" s="116"/>
      <c r="BA547" s="116"/>
      <c r="BB547" s="116"/>
    </row>
    <row r="548" spans="4:54" hidden="1">
      <c r="D548" s="116"/>
      <c r="E548" s="116"/>
      <c r="F548" s="116"/>
      <c r="G548" s="116"/>
      <c r="H548" s="116"/>
      <c r="I548" s="116"/>
      <c r="J548" s="116"/>
      <c r="K548" s="116"/>
      <c r="L548" s="116"/>
      <c r="M548" s="116"/>
      <c r="N548" s="116"/>
      <c r="O548" s="116"/>
      <c r="P548" s="116"/>
      <c r="Q548" s="116"/>
      <c r="R548" s="116"/>
      <c r="S548" s="116"/>
      <c r="T548" s="116"/>
      <c r="U548" s="116"/>
      <c r="V548" s="116"/>
      <c r="W548" s="116"/>
      <c r="X548" s="116"/>
      <c r="Y548" s="116"/>
      <c r="Z548" s="116"/>
      <c r="AA548" s="116"/>
      <c r="AB548" s="116"/>
      <c r="AC548" s="116"/>
      <c r="AD548" s="116"/>
      <c r="AE548" s="116"/>
      <c r="AF548" s="116"/>
      <c r="AG548" s="116"/>
      <c r="AH548" s="116"/>
      <c r="AI548" s="116"/>
      <c r="AJ548" s="116"/>
      <c r="AK548" s="116"/>
      <c r="AL548" s="116"/>
      <c r="AM548" s="116"/>
      <c r="AN548" s="116"/>
      <c r="AO548" s="116"/>
      <c r="AP548" s="116"/>
      <c r="AQ548" s="116"/>
      <c r="AR548" s="116"/>
      <c r="AS548" s="116"/>
      <c r="AT548" s="116"/>
      <c r="AU548" s="116"/>
      <c r="AV548" s="116"/>
      <c r="AW548" s="116"/>
      <c r="AX548" s="116"/>
      <c r="AY548" s="116"/>
      <c r="AZ548" s="116"/>
      <c r="BA548" s="116"/>
      <c r="BB548" s="116"/>
    </row>
    <row r="549" spans="4:54" hidden="1">
      <c r="D549" s="116"/>
      <c r="E549" s="116"/>
      <c r="F549" s="116"/>
      <c r="G549" s="116"/>
      <c r="H549" s="116"/>
      <c r="I549" s="116"/>
      <c r="J549" s="116"/>
      <c r="K549" s="116"/>
      <c r="L549" s="116"/>
      <c r="M549" s="116"/>
      <c r="N549" s="116"/>
      <c r="O549" s="116"/>
      <c r="P549" s="116"/>
      <c r="Q549" s="116"/>
      <c r="R549" s="116"/>
      <c r="S549" s="116"/>
      <c r="T549" s="116"/>
      <c r="U549" s="116"/>
      <c r="V549" s="116"/>
      <c r="W549" s="116"/>
      <c r="X549" s="116"/>
      <c r="Y549" s="116"/>
      <c r="Z549" s="116"/>
      <c r="AA549" s="116"/>
      <c r="AB549" s="116"/>
      <c r="AC549" s="116"/>
      <c r="AD549" s="116"/>
      <c r="AE549" s="116"/>
      <c r="AF549" s="116"/>
      <c r="AG549" s="116"/>
      <c r="AH549" s="116"/>
      <c r="AI549" s="116"/>
      <c r="AJ549" s="116"/>
      <c r="AK549" s="116"/>
      <c r="AL549" s="116"/>
      <c r="AM549" s="116"/>
      <c r="AN549" s="116"/>
      <c r="AO549" s="116"/>
      <c r="AP549" s="116"/>
      <c r="AQ549" s="116"/>
      <c r="AR549" s="116"/>
      <c r="AS549" s="116"/>
      <c r="AT549" s="116"/>
      <c r="AU549" s="116"/>
      <c r="AV549" s="116"/>
      <c r="AW549" s="116"/>
      <c r="AX549" s="116"/>
      <c r="AY549" s="116"/>
      <c r="AZ549" s="116"/>
      <c r="BA549" s="116"/>
      <c r="BB549" s="116"/>
    </row>
    <row r="550" spans="4:54" hidden="1">
      <c r="D550" s="116"/>
      <c r="E550" s="116"/>
      <c r="F550" s="116"/>
      <c r="G550" s="116"/>
      <c r="H550" s="116"/>
      <c r="I550" s="116"/>
      <c r="J550" s="116"/>
      <c r="K550" s="116"/>
      <c r="L550" s="116"/>
      <c r="M550" s="116"/>
      <c r="N550" s="116"/>
      <c r="O550" s="116"/>
      <c r="P550" s="116"/>
      <c r="Q550" s="116"/>
      <c r="R550" s="116"/>
      <c r="S550" s="116"/>
      <c r="T550" s="116"/>
      <c r="U550" s="116"/>
      <c r="V550" s="116"/>
      <c r="W550" s="116"/>
      <c r="X550" s="116"/>
      <c r="Y550" s="116"/>
      <c r="Z550" s="116"/>
      <c r="AA550" s="116"/>
      <c r="AB550" s="116"/>
      <c r="AC550" s="116"/>
      <c r="AD550" s="116"/>
      <c r="AE550" s="116"/>
      <c r="AF550" s="116"/>
      <c r="AG550" s="116"/>
      <c r="AH550" s="116"/>
      <c r="AI550" s="116"/>
      <c r="AJ550" s="116"/>
      <c r="AK550" s="116"/>
      <c r="AL550" s="116"/>
      <c r="AM550" s="116"/>
      <c r="AN550" s="116"/>
      <c r="AO550" s="116"/>
      <c r="AP550" s="116"/>
      <c r="AQ550" s="116"/>
      <c r="AR550" s="116"/>
      <c r="AS550" s="116"/>
      <c r="AT550" s="116"/>
      <c r="AU550" s="116"/>
      <c r="AV550" s="116"/>
      <c r="AW550" s="116"/>
      <c r="AX550" s="116"/>
      <c r="AY550" s="116"/>
      <c r="AZ550" s="116"/>
      <c r="BA550" s="116"/>
      <c r="BB550" s="116"/>
    </row>
    <row r="551" spans="4:54" hidden="1">
      <c r="D551" s="116"/>
      <c r="E551" s="116"/>
      <c r="F551" s="116"/>
      <c r="G551" s="116"/>
      <c r="H551" s="116"/>
      <c r="I551" s="116"/>
      <c r="J551" s="116"/>
      <c r="K551" s="116"/>
      <c r="L551" s="116"/>
      <c r="M551" s="116"/>
      <c r="N551" s="116"/>
      <c r="O551" s="116"/>
      <c r="P551" s="116"/>
      <c r="Q551" s="116"/>
      <c r="R551" s="116"/>
      <c r="S551" s="116"/>
      <c r="T551" s="116"/>
      <c r="U551" s="116"/>
      <c r="V551" s="116"/>
      <c r="W551" s="116"/>
      <c r="X551" s="116"/>
      <c r="Y551" s="116"/>
      <c r="Z551" s="116"/>
      <c r="AA551" s="116"/>
      <c r="AB551" s="116"/>
      <c r="AC551" s="116"/>
      <c r="AD551" s="116"/>
      <c r="AE551" s="116"/>
      <c r="AF551" s="116"/>
      <c r="AG551" s="116"/>
      <c r="AH551" s="116"/>
      <c r="AI551" s="116"/>
      <c r="AJ551" s="116"/>
      <c r="AK551" s="116"/>
      <c r="AL551" s="116"/>
      <c r="AM551" s="116"/>
      <c r="AN551" s="116"/>
      <c r="AO551" s="116"/>
      <c r="AP551" s="116"/>
      <c r="AQ551" s="116"/>
      <c r="AR551" s="116"/>
      <c r="AS551" s="116"/>
      <c r="AT551" s="116"/>
      <c r="AU551" s="116"/>
      <c r="AV551" s="116"/>
      <c r="AW551" s="116"/>
      <c r="AX551" s="116"/>
      <c r="AY551" s="116"/>
      <c r="AZ551" s="116"/>
      <c r="BA551" s="116"/>
      <c r="BB551" s="116"/>
    </row>
    <row r="552" spans="4:54" hidden="1">
      <c r="D552" s="116"/>
      <c r="E552" s="116"/>
      <c r="F552" s="116"/>
      <c r="G552" s="116"/>
      <c r="H552" s="116"/>
      <c r="I552" s="116"/>
      <c r="J552" s="116"/>
      <c r="K552" s="116"/>
      <c r="L552" s="116"/>
      <c r="M552" s="116"/>
      <c r="N552" s="116"/>
      <c r="O552" s="116"/>
      <c r="P552" s="116"/>
      <c r="Q552" s="116"/>
      <c r="R552" s="116"/>
      <c r="S552" s="116"/>
      <c r="T552" s="116"/>
      <c r="U552" s="116"/>
      <c r="V552" s="116"/>
      <c r="W552" s="116"/>
      <c r="X552" s="116"/>
      <c r="Y552" s="116"/>
      <c r="Z552" s="116"/>
      <c r="AA552" s="116"/>
      <c r="AB552" s="116"/>
      <c r="AC552" s="116"/>
      <c r="AD552" s="116"/>
      <c r="AE552" s="116"/>
      <c r="AF552" s="116"/>
      <c r="AG552" s="116"/>
      <c r="AH552" s="116"/>
      <c r="AI552" s="116"/>
      <c r="AJ552" s="116"/>
      <c r="AK552" s="116"/>
      <c r="AL552" s="116"/>
      <c r="AM552" s="116"/>
      <c r="AN552" s="116"/>
      <c r="AO552" s="116"/>
      <c r="AP552" s="116"/>
      <c r="AQ552" s="116"/>
      <c r="AR552" s="116"/>
      <c r="AS552" s="116"/>
      <c r="AT552" s="116"/>
      <c r="AU552" s="116"/>
      <c r="AV552" s="116"/>
      <c r="AW552" s="116"/>
      <c r="AX552" s="116"/>
      <c r="AY552" s="116"/>
      <c r="AZ552" s="116"/>
      <c r="BA552" s="116"/>
      <c r="BB552" s="116"/>
    </row>
    <row r="553" spans="4:54" hidden="1">
      <c r="D553" s="116"/>
      <c r="E553" s="116"/>
      <c r="F553" s="116"/>
      <c r="G553" s="116"/>
      <c r="H553" s="116"/>
      <c r="I553" s="116"/>
      <c r="J553" s="116"/>
      <c r="K553" s="116"/>
      <c r="L553" s="116"/>
      <c r="M553" s="116"/>
      <c r="N553" s="116"/>
      <c r="O553" s="116"/>
      <c r="P553" s="116"/>
      <c r="Q553" s="116"/>
      <c r="R553" s="116"/>
      <c r="S553" s="116"/>
      <c r="T553" s="116"/>
      <c r="U553" s="116"/>
      <c r="V553" s="116"/>
      <c r="W553" s="116"/>
      <c r="X553" s="116"/>
      <c r="Y553" s="116"/>
      <c r="Z553" s="116"/>
      <c r="AA553" s="116"/>
      <c r="AB553" s="116"/>
      <c r="AC553" s="116"/>
      <c r="AD553" s="116"/>
      <c r="AE553" s="116"/>
      <c r="AF553" s="116"/>
      <c r="AG553" s="116"/>
      <c r="AH553" s="116"/>
      <c r="AI553" s="116"/>
      <c r="AJ553" s="116"/>
      <c r="AK553" s="116"/>
      <c r="AL553" s="116"/>
      <c r="AM553" s="116"/>
      <c r="AN553" s="116"/>
      <c r="AO553" s="116"/>
      <c r="AP553" s="116"/>
      <c r="AQ553" s="116"/>
      <c r="AR553" s="116"/>
      <c r="AS553" s="116"/>
      <c r="AT553" s="116"/>
      <c r="AU553" s="116"/>
      <c r="AV553" s="116"/>
      <c r="AW553" s="116"/>
      <c r="AX553" s="116"/>
      <c r="AY553" s="116"/>
      <c r="AZ553" s="116"/>
      <c r="BA553" s="116"/>
      <c r="BB553" s="116"/>
    </row>
    <row r="554" spans="4:54" hidden="1">
      <c r="D554" s="116"/>
      <c r="E554" s="116"/>
      <c r="F554" s="116"/>
      <c r="G554" s="116"/>
      <c r="H554" s="116"/>
      <c r="I554" s="116"/>
      <c r="J554" s="116"/>
      <c r="K554" s="116"/>
      <c r="L554" s="116"/>
      <c r="M554" s="116"/>
      <c r="N554" s="116"/>
      <c r="O554" s="116"/>
      <c r="P554" s="116"/>
      <c r="Q554" s="116"/>
      <c r="R554" s="116"/>
      <c r="S554" s="116"/>
      <c r="T554" s="116"/>
      <c r="U554" s="116"/>
      <c r="V554" s="116"/>
      <c r="W554" s="116"/>
      <c r="X554" s="116"/>
      <c r="Y554" s="116"/>
      <c r="Z554" s="116"/>
      <c r="AA554" s="116"/>
      <c r="AB554" s="116"/>
      <c r="AC554" s="116"/>
      <c r="AD554" s="116"/>
      <c r="AE554" s="116"/>
      <c r="AF554" s="116"/>
      <c r="AG554" s="116"/>
      <c r="AH554" s="116"/>
      <c r="AI554" s="116"/>
      <c r="AJ554" s="116"/>
      <c r="AK554" s="116"/>
      <c r="AL554" s="116"/>
      <c r="AM554" s="116"/>
      <c r="AN554" s="116"/>
      <c r="AO554" s="116"/>
      <c r="AP554" s="116"/>
      <c r="AQ554" s="116"/>
      <c r="AR554" s="116"/>
      <c r="AS554" s="116"/>
      <c r="AT554" s="116"/>
      <c r="AU554" s="116"/>
      <c r="AV554" s="116"/>
      <c r="AW554" s="116"/>
      <c r="AX554" s="116"/>
      <c r="AY554" s="116"/>
      <c r="AZ554" s="116"/>
      <c r="BA554" s="116"/>
      <c r="BB554" s="116"/>
    </row>
    <row r="555" spans="4:54" hidden="1">
      <c r="D555" s="116"/>
      <c r="E555" s="116"/>
      <c r="F555" s="116"/>
      <c r="G555" s="116"/>
      <c r="H555" s="116"/>
      <c r="I555" s="116"/>
      <c r="J555" s="116"/>
      <c r="K555" s="116"/>
      <c r="L555" s="116"/>
      <c r="M555" s="116"/>
      <c r="N555" s="116"/>
      <c r="O555" s="116"/>
      <c r="P555" s="116"/>
      <c r="Q555" s="116"/>
      <c r="R555" s="116"/>
      <c r="S555" s="116"/>
      <c r="T555" s="116"/>
      <c r="U555" s="116"/>
      <c r="V555" s="116"/>
      <c r="W555" s="116"/>
      <c r="X555" s="116"/>
      <c r="Y555" s="116"/>
      <c r="Z555" s="116"/>
      <c r="AA555" s="116"/>
      <c r="AB555" s="116"/>
      <c r="AC555" s="116"/>
      <c r="AD555" s="116"/>
      <c r="AE555" s="116"/>
      <c r="AF555" s="116"/>
      <c r="AG555" s="116"/>
      <c r="AH555" s="116"/>
      <c r="AI555" s="116"/>
      <c r="AJ555" s="116"/>
      <c r="AK555" s="116"/>
      <c r="AL555" s="116"/>
      <c r="AM555" s="116"/>
      <c r="AN555" s="116"/>
      <c r="AO555" s="116"/>
      <c r="AP555" s="116"/>
      <c r="AQ555" s="116"/>
      <c r="AR555" s="116"/>
      <c r="AS555" s="116"/>
      <c r="AT555" s="116"/>
      <c r="AU555" s="116"/>
      <c r="AV555" s="116"/>
      <c r="AW555" s="116"/>
      <c r="AX555" s="116"/>
      <c r="AY555" s="116"/>
      <c r="AZ555" s="116"/>
      <c r="BA555" s="116"/>
      <c r="BB555" s="116"/>
    </row>
    <row r="556" spans="4:54" hidden="1">
      <c r="D556" s="116"/>
      <c r="E556" s="116"/>
      <c r="F556" s="116"/>
      <c r="G556" s="116"/>
      <c r="H556" s="116"/>
      <c r="I556" s="116"/>
      <c r="J556" s="116"/>
      <c r="K556" s="116"/>
      <c r="L556" s="116"/>
      <c r="M556" s="116"/>
      <c r="N556" s="116"/>
      <c r="O556" s="116"/>
      <c r="P556" s="116"/>
      <c r="Q556" s="116"/>
      <c r="R556" s="116"/>
      <c r="S556" s="116"/>
      <c r="T556" s="116"/>
      <c r="U556" s="116"/>
      <c r="V556" s="116"/>
      <c r="W556" s="116"/>
      <c r="X556" s="116"/>
      <c r="Y556" s="116"/>
      <c r="Z556" s="116"/>
      <c r="AA556" s="116"/>
      <c r="AB556" s="116"/>
      <c r="AC556" s="116"/>
      <c r="AD556" s="116"/>
      <c r="AE556" s="116"/>
      <c r="AF556" s="116"/>
      <c r="AG556" s="116"/>
      <c r="AH556" s="116"/>
      <c r="AI556" s="116"/>
      <c r="AJ556" s="116"/>
      <c r="AK556" s="116"/>
      <c r="AL556" s="116"/>
      <c r="AM556" s="116"/>
      <c r="AN556" s="116"/>
      <c r="AO556" s="116"/>
      <c r="AP556" s="116"/>
      <c r="AQ556" s="116"/>
      <c r="AR556" s="116"/>
      <c r="AS556" s="116"/>
      <c r="AT556" s="116"/>
      <c r="AU556" s="116"/>
      <c r="AV556" s="116"/>
      <c r="AW556" s="116"/>
      <c r="AX556" s="116"/>
      <c r="AY556" s="116"/>
      <c r="AZ556" s="116"/>
      <c r="BA556" s="116"/>
      <c r="BB556" s="116"/>
    </row>
    <row r="557" spans="4:54" hidden="1">
      <c r="D557" s="116"/>
      <c r="E557" s="116"/>
      <c r="F557" s="116"/>
      <c r="G557" s="116"/>
      <c r="H557" s="116"/>
      <c r="I557" s="116"/>
      <c r="J557" s="116"/>
      <c r="K557" s="116"/>
      <c r="L557" s="116"/>
      <c r="M557" s="116"/>
      <c r="N557" s="116"/>
      <c r="O557" s="116"/>
      <c r="P557" s="116"/>
      <c r="Q557" s="116"/>
      <c r="R557" s="116"/>
      <c r="S557" s="116"/>
      <c r="T557" s="116"/>
      <c r="U557" s="116"/>
      <c r="V557" s="116"/>
      <c r="W557" s="116"/>
      <c r="X557" s="116"/>
      <c r="Y557" s="116"/>
      <c r="Z557" s="116"/>
      <c r="AA557" s="116"/>
      <c r="AB557" s="116"/>
      <c r="AC557" s="116"/>
      <c r="AD557" s="116"/>
      <c r="AE557" s="116"/>
      <c r="AF557" s="116"/>
      <c r="AG557" s="116"/>
      <c r="AH557" s="116"/>
      <c r="AI557" s="116"/>
      <c r="AJ557" s="116"/>
      <c r="AK557" s="116"/>
      <c r="AL557" s="116"/>
      <c r="AM557" s="116"/>
      <c r="AN557" s="116"/>
      <c r="AO557" s="116"/>
      <c r="AP557" s="116"/>
      <c r="AQ557" s="116"/>
      <c r="AR557" s="116"/>
      <c r="AS557" s="116"/>
      <c r="AT557" s="116"/>
      <c r="AU557" s="116"/>
      <c r="AV557" s="116"/>
      <c r="AW557" s="116"/>
      <c r="AX557" s="116"/>
      <c r="AY557" s="116"/>
      <c r="AZ557" s="116"/>
      <c r="BA557" s="116"/>
      <c r="BB557" s="116"/>
    </row>
    <row r="558" spans="4:54" hidden="1">
      <c r="D558" s="116"/>
      <c r="E558" s="116"/>
      <c r="F558" s="116"/>
      <c r="G558" s="116"/>
      <c r="H558" s="116"/>
      <c r="I558" s="116"/>
      <c r="J558" s="116"/>
      <c r="K558" s="116"/>
      <c r="L558" s="116"/>
      <c r="M558" s="116"/>
      <c r="N558" s="116"/>
      <c r="O558" s="116"/>
      <c r="P558" s="116"/>
      <c r="Q558" s="116"/>
      <c r="R558" s="116"/>
      <c r="S558" s="116"/>
      <c r="T558" s="116"/>
      <c r="U558" s="116"/>
      <c r="V558" s="116"/>
      <c r="W558" s="116"/>
      <c r="X558" s="116"/>
      <c r="Y558" s="116"/>
      <c r="Z558" s="116"/>
      <c r="AA558" s="116"/>
      <c r="AB558" s="116"/>
      <c r="AC558" s="116"/>
      <c r="AD558" s="116"/>
      <c r="AE558" s="116"/>
      <c r="AF558" s="116"/>
      <c r="AG558" s="116"/>
      <c r="AH558" s="116"/>
      <c r="AI558" s="116"/>
      <c r="AJ558" s="116"/>
      <c r="AK558" s="116"/>
      <c r="AL558" s="116"/>
      <c r="AM558" s="116"/>
      <c r="AN558" s="116"/>
      <c r="AO558" s="116"/>
      <c r="AP558" s="116"/>
      <c r="AQ558" s="116"/>
      <c r="AR558" s="116"/>
      <c r="AS558" s="116"/>
      <c r="AT558" s="116"/>
      <c r="AU558" s="116"/>
      <c r="AV558" s="116"/>
      <c r="AW558" s="116"/>
      <c r="AX558" s="116"/>
      <c r="AY558" s="116"/>
      <c r="AZ558" s="116"/>
      <c r="BA558" s="116"/>
      <c r="BB558" s="116"/>
    </row>
    <row r="559" spans="4:54" hidden="1">
      <c r="D559" s="116"/>
      <c r="E559" s="116"/>
      <c r="F559" s="116"/>
      <c r="G559" s="116"/>
      <c r="H559" s="116"/>
      <c r="I559" s="116"/>
      <c r="J559" s="116"/>
      <c r="K559" s="116"/>
      <c r="L559" s="116"/>
      <c r="M559" s="116"/>
      <c r="N559" s="116"/>
      <c r="O559" s="116"/>
      <c r="P559" s="116"/>
      <c r="Q559" s="116"/>
      <c r="R559" s="116"/>
      <c r="S559" s="116"/>
      <c r="T559" s="116"/>
      <c r="U559" s="116"/>
      <c r="V559" s="116"/>
      <c r="W559" s="116"/>
      <c r="X559" s="116"/>
      <c r="Y559" s="116"/>
      <c r="Z559" s="116"/>
      <c r="AA559" s="116"/>
      <c r="AB559" s="116"/>
      <c r="AC559" s="116"/>
      <c r="AD559" s="116"/>
      <c r="AE559" s="116"/>
      <c r="AF559" s="116"/>
      <c r="AG559" s="116"/>
      <c r="AH559" s="116"/>
      <c r="AI559" s="116"/>
      <c r="AJ559" s="116"/>
      <c r="AK559" s="116"/>
      <c r="AL559" s="116"/>
      <c r="AM559" s="116"/>
      <c r="AN559" s="116"/>
      <c r="AO559" s="116"/>
      <c r="AP559" s="116"/>
      <c r="AQ559" s="116"/>
      <c r="AR559" s="116"/>
      <c r="AS559" s="116"/>
      <c r="AT559" s="116"/>
      <c r="AU559" s="116"/>
      <c r="AV559" s="116"/>
      <c r="AW559" s="116"/>
      <c r="AX559" s="116"/>
      <c r="AY559" s="116"/>
      <c r="AZ559" s="116"/>
      <c r="BA559" s="116"/>
      <c r="BB559" s="116"/>
    </row>
    <row r="560" spans="4:54" hidden="1">
      <c r="D560" s="116"/>
      <c r="E560" s="116"/>
      <c r="F560" s="116"/>
      <c r="G560" s="116"/>
      <c r="H560" s="116"/>
      <c r="I560" s="116"/>
      <c r="J560" s="116"/>
      <c r="K560" s="116"/>
      <c r="L560" s="116"/>
      <c r="M560" s="116"/>
      <c r="N560" s="116"/>
      <c r="O560" s="116"/>
      <c r="P560" s="116"/>
      <c r="Q560" s="116"/>
      <c r="R560" s="116"/>
      <c r="S560" s="116"/>
      <c r="T560" s="116"/>
      <c r="U560" s="116"/>
      <c r="V560" s="116"/>
      <c r="W560" s="116"/>
      <c r="X560" s="116"/>
      <c r="Y560" s="116"/>
      <c r="Z560" s="116"/>
      <c r="AA560" s="116"/>
      <c r="AB560" s="116"/>
      <c r="AC560" s="116"/>
      <c r="AD560" s="116"/>
      <c r="AE560" s="116"/>
      <c r="AF560" s="116"/>
      <c r="AG560" s="116"/>
      <c r="AH560" s="116"/>
      <c r="AI560" s="116"/>
      <c r="AJ560" s="116"/>
      <c r="AK560" s="116"/>
      <c r="AL560" s="116"/>
      <c r="AM560" s="116"/>
      <c r="AN560" s="116"/>
      <c r="AO560" s="116"/>
      <c r="AP560" s="116"/>
      <c r="AQ560" s="116"/>
      <c r="AR560" s="116"/>
      <c r="AS560" s="116"/>
      <c r="AT560" s="116"/>
      <c r="AU560" s="116"/>
      <c r="AV560" s="116"/>
      <c r="AW560" s="116"/>
      <c r="AX560" s="116"/>
      <c r="AY560" s="116"/>
      <c r="AZ560" s="116"/>
      <c r="BA560" s="116"/>
      <c r="BB560" s="116"/>
    </row>
    <row r="561" spans="4:54" hidden="1">
      <c r="D561" s="116"/>
      <c r="E561" s="116"/>
      <c r="F561" s="116"/>
      <c r="G561" s="116"/>
      <c r="H561" s="116"/>
      <c r="I561" s="116"/>
      <c r="J561" s="116"/>
      <c r="K561" s="116"/>
      <c r="L561" s="116"/>
      <c r="M561" s="116"/>
      <c r="N561" s="116"/>
      <c r="O561" s="116"/>
      <c r="P561" s="116"/>
      <c r="Q561" s="116"/>
      <c r="R561" s="116"/>
      <c r="S561" s="116"/>
      <c r="T561" s="116"/>
      <c r="U561" s="116"/>
      <c r="V561" s="116"/>
      <c r="W561" s="116"/>
      <c r="X561" s="116"/>
      <c r="Y561" s="116"/>
      <c r="Z561" s="116"/>
      <c r="AA561" s="116"/>
      <c r="AB561" s="116"/>
      <c r="AC561" s="116"/>
      <c r="AD561" s="116"/>
      <c r="AE561" s="116"/>
      <c r="AF561" s="116"/>
      <c r="AG561" s="116"/>
      <c r="AH561" s="116"/>
      <c r="AI561" s="116"/>
      <c r="AJ561" s="116"/>
      <c r="AK561" s="116"/>
      <c r="AL561" s="116"/>
      <c r="AM561" s="116"/>
      <c r="AN561" s="116"/>
      <c r="AO561" s="116"/>
      <c r="AP561" s="116"/>
      <c r="AQ561" s="116"/>
      <c r="AR561" s="116"/>
      <c r="AS561" s="116"/>
      <c r="AT561" s="116"/>
      <c r="AU561" s="116"/>
      <c r="AV561" s="116"/>
      <c r="AW561" s="116"/>
      <c r="AX561" s="116"/>
      <c r="AY561" s="116"/>
      <c r="AZ561" s="116"/>
      <c r="BA561" s="116"/>
      <c r="BB561" s="116"/>
    </row>
    <row r="562" spans="4:54" hidden="1">
      <c r="D562" s="116"/>
      <c r="E562" s="116"/>
      <c r="F562" s="116"/>
      <c r="G562" s="116"/>
      <c r="H562" s="116"/>
      <c r="I562" s="116"/>
      <c r="J562" s="116"/>
      <c r="K562" s="116"/>
      <c r="L562" s="116"/>
      <c r="M562" s="116"/>
      <c r="N562" s="116"/>
      <c r="O562" s="116"/>
      <c r="P562" s="116"/>
      <c r="Q562" s="116"/>
      <c r="R562" s="116"/>
      <c r="S562" s="116"/>
      <c r="T562" s="116"/>
      <c r="U562" s="116"/>
      <c r="V562" s="116"/>
      <c r="W562" s="116"/>
      <c r="X562" s="116"/>
      <c r="Y562" s="116"/>
      <c r="Z562" s="116"/>
      <c r="AA562" s="116"/>
      <c r="AB562" s="116"/>
      <c r="AC562" s="116"/>
      <c r="AD562" s="116"/>
      <c r="AE562" s="116"/>
      <c r="AF562" s="116"/>
      <c r="AG562" s="116"/>
      <c r="AH562" s="116"/>
      <c r="AI562" s="116"/>
      <c r="AJ562" s="116"/>
      <c r="AK562" s="116"/>
      <c r="AL562" s="116"/>
      <c r="AM562" s="116"/>
      <c r="AN562" s="116"/>
      <c r="AO562" s="116"/>
      <c r="AP562" s="116"/>
      <c r="AQ562" s="116"/>
      <c r="AR562" s="116"/>
      <c r="AS562" s="116"/>
      <c r="AT562" s="116"/>
      <c r="AU562" s="116"/>
      <c r="AV562" s="116"/>
      <c r="AW562" s="116"/>
      <c r="AX562" s="116"/>
      <c r="AY562" s="116"/>
      <c r="AZ562" s="116"/>
      <c r="BA562" s="116"/>
      <c r="BB562" s="116"/>
    </row>
    <row r="563" spans="4:54" hidden="1">
      <c r="D563" s="116"/>
      <c r="E563" s="116"/>
      <c r="F563" s="116"/>
      <c r="G563" s="116"/>
      <c r="H563" s="116"/>
      <c r="I563" s="116"/>
      <c r="J563" s="116"/>
      <c r="K563" s="116"/>
      <c r="L563" s="116"/>
      <c r="M563" s="116"/>
      <c r="N563" s="116"/>
      <c r="O563" s="116"/>
      <c r="P563" s="116"/>
      <c r="Q563" s="116"/>
      <c r="R563" s="116"/>
      <c r="S563" s="116"/>
      <c r="T563" s="116"/>
      <c r="U563" s="116"/>
      <c r="V563" s="116"/>
      <c r="W563" s="116"/>
      <c r="X563" s="116"/>
      <c r="Y563" s="116"/>
      <c r="Z563" s="116"/>
      <c r="AA563" s="116"/>
      <c r="AB563" s="116"/>
      <c r="AC563" s="116"/>
      <c r="AD563" s="116"/>
      <c r="AE563" s="116"/>
      <c r="AF563" s="116"/>
      <c r="AG563" s="116"/>
      <c r="AH563" s="116"/>
      <c r="AI563" s="116"/>
      <c r="AJ563" s="116"/>
      <c r="AK563" s="116"/>
      <c r="AL563" s="116"/>
      <c r="AM563" s="116"/>
      <c r="AN563" s="116"/>
      <c r="AO563" s="116"/>
      <c r="AP563" s="116"/>
      <c r="AQ563" s="116"/>
      <c r="AR563" s="116"/>
      <c r="AS563" s="116"/>
      <c r="AT563" s="116"/>
      <c r="AU563" s="116"/>
      <c r="AV563" s="116"/>
      <c r="AW563" s="116"/>
      <c r="AX563" s="116"/>
      <c r="AY563" s="116"/>
      <c r="AZ563" s="116"/>
      <c r="BA563" s="116"/>
      <c r="BB563" s="116"/>
    </row>
    <row r="564" spans="4:54" hidden="1">
      <c r="D564" s="116"/>
      <c r="E564" s="116"/>
      <c r="F564" s="116"/>
      <c r="G564" s="116"/>
      <c r="H564" s="116"/>
      <c r="I564" s="116"/>
      <c r="J564" s="116"/>
      <c r="K564" s="116"/>
      <c r="L564" s="116"/>
      <c r="M564" s="116"/>
      <c r="N564" s="116"/>
      <c r="O564" s="116"/>
      <c r="P564" s="116"/>
      <c r="Q564" s="116"/>
      <c r="R564" s="116"/>
      <c r="S564" s="116"/>
      <c r="T564" s="116"/>
      <c r="U564" s="116"/>
      <c r="V564" s="116"/>
      <c r="W564" s="116"/>
      <c r="X564" s="116"/>
      <c r="Y564" s="116"/>
      <c r="Z564" s="116"/>
      <c r="AA564" s="116"/>
      <c r="AB564" s="116"/>
      <c r="AC564" s="116"/>
      <c r="AD564" s="116"/>
      <c r="AE564" s="116"/>
      <c r="AF564" s="116"/>
      <c r="AG564" s="116"/>
      <c r="AH564" s="116"/>
      <c r="AI564" s="116"/>
      <c r="AJ564" s="116"/>
      <c r="AK564" s="116"/>
      <c r="AL564" s="116"/>
      <c r="AM564" s="116"/>
      <c r="AN564" s="116"/>
      <c r="AO564" s="116"/>
      <c r="AP564" s="116"/>
      <c r="AQ564" s="116"/>
      <c r="AR564" s="116"/>
      <c r="AS564" s="116"/>
      <c r="AT564" s="116"/>
      <c r="AU564" s="116"/>
      <c r="AV564" s="116"/>
      <c r="AW564" s="116"/>
      <c r="AX564" s="116"/>
      <c r="AY564" s="116"/>
      <c r="AZ564" s="116"/>
      <c r="BA564" s="116"/>
      <c r="BB564" s="116"/>
    </row>
    <row r="565" spans="4:54" hidden="1">
      <c r="D565" s="116"/>
      <c r="E565" s="116"/>
      <c r="F565" s="116"/>
      <c r="G565" s="116"/>
      <c r="H565" s="116"/>
      <c r="I565" s="116"/>
      <c r="J565" s="116"/>
      <c r="K565" s="116"/>
      <c r="L565" s="116"/>
      <c r="M565" s="116"/>
      <c r="N565" s="116"/>
      <c r="O565" s="116"/>
      <c r="P565" s="116"/>
      <c r="Q565" s="116"/>
      <c r="R565" s="116"/>
      <c r="S565" s="116"/>
      <c r="T565" s="116"/>
      <c r="U565" s="116"/>
      <c r="V565" s="116"/>
      <c r="W565" s="116"/>
      <c r="X565" s="116"/>
      <c r="Y565" s="116"/>
      <c r="Z565" s="116"/>
      <c r="AA565" s="116"/>
      <c r="AB565" s="116"/>
      <c r="AC565" s="116"/>
      <c r="AD565" s="116"/>
      <c r="AE565" s="116"/>
      <c r="AF565" s="116"/>
      <c r="AG565" s="116"/>
      <c r="AH565" s="116"/>
      <c r="AI565" s="116"/>
      <c r="AJ565" s="116"/>
      <c r="AK565" s="116"/>
      <c r="AL565" s="116"/>
      <c r="AM565" s="116"/>
      <c r="AN565" s="116"/>
      <c r="AO565" s="116"/>
      <c r="AP565" s="116"/>
      <c r="AQ565" s="116"/>
      <c r="AR565" s="116"/>
      <c r="AS565" s="116"/>
      <c r="AT565" s="116"/>
      <c r="AU565" s="116"/>
      <c r="AV565" s="116"/>
      <c r="AW565" s="116"/>
      <c r="AX565" s="116"/>
      <c r="AY565" s="116"/>
      <c r="AZ565" s="116"/>
      <c r="BA565" s="116"/>
      <c r="BB565" s="116"/>
    </row>
    <row r="566" spans="4:54" hidden="1">
      <c r="D566" s="116"/>
      <c r="E566" s="116"/>
      <c r="F566" s="116"/>
      <c r="G566" s="116"/>
      <c r="H566" s="116"/>
      <c r="I566" s="116"/>
      <c r="J566" s="116"/>
      <c r="K566" s="116"/>
      <c r="L566" s="116"/>
      <c r="M566" s="116"/>
      <c r="N566" s="116"/>
      <c r="O566" s="116"/>
      <c r="P566" s="116"/>
      <c r="Q566" s="116"/>
      <c r="R566" s="116"/>
      <c r="S566" s="116"/>
      <c r="T566" s="116"/>
      <c r="U566" s="116"/>
      <c r="V566" s="116"/>
      <c r="W566" s="116"/>
      <c r="X566" s="116"/>
      <c r="Y566" s="116"/>
      <c r="Z566" s="116"/>
      <c r="AA566" s="116"/>
      <c r="AB566" s="116"/>
      <c r="AC566" s="116"/>
      <c r="AD566" s="116"/>
      <c r="AE566" s="116"/>
      <c r="AF566" s="116"/>
      <c r="AG566" s="116"/>
      <c r="AH566" s="116"/>
      <c r="AI566" s="116"/>
      <c r="AJ566" s="116"/>
      <c r="AK566" s="116"/>
      <c r="AL566" s="116"/>
      <c r="AM566" s="116"/>
      <c r="AN566" s="116"/>
      <c r="AO566" s="116"/>
      <c r="AP566" s="116"/>
      <c r="AQ566" s="116"/>
      <c r="AR566" s="116"/>
      <c r="AS566" s="116"/>
      <c r="AT566" s="116"/>
      <c r="AU566" s="116"/>
      <c r="AV566" s="116"/>
      <c r="AW566" s="116"/>
      <c r="AX566" s="116"/>
      <c r="AY566" s="116"/>
      <c r="AZ566" s="116"/>
      <c r="BA566" s="116"/>
      <c r="BB566" s="116"/>
    </row>
    <row r="567" spans="4:54" hidden="1">
      <c r="D567" s="116"/>
      <c r="E567" s="116"/>
      <c r="F567" s="116"/>
      <c r="G567" s="116"/>
      <c r="H567" s="116"/>
      <c r="I567" s="116"/>
      <c r="J567" s="116"/>
      <c r="K567" s="116"/>
      <c r="L567" s="116"/>
      <c r="M567" s="116"/>
      <c r="N567" s="116"/>
      <c r="O567" s="116"/>
      <c r="P567" s="116"/>
      <c r="Q567" s="116"/>
      <c r="R567" s="116"/>
      <c r="S567" s="116"/>
      <c r="T567" s="116"/>
      <c r="U567" s="116"/>
      <c r="V567" s="116"/>
      <c r="W567" s="116"/>
      <c r="X567" s="116"/>
      <c r="Y567" s="116"/>
      <c r="Z567" s="116"/>
      <c r="AA567" s="116"/>
      <c r="AB567" s="116"/>
      <c r="AC567" s="116"/>
      <c r="AD567" s="116"/>
      <c r="AE567" s="116"/>
      <c r="AF567" s="116"/>
      <c r="AG567" s="116"/>
      <c r="AH567" s="116"/>
      <c r="AI567" s="116"/>
      <c r="AJ567" s="116"/>
      <c r="AK567" s="116"/>
      <c r="AL567" s="116"/>
      <c r="AM567" s="116"/>
      <c r="AN567" s="116"/>
      <c r="AO567" s="116"/>
      <c r="AP567" s="116"/>
      <c r="AQ567" s="116"/>
      <c r="AR567" s="116"/>
      <c r="AS567" s="116"/>
      <c r="AT567" s="116"/>
      <c r="AU567" s="116"/>
      <c r="AV567" s="116"/>
      <c r="AW567" s="116"/>
      <c r="AX567" s="116"/>
      <c r="AY567" s="116"/>
      <c r="AZ567" s="116"/>
      <c r="BA567" s="116"/>
      <c r="BB567" s="116"/>
    </row>
    <row r="568" spans="4:54" hidden="1">
      <c r="D568" s="116"/>
      <c r="E568" s="116"/>
      <c r="F568" s="116"/>
      <c r="G568" s="116"/>
      <c r="H568" s="116"/>
      <c r="I568" s="116"/>
      <c r="J568" s="116"/>
      <c r="K568" s="116"/>
      <c r="L568" s="116"/>
      <c r="M568" s="116"/>
      <c r="N568" s="116"/>
      <c r="O568" s="116"/>
      <c r="P568" s="116"/>
      <c r="Q568" s="116"/>
      <c r="R568" s="116"/>
      <c r="S568" s="116"/>
      <c r="T568" s="116"/>
      <c r="U568" s="116"/>
      <c r="V568" s="116"/>
      <c r="W568" s="116"/>
      <c r="X568" s="116"/>
      <c r="Y568" s="116"/>
      <c r="Z568" s="116"/>
      <c r="AA568" s="116"/>
      <c r="AB568" s="116"/>
      <c r="AC568" s="116"/>
      <c r="AD568" s="116"/>
      <c r="AE568" s="116"/>
      <c r="AF568" s="116"/>
      <c r="AG568" s="116"/>
      <c r="AH568" s="116"/>
      <c r="AI568" s="116"/>
      <c r="AJ568" s="116"/>
      <c r="AK568" s="116"/>
      <c r="AL568" s="116"/>
      <c r="AM568" s="116"/>
      <c r="AN568" s="116"/>
      <c r="AO568" s="116"/>
      <c r="AP568" s="116"/>
      <c r="AQ568" s="116"/>
      <c r="AR568" s="116"/>
      <c r="AS568" s="116"/>
      <c r="AT568" s="116"/>
      <c r="AU568" s="116"/>
      <c r="AV568" s="116"/>
      <c r="AW568" s="116"/>
      <c r="AX568" s="116"/>
      <c r="AY568" s="116"/>
      <c r="AZ568" s="116"/>
      <c r="BA568" s="116"/>
      <c r="BB568" s="116"/>
    </row>
    <row r="569" spans="4:54" hidden="1">
      <c r="D569" s="116"/>
      <c r="E569" s="116"/>
      <c r="F569" s="116"/>
      <c r="G569" s="116"/>
      <c r="H569" s="116"/>
      <c r="I569" s="116"/>
      <c r="J569" s="116"/>
      <c r="K569" s="116"/>
      <c r="L569" s="116"/>
      <c r="M569" s="116"/>
      <c r="N569" s="116"/>
      <c r="O569" s="116"/>
      <c r="P569" s="116"/>
      <c r="Q569" s="116"/>
      <c r="R569" s="116"/>
      <c r="S569" s="116"/>
      <c r="T569" s="116"/>
      <c r="U569" s="116"/>
      <c r="V569" s="116"/>
      <c r="W569" s="116"/>
      <c r="X569" s="116"/>
      <c r="Y569" s="116"/>
      <c r="Z569" s="116"/>
      <c r="AA569" s="116"/>
      <c r="AB569" s="116"/>
      <c r="AC569" s="116"/>
      <c r="AD569" s="116"/>
      <c r="AE569" s="116"/>
      <c r="AF569" s="116"/>
      <c r="AG569" s="116"/>
      <c r="AH569" s="116"/>
      <c r="AI569" s="116"/>
      <c r="AJ569" s="116"/>
      <c r="AK569" s="116"/>
      <c r="AL569" s="116"/>
      <c r="AM569" s="116"/>
      <c r="AN569" s="116"/>
      <c r="AO569" s="116"/>
      <c r="AP569" s="116"/>
      <c r="AQ569" s="116"/>
      <c r="AR569" s="116"/>
      <c r="AS569" s="116"/>
      <c r="AT569" s="116"/>
      <c r="AU569" s="116"/>
      <c r="AV569" s="116"/>
      <c r="AW569" s="116"/>
      <c r="AX569" s="116"/>
      <c r="AY569" s="116"/>
      <c r="AZ569" s="116"/>
      <c r="BA569" s="116"/>
      <c r="BB569" s="116"/>
    </row>
    <row r="570" spans="4:54" hidden="1">
      <c r="D570" s="116"/>
      <c r="E570" s="116"/>
      <c r="F570" s="116"/>
      <c r="G570" s="116"/>
      <c r="H570" s="116"/>
      <c r="I570" s="116"/>
      <c r="J570" s="116"/>
      <c r="K570" s="116"/>
      <c r="L570" s="116"/>
      <c r="M570" s="116"/>
      <c r="N570" s="116"/>
      <c r="O570" s="116"/>
      <c r="P570" s="116"/>
      <c r="Q570" s="116"/>
      <c r="R570" s="116"/>
      <c r="S570" s="116"/>
      <c r="T570" s="116"/>
      <c r="U570" s="116"/>
      <c r="V570" s="116"/>
      <c r="W570" s="116"/>
      <c r="X570" s="116"/>
      <c r="Y570" s="116"/>
      <c r="Z570" s="116"/>
      <c r="AA570" s="116"/>
      <c r="AB570" s="116"/>
      <c r="AC570" s="116"/>
      <c r="AD570" s="116"/>
      <c r="AE570" s="116"/>
      <c r="AF570" s="116"/>
      <c r="AG570" s="116"/>
      <c r="AH570" s="116"/>
      <c r="AI570" s="116"/>
      <c r="AJ570" s="116"/>
      <c r="AK570" s="116"/>
      <c r="AL570" s="116"/>
      <c r="AM570" s="116"/>
      <c r="AN570" s="116"/>
      <c r="AO570" s="116"/>
      <c r="AP570" s="116"/>
      <c r="AQ570" s="116"/>
      <c r="AR570" s="116"/>
      <c r="AS570" s="116"/>
      <c r="AT570" s="116"/>
      <c r="AU570" s="116"/>
      <c r="AV570" s="116"/>
      <c r="AW570" s="116"/>
      <c r="AX570" s="116"/>
      <c r="AY570" s="116"/>
      <c r="AZ570" s="116"/>
      <c r="BA570" s="116"/>
      <c r="BB570" s="116"/>
    </row>
    <row r="571" spans="4:54" hidden="1">
      <c r="D571" s="116"/>
      <c r="E571" s="116"/>
      <c r="F571" s="116"/>
      <c r="G571" s="116"/>
      <c r="H571" s="116"/>
      <c r="I571" s="116"/>
      <c r="J571" s="116"/>
      <c r="K571" s="116"/>
      <c r="L571" s="116"/>
      <c r="M571" s="116"/>
      <c r="N571" s="116"/>
      <c r="O571" s="116"/>
      <c r="P571" s="116"/>
      <c r="Q571" s="116"/>
      <c r="R571" s="116"/>
      <c r="S571" s="116"/>
      <c r="T571" s="116"/>
      <c r="U571" s="116"/>
      <c r="V571" s="116"/>
      <c r="W571" s="116"/>
      <c r="X571" s="116"/>
      <c r="Y571" s="116"/>
      <c r="Z571" s="116"/>
      <c r="AA571" s="116"/>
      <c r="AB571" s="116"/>
      <c r="AC571" s="116"/>
      <c r="AD571" s="116"/>
      <c r="AE571" s="116"/>
      <c r="AF571" s="116"/>
      <c r="AG571" s="116"/>
      <c r="AH571" s="116"/>
      <c r="AI571" s="116"/>
      <c r="AJ571" s="116"/>
      <c r="AK571" s="116"/>
      <c r="AL571" s="116"/>
      <c r="AM571" s="116"/>
      <c r="AN571" s="116"/>
      <c r="AO571" s="116"/>
      <c r="AP571" s="116"/>
      <c r="AQ571" s="116"/>
      <c r="AR571" s="116"/>
      <c r="AS571" s="116"/>
      <c r="AT571" s="116"/>
      <c r="AU571" s="116"/>
      <c r="AV571" s="116"/>
      <c r="AW571" s="116"/>
      <c r="AX571" s="116"/>
      <c r="AY571" s="116"/>
      <c r="AZ571" s="116"/>
      <c r="BA571" s="116"/>
      <c r="BB571" s="116"/>
    </row>
    <row r="572" spans="4:54" hidden="1">
      <c r="D572" s="116"/>
      <c r="E572" s="116"/>
      <c r="F572" s="116"/>
      <c r="G572" s="116"/>
      <c r="H572" s="116"/>
      <c r="I572" s="116"/>
      <c r="J572" s="116"/>
      <c r="K572" s="116"/>
      <c r="L572" s="116"/>
      <c r="M572" s="116"/>
      <c r="N572" s="116"/>
      <c r="O572" s="116"/>
      <c r="P572" s="116"/>
      <c r="Q572" s="116"/>
      <c r="R572" s="116"/>
      <c r="S572" s="116"/>
      <c r="T572" s="116"/>
      <c r="U572" s="116"/>
      <c r="V572" s="116"/>
      <c r="W572" s="116"/>
      <c r="X572" s="116"/>
      <c r="Y572" s="116"/>
      <c r="Z572" s="116"/>
      <c r="AA572" s="116"/>
      <c r="AB572" s="116"/>
      <c r="AC572" s="116"/>
      <c r="AD572" s="116"/>
      <c r="AE572" s="116"/>
      <c r="AF572" s="116"/>
      <c r="AG572" s="116"/>
      <c r="AH572" s="116"/>
      <c r="AI572" s="116"/>
      <c r="AJ572" s="116"/>
      <c r="AK572" s="116"/>
      <c r="AL572" s="116"/>
      <c r="AM572" s="116"/>
      <c r="AN572" s="116"/>
      <c r="AO572" s="116"/>
      <c r="AP572" s="116"/>
      <c r="AQ572" s="116"/>
      <c r="AR572" s="116"/>
      <c r="AS572" s="116"/>
      <c r="AT572" s="116"/>
      <c r="AU572" s="116"/>
      <c r="AV572" s="116"/>
      <c r="AW572" s="116"/>
      <c r="AX572" s="116"/>
      <c r="AY572" s="116"/>
      <c r="AZ572" s="116"/>
      <c r="BA572" s="116"/>
      <c r="BB572" s="116"/>
    </row>
    <row r="573" spans="4:54" hidden="1">
      <c r="D573" s="116"/>
      <c r="E573" s="116"/>
      <c r="F573" s="116"/>
      <c r="G573" s="116"/>
      <c r="H573" s="116"/>
      <c r="I573" s="116"/>
      <c r="J573" s="116"/>
      <c r="K573" s="116"/>
      <c r="L573" s="116"/>
      <c r="M573" s="116"/>
      <c r="N573" s="116"/>
      <c r="O573" s="116"/>
      <c r="P573" s="116"/>
      <c r="Q573" s="116"/>
      <c r="R573" s="116"/>
      <c r="S573" s="116"/>
      <c r="T573" s="116"/>
      <c r="U573" s="116"/>
      <c r="V573" s="116"/>
      <c r="W573" s="116"/>
      <c r="X573" s="116"/>
      <c r="Y573" s="116"/>
      <c r="Z573" s="116"/>
      <c r="AA573" s="116"/>
      <c r="AB573" s="116"/>
      <c r="AC573" s="116"/>
      <c r="AD573" s="116"/>
      <c r="AE573" s="116"/>
      <c r="AF573" s="116"/>
      <c r="AG573" s="116"/>
      <c r="AH573" s="116"/>
      <c r="AI573" s="116"/>
      <c r="AJ573" s="116"/>
      <c r="AK573" s="116"/>
      <c r="AL573" s="116"/>
      <c r="AM573" s="116"/>
      <c r="AN573" s="116"/>
      <c r="AO573" s="116"/>
      <c r="AP573" s="116"/>
      <c r="AQ573" s="116"/>
      <c r="AR573" s="116"/>
      <c r="AS573" s="116"/>
      <c r="AT573" s="116"/>
      <c r="AU573" s="116"/>
      <c r="AV573" s="116"/>
      <c r="AW573" s="116"/>
      <c r="AX573" s="116"/>
      <c r="AY573" s="116"/>
      <c r="AZ573" s="116"/>
      <c r="BA573" s="116"/>
      <c r="BB573" s="116"/>
    </row>
    <row r="574" spans="4:54" hidden="1">
      <c r="D574" s="116"/>
      <c r="E574" s="116"/>
      <c r="F574" s="116"/>
      <c r="G574" s="116"/>
      <c r="H574" s="116"/>
      <c r="I574" s="116"/>
      <c r="J574" s="116"/>
      <c r="K574" s="116"/>
      <c r="L574" s="116"/>
      <c r="M574" s="116"/>
      <c r="N574" s="116"/>
      <c r="O574" s="116"/>
      <c r="P574" s="116"/>
      <c r="Q574" s="116"/>
      <c r="R574" s="116"/>
      <c r="S574" s="116"/>
      <c r="T574" s="116"/>
      <c r="U574" s="116"/>
      <c r="V574" s="116"/>
      <c r="W574" s="116"/>
      <c r="X574" s="116"/>
      <c r="Y574" s="116"/>
      <c r="Z574" s="116"/>
      <c r="AA574" s="116"/>
      <c r="AB574" s="116"/>
      <c r="AC574" s="116"/>
      <c r="AD574" s="116"/>
      <c r="AE574" s="116"/>
      <c r="AF574" s="116"/>
      <c r="AG574" s="116"/>
      <c r="AH574" s="116"/>
      <c r="AI574" s="116"/>
      <c r="AJ574" s="116"/>
      <c r="AK574" s="116"/>
      <c r="AL574" s="116"/>
      <c r="AM574" s="116"/>
      <c r="AN574" s="116"/>
      <c r="AO574" s="116"/>
      <c r="AP574" s="116"/>
      <c r="AQ574" s="116"/>
      <c r="AR574" s="116"/>
      <c r="AS574" s="116"/>
      <c r="AT574" s="116"/>
      <c r="AU574" s="116"/>
      <c r="AV574" s="116"/>
      <c r="AW574" s="116"/>
      <c r="AX574" s="116"/>
      <c r="AY574" s="116"/>
      <c r="AZ574" s="116"/>
      <c r="BA574" s="116"/>
      <c r="BB574" s="116"/>
    </row>
    <row r="575" spans="4:54" hidden="1">
      <c r="D575" s="116"/>
      <c r="E575" s="116"/>
      <c r="F575" s="116"/>
      <c r="G575" s="116"/>
      <c r="H575" s="116"/>
      <c r="I575" s="116"/>
      <c r="J575" s="116"/>
      <c r="K575" s="116"/>
      <c r="L575" s="116"/>
      <c r="M575" s="116"/>
      <c r="N575" s="116"/>
      <c r="O575" s="116"/>
      <c r="P575" s="116"/>
      <c r="Q575" s="116"/>
      <c r="R575" s="116"/>
      <c r="S575" s="116"/>
      <c r="T575" s="116"/>
      <c r="U575" s="116"/>
      <c r="V575" s="116"/>
      <c r="W575" s="116"/>
      <c r="X575" s="116"/>
      <c r="Y575" s="116"/>
      <c r="Z575" s="116"/>
      <c r="AA575" s="116"/>
      <c r="AB575" s="116"/>
      <c r="AC575" s="116"/>
      <c r="AD575" s="116"/>
      <c r="AE575" s="116"/>
      <c r="AF575" s="116"/>
      <c r="AG575" s="116"/>
      <c r="AH575" s="116"/>
      <c r="AI575" s="116"/>
      <c r="AJ575" s="116"/>
      <c r="AK575" s="116"/>
      <c r="AL575" s="116"/>
      <c r="AM575" s="116"/>
      <c r="AN575" s="116"/>
      <c r="AO575" s="116"/>
      <c r="AP575" s="116"/>
      <c r="AQ575" s="116"/>
      <c r="AR575" s="116"/>
      <c r="AS575" s="116"/>
      <c r="AT575" s="116"/>
      <c r="AU575" s="116"/>
      <c r="AV575" s="116"/>
      <c r="AW575" s="116"/>
      <c r="AX575" s="116"/>
      <c r="AY575" s="116"/>
      <c r="AZ575" s="116"/>
      <c r="BA575" s="116"/>
      <c r="BB575" s="116"/>
    </row>
    <row r="576" spans="4:54" hidden="1">
      <c r="D576" s="116"/>
      <c r="E576" s="116"/>
      <c r="F576" s="116"/>
      <c r="G576" s="116"/>
      <c r="H576" s="116"/>
      <c r="I576" s="116"/>
      <c r="J576" s="116"/>
      <c r="K576" s="116"/>
      <c r="L576" s="116"/>
      <c r="M576" s="116"/>
      <c r="N576" s="116"/>
      <c r="O576" s="116"/>
      <c r="P576" s="116"/>
      <c r="Q576" s="116"/>
      <c r="R576" s="116"/>
      <c r="S576" s="116"/>
      <c r="T576" s="116"/>
      <c r="U576" s="116"/>
      <c r="V576" s="116"/>
      <c r="W576" s="116"/>
      <c r="X576" s="116"/>
      <c r="Y576" s="116"/>
      <c r="Z576" s="116"/>
      <c r="AA576" s="116"/>
      <c r="AB576" s="116"/>
      <c r="AC576" s="116"/>
      <c r="AD576" s="116"/>
      <c r="AE576" s="116"/>
      <c r="AF576" s="116"/>
      <c r="AG576" s="116"/>
      <c r="AH576" s="116"/>
      <c r="AI576" s="116"/>
      <c r="AJ576" s="116"/>
      <c r="AK576" s="116"/>
      <c r="AL576" s="116"/>
      <c r="AM576" s="116"/>
      <c r="AN576" s="116"/>
      <c r="AO576" s="116"/>
      <c r="AP576" s="116"/>
      <c r="AQ576" s="116"/>
      <c r="AR576" s="116"/>
      <c r="AS576" s="116"/>
      <c r="AT576" s="116"/>
      <c r="AU576" s="116"/>
      <c r="AV576" s="116"/>
      <c r="AW576" s="116"/>
      <c r="AX576" s="116"/>
      <c r="AY576" s="116"/>
      <c r="AZ576" s="116"/>
      <c r="BA576" s="116"/>
      <c r="BB576" s="116"/>
    </row>
    <row r="577" spans="4:54" hidden="1">
      <c r="D577" s="116"/>
      <c r="E577" s="116"/>
      <c r="F577" s="116"/>
      <c r="G577" s="116"/>
      <c r="H577" s="116"/>
      <c r="I577" s="116"/>
      <c r="J577" s="116"/>
      <c r="K577" s="116"/>
      <c r="L577" s="116"/>
      <c r="M577" s="116"/>
      <c r="N577" s="116"/>
      <c r="O577" s="116"/>
      <c r="P577" s="116"/>
      <c r="Q577" s="116"/>
      <c r="R577" s="116"/>
      <c r="S577" s="116"/>
      <c r="T577" s="116"/>
      <c r="U577" s="116"/>
      <c r="V577" s="116"/>
      <c r="W577" s="116"/>
      <c r="X577" s="116"/>
      <c r="Y577" s="116"/>
      <c r="Z577" s="116"/>
      <c r="AA577" s="116"/>
      <c r="AB577" s="116"/>
      <c r="AC577" s="116"/>
      <c r="AD577" s="116"/>
      <c r="AE577" s="116"/>
      <c r="AF577" s="116"/>
      <c r="AG577" s="116"/>
      <c r="AH577" s="116"/>
      <c r="AI577" s="116"/>
      <c r="AJ577" s="116"/>
      <c r="AK577" s="116"/>
      <c r="AL577" s="116"/>
      <c r="AM577" s="116"/>
      <c r="AN577" s="116"/>
      <c r="AO577" s="116"/>
      <c r="AP577" s="116"/>
      <c r="AQ577" s="116"/>
      <c r="AR577" s="116"/>
      <c r="AS577" s="116"/>
      <c r="AT577" s="116"/>
      <c r="AU577" s="116"/>
      <c r="AV577" s="116"/>
      <c r="AW577" s="116"/>
      <c r="AX577" s="116"/>
      <c r="AY577" s="116"/>
      <c r="AZ577" s="116"/>
      <c r="BA577" s="116"/>
      <c r="BB577" s="116"/>
    </row>
    <row r="578" spans="4:54" hidden="1">
      <c r="D578" s="116"/>
      <c r="E578" s="116"/>
      <c r="F578" s="116"/>
      <c r="G578" s="116"/>
      <c r="H578" s="116"/>
      <c r="I578" s="116"/>
      <c r="J578" s="116"/>
      <c r="K578" s="116"/>
      <c r="L578" s="116"/>
      <c r="M578" s="116"/>
      <c r="N578" s="116"/>
      <c r="O578" s="116"/>
      <c r="P578" s="116"/>
      <c r="Q578" s="116"/>
      <c r="R578" s="116"/>
      <c r="S578" s="116"/>
      <c r="T578" s="116"/>
      <c r="U578" s="116"/>
      <c r="V578" s="116"/>
      <c r="W578" s="116"/>
      <c r="X578" s="116"/>
      <c r="Y578" s="116"/>
      <c r="Z578" s="116"/>
      <c r="AA578" s="116"/>
      <c r="AB578" s="116"/>
      <c r="AC578" s="116"/>
      <c r="AD578" s="116"/>
      <c r="AE578" s="116"/>
      <c r="AF578" s="116"/>
      <c r="AG578" s="116"/>
      <c r="AH578" s="116"/>
      <c r="AI578" s="116"/>
      <c r="AJ578" s="116"/>
      <c r="AK578" s="116"/>
      <c r="AL578" s="116"/>
      <c r="AM578" s="116"/>
      <c r="AN578" s="116"/>
      <c r="AO578" s="116"/>
      <c r="AP578" s="116"/>
      <c r="AQ578" s="116"/>
      <c r="AR578" s="116"/>
      <c r="AS578" s="116"/>
      <c r="AT578" s="116"/>
      <c r="AU578" s="116"/>
      <c r="AV578" s="116"/>
      <c r="AW578" s="116"/>
      <c r="AX578" s="116"/>
      <c r="AY578" s="116"/>
      <c r="AZ578" s="116"/>
      <c r="BA578" s="116"/>
      <c r="BB578" s="116"/>
    </row>
    <row r="579" spans="4:54" hidden="1">
      <c r="D579" s="116"/>
      <c r="E579" s="116"/>
      <c r="F579" s="116"/>
      <c r="G579" s="116"/>
      <c r="H579" s="116"/>
      <c r="I579" s="116"/>
      <c r="J579" s="116"/>
      <c r="K579" s="116"/>
      <c r="L579" s="116"/>
      <c r="M579" s="116"/>
      <c r="N579" s="116"/>
      <c r="O579" s="116"/>
      <c r="P579" s="116"/>
      <c r="Q579" s="116"/>
      <c r="R579" s="116"/>
      <c r="S579" s="116"/>
      <c r="T579" s="116"/>
      <c r="U579" s="116"/>
      <c r="V579" s="116"/>
      <c r="W579" s="116"/>
      <c r="X579" s="116"/>
      <c r="Y579" s="116"/>
      <c r="Z579" s="116"/>
      <c r="AA579" s="116"/>
      <c r="AB579" s="116"/>
      <c r="AC579" s="116"/>
      <c r="AD579" s="116"/>
      <c r="AE579" s="116"/>
      <c r="AF579" s="116"/>
      <c r="AG579" s="116"/>
      <c r="AH579" s="116"/>
      <c r="AI579" s="116"/>
      <c r="AJ579" s="116"/>
      <c r="AK579" s="116"/>
      <c r="AL579" s="116"/>
      <c r="AM579" s="116"/>
      <c r="AN579" s="116"/>
      <c r="AO579" s="116"/>
      <c r="AP579" s="116"/>
      <c r="AQ579" s="116"/>
      <c r="AR579" s="116"/>
      <c r="AS579" s="116"/>
      <c r="AT579" s="116"/>
      <c r="AU579" s="116"/>
      <c r="AV579" s="116"/>
      <c r="AW579" s="116"/>
      <c r="AX579" s="116"/>
      <c r="AY579" s="116"/>
      <c r="AZ579" s="116"/>
      <c r="BA579" s="116"/>
      <c r="BB579" s="116"/>
    </row>
    <row r="580" spans="4:54" hidden="1">
      <c r="D580" s="116"/>
      <c r="E580" s="116"/>
      <c r="F580" s="116"/>
      <c r="G580" s="116"/>
      <c r="H580" s="116"/>
      <c r="I580" s="116"/>
      <c r="J580" s="116"/>
      <c r="K580" s="116"/>
      <c r="L580" s="116"/>
      <c r="M580" s="116"/>
      <c r="N580" s="116"/>
      <c r="O580" s="116"/>
      <c r="P580" s="116"/>
      <c r="Q580" s="116"/>
      <c r="R580" s="116"/>
      <c r="S580" s="116"/>
      <c r="T580" s="116"/>
      <c r="U580" s="116"/>
      <c r="V580" s="116"/>
      <c r="W580" s="116"/>
      <c r="X580" s="116"/>
      <c r="Y580" s="116"/>
      <c r="Z580" s="116"/>
      <c r="AA580" s="116"/>
      <c r="AB580" s="116"/>
      <c r="AC580" s="116"/>
      <c r="AD580" s="116"/>
      <c r="AE580" s="116"/>
      <c r="AF580" s="116"/>
      <c r="AG580" s="116"/>
      <c r="AH580" s="116"/>
      <c r="AI580" s="116"/>
      <c r="AJ580" s="116"/>
      <c r="AK580" s="116"/>
      <c r="AL580" s="116"/>
      <c r="AM580" s="116"/>
      <c r="AN580" s="116"/>
      <c r="AO580" s="116"/>
      <c r="AP580" s="116"/>
      <c r="AQ580" s="116"/>
      <c r="AR580" s="116"/>
      <c r="AS580" s="116"/>
      <c r="AT580" s="116"/>
      <c r="AU580" s="116"/>
      <c r="AV580" s="116"/>
      <c r="AW580" s="116"/>
      <c r="AX580" s="116"/>
      <c r="AY580" s="116"/>
      <c r="AZ580" s="116"/>
      <c r="BA580" s="116"/>
      <c r="BB580" s="116"/>
    </row>
    <row r="581" spans="4:54" hidden="1">
      <c r="D581" s="116"/>
      <c r="E581" s="116"/>
      <c r="F581" s="116"/>
      <c r="G581" s="116"/>
      <c r="H581" s="116"/>
      <c r="I581" s="116"/>
      <c r="J581" s="116"/>
      <c r="K581" s="116"/>
      <c r="L581" s="116"/>
      <c r="M581" s="116"/>
      <c r="N581" s="116"/>
      <c r="O581" s="116"/>
      <c r="P581" s="116"/>
      <c r="Q581" s="116"/>
      <c r="R581" s="116"/>
      <c r="S581" s="116"/>
      <c r="T581" s="116"/>
      <c r="U581" s="116"/>
      <c r="V581" s="116"/>
      <c r="W581" s="116"/>
      <c r="X581" s="116"/>
      <c r="Y581" s="116"/>
      <c r="Z581" s="116"/>
      <c r="AA581" s="116"/>
      <c r="AB581" s="116"/>
      <c r="AC581" s="116"/>
      <c r="AD581" s="116"/>
      <c r="AE581" s="116"/>
      <c r="AF581" s="116"/>
      <c r="AG581" s="116"/>
      <c r="AH581" s="116"/>
      <c r="AI581" s="116"/>
      <c r="AJ581" s="116"/>
      <c r="AK581" s="116"/>
      <c r="AL581" s="116"/>
      <c r="AM581" s="116"/>
      <c r="AN581" s="116"/>
      <c r="AO581" s="116"/>
      <c r="AP581" s="116"/>
      <c r="AQ581" s="116"/>
      <c r="AR581" s="116"/>
      <c r="AS581" s="116"/>
      <c r="AT581" s="116"/>
      <c r="AU581" s="116"/>
      <c r="AV581" s="116"/>
      <c r="AW581" s="116"/>
      <c r="AX581" s="116"/>
      <c r="AY581" s="116"/>
      <c r="AZ581" s="116"/>
      <c r="BA581" s="116"/>
      <c r="BB581" s="116"/>
    </row>
    <row r="582" spans="4:54" hidden="1">
      <c r="D582" s="116"/>
      <c r="E582" s="116"/>
      <c r="F582" s="116"/>
      <c r="G582" s="116"/>
      <c r="H582" s="116"/>
      <c r="I582" s="116"/>
      <c r="J582" s="116"/>
      <c r="K582" s="116"/>
      <c r="L582" s="116"/>
      <c r="M582" s="116"/>
      <c r="N582" s="116"/>
      <c r="O582" s="116"/>
      <c r="P582" s="116"/>
      <c r="Q582" s="116"/>
      <c r="R582" s="116"/>
      <c r="S582" s="116"/>
      <c r="T582" s="116"/>
      <c r="U582" s="116"/>
      <c r="V582" s="116"/>
      <c r="W582" s="116"/>
      <c r="X582" s="116"/>
      <c r="Y582" s="116"/>
      <c r="Z582" s="116"/>
      <c r="AA582" s="116"/>
      <c r="AB582" s="116"/>
      <c r="AC582" s="116"/>
      <c r="AD582" s="116"/>
      <c r="AE582" s="116"/>
      <c r="AF582" s="116"/>
      <c r="AG582" s="116"/>
      <c r="AH582" s="116"/>
      <c r="AI582" s="116"/>
      <c r="AJ582" s="116"/>
      <c r="AK582" s="116"/>
      <c r="AL582" s="116"/>
      <c r="AM582" s="116"/>
      <c r="AN582" s="116"/>
      <c r="AO582" s="116"/>
      <c r="AP582" s="116"/>
      <c r="AQ582" s="116"/>
      <c r="AR582" s="116"/>
      <c r="AS582" s="116"/>
      <c r="AT582" s="116"/>
      <c r="AU582" s="116"/>
      <c r="AV582" s="116"/>
      <c r="AW582" s="116"/>
      <c r="AX582" s="116"/>
      <c r="AY582" s="116"/>
      <c r="AZ582" s="116"/>
      <c r="BA582" s="116"/>
      <c r="BB582" s="116"/>
    </row>
    <row r="583" spans="4:54" hidden="1">
      <c r="D583" s="116"/>
      <c r="E583" s="116"/>
      <c r="F583" s="116"/>
      <c r="G583" s="116"/>
      <c r="H583" s="116"/>
      <c r="I583" s="116"/>
      <c r="J583" s="116"/>
      <c r="K583" s="116"/>
      <c r="L583" s="116"/>
      <c r="M583" s="116"/>
      <c r="N583" s="116"/>
      <c r="O583" s="116"/>
      <c r="P583" s="116"/>
      <c r="Q583" s="116"/>
      <c r="R583" s="116"/>
      <c r="S583" s="116"/>
      <c r="T583" s="116"/>
      <c r="U583" s="116"/>
      <c r="V583" s="116"/>
      <c r="W583" s="116"/>
      <c r="X583" s="116"/>
      <c r="Y583" s="116"/>
      <c r="Z583" s="116"/>
      <c r="AA583" s="116"/>
      <c r="AB583" s="116"/>
      <c r="AC583" s="116"/>
      <c r="AD583" s="116"/>
      <c r="AE583" s="116"/>
      <c r="AF583" s="116"/>
      <c r="AG583" s="116"/>
      <c r="AH583" s="116"/>
      <c r="AI583" s="116"/>
      <c r="AJ583" s="116"/>
      <c r="AK583" s="116"/>
      <c r="AL583" s="116"/>
      <c r="AM583" s="116"/>
      <c r="AN583" s="116"/>
      <c r="AO583" s="116"/>
      <c r="AP583" s="116"/>
      <c r="AQ583" s="116"/>
      <c r="AR583" s="116"/>
      <c r="AS583" s="116"/>
      <c r="AT583" s="116"/>
      <c r="AU583" s="116"/>
      <c r="AV583" s="116"/>
      <c r="AW583" s="116"/>
      <c r="AX583" s="116"/>
      <c r="AY583" s="116"/>
      <c r="AZ583" s="116"/>
      <c r="BA583" s="116"/>
      <c r="BB583" s="116"/>
    </row>
    <row r="584" spans="4:54" hidden="1">
      <c r="D584" s="116"/>
      <c r="E584" s="116"/>
      <c r="F584" s="116"/>
      <c r="G584" s="116"/>
      <c r="H584" s="116"/>
      <c r="I584" s="116"/>
      <c r="J584" s="116"/>
      <c r="K584" s="116"/>
      <c r="L584" s="116"/>
      <c r="M584" s="116"/>
      <c r="N584" s="116"/>
      <c r="O584" s="116"/>
      <c r="P584" s="116"/>
      <c r="Q584" s="116"/>
      <c r="R584" s="116"/>
      <c r="S584" s="116"/>
      <c r="T584" s="116"/>
      <c r="U584" s="116"/>
      <c r="V584" s="116"/>
      <c r="W584" s="116"/>
      <c r="X584" s="116"/>
      <c r="Y584" s="116"/>
      <c r="Z584" s="116"/>
      <c r="AA584" s="116"/>
      <c r="AB584" s="116"/>
      <c r="AC584" s="116"/>
      <c r="AD584" s="116"/>
      <c r="AE584" s="116"/>
      <c r="AF584" s="116"/>
      <c r="AG584" s="116"/>
      <c r="AH584" s="116"/>
      <c r="AI584" s="116"/>
      <c r="AJ584" s="116"/>
      <c r="AK584" s="116"/>
      <c r="AL584" s="116"/>
      <c r="AM584" s="116"/>
      <c r="AN584" s="116"/>
      <c r="AO584" s="116"/>
      <c r="AP584" s="116"/>
      <c r="AQ584" s="116"/>
      <c r="AR584" s="116"/>
      <c r="AS584" s="116"/>
      <c r="AT584" s="116"/>
      <c r="AU584" s="116"/>
      <c r="AV584" s="116"/>
      <c r="AW584" s="116"/>
      <c r="AX584" s="116"/>
      <c r="AY584" s="116"/>
      <c r="AZ584" s="116"/>
      <c r="BA584" s="116"/>
      <c r="BB584" s="116"/>
    </row>
    <row r="585" spans="4:54" hidden="1">
      <c r="D585" s="116"/>
      <c r="E585" s="116"/>
      <c r="F585" s="116"/>
      <c r="G585" s="116"/>
      <c r="H585" s="116"/>
      <c r="I585" s="116"/>
      <c r="J585" s="116"/>
      <c r="K585" s="116"/>
      <c r="L585" s="116"/>
      <c r="M585" s="116"/>
      <c r="N585" s="116"/>
      <c r="O585" s="116"/>
      <c r="P585" s="116"/>
      <c r="Q585" s="116"/>
      <c r="R585" s="116"/>
      <c r="S585" s="116"/>
      <c r="T585" s="116"/>
      <c r="U585" s="116"/>
      <c r="V585" s="116"/>
      <c r="W585" s="116"/>
      <c r="X585" s="116"/>
      <c r="Y585" s="116"/>
      <c r="Z585" s="116"/>
      <c r="AA585" s="116"/>
      <c r="AB585" s="116"/>
      <c r="AC585" s="116"/>
      <c r="AD585" s="116"/>
      <c r="AE585" s="116"/>
      <c r="AF585" s="116"/>
      <c r="AG585" s="116"/>
      <c r="AH585" s="116"/>
      <c r="AI585" s="116"/>
      <c r="AJ585" s="116"/>
      <c r="AK585" s="116"/>
      <c r="AL585" s="116"/>
      <c r="AM585" s="116"/>
      <c r="AN585" s="116"/>
      <c r="AO585" s="116"/>
      <c r="AP585" s="116"/>
      <c r="AQ585" s="116"/>
      <c r="AR585" s="116"/>
      <c r="AS585" s="116"/>
      <c r="AT585" s="116"/>
      <c r="AU585" s="116"/>
      <c r="AV585" s="116"/>
      <c r="AW585" s="116"/>
      <c r="AX585" s="116"/>
      <c r="AY585" s="116"/>
      <c r="AZ585" s="116"/>
      <c r="BA585" s="116"/>
      <c r="BB585" s="116"/>
    </row>
    <row r="586" spans="4:54" hidden="1">
      <c r="D586" s="116"/>
      <c r="E586" s="116"/>
      <c r="F586" s="116"/>
      <c r="G586" s="116"/>
      <c r="H586" s="116"/>
      <c r="I586" s="116"/>
      <c r="J586" s="116"/>
      <c r="K586" s="116"/>
      <c r="L586" s="116"/>
      <c r="M586" s="116"/>
      <c r="N586" s="116"/>
      <c r="O586" s="116"/>
      <c r="P586" s="116"/>
      <c r="Q586" s="116"/>
      <c r="R586" s="116"/>
      <c r="S586" s="116"/>
      <c r="T586" s="116"/>
      <c r="U586" s="116"/>
      <c r="V586" s="116"/>
      <c r="W586" s="116"/>
      <c r="X586" s="116"/>
      <c r="Y586" s="116"/>
      <c r="Z586" s="116"/>
      <c r="AA586" s="116"/>
      <c r="AB586" s="116"/>
      <c r="AC586" s="116"/>
      <c r="AD586" s="116"/>
      <c r="AE586" s="116"/>
      <c r="AF586" s="116"/>
      <c r="AG586" s="116"/>
      <c r="AH586" s="116"/>
      <c r="AI586" s="116"/>
      <c r="AJ586" s="116"/>
      <c r="AK586" s="116"/>
      <c r="AL586" s="116"/>
      <c r="AM586" s="116"/>
      <c r="AN586" s="116"/>
      <c r="AO586" s="116"/>
      <c r="AP586" s="116"/>
      <c r="AQ586" s="116"/>
      <c r="AR586" s="116"/>
      <c r="AS586" s="116"/>
      <c r="AT586" s="116"/>
      <c r="AU586" s="116"/>
      <c r="AV586" s="116"/>
      <c r="AW586" s="116"/>
      <c r="AX586" s="116"/>
      <c r="AY586" s="116"/>
      <c r="AZ586" s="116"/>
      <c r="BA586" s="116"/>
      <c r="BB586" s="116"/>
    </row>
    <row r="587" spans="4:54" hidden="1">
      <c r="D587" s="116"/>
      <c r="E587" s="116"/>
      <c r="F587" s="116"/>
      <c r="G587" s="116"/>
      <c r="H587" s="116"/>
      <c r="I587" s="116"/>
      <c r="J587" s="116"/>
      <c r="K587" s="116"/>
      <c r="L587" s="116"/>
      <c r="M587" s="116"/>
      <c r="N587" s="116"/>
      <c r="O587" s="116"/>
      <c r="P587" s="116"/>
      <c r="Q587" s="116"/>
      <c r="R587" s="116"/>
      <c r="S587" s="116"/>
      <c r="T587" s="116"/>
      <c r="U587" s="116"/>
      <c r="V587" s="116"/>
      <c r="W587" s="116"/>
      <c r="X587" s="116"/>
      <c r="Y587" s="116"/>
      <c r="Z587" s="116"/>
      <c r="AA587" s="116"/>
      <c r="AB587" s="116"/>
      <c r="AC587" s="116"/>
      <c r="AD587" s="116"/>
      <c r="AE587" s="116"/>
      <c r="AF587" s="116"/>
      <c r="AG587" s="116"/>
      <c r="AH587" s="116"/>
      <c r="AI587" s="116"/>
      <c r="AJ587" s="116"/>
      <c r="AK587" s="116"/>
      <c r="AL587" s="116"/>
      <c r="AM587" s="116"/>
      <c r="AN587" s="116"/>
      <c r="AO587" s="116"/>
      <c r="AP587" s="116"/>
      <c r="AQ587" s="116"/>
      <c r="AR587" s="116"/>
      <c r="AS587" s="116"/>
      <c r="AT587" s="116"/>
      <c r="AU587" s="116"/>
      <c r="AV587" s="116"/>
      <c r="AW587" s="116"/>
      <c r="AX587" s="116"/>
      <c r="AY587" s="116"/>
      <c r="AZ587" s="116"/>
      <c r="BA587" s="116"/>
      <c r="BB587" s="116"/>
    </row>
    <row r="588" spans="4:54" hidden="1">
      <c r="D588" s="116"/>
      <c r="E588" s="116"/>
      <c r="F588" s="116"/>
      <c r="G588" s="116"/>
      <c r="H588" s="116"/>
      <c r="I588" s="116"/>
      <c r="J588" s="116"/>
      <c r="K588" s="116"/>
      <c r="L588" s="116"/>
      <c r="M588" s="116"/>
      <c r="N588" s="116"/>
      <c r="O588" s="116"/>
      <c r="P588" s="116"/>
      <c r="Q588" s="116"/>
      <c r="R588" s="116"/>
      <c r="S588" s="116"/>
      <c r="T588" s="116"/>
      <c r="U588" s="116"/>
      <c r="V588" s="116"/>
      <c r="W588" s="116"/>
      <c r="X588" s="116"/>
      <c r="Y588" s="116"/>
      <c r="Z588" s="116"/>
      <c r="AA588" s="116"/>
      <c r="AB588" s="116"/>
      <c r="AC588" s="116"/>
      <c r="AD588" s="116"/>
      <c r="AE588" s="116"/>
      <c r="AF588" s="116"/>
      <c r="AG588" s="116"/>
      <c r="AH588" s="116"/>
      <c r="AI588" s="116"/>
      <c r="AJ588" s="116"/>
      <c r="AK588" s="116"/>
      <c r="AL588" s="116"/>
      <c r="AM588" s="116"/>
      <c r="AN588" s="116"/>
      <c r="AO588" s="116"/>
      <c r="AP588" s="116"/>
      <c r="AQ588" s="116"/>
      <c r="AR588" s="116"/>
      <c r="AS588" s="116"/>
      <c r="AT588" s="116"/>
      <c r="AU588" s="116"/>
      <c r="AV588" s="116"/>
      <c r="AW588" s="116"/>
      <c r="AX588" s="116"/>
      <c r="AY588" s="116"/>
      <c r="AZ588" s="116"/>
      <c r="BA588" s="116"/>
      <c r="BB588" s="116"/>
    </row>
    <row r="589" spans="4:54" hidden="1">
      <c r="D589" s="116"/>
      <c r="E589" s="116"/>
      <c r="F589" s="116"/>
      <c r="G589" s="116"/>
      <c r="H589" s="116"/>
      <c r="I589" s="116"/>
      <c r="J589" s="116"/>
      <c r="K589" s="116"/>
      <c r="L589" s="116"/>
      <c r="M589" s="116"/>
      <c r="N589" s="116"/>
      <c r="O589" s="116"/>
      <c r="P589" s="116"/>
      <c r="Q589" s="116"/>
      <c r="R589" s="116"/>
      <c r="S589" s="116"/>
      <c r="T589" s="116"/>
      <c r="U589" s="116"/>
      <c r="V589" s="116"/>
      <c r="W589" s="116"/>
      <c r="X589" s="116"/>
      <c r="Y589" s="116"/>
      <c r="Z589" s="116"/>
      <c r="AA589" s="116"/>
      <c r="AB589" s="116"/>
      <c r="AC589" s="116"/>
      <c r="AD589" s="116"/>
      <c r="AE589" s="116"/>
      <c r="AF589" s="116"/>
      <c r="AG589" s="116"/>
      <c r="AH589" s="116"/>
      <c r="AI589" s="116"/>
      <c r="AJ589" s="116"/>
      <c r="AK589" s="116"/>
      <c r="AL589" s="116"/>
      <c r="AM589" s="116"/>
      <c r="AN589" s="116"/>
      <c r="AO589" s="116"/>
      <c r="AP589" s="116"/>
      <c r="AQ589" s="116"/>
      <c r="AR589" s="116"/>
      <c r="AS589" s="116"/>
      <c r="AT589" s="116"/>
      <c r="AU589" s="116"/>
      <c r="AV589" s="116"/>
      <c r="AW589" s="116"/>
      <c r="AX589" s="116"/>
      <c r="AY589" s="116"/>
      <c r="AZ589" s="116"/>
      <c r="BA589" s="116"/>
      <c r="BB589" s="116"/>
    </row>
    <row r="590" spans="4:54" hidden="1">
      <c r="D590" s="116"/>
      <c r="E590" s="116"/>
      <c r="F590" s="116"/>
      <c r="G590" s="116"/>
      <c r="H590" s="116"/>
      <c r="I590" s="116"/>
      <c r="J590" s="116"/>
      <c r="K590" s="116"/>
      <c r="L590" s="116"/>
      <c r="M590" s="116"/>
      <c r="N590" s="116"/>
      <c r="O590" s="116"/>
      <c r="P590" s="116"/>
      <c r="Q590" s="116"/>
      <c r="R590" s="116"/>
      <c r="S590" s="116"/>
      <c r="T590" s="116"/>
      <c r="U590" s="116"/>
      <c r="V590" s="116"/>
      <c r="W590" s="116"/>
      <c r="X590" s="116"/>
      <c r="Y590" s="116"/>
      <c r="Z590" s="116"/>
      <c r="AA590" s="116"/>
      <c r="AB590" s="116"/>
      <c r="AC590" s="116"/>
      <c r="AD590" s="116"/>
      <c r="AE590" s="116"/>
      <c r="AF590" s="116"/>
      <c r="AG590" s="116"/>
      <c r="AH590" s="116"/>
      <c r="AI590" s="116"/>
      <c r="AJ590" s="116"/>
      <c r="AK590" s="116"/>
      <c r="AL590" s="116"/>
      <c r="AM590" s="116"/>
      <c r="AN590" s="116"/>
      <c r="AO590" s="116"/>
      <c r="AP590" s="116"/>
      <c r="AQ590" s="116"/>
      <c r="AR590" s="116"/>
      <c r="AS590" s="116"/>
      <c r="AT590" s="116"/>
      <c r="AU590" s="116"/>
      <c r="AV590" s="116"/>
      <c r="AW590" s="116"/>
      <c r="AX590" s="116"/>
      <c r="AY590" s="116"/>
      <c r="AZ590" s="116"/>
      <c r="BA590" s="116"/>
      <c r="BB590" s="116"/>
    </row>
    <row r="591" spans="4:54" hidden="1">
      <c r="D591" s="116"/>
      <c r="E591" s="116"/>
      <c r="F591" s="116"/>
      <c r="G591" s="116"/>
      <c r="H591" s="116"/>
      <c r="I591" s="116"/>
      <c r="J591" s="116"/>
      <c r="K591" s="116"/>
      <c r="L591" s="116"/>
      <c r="M591" s="116"/>
      <c r="N591" s="116"/>
      <c r="O591" s="116"/>
      <c r="P591" s="116"/>
      <c r="Q591" s="116"/>
      <c r="R591" s="116"/>
      <c r="S591" s="116"/>
      <c r="T591" s="116"/>
      <c r="U591" s="116"/>
      <c r="V591" s="116"/>
      <c r="W591" s="116"/>
      <c r="X591" s="116"/>
      <c r="Y591" s="116"/>
      <c r="Z591" s="116"/>
      <c r="AA591" s="116"/>
      <c r="AB591" s="116"/>
      <c r="AC591" s="116"/>
      <c r="AD591" s="116"/>
      <c r="AE591" s="116"/>
      <c r="AF591" s="116"/>
      <c r="AG591" s="116"/>
      <c r="AH591" s="116"/>
      <c r="AI591" s="116"/>
      <c r="AJ591" s="116"/>
      <c r="AK591" s="116"/>
      <c r="AL591" s="116"/>
      <c r="AM591" s="116"/>
      <c r="AN591" s="116"/>
      <c r="AO591" s="116"/>
      <c r="AP591" s="116"/>
      <c r="AQ591" s="116"/>
      <c r="AR591" s="116"/>
      <c r="AS591" s="116"/>
      <c r="AT591" s="116"/>
      <c r="AU591" s="116"/>
      <c r="AV591" s="116"/>
      <c r="AW591" s="116"/>
      <c r="AX591" s="116"/>
      <c r="AY591" s="116"/>
      <c r="AZ591" s="116"/>
      <c r="BA591" s="116"/>
      <c r="BB591" s="116"/>
    </row>
    <row r="592" spans="4:54" hidden="1">
      <c r="D592" s="116"/>
      <c r="E592" s="116"/>
      <c r="F592" s="116"/>
      <c r="G592" s="116"/>
      <c r="H592" s="116"/>
      <c r="I592" s="116"/>
      <c r="J592" s="116"/>
      <c r="K592" s="116"/>
      <c r="L592" s="116"/>
      <c r="M592" s="116"/>
      <c r="N592" s="116"/>
      <c r="O592" s="116"/>
      <c r="P592" s="116"/>
      <c r="Q592" s="116"/>
      <c r="R592" s="116"/>
      <c r="S592" s="116"/>
      <c r="T592" s="116"/>
      <c r="U592" s="116"/>
      <c r="V592" s="116"/>
      <c r="W592" s="116"/>
      <c r="X592" s="116"/>
      <c r="Y592" s="116"/>
      <c r="Z592" s="116"/>
      <c r="AA592" s="116"/>
      <c r="AB592" s="116"/>
      <c r="AC592" s="116"/>
      <c r="AD592" s="116"/>
      <c r="AE592" s="116"/>
      <c r="AF592" s="116"/>
      <c r="AG592" s="116"/>
      <c r="AH592" s="116"/>
      <c r="AI592" s="116"/>
      <c r="AJ592" s="116"/>
      <c r="AK592" s="116"/>
      <c r="AL592" s="116"/>
      <c r="AM592" s="116"/>
      <c r="AN592" s="116"/>
      <c r="AO592" s="116"/>
      <c r="AP592" s="116"/>
      <c r="AQ592" s="116"/>
      <c r="AR592" s="116"/>
      <c r="AS592" s="116"/>
      <c r="AT592" s="116"/>
      <c r="AU592" s="116"/>
      <c r="AV592" s="116"/>
      <c r="AW592" s="116"/>
      <c r="AX592" s="116"/>
      <c r="AY592" s="116"/>
      <c r="AZ592" s="116"/>
      <c r="BA592" s="116"/>
      <c r="BB592" s="116"/>
    </row>
    <row r="593" spans="4:54" hidden="1">
      <c r="D593" s="116"/>
      <c r="E593" s="116"/>
      <c r="F593" s="116"/>
      <c r="G593" s="116"/>
      <c r="H593" s="116"/>
      <c r="I593" s="116"/>
      <c r="J593" s="116"/>
      <c r="K593" s="116"/>
      <c r="L593" s="116"/>
      <c r="M593" s="116"/>
      <c r="N593" s="116"/>
      <c r="O593" s="116"/>
      <c r="P593" s="116"/>
      <c r="Q593" s="116"/>
      <c r="R593" s="116"/>
      <c r="S593" s="116"/>
      <c r="T593" s="116"/>
      <c r="U593" s="116"/>
      <c r="V593" s="116"/>
      <c r="W593" s="116"/>
      <c r="X593" s="116"/>
      <c r="Y593" s="116"/>
      <c r="Z593" s="116"/>
      <c r="AA593" s="116"/>
      <c r="AB593" s="116"/>
      <c r="AC593" s="116"/>
      <c r="AD593" s="116"/>
      <c r="AE593" s="116"/>
      <c r="AF593" s="116"/>
      <c r="AG593" s="116"/>
      <c r="AH593" s="116"/>
      <c r="AI593" s="116"/>
      <c r="AJ593" s="116"/>
      <c r="AK593" s="116"/>
      <c r="AL593" s="116"/>
      <c r="AM593" s="116"/>
      <c r="AN593" s="116"/>
      <c r="AO593" s="116"/>
      <c r="AP593" s="116"/>
      <c r="AQ593" s="116"/>
      <c r="AR593" s="116"/>
      <c r="AS593" s="116"/>
      <c r="AT593" s="116"/>
      <c r="AU593" s="116"/>
      <c r="AV593" s="116"/>
      <c r="AW593" s="116"/>
      <c r="AX593" s="116"/>
      <c r="AY593" s="116"/>
      <c r="AZ593" s="116"/>
      <c r="BA593" s="116"/>
      <c r="BB593" s="116"/>
    </row>
    <row r="594" spans="4:54" hidden="1">
      <c r="D594" s="116"/>
      <c r="E594" s="116"/>
      <c r="F594" s="116"/>
      <c r="G594" s="116"/>
      <c r="H594" s="116"/>
      <c r="I594" s="116"/>
      <c r="J594" s="116"/>
      <c r="K594" s="116"/>
      <c r="L594" s="116"/>
      <c r="M594" s="116"/>
      <c r="N594" s="116"/>
      <c r="O594" s="116"/>
      <c r="P594" s="116"/>
      <c r="Q594" s="116"/>
      <c r="R594" s="116"/>
      <c r="S594" s="116"/>
      <c r="T594" s="116"/>
      <c r="U594" s="116"/>
      <c r="V594" s="116"/>
      <c r="W594" s="116"/>
      <c r="X594" s="116"/>
      <c r="Y594" s="116"/>
      <c r="Z594" s="116"/>
      <c r="AA594" s="116"/>
      <c r="AB594" s="116"/>
      <c r="AC594" s="116"/>
      <c r="AD594" s="116"/>
      <c r="AE594" s="116"/>
      <c r="AF594" s="116"/>
      <c r="AG594" s="116"/>
      <c r="AH594" s="116"/>
      <c r="AI594" s="116"/>
      <c r="AJ594" s="116"/>
      <c r="AK594" s="116"/>
      <c r="AL594" s="116"/>
      <c r="AM594" s="116"/>
      <c r="AN594" s="116"/>
      <c r="AO594" s="116"/>
      <c r="AP594" s="116"/>
      <c r="AQ594" s="116"/>
      <c r="AR594" s="116"/>
      <c r="AS594" s="116"/>
      <c r="AT594" s="116"/>
      <c r="AU594" s="116"/>
      <c r="AV594" s="116"/>
      <c r="AW594" s="116"/>
      <c r="AX594" s="116"/>
      <c r="AY594" s="116"/>
      <c r="AZ594" s="116"/>
      <c r="BA594" s="116"/>
      <c r="BB594" s="116"/>
    </row>
    <row r="595" spans="4:54" hidden="1">
      <c r="D595" s="116"/>
      <c r="E595" s="116"/>
      <c r="F595" s="116"/>
      <c r="G595" s="116"/>
      <c r="H595" s="116"/>
      <c r="I595" s="116"/>
      <c r="J595" s="116"/>
      <c r="K595" s="116"/>
      <c r="L595" s="116"/>
      <c r="M595" s="116"/>
      <c r="N595" s="116"/>
      <c r="O595" s="116"/>
      <c r="P595" s="116"/>
      <c r="Q595" s="116"/>
      <c r="R595" s="116"/>
      <c r="S595" s="116"/>
      <c r="T595" s="116"/>
      <c r="U595" s="116"/>
      <c r="V595" s="116"/>
      <c r="W595" s="116"/>
      <c r="X595" s="116"/>
      <c r="Y595" s="116"/>
      <c r="Z595" s="116"/>
      <c r="AA595" s="116"/>
      <c r="AB595" s="116"/>
      <c r="AC595" s="116"/>
      <c r="AD595" s="116"/>
      <c r="AE595" s="116"/>
      <c r="AF595" s="116"/>
      <c r="AG595" s="116"/>
      <c r="AH595" s="116"/>
      <c r="AI595" s="116"/>
      <c r="AJ595" s="116"/>
      <c r="AK595" s="116"/>
      <c r="AL595" s="116"/>
      <c r="AM595" s="116"/>
      <c r="AN595" s="116"/>
      <c r="AO595" s="116"/>
      <c r="AP595" s="116"/>
      <c r="AQ595" s="116"/>
      <c r="AR595" s="116"/>
      <c r="AS595" s="116"/>
      <c r="AT595" s="116"/>
      <c r="AU595" s="116"/>
      <c r="AV595" s="116"/>
      <c r="AW595" s="116"/>
      <c r="AX595" s="116"/>
      <c r="AY595" s="116"/>
      <c r="AZ595" s="116"/>
      <c r="BA595" s="116"/>
      <c r="BB595" s="116"/>
    </row>
    <row r="596" spans="4:54" hidden="1">
      <c r="D596" s="116"/>
      <c r="E596" s="116"/>
      <c r="F596" s="116"/>
      <c r="G596" s="116"/>
      <c r="H596" s="116"/>
      <c r="I596" s="116"/>
      <c r="J596" s="116"/>
      <c r="K596" s="116"/>
      <c r="L596" s="116"/>
      <c r="M596" s="116"/>
      <c r="N596" s="116"/>
      <c r="O596" s="116"/>
      <c r="P596" s="116"/>
      <c r="Q596" s="116"/>
      <c r="R596" s="116"/>
      <c r="S596" s="116"/>
      <c r="T596" s="116"/>
      <c r="U596" s="116"/>
      <c r="V596" s="116"/>
      <c r="W596" s="116"/>
      <c r="X596" s="116"/>
      <c r="Y596" s="116"/>
      <c r="Z596" s="116"/>
      <c r="AA596" s="116"/>
      <c r="AB596" s="116"/>
      <c r="AC596" s="116"/>
      <c r="AD596" s="116"/>
      <c r="AE596" s="116"/>
      <c r="AF596" s="116"/>
      <c r="AG596" s="116"/>
      <c r="AH596" s="116"/>
      <c r="AI596" s="116"/>
      <c r="AJ596" s="116"/>
      <c r="AK596" s="116"/>
      <c r="AL596" s="116"/>
      <c r="AM596" s="116"/>
      <c r="AN596" s="116"/>
      <c r="AO596" s="116"/>
      <c r="AP596" s="116"/>
      <c r="AQ596" s="116"/>
      <c r="AR596" s="116"/>
      <c r="AS596" s="116"/>
      <c r="AT596" s="116"/>
      <c r="AU596" s="116"/>
      <c r="AV596" s="116"/>
      <c r="AW596" s="116"/>
      <c r="AX596" s="116"/>
      <c r="AY596" s="116"/>
      <c r="AZ596" s="116"/>
      <c r="BA596" s="116"/>
      <c r="BB596" s="116"/>
    </row>
    <row r="597" spans="4:54" hidden="1">
      <c r="D597" s="116"/>
      <c r="E597" s="116"/>
      <c r="F597" s="116"/>
      <c r="G597" s="116"/>
      <c r="H597" s="116"/>
      <c r="I597" s="116"/>
      <c r="J597" s="116"/>
      <c r="K597" s="116"/>
      <c r="L597" s="116"/>
      <c r="M597" s="116"/>
      <c r="N597" s="116"/>
      <c r="O597" s="116"/>
      <c r="P597" s="116"/>
      <c r="Q597" s="116"/>
      <c r="R597" s="116"/>
      <c r="S597" s="116"/>
      <c r="T597" s="116"/>
      <c r="U597" s="116"/>
      <c r="V597" s="116"/>
      <c r="W597" s="116"/>
      <c r="X597" s="116"/>
      <c r="Y597" s="116"/>
      <c r="Z597" s="116"/>
      <c r="AA597" s="116"/>
      <c r="AB597" s="116"/>
      <c r="AC597" s="116"/>
      <c r="AD597" s="116"/>
      <c r="AE597" s="116"/>
      <c r="AF597" s="116"/>
      <c r="AG597" s="116"/>
      <c r="AH597" s="116"/>
      <c r="AI597" s="116"/>
      <c r="AJ597" s="116"/>
      <c r="AK597" s="116"/>
      <c r="AL597" s="116"/>
      <c r="AM597" s="116"/>
      <c r="AN597" s="116"/>
      <c r="AO597" s="116"/>
      <c r="AP597" s="116"/>
      <c r="AQ597" s="116"/>
      <c r="AR597" s="116"/>
      <c r="AS597" s="116"/>
      <c r="AT597" s="116"/>
      <c r="AU597" s="116"/>
      <c r="AV597" s="116"/>
      <c r="AW597" s="116"/>
      <c r="AX597" s="116"/>
      <c r="AY597" s="116"/>
      <c r="AZ597" s="116"/>
      <c r="BA597" s="116"/>
      <c r="BB597" s="116"/>
    </row>
    <row r="598" spans="4:54" hidden="1">
      <c r="D598" s="116"/>
      <c r="E598" s="116"/>
      <c r="F598" s="116"/>
      <c r="G598" s="116"/>
      <c r="H598" s="116"/>
      <c r="I598" s="116"/>
      <c r="J598" s="116"/>
      <c r="K598" s="116"/>
      <c r="L598" s="116"/>
      <c r="M598" s="116"/>
      <c r="N598" s="116"/>
      <c r="O598" s="116"/>
      <c r="P598" s="116"/>
      <c r="Q598" s="116"/>
      <c r="R598" s="116"/>
      <c r="S598" s="116"/>
      <c r="T598" s="116"/>
      <c r="U598" s="116"/>
      <c r="V598" s="116"/>
      <c r="W598" s="116"/>
      <c r="X598" s="116"/>
      <c r="Y598" s="116"/>
      <c r="Z598" s="116"/>
      <c r="AA598" s="116"/>
      <c r="AB598" s="116"/>
      <c r="AC598" s="116"/>
      <c r="AD598" s="116"/>
      <c r="AE598" s="116"/>
      <c r="AF598" s="116"/>
      <c r="AG598" s="116"/>
      <c r="AH598" s="116"/>
      <c r="AI598" s="116"/>
      <c r="AJ598" s="116"/>
      <c r="AK598" s="116"/>
      <c r="AL598" s="116"/>
      <c r="AM598" s="116"/>
      <c r="AN598" s="116"/>
      <c r="AO598" s="116"/>
      <c r="AP598" s="116"/>
      <c r="AQ598" s="116"/>
      <c r="AR598" s="116"/>
      <c r="AS598" s="116"/>
      <c r="AT598" s="116"/>
      <c r="AU598" s="116"/>
      <c r="AV598" s="116"/>
      <c r="AW598" s="116"/>
      <c r="AX598" s="116"/>
      <c r="AY598" s="116"/>
      <c r="AZ598" s="116"/>
      <c r="BA598" s="116"/>
      <c r="BB598" s="116"/>
    </row>
    <row r="599" spans="4:54" hidden="1">
      <c r="D599" s="116"/>
      <c r="E599" s="116"/>
      <c r="F599" s="116"/>
      <c r="G599" s="116"/>
      <c r="H599" s="116"/>
      <c r="I599" s="116"/>
      <c r="J599" s="116"/>
      <c r="K599" s="116"/>
      <c r="L599" s="116"/>
      <c r="M599" s="116"/>
      <c r="N599" s="116"/>
      <c r="O599" s="116"/>
      <c r="P599" s="116"/>
      <c r="Q599" s="116"/>
      <c r="R599" s="116"/>
      <c r="S599" s="116"/>
      <c r="T599" s="116"/>
      <c r="U599" s="116"/>
      <c r="V599" s="116"/>
      <c r="W599" s="116"/>
      <c r="X599" s="116"/>
      <c r="Y599" s="116"/>
      <c r="Z599" s="116"/>
      <c r="AA599" s="116"/>
      <c r="AB599" s="116"/>
      <c r="AC599" s="116"/>
      <c r="AD599" s="116"/>
      <c r="AE599" s="116"/>
      <c r="AF599" s="116"/>
      <c r="AG599" s="116"/>
      <c r="AH599" s="116"/>
      <c r="AI599" s="116"/>
      <c r="AJ599" s="116"/>
      <c r="AK599" s="116"/>
      <c r="AL599" s="116"/>
      <c r="AM599" s="116"/>
      <c r="AN599" s="116"/>
      <c r="AO599" s="116"/>
      <c r="AP599" s="116"/>
      <c r="AQ599" s="116"/>
      <c r="AR599" s="116"/>
      <c r="AS599" s="116"/>
      <c r="AT599" s="116"/>
      <c r="AU599" s="116"/>
      <c r="AV599" s="116"/>
      <c r="AW599" s="116"/>
      <c r="AX599" s="116"/>
      <c r="AY599" s="116"/>
      <c r="AZ599" s="116"/>
      <c r="BA599" s="116"/>
      <c r="BB599" s="116"/>
    </row>
    <row r="600" spans="4:54" hidden="1">
      <c r="D600" s="116"/>
      <c r="E600" s="116"/>
      <c r="F600" s="116"/>
      <c r="G600" s="116"/>
      <c r="H600" s="116"/>
      <c r="I600" s="116"/>
      <c r="J600" s="116"/>
      <c r="K600" s="116"/>
      <c r="L600" s="116"/>
      <c r="M600" s="116"/>
      <c r="N600" s="116"/>
      <c r="O600" s="116"/>
      <c r="P600" s="116"/>
      <c r="Q600" s="116"/>
      <c r="R600" s="116"/>
      <c r="S600" s="116"/>
      <c r="T600" s="116"/>
      <c r="U600" s="116"/>
      <c r="V600" s="116"/>
      <c r="W600" s="116"/>
      <c r="X600" s="116"/>
      <c r="Y600" s="116"/>
      <c r="Z600" s="116"/>
      <c r="AA600" s="116"/>
      <c r="AB600" s="116"/>
      <c r="AC600" s="116"/>
      <c r="AD600" s="116"/>
      <c r="AE600" s="116"/>
      <c r="AF600" s="116"/>
      <c r="AG600" s="116"/>
      <c r="AH600" s="116"/>
      <c r="AI600" s="116"/>
      <c r="AJ600" s="116"/>
      <c r="AK600" s="116"/>
      <c r="AL600" s="116"/>
      <c r="AM600" s="116"/>
      <c r="AN600" s="116"/>
      <c r="AO600" s="116"/>
      <c r="AP600" s="116"/>
      <c r="AQ600" s="116"/>
      <c r="AR600" s="116"/>
      <c r="AS600" s="116"/>
      <c r="AT600" s="116"/>
      <c r="AU600" s="116"/>
      <c r="AV600" s="116"/>
      <c r="AW600" s="116"/>
      <c r="AX600" s="116"/>
      <c r="AY600" s="116"/>
      <c r="AZ600" s="116"/>
      <c r="BA600" s="116"/>
      <c r="BB600" s="116"/>
    </row>
    <row r="601" spans="4:54" hidden="1">
      <c r="D601" s="116"/>
      <c r="E601" s="116"/>
      <c r="F601" s="116"/>
      <c r="G601" s="116"/>
      <c r="H601" s="116"/>
      <c r="I601" s="116"/>
      <c r="J601" s="116"/>
      <c r="K601" s="116"/>
      <c r="L601" s="116"/>
      <c r="M601" s="116"/>
      <c r="N601" s="116"/>
      <c r="O601" s="116"/>
      <c r="P601" s="116"/>
      <c r="Q601" s="116"/>
      <c r="R601" s="116"/>
      <c r="S601" s="116"/>
      <c r="T601" s="116"/>
      <c r="U601" s="116"/>
      <c r="V601" s="116"/>
      <c r="W601" s="116"/>
      <c r="X601" s="116"/>
      <c r="Y601" s="116"/>
      <c r="Z601" s="116"/>
      <c r="AA601" s="116"/>
      <c r="AB601" s="116"/>
      <c r="AC601" s="116"/>
      <c r="AD601" s="116"/>
      <c r="AE601" s="116"/>
      <c r="AF601" s="116"/>
      <c r="AG601" s="116"/>
      <c r="AH601" s="116"/>
      <c r="AI601" s="116"/>
      <c r="AJ601" s="116"/>
      <c r="AK601" s="116"/>
      <c r="AL601" s="116"/>
      <c r="AM601" s="116"/>
      <c r="AN601" s="116"/>
      <c r="AO601" s="116"/>
      <c r="AP601" s="116"/>
      <c r="AQ601" s="116"/>
      <c r="AR601" s="116"/>
      <c r="AS601" s="116"/>
      <c r="AT601" s="116"/>
      <c r="AU601" s="116"/>
      <c r="AV601" s="116"/>
      <c r="AW601" s="116"/>
      <c r="AX601" s="116"/>
      <c r="AY601" s="116"/>
      <c r="AZ601" s="116"/>
      <c r="BA601" s="116"/>
      <c r="BB601" s="116"/>
    </row>
    <row r="602" spans="4:54" hidden="1">
      <c r="D602" s="116"/>
      <c r="E602" s="116"/>
      <c r="F602" s="116"/>
      <c r="G602" s="116"/>
      <c r="H602" s="116"/>
      <c r="I602" s="116"/>
      <c r="J602" s="116"/>
      <c r="K602" s="116"/>
      <c r="L602" s="116"/>
      <c r="M602" s="116"/>
      <c r="N602" s="116"/>
      <c r="O602" s="116"/>
      <c r="P602" s="116"/>
      <c r="Q602" s="116"/>
      <c r="R602" s="116"/>
      <c r="S602" s="116"/>
      <c r="T602" s="116"/>
      <c r="U602" s="116"/>
      <c r="V602" s="116"/>
      <c r="W602" s="116"/>
      <c r="X602" s="116"/>
      <c r="Y602" s="116"/>
      <c r="Z602" s="116"/>
      <c r="AA602" s="116"/>
      <c r="AB602" s="116"/>
      <c r="AC602" s="116"/>
      <c r="AD602" s="116"/>
      <c r="AE602" s="116"/>
      <c r="AF602" s="116"/>
      <c r="AG602" s="116"/>
      <c r="AH602" s="116"/>
      <c r="AI602" s="116"/>
      <c r="AJ602" s="116"/>
      <c r="AK602" s="116"/>
      <c r="AL602" s="116"/>
      <c r="AM602" s="116"/>
      <c r="AN602" s="116"/>
      <c r="AO602" s="116"/>
      <c r="AP602" s="116"/>
      <c r="AQ602" s="116"/>
      <c r="AR602" s="116"/>
      <c r="AS602" s="116"/>
      <c r="AT602" s="116"/>
      <c r="AU602" s="116"/>
      <c r="AV602" s="116"/>
      <c r="AW602" s="116"/>
      <c r="AX602" s="116"/>
      <c r="AY602" s="116"/>
      <c r="AZ602" s="116"/>
      <c r="BA602" s="116"/>
      <c r="BB602" s="116"/>
    </row>
    <row r="603" spans="4:54" hidden="1">
      <c r="D603" s="116"/>
      <c r="E603" s="116"/>
      <c r="F603" s="116"/>
      <c r="G603" s="116"/>
      <c r="H603" s="116"/>
      <c r="I603" s="116"/>
      <c r="J603" s="116"/>
      <c r="K603" s="116"/>
      <c r="L603" s="116"/>
      <c r="M603" s="116"/>
      <c r="N603" s="116"/>
      <c r="O603" s="116"/>
      <c r="P603" s="116"/>
      <c r="Q603" s="116"/>
      <c r="R603" s="116"/>
      <c r="S603" s="116"/>
      <c r="T603" s="116"/>
      <c r="U603" s="116"/>
      <c r="V603" s="116"/>
      <c r="W603" s="116"/>
      <c r="X603" s="116"/>
      <c r="Y603" s="116"/>
      <c r="Z603" s="116"/>
      <c r="AA603" s="116"/>
      <c r="AB603" s="116"/>
      <c r="AC603" s="116"/>
      <c r="AD603" s="116"/>
      <c r="AE603" s="116"/>
      <c r="AF603" s="116"/>
      <c r="AG603" s="116"/>
      <c r="AH603" s="116"/>
      <c r="AI603" s="116"/>
      <c r="AJ603" s="116"/>
      <c r="AK603" s="116"/>
      <c r="AL603" s="116"/>
      <c r="AM603" s="116"/>
      <c r="AN603" s="116"/>
      <c r="AO603" s="116"/>
      <c r="AP603" s="116"/>
      <c r="AQ603" s="116"/>
      <c r="AR603" s="116"/>
      <c r="AS603" s="116"/>
      <c r="AT603" s="116"/>
      <c r="AU603" s="116"/>
      <c r="AV603" s="116"/>
      <c r="AW603" s="116"/>
      <c r="AX603" s="116"/>
      <c r="AY603" s="116"/>
      <c r="AZ603" s="116"/>
      <c r="BA603" s="116"/>
      <c r="BB603" s="116"/>
    </row>
    <row r="604" spans="4:54" hidden="1">
      <c r="D604" s="116"/>
      <c r="E604" s="116"/>
      <c r="F604" s="116"/>
      <c r="G604" s="116"/>
      <c r="H604" s="116"/>
      <c r="I604" s="116"/>
      <c r="J604" s="116"/>
      <c r="K604" s="116"/>
      <c r="L604" s="116"/>
      <c r="M604" s="116"/>
      <c r="N604" s="116"/>
      <c r="O604" s="116"/>
      <c r="P604" s="116"/>
      <c r="Q604" s="116"/>
      <c r="R604" s="116"/>
      <c r="S604" s="116"/>
      <c r="T604" s="116"/>
      <c r="U604" s="116"/>
      <c r="V604" s="116"/>
      <c r="W604" s="116"/>
      <c r="X604" s="116"/>
      <c r="Y604" s="116"/>
      <c r="Z604" s="116"/>
      <c r="AA604" s="116"/>
      <c r="AB604" s="116"/>
      <c r="AC604" s="116"/>
      <c r="AD604" s="116"/>
      <c r="AE604" s="116"/>
      <c r="AF604" s="116"/>
      <c r="AG604" s="116"/>
      <c r="AH604" s="116"/>
      <c r="AI604" s="116"/>
      <c r="AJ604" s="116"/>
      <c r="AK604" s="116"/>
      <c r="AL604" s="116"/>
      <c r="AM604" s="116"/>
      <c r="AN604" s="116"/>
      <c r="AO604" s="116"/>
      <c r="AP604" s="116"/>
      <c r="AQ604" s="116"/>
      <c r="AR604" s="116"/>
      <c r="AS604" s="116"/>
      <c r="AT604" s="116"/>
      <c r="AU604" s="116"/>
      <c r="AV604" s="116"/>
      <c r="AW604" s="116"/>
      <c r="AX604" s="116"/>
      <c r="AY604" s="116"/>
      <c r="AZ604" s="116"/>
      <c r="BA604" s="116"/>
      <c r="BB604" s="116"/>
    </row>
    <row r="605" spans="4:54" hidden="1">
      <c r="D605" s="116"/>
      <c r="E605" s="116"/>
      <c r="F605" s="116"/>
      <c r="G605" s="116"/>
      <c r="H605" s="116"/>
      <c r="I605" s="116"/>
      <c r="J605" s="116"/>
      <c r="K605" s="116"/>
      <c r="L605" s="116"/>
      <c r="M605" s="116"/>
      <c r="N605" s="116"/>
      <c r="O605" s="116"/>
      <c r="P605" s="116"/>
      <c r="Q605" s="116"/>
      <c r="R605" s="116"/>
      <c r="S605" s="116"/>
      <c r="T605" s="116"/>
      <c r="U605" s="116"/>
      <c r="V605" s="116"/>
      <c r="W605" s="116"/>
      <c r="X605" s="116"/>
      <c r="Y605" s="116"/>
      <c r="Z605" s="116"/>
      <c r="AA605" s="116"/>
      <c r="AB605" s="116"/>
      <c r="AC605" s="116"/>
      <c r="AD605" s="116"/>
      <c r="AE605" s="116"/>
      <c r="AF605" s="116"/>
      <c r="AG605" s="116"/>
      <c r="AH605" s="116"/>
      <c r="AI605" s="116"/>
      <c r="AJ605" s="116"/>
      <c r="AK605" s="116"/>
      <c r="AL605" s="116"/>
      <c r="AM605" s="116"/>
      <c r="AN605" s="116"/>
      <c r="AO605" s="116"/>
      <c r="AP605" s="116"/>
      <c r="AQ605" s="116"/>
      <c r="AR605" s="116"/>
      <c r="AS605" s="116"/>
      <c r="AT605" s="116"/>
      <c r="AU605" s="116"/>
      <c r="AV605" s="116"/>
      <c r="AW605" s="116"/>
      <c r="AX605" s="116"/>
      <c r="AY605" s="116"/>
      <c r="AZ605" s="116"/>
      <c r="BA605" s="116"/>
      <c r="BB605" s="116"/>
    </row>
    <row r="606" spans="4:54" hidden="1">
      <c r="D606" s="116"/>
      <c r="E606" s="116"/>
      <c r="F606" s="116"/>
      <c r="G606" s="116"/>
      <c r="H606" s="116"/>
      <c r="I606" s="116"/>
      <c r="J606" s="116"/>
      <c r="K606" s="116"/>
      <c r="L606" s="116"/>
      <c r="M606" s="116"/>
      <c r="N606" s="116"/>
      <c r="O606" s="116"/>
      <c r="P606" s="116"/>
      <c r="Q606" s="116"/>
      <c r="R606" s="116"/>
      <c r="S606" s="116"/>
      <c r="T606" s="116"/>
      <c r="U606" s="116"/>
      <c r="V606" s="116"/>
      <c r="W606" s="116"/>
      <c r="X606" s="116"/>
      <c r="Y606" s="116"/>
      <c r="Z606" s="116"/>
      <c r="AA606" s="116"/>
      <c r="AB606" s="116"/>
      <c r="AC606" s="116"/>
      <c r="AD606" s="116"/>
      <c r="AE606" s="116"/>
      <c r="AF606" s="116"/>
      <c r="AG606" s="116"/>
      <c r="AH606" s="116"/>
      <c r="AI606" s="116"/>
      <c r="AJ606" s="116"/>
      <c r="AK606" s="116"/>
      <c r="AL606" s="116"/>
      <c r="AM606" s="116"/>
      <c r="AN606" s="116"/>
      <c r="AO606" s="116"/>
      <c r="AP606" s="116"/>
      <c r="AQ606" s="116"/>
      <c r="AR606" s="116"/>
      <c r="AS606" s="116"/>
      <c r="AT606" s="116"/>
      <c r="AU606" s="116"/>
      <c r="AV606" s="116"/>
      <c r="AW606" s="116"/>
      <c r="AX606" s="116"/>
      <c r="AY606" s="116"/>
      <c r="AZ606" s="116"/>
      <c r="BA606" s="116"/>
      <c r="BB606" s="116"/>
    </row>
    <row r="607" spans="4:54" hidden="1">
      <c r="D607" s="116"/>
      <c r="E607" s="116"/>
      <c r="F607" s="116"/>
      <c r="G607" s="116"/>
      <c r="H607" s="116"/>
      <c r="I607" s="116"/>
      <c r="J607" s="116"/>
      <c r="K607" s="116"/>
      <c r="L607" s="116"/>
      <c r="M607" s="116"/>
      <c r="N607" s="116"/>
      <c r="O607" s="116"/>
      <c r="P607" s="116"/>
      <c r="Q607" s="116"/>
      <c r="R607" s="116"/>
      <c r="S607" s="116"/>
      <c r="T607" s="116"/>
      <c r="U607" s="116"/>
      <c r="V607" s="116"/>
      <c r="W607" s="116"/>
      <c r="X607" s="116"/>
      <c r="Y607" s="116"/>
      <c r="Z607" s="116"/>
      <c r="AA607" s="116"/>
      <c r="AB607" s="116"/>
      <c r="AC607" s="116"/>
      <c r="AD607" s="116"/>
      <c r="AE607" s="116"/>
      <c r="AF607" s="116"/>
      <c r="AG607" s="116"/>
      <c r="AH607" s="116"/>
      <c r="AI607" s="116"/>
      <c r="AJ607" s="116"/>
      <c r="AK607" s="116"/>
      <c r="AL607" s="116"/>
      <c r="AM607" s="116"/>
      <c r="AN607" s="116"/>
      <c r="AO607" s="116"/>
      <c r="AP607" s="116"/>
      <c r="AQ607" s="116"/>
      <c r="AR607" s="116"/>
      <c r="AS607" s="116"/>
      <c r="AT607" s="116"/>
      <c r="AU607" s="116"/>
      <c r="AV607" s="116"/>
      <c r="AW607" s="116"/>
      <c r="AX607" s="116"/>
      <c r="AY607" s="116"/>
      <c r="AZ607" s="116"/>
      <c r="BA607" s="116"/>
      <c r="BB607" s="116"/>
    </row>
    <row r="608" spans="4:54" hidden="1">
      <c r="D608" s="116"/>
      <c r="E608" s="116"/>
      <c r="F608" s="116"/>
      <c r="G608" s="116"/>
      <c r="H608" s="116"/>
      <c r="I608" s="116"/>
      <c r="J608" s="116"/>
      <c r="K608" s="116"/>
      <c r="L608" s="116"/>
      <c r="M608" s="116"/>
      <c r="N608" s="116"/>
      <c r="O608" s="116"/>
      <c r="P608" s="116"/>
      <c r="Q608" s="116"/>
      <c r="R608" s="116"/>
      <c r="S608" s="116"/>
      <c r="T608" s="116"/>
      <c r="U608" s="116"/>
      <c r="V608" s="116"/>
      <c r="W608" s="116"/>
      <c r="X608" s="116"/>
      <c r="Y608" s="116"/>
      <c r="Z608" s="116"/>
      <c r="AA608" s="116"/>
      <c r="AB608" s="116"/>
      <c r="AC608" s="116"/>
      <c r="AD608" s="116"/>
      <c r="AE608" s="116"/>
      <c r="AF608" s="116"/>
      <c r="AG608" s="116"/>
      <c r="AH608" s="116"/>
      <c r="AI608" s="116"/>
      <c r="AJ608" s="116"/>
      <c r="AK608" s="116"/>
      <c r="AL608" s="116"/>
      <c r="AM608" s="116"/>
      <c r="AN608" s="116"/>
      <c r="AO608" s="116"/>
      <c r="AP608" s="116"/>
      <c r="AQ608" s="116"/>
      <c r="AR608" s="116"/>
      <c r="AS608" s="116"/>
      <c r="AT608" s="116"/>
      <c r="AU608" s="116"/>
      <c r="AV608" s="116"/>
      <c r="AW608" s="116"/>
      <c r="AX608" s="116"/>
      <c r="AY608" s="116"/>
      <c r="AZ608" s="116"/>
      <c r="BA608" s="116"/>
      <c r="BB608" s="116"/>
    </row>
    <row r="609" spans="4:54" hidden="1">
      <c r="D609" s="116"/>
      <c r="E609" s="116"/>
      <c r="F609" s="116"/>
      <c r="G609" s="116"/>
      <c r="H609" s="116"/>
      <c r="I609" s="116"/>
      <c r="J609" s="116"/>
      <c r="K609" s="116"/>
      <c r="L609" s="116"/>
      <c r="M609" s="116"/>
      <c r="N609" s="116"/>
      <c r="O609" s="116"/>
      <c r="P609" s="116"/>
      <c r="Q609" s="116"/>
      <c r="R609" s="116"/>
      <c r="S609" s="116"/>
      <c r="T609" s="116"/>
      <c r="U609" s="116"/>
      <c r="V609" s="116"/>
      <c r="W609" s="116"/>
      <c r="X609" s="116"/>
      <c r="Y609" s="116"/>
      <c r="Z609" s="116"/>
      <c r="AA609" s="116"/>
      <c r="AB609" s="116"/>
      <c r="AC609" s="116"/>
      <c r="AD609" s="116"/>
      <c r="AE609" s="116"/>
      <c r="AF609" s="116"/>
      <c r="AG609" s="116"/>
      <c r="AH609" s="116"/>
      <c r="AI609" s="116"/>
      <c r="AJ609" s="116"/>
      <c r="AK609" s="116"/>
      <c r="AL609" s="116"/>
      <c r="AM609" s="116"/>
      <c r="AN609" s="116"/>
      <c r="AO609" s="116"/>
      <c r="AP609" s="116"/>
      <c r="AQ609" s="116"/>
      <c r="AR609" s="116"/>
      <c r="AS609" s="116"/>
      <c r="AT609" s="116"/>
      <c r="AU609" s="116"/>
      <c r="AV609" s="116"/>
      <c r="AW609" s="116"/>
      <c r="AX609" s="116"/>
      <c r="AY609" s="116"/>
      <c r="AZ609" s="116"/>
      <c r="BA609" s="116"/>
      <c r="BB609" s="116"/>
    </row>
    <row r="610" spans="4:54" hidden="1">
      <c r="D610" s="116"/>
      <c r="E610" s="116"/>
      <c r="F610" s="116"/>
      <c r="G610" s="116"/>
      <c r="H610" s="116"/>
      <c r="I610" s="116"/>
      <c r="J610" s="116"/>
      <c r="K610" s="116"/>
      <c r="L610" s="116"/>
      <c r="M610" s="116"/>
      <c r="N610" s="116"/>
      <c r="O610" s="116"/>
      <c r="P610" s="116"/>
      <c r="Q610" s="116"/>
      <c r="R610" s="116"/>
      <c r="S610" s="116"/>
      <c r="T610" s="116"/>
      <c r="U610" s="116"/>
      <c r="V610" s="116"/>
      <c r="W610" s="116"/>
      <c r="X610" s="116"/>
      <c r="Y610" s="116"/>
      <c r="Z610" s="116"/>
      <c r="AA610" s="116"/>
      <c r="AB610" s="116"/>
      <c r="AC610" s="116"/>
      <c r="AD610" s="116"/>
      <c r="AE610" s="116"/>
      <c r="AF610" s="116"/>
      <c r="AG610" s="116"/>
      <c r="AH610" s="116"/>
      <c r="AI610" s="116"/>
      <c r="AJ610" s="116"/>
      <c r="AK610" s="116"/>
      <c r="AL610" s="116"/>
      <c r="AM610" s="116"/>
      <c r="AN610" s="116"/>
      <c r="AO610" s="116"/>
      <c r="AP610" s="116"/>
      <c r="AQ610" s="116"/>
      <c r="AR610" s="116"/>
      <c r="AS610" s="116"/>
      <c r="AT610" s="116"/>
      <c r="AU610" s="116"/>
      <c r="AV610" s="116"/>
      <c r="AW610" s="116"/>
      <c r="AX610" s="116"/>
      <c r="AY610" s="116"/>
      <c r="AZ610" s="116"/>
      <c r="BA610" s="116"/>
      <c r="BB610" s="116"/>
    </row>
    <row r="611" spans="4:54" hidden="1">
      <c r="D611" s="116"/>
      <c r="E611" s="116"/>
      <c r="F611" s="116"/>
      <c r="G611" s="116"/>
      <c r="H611" s="116"/>
      <c r="I611" s="116"/>
      <c r="J611" s="116"/>
      <c r="K611" s="116"/>
      <c r="L611" s="116"/>
      <c r="M611" s="116"/>
      <c r="N611" s="116"/>
      <c r="O611" s="116"/>
      <c r="P611" s="116"/>
      <c r="Q611" s="116"/>
      <c r="R611" s="116"/>
      <c r="S611" s="116"/>
      <c r="T611" s="116"/>
      <c r="U611" s="116"/>
      <c r="V611" s="116"/>
      <c r="W611" s="116"/>
      <c r="X611" s="116"/>
      <c r="Y611" s="116"/>
      <c r="Z611" s="116"/>
      <c r="AA611" s="116"/>
      <c r="AB611" s="116"/>
      <c r="AC611" s="116"/>
      <c r="AD611" s="116"/>
      <c r="AE611" s="116"/>
      <c r="AF611" s="116"/>
      <c r="AG611" s="116"/>
      <c r="AH611" s="116"/>
      <c r="AI611" s="116"/>
      <c r="AJ611" s="116"/>
      <c r="AK611" s="116"/>
      <c r="AL611" s="116"/>
      <c r="AM611" s="116"/>
      <c r="AN611" s="116"/>
      <c r="AO611" s="116"/>
      <c r="AP611" s="116"/>
      <c r="AQ611" s="116"/>
      <c r="AR611" s="116"/>
      <c r="AS611" s="116"/>
      <c r="AT611" s="116"/>
      <c r="AU611" s="116"/>
      <c r="AV611" s="116"/>
      <c r="AW611" s="116"/>
      <c r="AX611" s="116"/>
      <c r="AY611" s="116"/>
      <c r="AZ611" s="116"/>
      <c r="BA611" s="116"/>
      <c r="BB611" s="116"/>
    </row>
    <row r="612" spans="4:54" hidden="1">
      <c r="D612" s="116"/>
      <c r="E612" s="116"/>
      <c r="F612" s="116"/>
      <c r="G612" s="116"/>
      <c r="H612" s="116"/>
      <c r="I612" s="116"/>
      <c r="J612" s="116"/>
      <c r="K612" s="116"/>
      <c r="L612" s="116"/>
      <c r="M612" s="116"/>
      <c r="N612" s="116"/>
      <c r="O612" s="116"/>
      <c r="P612" s="116"/>
      <c r="Q612" s="116"/>
      <c r="R612" s="116"/>
      <c r="S612" s="116"/>
      <c r="T612" s="116"/>
      <c r="U612" s="116"/>
      <c r="V612" s="116"/>
      <c r="W612" s="116"/>
      <c r="X612" s="116"/>
      <c r="Y612" s="116"/>
      <c r="Z612" s="116"/>
      <c r="AA612" s="116"/>
      <c r="AB612" s="116"/>
      <c r="AC612" s="116"/>
      <c r="AD612" s="116"/>
      <c r="AE612" s="116"/>
      <c r="AF612" s="116"/>
      <c r="AG612" s="116"/>
      <c r="AH612" s="116"/>
      <c r="AI612" s="116"/>
      <c r="AJ612" s="116"/>
      <c r="AK612" s="116"/>
      <c r="AL612" s="116"/>
      <c r="AM612" s="116"/>
      <c r="AN612" s="116"/>
      <c r="AO612" s="116"/>
      <c r="AP612" s="116"/>
      <c r="AQ612" s="116"/>
      <c r="AR612" s="116"/>
      <c r="AS612" s="116"/>
      <c r="AT612" s="116"/>
      <c r="AU612" s="116"/>
      <c r="AV612" s="116"/>
      <c r="AW612" s="116"/>
      <c r="AX612" s="116"/>
      <c r="AY612" s="116"/>
      <c r="AZ612" s="116"/>
      <c r="BA612" s="116"/>
      <c r="BB612" s="116"/>
    </row>
    <row r="613" spans="4:54" hidden="1">
      <c r="D613" s="116"/>
      <c r="E613" s="116"/>
      <c r="F613" s="116"/>
      <c r="G613" s="116"/>
      <c r="H613" s="116"/>
      <c r="I613" s="116"/>
      <c r="J613" s="116"/>
      <c r="K613" s="116"/>
      <c r="L613" s="116"/>
      <c r="M613" s="116"/>
      <c r="N613" s="116"/>
      <c r="O613" s="116"/>
      <c r="P613" s="116"/>
      <c r="Q613" s="116"/>
      <c r="R613" s="116"/>
      <c r="S613" s="116"/>
      <c r="T613" s="116"/>
      <c r="U613" s="116"/>
      <c r="V613" s="116"/>
      <c r="W613" s="116"/>
      <c r="X613" s="116"/>
      <c r="Y613" s="116"/>
      <c r="Z613" s="116"/>
      <c r="AA613" s="116"/>
      <c r="AB613" s="116"/>
      <c r="AC613" s="116"/>
      <c r="AD613" s="116"/>
      <c r="AE613" s="116"/>
      <c r="AF613" s="116"/>
      <c r="AG613" s="116"/>
      <c r="AH613" s="116"/>
      <c r="AI613" s="116"/>
      <c r="AJ613" s="116"/>
      <c r="AK613" s="116"/>
      <c r="AL613" s="116"/>
      <c r="AM613" s="116"/>
      <c r="AN613" s="116"/>
      <c r="AO613" s="116"/>
      <c r="AP613" s="116"/>
      <c r="AQ613" s="116"/>
      <c r="AR613" s="116"/>
      <c r="AS613" s="116"/>
      <c r="AT613" s="116"/>
      <c r="AU613" s="116"/>
      <c r="AV613" s="116"/>
      <c r="AW613" s="116"/>
      <c r="AX613" s="116"/>
      <c r="AY613" s="116"/>
      <c r="AZ613" s="116"/>
      <c r="BA613" s="116"/>
      <c r="BB613" s="116"/>
    </row>
    <row r="614" spans="4:54" hidden="1">
      <c r="D614" s="116"/>
      <c r="E614" s="116"/>
      <c r="F614" s="116"/>
      <c r="G614" s="116"/>
      <c r="H614" s="116"/>
      <c r="I614" s="116"/>
      <c r="J614" s="116"/>
      <c r="K614" s="116"/>
      <c r="L614" s="116"/>
      <c r="M614" s="116"/>
      <c r="N614" s="116"/>
      <c r="O614" s="116"/>
      <c r="P614" s="116"/>
      <c r="Q614" s="116"/>
      <c r="R614" s="116"/>
      <c r="S614" s="116"/>
      <c r="T614" s="116"/>
      <c r="U614" s="116"/>
      <c r="V614" s="116"/>
      <c r="W614" s="116"/>
      <c r="X614" s="116"/>
      <c r="Y614" s="116"/>
      <c r="Z614" s="116"/>
      <c r="AA614" s="116"/>
      <c r="AB614" s="116"/>
      <c r="AC614" s="116"/>
      <c r="AD614" s="116"/>
      <c r="AE614" s="116"/>
      <c r="AF614" s="116"/>
      <c r="AG614" s="116"/>
      <c r="AH614" s="116"/>
      <c r="AI614" s="116"/>
      <c r="AJ614" s="116"/>
      <c r="AK614" s="116"/>
      <c r="AL614" s="116"/>
      <c r="AM614" s="116"/>
      <c r="AN614" s="116"/>
      <c r="AO614" s="116"/>
      <c r="AP614" s="116"/>
      <c r="AQ614" s="116"/>
      <c r="AR614" s="116"/>
      <c r="AS614" s="116"/>
      <c r="AT614" s="116"/>
      <c r="AU614" s="116"/>
      <c r="AV614" s="116"/>
      <c r="AW614" s="116"/>
      <c r="AX614" s="116"/>
      <c r="AY614" s="116"/>
      <c r="AZ614" s="116"/>
      <c r="BA614" s="116"/>
      <c r="BB614" s="116"/>
    </row>
    <row r="615" spans="4:54" hidden="1">
      <c r="D615" s="116"/>
      <c r="E615" s="116"/>
      <c r="F615" s="116"/>
      <c r="G615" s="116"/>
      <c r="H615" s="116"/>
      <c r="I615" s="116"/>
      <c r="J615" s="116"/>
      <c r="K615" s="116"/>
      <c r="L615" s="116"/>
      <c r="M615" s="116"/>
      <c r="N615" s="116"/>
      <c r="O615" s="116"/>
      <c r="P615" s="116"/>
      <c r="Q615" s="116"/>
      <c r="R615" s="116"/>
      <c r="S615" s="116"/>
      <c r="T615" s="116"/>
      <c r="U615" s="116"/>
      <c r="V615" s="116"/>
      <c r="W615" s="116"/>
      <c r="X615" s="116"/>
      <c r="Y615" s="116"/>
      <c r="Z615" s="116"/>
      <c r="AA615" s="116"/>
      <c r="AB615" s="116"/>
      <c r="AC615" s="116"/>
      <c r="AD615" s="116"/>
      <c r="AE615" s="116"/>
      <c r="AF615" s="116"/>
      <c r="AG615" s="116"/>
      <c r="AH615" s="116"/>
      <c r="AI615" s="116"/>
      <c r="AJ615" s="116"/>
      <c r="AK615" s="116"/>
      <c r="AL615" s="116"/>
      <c r="AM615" s="116"/>
      <c r="AN615" s="116"/>
      <c r="AO615" s="116"/>
      <c r="AP615" s="116"/>
      <c r="AQ615" s="116"/>
      <c r="AR615" s="116"/>
      <c r="AS615" s="116"/>
      <c r="AT615" s="116"/>
      <c r="AU615" s="116"/>
      <c r="AV615" s="116"/>
      <c r="AW615" s="116"/>
      <c r="AX615" s="116"/>
      <c r="AY615" s="116"/>
      <c r="AZ615" s="116"/>
      <c r="BA615" s="116"/>
      <c r="BB615" s="116"/>
    </row>
    <row r="616" spans="4:54" hidden="1">
      <c r="D616" s="116"/>
      <c r="E616" s="116"/>
      <c r="F616" s="116"/>
      <c r="G616" s="116"/>
      <c r="H616" s="116"/>
      <c r="I616" s="116"/>
      <c r="J616" s="116"/>
      <c r="K616" s="116"/>
      <c r="L616" s="116"/>
      <c r="M616" s="116"/>
      <c r="N616" s="116"/>
      <c r="O616" s="116"/>
      <c r="P616" s="116"/>
      <c r="Q616" s="116"/>
      <c r="R616" s="116"/>
      <c r="S616" s="116"/>
      <c r="T616" s="116"/>
      <c r="U616" s="116"/>
      <c r="V616" s="116"/>
      <c r="W616" s="116"/>
      <c r="X616" s="116"/>
      <c r="Y616" s="116"/>
      <c r="Z616" s="116"/>
      <c r="AA616" s="116"/>
      <c r="AB616" s="116"/>
      <c r="AC616" s="116"/>
      <c r="AD616" s="116"/>
      <c r="AE616" s="116"/>
      <c r="AF616" s="116"/>
      <c r="AG616" s="116"/>
      <c r="AH616" s="116"/>
      <c r="AI616" s="116"/>
      <c r="AJ616" s="116"/>
      <c r="AK616" s="116"/>
      <c r="AL616" s="116"/>
      <c r="AM616" s="116"/>
      <c r="AN616" s="116"/>
      <c r="AO616" s="116"/>
      <c r="AP616" s="116"/>
      <c r="AQ616" s="116"/>
      <c r="AR616" s="116"/>
      <c r="AS616" s="116"/>
      <c r="AT616" s="116"/>
      <c r="AU616" s="116"/>
      <c r="AV616" s="116"/>
      <c r="AW616" s="116"/>
      <c r="AX616" s="116"/>
      <c r="AY616" s="116"/>
      <c r="AZ616" s="116"/>
      <c r="BA616" s="116"/>
      <c r="BB616" s="116"/>
    </row>
    <row r="617" spans="4:54" hidden="1">
      <c r="D617" s="116"/>
      <c r="E617" s="116"/>
      <c r="F617" s="116"/>
      <c r="G617" s="116"/>
      <c r="H617" s="116"/>
      <c r="I617" s="116"/>
      <c r="J617" s="116"/>
      <c r="K617" s="116"/>
      <c r="L617" s="116"/>
      <c r="M617" s="116"/>
      <c r="N617" s="116"/>
      <c r="O617" s="116"/>
      <c r="P617" s="116"/>
      <c r="Q617" s="116"/>
      <c r="R617" s="116"/>
      <c r="S617" s="116"/>
      <c r="T617" s="116"/>
      <c r="U617" s="116"/>
      <c r="V617" s="116"/>
      <c r="W617" s="116"/>
      <c r="X617" s="116"/>
      <c r="Y617" s="116"/>
      <c r="Z617" s="116"/>
      <c r="AA617" s="116"/>
      <c r="AB617" s="116"/>
      <c r="AC617" s="116"/>
      <c r="AD617" s="116"/>
      <c r="AE617" s="116"/>
      <c r="AF617" s="116"/>
      <c r="AG617" s="116"/>
      <c r="AH617" s="116"/>
      <c r="AI617" s="116"/>
      <c r="AJ617" s="116"/>
      <c r="AK617" s="116"/>
      <c r="AL617" s="116"/>
      <c r="AM617" s="116"/>
      <c r="AN617" s="116"/>
      <c r="AO617" s="116"/>
      <c r="AP617" s="116"/>
      <c r="AQ617" s="116"/>
      <c r="AR617" s="116"/>
      <c r="AS617" s="116"/>
      <c r="AT617" s="116"/>
      <c r="AU617" s="116"/>
      <c r="AV617" s="116"/>
      <c r="AW617" s="116"/>
      <c r="AX617" s="116"/>
      <c r="AY617" s="116"/>
      <c r="AZ617" s="116"/>
      <c r="BA617" s="116"/>
      <c r="BB617" s="116"/>
    </row>
    <row r="618" spans="4:54" hidden="1">
      <c r="D618" s="116"/>
      <c r="E618" s="116"/>
      <c r="F618" s="116"/>
      <c r="G618" s="116"/>
      <c r="H618" s="116"/>
      <c r="I618" s="116"/>
      <c r="J618" s="116"/>
      <c r="K618" s="116"/>
      <c r="L618" s="116"/>
      <c r="M618" s="116"/>
      <c r="N618" s="116"/>
      <c r="O618" s="116"/>
      <c r="P618" s="116"/>
      <c r="Q618" s="116"/>
      <c r="R618" s="116"/>
      <c r="S618" s="116"/>
      <c r="T618" s="116"/>
      <c r="U618" s="116"/>
      <c r="V618" s="116"/>
      <c r="W618" s="116"/>
      <c r="X618" s="116"/>
      <c r="Y618" s="116"/>
      <c r="Z618" s="116"/>
      <c r="AA618" s="116"/>
      <c r="AB618" s="116"/>
      <c r="AC618" s="116"/>
      <c r="AD618" s="116"/>
      <c r="AE618" s="116"/>
      <c r="AF618" s="116"/>
      <c r="AG618" s="116"/>
      <c r="AH618" s="116"/>
      <c r="AI618" s="116"/>
      <c r="AJ618" s="116"/>
      <c r="AK618" s="116"/>
      <c r="AL618" s="116"/>
      <c r="AM618" s="116"/>
      <c r="AN618" s="116"/>
      <c r="AO618" s="116"/>
      <c r="AP618" s="116"/>
      <c r="AQ618" s="116"/>
      <c r="AR618" s="116"/>
      <c r="AS618" s="116"/>
      <c r="AT618" s="116"/>
      <c r="AU618" s="116"/>
      <c r="AV618" s="116"/>
      <c r="AW618" s="116"/>
      <c r="AX618" s="116"/>
      <c r="AY618" s="116"/>
      <c r="AZ618" s="116"/>
      <c r="BA618" s="116"/>
      <c r="BB618" s="116"/>
    </row>
    <row r="619" spans="4:54" hidden="1">
      <c r="D619" s="116"/>
      <c r="E619" s="116"/>
      <c r="F619" s="116"/>
      <c r="G619" s="116"/>
      <c r="H619" s="116"/>
      <c r="I619" s="116"/>
      <c r="J619" s="116"/>
      <c r="K619" s="116"/>
      <c r="L619" s="116"/>
      <c r="M619" s="116"/>
      <c r="N619" s="116"/>
      <c r="O619" s="116"/>
      <c r="P619" s="116"/>
      <c r="Q619" s="116"/>
      <c r="R619" s="116"/>
      <c r="S619" s="116"/>
      <c r="T619" s="116"/>
      <c r="U619" s="116"/>
      <c r="V619" s="116"/>
      <c r="W619" s="116"/>
      <c r="X619" s="116"/>
      <c r="Y619" s="116"/>
      <c r="Z619" s="116"/>
      <c r="AA619" s="116"/>
      <c r="AB619" s="116"/>
      <c r="AC619" s="116"/>
      <c r="AD619" s="116"/>
      <c r="AE619" s="116"/>
      <c r="AF619" s="116"/>
      <c r="AG619" s="116"/>
      <c r="AH619" s="116"/>
      <c r="AI619" s="116"/>
      <c r="AJ619" s="116"/>
      <c r="AK619" s="116"/>
      <c r="AL619" s="116"/>
      <c r="AM619" s="116"/>
      <c r="AN619" s="116"/>
      <c r="AO619" s="116"/>
      <c r="AP619" s="116"/>
      <c r="AQ619" s="116"/>
      <c r="AR619" s="116"/>
      <c r="AS619" s="116"/>
      <c r="AT619" s="116"/>
      <c r="AU619" s="116"/>
      <c r="AV619" s="116"/>
      <c r="AW619" s="116"/>
      <c r="AX619" s="116"/>
      <c r="AY619" s="116"/>
      <c r="AZ619" s="116"/>
      <c r="BA619" s="116"/>
      <c r="BB619" s="116"/>
    </row>
    <row r="620" spans="4:54" hidden="1">
      <c r="D620" s="116"/>
      <c r="E620" s="116"/>
      <c r="F620" s="116"/>
      <c r="G620" s="116"/>
      <c r="H620" s="116"/>
      <c r="I620" s="116"/>
      <c r="J620" s="116"/>
      <c r="K620" s="116"/>
      <c r="L620" s="116"/>
      <c r="M620" s="116"/>
      <c r="N620" s="116"/>
      <c r="O620" s="116"/>
      <c r="P620" s="116"/>
      <c r="Q620" s="116"/>
      <c r="R620" s="116"/>
      <c r="S620" s="116"/>
      <c r="T620" s="116"/>
      <c r="U620" s="116"/>
      <c r="V620" s="116"/>
      <c r="W620" s="116"/>
      <c r="X620" s="116"/>
      <c r="Y620" s="116"/>
      <c r="Z620" s="116"/>
      <c r="AA620" s="116"/>
      <c r="AB620" s="116"/>
      <c r="AC620" s="116"/>
      <c r="AD620" s="116"/>
      <c r="AE620" s="116"/>
      <c r="AF620" s="116"/>
      <c r="AG620" s="116"/>
      <c r="AH620" s="116"/>
      <c r="AI620" s="116"/>
      <c r="AJ620" s="116"/>
      <c r="AK620" s="116"/>
      <c r="AL620" s="116"/>
      <c r="AM620" s="116"/>
      <c r="AN620" s="116"/>
      <c r="AO620" s="116"/>
      <c r="AP620" s="116"/>
      <c r="AQ620" s="116"/>
      <c r="AR620" s="116"/>
      <c r="AS620" s="116"/>
      <c r="AT620" s="116"/>
      <c r="AU620" s="116"/>
      <c r="AV620" s="116"/>
      <c r="AW620" s="116"/>
      <c r="AX620" s="116"/>
      <c r="AY620" s="116"/>
      <c r="AZ620" s="116"/>
      <c r="BA620" s="116"/>
      <c r="BB620" s="116"/>
    </row>
    <row r="621" spans="4:54" hidden="1">
      <c r="D621" s="116"/>
      <c r="E621" s="116"/>
      <c r="F621" s="116"/>
      <c r="G621" s="116"/>
      <c r="H621" s="116"/>
      <c r="I621" s="116"/>
      <c r="J621" s="116"/>
      <c r="K621" s="116"/>
      <c r="L621" s="116"/>
      <c r="M621" s="116"/>
      <c r="N621" s="116"/>
      <c r="O621" s="116"/>
      <c r="P621" s="116"/>
      <c r="Q621" s="116"/>
      <c r="R621" s="116"/>
      <c r="S621" s="116"/>
      <c r="T621" s="116"/>
      <c r="U621" s="116"/>
      <c r="V621" s="116"/>
      <c r="W621" s="116"/>
      <c r="X621" s="116"/>
      <c r="Y621" s="116"/>
      <c r="Z621" s="116"/>
      <c r="AA621" s="116"/>
      <c r="AB621" s="116"/>
      <c r="AC621" s="116"/>
      <c r="AD621" s="116"/>
      <c r="AE621" s="116"/>
      <c r="AF621" s="116"/>
      <c r="AG621" s="116"/>
      <c r="AH621" s="116"/>
      <c r="AI621" s="116"/>
      <c r="AJ621" s="116"/>
      <c r="AK621" s="116"/>
      <c r="AL621" s="116"/>
      <c r="AM621" s="116"/>
      <c r="AN621" s="116"/>
      <c r="AO621" s="116"/>
      <c r="AP621" s="116"/>
      <c r="AQ621" s="116"/>
      <c r="AR621" s="116"/>
      <c r="AS621" s="116"/>
      <c r="AT621" s="116"/>
      <c r="AU621" s="116"/>
      <c r="AV621" s="116"/>
      <c r="AW621" s="116"/>
      <c r="AX621" s="116"/>
      <c r="AY621" s="116"/>
      <c r="AZ621" s="116"/>
      <c r="BA621" s="116"/>
      <c r="BB621" s="116"/>
    </row>
    <row r="622" spans="4:54" hidden="1">
      <c r="D622" s="116"/>
      <c r="E622" s="116"/>
      <c r="F622" s="116"/>
      <c r="G622" s="116"/>
      <c r="H622" s="116"/>
      <c r="I622" s="116"/>
      <c r="J622" s="116"/>
      <c r="K622" s="116"/>
      <c r="L622" s="116"/>
      <c r="M622" s="116"/>
      <c r="N622" s="116"/>
      <c r="O622" s="116"/>
      <c r="P622" s="116"/>
      <c r="Q622" s="116"/>
      <c r="R622" s="116"/>
      <c r="S622" s="116"/>
      <c r="T622" s="116"/>
      <c r="U622" s="116"/>
      <c r="V622" s="116"/>
      <c r="W622" s="116"/>
      <c r="X622" s="116"/>
      <c r="Y622" s="116"/>
      <c r="Z622" s="116"/>
      <c r="AA622" s="116"/>
      <c r="AB622" s="116"/>
      <c r="AC622" s="116"/>
      <c r="AD622" s="116"/>
      <c r="AE622" s="116"/>
      <c r="AF622" s="116"/>
      <c r="AG622" s="116"/>
      <c r="AH622" s="116"/>
      <c r="AI622" s="116"/>
      <c r="AJ622" s="116"/>
      <c r="AK622" s="116"/>
      <c r="AL622" s="116"/>
      <c r="AM622" s="116"/>
      <c r="AN622" s="116"/>
      <c r="AO622" s="116"/>
      <c r="AP622" s="116"/>
      <c r="AQ622" s="116"/>
      <c r="AR622" s="116"/>
      <c r="AS622" s="116"/>
      <c r="AT622" s="116"/>
      <c r="AU622" s="116"/>
      <c r="AV622" s="116"/>
      <c r="AW622" s="116"/>
      <c r="AX622" s="116"/>
      <c r="AY622" s="116"/>
      <c r="AZ622" s="116"/>
      <c r="BA622" s="116"/>
      <c r="BB622" s="116"/>
    </row>
    <row r="623" spans="4:54" hidden="1">
      <c r="D623" s="116"/>
      <c r="E623" s="116"/>
      <c r="F623" s="116"/>
      <c r="G623" s="116"/>
      <c r="H623" s="116"/>
      <c r="I623" s="116"/>
      <c r="J623" s="116"/>
      <c r="K623" s="116"/>
      <c r="L623" s="116"/>
      <c r="M623" s="116"/>
      <c r="N623" s="116"/>
      <c r="O623" s="116"/>
      <c r="P623" s="116"/>
      <c r="Q623" s="116"/>
      <c r="R623" s="116"/>
      <c r="S623" s="116"/>
      <c r="T623" s="116"/>
      <c r="U623" s="116"/>
      <c r="V623" s="116"/>
      <c r="W623" s="116"/>
      <c r="X623" s="116"/>
      <c r="Y623" s="116"/>
      <c r="Z623" s="116"/>
      <c r="AA623" s="116"/>
      <c r="AB623" s="116"/>
      <c r="AC623" s="116"/>
      <c r="AD623" s="116"/>
      <c r="AE623" s="116"/>
      <c r="AF623" s="116"/>
      <c r="AG623" s="116"/>
      <c r="AH623" s="116"/>
      <c r="AI623" s="116"/>
      <c r="AJ623" s="116"/>
      <c r="AK623" s="116"/>
      <c r="AL623" s="116"/>
      <c r="AM623" s="116"/>
      <c r="AN623" s="116"/>
      <c r="AO623" s="116"/>
      <c r="AP623" s="116"/>
      <c r="AQ623" s="116"/>
      <c r="AR623" s="116"/>
      <c r="AS623" s="116"/>
      <c r="AT623" s="116"/>
      <c r="AU623" s="116"/>
      <c r="AV623" s="116"/>
      <c r="AW623" s="116"/>
      <c r="AX623" s="116"/>
      <c r="AY623" s="116"/>
      <c r="AZ623" s="116"/>
      <c r="BA623" s="116"/>
      <c r="BB623" s="116"/>
    </row>
    <row r="624" spans="4:54" hidden="1">
      <c r="D624" s="116"/>
      <c r="E624" s="116"/>
      <c r="F624" s="116"/>
      <c r="G624" s="116"/>
      <c r="H624" s="116"/>
      <c r="I624" s="116"/>
      <c r="J624" s="116"/>
      <c r="K624" s="116"/>
      <c r="L624" s="116"/>
      <c r="M624" s="116"/>
      <c r="N624" s="116"/>
      <c r="O624" s="116"/>
      <c r="P624" s="116"/>
      <c r="Q624" s="116"/>
      <c r="R624" s="116"/>
      <c r="S624" s="116"/>
      <c r="T624" s="116"/>
      <c r="U624" s="116"/>
      <c r="V624" s="116"/>
      <c r="W624" s="116"/>
      <c r="X624" s="116"/>
      <c r="Y624" s="116"/>
      <c r="Z624" s="116"/>
      <c r="AA624" s="116"/>
      <c r="AB624" s="116"/>
      <c r="AC624" s="116"/>
      <c r="AD624" s="116"/>
      <c r="AE624" s="116"/>
      <c r="AF624" s="116"/>
      <c r="AG624" s="116"/>
      <c r="AH624" s="116"/>
      <c r="AI624" s="116"/>
      <c r="AJ624" s="116"/>
      <c r="AK624" s="116"/>
      <c r="AL624" s="116"/>
      <c r="AM624" s="116"/>
      <c r="AN624" s="116"/>
      <c r="AO624" s="116"/>
      <c r="AP624" s="116"/>
      <c r="AQ624" s="116"/>
      <c r="AR624" s="116"/>
      <c r="AS624" s="116"/>
      <c r="AT624" s="116"/>
      <c r="AU624" s="116"/>
      <c r="AV624" s="116"/>
      <c r="AW624" s="116"/>
      <c r="AX624" s="116"/>
      <c r="AY624" s="116"/>
      <c r="AZ624" s="116"/>
      <c r="BA624" s="116"/>
      <c r="BB624" s="116"/>
    </row>
    <row r="625" spans="4:54" hidden="1">
      <c r="D625" s="116"/>
      <c r="E625" s="116"/>
      <c r="F625" s="116"/>
      <c r="G625" s="116"/>
      <c r="H625" s="116"/>
      <c r="I625" s="116"/>
      <c r="J625" s="116"/>
      <c r="K625" s="116"/>
      <c r="L625" s="116"/>
      <c r="M625" s="116"/>
      <c r="N625" s="116"/>
      <c r="O625" s="116"/>
      <c r="P625" s="116"/>
      <c r="Q625" s="116"/>
      <c r="R625" s="116"/>
      <c r="S625" s="116"/>
      <c r="T625" s="116"/>
      <c r="U625" s="116"/>
      <c r="V625" s="116"/>
      <c r="W625" s="116"/>
      <c r="X625" s="116"/>
      <c r="Y625" s="116"/>
      <c r="Z625" s="116"/>
      <c r="AA625" s="116"/>
      <c r="AB625" s="116"/>
      <c r="AC625" s="116"/>
      <c r="AD625" s="116"/>
      <c r="AE625" s="116"/>
      <c r="AF625" s="116"/>
      <c r="AG625" s="116"/>
      <c r="AH625" s="116"/>
      <c r="AI625" s="116"/>
      <c r="AJ625" s="116"/>
      <c r="AK625" s="116"/>
      <c r="AL625" s="116"/>
      <c r="AM625" s="116"/>
      <c r="AN625" s="116"/>
      <c r="AO625" s="116"/>
      <c r="AP625" s="116"/>
      <c r="AQ625" s="116"/>
      <c r="AR625" s="116"/>
      <c r="AS625" s="116"/>
      <c r="AT625" s="116"/>
      <c r="AU625" s="116"/>
      <c r="AV625" s="116"/>
      <c r="AW625" s="116"/>
      <c r="AX625" s="116"/>
      <c r="AY625" s="116"/>
      <c r="AZ625" s="116"/>
      <c r="BA625" s="116"/>
      <c r="BB625" s="116"/>
    </row>
    <row r="626" spans="4:54" hidden="1">
      <c r="D626" s="116"/>
      <c r="E626" s="116"/>
      <c r="F626" s="116"/>
      <c r="G626" s="116"/>
      <c r="H626" s="116"/>
      <c r="I626" s="116"/>
      <c r="J626" s="116"/>
      <c r="K626" s="116"/>
      <c r="L626" s="116"/>
      <c r="M626" s="116"/>
      <c r="N626" s="116"/>
      <c r="O626" s="116"/>
      <c r="P626" s="116"/>
      <c r="Q626" s="116"/>
      <c r="R626" s="116"/>
      <c r="S626" s="116"/>
      <c r="T626" s="116"/>
      <c r="U626" s="116"/>
      <c r="V626" s="116"/>
      <c r="W626" s="116"/>
      <c r="X626" s="116"/>
      <c r="Y626" s="116"/>
      <c r="Z626" s="116"/>
      <c r="AA626" s="116"/>
      <c r="AB626" s="116"/>
      <c r="AC626" s="116"/>
      <c r="AD626" s="116"/>
      <c r="AE626" s="116"/>
      <c r="AF626" s="116"/>
      <c r="AG626" s="116"/>
      <c r="AH626" s="116"/>
      <c r="AI626" s="116"/>
      <c r="AJ626" s="116"/>
      <c r="AK626" s="116"/>
      <c r="AL626" s="116"/>
      <c r="AM626" s="116"/>
      <c r="AN626" s="116"/>
      <c r="AO626" s="116"/>
      <c r="AP626" s="116"/>
      <c r="AQ626" s="116"/>
      <c r="AR626" s="116"/>
      <c r="AS626" s="116"/>
      <c r="AT626" s="116"/>
      <c r="AU626" s="116"/>
      <c r="AV626" s="116"/>
      <c r="AW626" s="116"/>
      <c r="AX626" s="116"/>
      <c r="AY626" s="116"/>
      <c r="AZ626" s="116"/>
      <c r="BA626" s="116"/>
      <c r="BB626" s="116"/>
    </row>
    <row r="627" spans="4:54" hidden="1">
      <c r="D627" s="116"/>
      <c r="E627" s="116"/>
      <c r="F627" s="116"/>
      <c r="G627" s="116"/>
      <c r="H627" s="116"/>
      <c r="I627" s="116"/>
      <c r="J627" s="116"/>
      <c r="K627" s="116"/>
      <c r="L627" s="116"/>
      <c r="M627" s="116"/>
      <c r="N627" s="116"/>
      <c r="O627" s="116"/>
      <c r="P627" s="116"/>
      <c r="Q627" s="116"/>
      <c r="R627" s="116"/>
      <c r="S627" s="116"/>
      <c r="T627" s="116"/>
      <c r="U627" s="116"/>
      <c r="V627" s="116"/>
      <c r="W627" s="116"/>
      <c r="X627" s="116"/>
      <c r="Y627" s="116"/>
      <c r="Z627" s="116"/>
      <c r="AA627" s="116"/>
      <c r="AB627" s="116"/>
      <c r="AC627" s="116"/>
      <c r="AD627" s="116"/>
      <c r="AE627" s="116"/>
      <c r="AF627" s="116"/>
      <c r="AG627" s="116"/>
      <c r="AH627" s="116"/>
      <c r="AI627" s="116"/>
      <c r="AJ627" s="116"/>
      <c r="AK627" s="116"/>
      <c r="AL627" s="116"/>
      <c r="AM627" s="116"/>
      <c r="AN627" s="116"/>
      <c r="AO627" s="116"/>
      <c r="AP627" s="116"/>
      <c r="AQ627" s="116"/>
      <c r="AR627" s="116"/>
      <c r="AS627" s="116"/>
      <c r="AT627" s="116"/>
      <c r="AU627" s="116"/>
      <c r="AV627" s="116"/>
      <c r="AW627" s="116"/>
      <c r="AX627" s="116"/>
      <c r="AY627" s="116"/>
      <c r="AZ627" s="116"/>
      <c r="BA627" s="116"/>
      <c r="BB627" s="116"/>
    </row>
    <row r="628" spans="4:54" hidden="1">
      <c r="D628" s="116"/>
      <c r="E628" s="116"/>
      <c r="F628" s="116"/>
      <c r="G628" s="116"/>
      <c r="H628" s="116"/>
      <c r="I628" s="116"/>
      <c r="J628" s="116"/>
      <c r="K628" s="116"/>
      <c r="L628" s="116"/>
      <c r="M628" s="116"/>
      <c r="N628" s="116"/>
      <c r="O628" s="116"/>
      <c r="P628" s="116"/>
      <c r="Q628" s="116"/>
      <c r="R628" s="116"/>
      <c r="S628" s="116"/>
      <c r="T628" s="116"/>
      <c r="U628" s="116"/>
      <c r="V628" s="116"/>
      <c r="W628" s="116"/>
      <c r="X628" s="116"/>
      <c r="Y628" s="116"/>
      <c r="Z628" s="116"/>
      <c r="AA628" s="116"/>
      <c r="AB628" s="116"/>
      <c r="AC628" s="116"/>
      <c r="AD628" s="116"/>
      <c r="AE628" s="116"/>
      <c r="AF628" s="116"/>
      <c r="AG628" s="116"/>
      <c r="AH628" s="116"/>
      <c r="AI628" s="116"/>
      <c r="AJ628" s="116"/>
      <c r="AK628" s="116"/>
      <c r="AL628" s="116"/>
      <c r="AM628" s="116"/>
      <c r="AN628" s="116"/>
      <c r="AO628" s="116"/>
      <c r="AP628" s="116"/>
      <c r="AQ628" s="116"/>
      <c r="AR628" s="116"/>
      <c r="AS628" s="116"/>
      <c r="AT628" s="116"/>
      <c r="AU628" s="116"/>
      <c r="AV628" s="116"/>
      <c r="AW628" s="116"/>
      <c r="AX628" s="116"/>
      <c r="AY628" s="116"/>
      <c r="AZ628" s="116"/>
      <c r="BA628" s="116"/>
      <c r="BB628" s="116"/>
    </row>
    <row r="629" spans="4:54" hidden="1">
      <c r="D629" s="116"/>
      <c r="E629" s="116"/>
      <c r="F629" s="116"/>
      <c r="G629" s="116"/>
      <c r="H629" s="116"/>
      <c r="I629" s="116"/>
      <c r="J629" s="116"/>
      <c r="K629" s="116"/>
      <c r="L629" s="116"/>
      <c r="M629" s="116"/>
      <c r="N629" s="116"/>
      <c r="O629" s="116"/>
      <c r="P629" s="116"/>
      <c r="Q629" s="116"/>
      <c r="R629" s="116"/>
      <c r="S629" s="116"/>
      <c r="T629" s="116"/>
      <c r="U629" s="116"/>
      <c r="V629" s="116"/>
      <c r="W629" s="116"/>
      <c r="X629" s="116"/>
      <c r="Y629" s="116"/>
      <c r="Z629" s="116"/>
      <c r="AA629" s="116"/>
      <c r="AB629" s="116"/>
      <c r="AC629" s="116"/>
      <c r="AD629" s="116"/>
      <c r="AE629" s="116"/>
      <c r="AF629" s="116"/>
      <c r="AG629" s="116"/>
      <c r="AH629" s="116"/>
      <c r="AI629" s="116"/>
      <c r="AJ629" s="116"/>
      <c r="AK629" s="116"/>
      <c r="AL629" s="116"/>
      <c r="AM629" s="116"/>
      <c r="AN629" s="116"/>
      <c r="AO629" s="116"/>
      <c r="AP629" s="116"/>
      <c r="AQ629" s="116"/>
      <c r="AR629" s="116"/>
      <c r="AS629" s="116"/>
      <c r="AT629" s="116"/>
      <c r="AU629" s="116"/>
      <c r="AV629" s="116"/>
      <c r="AW629" s="116"/>
      <c r="AX629" s="116"/>
      <c r="AY629" s="116"/>
      <c r="AZ629" s="116"/>
      <c r="BA629" s="116"/>
      <c r="BB629" s="116"/>
    </row>
    <row r="630" spans="4:54" hidden="1">
      <c r="D630" s="116"/>
      <c r="E630" s="116"/>
      <c r="F630" s="116"/>
      <c r="G630" s="116"/>
      <c r="H630" s="116"/>
      <c r="I630" s="116"/>
      <c r="J630" s="116"/>
      <c r="K630" s="116"/>
      <c r="L630" s="116"/>
      <c r="M630" s="116"/>
      <c r="N630" s="116"/>
      <c r="O630" s="116"/>
      <c r="P630" s="116"/>
      <c r="Q630" s="116"/>
      <c r="R630" s="116"/>
      <c r="S630" s="116"/>
      <c r="T630" s="116"/>
      <c r="U630" s="116"/>
      <c r="V630" s="116"/>
      <c r="W630" s="116"/>
      <c r="X630" s="116"/>
      <c r="Y630" s="116"/>
      <c r="Z630" s="116"/>
      <c r="AA630" s="116"/>
      <c r="AB630" s="116"/>
      <c r="AC630" s="116"/>
      <c r="AD630" s="116"/>
      <c r="AE630" s="116"/>
      <c r="AF630" s="116"/>
      <c r="AG630" s="116"/>
      <c r="AH630" s="116"/>
      <c r="AI630" s="116"/>
      <c r="AJ630" s="116"/>
      <c r="AK630" s="116"/>
      <c r="AL630" s="116"/>
      <c r="AM630" s="116"/>
      <c r="AN630" s="116"/>
      <c r="AO630" s="116"/>
      <c r="AP630" s="116"/>
      <c r="AQ630" s="116"/>
      <c r="AR630" s="116"/>
      <c r="AS630" s="116"/>
      <c r="AT630" s="116"/>
      <c r="AU630" s="116"/>
      <c r="AV630" s="116"/>
      <c r="AW630" s="116"/>
      <c r="AX630" s="116"/>
      <c r="AY630" s="116"/>
      <c r="AZ630" s="116"/>
      <c r="BA630" s="116"/>
      <c r="BB630" s="116"/>
    </row>
    <row r="631" spans="4:54" hidden="1">
      <c r="D631" s="116"/>
      <c r="E631" s="116"/>
      <c r="F631" s="116"/>
      <c r="G631" s="116"/>
      <c r="H631" s="116"/>
      <c r="I631" s="116"/>
      <c r="J631" s="116"/>
      <c r="K631" s="116"/>
      <c r="L631" s="116"/>
      <c r="M631" s="116"/>
      <c r="N631" s="116"/>
      <c r="O631" s="116"/>
      <c r="P631" s="116"/>
      <c r="Q631" s="116"/>
      <c r="R631" s="116"/>
      <c r="S631" s="116"/>
      <c r="T631" s="116"/>
      <c r="U631" s="116"/>
      <c r="V631" s="116"/>
      <c r="W631" s="116"/>
      <c r="X631" s="116"/>
      <c r="Y631" s="116"/>
      <c r="Z631" s="116"/>
      <c r="AA631" s="116"/>
      <c r="AB631" s="116"/>
      <c r="AC631" s="116"/>
      <c r="AD631" s="116"/>
      <c r="AE631" s="116"/>
      <c r="AF631" s="116"/>
      <c r="AG631" s="116"/>
      <c r="AH631" s="116"/>
      <c r="AI631" s="116"/>
      <c r="AJ631" s="116"/>
      <c r="AK631" s="116"/>
      <c r="AL631" s="116"/>
      <c r="AM631" s="116"/>
      <c r="AN631" s="116"/>
      <c r="AO631" s="116"/>
      <c r="AP631" s="116"/>
      <c r="AQ631" s="116"/>
      <c r="AR631" s="116"/>
      <c r="AS631" s="116"/>
      <c r="AT631" s="116"/>
      <c r="AU631" s="116"/>
      <c r="AV631" s="116"/>
      <c r="AW631" s="116"/>
      <c r="AX631" s="116"/>
      <c r="AY631" s="116"/>
      <c r="AZ631" s="116"/>
      <c r="BA631" s="116"/>
      <c r="BB631" s="116"/>
    </row>
    <row r="632" spans="4:54" hidden="1">
      <c r="D632" s="116"/>
      <c r="E632" s="116"/>
      <c r="F632" s="116"/>
      <c r="G632" s="116"/>
      <c r="H632" s="116"/>
      <c r="I632" s="116"/>
      <c r="J632" s="116"/>
      <c r="K632" s="116"/>
      <c r="L632" s="116"/>
      <c r="M632" s="116"/>
      <c r="N632" s="116"/>
      <c r="O632" s="116"/>
      <c r="P632" s="116"/>
      <c r="Q632" s="116"/>
      <c r="R632" s="116"/>
      <c r="S632" s="116"/>
      <c r="T632" s="116"/>
      <c r="U632" s="116"/>
      <c r="V632" s="116"/>
      <c r="W632" s="116"/>
      <c r="X632" s="116"/>
      <c r="Y632" s="116"/>
      <c r="Z632" s="116"/>
      <c r="AA632" s="116"/>
      <c r="AB632" s="116"/>
      <c r="AC632" s="116"/>
      <c r="AD632" s="116"/>
      <c r="AE632" s="116"/>
      <c r="AF632" s="116"/>
      <c r="AG632" s="116"/>
      <c r="AH632" s="116"/>
      <c r="AI632" s="116"/>
      <c r="AJ632" s="116"/>
      <c r="AK632" s="116"/>
      <c r="AL632" s="116"/>
      <c r="AM632" s="116"/>
      <c r="AN632" s="116"/>
      <c r="AO632" s="116"/>
      <c r="AP632" s="116"/>
      <c r="AQ632" s="116"/>
      <c r="AR632" s="116"/>
      <c r="AS632" s="116"/>
      <c r="AT632" s="116"/>
      <c r="AU632" s="116"/>
      <c r="AV632" s="116"/>
      <c r="AW632" s="116"/>
      <c r="AX632" s="116"/>
      <c r="AY632" s="116"/>
      <c r="AZ632" s="116"/>
      <c r="BA632" s="116"/>
      <c r="BB632" s="116"/>
    </row>
    <row r="633" spans="4:54" hidden="1">
      <c r="D633" s="116"/>
      <c r="E633" s="116"/>
      <c r="F633" s="116"/>
      <c r="G633" s="116"/>
      <c r="H633" s="116"/>
      <c r="I633" s="116"/>
      <c r="J633" s="116"/>
      <c r="K633" s="116"/>
      <c r="L633" s="116"/>
      <c r="M633" s="116"/>
      <c r="N633" s="116"/>
      <c r="O633" s="116"/>
      <c r="P633" s="116"/>
      <c r="Q633" s="116"/>
      <c r="R633" s="116"/>
      <c r="S633" s="116"/>
      <c r="T633" s="116"/>
      <c r="U633" s="116"/>
      <c r="V633" s="116"/>
      <c r="W633" s="116"/>
      <c r="X633" s="116"/>
      <c r="Y633" s="116"/>
      <c r="Z633" s="116"/>
      <c r="AA633" s="116"/>
      <c r="AB633" s="116"/>
      <c r="AC633" s="116"/>
      <c r="AD633" s="116"/>
      <c r="AE633" s="116"/>
      <c r="AF633" s="116"/>
      <c r="AG633" s="116"/>
      <c r="AH633" s="116"/>
      <c r="AI633" s="116"/>
      <c r="AJ633" s="116"/>
      <c r="AK633" s="116"/>
      <c r="AL633" s="116"/>
      <c r="AM633" s="116"/>
      <c r="AN633" s="116"/>
      <c r="AO633" s="116"/>
      <c r="AP633" s="116"/>
      <c r="AQ633" s="116"/>
      <c r="AR633" s="116"/>
      <c r="AS633" s="116"/>
      <c r="AT633" s="116"/>
      <c r="AU633" s="116"/>
      <c r="AV633" s="116"/>
      <c r="AW633" s="116"/>
      <c r="AX633" s="116"/>
      <c r="AY633" s="116"/>
      <c r="AZ633" s="116"/>
      <c r="BA633" s="116"/>
      <c r="BB633" s="116"/>
    </row>
    <row r="634" spans="4:54" hidden="1">
      <c r="D634" s="116"/>
      <c r="E634" s="116"/>
      <c r="F634" s="116"/>
      <c r="G634" s="116"/>
      <c r="H634" s="116"/>
      <c r="I634" s="116"/>
      <c r="J634" s="116"/>
      <c r="K634" s="116"/>
      <c r="L634" s="116"/>
      <c r="M634" s="116"/>
      <c r="N634" s="116"/>
      <c r="O634" s="116"/>
      <c r="P634" s="116"/>
      <c r="Q634" s="116"/>
      <c r="R634" s="116"/>
      <c r="S634" s="116"/>
      <c r="T634" s="116"/>
      <c r="U634" s="116"/>
      <c r="V634" s="116"/>
      <c r="W634" s="116"/>
      <c r="X634" s="116"/>
      <c r="Y634" s="116"/>
      <c r="Z634" s="116"/>
      <c r="AA634" s="116"/>
      <c r="AB634" s="116"/>
      <c r="AC634" s="116"/>
      <c r="AD634" s="116"/>
      <c r="AE634" s="116"/>
      <c r="AF634" s="116"/>
      <c r="AG634" s="116"/>
      <c r="AH634" s="116"/>
      <c r="AI634" s="116"/>
      <c r="AJ634" s="116"/>
      <c r="AK634" s="116"/>
      <c r="AL634" s="116"/>
      <c r="AM634" s="116"/>
      <c r="AN634" s="116"/>
      <c r="AO634" s="116"/>
      <c r="AP634" s="116"/>
      <c r="AQ634" s="116"/>
      <c r="AR634" s="116"/>
      <c r="AS634" s="116"/>
      <c r="AT634" s="116"/>
      <c r="AU634" s="116"/>
      <c r="AV634" s="116"/>
      <c r="AW634" s="116"/>
      <c r="AX634" s="116"/>
      <c r="AY634" s="116"/>
      <c r="AZ634" s="116"/>
      <c r="BA634" s="116"/>
      <c r="BB634" s="116"/>
    </row>
    <row r="635" spans="4:54" hidden="1">
      <c r="D635" s="116"/>
      <c r="E635" s="116"/>
      <c r="F635" s="116"/>
      <c r="G635" s="116"/>
      <c r="H635" s="116"/>
      <c r="I635" s="116"/>
      <c r="J635" s="116"/>
      <c r="K635" s="116"/>
      <c r="L635" s="116"/>
      <c r="M635" s="116"/>
      <c r="N635" s="116"/>
      <c r="O635" s="116"/>
      <c r="P635" s="116"/>
      <c r="Q635" s="116"/>
      <c r="R635" s="116"/>
      <c r="S635" s="116"/>
      <c r="T635" s="116"/>
      <c r="U635" s="116"/>
      <c r="V635" s="116"/>
      <c r="W635" s="116"/>
      <c r="X635" s="116"/>
      <c r="Y635" s="116"/>
      <c r="Z635" s="116"/>
      <c r="AA635" s="116"/>
      <c r="AB635" s="116"/>
      <c r="AC635" s="116"/>
      <c r="AD635" s="116"/>
      <c r="AE635" s="116"/>
      <c r="AF635" s="116"/>
      <c r="AG635" s="116"/>
      <c r="AH635" s="116"/>
      <c r="AI635" s="116"/>
      <c r="AJ635" s="116"/>
      <c r="AK635" s="116"/>
      <c r="AL635" s="116"/>
      <c r="AM635" s="116"/>
      <c r="AN635" s="116"/>
      <c r="AO635" s="116"/>
      <c r="AP635" s="116"/>
      <c r="AQ635" s="116"/>
      <c r="AR635" s="116"/>
      <c r="AS635" s="116"/>
      <c r="AT635" s="116"/>
      <c r="AU635" s="116"/>
      <c r="AV635" s="116"/>
      <c r="AW635" s="116"/>
      <c r="AX635" s="116"/>
      <c r="AY635" s="116"/>
      <c r="AZ635" s="116"/>
      <c r="BA635" s="116"/>
      <c r="BB635" s="116"/>
    </row>
    <row r="636" spans="4:54" hidden="1">
      <c r="D636" s="116"/>
      <c r="E636" s="116"/>
      <c r="F636" s="116"/>
      <c r="G636" s="116"/>
      <c r="H636" s="116"/>
      <c r="I636" s="116"/>
      <c r="J636" s="116"/>
      <c r="K636" s="116"/>
      <c r="L636" s="116"/>
      <c r="M636" s="116"/>
      <c r="N636" s="116"/>
      <c r="O636" s="116"/>
      <c r="P636" s="116"/>
      <c r="Q636" s="116"/>
      <c r="R636" s="116"/>
      <c r="S636" s="116"/>
      <c r="T636" s="116"/>
      <c r="U636" s="116"/>
      <c r="V636" s="116"/>
      <c r="W636" s="116"/>
      <c r="X636" s="116"/>
      <c r="Y636" s="116"/>
      <c r="Z636" s="116"/>
      <c r="AA636" s="116"/>
      <c r="AB636" s="116"/>
      <c r="AC636" s="116"/>
      <c r="AD636" s="116"/>
      <c r="AE636" s="116"/>
      <c r="AF636" s="116"/>
      <c r="AG636" s="116"/>
      <c r="AH636" s="116"/>
      <c r="AI636" s="116"/>
      <c r="AJ636" s="116"/>
      <c r="AK636" s="116"/>
      <c r="AL636" s="116"/>
      <c r="AM636" s="116"/>
      <c r="AN636" s="116"/>
      <c r="AO636" s="116"/>
      <c r="AP636" s="116"/>
      <c r="AQ636" s="116"/>
      <c r="AR636" s="116"/>
      <c r="AS636" s="116"/>
      <c r="AT636" s="116"/>
      <c r="AU636" s="116"/>
      <c r="AV636" s="116"/>
      <c r="AW636" s="116"/>
      <c r="AX636" s="116"/>
      <c r="AY636" s="116"/>
      <c r="AZ636" s="116"/>
      <c r="BA636" s="116"/>
      <c r="BB636" s="116"/>
    </row>
    <row r="637" spans="4:54" hidden="1">
      <c r="D637" s="116"/>
      <c r="E637" s="116"/>
      <c r="F637" s="116"/>
      <c r="G637" s="116"/>
      <c r="H637" s="116"/>
      <c r="I637" s="116"/>
      <c r="J637" s="116"/>
      <c r="K637" s="116"/>
      <c r="L637" s="116"/>
      <c r="M637" s="116"/>
      <c r="N637" s="116"/>
      <c r="O637" s="116"/>
      <c r="P637" s="116"/>
      <c r="Q637" s="116"/>
      <c r="R637" s="116"/>
      <c r="S637" s="116"/>
      <c r="T637" s="116"/>
      <c r="U637" s="116"/>
      <c r="V637" s="116"/>
      <c r="W637" s="116"/>
      <c r="X637" s="116"/>
      <c r="Y637" s="116"/>
      <c r="Z637" s="116"/>
      <c r="AA637" s="116"/>
      <c r="AB637" s="116"/>
      <c r="AC637" s="116"/>
      <c r="AD637" s="116"/>
      <c r="AE637" s="116"/>
      <c r="AF637" s="116"/>
      <c r="AG637" s="116"/>
      <c r="AH637" s="116"/>
      <c r="AI637" s="116"/>
      <c r="AJ637" s="116"/>
      <c r="AK637" s="116"/>
      <c r="AL637" s="116"/>
      <c r="AM637" s="116"/>
      <c r="AN637" s="116"/>
      <c r="AO637" s="116"/>
      <c r="AP637" s="116"/>
      <c r="AQ637" s="116"/>
      <c r="AR637" s="116"/>
      <c r="AS637" s="116"/>
      <c r="AT637" s="116"/>
      <c r="AU637" s="116"/>
      <c r="AV637" s="116"/>
      <c r="AW637" s="116"/>
      <c r="AX637" s="116"/>
      <c r="AY637" s="116"/>
      <c r="AZ637" s="116"/>
      <c r="BA637" s="116"/>
      <c r="BB637" s="116"/>
    </row>
    <row r="638" spans="4:54" hidden="1">
      <c r="D638" s="116"/>
      <c r="E638" s="116"/>
      <c r="F638" s="116"/>
      <c r="G638" s="116"/>
      <c r="H638" s="116"/>
      <c r="I638" s="116"/>
      <c r="J638" s="116"/>
      <c r="K638" s="116"/>
      <c r="L638" s="116"/>
      <c r="M638" s="116"/>
      <c r="N638" s="116"/>
      <c r="O638" s="116"/>
      <c r="P638" s="116"/>
      <c r="Q638" s="116"/>
      <c r="R638" s="116"/>
      <c r="S638" s="116"/>
      <c r="T638" s="116"/>
      <c r="U638" s="116"/>
      <c r="V638" s="116"/>
      <c r="W638" s="116"/>
      <c r="X638" s="116"/>
      <c r="Y638" s="116"/>
      <c r="Z638" s="116"/>
      <c r="AA638" s="116"/>
      <c r="AB638" s="116"/>
      <c r="AC638" s="116"/>
      <c r="AD638" s="116"/>
      <c r="AE638" s="116"/>
      <c r="AF638" s="116"/>
      <c r="AG638" s="116"/>
      <c r="AH638" s="116"/>
      <c r="AI638" s="116"/>
      <c r="AJ638" s="116"/>
      <c r="AK638" s="116"/>
      <c r="AL638" s="116"/>
      <c r="AM638" s="116"/>
      <c r="AN638" s="116"/>
      <c r="AO638" s="116"/>
      <c r="AP638" s="116"/>
      <c r="AQ638" s="116"/>
      <c r="AR638" s="116"/>
      <c r="AS638" s="116"/>
      <c r="AT638" s="116"/>
      <c r="AU638" s="116"/>
      <c r="AV638" s="116"/>
      <c r="AW638" s="116"/>
      <c r="AX638" s="116"/>
      <c r="AY638" s="116"/>
      <c r="AZ638" s="116"/>
      <c r="BA638" s="116"/>
      <c r="BB638" s="116"/>
    </row>
    <row r="639" spans="4:54" hidden="1">
      <c r="D639" s="116"/>
      <c r="E639" s="116"/>
      <c r="F639" s="116"/>
      <c r="G639" s="116"/>
      <c r="H639" s="116"/>
      <c r="I639" s="116"/>
      <c r="J639" s="116"/>
      <c r="K639" s="116"/>
      <c r="L639" s="116"/>
      <c r="M639" s="116"/>
      <c r="N639" s="116"/>
      <c r="O639" s="116"/>
      <c r="P639" s="116"/>
      <c r="Q639" s="116"/>
      <c r="R639" s="116"/>
      <c r="S639" s="116"/>
      <c r="T639" s="116"/>
      <c r="U639" s="116"/>
      <c r="V639" s="116"/>
      <c r="W639" s="116"/>
      <c r="X639" s="116"/>
      <c r="Y639" s="116"/>
      <c r="Z639" s="116"/>
      <c r="AA639" s="116"/>
      <c r="AB639" s="116"/>
      <c r="AC639" s="116"/>
      <c r="AD639" s="116"/>
      <c r="AE639" s="116"/>
      <c r="AF639" s="116"/>
      <c r="AG639" s="116"/>
      <c r="AH639" s="116"/>
      <c r="AI639" s="116"/>
      <c r="AJ639" s="116"/>
      <c r="AK639" s="116"/>
      <c r="AL639" s="116"/>
      <c r="AM639" s="116"/>
      <c r="AN639" s="116"/>
      <c r="AO639" s="116"/>
      <c r="AP639" s="116"/>
      <c r="AQ639" s="116"/>
      <c r="AR639" s="116"/>
      <c r="AS639" s="116"/>
      <c r="AT639" s="116"/>
      <c r="AU639" s="116"/>
      <c r="AV639" s="116"/>
      <c r="AW639" s="116"/>
      <c r="AX639" s="116"/>
      <c r="AY639" s="116"/>
      <c r="AZ639" s="116"/>
      <c r="BA639" s="116"/>
      <c r="BB639" s="116"/>
    </row>
    <row r="640" spans="4:54" hidden="1">
      <c r="D640" s="116"/>
      <c r="E640" s="116"/>
      <c r="F640" s="116"/>
      <c r="G640" s="116"/>
      <c r="H640" s="116"/>
      <c r="I640" s="116"/>
      <c r="J640" s="116"/>
      <c r="K640" s="116"/>
      <c r="L640" s="116"/>
      <c r="M640" s="116"/>
      <c r="N640" s="116"/>
      <c r="O640" s="116"/>
      <c r="P640" s="116"/>
      <c r="Q640" s="116"/>
      <c r="R640" s="116"/>
      <c r="S640" s="116"/>
      <c r="T640" s="116"/>
      <c r="U640" s="116"/>
      <c r="V640" s="116"/>
      <c r="W640" s="116"/>
      <c r="X640" s="116"/>
      <c r="Y640" s="116"/>
      <c r="Z640" s="116"/>
      <c r="AA640" s="116"/>
      <c r="AB640" s="116"/>
      <c r="AC640" s="116"/>
      <c r="AD640" s="116"/>
      <c r="AE640" s="116"/>
      <c r="AF640" s="116"/>
      <c r="AG640" s="116"/>
      <c r="AH640" s="116"/>
      <c r="AI640" s="116"/>
      <c r="AJ640" s="116"/>
      <c r="AK640" s="116"/>
      <c r="AL640" s="116"/>
      <c r="AM640" s="116"/>
      <c r="AN640" s="116"/>
      <c r="AO640" s="116"/>
      <c r="AP640" s="116"/>
      <c r="AQ640" s="116"/>
      <c r="AR640" s="116"/>
      <c r="AS640" s="116"/>
      <c r="AT640" s="116"/>
      <c r="AU640" s="116"/>
      <c r="AV640" s="116"/>
      <c r="AW640" s="116"/>
      <c r="AX640" s="116"/>
      <c r="AY640" s="116"/>
      <c r="AZ640" s="116"/>
      <c r="BA640" s="116"/>
      <c r="BB640" s="116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4">
    <tabColor theme="5" tint="0.59999389629810485"/>
  </sheetPr>
  <dimension ref="A1:WXG402"/>
  <sheetViews>
    <sheetView workbookViewId="0">
      <pane xSplit="3" ySplit="14" topLeftCell="D15" activePane="bottomRight" state="frozen"/>
      <selection pane="topRight" activeCell="D1" sqref="D1"/>
      <selection pane="bottomLeft" activeCell="A15" sqref="A15"/>
      <selection pane="bottomRight" activeCell="V4" sqref="V4"/>
    </sheetView>
  </sheetViews>
  <sheetFormatPr baseColWidth="10" defaultColWidth="0" defaultRowHeight="15"/>
  <cols>
    <col min="1" max="2" width="6.140625" style="144" customWidth="1"/>
    <col min="3" max="3" width="13.85546875" style="144" customWidth="1"/>
    <col min="4" max="4" width="8.7109375" style="144" customWidth="1"/>
    <col min="5" max="5" width="7.28515625" style="144" customWidth="1"/>
    <col min="6" max="6" width="5.5703125" style="144" customWidth="1"/>
    <col min="7" max="7" width="5.85546875" style="144" customWidth="1"/>
    <col min="8" max="8" width="5.140625" style="144" customWidth="1"/>
    <col min="9" max="9" width="7.85546875" style="144" customWidth="1"/>
    <col min="10" max="10" width="5.28515625" style="144" customWidth="1"/>
    <col min="11" max="11" width="7.85546875" style="144" customWidth="1"/>
    <col min="12" max="12" width="8.7109375" style="144" customWidth="1"/>
    <col min="13" max="13" width="5.5703125" style="144" customWidth="1"/>
    <col min="14" max="14" width="11" style="144" customWidth="1"/>
    <col min="15" max="15" width="7.85546875" style="144" customWidth="1"/>
    <col min="16" max="16" width="8.42578125" style="144" customWidth="1"/>
    <col min="17" max="17" width="12" style="144" bestFit="1" customWidth="1"/>
    <col min="18" max="18" width="8.28515625" style="144" customWidth="1"/>
    <col min="19" max="20" width="6" style="144" customWidth="1"/>
    <col min="21" max="21" width="9.140625" style="144" customWidth="1"/>
    <col min="22" max="22" width="6.28515625" style="144" customWidth="1"/>
    <col min="23" max="23" width="9.7109375" style="144" customWidth="1"/>
    <col min="24" max="24" width="6.140625" style="144" customWidth="1"/>
    <col min="25" max="25" width="8.7109375" style="144" customWidth="1"/>
    <col min="26" max="26" width="8.5703125" style="144" customWidth="1"/>
    <col min="27" max="29" width="9.140625" style="144" customWidth="1"/>
    <col min="30" max="30" width="8.5703125" style="144" customWidth="1"/>
    <col min="31" max="31" width="9.7109375" style="144" customWidth="1"/>
    <col min="32" max="32" width="10.7109375" style="144" customWidth="1"/>
    <col min="33" max="33" width="12" style="144" bestFit="1" customWidth="1"/>
    <col min="34" max="34" width="12.7109375" style="144" customWidth="1"/>
    <col min="35" max="35" width="5" style="144" customWidth="1"/>
    <col min="36" max="36" width="10.28515625" style="144" customWidth="1"/>
    <col min="37" max="37" width="7" style="144" customWidth="1"/>
    <col min="38" max="38" width="10" style="144" customWidth="1"/>
    <col min="39" max="39" width="11.28515625" style="144" customWidth="1"/>
    <col min="40" max="40" width="14.7109375" style="144" customWidth="1"/>
    <col min="41" max="41" width="9.42578125" style="144" customWidth="1"/>
    <col min="42" max="42" width="11.42578125" style="144" customWidth="1"/>
    <col min="43" max="43" width="12.7109375" style="144" customWidth="1"/>
    <col min="44" max="44" width="10.85546875" style="144" bestFit="1" customWidth="1"/>
    <col min="45" max="45" width="11.5703125" style="144" customWidth="1"/>
    <col min="46" max="46" width="12.28515625" style="144" customWidth="1"/>
    <col min="47" max="47" width="17.28515625" style="144" bestFit="1" customWidth="1"/>
    <col min="48" max="48" width="9.7109375" style="144" customWidth="1"/>
    <col min="49" max="49" width="11.28515625" style="200" customWidth="1"/>
    <col min="50" max="50" width="12.28515625" style="200" customWidth="1"/>
    <col min="51" max="51" width="19.140625" style="144" bestFit="1" customWidth="1"/>
    <col min="52" max="52" width="10.85546875" style="144" bestFit="1" customWidth="1"/>
    <col min="53" max="53" width="11.5703125" style="144" customWidth="1"/>
    <col min="54" max="54" width="12.7109375" style="144" customWidth="1"/>
    <col min="55" max="56" width="9.140625" style="144" customWidth="1"/>
    <col min="57" max="57" width="11.42578125" style="144" customWidth="1"/>
    <col min="58" max="69" width="9.140625" style="144" customWidth="1"/>
    <col min="70" max="256" width="9.140625" style="144" hidden="1"/>
    <col min="257" max="257" width="6.140625" style="144" hidden="1"/>
    <col min="258" max="258" width="14.140625" style="144" hidden="1"/>
    <col min="259" max="259" width="9.5703125" style="144" hidden="1"/>
    <col min="260" max="260" width="10.28515625" style="144" hidden="1"/>
    <col min="261" max="261" width="11.28515625" style="144" hidden="1"/>
    <col min="262" max="262" width="11.42578125" style="144" hidden="1"/>
    <col min="263" max="263" width="22.5703125" style="144" hidden="1"/>
    <col min="264" max="264" width="2.28515625" style="144" hidden="1"/>
    <col min="265" max="265" width="11.28515625" style="144" hidden="1"/>
    <col min="266" max="266" width="8.42578125" style="144" hidden="1"/>
    <col min="267" max="267" width="8.140625" style="144" hidden="1"/>
    <col min="268" max="268" width="6.7109375" style="144" hidden="1"/>
    <col min="269" max="269" width="7.85546875" style="144" hidden="1"/>
    <col min="270" max="270" width="9.42578125" style="144" hidden="1"/>
    <col min="271" max="271" width="7.85546875" style="144" hidden="1"/>
    <col min="272" max="272" width="8.7109375" style="144" hidden="1"/>
    <col min="273" max="274" width="9.140625" style="144" hidden="1"/>
    <col min="275" max="275" width="7.85546875" style="144" hidden="1"/>
    <col min="276" max="276" width="8.42578125" style="144" hidden="1"/>
    <col min="277" max="277" width="6.42578125" style="144" hidden="1"/>
    <col min="278" max="278" width="5.28515625" style="144" hidden="1"/>
    <col min="279" max="279" width="6" style="144" hidden="1"/>
    <col min="280" max="281" width="9.140625" style="144" hidden="1"/>
    <col min="282" max="282" width="9.7109375" style="144" hidden="1"/>
    <col min="283" max="283" width="6.7109375" style="144" hidden="1"/>
    <col min="284" max="285" width="9.7109375" style="144" hidden="1"/>
    <col min="286" max="286" width="7.5703125" style="144" hidden="1"/>
    <col min="287" max="287" width="6" style="144" hidden="1"/>
    <col min="288" max="288" width="6.7109375" style="144" hidden="1"/>
    <col min="289" max="289" width="7.5703125" style="144" hidden="1"/>
    <col min="290" max="290" width="9.7109375" style="144" hidden="1"/>
    <col min="291" max="291" width="14.42578125" style="144" hidden="1"/>
    <col min="292" max="292" width="7.28515625" style="144" hidden="1"/>
    <col min="293" max="293" width="7.85546875" style="144" hidden="1"/>
    <col min="294" max="294" width="9.7109375" style="144" hidden="1"/>
    <col min="295" max="295" width="11.42578125" style="144" hidden="1"/>
    <col min="296" max="296" width="9.5703125" style="144" hidden="1"/>
    <col min="297" max="297" width="9.140625" style="144" hidden="1"/>
    <col min="298" max="298" width="11.28515625" style="144" hidden="1"/>
    <col min="299" max="299" width="11.5703125" style="144" hidden="1"/>
    <col min="300" max="300" width="7.140625" style="144" hidden="1"/>
    <col min="301" max="301" width="9.7109375" style="144" hidden="1"/>
    <col min="302" max="302" width="10.5703125" style="144" hidden="1"/>
    <col min="303" max="303" width="6.7109375" style="144" hidden="1"/>
    <col min="304" max="304" width="9.7109375" style="144" hidden="1"/>
    <col min="305" max="305" width="9" style="144" hidden="1"/>
    <col min="306" max="307" width="9.7109375" style="144" hidden="1"/>
    <col min="308" max="512" width="9.140625" style="144" hidden="1"/>
    <col min="513" max="513" width="6.140625" style="144" hidden="1"/>
    <col min="514" max="514" width="14.140625" style="144" hidden="1"/>
    <col min="515" max="515" width="9.5703125" style="144" hidden="1"/>
    <col min="516" max="516" width="10.28515625" style="144" hidden="1"/>
    <col min="517" max="517" width="11.28515625" style="144" hidden="1"/>
    <col min="518" max="518" width="11.42578125" style="144" hidden="1"/>
    <col min="519" max="519" width="22.5703125" style="144" hidden="1"/>
    <col min="520" max="520" width="2.28515625" style="144" hidden="1"/>
    <col min="521" max="521" width="11.28515625" style="144" hidden="1"/>
    <col min="522" max="522" width="8.42578125" style="144" hidden="1"/>
    <col min="523" max="523" width="8.140625" style="144" hidden="1"/>
    <col min="524" max="524" width="6.7109375" style="144" hidden="1"/>
    <col min="525" max="525" width="7.85546875" style="144" hidden="1"/>
    <col min="526" max="526" width="9.42578125" style="144" hidden="1"/>
    <col min="527" max="527" width="7.85546875" style="144" hidden="1"/>
    <col min="528" max="528" width="8.7109375" style="144" hidden="1"/>
    <col min="529" max="530" width="9.140625" style="144" hidden="1"/>
    <col min="531" max="531" width="7.85546875" style="144" hidden="1"/>
    <col min="532" max="532" width="8.42578125" style="144" hidden="1"/>
    <col min="533" max="533" width="6.42578125" style="144" hidden="1"/>
    <col min="534" max="534" width="5.28515625" style="144" hidden="1"/>
    <col min="535" max="535" width="6" style="144" hidden="1"/>
    <col min="536" max="537" width="9.140625" style="144" hidden="1"/>
    <col min="538" max="538" width="9.7109375" style="144" hidden="1"/>
    <col min="539" max="539" width="6.7109375" style="144" hidden="1"/>
    <col min="540" max="541" width="9.7109375" style="144" hidden="1"/>
    <col min="542" max="542" width="7.5703125" style="144" hidden="1"/>
    <col min="543" max="543" width="6" style="144" hidden="1"/>
    <col min="544" max="544" width="6.7109375" style="144" hidden="1"/>
    <col min="545" max="545" width="7.5703125" style="144" hidden="1"/>
    <col min="546" max="546" width="9.7109375" style="144" hidden="1"/>
    <col min="547" max="547" width="14.42578125" style="144" hidden="1"/>
    <col min="548" max="548" width="7.28515625" style="144" hidden="1"/>
    <col min="549" max="549" width="7.85546875" style="144" hidden="1"/>
    <col min="550" max="550" width="9.7109375" style="144" hidden="1"/>
    <col min="551" max="551" width="11.42578125" style="144" hidden="1"/>
    <col min="552" max="552" width="9.5703125" style="144" hidden="1"/>
    <col min="553" max="553" width="9.140625" style="144" hidden="1"/>
    <col min="554" max="554" width="11.28515625" style="144" hidden="1"/>
    <col min="555" max="555" width="11.5703125" style="144" hidden="1"/>
    <col min="556" max="556" width="7.140625" style="144" hidden="1"/>
    <col min="557" max="557" width="9.7109375" style="144" hidden="1"/>
    <col min="558" max="558" width="10.5703125" style="144" hidden="1"/>
    <col min="559" max="559" width="6.7109375" style="144" hidden="1"/>
    <col min="560" max="560" width="9.7109375" style="144" hidden="1"/>
    <col min="561" max="561" width="9" style="144" hidden="1"/>
    <col min="562" max="563" width="9.7109375" style="144" hidden="1"/>
    <col min="564" max="768" width="9.140625" style="144" hidden="1"/>
    <col min="769" max="769" width="6.140625" style="144" hidden="1"/>
    <col min="770" max="770" width="14.140625" style="144" hidden="1"/>
    <col min="771" max="771" width="9.5703125" style="144" hidden="1"/>
    <col min="772" max="772" width="10.28515625" style="144" hidden="1"/>
    <col min="773" max="773" width="11.28515625" style="144" hidden="1"/>
    <col min="774" max="774" width="11.42578125" style="144" hidden="1"/>
    <col min="775" max="775" width="22.5703125" style="144" hidden="1"/>
    <col min="776" max="776" width="2.28515625" style="144" hidden="1"/>
    <col min="777" max="777" width="11.28515625" style="144" hidden="1"/>
    <col min="778" max="778" width="8.42578125" style="144" hidden="1"/>
    <col min="779" max="779" width="8.140625" style="144" hidden="1"/>
    <col min="780" max="780" width="6.7109375" style="144" hidden="1"/>
    <col min="781" max="781" width="7.85546875" style="144" hidden="1"/>
    <col min="782" max="782" width="9.42578125" style="144" hidden="1"/>
    <col min="783" max="783" width="7.85546875" style="144" hidden="1"/>
    <col min="784" max="784" width="8.7109375" style="144" hidden="1"/>
    <col min="785" max="786" width="9.140625" style="144" hidden="1"/>
    <col min="787" max="787" width="7.85546875" style="144" hidden="1"/>
    <col min="788" max="788" width="8.42578125" style="144" hidden="1"/>
    <col min="789" max="789" width="6.42578125" style="144" hidden="1"/>
    <col min="790" max="790" width="5.28515625" style="144" hidden="1"/>
    <col min="791" max="791" width="6" style="144" hidden="1"/>
    <col min="792" max="793" width="9.140625" style="144" hidden="1"/>
    <col min="794" max="794" width="9.7109375" style="144" hidden="1"/>
    <col min="795" max="795" width="6.7109375" style="144" hidden="1"/>
    <col min="796" max="797" width="9.7109375" style="144" hidden="1"/>
    <col min="798" max="798" width="7.5703125" style="144" hidden="1"/>
    <col min="799" max="799" width="6" style="144" hidden="1"/>
    <col min="800" max="800" width="6.7109375" style="144" hidden="1"/>
    <col min="801" max="801" width="7.5703125" style="144" hidden="1"/>
    <col min="802" max="802" width="9.7109375" style="144" hidden="1"/>
    <col min="803" max="803" width="14.42578125" style="144" hidden="1"/>
    <col min="804" max="804" width="7.28515625" style="144" hidden="1"/>
    <col min="805" max="805" width="7.85546875" style="144" hidden="1"/>
    <col min="806" max="806" width="9.7109375" style="144" hidden="1"/>
    <col min="807" max="807" width="11.42578125" style="144" hidden="1"/>
    <col min="808" max="808" width="9.5703125" style="144" hidden="1"/>
    <col min="809" max="809" width="9.140625" style="144" hidden="1"/>
    <col min="810" max="810" width="11.28515625" style="144" hidden="1"/>
    <col min="811" max="811" width="11.5703125" style="144" hidden="1"/>
    <col min="812" max="812" width="7.140625" style="144" hidden="1"/>
    <col min="813" max="813" width="9.7109375" style="144" hidden="1"/>
    <col min="814" max="814" width="10.5703125" style="144" hidden="1"/>
    <col min="815" max="815" width="6.7109375" style="144" hidden="1"/>
    <col min="816" max="816" width="9.7109375" style="144" hidden="1"/>
    <col min="817" max="817" width="9" style="144" hidden="1"/>
    <col min="818" max="819" width="9.7109375" style="144" hidden="1"/>
    <col min="820" max="1024" width="9.140625" style="144" hidden="1"/>
    <col min="1025" max="1025" width="6.140625" style="144" hidden="1"/>
    <col min="1026" max="1026" width="14.140625" style="144" hidden="1"/>
    <col min="1027" max="1027" width="9.5703125" style="144" hidden="1"/>
    <col min="1028" max="1028" width="10.28515625" style="144" hidden="1"/>
    <col min="1029" max="1029" width="11.28515625" style="144" hidden="1"/>
    <col min="1030" max="1030" width="11.42578125" style="144" hidden="1"/>
    <col min="1031" max="1031" width="22.5703125" style="144" hidden="1"/>
    <col min="1032" max="1032" width="2.28515625" style="144" hidden="1"/>
    <col min="1033" max="1033" width="11.28515625" style="144" hidden="1"/>
    <col min="1034" max="1034" width="8.42578125" style="144" hidden="1"/>
    <col min="1035" max="1035" width="8.140625" style="144" hidden="1"/>
    <col min="1036" max="1036" width="6.7109375" style="144" hidden="1"/>
    <col min="1037" max="1037" width="7.85546875" style="144" hidden="1"/>
    <col min="1038" max="1038" width="9.42578125" style="144" hidden="1"/>
    <col min="1039" max="1039" width="7.85546875" style="144" hidden="1"/>
    <col min="1040" max="1040" width="8.7109375" style="144" hidden="1"/>
    <col min="1041" max="1042" width="9.140625" style="144" hidden="1"/>
    <col min="1043" max="1043" width="7.85546875" style="144" hidden="1"/>
    <col min="1044" max="1044" width="8.42578125" style="144" hidden="1"/>
    <col min="1045" max="1045" width="6.42578125" style="144" hidden="1"/>
    <col min="1046" max="1046" width="5.28515625" style="144" hidden="1"/>
    <col min="1047" max="1047" width="6" style="144" hidden="1"/>
    <col min="1048" max="1049" width="9.140625" style="144" hidden="1"/>
    <col min="1050" max="1050" width="9.7109375" style="144" hidden="1"/>
    <col min="1051" max="1051" width="6.7109375" style="144" hidden="1"/>
    <col min="1052" max="1053" width="9.7109375" style="144" hidden="1"/>
    <col min="1054" max="1054" width="7.5703125" style="144" hidden="1"/>
    <col min="1055" max="1055" width="6" style="144" hidden="1"/>
    <col min="1056" max="1056" width="6.7109375" style="144" hidden="1"/>
    <col min="1057" max="1057" width="7.5703125" style="144" hidden="1"/>
    <col min="1058" max="1058" width="9.7109375" style="144" hidden="1"/>
    <col min="1059" max="1059" width="14.42578125" style="144" hidden="1"/>
    <col min="1060" max="1060" width="7.28515625" style="144" hidden="1"/>
    <col min="1061" max="1061" width="7.85546875" style="144" hidden="1"/>
    <col min="1062" max="1062" width="9.7109375" style="144" hidden="1"/>
    <col min="1063" max="1063" width="11.42578125" style="144" hidden="1"/>
    <col min="1064" max="1064" width="9.5703125" style="144" hidden="1"/>
    <col min="1065" max="1065" width="9.140625" style="144" hidden="1"/>
    <col min="1066" max="1066" width="11.28515625" style="144" hidden="1"/>
    <col min="1067" max="1067" width="11.5703125" style="144" hidden="1"/>
    <col min="1068" max="1068" width="7.140625" style="144" hidden="1"/>
    <col min="1069" max="1069" width="9.7109375" style="144" hidden="1"/>
    <col min="1070" max="1070" width="10.5703125" style="144" hidden="1"/>
    <col min="1071" max="1071" width="6.7109375" style="144" hidden="1"/>
    <col min="1072" max="1072" width="9.7109375" style="144" hidden="1"/>
    <col min="1073" max="1073" width="9" style="144" hidden="1"/>
    <col min="1074" max="1075" width="9.7109375" style="144" hidden="1"/>
    <col min="1076" max="1280" width="9.140625" style="144" hidden="1"/>
    <col min="1281" max="1281" width="6.140625" style="144" hidden="1"/>
    <col min="1282" max="1282" width="14.140625" style="144" hidden="1"/>
    <col min="1283" max="1283" width="9.5703125" style="144" hidden="1"/>
    <col min="1284" max="1284" width="10.28515625" style="144" hidden="1"/>
    <col min="1285" max="1285" width="11.28515625" style="144" hidden="1"/>
    <col min="1286" max="1286" width="11.42578125" style="144" hidden="1"/>
    <col min="1287" max="1287" width="22.5703125" style="144" hidden="1"/>
    <col min="1288" max="1288" width="2.28515625" style="144" hidden="1"/>
    <col min="1289" max="1289" width="11.28515625" style="144" hidden="1"/>
    <col min="1290" max="1290" width="8.42578125" style="144" hidden="1"/>
    <col min="1291" max="1291" width="8.140625" style="144" hidden="1"/>
    <col min="1292" max="1292" width="6.7109375" style="144" hidden="1"/>
    <col min="1293" max="1293" width="7.85546875" style="144" hidden="1"/>
    <col min="1294" max="1294" width="9.42578125" style="144" hidden="1"/>
    <col min="1295" max="1295" width="7.85546875" style="144" hidden="1"/>
    <col min="1296" max="1296" width="8.7109375" style="144" hidden="1"/>
    <col min="1297" max="1298" width="9.140625" style="144" hidden="1"/>
    <col min="1299" max="1299" width="7.85546875" style="144" hidden="1"/>
    <col min="1300" max="1300" width="8.42578125" style="144" hidden="1"/>
    <col min="1301" max="1301" width="6.42578125" style="144" hidden="1"/>
    <col min="1302" max="1302" width="5.28515625" style="144" hidden="1"/>
    <col min="1303" max="1303" width="6" style="144" hidden="1"/>
    <col min="1304" max="1305" width="9.140625" style="144" hidden="1"/>
    <col min="1306" max="1306" width="9.7109375" style="144" hidden="1"/>
    <col min="1307" max="1307" width="6.7109375" style="144" hidden="1"/>
    <col min="1308" max="1309" width="9.7109375" style="144" hidden="1"/>
    <col min="1310" max="1310" width="7.5703125" style="144" hidden="1"/>
    <col min="1311" max="1311" width="6" style="144" hidden="1"/>
    <col min="1312" max="1312" width="6.7109375" style="144" hidden="1"/>
    <col min="1313" max="1313" width="7.5703125" style="144" hidden="1"/>
    <col min="1314" max="1314" width="9.7109375" style="144" hidden="1"/>
    <col min="1315" max="1315" width="14.42578125" style="144" hidden="1"/>
    <col min="1316" max="1316" width="7.28515625" style="144" hidden="1"/>
    <col min="1317" max="1317" width="7.85546875" style="144" hidden="1"/>
    <col min="1318" max="1318" width="9.7109375" style="144" hidden="1"/>
    <col min="1319" max="1319" width="11.42578125" style="144" hidden="1"/>
    <col min="1320" max="1320" width="9.5703125" style="144" hidden="1"/>
    <col min="1321" max="1321" width="9.140625" style="144" hidden="1"/>
    <col min="1322" max="1322" width="11.28515625" style="144" hidden="1"/>
    <col min="1323" max="1323" width="11.5703125" style="144" hidden="1"/>
    <col min="1324" max="1324" width="7.140625" style="144" hidden="1"/>
    <col min="1325" max="1325" width="9.7109375" style="144" hidden="1"/>
    <col min="1326" max="1326" width="10.5703125" style="144" hidden="1"/>
    <col min="1327" max="1327" width="6.7109375" style="144" hidden="1"/>
    <col min="1328" max="1328" width="9.7109375" style="144" hidden="1"/>
    <col min="1329" max="1329" width="9" style="144" hidden="1"/>
    <col min="1330" max="1331" width="9.7109375" style="144" hidden="1"/>
    <col min="1332" max="1536" width="9.140625" style="144" hidden="1"/>
    <col min="1537" max="1537" width="6.140625" style="144" hidden="1"/>
    <col min="1538" max="1538" width="14.140625" style="144" hidden="1"/>
    <col min="1539" max="1539" width="9.5703125" style="144" hidden="1"/>
    <col min="1540" max="1540" width="10.28515625" style="144" hidden="1"/>
    <col min="1541" max="1541" width="11.28515625" style="144" hidden="1"/>
    <col min="1542" max="1542" width="11.42578125" style="144" hidden="1"/>
    <col min="1543" max="1543" width="22.5703125" style="144" hidden="1"/>
    <col min="1544" max="1544" width="2.28515625" style="144" hidden="1"/>
    <col min="1545" max="1545" width="11.28515625" style="144" hidden="1"/>
    <col min="1546" max="1546" width="8.42578125" style="144" hidden="1"/>
    <col min="1547" max="1547" width="8.140625" style="144" hidden="1"/>
    <col min="1548" max="1548" width="6.7109375" style="144" hidden="1"/>
    <col min="1549" max="1549" width="7.85546875" style="144" hidden="1"/>
    <col min="1550" max="1550" width="9.42578125" style="144" hidden="1"/>
    <col min="1551" max="1551" width="7.85546875" style="144" hidden="1"/>
    <col min="1552" max="1552" width="8.7109375" style="144" hidden="1"/>
    <col min="1553" max="1554" width="9.140625" style="144" hidden="1"/>
    <col min="1555" max="1555" width="7.85546875" style="144" hidden="1"/>
    <col min="1556" max="1556" width="8.42578125" style="144" hidden="1"/>
    <col min="1557" max="1557" width="6.42578125" style="144" hidden="1"/>
    <col min="1558" max="1558" width="5.28515625" style="144" hidden="1"/>
    <col min="1559" max="1559" width="6" style="144" hidden="1"/>
    <col min="1560" max="1561" width="9.140625" style="144" hidden="1"/>
    <col min="1562" max="1562" width="9.7109375" style="144" hidden="1"/>
    <col min="1563" max="1563" width="6.7109375" style="144" hidden="1"/>
    <col min="1564" max="1565" width="9.7109375" style="144" hidden="1"/>
    <col min="1566" max="1566" width="7.5703125" style="144" hidden="1"/>
    <col min="1567" max="1567" width="6" style="144" hidden="1"/>
    <col min="1568" max="1568" width="6.7109375" style="144" hidden="1"/>
    <col min="1569" max="1569" width="7.5703125" style="144" hidden="1"/>
    <col min="1570" max="1570" width="9.7109375" style="144" hidden="1"/>
    <col min="1571" max="1571" width="14.42578125" style="144" hidden="1"/>
    <col min="1572" max="1572" width="7.28515625" style="144" hidden="1"/>
    <col min="1573" max="1573" width="7.85546875" style="144" hidden="1"/>
    <col min="1574" max="1574" width="9.7109375" style="144" hidden="1"/>
    <col min="1575" max="1575" width="11.42578125" style="144" hidden="1"/>
    <col min="1576" max="1576" width="9.5703125" style="144" hidden="1"/>
    <col min="1577" max="1577" width="9.140625" style="144" hidden="1"/>
    <col min="1578" max="1578" width="11.28515625" style="144" hidden="1"/>
    <col min="1579" max="1579" width="11.5703125" style="144" hidden="1"/>
    <col min="1580" max="1580" width="7.140625" style="144" hidden="1"/>
    <col min="1581" max="1581" width="9.7109375" style="144" hidden="1"/>
    <col min="1582" max="1582" width="10.5703125" style="144" hidden="1"/>
    <col min="1583" max="1583" width="6.7109375" style="144" hidden="1"/>
    <col min="1584" max="1584" width="9.7109375" style="144" hidden="1"/>
    <col min="1585" max="1585" width="9" style="144" hidden="1"/>
    <col min="1586" max="1587" width="9.7109375" style="144" hidden="1"/>
    <col min="1588" max="1792" width="9.140625" style="144" hidden="1"/>
    <col min="1793" max="1793" width="6.140625" style="144" hidden="1"/>
    <col min="1794" max="1794" width="14.140625" style="144" hidden="1"/>
    <col min="1795" max="1795" width="9.5703125" style="144" hidden="1"/>
    <col min="1796" max="1796" width="10.28515625" style="144" hidden="1"/>
    <col min="1797" max="1797" width="11.28515625" style="144" hidden="1"/>
    <col min="1798" max="1798" width="11.42578125" style="144" hidden="1"/>
    <col min="1799" max="1799" width="22.5703125" style="144" hidden="1"/>
    <col min="1800" max="1800" width="2.28515625" style="144" hidden="1"/>
    <col min="1801" max="1801" width="11.28515625" style="144" hidden="1"/>
    <col min="1802" max="1802" width="8.42578125" style="144" hidden="1"/>
    <col min="1803" max="1803" width="8.140625" style="144" hidden="1"/>
    <col min="1804" max="1804" width="6.7109375" style="144" hidden="1"/>
    <col min="1805" max="1805" width="7.85546875" style="144" hidden="1"/>
    <col min="1806" max="1806" width="9.42578125" style="144" hidden="1"/>
    <col min="1807" max="1807" width="7.85546875" style="144" hidden="1"/>
    <col min="1808" max="1808" width="8.7109375" style="144" hidden="1"/>
    <col min="1809" max="1810" width="9.140625" style="144" hidden="1"/>
    <col min="1811" max="1811" width="7.85546875" style="144" hidden="1"/>
    <col min="1812" max="1812" width="8.42578125" style="144" hidden="1"/>
    <col min="1813" max="1813" width="6.42578125" style="144" hidden="1"/>
    <col min="1814" max="1814" width="5.28515625" style="144" hidden="1"/>
    <col min="1815" max="1815" width="6" style="144" hidden="1"/>
    <col min="1816" max="1817" width="9.140625" style="144" hidden="1"/>
    <col min="1818" max="1818" width="9.7109375" style="144" hidden="1"/>
    <col min="1819" max="1819" width="6.7109375" style="144" hidden="1"/>
    <col min="1820" max="1821" width="9.7109375" style="144" hidden="1"/>
    <col min="1822" max="1822" width="7.5703125" style="144" hidden="1"/>
    <col min="1823" max="1823" width="6" style="144" hidden="1"/>
    <col min="1824" max="1824" width="6.7109375" style="144" hidden="1"/>
    <col min="1825" max="1825" width="7.5703125" style="144" hidden="1"/>
    <col min="1826" max="1826" width="9.7109375" style="144" hidden="1"/>
    <col min="1827" max="1827" width="14.42578125" style="144" hidden="1"/>
    <col min="1828" max="1828" width="7.28515625" style="144" hidden="1"/>
    <col min="1829" max="1829" width="7.85546875" style="144" hidden="1"/>
    <col min="1830" max="1830" width="9.7109375" style="144" hidden="1"/>
    <col min="1831" max="1831" width="11.42578125" style="144" hidden="1"/>
    <col min="1832" max="1832" width="9.5703125" style="144" hidden="1"/>
    <col min="1833" max="1833" width="9.140625" style="144" hidden="1"/>
    <col min="1834" max="1834" width="11.28515625" style="144" hidden="1"/>
    <col min="1835" max="1835" width="11.5703125" style="144" hidden="1"/>
    <col min="1836" max="1836" width="7.140625" style="144" hidden="1"/>
    <col min="1837" max="1837" width="9.7109375" style="144" hidden="1"/>
    <col min="1838" max="1838" width="10.5703125" style="144" hidden="1"/>
    <col min="1839" max="1839" width="6.7109375" style="144" hidden="1"/>
    <col min="1840" max="1840" width="9.7109375" style="144" hidden="1"/>
    <col min="1841" max="1841" width="9" style="144" hidden="1"/>
    <col min="1842" max="1843" width="9.7109375" style="144" hidden="1"/>
    <col min="1844" max="2048" width="9.140625" style="144" hidden="1"/>
    <col min="2049" max="2049" width="6.140625" style="144" hidden="1"/>
    <col min="2050" max="2050" width="14.140625" style="144" hidden="1"/>
    <col min="2051" max="2051" width="9.5703125" style="144" hidden="1"/>
    <col min="2052" max="2052" width="10.28515625" style="144" hidden="1"/>
    <col min="2053" max="2053" width="11.28515625" style="144" hidden="1"/>
    <col min="2054" max="2054" width="11.42578125" style="144" hidden="1"/>
    <col min="2055" max="2055" width="22.5703125" style="144" hidden="1"/>
    <col min="2056" max="2056" width="2.28515625" style="144" hidden="1"/>
    <col min="2057" max="2057" width="11.28515625" style="144" hidden="1"/>
    <col min="2058" max="2058" width="8.42578125" style="144" hidden="1"/>
    <col min="2059" max="2059" width="8.140625" style="144" hidden="1"/>
    <col min="2060" max="2060" width="6.7109375" style="144" hidden="1"/>
    <col min="2061" max="2061" width="7.85546875" style="144" hidden="1"/>
    <col min="2062" max="2062" width="9.42578125" style="144" hidden="1"/>
    <col min="2063" max="2063" width="7.85546875" style="144" hidden="1"/>
    <col min="2064" max="2064" width="8.7109375" style="144" hidden="1"/>
    <col min="2065" max="2066" width="9.140625" style="144" hidden="1"/>
    <col min="2067" max="2067" width="7.85546875" style="144" hidden="1"/>
    <col min="2068" max="2068" width="8.42578125" style="144" hidden="1"/>
    <col min="2069" max="2069" width="6.42578125" style="144" hidden="1"/>
    <col min="2070" max="2070" width="5.28515625" style="144" hidden="1"/>
    <col min="2071" max="2071" width="6" style="144" hidden="1"/>
    <col min="2072" max="2073" width="9.140625" style="144" hidden="1"/>
    <col min="2074" max="2074" width="9.7109375" style="144" hidden="1"/>
    <col min="2075" max="2075" width="6.7109375" style="144" hidden="1"/>
    <col min="2076" max="2077" width="9.7109375" style="144" hidden="1"/>
    <col min="2078" max="2078" width="7.5703125" style="144" hidden="1"/>
    <col min="2079" max="2079" width="6" style="144" hidden="1"/>
    <col min="2080" max="2080" width="6.7109375" style="144" hidden="1"/>
    <col min="2081" max="2081" width="7.5703125" style="144" hidden="1"/>
    <col min="2082" max="2082" width="9.7109375" style="144" hidden="1"/>
    <col min="2083" max="2083" width="14.42578125" style="144" hidden="1"/>
    <col min="2084" max="2084" width="7.28515625" style="144" hidden="1"/>
    <col min="2085" max="2085" width="7.85546875" style="144" hidden="1"/>
    <col min="2086" max="2086" width="9.7109375" style="144" hidden="1"/>
    <col min="2087" max="2087" width="11.42578125" style="144" hidden="1"/>
    <col min="2088" max="2088" width="9.5703125" style="144" hidden="1"/>
    <col min="2089" max="2089" width="9.140625" style="144" hidden="1"/>
    <col min="2090" max="2090" width="11.28515625" style="144" hidden="1"/>
    <col min="2091" max="2091" width="11.5703125" style="144" hidden="1"/>
    <col min="2092" max="2092" width="7.140625" style="144" hidden="1"/>
    <col min="2093" max="2093" width="9.7109375" style="144" hidden="1"/>
    <col min="2094" max="2094" width="10.5703125" style="144" hidden="1"/>
    <col min="2095" max="2095" width="6.7109375" style="144" hidden="1"/>
    <col min="2096" max="2096" width="9.7109375" style="144" hidden="1"/>
    <col min="2097" max="2097" width="9" style="144" hidden="1"/>
    <col min="2098" max="2099" width="9.7109375" style="144" hidden="1"/>
    <col min="2100" max="2304" width="9.140625" style="144" hidden="1"/>
    <col min="2305" max="2305" width="6.140625" style="144" hidden="1"/>
    <col min="2306" max="2306" width="14.140625" style="144" hidden="1"/>
    <col min="2307" max="2307" width="9.5703125" style="144" hidden="1"/>
    <col min="2308" max="2308" width="10.28515625" style="144" hidden="1"/>
    <col min="2309" max="2309" width="11.28515625" style="144" hidden="1"/>
    <col min="2310" max="2310" width="11.42578125" style="144" hidden="1"/>
    <col min="2311" max="2311" width="22.5703125" style="144" hidden="1"/>
    <col min="2312" max="2312" width="2.28515625" style="144" hidden="1"/>
    <col min="2313" max="2313" width="11.28515625" style="144" hidden="1"/>
    <col min="2314" max="2314" width="8.42578125" style="144" hidden="1"/>
    <col min="2315" max="2315" width="8.140625" style="144" hidden="1"/>
    <col min="2316" max="2316" width="6.7109375" style="144" hidden="1"/>
    <col min="2317" max="2317" width="7.85546875" style="144" hidden="1"/>
    <col min="2318" max="2318" width="9.42578125" style="144" hidden="1"/>
    <col min="2319" max="2319" width="7.85546875" style="144" hidden="1"/>
    <col min="2320" max="2320" width="8.7109375" style="144" hidden="1"/>
    <col min="2321" max="2322" width="9.140625" style="144" hidden="1"/>
    <col min="2323" max="2323" width="7.85546875" style="144" hidden="1"/>
    <col min="2324" max="2324" width="8.42578125" style="144" hidden="1"/>
    <col min="2325" max="2325" width="6.42578125" style="144" hidden="1"/>
    <col min="2326" max="2326" width="5.28515625" style="144" hidden="1"/>
    <col min="2327" max="2327" width="6" style="144" hidden="1"/>
    <col min="2328" max="2329" width="9.140625" style="144" hidden="1"/>
    <col min="2330" max="2330" width="9.7109375" style="144" hidden="1"/>
    <col min="2331" max="2331" width="6.7109375" style="144" hidden="1"/>
    <col min="2332" max="2333" width="9.7109375" style="144" hidden="1"/>
    <col min="2334" max="2334" width="7.5703125" style="144" hidden="1"/>
    <col min="2335" max="2335" width="6" style="144" hidden="1"/>
    <col min="2336" max="2336" width="6.7109375" style="144" hidden="1"/>
    <col min="2337" max="2337" width="7.5703125" style="144" hidden="1"/>
    <col min="2338" max="2338" width="9.7109375" style="144" hidden="1"/>
    <col min="2339" max="2339" width="14.42578125" style="144" hidden="1"/>
    <col min="2340" max="2340" width="7.28515625" style="144" hidden="1"/>
    <col min="2341" max="2341" width="7.85546875" style="144" hidden="1"/>
    <col min="2342" max="2342" width="9.7109375" style="144" hidden="1"/>
    <col min="2343" max="2343" width="11.42578125" style="144" hidden="1"/>
    <col min="2344" max="2344" width="9.5703125" style="144" hidden="1"/>
    <col min="2345" max="2345" width="9.140625" style="144" hidden="1"/>
    <col min="2346" max="2346" width="11.28515625" style="144" hidden="1"/>
    <col min="2347" max="2347" width="11.5703125" style="144" hidden="1"/>
    <col min="2348" max="2348" width="7.140625" style="144" hidden="1"/>
    <col min="2349" max="2349" width="9.7109375" style="144" hidden="1"/>
    <col min="2350" max="2350" width="10.5703125" style="144" hidden="1"/>
    <col min="2351" max="2351" width="6.7109375" style="144" hidden="1"/>
    <col min="2352" max="2352" width="9.7109375" style="144" hidden="1"/>
    <col min="2353" max="2353" width="9" style="144" hidden="1"/>
    <col min="2354" max="2355" width="9.7109375" style="144" hidden="1"/>
    <col min="2356" max="2560" width="9.140625" style="144" hidden="1"/>
    <col min="2561" max="2561" width="6.140625" style="144" hidden="1"/>
    <col min="2562" max="2562" width="14.140625" style="144" hidden="1"/>
    <col min="2563" max="2563" width="9.5703125" style="144" hidden="1"/>
    <col min="2564" max="2564" width="10.28515625" style="144" hidden="1"/>
    <col min="2565" max="2565" width="11.28515625" style="144" hidden="1"/>
    <col min="2566" max="2566" width="11.42578125" style="144" hidden="1"/>
    <col min="2567" max="2567" width="22.5703125" style="144" hidden="1"/>
    <col min="2568" max="2568" width="2.28515625" style="144" hidden="1"/>
    <col min="2569" max="2569" width="11.28515625" style="144" hidden="1"/>
    <col min="2570" max="2570" width="8.42578125" style="144" hidden="1"/>
    <col min="2571" max="2571" width="8.140625" style="144" hidden="1"/>
    <col min="2572" max="2572" width="6.7109375" style="144" hidden="1"/>
    <col min="2573" max="2573" width="7.85546875" style="144" hidden="1"/>
    <col min="2574" max="2574" width="9.42578125" style="144" hidden="1"/>
    <col min="2575" max="2575" width="7.85546875" style="144" hidden="1"/>
    <col min="2576" max="2576" width="8.7109375" style="144" hidden="1"/>
    <col min="2577" max="2578" width="9.140625" style="144" hidden="1"/>
    <col min="2579" max="2579" width="7.85546875" style="144" hidden="1"/>
    <col min="2580" max="2580" width="8.42578125" style="144" hidden="1"/>
    <col min="2581" max="2581" width="6.42578125" style="144" hidden="1"/>
    <col min="2582" max="2582" width="5.28515625" style="144" hidden="1"/>
    <col min="2583" max="2583" width="6" style="144" hidden="1"/>
    <col min="2584" max="2585" width="9.140625" style="144" hidden="1"/>
    <col min="2586" max="2586" width="9.7109375" style="144" hidden="1"/>
    <col min="2587" max="2587" width="6.7109375" style="144" hidden="1"/>
    <col min="2588" max="2589" width="9.7109375" style="144" hidden="1"/>
    <col min="2590" max="2590" width="7.5703125" style="144" hidden="1"/>
    <col min="2591" max="2591" width="6" style="144" hidden="1"/>
    <col min="2592" max="2592" width="6.7109375" style="144" hidden="1"/>
    <col min="2593" max="2593" width="7.5703125" style="144" hidden="1"/>
    <col min="2594" max="2594" width="9.7109375" style="144" hidden="1"/>
    <col min="2595" max="2595" width="14.42578125" style="144" hidden="1"/>
    <col min="2596" max="2596" width="7.28515625" style="144" hidden="1"/>
    <col min="2597" max="2597" width="7.85546875" style="144" hidden="1"/>
    <col min="2598" max="2598" width="9.7109375" style="144" hidden="1"/>
    <col min="2599" max="2599" width="11.42578125" style="144" hidden="1"/>
    <col min="2600" max="2600" width="9.5703125" style="144" hidden="1"/>
    <col min="2601" max="2601" width="9.140625" style="144" hidden="1"/>
    <col min="2602" max="2602" width="11.28515625" style="144" hidden="1"/>
    <col min="2603" max="2603" width="11.5703125" style="144" hidden="1"/>
    <col min="2604" max="2604" width="7.140625" style="144" hidden="1"/>
    <col min="2605" max="2605" width="9.7109375" style="144" hidden="1"/>
    <col min="2606" max="2606" width="10.5703125" style="144" hidden="1"/>
    <col min="2607" max="2607" width="6.7109375" style="144" hidden="1"/>
    <col min="2608" max="2608" width="9.7109375" style="144" hidden="1"/>
    <col min="2609" max="2609" width="9" style="144" hidden="1"/>
    <col min="2610" max="2611" width="9.7109375" style="144" hidden="1"/>
    <col min="2612" max="2816" width="9.140625" style="144" hidden="1"/>
    <col min="2817" max="2817" width="6.140625" style="144" hidden="1"/>
    <col min="2818" max="2818" width="14.140625" style="144" hidden="1"/>
    <col min="2819" max="2819" width="9.5703125" style="144" hidden="1"/>
    <col min="2820" max="2820" width="10.28515625" style="144" hidden="1"/>
    <col min="2821" max="2821" width="11.28515625" style="144" hidden="1"/>
    <col min="2822" max="2822" width="11.42578125" style="144" hidden="1"/>
    <col min="2823" max="2823" width="22.5703125" style="144" hidden="1"/>
    <col min="2824" max="2824" width="2.28515625" style="144" hidden="1"/>
    <col min="2825" max="2825" width="11.28515625" style="144" hidden="1"/>
    <col min="2826" max="2826" width="8.42578125" style="144" hidden="1"/>
    <col min="2827" max="2827" width="8.140625" style="144" hidden="1"/>
    <col min="2828" max="2828" width="6.7109375" style="144" hidden="1"/>
    <col min="2829" max="2829" width="7.85546875" style="144" hidden="1"/>
    <col min="2830" max="2830" width="9.42578125" style="144" hidden="1"/>
    <col min="2831" max="2831" width="7.85546875" style="144" hidden="1"/>
    <col min="2832" max="2832" width="8.7109375" style="144" hidden="1"/>
    <col min="2833" max="2834" width="9.140625" style="144" hidden="1"/>
    <col min="2835" max="2835" width="7.85546875" style="144" hidden="1"/>
    <col min="2836" max="2836" width="8.42578125" style="144" hidden="1"/>
    <col min="2837" max="2837" width="6.42578125" style="144" hidden="1"/>
    <col min="2838" max="2838" width="5.28515625" style="144" hidden="1"/>
    <col min="2839" max="2839" width="6" style="144" hidden="1"/>
    <col min="2840" max="2841" width="9.140625" style="144" hidden="1"/>
    <col min="2842" max="2842" width="9.7109375" style="144" hidden="1"/>
    <col min="2843" max="2843" width="6.7109375" style="144" hidden="1"/>
    <col min="2844" max="2845" width="9.7109375" style="144" hidden="1"/>
    <col min="2846" max="2846" width="7.5703125" style="144" hidden="1"/>
    <col min="2847" max="2847" width="6" style="144" hidden="1"/>
    <col min="2848" max="2848" width="6.7109375" style="144" hidden="1"/>
    <col min="2849" max="2849" width="7.5703125" style="144" hidden="1"/>
    <col min="2850" max="2850" width="9.7109375" style="144" hidden="1"/>
    <col min="2851" max="2851" width="14.42578125" style="144" hidden="1"/>
    <col min="2852" max="2852" width="7.28515625" style="144" hidden="1"/>
    <col min="2853" max="2853" width="7.85546875" style="144" hidden="1"/>
    <col min="2854" max="2854" width="9.7109375" style="144" hidden="1"/>
    <col min="2855" max="2855" width="11.42578125" style="144" hidden="1"/>
    <col min="2856" max="2856" width="9.5703125" style="144" hidden="1"/>
    <col min="2857" max="2857" width="9.140625" style="144" hidden="1"/>
    <col min="2858" max="2858" width="11.28515625" style="144" hidden="1"/>
    <col min="2859" max="2859" width="11.5703125" style="144" hidden="1"/>
    <col min="2860" max="2860" width="7.140625" style="144" hidden="1"/>
    <col min="2861" max="2861" width="9.7109375" style="144" hidden="1"/>
    <col min="2862" max="2862" width="10.5703125" style="144" hidden="1"/>
    <col min="2863" max="2863" width="6.7109375" style="144" hidden="1"/>
    <col min="2864" max="2864" width="9.7109375" style="144" hidden="1"/>
    <col min="2865" max="2865" width="9" style="144" hidden="1"/>
    <col min="2866" max="2867" width="9.7109375" style="144" hidden="1"/>
    <col min="2868" max="3072" width="9.140625" style="144" hidden="1"/>
    <col min="3073" max="3073" width="6.140625" style="144" hidden="1"/>
    <col min="3074" max="3074" width="14.140625" style="144" hidden="1"/>
    <col min="3075" max="3075" width="9.5703125" style="144" hidden="1"/>
    <col min="3076" max="3076" width="10.28515625" style="144" hidden="1"/>
    <col min="3077" max="3077" width="11.28515625" style="144" hidden="1"/>
    <col min="3078" max="3078" width="11.42578125" style="144" hidden="1"/>
    <col min="3079" max="3079" width="22.5703125" style="144" hidden="1"/>
    <col min="3080" max="3080" width="2.28515625" style="144" hidden="1"/>
    <col min="3081" max="3081" width="11.28515625" style="144" hidden="1"/>
    <col min="3082" max="3082" width="8.42578125" style="144" hidden="1"/>
    <col min="3083" max="3083" width="8.140625" style="144" hidden="1"/>
    <col min="3084" max="3084" width="6.7109375" style="144" hidden="1"/>
    <col min="3085" max="3085" width="7.85546875" style="144" hidden="1"/>
    <col min="3086" max="3086" width="9.42578125" style="144" hidden="1"/>
    <col min="3087" max="3087" width="7.85546875" style="144" hidden="1"/>
    <col min="3088" max="3088" width="8.7109375" style="144" hidden="1"/>
    <col min="3089" max="3090" width="9.140625" style="144" hidden="1"/>
    <col min="3091" max="3091" width="7.85546875" style="144" hidden="1"/>
    <col min="3092" max="3092" width="8.42578125" style="144" hidden="1"/>
    <col min="3093" max="3093" width="6.42578125" style="144" hidden="1"/>
    <col min="3094" max="3094" width="5.28515625" style="144" hidden="1"/>
    <col min="3095" max="3095" width="6" style="144" hidden="1"/>
    <col min="3096" max="3097" width="9.140625" style="144" hidden="1"/>
    <col min="3098" max="3098" width="9.7109375" style="144" hidden="1"/>
    <col min="3099" max="3099" width="6.7109375" style="144" hidden="1"/>
    <col min="3100" max="3101" width="9.7109375" style="144" hidden="1"/>
    <col min="3102" max="3102" width="7.5703125" style="144" hidden="1"/>
    <col min="3103" max="3103" width="6" style="144" hidden="1"/>
    <col min="3104" max="3104" width="6.7109375" style="144" hidden="1"/>
    <col min="3105" max="3105" width="7.5703125" style="144" hidden="1"/>
    <col min="3106" max="3106" width="9.7109375" style="144" hidden="1"/>
    <col min="3107" max="3107" width="14.42578125" style="144" hidden="1"/>
    <col min="3108" max="3108" width="7.28515625" style="144" hidden="1"/>
    <col min="3109" max="3109" width="7.85546875" style="144" hidden="1"/>
    <col min="3110" max="3110" width="9.7109375" style="144" hidden="1"/>
    <col min="3111" max="3111" width="11.42578125" style="144" hidden="1"/>
    <col min="3112" max="3112" width="9.5703125" style="144" hidden="1"/>
    <col min="3113" max="3113" width="9.140625" style="144" hidden="1"/>
    <col min="3114" max="3114" width="11.28515625" style="144" hidden="1"/>
    <col min="3115" max="3115" width="11.5703125" style="144" hidden="1"/>
    <col min="3116" max="3116" width="7.140625" style="144" hidden="1"/>
    <col min="3117" max="3117" width="9.7109375" style="144" hidden="1"/>
    <col min="3118" max="3118" width="10.5703125" style="144" hidden="1"/>
    <col min="3119" max="3119" width="6.7109375" style="144" hidden="1"/>
    <col min="3120" max="3120" width="9.7109375" style="144" hidden="1"/>
    <col min="3121" max="3121" width="9" style="144" hidden="1"/>
    <col min="3122" max="3123" width="9.7109375" style="144" hidden="1"/>
    <col min="3124" max="3328" width="9.140625" style="144" hidden="1"/>
    <col min="3329" max="3329" width="6.140625" style="144" hidden="1"/>
    <col min="3330" max="3330" width="14.140625" style="144" hidden="1"/>
    <col min="3331" max="3331" width="9.5703125" style="144" hidden="1"/>
    <col min="3332" max="3332" width="10.28515625" style="144" hidden="1"/>
    <col min="3333" max="3333" width="11.28515625" style="144" hidden="1"/>
    <col min="3334" max="3334" width="11.42578125" style="144" hidden="1"/>
    <col min="3335" max="3335" width="22.5703125" style="144" hidden="1"/>
    <col min="3336" max="3336" width="2.28515625" style="144" hidden="1"/>
    <col min="3337" max="3337" width="11.28515625" style="144" hidden="1"/>
    <col min="3338" max="3338" width="8.42578125" style="144" hidden="1"/>
    <col min="3339" max="3339" width="8.140625" style="144" hidden="1"/>
    <col min="3340" max="3340" width="6.7109375" style="144" hidden="1"/>
    <col min="3341" max="3341" width="7.85546875" style="144" hidden="1"/>
    <col min="3342" max="3342" width="9.42578125" style="144" hidden="1"/>
    <col min="3343" max="3343" width="7.85546875" style="144" hidden="1"/>
    <col min="3344" max="3344" width="8.7109375" style="144" hidden="1"/>
    <col min="3345" max="3346" width="9.140625" style="144" hidden="1"/>
    <col min="3347" max="3347" width="7.85546875" style="144" hidden="1"/>
    <col min="3348" max="3348" width="8.42578125" style="144" hidden="1"/>
    <col min="3349" max="3349" width="6.42578125" style="144" hidden="1"/>
    <col min="3350" max="3350" width="5.28515625" style="144" hidden="1"/>
    <col min="3351" max="3351" width="6" style="144" hidden="1"/>
    <col min="3352" max="3353" width="9.140625" style="144" hidden="1"/>
    <col min="3354" max="3354" width="9.7109375" style="144" hidden="1"/>
    <col min="3355" max="3355" width="6.7109375" style="144" hidden="1"/>
    <col min="3356" max="3357" width="9.7109375" style="144" hidden="1"/>
    <col min="3358" max="3358" width="7.5703125" style="144" hidden="1"/>
    <col min="3359" max="3359" width="6" style="144" hidden="1"/>
    <col min="3360" max="3360" width="6.7109375" style="144" hidden="1"/>
    <col min="3361" max="3361" width="7.5703125" style="144" hidden="1"/>
    <col min="3362" max="3362" width="9.7109375" style="144" hidden="1"/>
    <col min="3363" max="3363" width="14.42578125" style="144" hidden="1"/>
    <col min="3364" max="3364" width="7.28515625" style="144" hidden="1"/>
    <col min="3365" max="3365" width="7.85546875" style="144" hidden="1"/>
    <col min="3366" max="3366" width="9.7109375" style="144" hidden="1"/>
    <col min="3367" max="3367" width="11.42578125" style="144" hidden="1"/>
    <col min="3368" max="3368" width="9.5703125" style="144" hidden="1"/>
    <col min="3369" max="3369" width="9.140625" style="144" hidden="1"/>
    <col min="3370" max="3370" width="11.28515625" style="144" hidden="1"/>
    <col min="3371" max="3371" width="11.5703125" style="144" hidden="1"/>
    <col min="3372" max="3372" width="7.140625" style="144" hidden="1"/>
    <col min="3373" max="3373" width="9.7109375" style="144" hidden="1"/>
    <col min="3374" max="3374" width="10.5703125" style="144" hidden="1"/>
    <col min="3375" max="3375" width="6.7109375" style="144" hidden="1"/>
    <col min="3376" max="3376" width="9.7109375" style="144" hidden="1"/>
    <col min="3377" max="3377" width="9" style="144" hidden="1"/>
    <col min="3378" max="3379" width="9.7109375" style="144" hidden="1"/>
    <col min="3380" max="3584" width="9.140625" style="144" hidden="1"/>
    <col min="3585" max="3585" width="6.140625" style="144" hidden="1"/>
    <col min="3586" max="3586" width="14.140625" style="144" hidden="1"/>
    <col min="3587" max="3587" width="9.5703125" style="144" hidden="1"/>
    <col min="3588" max="3588" width="10.28515625" style="144" hidden="1"/>
    <col min="3589" max="3589" width="11.28515625" style="144" hidden="1"/>
    <col min="3590" max="3590" width="11.42578125" style="144" hidden="1"/>
    <col min="3591" max="3591" width="22.5703125" style="144" hidden="1"/>
    <col min="3592" max="3592" width="2.28515625" style="144" hidden="1"/>
    <col min="3593" max="3593" width="11.28515625" style="144" hidden="1"/>
    <col min="3594" max="3594" width="8.42578125" style="144" hidden="1"/>
    <col min="3595" max="3595" width="8.140625" style="144" hidden="1"/>
    <col min="3596" max="3596" width="6.7109375" style="144" hidden="1"/>
    <col min="3597" max="3597" width="7.85546875" style="144" hidden="1"/>
    <col min="3598" max="3598" width="9.42578125" style="144" hidden="1"/>
    <col min="3599" max="3599" width="7.85546875" style="144" hidden="1"/>
    <col min="3600" max="3600" width="8.7109375" style="144" hidden="1"/>
    <col min="3601" max="3602" width="9.140625" style="144" hidden="1"/>
    <col min="3603" max="3603" width="7.85546875" style="144" hidden="1"/>
    <col min="3604" max="3604" width="8.42578125" style="144" hidden="1"/>
    <col min="3605" max="3605" width="6.42578125" style="144" hidden="1"/>
    <col min="3606" max="3606" width="5.28515625" style="144" hidden="1"/>
    <col min="3607" max="3607" width="6" style="144" hidden="1"/>
    <col min="3608" max="3609" width="9.140625" style="144" hidden="1"/>
    <col min="3610" max="3610" width="9.7109375" style="144" hidden="1"/>
    <col min="3611" max="3611" width="6.7109375" style="144" hidden="1"/>
    <col min="3612" max="3613" width="9.7109375" style="144" hidden="1"/>
    <col min="3614" max="3614" width="7.5703125" style="144" hidden="1"/>
    <col min="3615" max="3615" width="6" style="144" hidden="1"/>
    <col min="3616" max="3616" width="6.7109375" style="144" hidden="1"/>
    <col min="3617" max="3617" width="7.5703125" style="144" hidden="1"/>
    <col min="3618" max="3618" width="9.7109375" style="144" hidden="1"/>
    <col min="3619" max="3619" width="14.42578125" style="144" hidden="1"/>
    <col min="3620" max="3620" width="7.28515625" style="144" hidden="1"/>
    <col min="3621" max="3621" width="7.85546875" style="144" hidden="1"/>
    <col min="3622" max="3622" width="9.7109375" style="144" hidden="1"/>
    <col min="3623" max="3623" width="11.42578125" style="144" hidden="1"/>
    <col min="3624" max="3624" width="9.5703125" style="144" hidden="1"/>
    <col min="3625" max="3625" width="9.140625" style="144" hidden="1"/>
    <col min="3626" max="3626" width="11.28515625" style="144" hidden="1"/>
    <col min="3627" max="3627" width="11.5703125" style="144" hidden="1"/>
    <col min="3628" max="3628" width="7.140625" style="144" hidden="1"/>
    <col min="3629" max="3629" width="9.7109375" style="144" hidden="1"/>
    <col min="3630" max="3630" width="10.5703125" style="144" hidden="1"/>
    <col min="3631" max="3631" width="6.7109375" style="144" hidden="1"/>
    <col min="3632" max="3632" width="9.7109375" style="144" hidden="1"/>
    <col min="3633" max="3633" width="9" style="144" hidden="1"/>
    <col min="3634" max="3635" width="9.7109375" style="144" hidden="1"/>
    <col min="3636" max="3840" width="9.140625" style="144" hidden="1"/>
    <col min="3841" max="3841" width="6.140625" style="144" hidden="1"/>
    <col min="3842" max="3842" width="14.140625" style="144" hidden="1"/>
    <col min="3843" max="3843" width="9.5703125" style="144" hidden="1"/>
    <col min="3844" max="3844" width="10.28515625" style="144" hidden="1"/>
    <col min="3845" max="3845" width="11.28515625" style="144" hidden="1"/>
    <col min="3846" max="3846" width="11.42578125" style="144" hidden="1"/>
    <col min="3847" max="3847" width="22.5703125" style="144" hidden="1"/>
    <col min="3848" max="3848" width="2.28515625" style="144" hidden="1"/>
    <col min="3849" max="3849" width="11.28515625" style="144" hidden="1"/>
    <col min="3850" max="3850" width="8.42578125" style="144" hidden="1"/>
    <col min="3851" max="3851" width="8.140625" style="144" hidden="1"/>
    <col min="3852" max="3852" width="6.7109375" style="144" hidden="1"/>
    <col min="3853" max="3853" width="7.85546875" style="144" hidden="1"/>
    <col min="3854" max="3854" width="9.42578125" style="144" hidden="1"/>
    <col min="3855" max="3855" width="7.85546875" style="144" hidden="1"/>
    <col min="3856" max="3856" width="8.7109375" style="144" hidden="1"/>
    <col min="3857" max="3858" width="9.140625" style="144" hidden="1"/>
    <col min="3859" max="3859" width="7.85546875" style="144" hidden="1"/>
    <col min="3860" max="3860" width="8.42578125" style="144" hidden="1"/>
    <col min="3861" max="3861" width="6.42578125" style="144" hidden="1"/>
    <col min="3862" max="3862" width="5.28515625" style="144" hidden="1"/>
    <col min="3863" max="3863" width="6" style="144" hidden="1"/>
    <col min="3864" max="3865" width="9.140625" style="144" hidden="1"/>
    <col min="3866" max="3866" width="9.7109375" style="144" hidden="1"/>
    <col min="3867" max="3867" width="6.7109375" style="144" hidden="1"/>
    <col min="3868" max="3869" width="9.7109375" style="144" hidden="1"/>
    <col min="3870" max="3870" width="7.5703125" style="144" hidden="1"/>
    <col min="3871" max="3871" width="6" style="144" hidden="1"/>
    <col min="3872" max="3872" width="6.7109375" style="144" hidden="1"/>
    <col min="3873" max="3873" width="7.5703125" style="144" hidden="1"/>
    <col min="3874" max="3874" width="9.7109375" style="144" hidden="1"/>
    <col min="3875" max="3875" width="14.42578125" style="144" hidden="1"/>
    <col min="3876" max="3876" width="7.28515625" style="144" hidden="1"/>
    <col min="3877" max="3877" width="7.85546875" style="144" hidden="1"/>
    <col min="3878" max="3878" width="9.7109375" style="144" hidden="1"/>
    <col min="3879" max="3879" width="11.42578125" style="144" hidden="1"/>
    <col min="3880" max="3880" width="9.5703125" style="144" hidden="1"/>
    <col min="3881" max="3881" width="9.140625" style="144" hidden="1"/>
    <col min="3882" max="3882" width="11.28515625" style="144" hidden="1"/>
    <col min="3883" max="3883" width="11.5703125" style="144" hidden="1"/>
    <col min="3884" max="3884" width="7.140625" style="144" hidden="1"/>
    <col min="3885" max="3885" width="9.7109375" style="144" hidden="1"/>
    <col min="3886" max="3886" width="10.5703125" style="144" hidden="1"/>
    <col min="3887" max="3887" width="6.7109375" style="144" hidden="1"/>
    <col min="3888" max="3888" width="9.7109375" style="144" hidden="1"/>
    <col min="3889" max="3889" width="9" style="144" hidden="1"/>
    <col min="3890" max="3891" width="9.7109375" style="144" hidden="1"/>
    <col min="3892" max="4096" width="9.140625" style="144" hidden="1"/>
    <col min="4097" max="4097" width="6.140625" style="144" hidden="1"/>
    <col min="4098" max="4098" width="14.140625" style="144" hidden="1"/>
    <col min="4099" max="4099" width="9.5703125" style="144" hidden="1"/>
    <col min="4100" max="4100" width="10.28515625" style="144" hidden="1"/>
    <col min="4101" max="4101" width="11.28515625" style="144" hidden="1"/>
    <col min="4102" max="4102" width="11.42578125" style="144" hidden="1"/>
    <col min="4103" max="4103" width="22.5703125" style="144" hidden="1"/>
    <col min="4104" max="4104" width="2.28515625" style="144" hidden="1"/>
    <col min="4105" max="4105" width="11.28515625" style="144" hidden="1"/>
    <col min="4106" max="4106" width="8.42578125" style="144" hidden="1"/>
    <col min="4107" max="4107" width="8.140625" style="144" hidden="1"/>
    <col min="4108" max="4108" width="6.7109375" style="144" hidden="1"/>
    <col min="4109" max="4109" width="7.85546875" style="144" hidden="1"/>
    <col min="4110" max="4110" width="9.42578125" style="144" hidden="1"/>
    <col min="4111" max="4111" width="7.85546875" style="144" hidden="1"/>
    <col min="4112" max="4112" width="8.7109375" style="144" hidden="1"/>
    <col min="4113" max="4114" width="9.140625" style="144" hidden="1"/>
    <col min="4115" max="4115" width="7.85546875" style="144" hidden="1"/>
    <col min="4116" max="4116" width="8.42578125" style="144" hidden="1"/>
    <col min="4117" max="4117" width="6.42578125" style="144" hidden="1"/>
    <col min="4118" max="4118" width="5.28515625" style="144" hidden="1"/>
    <col min="4119" max="4119" width="6" style="144" hidden="1"/>
    <col min="4120" max="4121" width="9.140625" style="144" hidden="1"/>
    <col min="4122" max="4122" width="9.7109375" style="144" hidden="1"/>
    <col min="4123" max="4123" width="6.7109375" style="144" hidden="1"/>
    <col min="4124" max="4125" width="9.7109375" style="144" hidden="1"/>
    <col min="4126" max="4126" width="7.5703125" style="144" hidden="1"/>
    <col min="4127" max="4127" width="6" style="144" hidden="1"/>
    <col min="4128" max="4128" width="6.7109375" style="144" hidden="1"/>
    <col min="4129" max="4129" width="7.5703125" style="144" hidden="1"/>
    <col min="4130" max="4130" width="9.7109375" style="144" hidden="1"/>
    <col min="4131" max="4131" width="14.42578125" style="144" hidden="1"/>
    <col min="4132" max="4132" width="7.28515625" style="144" hidden="1"/>
    <col min="4133" max="4133" width="7.85546875" style="144" hidden="1"/>
    <col min="4134" max="4134" width="9.7109375" style="144" hidden="1"/>
    <col min="4135" max="4135" width="11.42578125" style="144" hidden="1"/>
    <col min="4136" max="4136" width="9.5703125" style="144" hidden="1"/>
    <col min="4137" max="4137" width="9.140625" style="144" hidden="1"/>
    <col min="4138" max="4138" width="11.28515625" style="144" hidden="1"/>
    <col min="4139" max="4139" width="11.5703125" style="144" hidden="1"/>
    <col min="4140" max="4140" width="7.140625" style="144" hidden="1"/>
    <col min="4141" max="4141" width="9.7109375" style="144" hidden="1"/>
    <col min="4142" max="4142" width="10.5703125" style="144" hidden="1"/>
    <col min="4143" max="4143" width="6.7109375" style="144" hidden="1"/>
    <col min="4144" max="4144" width="9.7109375" style="144" hidden="1"/>
    <col min="4145" max="4145" width="9" style="144" hidden="1"/>
    <col min="4146" max="4147" width="9.7109375" style="144" hidden="1"/>
    <col min="4148" max="4352" width="9.140625" style="144" hidden="1"/>
    <col min="4353" max="4353" width="6.140625" style="144" hidden="1"/>
    <col min="4354" max="4354" width="14.140625" style="144" hidden="1"/>
    <col min="4355" max="4355" width="9.5703125" style="144" hidden="1"/>
    <col min="4356" max="4356" width="10.28515625" style="144" hidden="1"/>
    <col min="4357" max="4357" width="11.28515625" style="144" hidden="1"/>
    <col min="4358" max="4358" width="11.42578125" style="144" hidden="1"/>
    <col min="4359" max="4359" width="22.5703125" style="144" hidden="1"/>
    <col min="4360" max="4360" width="2.28515625" style="144" hidden="1"/>
    <col min="4361" max="4361" width="11.28515625" style="144" hidden="1"/>
    <col min="4362" max="4362" width="8.42578125" style="144" hidden="1"/>
    <col min="4363" max="4363" width="8.140625" style="144" hidden="1"/>
    <col min="4364" max="4364" width="6.7109375" style="144" hidden="1"/>
    <col min="4365" max="4365" width="7.85546875" style="144" hidden="1"/>
    <col min="4366" max="4366" width="9.42578125" style="144" hidden="1"/>
    <col min="4367" max="4367" width="7.85546875" style="144" hidden="1"/>
    <col min="4368" max="4368" width="8.7109375" style="144" hidden="1"/>
    <col min="4369" max="4370" width="9.140625" style="144" hidden="1"/>
    <col min="4371" max="4371" width="7.85546875" style="144" hidden="1"/>
    <col min="4372" max="4372" width="8.42578125" style="144" hidden="1"/>
    <col min="4373" max="4373" width="6.42578125" style="144" hidden="1"/>
    <col min="4374" max="4374" width="5.28515625" style="144" hidden="1"/>
    <col min="4375" max="4375" width="6" style="144" hidden="1"/>
    <col min="4376" max="4377" width="9.140625" style="144" hidden="1"/>
    <col min="4378" max="4378" width="9.7109375" style="144" hidden="1"/>
    <col min="4379" max="4379" width="6.7109375" style="144" hidden="1"/>
    <col min="4380" max="4381" width="9.7109375" style="144" hidden="1"/>
    <col min="4382" max="4382" width="7.5703125" style="144" hidden="1"/>
    <col min="4383" max="4383" width="6" style="144" hidden="1"/>
    <col min="4384" max="4384" width="6.7109375" style="144" hidden="1"/>
    <col min="4385" max="4385" width="7.5703125" style="144" hidden="1"/>
    <col min="4386" max="4386" width="9.7109375" style="144" hidden="1"/>
    <col min="4387" max="4387" width="14.42578125" style="144" hidden="1"/>
    <col min="4388" max="4388" width="7.28515625" style="144" hidden="1"/>
    <col min="4389" max="4389" width="7.85546875" style="144" hidden="1"/>
    <col min="4390" max="4390" width="9.7109375" style="144" hidden="1"/>
    <col min="4391" max="4391" width="11.42578125" style="144" hidden="1"/>
    <col min="4392" max="4392" width="9.5703125" style="144" hidden="1"/>
    <col min="4393" max="4393" width="9.140625" style="144" hidden="1"/>
    <col min="4394" max="4394" width="11.28515625" style="144" hidden="1"/>
    <col min="4395" max="4395" width="11.5703125" style="144" hidden="1"/>
    <col min="4396" max="4396" width="7.140625" style="144" hidden="1"/>
    <col min="4397" max="4397" width="9.7109375" style="144" hidden="1"/>
    <col min="4398" max="4398" width="10.5703125" style="144" hidden="1"/>
    <col min="4399" max="4399" width="6.7109375" style="144" hidden="1"/>
    <col min="4400" max="4400" width="9.7109375" style="144" hidden="1"/>
    <col min="4401" max="4401" width="9" style="144" hidden="1"/>
    <col min="4402" max="4403" width="9.7109375" style="144" hidden="1"/>
    <col min="4404" max="4608" width="9.140625" style="144" hidden="1"/>
    <col min="4609" max="4609" width="6.140625" style="144" hidden="1"/>
    <col min="4610" max="4610" width="14.140625" style="144" hidden="1"/>
    <col min="4611" max="4611" width="9.5703125" style="144" hidden="1"/>
    <col min="4612" max="4612" width="10.28515625" style="144" hidden="1"/>
    <col min="4613" max="4613" width="11.28515625" style="144" hidden="1"/>
    <col min="4614" max="4614" width="11.42578125" style="144" hidden="1"/>
    <col min="4615" max="4615" width="22.5703125" style="144" hidden="1"/>
    <col min="4616" max="4616" width="2.28515625" style="144" hidden="1"/>
    <col min="4617" max="4617" width="11.28515625" style="144" hidden="1"/>
    <col min="4618" max="4618" width="8.42578125" style="144" hidden="1"/>
    <col min="4619" max="4619" width="8.140625" style="144" hidden="1"/>
    <col min="4620" max="4620" width="6.7109375" style="144" hidden="1"/>
    <col min="4621" max="4621" width="7.85546875" style="144" hidden="1"/>
    <col min="4622" max="4622" width="9.42578125" style="144" hidden="1"/>
    <col min="4623" max="4623" width="7.85546875" style="144" hidden="1"/>
    <col min="4624" max="4624" width="8.7109375" style="144" hidden="1"/>
    <col min="4625" max="4626" width="9.140625" style="144" hidden="1"/>
    <col min="4627" max="4627" width="7.85546875" style="144" hidden="1"/>
    <col min="4628" max="4628" width="8.42578125" style="144" hidden="1"/>
    <col min="4629" max="4629" width="6.42578125" style="144" hidden="1"/>
    <col min="4630" max="4630" width="5.28515625" style="144" hidden="1"/>
    <col min="4631" max="4631" width="6" style="144" hidden="1"/>
    <col min="4632" max="4633" width="9.140625" style="144" hidden="1"/>
    <col min="4634" max="4634" width="9.7109375" style="144" hidden="1"/>
    <col min="4635" max="4635" width="6.7109375" style="144" hidden="1"/>
    <col min="4636" max="4637" width="9.7109375" style="144" hidden="1"/>
    <col min="4638" max="4638" width="7.5703125" style="144" hidden="1"/>
    <col min="4639" max="4639" width="6" style="144" hidden="1"/>
    <col min="4640" max="4640" width="6.7109375" style="144" hidden="1"/>
    <col min="4641" max="4641" width="7.5703125" style="144" hidden="1"/>
    <col min="4642" max="4642" width="9.7109375" style="144" hidden="1"/>
    <col min="4643" max="4643" width="14.42578125" style="144" hidden="1"/>
    <col min="4644" max="4644" width="7.28515625" style="144" hidden="1"/>
    <col min="4645" max="4645" width="7.85546875" style="144" hidden="1"/>
    <col min="4646" max="4646" width="9.7109375" style="144" hidden="1"/>
    <col min="4647" max="4647" width="11.42578125" style="144" hidden="1"/>
    <col min="4648" max="4648" width="9.5703125" style="144" hidden="1"/>
    <col min="4649" max="4649" width="9.140625" style="144" hidden="1"/>
    <col min="4650" max="4650" width="11.28515625" style="144" hidden="1"/>
    <col min="4651" max="4651" width="11.5703125" style="144" hidden="1"/>
    <col min="4652" max="4652" width="7.140625" style="144" hidden="1"/>
    <col min="4653" max="4653" width="9.7109375" style="144" hidden="1"/>
    <col min="4654" max="4654" width="10.5703125" style="144" hidden="1"/>
    <col min="4655" max="4655" width="6.7109375" style="144" hidden="1"/>
    <col min="4656" max="4656" width="9.7109375" style="144" hidden="1"/>
    <col min="4657" max="4657" width="9" style="144" hidden="1"/>
    <col min="4658" max="4659" width="9.7109375" style="144" hidden="1"/>
    <col min="4660" max="4864" width="9.140625" style="144" hidden="1"/>
    <col min="4865" max="4865" width="6.140625" style="144" hidden="1"/>
    <col min="4866" max="4866" width="14.140625" style="144" hidden="1"/>
    <col min="4867" max="4867" width="9.5703125" style="144" hidden="1"/>
    <col min="4868" max="4868" width="10.28515625" style="144" hidden="1"/>
    <col min="4869" max="4869" width="11.28515625" style="144" hidden="1"/>
    <col min="4870" max="4870" width="11.42578125" style="144" hidden="1"/>
    <col min="4871" max="4871" width="22.5703125" style="144" hidden="1"/>
    <col min="4872" max="4872" width="2.28515625" style="144" hidden="1"/>
    <col min="4873" max="4873" width="11.28515625" style="144" hidden="1"/>
    <col min="4874" max="4874" width="8.42578125" style="144" hidden="1"/>
    <col min="4875" max="4875" width="8.140625" style="144" hidden="1"/>
    <col min="4876" max="4876" width="6.7109375" style="144" hidden="1"/>
    <col min="4877" max="4877" width="7.85546875" style="144" hidden="1"/>
    <col min="4878" max="4878" width="9.42578125" style="144" hidden="1"/>
    <col min="4879" max="4879" width="7.85546875" style="144" hidden="1"/>
    <col min="4880" max="4880" width="8.7109375" style="144" hidden="1"/>
    <col min="4881" max="4882" width="9.140625" style="144" hidden="1"/>
    <col min="4883" max="4883" width="7.85546875" style="144" hidden="1"/>
    <col min="4884" max="4884" width="8.42578125" style="144" hidden="1"/>
    <col min="4885" max="4885" width="6.42578125" style="144" hidden="1"/>
    <col min="4886" max="4886" width="5.28515625" style="144" hidden="1"/>
    <col min="4887" max="4887" width="6" style="144" hidden="1"/>
    <col min="4888" max="4889" width="9.140625" style="144" hidden="1"/>
    <col min="4890" max="4890" width="9.7109375" style="144" hidden="1"/>
    <col min="4891" max="4891" width="6.7109375" style="144" hidden="1"/>
    <col min="4892" max="4893" width="9.7109375" style="144" hidden="1"/>
    <col min="4894" max="4894" width="7.5703125" style="144" hidden="1"/>
    <col min="4895" max="4895" width="6" style="144" hidden="1"/>
    <col min="4896" max="4896" width="6.7109375" style="144" hidden="1"/>
    <col min="4897" max="4897" width="7.5703125" style="144" hidden="1"/>
    <col min="4898" max="4898" width="9.7109375" style="144" hidden="1"/>
    <col min="4899" max="4899" width="14.42578125" style="144" hidden="1"/>
    <col min="4900" max="4900" width="7.28515625" style="144" hidden="1"/>
    <col min="4901" max="4901" width="7.85546875" style="144" hidden="1"/>
    <col min="4902" max="4902" width="9.7109375" style="144" hidden="1"/>
    <col min="4903" max="4903" width="11.42578125" style="144" hidden="1"/>
    <col min="4904" max="4904" width="9.5703125" style="144" hidden="1"/>
    <col min="4905" max="4905" width="9.140625" style="144" hidden="1"/>
    <col min="4906" max="4906" width="11.28515625" style="144" hidden="1"/>
    <col min="4907" max="4907" width="11.5703125" style="144" hidden="1"/>
    <col min="4908" max="4908" width="7.140625" style="144" hidden="1"/>
    <col min="4909" max="4909" width="9.7109375" style="144" hidden="1"/>
    <col min="4910" max="4910" width="10.5703125" style="144" hidden="1"/>
    <col min="4911" max="4911" width="6.7109375" style="144" hidden="1"/>
    <col min="4912" max="4912" width="9.7109375" style="144" hidden="1"/>
    <col min="4913" max="4913" width="9" style="144" hidden="1"/>
    <col min="4914" max="4915" width="9.7109375" style="144" hidden="1"/>
    <col min="4916" max="5120" width="9.140625" style="144" hidden="1"/>
    <col min="5121" max="5121" width="6.140625" style="144" hidden="1"/>
    <col min="5122" max="5122" width="14.140625" style="144" hidden="1"/>
    <col min="5123" max="5123" width="9.5703125" style="144" hidden="1"/>
    <col min="5124" max="5124" width="10.28515625" style="144" hidden="1"/>
    <col min="5125" max="5125" width="11.28515625" style="144" hidden="1"/>
    <col min="5126" max="5126" width="11.42578125" style="144" hidden="1"/>
    <col min="5127" max="5127" width="22.5703125" style="144" hidden="1"/>
    <col min="5128" max="5128" width="2.28515625" style="144" hidden="1"/>
    <col min="5129" max="5129" width="11.28515625" style="144" hidden="1"/>
    <col min="5130" max="5130" width="8.42578125" style="144" hidden="1"/>
    <col min="5131" max="5131" width="8.140625" style="144" hidden="1"/>
    <col min="5132" max="5132" width="6.7109375" style="144" hidden="1"/>
    <col min="5133" max="5133" width="7.85546875" style="144" hidden="1"/>
    <col min="5134" max="5134" width="9.42578125" style="144" hidden="1"/>
    <col min="5135" max="5135" width="7.85546875" style="144" hidden="1"/>
    <col min="5136" max="5136" width="8.7109375" style="144" hidden="1"/>
    <col min="5137" max="5138" width="9.140625" style="144" hidden="1"/>
    <col min="5139" max="5139" width="7.85546875" style="144" hidden="1"/>
    <col min="5140" max="5140" width="8.42578125" style="144" hidden="1"/>
    <col min="5141" max="5141" width="6.42578125" style="144" hidden="1"/>
    <col min="5142" max="5142" width="5.28515625" style="144" hidden="1"/>
    <col min="5143" max="5143" width="6" style="144" hidden="1"/>
    <col min="5144" max="5145" width="9.140625" style="144" hidden="1"/>
    <col min="5146" max="5146" width="9.7109375" style="144" hidden="1"/>
    <col min="5147" max="5147" width="6.7109375" style="144" hidden="1"/>
    <col min="5148" max="5149" width="9.7109375" style="144" hidden="1"/>
    <col min="5150" max="5150" width="7.5703125" style="144" hidden="1"/>
    <col min="5151" max="5151" width="6" style="144" hidden="1"/>
    <col min="5152" max="5152" width="6.7109375" style="144" hidden="1"/>
    <col min="5153" max="5153" width="7.5703125" style="144" hidden="1"/>
    <col min="5154" max="5154" width="9.7109375" style="144" hidden="1"/>
    <col min="5155" max="5155" width="14.42578125" style="144" hidden="1"/>
    <col min="5156" max="5156" width="7.28515625" style="144" hidden="1"/>
    <col min="5157" max="5157" width="7.85546875" style="144" hidden="1"/>
    <col min="5158" max="5158" width="9.7109375" style="144" hidden="1"/>
    <col min="5159" max="5159" width="11.42578125" style="144" hidden="1"/>
    <col min="5160" max="5160" width="9.5703125" style="144" hidden="1"/>
    <col min="5161" max="5161" width="9.140625" style="144" hidden="1"/>
    <col min="5162" max="5162" width="11.28515625" style="144" hidden="1"/>
    <col min="5163" max="5163" width="11.5703125" style="144" hidden="1"/>
    <col min="5164" max="5164" width="7.140625" style="144" hidden="1"/>
    <col min="5165" max="5165" width="9.7109375" style="144" hidden="1"/>
    <col min="5166" max="5166" width="10.5703125" style="144" hidden="1"/>
    <col min="5167" max="5167" width="6.7109375" style="144" hidden="1"/>
    <col min="5168" max="5168" width="9.7109375" style="144" hidden="1"/>
    <col min="5169" max="5169" width="9" style="144" hidden="1"/>
    <col min="5170" max="5171" width="9.7109375" style="144" hidden="1"/>
    <col min="5172" max="5376" width="9.140625" style="144" hidden="1"/>
    <col min="5377" max="5377" width="6.140625" style="144" hidden="1"/>
    <col min="5378" max="5378" width="14.140625" style="144" hidden="1"/>
    <col min="5379" max="5379" width="9.5703125" style="144" hidden="1"/>
    <col min="5380" max="5380" width="10.28515625" style="144" hidden="1"/>
    <col min="5381" max="5381" width="11.28515625" style="144" hidden="1"/>
    <col min="5382" max="5382" width="11.42578125" style="144" hidden="1"/>
    <col min="5383" max="5383" width="22.5703125" style="144" hidden="1"/>
    <col min="5384" max="5384" width="2.28515625" style="144" hidden="1"/>
    <col min="5385" max="5385" width="11.28515625" style="144" hidden="1"/>
    <col min="5386" max="5386" width="8.42578125" style="144" hidden="1"/>
    <col min="5387" max="5387" width="8.140625" style="144" hidden="1"/>
    <col min="5388" max="5388" width="6.7109375" style="144" hidden="1"/>
    <col min="5389" max="5389" width="7.85546875" style="144" hidden="1"/>
    <col min="5390" max="5390" width="9.42578125" style="144" hidden="1"/>
    <col min="5391" max="5391" width="7.85546875" style="144" hidden="1"/>
    <col min="5392" max="5392" width="8.7109375" style="144" hidden="1"/>
    <col min="5393" max="5394" width="9.140625" style="144" hidden="1"/>
    <col min="5395" max="5395" width="7.85546875" style="144" hidden="1"/>
    <col min="5396" max="5396" width="8.42578125" style="144" hidden="1"/>
    <col min="5397" max="5397" width="6.42578125" style="144" hidden="1"/>
    <col min="5398" max="5398" width="5.28515625" style="144" hidden="1"/>
    <col min="5399" max="5399" width="6" style="144" hidden="1"/>
    <col min="5400" max="5401" width="9.140625" style="144" hidden="1"/>
    <col min="5402" max="5402" width="9.7109375" style="144" hidden="1"/>
    <col min="5403" max="5403" width="6.7109375" style="144" hidden="1"/>
    <col min="5404" max="5405" width="9.7109375" style="144" hidden="1"/>
    <col min="5406" max="5406" width="7.5703125" style="144" hidden="1"/>
    <col min="5407" max="5407" width="6" style="144" hidden="1"/>
    <col min="5408" max="5408" width="6.7109375" style="144" hidden="1"/>
    <col min="5409" max="5409" width="7.5703125" style="144" hidden="1"/>
    <col min="5410" max="5410" width="9.7109375" style="144" hidden="1"/>
    <col min="5411" max="5411" width="14.42578125" style="144" hidden="1"/>
    <col min="5412" max="5412" width="7.28515625" style="144" hidden="1"/>
    <col min="5413" max="5413" width="7.85546875" style="144" hidden="1"/>
    <col min="5414" max="5414" width="9.7109375" style="144" hidden="1"/>
    <col min="5415" max="5415" width="11.42578125" style="144" hidden="1"/>
    <col min="5416" max="5416" width="9.5703125" style="144" hidden="1"/>
    <col min="5417" max="5417" width="9.140625" style="144" hidden="1"/>
    <col min="5418" max="5418" width="11.28515625" style="144" hidden="1"/>
    <col min="5419" max="5419" width="11.5703125" style="144" hidden="1"/>
    <col min="5420" max="5420" width="7.140625" style="144" hidden="1"/>
    <col min="5421" max="5421" width="9.7109375" style="144" hidden="1"/>
    <col min="5422" max="5422" width="10.5703125" style="144" hidden="1"/>
    <col min="5423" max="5423" width="6.7109375" style="144" hidden="1"/>
    <col min="5424" max="5424" width="9.7109375" style="144" hidden="1"/>
    <col min="5425" max="5425" width="9" style="144" hidden="1"/>
    <col min="5426" max="5427" width="9.7109375" style="144" hidden="1"/>
    <col min="5428" max="5632" width="9.140625" style="144" hidden="1"/>
    <col min="5633" max="5633" width="6.140625" style="144" hidden="1"/>
    <col min="5634" max="5634" width="14.140625" style="144" hidden="1"/>
    <col min="5635" max="5635" width="9.5703125" style="144" hidden="1"/>
    <col min="5636" max="5636" width="10.28515625" style="144" hidden="1"/>
    <col min="5637" max="5637" width="11.28515625" style="144" hidden="1"/>
    <col min="5638" max="5638" width="11.42578125" style="144" hidden="1"/>
    <col min="5639" max="5639" width="22.5703125" style="144" hidden="1"/>
    <col min="5640" max="5640" width="2.28515625" style="144" hidden="1"/>
    <col min="5641" max="5641" width="11.28515625" style="144" hidden="1"/>
    <col min="5642" max="5642" width="8.42578125" style="144" hidden="1"/>
    <col min="5643" max="5643" width="8.140625" style="144" hidden="1"/>
    <col min="5644" max="5644" width="6.7109375" style="144" hidden="1"/>
    <col min="5645" max="5645" width="7.85546875" style="144" hidden="1"/>
    <col min="5646" max="5646" width="9.42578125" style="144" hidden="1"/>
    <col min="5647" max="5647" width="7.85546875" style="144" hidden="1"/>
    <col min="5648" max="5648" width="8.7109375" style="144" hidden="1"/>
    <col min="5649" max="5650" width="9.140625" style="144" hidden="1"/>
    <col min="5651" max="5651" width="7.85546875" style="144" hidden="1"/>
    <col min="5652" max="5652" width="8.42578125" style="144" hidden="1"/>
    <col min="5653" max="5653" width="6.42578125" style="144" hidden="1"/>
    <col min="5654" max="5654" width="5.28515625" style="144" hidden="1"/>
    <col min="5655" max="5655" width="6" style="144" hidden="1"/>
    <col min="5656" max="5657" width="9.140625" style="144" hidden="1"/>
    <col min="5658" max="5658" width="9.7109375" style="144" hidden="1"/>
    <col min="5659" max="5659" width="6.7109375" style="144" hidden="1"/>
    <col min="5660" max="5661" width="9.7109375" style="144" hidden="1"/>
    <col min="5662" max="5662" width="7.5703125" style="144" hidden="1"/>
    <col min="5663" max="5663" width="6" style="144" hidden="1"/>
    <col min="5664" max="5664" width="6.7109375" style="144" hidden="1"/>
    <col min="5665" max="5665" width="7.5703125" style="144" hidden="1"/>
    <col min="5666" max="5666" width="9.7109375" style="144" hidden="1"/>
    <col min="5667" max="5667" width="14.42578125" style="144" hidden="1"/>
    <col min="5668" max="5668" width="7.28515625" style="144" hidden="1"/>
    <col min="5669" max="5669" width="7.85546875" style="144" hidden="1"/>
    <col min="5670" max="5670" width="9.7109375" style="144" hidden="1"/>
    <col min="5671" max="5671" width="11.42578125" style="144" hidden="1"/>
    <col min="5672" max="5672" width="9.5703125" style="144" hidden="1"/>
    <col min="5673" max="5673" width="9.140625" style="144" hidden="1"/>
    <col min="5674" max="5674" width="11.28515625" style="144" hidden="1"/>
    <col min="5675" max="5675" width="11.5703125" style="144" hidden="1"/>
    <col min="5676" max="5676" width="7.140625" style="144" hidden="1"/>
    <col min="5677" max="5677" width="9.7109375" style="144" hidden="1"/>
    <col min="5678" max="5678" width="10.5703125" style="144" hidden="1"/>
    <col min="5679" max="5679" width="6.7109375" style="144" hidden="1"/>
    <col min="5680" max="5680" width="9.7109375" style="144" hidden="1"/>
    <col min="5681" max="5681" width="9" style="144" hidden="1"/>
    <col min="5682" max="5683" width="9.7109375" style="144" hidden="1"/>
    <col min="5684" max="5888" width="9.140625" style="144" hidden="1"/>
    <col min="5889" max="5889" width="6.140625" style="144" hidden="1"/>
    <col min="5890" max="5890" width="14.140625" style="144" hidden="1"/>
    <col min="5891" max="5891" width="9.5703125" style="144" hidden="1"/>
    <col min="5892" max="5892" width="10.28515625" style="144" hidden="1"/>
    <col min="5893" max="5893" width="11.28515625" style="144" hidden="1"/>
    <col min="5894" max="5894" width="11.42578125" style="144" hidden="1"/>
    <col min="5895" max="5895" width="22.5703125" style="144" hidden="1"/>
    <col min="5896" max="5896" width="2.28515625" style="144" hidden="1"/>
    <col min="5897" max="5897" width="11.28515625" style="144" hidden="1"/>
    <col min="5898" max="5898" width="8.42578125" style="144" hidden="1"/>
    <col min="5899" max="5899" width="8.140625" style="144" hidden="1"/>
    <col min="5900" max="5900" width="6.7109375" style="144" hidden="1"/>
    <col min="5901" max="5901" width="7.85546875" style="144" hidden="1"/>
    <col min="5902" max="5902" width="9.42578125" style="144" hidden="1"/>
    <col min="5903" max="5903" width="7.85546875" style="144" hidden="1"/>
    <col min="5904" max="5904" width="8.7109375" style="144" hidden="1"/>
    <col min="5905" max="5906" width="9.140625" style="144" hidden="1"/>
    <col min="5907" max="5907" width="7.85546875" style="144" hidden="1"/>
    <col min="5908" max="5908" width="8.42578125" style="144" hidden="1"/>
    <col min="5909" max="5909" width="6.42578125" style="144" hidden="1"/>
    <col min="5910" max="5910" width="5.28515625" style="144" hidden="1"/>
    <col min="5911" max="5911" width="6" style="144" hidden="1"/>
    <col min="5912" max="5913" width="9.140625" style="144" hidden="1"/>
    <col min="5914" max="5914" width="9.7109375" style="144" hidden="1"/>
    <col min="5915" max="5915" width="6.7109375" style="144" hidden="1"/>
    <col min="5916" max="5917" width="9.7109375" style="144" hidden="1"/>
    <col min="5918" max="5918" width="7.5703125" style="144" hidden="1"/>
    <col min="5919" max="5919" width="6" style="144" hidden="1"/>
    <col min="5920" max="5920" width="6.7109375" style="144" hidden="1"/>
    <col min="5921" max="5921" width="7.5703125" style="144" hidden="1"/>
    <col min="5922" max="5922" width="9.7109375" style="144" hidden="1"/>
    <col min="5923" max="5923" width="14.42578125" style="144" hidden="1"/>
    <col min="5924" max="5924" width="7.28515625" style="144" hidden="1"/>
    <col min="5925" max="5925" width="7.85546875" style="144" hidden="1"/>
    <col min="5926" max="5926" width="9.7109375" style="144" hidden="1"/>
    <col min="5927" max="5927" width="11.42578125" style="144" hidden="1"/>
    <col min="5928" max="5928" width="9.5703125" style="144" hidden="1"/>
    <col min="5929" max="5929" width="9.140625" style="144" hidden="1"/>
    <col min="5930" max="5930" width="11.28515625" style="144" hidden="1"/>
    <col min="5931" max="5931" width="11.5703125" style="144" hidden="1"/>
    <col min="5932" max="5932" width="7.140625" style="144" hidden="1"/>
    <col min="5933" max="5933" width="9.7109375" style="144" hidden="1"/>
    <col min="5934" max="5934" width="10.5703125" style="144" hidden="1"/>
    <col min="5935" max="5935" width="6.7109375" style="144" hidden="1"/>
    <col min="5936" max="5936" width="9.7109375" style="144" hidden="1"/>
    <col min="5937" max="5937" width="9" style="144" hidden="1"/>
    <col min="5938" max="5939" width="9.7109375" style="144" hidden="1"/>
    <col min="5940" max="6144" width="9.140625" style="144" hidden="1"/>
    <col min="6145" max="6145" width="6.140625" style="144" hidden="1"/>
    <col min="6146" max="6146" width="14.140625" style="144" hidden="1"/>
    <col min="6147" max="6147" width="9.5703125" style="144" hidden="1"/>
    <col min="6148" max="6148" width="10.28515625" style="144" hidden="1"/>
    <col min="6149" max="6149" width="11.28515625" style="144" hidden="1"/>
    <col min="6150" max="6150" width="11.42578125" style="144" hidden="1"/>
    <col min="6151" max="6151" width="22.5703125" style="144" hidden="1"/>
    <col min="6152" max="6152" width="2.28515625" style="144" hidden="1"/>
    <col min="6153" max="6153" width="11.28515625" style="144" hidden="1"/>
    <col min="6154" max="6154" width="8.42578125" style="144" hidden="1"/>
    <col min="6155" max="6155" width="8.140625" style="144" hidden="1"/>
    <col min="6156" max="6156" width="6.7109375" style="144" hidden="1"/>
    <col min="6157" max="6157" width="7.85546875" style="144" hidden="1"/>
    <col min="6158" max="6158" width="9.42578125" style="144" hidden="1"/>
    <col min="6159" max="6159" width="7.85546875" style="144" hidden="1"/>
    <col min="6160" max="6160" width="8.7109375" style="144" hidden="1"/>
    <col min="6161" max="6162" width="9.140625" style="144" hidden="1"/>
    <col min="6163" max="6163" width="7.85546875" style="144" hidden="1"/>
    <col min="6164" max="6164" width="8.42578125" style="144" hidden="1"/>
    <col min="6165" max="6165" width="6.42578125" style="144" hidden="1"/>
    <col min="6166" max="6166" width="5.28515625" style="144" hidden="1"/>
    <col min="6167" max="6167" width="6" style="144" hidden="1"/>
    <col min="6168" max="6169" width="9.140625" style="144" hidden="1"/>
    <col min="6170" max="6170" width="9.7109375" style="144" hidden="1"/>
    <col min="6171" max="6171" width="6.7109375" style="144" hidden="1"/>
    <col min="6172" max="6173" width="9.7109375" style="144" hidden="1"/>
    <col min="6174" max="6174" width="7.5703125" style="144" hidden="1"/>
    <col min="6175" max="6175" width="6" style="144" hidden="1"/>
    <col min="6176" max="6176" width="6.7109375" style="144" hidden="1"/>
    <col min="6177" max="6177" width="7.5703125" style="144" hidden="1"/>
    <col min="6178" max="6178" width="9.7109375" style="144" hidden="1"/>
    <col min="6179" max="6179" width="14.42578125" style="144" hidden="1"/>
    <col min="6180" max="6180" width="7.28515625" style="144" hidden="1"/>
    <col min="6181" max="6181" width="7.85546875" style="144" hidden="1"/>
    <col min="6182" max="6182" width="9.7109375" style="144" hidden="1"/>
    <col min="6183" max="6183" width="11.42578125" style="144" hidden="1"/>
    <col min="6184" max="6184" width="9.5703125" style="144" hidden="1"/>
    <col min="6185" max="6185" width="9.140625" style="144" hidden="1"/>
    <col min="6186" max="6186" width="11.28515625" style="144" hidden="1"/>
    <col min="6187" max="6187" width="11.5703125" style="144" hidden="1"/>
    <col min="6188" max="6188" width="7.140625" style="144" hidden="1"/>
    <col min="6189" max="6189" width="9.7109375" style="144" hidden="1"/>
    <col min="6190" max="6190" width="10.5703125" style="144" hidden="1"/>
    <col min="6191" max="6191" width="6.7109375" style="144" hidden="1"/>
    <col min="6192" max="6192" width="9.7109375" style="144" hidden="1"/>
    <col min="6193" max="6193" width="9" style="144" hidden="1"/>
    <col min="6194" max="6195" width="9.7109375" style="144" hidden="1"/>
    <col min="6196" max="6400" width="9.140625" style="144" hidden="1"/>
    <col min="6401" max="6401" width="6.140625" style="144" hidden="1"/>
    <col min="6402" max="6402" width="14.140625" style="144" hidden="1"/>
    <col min="6403" max="6403" width="9.5703125" style="144" hidden="1"/>
    <col min="6404" max="6404" width="10.28515625" style="144" hidden="1"/>
    <col min="6405" max="6405" width="11.28515625" style="144" hidden="1"/>
    <col min="6406" max="6406" width="11.42578125" style="144" hidden="1"/>
    <col min="6407" max="6407" width="22.5703125" style="144" hidden="1"/>
    <col min="6408" max="6408" width="2.28515625" style="144" hidden="1"/>
    <col min="6409" max="6409" width="11.28515625" style="144" hidden="1"/>
    <col min="6410" max="6410" width="8.42578125" style="144" hidden="1"/>
    <col min="6411" max="6411" width="8.140625" style="144" hidden="1"/>
    <col min="6412" max="6412" width="6.7109375" style="144" hidden="1"/>
    <col min="6413" max="6413" width="7.85546875" style="144" hidden="1"/>
    <col min="6414" max="6414" width="9.42578125" style="144" hidden="1"/>
    <col min="6415" max="6415" width="7.85546875" style="144" hidden="1"/>
    <col min="6416" max="6416" width="8.7109375" style="144" hidden="1"/>
    <col min="6417" max="6418" width="9.140625" style="144" hidden="1"/>
    <col min="6419" max="6419" width="7.85546875" style="144" hidden="1"/>
    <col min="6420" max="6420" width="8.42578125" style="144" hidden="1"/>
    <col min="6421" max="6421" width="6.42578125" style="144" hidden="1"/>
    <col min="6422" max="6422" width="5.28515625" style="144" hidden="1"/>
    <col min="6423" max="6423" width="6" style="144" hidden="1"/>
    <col min="6424" max="6425" width="9.140625" style="144" hidden="1"/>
    <col min="6426" max="6426" width="9.7109375" style="144" hidden="1"/>
    <col min="6427" max="6427" width="6.7109375" style="144" hidden="1"/>
    <col min="6428" max="6429" width="9.7109375" style="144" hidden="1"/>
    <col min="6430" max="6430" width="7.5703125" style="144" hidden="1"/>
    <col min="6431" max="6431" width="6" style="144" hidden="1"/>
    <col min="6432" max="6432" width="6.7109375" style="144" hidden="1"/>
    <col min="6433" max="6433" width="7.5703125" style="144" hidden="1"/>
    <col min="6434" max="6434" width="9.7109375" style="144" hidden="1"/>
    <col min="6435" max="6435" width="14.42578125" style="144" hidden="1"/>
    <col min="6436" max="6436" width="7.28515625" style="144" hidden="1"/>
    <col min="6437" max="6437" width="7.85546875" style="144" hidden="1"/>
    <col min="6438" max="6438" width="9.7109375" style="144" hidden="1"/>
    <col min="6439" max="6439" width="11.42578125" style="144" hidden="1"/>
    <col min="6440" max="6440" width="9.5703125" style="144" hidden="1"/>
    <col min="6441" max="6441" width="9.140625" style="144" hidden="1"/>
    <col min="6442" max="6442" width="11.28515625" style="144" hidden="1"/>
    <col min="6443" max="6443" width="11.5703125" style="144" hidden="1"/>
    <col min="6444" max="6444" width="7.140625" style="144" hidden="1"/>
    <col min="6445" max="6445" width="9.7109375" style="144" hidden="1"/>
    <col min="6446" max="6446" width="10.5703125" style="144" hidden="1"/>
    <col min="6447" max="6447" width="6.7109375" style="144" hidden="1"/>
    <col min="6448" max="6448" width="9.7109375" style="144" hidden="1"/>
    <col min="6449" max="6449" width="9" style="144" hidden="1"/>
    <col min="6450" max="6451" width="9.7109375" style="144" hidden="1"/>
    <col min="6452" max="6656" width="9.140625" style="144" hidden="1"/>
    <col min="6657" max="6657" width="6.140625" style="144" hidden="1"/>
    <col min="6658" max="6658" width="14.140625" style="144" hidden="1"/>
    <col min="6659" max="6659" width="9.5703125" style="144" hidden="1"/>
    <col min="6660" max="6660" width="10.28515625" style="144" hidden="1"/>
    <col min="6661" max="6661" width="11.28515625" style="144" hidden="1"/>
    <col min="6662" max="6662" width="11.42578125" style="144" hidden="1"/>
    <col min="6663" max="6663" width="22.5703125" style="144" hidden="1"/>
    <col min="6664" max="6664" width="2.28515625" style="144" hidden="1"/>
    <col min="6665" max="6665" width="11.28515625" style="144" hidden="1"/>
    <col min="6666" max="6666" width="8.42578125" style="144" hidden="1"/>
    <col min="6667" max="6667" width="8.140625" style="144" hidden="1"/>
    <col min="6668" max="6668" width="6.7109375" style="144" hidden="1"/>
    <col min="6669" max="6669" width="7.85546875" style="144" hidden="1"/>
    <col min="6670" max="6670" width="9.42578125" style="144" hidden="1"/>
    <col min="6671" max="6671" width="7.85546875" style="144" hidden="1"/>
    <col min="6672" max="6672" width="8.7109375" style="144" hidden="1"/>
    <col min="6673" max="6674" width="9.140625" style="144" hidden="1"/>
    <col min="6675" max="6675" width="7.85546875" style="144" hidden="1"/>
    <col min="6676" max="6676" width="8.42578125" style="144" hidden="1"/>
    <col min="6677" max="6677" width="6.42578125" style="144" hidden="1"/>
    <col min="6678" max="6678" width="5.28515625" style="144" hidden="1"/>
    <col min="6679" max="6679" width="6" style="144" hidden="1"/>
    <col min="6680" max="6681" width="9.140625" style="144" hidden="1"/>
    <col min="6682" max="6682" width="9.7109375" style="144" hidden="1"/>
    <col min="6683" max="6683" width="6.7109375" style="144" hidden="1"/>
    <col min="6684" max="6685" width="9.7109375" style="144" hidden="1"/>
    <col min="6686" max="6686" width="7.5703125" style="144" hidden="1"/>
    <col min="6687" max="6687" width="6" style="144" hidden="1"/>
    <col min="6688" max="6688" width="6.7109375" style="144" hidden="1"/>
    <col min="6689" max="6689" width="7.5703125" style="144" hidden="1"/>
    <col min="6690" max="6690" width="9.7109375" style="144" hidden="1"/>
    <col min="6691" max="6691" width="14.42578125" style="144" hidden="1"/>
    <col min="6692" max="6692" width="7.28515625" style="144" hidden="1"/>
    <col min="6693" max="6693" width="7.85546875" style="144" hidden="1"/>
    <col min="6694" max="6694" width="9.7109375" style="144" hidden="1"/>
    <col min="6695" max="6695" width="11.42578125" style="144" hidden="1"/>
    <col min="6696" max="6696" width="9.5703125" style="144" hidden="1"/>
    <col min="6697" max="6697" width="9.140625" style="144" hidden="1"/>
    <col min="6698" max="6698" width="11.28515625" style="144" hidden="1"/>
    <col min="6699" max="6699" width="11.5703125" style="144" hidden="1"/>
    <col min="6700" max="6700" width="7.140625" style="144" hidden="1"/>
    <col min="6701" max="6701" width="9.7109375" style="144" hidden="1"/>
    <col min="6702" max="6702" width="10.5703125" style="144" hidden="1"/>
    <col min="6703" max="6703" width="6.7109375" style="144" hidden="1"/>
    <col min="6704" max="6704" width="9.7109375" style="144" hidden="1"/>
    <col min="6705" max="6705" width="9" style="144" hidden="1"/>
    <col min="6706" max="6707" width="9.7109375" style="144" hidden="1"/>
    <col min="6708" max="6912" width="9.140625" style="144" hidden="1"/>
    <col min="6913" max="6913" width="6.140625" style="144" hidden="1"/>
    <col min="6914" max="6914" width="14.140625" style="144" hidden="1"/>
    <col min="6915" max="6915" width="9.5703125" style="144" hidden="1"/>
    <col min="6916" max="6916" width="10.28515625" style="144" hidden="1"/>
    <col min="6917" max="6917" width="11.28515625" style="144" hidden="1"/>
    <col min="6918" max="6918" width="11.42578125" style="144" hidden="1"/>
    <col min="6919" max="6919" width="22.5703125" style="144" hidden="1"/>
    <col min="6920" max="6920" width="2.28515625" style="144" hidden="1"/>
    <col min="6921" max="6921" width="11.28515625" style="144" hidden="1"/>
    <col min="6922" max="6922" width="8.42578125" style="144" hidden="1"/>
    <col min="6923" max="6923" width="8.140625" style="144" hidden="1"/>
    <col min="6924" max="6924" width="6.7109375" style="144" hidden="1"/>
    <col min="6925" max="6925" width="7.85546875" style="144" hidden="1"/>
    <col min="6926" max="6926" width="9.42578125" style="144" hidden="1"/>
    <col min="6927" max="6927" width="7.85546875" style="144" hidden="1"/>
    <col min="6928" max="6928" width="8.7109375" style="144" hidden="1"/>
    <col min="6929" max="6930" width="9.140625" style="144" hidden="1"/>
    <col min="6931" max="6931" width="7.85546875" style="144" hidden="1"/>
    <col min="6932" max="6932" width="8.42578125" style="144" hidden="1"/>
    <col min="6933" max="6933" width="6.42578125" style="144" hidden="1"/>
    <col min="6934" max="6934" width="5.28515625" style="144" hidden="1"/>
    <col min="6935" max="6935" width="6" style="144" hidden="1"/>
    <col min="6936" max="6937" width="9.140625" style="144" hidden="1"/>
    <col min="6938" max="6938" width="9.7109375" style="144" hidden="1"/>
    <col min="6939" max="6939" width="6.7109375" style="144" hidden="1"/>
    <col min="6940" max="6941" width="9.7109375" style="144" hidden="1"/>
    <col min="6942" max="6942" width="7.5703125" style="144" hidden="1"/>
    <col min="6943" max="6943" width="6" style="144" hidden="1"/>
    <col min="6944" max="6944" width="6.7109375" style="144" hidden="1"/>
    <col min="6945" max="6945" width="7.5703125" style="144" hidden="1"/>
    <col min="6946" max="6946" width="9.7109375" style="144" hidden="1"/>
    <col min="6947" max="6947" width="14.42578125" style="144" hidden="1"/>
    <col min="6948" max="6948" width="7.28515625" style="144" hidden="1"/>
    <col min="6949" max="6949" width="7.85546875" style="144" hidden="1"/>
    <col min="6950" max="6950" width="9.7109375" style="144" hidden="1"/>
    <col min="6951" max="6951" width="11.42578125" style="144" hidden="1"/>
    <col min="6952" max="6952" width="9.5703125" style="144" hidden="1"/>
    <col min="6953" max="6953" width="9.140625" style="144" hidden="1"/>
    <col min="6954" max="6954" width="11.28515625" style="144" hidden="1"/>
    <col min="6955" max="6955" width="11.5703125" style="144" hidden="1"/>
    <col min="6956" max="6956" width="7.140625" style="144" hidden="1"/>
    <col min="6957" max="6957" width="9.7109375" style="144" hidden="1"/>
    <col min="6958" max="6958" width="10.5703125" style="144" hidden="1"/>
    <col min="6959" max="6959" width="6.7109375" style="144" hidden="1"/>
    <col min="6960" max="6960" width="9.7109375" style="144" hidden="1"/>
    <col min="6961" max="6961" width="9" style="144" hidden="1"/>
    <col min="6962" max="6963" width="9.7109375" style="144" hidden="1"/>
    <col min="6964" max="7168" width="9.140625" style="144" hidden="1"/>
    <col min="7169" max="7169" width="6.140625" style="144" hidden="1"/>
    <col min="7170" max="7170" width="14.140625" style="144" hidden="1"/>
    <col min="7171" max="7171" width="9.5703125" style="144" hidden="1"/>
    <col min="7172" max="7172" width="10.28515625" style="144" hidden="1"/>
    <col min="7173" max="7173" width="11.28515625" style="144" hidden="1"/>
    <col min="7174" max="7174" width="11.42578125" style="144" hidden="1"/>
    <col min="7175" max="7175" width="22.5703125" style="144" hidden="1"/>
    <col min="7176" max="7176" width="2.28515625" style="144" hidden="1"/>
    <col min="7177" max="7177" width="11.28515625" style="144" hidden="1"/>
    <col min="7178" max="7178" width="8.42578125" style="144" hidden="1"/>
    <col min="7179" max="7179" width="8.140625" style="144" hidden="1"/>
    <col min="7180" max="7180" width="6.7109375" style="144" hidden="1"/>
    <col min="7181" max="7181" width="7.85546875" style="144" hidden="1"/>
    <col min="7182" max="7182" width="9.42578125" style="144" hidden="1"/>
    <col min="7183" max="7183" width="7.85546875" style="144" hidden="1"/>
    <col min="7184" max="7184" width="8.7109375" style="144" hidden="1"/>
    <col min="7185" max="7186" width="9.140625" style="144" hidden="1"/>
    <col min="7187" max="7187" width="7.85546875" style="144" hidden="1"/>
    <col min="7188" max="7188" width="8.42578125" style="144" hidden="1"/>
    <col min="7189" max="7189" width="6.42578125" style="144" hidden="1"/>
    <col min="7190" max="7190" width="5.28515625" style="144" hidden="1"/>
    <col min="7191" max="7191" width="6" style="144" hidden="1"/>
    <col min="7192" max="7193" width="9.140625" style="144" hidden="1"/>
    <col min="7194" max="7194" width="9.7109375" style="144" hidden="1"/>
    <col min="7195" max="7195" width="6.7109375" style="144" hidden="1"/>
    <col min="7196" max="7197" width="9.7109375" style="144" hidden="1"/>
    <col min="7198" max="7198" width="7.5703125" style="144" hidden="1"/>
    <col min="7199" max="7199" width="6" style="144" hidden="1"/>
    <col min="7200" max="7200" width="6.7109375" style="144" hidden="1"/>
    <col min="7201" max="7201" width="7.5703125" style="144" hidden="1"/>
    <col min="7202" max="7202" width="9.7109375" style="144" hidden="1"/>
    <col min="7203" max="7203" width="14.42578125" style="144" hidden="1"/>
    <col min="7204" max="7204" width="7.28515625" style="144" hidden="1"/>
    <col min="7205" max="7205" width="7.85546875" style="144" hidden="1"/>
    <col min="7206" max="7206" width="9.7109375" style="144" hidden="1"/>
    <col min="7207" max="7207" width="11.42578125" style="144" hidden="1"/>
    <col min="7208" max="7208" width="9.5703125" style="144" hidden="1"/>
    <col min="7209" max="7209" width="9.140625" style="144" hidden="1"/>
    <col min="7210" max="7210" width="11.28515625" style="144" hidden="1"/>
    <col min="7211" max="7211" width="11.5703125" style="144" hidden="1"/>
    <col min="7212" max="7212" width="7.140625" style="144" hidden="1"/>
    <col min="7213" max="7213" width="9.7109375" style="144" hidden="1"/>
    <col min="7214" max="7214" width="10.5703125" style="144" hidden="1"/>
    <col min="7215" max="7215" width="6.7109375" style="144" hidden="1"/>
    <col min="7216" max="7216" width="9.7109375" style="144" hidden="1"/>
    <col min="7217" max="7217" width="9" style="144" hidden="1"/>
    <col min="7218" max="7219" width="9.7109375" style="144" hidden="1"/>
    <col min="7220" max="7424" width="9.140625" style="144" hidden="1"/>
    <col min="7425" max="7425" width="6.140625" style="144" hidden="1"/>
    <col min="7426" max="7426" width="14.140625" style="144" hidden="1"/>
    <col min="7427" max="7427" width="9.5703125" style="144" hidden="1"/>
    <col min="7428" max="7428" width="10.28515625" style="144" hidden="1"/>
    <col min="7429" max="7429" width="11.28515625" style="144" hidden="1"/>
    <col min="7430" max="7430" width="11.42578125" style="144" hidden="1"/>
    <col min="7431" max="7431" width="22.5703125" style="144" hidden="1"/>
    <col min="7432" max="7432" width="2.28515625" style="144" hidden="1"/>
    <col min="7433" max="7433" width="11.28515625" style="144" hidden="1"/>
    <col min="7434" max="7434" width="8.42578125" style="144" hidden="1"/>
    <col min="7435" max="7435" width="8.140625" style="144" hidden="1"/>
    <col min="7436" max="7436" width="6.7109375" style="144" hidden="1"/>
    <col min="7437" max="7437" width="7.85546875" style="144" hidden="1"/>
    <col min="7438" max="7438" width="9.42578125" style="144" hidden="1"/>
    <col min="7439" max="7439" width="7.85546875" style="144" hidden="1"/>
    <col min="7440" max="7440" width="8.7109375" style="144" hidden="1"/>
    <col min="7441" max="7442" width="9.140625" style="144" hidden="1"/>
    <col min="7443" max="7443" width="7.85546875" style="144" hidden="1"/>
    <col min="7444" max="7444" width="8.42578125" style="144" hidden="1"/>
    <col min="7445" max="7445" width="6.42578125" style="144" hidden="1"/>
    <col min="7446" max="7446" width="5.28515625" style="144" hidden="1"/>
    <col min="7447" max="7447" width="6" style="144" hidden="1"/>
    <col min="7448" max="7449" width="9.140625" style="144" hidden="1"/>
    <col min="7450" max="7450" width="9.7109375" style="144" hidden="1"/>
    <col min="7451" max="7451" width="6.7109375" style="144" hidden="1"/>
    <col min="7452" max="7453" width="9.7109375" style="144" hidden="1"/>
    <col min="7454" max="7454" width="7.5703125" style="144" hidden="1"/>
    <col min="7455" max="7455" width="6" style="144" hidden="1"/>
    <col min="7456" max="7456" width="6.7109375" style="144" hidden="1"/>
    <col min="7457" max="7457" width="7.5703125" style="144" hidden="1"/>
    <col min="7458" max="7458" width="9.7109375" style="144" hidden="1"/>
    <col min="7459" max="7459" width="14.42578125" style="144" hidden="1"/>
    <col min="7460" max="7460" width="7.28515625" style="144" hidden="1"/>
    <col min="7461" max="7461" width="7.85546875" style="144" hidden="1"/>
    <col min="7462" max="7462" width="9.7109375" style="144" hidden="1"/>
    <col min="7463" max="7463" width="11.42578125" style="144" hidden="1"/>
    <col min="7464" max="7464" width="9.5703125" style="144" hidden="1"/>
    <col min="7465" max="7465" width="9.140625" style="144" hidden="1"/>
    <col min="7466" max="7466" width="11.28515625" style="144" hidden="1"/>
    <col min="7467" max="7467" width="11.5703125" style="144" hidden="1"/>
    <col min="7468" max="7468" width="7.140625" style="144" hidden="1"/>
    <col min="7469" max="7469" width="9.7109375" style="144" hidden="1"/>
    <col min="7470" max="7470" width="10.5703125" style="144" hidden="1"/>
    <col min="7471" max="7471" width="6.7109375" style="144" hidden="1"/>
    <col min="7472" max="7472" width="9.7109375" style="144" hidden="1"/>
    <col min="7473" max="7473" width="9" style="144" hidden="1"/>
    <col min="7474" max="7475" width="9.7109375" style="144" hidden="1"/>
    <col min="7476" max="7680" width="9.140625" style="144" hidden="1"/>
    <col min="7681" max="7681" width="6.140625" style="144" hidden="1"/>
    <col min="7682" max="7682" width="14.140625" style="144" hidden="1"/>
    <col min="7683" max="7683" width="9.5703125" style="144" hidden="1"/>
    <col min="7684" max="7684" width="10.28515625" style="144" hidden="1"/>
    <col min="7685" max="7685" width="11.28515625" style="144" hidden="1"/>
    <col min="7686" max="7686" width="11.42578125" style="144" hidden="1"/>
    <col min="7687" max="7687" width="22.5703125" style="144" hidden="1"/>
    <col min="7688" max="7688" width="2.28515625" style="144" hidden="1"/>
    <col min="7689" max="7689" width="11.28515625" style="144" hidden="1"/>
    <col min="7690" max="7690" width="8.42578125" style="144" hidden="1"/>
    <col min="7691" max="7691" width="8.140625" style="144" hidden="1"/>
    <col min="7692" max="7692" width="6.7109375" style="144" hidden="1"/>
    <col min="7693" max="7693" width="7.85546875" style="144" hidden="1"/>
    <col min="7694" max="7694" width="9.42578125" style="144" hidden="1"/>
    <col min="7695" max="7695" width="7.85546875" style="144" hidden="1"/>
    <col min="7696" max="7696" width="8.7109375" style="144" hidden="1"/>
    <col min="7697" max="7698" width="9.140625" style="144" hidden="1"/>
    <col min="7699" max="7699" width="7.85546875" style="144" hidden="1"/>
    <col min="7700" max="7700" width="8.42578125" style="144" hidden="1"/>
    <col min="7701" max="7701" width="6.42578125" style="144" hidden="1"/>
    <col min="7702" max="7702" width="5.28515625" style="144" hidden="1"/>
    <col min="7703" max="7703" width="6" style="144" hidden="1"/>
    <col min="7704" max="7705" width="9.140625" style="144" hidden="1"/>
    <col min="7706" max="7706" width="9.7109375" style="144" hidden="1"/>
    <col min="7707" max="7707" width="6.7109375" style="144" hidden="1"/>
    <col min="7708" max="7709" width="9.7109375" style="144" hidden="1"/>
    <col min="7710" max="7710" width="7.5703125" style="144" hidden="1"/>
    <col min="7711" max="7711" width="6" style="144" hidden="1"/>
    <col min="7712" max="7712" width="6.7109375" style="144" hidden="1"/>
    <col min="7713" max="7713" width="7.5703125" style="144" hidden="1"/>
    <col min="7714" max="7714" width="9.7109375" style="144" hidden="1"/>
    <col min="7715" max="7715" width="14.42578125" style="144" hidden="1"/>
    <col min="7716" max="7716" width="7.28515625" style="144" hidden="1"/>
    <col min="7717" max="7717" width="7.85546875" style="144" hidden="1"/>
    <col min="7718" max="7718" width="9.7109375" style="144" hidden="1"/>
    <col min="7719" max="7719" width="11.42578125" style="144" hidden="1"/>
    <col min="7720" max="7720" width="9.5703125" style="144" hidden="1"/>
    <col min="7721" max="7721" width="9.140625" style="144" hidden="1"/>
    <col min="7722" max="7722" width="11.28515625" style="144" hidden="1"/>
    <col min="7723" max="7723" width="11.5703125" style="144" hidden="1"/>
    <col min="7724" max="7724" width="7.140625" style="144" hidden="1"/>
    <col min="7725" max="7725" width="9.7109375" style="144" hidden="1"/>
    <col min="7726" max="7726" width="10.5703125" style="144" hidden="1"/>
    <col min="7727" max="7727" width="6.7109375" style="144" hidden="1"/>
    <col min="7728" max="7728" width="9.7109375" style="144" hidden="1"/>
    <col min="7729" max="7729" width="9" style="144" hidden="1"/>
    <col min="7730" max="7731" width="9.7109375" style="144" hidden="1"/>
    <col min="7732" max="7936" width="9.140625" style="144" hidden="1"/>
    <col min="7937" max="7937" width="6.140625" style="144" hidden="1"/>
    <col min="7938" max="7938" width="14.140625" style="144" hidden="1"/>
    <col min="7939" max="7939" width="9.5703125" style="144" hidden="1"/>
    <col min="7940" max="7940" width="10.28515625" style="144" hidden="1"/>
    <col min="7941" max="7941" width="11.28515625" style="144" hidden="1"/>
    <col min="7942" max="7942" width="11.42578125" style="144" hidden="1"/>
    <col min="7943" max="7943" width="22.5703125" style="144" hidden="1"/>
    <col min="7944" max="7944" width="2.28515625" style="144" hidden="1"/>
    <col min="7945" max="7945" width="11.28515625" style="144" hidden="1"/>
    <col min="7946" max="7946" width="8.42578125" style="144" hidden="1"/>
    <col min="7947" max="7947" width="8.140625" style="144" hidden="1"/>
    <col min="7948" max="7948" width="6.7109375" style="144" hidden="1"/>
    <col min="7949" max="7949" width="7.85546875" style="144" hidden="1"/>
    <col min="7950" max="7950" width="9.42578125" style="144" hidden="1"/>
    <col min="7951" max="7951" width="7.85546875" style="144" hidden="1"/>
    <col min="7952" max="7952" width="8.7109375" style="144" hidden="1"/>
    <col min="7953" max="7954" width="9.140625" style="144" hidden="1"/>
    <col min="7955" max="7955" width="7.85546875" style="144" hidden="1"/>
    <col min="7956" max="7956" width="8.42578125" style="144" hidden="1"/>
    <col min="7957" max="7957" width="6.42578125" style="144" hidden="1"/>
    <col min="7958" max="7958" width="5.28515625" style="144" hidden="1"/>
    <col min="7959" max="7959" width="6" style="144" hidden="1"/>
    <col min="7960" max="7961" width="9.140625" style="144" hidden="1"/>
    <col min="7962" max="7962" width="9.7109375" style="144" hidden="1"/>
    <col min="7963" max="7963" width="6.7109375" style="144" hidden="1"/>
    <col min="7964" max="7965" width="9.7109375" style="144" hidden="1"/>
    <col min="7966" max="7966" width="7.5703125" style="144" hidden="1"/>
    <col min="7967" max="7967" width="6" style="144" hidden="1"/>
    <col min="7968" max="7968" width="6.7109375" style="144" hidden="1"/>
    <col min="7969" max="7969" width="7.5703125" style="144" hidden="1"/>
    <col min="7970" max="7970" width="9.7109375" style="144" hidden="1"/>
    <col min="7971" max="7971" width="14.42578125" style="144" hidden="1"/>
    <col min="7972" max="7972" width="7.28515625" style="144" hidden="1"/>
    <col min="7973" max="7973" width="7.85546875" style="144" hidden="1"/>
    <col min="7974" max="7974" width="9.7109375" style="144" hidden="1"/>
    <col min="7975" max="7975" width="11.42578125" style="144" hidden="1"/>
    <col min="7976" max="7976" width="9.5703125" style="144" hidden="1"/>
    <col min="7977" max="7977" width="9.140625" style="144" hidden="1"/>
    <col min="7978" max="7978" width="11.28515625" style="144" hidden="1"/>
    <col min="7979" max="7979" width="11.5703125" style="144" hidden="1"/>
    <col min="7980" max="7980" width="7.140625" style="144" hidden="1"/>
    <col min="7981" max="7981" width="9.7109375" style="144" hidden="1"/>
    <col min="7982" max="7982" width="10.5703125" style="144" hidden="1"/>
    <col min="7983" max="7983" width="6.7109375" style="144" hidden="1"/>
    <col min="7984" max="7984" width="9.7109375" style="144" hidden="1"/>
    <col min="7985" max="7985" width="9" style="144" hidden="1"/>
    <col min="7986" max="7987" width="9.7109375" style="144" hidden="1"/>
    <col min="7988" max="8192" width="9.140625" style="144" hidden="1"/>
    <col min="8193" max="8193" width="6.140625" style="144" hidden="1"/>
    <col min="8194" max="8194" width="14.140625" style="144" hidden="1"/>
    <col min="8195" max="8195" width="9.5703125" style="144" hidden="1"/>
    <col min="8196" max="8196" width="10.28515625" style="144" hidden="1"/>
    <col min="8197" max="8197" width="11.28515625" style="144" hidden="1"/>
    <col min="8198" max="8198" width="11.42578125" style="144" hidden="1"/>
    <col min="8199" max="8199" width="22.5703125" style="144" hidden="1"/>
    <col min="8200" max="8200" width="2.28515625" style="144" hidden="1"/>
    <col min="8201" max="8201" width="11.28515625" style="144" hidden="1"/>
    <col min="8202" max="8202" width="8.42578125" style="144" hidden="1"/>
    <col min="8203" max="8203" width="8.140625" style="144" hidden="1"/>
    <col min="8204" max="8204" width="6.7109375" style="144" hidden="1"/>
    <col min="8205" max="8205" width="7.85546875" style="144" hidden="1"/>
    <col min="8206" max="8206" width="9.42578125" style="144" hidden="1"/>
    <col min="8207" max="8207" width="7.85546875" style="144" hidden="1"/>
    <col min="8208" max="8208" width="8.7109375" style="144" hidden="1"/>
    <col min="8209" max="8210" width="9.140625" style="144" hidden="1"/>
    <col min="8211" max="8211" width="7.85546875" style="144" hidden="1"/>
    <col min="8212" max="8212" width="8.42578125" style="144" hidden="1"/>
    <col min="8213" max="8213" width="6.42578125" style="144" hidden="1"/>
    <col min="8214" max="8214" width="5.28515625" style="144" hidden="1"/>
    <col min="8215" max="8215" width="6" style="144" hidden="1"/>
    <col min="8216" max="8217" width="9.140625" style="144" hidden="1"/>
    <col min="8218" max="8218" width="9.7109375" style="144" hidden="1"/>
    <col min="8219" max="8219" width="6.7109375" style="144" hidden="1"/>
    <col min="8220" max="8221" width="9.7109375" style="144" hidden="1"/>
    <col min="8222" max="8222" width="7.5703125" style="144" hidden="1"/>
    <col min="8223" max="8223" width="6" style="144" hidden="1"/>
    <col min="8224" max="8224" width="6.7109375" style="144" hidden="1"/>
    <col min="8225" max="8225" width="7.5703125" style="144" hidden="1"/>
    <col min="8226" max="8226" width="9.7109375" style="144" hidden="1"/>
    <col min="8227" max="8227" width="14.42578125" style="144" hidden="1"/>
    <col min="8228" max="8228" width="7.28515625" style="144" hidden="1"/>
    <col min="8229" max="8229" width="7.85546875" style="144" hidden="1"/>
    <col min="8230" max="8230" width="9.7109375" style="144" hidden="1"/>
    <col min="8231" max="8231" width="11.42578125" style="144" hidden="1"/>
    <col min="8232" max="8232" width="9.5703125" style="144" hidden="1"/>
    <col min="8233" max="8233" width="9.140625" style="144" hidden="1"/>
    <col min="8234" max="8234" width="11.28515625" style="144" hidden="1"/>
    <col min="8235" max="8235" width="11.5703125" style="144" hidden="1"/>
    <col min="8236" max="8236" width="7.140625" style="144" hidden="1"/>
    <col min="8237" max="8237" width="9.7109375" style="144" hidden="1"/>
    <col min="8238" max="8238" width="10.5703125" style="144" hidden="1"/>
    <col min="8239" max="8239" width="6.7109375" style="144" hidden="1"/>
    <col min="8240" max="8240" width="9.7109375" style="144" hidden="1"/>
    <col min="8241" max="8241" width="9" style="144" hidden="1"/>
    <col min="8242" max="8243" width="9.7109375" style="144" hidden="1"/>
    <col min="8244" max="8448" width="9.140625" style="144" hidden="1"/>
    <col min="8449" max="8449" width="6.140625" style="144" hidden="1"/>
    <col min="8450" max="8450" width="14.140625" style="144" hidden="1"/>
    <col min="8451" max="8451" width="9.5703125" style="144" hidden="1"/>
    <col min="8452" max="8452" width="10.28515625" style="144" hidden="1"/>
    <col min="8453" max="8453" width="11.28515625" style="144" hidden="1"/>
    <col min="8454" max="8454" width="11.42578125" style="144" hidden="1"/>
    <col min="8455" max="8455" width="22.5703125" style="144" hidden="1"/>
    <col min="8456" max="8456" width="2.28515625" style="144" hidden="1"/>
    <col min="8457" max="8457" width="11.28515625" style="144" hidden="1"/>
    <col min="8458" max="8458" width="8.42578125" style="144" hidden="1"/>
    <col min="8459" max="8459" width="8.140625" style="144" hidden="1"/>
    <col min="8460" max="8460" width="6.7109375" style="144" hidden="1"/>
    <col min="8461" max="8461" width="7.85546875" style="144" hidden="1"/>
    <col min="8462" max="8462" width="9.42578125" style="144" hidden="1"/>
    <col min="8463" max="8463" width="7.85546875" style="144" hidden="1"/>
    <col min="8464" max="8464" width="8.7109375" style="144" hidden="1"/>
    <col min="8465" max="8466" width="9.140625" style="144" hidden="1"/>
    <col min="8467" max="8467" width="7.85546875" style="144" hidden="1"/>
    <col min="8468" max="8468" width="8.42578125" style="144" hidden="1"/>
    <col min="8469" max="8469" width="6.42578125" style="144" hidden="1"/>
    <col min="8470" max="8470" width="5.28515625" style="144" hidden="1"/>
    <col min="8471" max="8471" width="6" style="144" hidden="1"/>
    <col min="8472" max="8473" width="9.140625" style="144" hidden="1"/>
    <col min="8474" max="8474" width="9.7109375" style="144" hidden="1"/>
    <col min="8475" max="8475" width="6.7109375" style="144" hidden="1"/>
    <col min="8476" max="8477" width="9.7109375" style="144" hidden="1"/>
    <col min="8478" max="8478" width="7.5703125" style="144" hidden="1"/>
    <col min="8479" max="8479" width="6" style="144" hidden="1"/>
    <col min="8480" max="8480" width="6.7109375" style="144" hidden="1"/>
    <col min="8481" max="8481" width="7.5703125" style="144" hidden="1"/>
    <col min="8482" max="8482" width="9.7109375" style="144" hidden="1"/>
    <col min="8483" max="8483" width="14.42578125" style="144" hidden="1"/>
    <col min="8484" max="8484" width="7.28515625" style="144" hidden="1"/>
    <col min="8485" max="8485" width="7.85546875" style="144" hidden="1"/>
    <col min="8486" max="8486" width="9.7109375" style="144" hidden="1"/>
    <col min="8487" max="8487" width="11.42578125" style="144" hidden="1"/>
    <col min="8488" max="8488" width="9.5703125" style="144" hidden="1"/>
    <col min="8489" max="8489" width="9.140625" style="144" hidden="1"/>
    <col min="8490" max="8490" width="11.28515625" style="144" hidden="1"/>
    <col min="8491" max="8491" width="11.5703125" style="144" hidden="1"/>
    <col min="8492" max="8492" width="7.140625" style="144" hidden="1"/>
    <col min="8493" max="8493" width="9.7109375" style="144" hidden="1"/>
    <col min="8494" max="8494" width="10.5703125" style="144" hidden="1"/>
    <col min="8495" max="8495" width="6.7109375" style="144" hidden="1"/>
    <col min="8496" max="8496" width="9.7109375" style="144" hidden="1"/>
    <col min="8497" max="8497" width="9" style="144" hidden="1"/>
    <col min="8498" max="8499" width="9.7109375" style="144" hidden="1"/>
    <col min="8500" max="8704" width="9.140625" style="144" hidden="1"/>
    <col min="8705" max="8705" width="6.140625" style="144" hidden="1"/>
    <col min="8706" max="8706" width="14.140625" style="144" hidden="1"/>
    <col min="8707" max="8707" width="9.5703125" style="144" hidden="1"/>
    <col min="8708" max="8708" width="10.28515625" style="144" hidden="1"/>
    <col min="8709" max="8709" width="11.28515625" style="144" hidden="1"/>
    <col min="8710" max="8710" width="11.42578125" style="144" hidden="1"/>
    <col min="8711" max="8711" width="22.5703125" style="144" hidden="1"/>
    <col min="8712" max="8712" width="2.28515625" style="144" hidden="1"/>
    <col min="8713" max="8713" width="11.28515625" style="144" hidden="1"/>
    <col min="8714" max="8714" width="8.42578125" style="144" hidden="1"/>
    <col min="8715" max="8715" width="8.140625" style="144" hidden="1"/>
    <col min="8716" max="8716" width="6.7109375" style="144" hidden="1"/>
    <col min="8717" max="8717" width="7.85546875" style="144" hidden="1"/>
    <col min="8718" max="8718" width="9.42578125" style="144" hidden="1"/>
    <col min="8719" max="8719" width="7.85546875" style="144" hidden="1"/>
    <col min="8720" max="8720" width="8.7109375" style="144" hidden="1"/>
    <col min="8721" max="8722" width="9.140625" style="144" hidden="1"/>
    <col min="8723" max="8723" width="7.85546875" style="144" hidden="1"/>
    <col min="8724" max="8724" width="8.42578125" style="144" hidden="1"/>
    <col min="8725" max="8725" width="6.42578125" style="144" hidden="1"/>
    <col min="8726" max="8726" width="5.28515625" style="144" hidden="1"/>
    <col min="8727" max="8727" width="6" style="144" hidden="1"/>
    <col min="8728" max="8729" width="9.140625" style="144" hidden="1"/>
    <col min="8730" max="8730" width="9.7109375" style="144" hidden="1"/>
    <col min="8731" max="8731" width="6.7109375" style="144" hidden="1"/>
    <col min="8732" max="8733" width="9.7109375" style="144" hidden="1"/>
    <col min="8734" max="8734" width="7.5703125" style="144" hidden="1"/>
    <col min="8735" max="8735" width="6" style="144" hidden="1"/>
    <col min="8736" max="8736" width="6.7109375" style="144" hidden="1"/>
    <col min="8737" max="8737" width="7.5703125" style="144" hidden="1"/>
    <col min="8738" max="8738" width="9.7109375" style="144" hidden="1"/>
    <col min="8739" max="8739" width="14.42578125" style="144" hidden="1"/>
    <col min="8740" max="8740" width="7.28515625" style="144" hidden="1"/>
    <col min="8741" max="8741" width="7.85546875" style="144" hidden="1"/>
    <col min="8742" max="8742" width="9.7109375" style="144" hidden="1"/>
    <col min="8743" max="8743" width="11.42578125" style="144" hidden="1"/>
    <col min="8744" max="8744" width="9.5703125" style="144" hidden="1"/>
    <col min="8745" max="8745" width="9.140625" style="144" hidden="1"/>
    <col min="8746" max="8746" width="11.28515625" style="144" hidden="1"/>
    <col min="8747" max="8747" width="11.5703125" style="144" hidden="1"/>
    <col min="8748" max="8748" width="7.140625" style="144" hidden="1"/>
    <col min="8749" max="8749" width="9.7109375" style="144" hidden="1"/>
    <col min="8750" max="8750" width="10.5703125" style="144" hidden="1"/>
    <col min="8751" max="8751" width="6.7109375" style="144" hidden="1"/>
    <col min="8752" max="8752" width="9.7109375" style="144" hidden="1"/>
    <col min="8753" max="8753" width="9" style="144" hidden="1"/>
    <col min="8754" max="8755" width="9.7109375" style="144" hidden="1"/>
    <col min="8756" max="8960" width="9.140625" style="144" hidden="1"/>
    <col min="8961" max="8961" width="6.140625" style="144" hidden="1"/>
    <col min="8962" max="8962" width="14.140625" style="144" hidden="1"/>
    <col min="8963" max="8963" width="9.5703125" style="144" hidden="1"/>
    <col min="8964" max="8964" width="10.28515625" style="144" hidden="1"/>
    <col min="8965" max="8965" width="11.28515625" style="144" hidden="1"/>
    <col min="8966" max="8966" width="11.42578125" style="144" hidden="1"/>
    <col min="8967" max="8967" width="22.5703125" style="144" hidden="1"/>
    <col min="8968" max="8968" width="2.28515625" style="144" hidden="1"/>
    <col min="8969" max="8969" width="11.28515625" style="144" hidden="1"/>
    <col min="8970" max="8970" width="8.42578125" style="144" hidden="1"/>
    <col min="8971" max="8971" width="8.140625" style="144" hidden="1"/>
    <col min="8972" max="8972" width="6.7109375" style="144" hidden="1"/>
    <col min="8973" max="8973" width="7.85546875" style="144" hidden="1"/>
    <col min="8974" max="8974" width="9.42578125" style="144" hidden="1"/>
    <col min="8975" max="8975" width="7.85546875" style="144" hidden="1"/>
    <col min="8976" max="8976" width="8.7109375" style="144" hidden="1"/>
    <col min="8977" max="8978" width="9.140625" style="144" hidden="1"/>
    <col min="8979" max="8979" width="7.85546875" style="144" hidden="1"/>
    <col min="8980" max="8980" width="8.42578125" style="144" hidden="1"/>
    <col min="8981" max="8981" width="6.42578125" style="144" hidden="1"/>
    <col min="8982" max="8982" width="5.28515625" style="144" hidden="1"/>
    <col min="8983" max="8983" width="6" style="144" hidden="1"/>
    <col min="8984" max="8985" width="9.140625" style="144" hidden="1"/>
    <col min="8986" max="8986" width="9.7109375" style="144" hidden="1"/>
    <col min="8987" max="8987" width="6.7109375" style="144" hidden="1"/>
    <col min="8988" max="8989" width="9.7109375" style="144" hidden="1"/>
    <col min="8990" max="8990" width="7.5703125" style="144" hidden="1"/>
    <col min="8991" max="8991" width="6" style="144" hidden="1"/>
    <col min="8992" max="8992" width="6.7109375" style="144" hidden="1"/>
    <col min="8993" max="8993" width="7.5703125" style="144" hidden="1"/>
    <col min="8994" max="8994" width="9.7109375" style="144" hidden="1"/>
    <col min="8995" max="8995" width="14.42578125" style="144" hidden="1"/>
    <col min="8996" max="8996" width="7.28515625" style="144" hidden="1"/>
    <col min="8997" max="8997" width="7.85546875" style="144" hidden="1"/>
    <col min="8998" max="8998" width="9.7109375" style="144" hidden="1"/>
    <col min="8999" max="8999" width="11.42578125" style="144" hidden="1"/>
    <col min="9000" max="9000" width="9.5703125" style="144" hidden="1"/>
    <col min="9001" max="9001" width="9.140625" style="144" hidden="1"/>
    <col min="9002" max="9002" width="11.28515625" style="144" hidden="1"/>
    <col min="9003" max="9003" width="11.5703125" style="144" hidden="1"/>
    <col min="9004" max="9004" width="7.140625" style="144" hidden="1"/>
    <col min="9005" max="9005" width="9.7109375" style="144" hidden="1"/>
    <col min="9006" max="9006" width="10.5703125" style="144" hidden="1"/>
    <col min="9007" max="9007" width="6.7109375" style="144" hidden="1"/>
    <col min="9008" max="9008" width="9.7109375" style="144" hidden="1"/>
    <col min="9009" max="9009" width="9" style="144" hidden="1"/>
    <col min="9010" max="9011" width="9.7109375" style="144" hidden="1"/>
    <col min="9012" max="9216" width="9.140625" style="144" hidden="1"/>
    <col min="9217" max="9217" width="6.140625" style="144" hidden="1"/>
    <col min="9218" max="9218" width="14.140625" style="144" hidden="1"/>
    <col min="9219" max="9219" width="9.5703125" style="144" hidden="1"/>
    <col min="9220" max="9220" width="10.28515625" style="144" hidden="1"/>
    <col min="9221" max="9221" width="11.28515625" style="144" hidden="1"/>
    <col min="9222" max="9222" width="11.42578125" style="144" hidden="1"/>
    <col min="9223" max="9223" width="22.5703125" style="144" hidden="1"/>
    <col min="9224" max="9224" width="2.28515625" style="144" hidden="1"/>
    <col min="9225" max="9225" width="11.28515625" style="144" hidden="1"/>
    <col min="9226" max="9226" width="8.42578125" style="144" hidden="1"/>
    <col min="9227" max="9227" width="8.140625" style="144" hidden="1"/>
    <col min="9228" max="9228" width="6.7109375" style="144" hidden="1"/>
    <col min="9229" max="9229" width="7.85546875" style="144" hidden="1"/>
    <col min="9230" max="9230" width="9.42578125" style="144" hidden="1"/>
    <col min="9231" max="9231" width="7.85546875" style="144" hidden="1"/>
    <col min="9232" max="9232" width="8.7109375" style="144" hidden="1"/>
    <col min="9233" max="9234" width="9.140625" style="144" hidden="1"/>
    <col min="9235" max="9235" width="7.85546875" style="144" hidden="1"/>
    <col min="9236" max="9236" width="8.42578125" style="144" hidden="1"/>
    <col min="9237" max="9237" width="6.42578125" style="144" hidden="1"/>
    <col min="9238" max="9238" width="5.28515625" style="144" hidden="1"/>
    <col min="9239" max="9239" width="6" style="144" hidden="1"/>
    <col min="9240" max="9241" width="9.140625" style="144" hidden="1"/>
    <col min="9242" max="9242" width="9.7109375" style="144" hidden="1"/>
    <col min="9243" max="9243" width="6.7109375" style="144" hidden="1"/>
    <col min="9244" max="9245" width="9.7109375" style="144" hidden="1"/>
    <col min="9246" max="9246" width="7.5703125" style="144" hidden="1"/>
    <col min="9247" max="9247" width="6" style="144" hidden="1"/>
    <col min="9248" max="9248" width="6.7109375" style="144" hidden="1"/>
    <col min="9249" max="9249" width="7.5703125" style="144" hidden="1"/>
    <col min="9250" max="9250" width="9.7109375" style="144" hidden="1"/>
    <col min="9251" max="9251" width="14.42578125" style="144" hidden="1"/>
    <col min="9252" max="9252" width="7.28515625" style="144" hidden="1"/>
    <col min="9253" max="9253" width="7.85546875" style="144" hidden="1"/>
    <col min="9254" max="9254" width="9.7109375" style="144" hidden="1"/>
    <col min="9255" max="9255" width="11.42578125" style="144" hidden="1"/>
    <col min="9256" max="9256" width="9.5703125" style="144" hidden="1"/>
    <col min="9257" max="9257" width="9.140625" style="144" hidden="1"/>
    <col min="9258" max="9258" width="11.28515625" style="144" hidden="1"/>
    <col min="9259" max="9259" width="11.5703125" style="144" hidden="1"/>
    <col min="9260" max="9260" width="7.140625" style="144" hidden="1"/>
    <col min="9261" max="9261" width="9.7109375" style="144" hidden="1"/>
    <col min="9262" max="9262" width="10.5703125" style="144" hidden="1"/>
    <col min="9263" max="9263" width="6.7109375" style="144" hidden="1"/>
    <col min="9264" max="9264" width="9.7109375" style="144" hidden="1"/>
    <col min="9265" max="9265" width="9" style="144" hidden="1"/>
    <col min="9266" max="9267" width="9.7109375" style="144" hidden="1"/>
    <col min="9268" max="9472" width="9.140625" style="144" hidden="1"/>
    <col min="9473" max="9473" width="6.140625" style="144" hidden="1"/>
    <col min="9474" max="9474" width="14.140625" style="144" hidden="1"/>
    <col min="9475" max="9475" width="9.5703125" style="144" hidden="1"/>
    <col min="9476" max="9476" width="10.28515625" style="144" hidden="1"/>
    <col min="9477" max="9477" width="11.28515625" style="144" hidden="1"/>
    <col min="9478" max="9478" width="11.42578125" style="144" hidden="1"/>
    <col min="9479" max="9479" width="22.5703125" style="144" hidden="1"/>
    <col min="9480" max="9480" width="2.28515625" style="144" hidden="1"/>
    <col min="9481" max="9481" width="11.28515625" style="144" hidden="1"/>
    <col min="9482" max="9482" width="8.42578125" style="144" hidden="1"/>
    <col min="9483" max="9483" width="8.140625" style="144" hidden="1"/>
    <col min="9484" max="9484" width="6.7109375" style="144" hidden="1"/>
    <col min="9485" max="9485" width="7.85546875" style="144" hidden="1"/>
    <col min="9486" max="9486" width="9.42578125" style="144" hidden="1"/>
    <col min="9487" max="9487" width="7.85546875" style="144" hidden="1"/>
    <col min="9488" max="9488" width="8.7109375" style="144" hidden="1"/>
    <col min="9489" max="9490" width="9.140625" style="144" hidden="1"/>
    <col min="9491" max="9491" width="7.85546875" style="144" hidden="1"/>
    <col min="9492" max="9492" width="8.42578125" style="144" hidden="1"/>
    <col min="9493" max="9493" width="6.42578125" style="144" hidden="1"/>
    <col min="9494" max="9494" width="5.28515625" style="144" hidden="1"/>
    <col min="9495" max="9495" width="6" style="144" hidden="1"/>
    <col min="9496" max="9497" width="9.140625" style="144" hidden="1"/>
    <col min="9498" max="9498" width="9.7109375" style="144" hidden="1"/>
    <col min="9499" max="9499" width="6.7109375" style="144" hidden="1"/>
    <col min="9500" max="9501" width="9.7109375" style="144" hidden="1"/>
    <col min="9502" max="9502" width="7.5703125" style="144" hidden="1"/>
    <col min="9503" max="9503" width="6" style="144" hidden="1"/>
    <col min="9504" max="9504" width="6.7109375" style="144" hidden="1"/>
    <col min="9505" max="9505" width="7.5703125" style="144" hidden="1"/>
    <col min="9506" max="9506" width="9.7109375" style="144" hidden="1"/>
    <col min="9507" max="9507" width="14.42578125" style="144" hidden="1"/>
    <col min="9508" max="9508" width="7.28515625" style="144" hidden="1"/>
    <col min="9509" max="9509" width="7.85546875" style="144" hidden="1"/>
    <col min="9510" max="9510" width="9.7109375" style="144" hidden="1"/>
    <col min="9511" max="9511" width="11.42578125" style="144" hidden="1"/>
    <col min="9512" max="9512" width="9.5703125" style="144" hidden="1"/>
    <col min="9513" max="9513" width="9.140625" style="144" hidden="1"/>
    <col min="9514" max="9514" width="11.28515625" style="144" hidden="1"/>
    <col min="9515" max="9515" width="11.5703125" style="144" hidden="1"/>
    <col min="9516" max="9516" width="7.140625" style="144" hidden="1"/>
    <col min="9517" max="9517" width="9.7109375" style="144" hidden="1"/>
    <col min="9518" max="9518" width="10.5703125" style="144" hidden="1"/>
    <col min="9519" max="9519" width="6.7109375" style="144" hidden="1"/>
    <col min="9520" max="9520" width="9.7109375" style="144" hidden="1"/>
    <col min="9521" max="9521" width="9" style="144" hidden="1"/>
    <col min="9522" max="9523" width="9.7109375" style="144" hidden="1"/>
    <col min="9524" max="9728" width="9.140625" style="144" hidden="1"/>
    <col min="9729" max="9729" width="6.140625" style="144" hidden="1"/>
    <col min="9730" max="9730" width="14.140625" style="144" hidden="1"/>
    <col min="9731" max="9731" width="9.5703125" style="144" hidden="1"/>
    <col min="9732" max="9732" width="10.28515625" style="144" hidden="1"/>
    <col min="9733" max="9733" width="11.28515625" style="144" hidden="1"/>
    <col min="9734" max="9734" width="11.42578125" style="144" hidden="1"/>
    <col min="9735" max="9735" width="22.5703125" style="144" hidden="1"/>
    <col min="9736" max="9736" width="2.28515625" style="144" hidden="1"/>
    <col min="9737" max="9737" width="11.28515625" style="144" hidden="1"/>
    <col min="9738" max="9738" width="8.42578125" style="144" hidden="1"/>
    <col min="9739" max="9739" width="8.140625" style="144" hidden="1"/>
    <col min="9740" max="9740" width="6.7109375" style="144" hidden="1"/>
    <col min="9741" max="9741" width="7.85546875" style="144" hidden="1"/>
    <col min="9742" max="9742" width="9.42578125" style="144" hidden="1"/>
    <col min="9743" max="9743" width="7.85546875" style="144" hidden="1"/>
    <col min="9744" max="9744" width="8.7109375" style="144" hidden="1"/>
    <col min="9745" max="9746" width="9.140625" style="144" hidden="1"/>
    <col min="9747" max="9747" width="7.85546875" style="144" hidden="1"/>
    <col min="9748" max="9748" width="8.42578125" style="144" hidden="1"/>
    <col min="9749" max="9749" width="6.42578125" style="144" hidden="1"/>
    <col min="9750" max="9750" width="5.28515625" style="144" hidden="1"/>
    <col min="9751" max="9751" width="6" style="144" hidden="1"/>
    <col min="9752" max="9753" width="9.140625" style="144" hidden="1"/>
    <col min="9754" max="9754" width="9.7109375" style="144" hidden="1"/>
    <col min="9755" max="9755" width="6.7109375" style="144" hidden="1"/>
    <col min="9756" max="9757" width="9.7109375" style="144" hidden="1"/>
    <col min="9758" max="9758" width="7.5703125" style="144" hidden="1"/>
    <col min="9759" max="9759" width="6" style="144" hidden="1"/>
    <col min="9760" max="9760" width="6.7109375" style="144" hidden="1"/>
    <col min="9761" max="9761" width="7.5703125" style="144" hidden="1"/>
    <col min="9762" max="9762" width="9.7109375" style="144" hidden="1"/>
    <col min="9763" max="9763" width="14.42578125" style="144" hidden="1"/>
    <col min="9764" max="9764" width="7.28515625" style="144" hidden="1"/>
    <col min="9765" max="9765" width="7.85546875" style="144" hidden="1"/>
    <col min="9766" max="9766" width="9.7109375" style="144" hidden="1"/>
    <col min="9767" max="9767" width="11.42578125" style="144" hidden="1"/>
    <col min="9768" max="9768" width="9.5703125" style="144" hidden="1"/>
    <col min="9769" max="9769" width="9.140625" style="144" hidden="1"/>
    <col min="9770" max="9770" width="11.28515625" style="144" hidden="1"/>
    <col min="9771" max="9771" width="11.5703125" style="144" hidden="1"/>
    <col min="9772" max="9772" width="7.140625" style="144" hidden="1"/>
    <col min="9773" max="9773" width="9.7109375" style="144" hidden="1"/>
    <col min="9774" max="9774" width="10.5703125" style="144" hidden="1"/>
    <col min="9775" max="9775" width="6.7109375" style="144" hidden="1"/>
    <col min="9776" max="9776" width="9.7109375" style="144" hidden="1"/>
    <col min="9777" max="9777" width="9" style="144" hidden="1"/>
    <col min="9778" max="9779" width="9.7109375" style="144" hidden="1"/>
    <col min="9780" max="9984" width="9.140625" style="144" hidden="1"/>
    <col min="9985" max="9985" width="6.140625" style="144" hidden="1"/>
    <col min="9986" max="9986" width="14.140625" style="144" hidden="1"/>
    <col min="9987" max="9987" width="9.5703125" style="144" hidden="1"/>
    <col min="9988" max="9988" width="10.28515625" style="144" hidden="1"/>
    <col min="9989" max="9989" width="11.28515625" style="144" hidden="1"/>
    <col min="9990" max="9990" width="11.42578125" style="144" hidden="1"/>
    <col min="9991" max="9991" width="22.5703125" style="144" hidden="1"/>
    <col min="9992" max="9992" width="2.28515625" style="144" hidden="1"/>
    <col min="9993" max="9993" width="11.28515625" style="144" hidden="1"/>
    <col min="9994" max="9994" width="8.42578125" style="144" hidden="1"/>
    <col min="9995" max="9995" width="8.140625" style="144" hidden="1"/>
    <col min="9996" max="9996" width="6.7109375" style="144" hidden="1"/>
    <col min="9997" max="9997" width="7.85546875" style="144" hidden="1"/>
    <col min="9998" max="9998" width="9.42578125" style="144" hidden="1"/>
    <col min="9999" max="9999" width="7.85546875" style="144" hidden="1"/>
    <col min="10000" max="10000" width="8.7109375" style="144" hidden="1"/>
    <col min="10001" max="10002" width="9.140625" style="144" hidden="1"/>
    <col min="10003" max="10003" width="7.85546875" style="144" hidden="1"/>
    <col min="10004" max="10004" width="8.42578125" style="144" hidden="1"/>
    <col min="10005" max="10005" width="6.42578125" style="144" hidden="1"/>
    <col min="10006" max="10006" width="5.28515625" style="144" hidden="1"/>
    <col min="10007" max="10007" width="6" style="144" hidden="1"/>
    <col min="10008" max="10009" width="9.140625" style="144" hidden="1"/>
    <col min="10010" max="10010" width="9.7109375" style="144" hidden="1"/>
    <col min="10011" max="10011" width="6.7109375" style="144" hidden="1"/>
    <col min="10012" max="10013" width="9.7109375" style="144" hidden="1"/>
    <col min="10014" max="10014" width="7.5703125" style="144" hidden="1"/>
    <col min="10015" max="10015" width="6" style="144" hidden="1"/>
    <col min="10016" max="10016" width="6.7109375" style="144" hidden="1"/>
    <col min="10017" max="10017" width="7.5703125" style="144" hidden="1"/>
    <col min="10018" max="10018" width="9.7109375" style="144" hidden="1"/>
    <col min="10019" max="10019" width="14.42578125" style="144" hidden="1"/>
    <col min="10020" max="10020" width="7.28515625" style="144" hidden="1"/>
    <col min="10021" max="10021" width="7.85546875" style="144" hidden="1"/>
    <col min="10022" max="10022" width="9.7109375" style="144" hidden="1"/>
    <col min="10023" max="10023" width="11.42578125" style="144" hidden="1"/>
    <col min="10024" max="10024" width="9.5703125" style="144" hidden="1"/>
    <col min="10025" max="10025" width="9.140625" style="144" hidden="1"/>
    <col min="10026" max="10026" width="11.28515625" style="144" hidden="1"/>
    <col min="10027" max="10027" width="11.5703125" style="144" hidden="1"/>
    <col min="10028" max="10028" width="7.140625" style="144" hidden="1"/>
    <col min="10029" max="10029" width="9.7109375" style="144" hidden="1"/>
    <col min="10030" max="10030" width="10.5703125" style="144" hidden="1"/>
    <col min="10031" max="10031" width="6.7109375" style="144" hidden="1"/>
    <col min="10032" max="10032" width="9.7109375" style="144" hidden="1"/>
    <col min="10033" max="10033" width="9" style="144" hidden="1"/>
    <col min="10034" max="10035" width="9.7109375" style="144" hidden="1"/>
    <col min="10036" max="10240" width="9.140625" style="144" hidden="1"/>
    <col min="10241" max="10241" width="6.140625" style="144" hidden="1"/>
    <col min="10242" max="10242" width="14.140625" style="144" hidden="1"/>
    <col min="10243" max="10243" width="9.5703125" style="144" hidden="1"/>
    <col min="10244" max="10244" width="10.28515625" style="144" hidden="1"/>
    <col min="10245" max="10245" width="11.28515625" style="144" hidden="1"/>
    <col min="10246" max="10246" width="11.42578125" style="144" hidden="1"/>
    <col min="10247" max="10247" width="22.5703125" style="144" hidden="1"/>
    <col min="10248" max="10248" width="2.28515625" style="144" hidden="1"/>
    <col min="10249" max="10249" width="11.28515625" style="144" hidden="1"/>
    <col min="10250" max="10250" width="8.42578125" style="144" hidden="1"/>
    <col min="10251" max="10251" width="8.140625" style="144" hidden="1"/>
    <col min="10252" max="10252" width="6.7109375" style="144" hidden="1"/>
    <col min="10253" max="10253" width="7.85546875" style="144" hidden="1"/>
    <col min="10254" max="10254" width="9.42578125" style="144" hidden="1"/>
    <col min="10255" max="10255" width="7.85546875" style="144" hidden="1"/>
    <col min="10256" max="10256" width="8.7109375" style="144" hidden="1"/>
    <col min="10257" max="10258" width="9.140625" style="144" hidden="1"/>
    <col min="10259" max="10259" width="7.85546875" style="144" hidden="1"/>
    <col min="10260" max="10260" width="8.42578125" style="144" hidden="1"/>
    <col min="10261" max="10261" width="6.42578125" style="144" hidden="1"/>
    <col min="10262" max="10262" width="5.28515625" style="144" hidden="1"/>
    <col min="10263" max="10263" width="6" style="144" hidden="1"/>
    <col min="10264" max="10265" width="9.140625" style="144" hidden="1"/>
    <col min="10266" max="10266" width="9.7109375" style="144" hidden="1"/>
    <col min="10267" max="10267" width="6.7109375" style="144" hidden="1"/>
    <col min="10268" max="10269" width="9.7109375" style="144" hidden="1"/>
    <col min="10270" max="10270" width="7.5703125" style="144" hidden="1"/>
    <col min="10271" max="10271" width="6" style="144" hidden="1"/>
    <col min="10272" max="10272" width="6.7109375" style="144" hidden="1"/>
    <col min="10273" max="10273" width="7.5703125" style="144" hidden="1"/>
    <col min="10274" max="10274" width="9.7109375" style="144" hidden="1"/>
    <col min="10275" max="10275" width="14.42578125" style="144" hidden="1"/>
    <col min="10276" max="10276" width="7.28515625" style="144" hidden="1"/>
    <col min="10277" max="10277" width="7.85546875" style="144" hidden="1"/>
    <col min="10278" max="10278" width="9.7109375" style="144" hidden="1"/>
    <col min="10279" max="10279" width="11.42578125" style="144" hidden="1"/>
    <col min="10280" max="10280" width="9.5703125" style="144" hidden="1"/>
    <col min="10281" max="10281" width="9.140625" style="144" hidden="1"/>
    <col min="10282" max="10282" width="11.28515625" style="144" hidden="1"/>
    <col min="10283" max="10283" width="11.5703125" style="144" hidden="1"/>
    <col min="10284" max="10284" width="7.140625" style="144" hidden="1"/>
    <col min="10285" max="10285" width="9.7109375" style="144" hidden="1"/>
    <col min="10286" max="10286" width="10.5703125" style="144" hidden="1"/>
    <col min="10287" max="10287" width="6.7109375" style="144" hidden="1"/>
    <col min="10288" max="10288" width="9.7109375" style="144" hidden="1"/>
    <col min="10289" max="10289" width="9" style="144" hidden="1"/>
    <col min="10290" max="10291" width="9.7109375" style="144" hidden="1"/>
    <col min="10292" max="10496" width="9.140625" style="144" hidden="1"/>
    <col min="10497" max="10497" width="6.140625" style="144" hidden="1"/>
    <col min="10498" max="10498" width="14.140625" style="144" hidden="1"/>
    <col min="10499" max="10499" width="9.5703125" style="144" hidden="1"/>
    <col min="10500" max="10500" width="10.28515625" style="144" hidden="1"/>
    <col min="10501" max="10501" width="11.28515625" style="144" hidden="1"/>
    <col min="10502" max="10502" width="11.42578125" style="144" hidden="1"/>
    <col min="10503" max="10503" width="22.5703125" style="144" hidden="1"/>
    <col min="10504" max="10504" width="2.28515625" style="144" hidden="1"/>
    <col min="10505" max="10505" width="11.28515625" style="144" hidden="1"/>
    <col min="10506" max="10506" width="8.42578125" style="144" hidden="1"/>
    <col min="10507" max="10507" width="8.140625" style="144" hidden="1"/>
    <col min="10508" max="10508" width="6.7109375" style="144" hidden="1"/>
    <col min="10509" max="10509" width="7.85546875" style="144" hidden="1"/>
    <col min="10510" max="10510" width="9.42578125" style="144" hidden="1"/>
    <col min="10511" max="10511" width="7.85546875" style="144" hidden="1"/>
    <col min="10512" max="10512" width="8.7109375" style="144" hidden="1"/>
    <col min="10513" max="10514" width="9.140625" style="144" hidden="1"/>
    <col min="10515" max="10515" width="7.85546875" style="144" hidden="1"/>
    <col min="10516" max="10516" width="8.42578125" style="144" hidden="1"/>
    <col min="10517" max="10517" width="6.42578125" style="144" hidden="1"/>
    <col min="10518" max="10518" width="5.28515625" style="144" hidden="1"/>
    <col min="10519" max="10519" width="6" style="144" hidden="1"/>
    <col min="10520" max="10521" width="9.140625" style="144" hidden="1"/>
    <col min="10522" max="10522" width="9.7109375" style="144" hidden="1"/>
    <col min="10523" max="10523" width="6.7109375" style="144" hidden="1"/>
    <col min="10524" max="10525" width="9.7109375" style="144" hidden="1"/>
    <col min="10526" max="10526" width="7.5703125" style="144" hidden="1"/>
    <col min="10527" max="10527" width="6" style="144" hidden="1"/>
    <col min="10528" max="10528" width="6.7109375" style="144" hidden="1"/>
    <col min="10529" max="10529" width="7.5703125" style="144" hidden="1"/>
    <col min="10530" max="10530" width="9.7109375" style="144" hidden="1"/>
    <col min="10531" max="10531" width="14.42578125" style="144" hidden="1"/>
    <col min="10532" max="10532" width="7.28515625" style="144" hidden="1"/>
    <col min="10533" max="10533" width="7.85546875" style="144" hidden="1"/>
    <col min="10534" max="10534" width="9.7109375" style="144" hidden="1"/>
    <col min="10535" max="10535" width="11.42578125" style="144" hidden="1"/>
    <col min="10536" max="10536" width="9.5703125" style="144" hidden="1"/>
    <col min="10537" max="10537" width="9.140625" style="144" hidden="1"/>
    <col min="10538" max="10538" width="11.28515625" style="144" hidden="1"/>
    <col min="10539" max="10539" width="11.5703125" style="144" hidden="1"/>
    <col min="10540" max="10540" width="7.140625" style="144" hidden="1"/>
    <col min="10541" max="10541" width="9.7109375" style="144" hidden="1"/>
    <col min="10542" max="10542" width="10.5703125" style="144" hidden="1"/>
    <col min="10543" max="10543" width="6.7109375" style="144" hidden="1"/>
    <col min="10544" max="10544" width="9.7109375" style="144" hidden="1"/>
    <col min="10545" max="10545" width="9" style="144" hidden="1"/>
    <col min="10546" max="10547" width="9.7109375" style="144" hidden="1"/>
    <col min="10548" max="10752" width="9.140625" style="144" hidden="1"/>
    <col min="10753" max="10753" width="6.140625" style="144" hidden="1"/>
    <col min="10754" max="10754" width="14.140625" style="144" hidden="1"/>
    <col min="10755" max="10755" width="9.5703125" style="144" hidden="1"/>
    <col min="10756" max="10756" width="10.28515625" style="144" hidden="1"/>
    <col min="10757" max="10757" width="11.28515625" style="144" hidden="1"/>
    <col min="10758" max="10758" width="11.42578125" style="144" hidden="1"/>
    <col min="10759" max="10759" width="22.5703125" style="144" hidden="1"/>
    <col min="10760" max="10760" width="2.28515625" style="144" hidden="1"/>
    <col min="10761" max="10761" width="11.28515625" style="144" hidden="1"/>
    <col min="10762" max="10762" width="8.42578125" style="144" hidden="1"/>
    <col min="10763" max="10763" width="8.140625" style="144" hidden="1"/>
    <col min="10764" max="10764" width="6.7109375" style="144" hidden="1"/>
    <col min="10765" max="10765" width="7.85546875" style="144" hidden="1"/>
    <col min="10766" max="10766" width="9.42578125" style="144" hidden="1"/>
    <col min="10767" max="10767" width="7.85546875" style="144" hidden="1"/>
    <col min="10768" max="10768" width="8.7109375" style="144" hidden="1"/>
    <col min="10769" max="10770" width="9.140625" style="144" hidden="1"/>
    <col min="10771" max="10771" width="7.85546875" style="144" hidden="1"/>
    <col min="10772" max="10772" width="8.42578125" style="144" hidden="1"/>
    <col min="10773" max="10773" width="6.42578125" style="144" hidden="1"/>
    <col min="10774" max="10774" width="5.28515625" style="144" hidden="1"/>
    <col min="10775" max="10775" width="6" style="144" hidden="1"/>
    <col min="10776" max="10777" width="9.140625" style="144" hidden="1"/>
    <col min="10778" max="10778" width="9.7109375" style="144" hidden="1"/>
    <col min="10779" max="10779" width="6.7109375" style="144" hidden="1"/>
    <col min="10780" max="10781" width="9.7109375" style="144" hidden="1"/>
    <col min="10782" max="10782" width="7.5703125" style="144" hidden="1"/>
    <col min="10783" max="10783" width="6" style="144" hidden="1"/>
    <col min="10784" max="10784" width="6.7109375" style="144" hidden="1"/>
    <col min="10785" max="10785" width="7.5703125" style="144" hidden="1"/>
    <col min="10786" max="10786" width="9.7109375" style="144" hidden="1"/>
    <col min="10787" max="10787" width="14.42578125" style="144" hidden="1"/>
    <col min="10788" max="10788" width="7.28515625" style="144" hidden="1"/>
    <col min="10789" max="10789" width="7.85546875" style="144" hidden="1"/>
    <col min="10790" max="10790" width="9.7109375" style="144" hidden="1"/>
    <col min="10791" max="10791" width="11.42578125" style="144" hidden="1"/>
    <col min="10792" max="10792" width="9.5703125" style="144" hidden="1"/>
    <col min="10793" max="10793" width="9.140625" style="144" hidden="1"/>
    <col min="10794" max="10794" width="11.28515625" style="144" hidden="1"/>
    <col min="10795" max="10795" width="11.5703125" style="144" hidden="1"/>
    <col min="10796" max="10796" width="7.140625" style="144" hidden="1"/>
    <col min="10797" max="10797" width="9.7109375" style="144" hidden="1"/>
    <col min="10798" max="10798" width="10.5703125" style="144" hidden="1"/>
    <col min="10799" max="10799" width="6.7109375" style="144" hidden="1"/>
    <col min="10800" max="10800" width="9.7109375" style="144" hidden="1"/>
    <col min="10801" max="10801" width="9" style="144" hidden="1"/>
    <col min="10802" max="10803" width="9.7109375" style="144" hidden="1"/>
    <col min="10804" max="11008" width="9.140625" style="144" hidden="1"/>
    <col min="11009" max="11009" width="6.140625" style="144" hidden="1"/>
    <col min="11010" max="11010" width="14.140625" style="144" hidden="1"/>
    <col min="11011" max="11011" width="9.5703125" style="144" hidden="1"/>
    <col min="11012" max="11012" width="10.28515625" style="144" hidden="1"/>
    <col min="11013" max="11013" width="11.28515625" style="144" hidden="1"/>
    <col min="11014" max="11014" width="11.42578125" style="144" hidden="1"/>
    <col min="11015" max="11015" width="22.5703125" style="144" hidden="1"/>
    <col min="11016" max="11016" width="2.28515625" style="144" hidden="1"/>
    <col min="11017" max="11017" width="11.28515625" style="144" hidden="1"/>
    <col min="11018" max="11018" width="8.42578125" style="144" hidden="1"/>
    <col min="11019" max="11019" width="8.140625" style="144" hidden="1"/>
    <col min="11020" max="11020" width="6.7109375" style="144" hidden="1"/>
    <col min="11021" max="11021" width="7.85546875" style="144" hidden="1"/>
    <col min="11022" max="11022" width="9.42578125" style="144" hidden="1"/>
    <col min="11023" max="11023" width="7.85546875" style="144" hidden="1"/>
    <col min="11024" max="11024" width="8.7109375" style="144" hidden="1"/>
    <col min="11025" max="11026" width="9.140625" style="144" hidden="1"/>
    <col min="11027" max="11027" width="7.85546875" style="144" hidden="1"/>
    <col min="11028" max="11028" width="8.42578125" style="144" hidden="1"/>
    <col min="11029" max="11029" width="6.42578125" style="144" hidden="1"/>
    <col min="11030" max="11030" width="5.28515625" style="144" hidden="1"/>
    <col min="11031" max="11031" width="6" style="144" hidden="1"/>
    <col min="11032" max="11033" width="9.140625" style="144" hidden="1"/>
    <col min="11034" max="11034" width="9.7109375" style="144" hidden="1"/>
    <col min="11035" max="11035" width="6.7109375" style="144" hidden="1"/>
    <col min="11036" max="11037" width="9.7109375" style="144" hidden="1"/>
    <col min="11038" max="11038" width="7.5703125" style="144" hidden="1"/>
    <col min="11039" max="11039" width="6" style="144" hidden="1"/>
    <col min="11040" max="11040" width="6.7109375" style="144" hidden="1"/>
    <col min="11041" max="11041" width="7.5703125" style="144" hidden="1"/>
    <col min="11042" max="11042" width="9.7109375" style="144" hidden="1"/>
    <col min="11043" max="11043" width="14.42578125" style="144" hidden="1"/>
    <col min="11044" max="11044" width="7.28515625" style="144" hidden="1"/>
    <col min="11045" max="11045" width="7.85546875" style="144" hidden="1"/>
    <col min="11046" max="11046" width="9.7109375" style="144" hidden="1"/>
    <col min="11047" max="11047" width="11.42578125" style="144" hidden="1"/>
    <col min="11048" max="11048" width="9.5703125" style="144" hidden="1"/>
    <col min="11049" max="11049" width="9.140625" style="144" hidden="1"/>
    <col min="11050" max="11050" width="11.28515625" style="144" hidden="1"/>
    <col min="11051" max="11051" width="11.5703125" style="144" hidden="1"/>
    <col min="11052" max="11052" width="7.140625" style="144" hidden="1"/>
    <col min="11053" max="11053" width="9.7109375" style="144" hidden="1"/>
    <col min="11054" max="11054" width="10.5703125" style="144" hidden="1"/>
    <col min="11055" max="11055" width="6.7109375" style="144" hidden="1"/>
    <col min="11056" max="11056" width="9.7109375" style="144" hidden="1"/>
    <col min="11057" max="11057" width="9" style="144" hidden="1"/>
    <col min="11058" max="11059" width="9.7109375" style="144" hidden="1"/>
    <col min="11060" max="11264" width="9.140625" style="144" hidden="1"/>
    <col min="11265" max="11265" width="6.140625" style="144" hidden="1"/>
    <col min="11266" max="11266" width="14.140625" style="144" hidden="1"/>
    <col min="11267" max="11267" width="9.5703125" style="144" hidden="1"/>
    <col min="11268" max="11268" width="10.28515625" style="144" hidden="1"/>
    <col min="11269" max="11269" width="11.28515625" style="144" hidden="1"/>
    <col min="11270" max="11270" width="11.42578125" style="144" hidden="1"/>
    <col min="11271" max="11271" width="22.5703125" style="144" hidden="1"/>
    <col min="11272" max="11272" width="2.28515625" style="144" hidden="1"/>
    <col min="11273" max="11273" width="11.28515625" style="144" hidden="1"/>
    <col min="11274" max="11274" width="8.42578125" style="144" hidden="1"/>
    <col min="11275" max="11275" width="8.140625" style="144" hidden="1"/>
    <col min="11276" max="11276" width="6.7109375" style="144" hidden="1"/>
    <col min="11277" max="11277" width="7.85546875" style="144" hidden="1"/>
    <col min="11278" max="11278" width="9.42578125" style="144" hidden="1"/>
    <col min="11279" max="11279" width="7.85546875" style="144" hidden="1"/>
    <col min="11280" max="11280" width="8.7109375" style="144" hidden="1"/>
    <col min="11281" max="11282" width="9.140625" style="144" hidden="1"/>
    <col min="11283" max="11283" width="7.85546875" style="144" hidden="1"/>
    <col min="11284" max="11284" width="8.42578125" style="144" hidden="1"/>
    <col min="11285" max="11285" width="6.42578125" style="144" hidden="1"/>
    <col min="11286" max="11286" width="5.28515625" style="144" hidden="1"/>
    <col min="11287" max="11287" width="6" style="144" hidden="1"/>
    <col min="11288" max="11289" width="9.140625" style="144" hidden="1"/>
    <col min="11290" max="11290" width="9.7109375" style="144" hidden="1"/>
    <col min="11291" max="11291" width="6.7109375" style="144" hidden="1"/>
    <col min="11292" max="11293" width="9.7109375" style="144" hidden="1"/>
    <col min="11294" max="11294" width="7.5703125" style="144" hidden="1"/>
    <col min="11295" max="11295" width="6" style="144" hidden="1"/>
    <col min="11296" max="11296" width="6.7109375" style="144" hidden="1"/>
    <col min="11297" max="11297" width="7.5703125" style="144" hidden="1"/>
    <col min="11298" max="11298" width="9.7109375" style="144" hidden="1"/>
    <col min="11299" max="11299" width="14.42578125" style="144" hidden="1"/>
    <col min="11300" max="11300" width="7.28515625" style="144" hidden="1"/>
    <col min="11301" max="11301" width="7.85546875" style="144" hidden="1"/>
    <col min="11302" max="11302" width="9.7109375" style="144" hidden="1"/>
    <col min="11303" max="11303" width="11.42578125" style="144" hidden="1"/>
    <col min="11304" max="11304" width="9.5703125" style="144" hidden="1"/>
    <col min="11305" max="11305" width="9.140625" style="144" hidden="1"/>
    <col min="11306" max="11306" width="11.28515625" style="144" hidden="1"/>
    <col min="11307" max="11307" width="11.5703125" style="144" hidden="1"/>
    <col min="11308" max="11308" width="7.140625" style="144" hidden="1"/>
    <col min="11309" max="11309" width="9.7109375" style="144" hidden="1"/>
    <col min="11310" max="11310" width="10.5703125" style="144" hidden="1"/>
    <col min="11311" max="11311" width="6.7109375" style="144" hidden="1"/>
    <col min="11312" max="11312" width="9.7109375" style="144" hidden="1"/>
    <col min="11313" max="11313" width="9" style="144" hidden="1"/>
    <col min="11314" max="11315" width="9.7109375" style="144" hidden="1"/>
    <col min="11316" max="11520" width="9.140625" style="144" hidden="1"/>
    <col min="11521" max="11521" width="6.140625" style="144" hidden="1"/>
    <col min="11522" max="11522" width="14.140625" style="144" hidden="1"/>
    <col min="11523" max="11523" width="9.5703125" style="144" hidden="1"/>
    <col min="11524" max="11524" width="10.28515625" style="144" hidden="1"/>
    <col min="11525" max="11525" width="11.28515625" style="144" hidden="1"/>
    <col min="11526" max="11526" width="11.42578125" style="144" hidden="1"/>
    <col min="11527" max="11527" width="22.5703125" style="144" hidden="1"/>
    <col min="11528" max="11528" width="2.28515625" style="144" hidden="1"/>
    <col min="11529" max="11529" width="11.28515625" style="144" hidden="1"/>
    <col min="11530" max="11530" width="8.42578125" style="144" hidden="1"/>
    <col min="11531" max="11531" width="8.140625" style="144" hidden="1"/>
    <col min="11532" max="11532" width="6.7109375" style="144" hidden="1"/>
    <col min="11533" max="11533" width="7.85546875" style="144" hidden="1"/>
    <col min="11534" max="11534" width="9.42578125" style="144" hidden="1"/>
    <col min="11535" max="11535" width="7.85546875" style="144" hidden="1"/>
    <col min="11536" max="11536" width="8.7109375" style="144" hidden="1"/>
    <col min="11537" max="11538" width="9.140625" style="144" hidden="1"/>
    <col min="11539" max="11539" width="7.85546875" style="144" hidden="1"/>
    <col min="11540" max="11540" width="8.42578125" style="144" hidden="1"/>
    <col min="11541" max="11541" width="6.42578125" style="144" hidden="1"/>
    <col min="11542" max="11542" width="5.28515625" style="144" hidden="1"/>
    <col min="11543" max="11543" width="6" style="144" hidden="1"/>
    <col min="11544" max="11545" width="9.140625" style="144" hidden="1"/>
    <col min="11546" max="11546" width="9.7109375" style="144" hidden="1"/>
    <col min="11547" max="11547" width="6.7109375" style="144" hidden="1"/>
    <col min="11548" max="11549" width="9.7109375" style="144" hidden="1"/>
    <col min="11550" max="11550" width="7.5703125" style="144" hidden="1"/>
    <col min="11551" max="11551" width="6" style="144" hidden="1"/>
    <col min="11552" max="11552" width="6.7109375" style="144" hidden="1"/>
    <col min="11553" max="11553" width="7.5703125" style="144" hidden="1"/>
    <col min="11554" max="11554" width="9.7109375" style="144" hidden="1"/>
    <col min="11555" max="11555" width="14.42578125" style="144" hidden="1"/>
    <col min="11556" max="11556" width="7.28515625" style="144" hidden="1"/>
    <col min="11557" max="11557" width="7.85546875" style="144" hidden="1"/>
    <col min="11558" max="11558" width="9.7109375" style="144" hidden="1"/>
    <col min="11559" max="11559" width="11.42578125" style="144" hidden="1"/>
    <col min="11560" max="11560" width="9.5703125" style="144" hidden="1"/>
    <col min="11561" max="11561" width="9.140625" style="144" hidden="1"/>
    <col min="11562" max="11562" width="11.28515625" style="144" hidden="1"/>
    <col min="11563" max="11563" width="11.5703125" style="144" hidden="1"/>
    <col min="11564" max="11564" width="7.140625" style="144" hidden="1"/>
    <col min="11565" max="11565" width="9.7109375" style="144" hidden="1"/>
    <col min="11566" max="11566" width="10.5703125" style="144" hidden="1"/>
    <col min="11567" max="11567" width="6.7109375" style="144" hidden="1"/>
    <col min="11568" max="11568" width="9.7109375" style="144" hidden="1"/>
    <col min="11569" max="11569" width="9" style="144" hidden="1"/>
    <col min="11570" max="11571" width="9.7109375" style="144" hidden="1"/>
    <col min="11572" max="11776" width="9.140625" style="144" hidden="1"/>
    <col min="11777" max="11777" width="6.140625" style="144" hidden="1"/>
    <col min="11778" max="11778" width="14.140625" style="144" hidden="1"/>
    <col min="11779" max="11779" width="9.5703125" style="144" hidden="1"/>
    <col min="11780" max="11780" width="10.28515625" style="144" hidden="1"/>
    <col min="11781" max="11781" width="11.28515625" style="144" hidden="1"/>
    <col min="11782" max="11782" width="11.42578125" style="144" hidden="1"/>
    <col min="11783" max="11783" width="22.5703125" style="144" hidden="1"/>
    <col min="11784" max="11784" width="2.28515625" style="144" hidden="1"/>
    <col min="11785" max="11785" width="11.28515625" style="144" hidden="1"/>
    <col min="11786" max="11786" width="8.42578125" style="144" hidden="1"/>
    <col min="11787" max="11787" width="8.140625" style="144" hidden="1"/>
    <col min="11788" max="11788" width="6.7109375" style="144" hidden="1"/>
    <col min="11789" max="11789" width="7.85546875" style="144" hidden="1"/>
    <col min="11790" max="11790" width="9.42578125" style="144" hidden="1"/>
    <col min="11791" max="11791" width="7.85546875" style="144" hidden="1"/>
    <col min="11792" max="11792" width="8.7109375" style="144" hidden="1"/>
    <col min="11793" max="11794" width="9.140625" style="144" hidden="1"/>
    <col min="11795" max="11795" width="7.85546875" style="144" hidden="1"/>
    <col min="11796" max="11796" width="8.42578125" style="144" hidden="1"/>
    <col min="11797" max="11797" width="6.42578125" style="144" hidden="1"/>
    <col min="11798" max="11798" width="5.28515625" style="144" hidden="1"/>
    <col min="11799" max="11799" width="6" style="144" hidden="1"/>
    <col min="11800" max="11801" width="9.140625" style="144" hidden="1"/>
    <col min="11802" max="11802" width="9.7109375" style="144" hidden="1"/>
    <col min="11803" max="11803" width="6.7109375" style="144" hidden="1"/>
    <col min="11804" max="11805" width="9.7109375" style="144" hidden="1"/>
    <col min="11806" max="11806" width="7.5703125" style="144" hidden="1"/>
    <col min="11807" max="11807" width="6" style="144" hidden="1"/>
    <col min="11808" max="11808" width="6.7109375" style="144" hidden="1"/>
    <col min="11809" max="11809" width="7.5703125" style="144" hidden="1"/>
    <col min="11810" max="11810" width="9.7109375" style="144" hidden="1"/>
    <col min="11811" max="11811" width="14.42578125" style="144" hidden="1"/>
    <col min="11812" max="11812" width="7.28515625" style="144" hidden="1"/>
    <col min="11813" max="11813" width="7.85546875" style="144" hidden="1"/>
    <col min="11814" max="11814" width="9.7109375" style="144" hidden="1"/>
    <col min="11815" max="11815" width="11.42578125" style="144" hidden="1"/>
    <col min="11816" max="11816" width="9.5703125" style="144" hidden="1"/>
    <col min="11817" max="11817" width="9.140625" style="144" hidden="1"/>
    <col min="11818" max="11818" width="11.28515625" style="144" hidden="1"/>
    <col min="11819" max="11819" width="11.5703125" style="144" hidden="1"/>
    <col min="11820" max="11820" width="7.140625" style="144" hidden="1"/>
    <col min="11821" max="11821" width="9.7109375" style="144" hidden="1"/>
    <col min="11822" max="11822" width="10.5703125" style="144" hidden="1"/>
    <col min="11823" max="11823" width="6.7109375" style="144" hidden="1"/>
    <col min="11824" max="11824" width="9.7109375" style="144" hidden="1"/>
    <col min="11825" max="11825" width="9" style="144" hidden="1"/>
    <col min="11826" max="11827" width="9.7109375" style="144" hidden="1"/>
    <col min="11828" max="12032" width="9.140625" style="144" hidden="1"/>
    <col min="12033" max="12033" width="6.140625" style="144" hidden="1"/>
    <col min="12034" max="12034" width="14.140625" style="144" hidden="1"/>
    <col min="12035" max="12035" width="9.5703125" style="144" hidden="1"/>
    <col min="12036" max="12036" width="10.28515625" style="144" hidden="1"/>
    <col min="12037" max="12037" width="11.28515625" style="144" hidden="1"/>
    <col min="12038" max="12038" width="11.42578125" style="144" hidden="1"/>
    <col min="12039" max="12039" width="22.5703125" style="144" hidden="1"/>
    <col min="12040" max="12040" width="2.28515625" style="144" hidden="1"/>
    <col min="12041" max="12041" width="11.28515625" style="144" hidden="1"/>
    <col min="12042" max="12042" width="8.42578125" style="144" hidden="1"/>
    <col min="12043" max="12043" width="8.140625" style="144" hidden="1"/>
    <col min="12044" max="12044" width="6.7109375" style="144" hidden="1"/>
    <col min="12045" max="12045" width="7.85546875" style="144" hidden="1"/>
    <col min="12046" max="12046" width="9.42578125" style="144" hidden="1"/>
    <col min="12047" max="12047" width="7.85546875" style="144" hidden="1"/>
    <col min="12048" max="12048" width="8.7109375" style="144" hidden="1"/>
    <col min="12049" max="12050" width="9.140625" style="144" hidden="1"/>
    <col min="12051" max="12051" width="7.85546875" style="144" hidden="1"/>
    <col min="12052" max="12052" width="8.42578125" style="144" hidden="1"/>
    <col min="12053" max="12053" width="6.42578125" style="144" hidden="1"/>
    <col min="12054" max="12054" width="5.28515625" style="144" hidden="1"/>
    <col min="12055" max="12055" width="6" style="144" hidden="1"/>
    <col min="12056" max="12057" width="9.140625" style="144" hidden="1"/>
    <col min="12058" max="12058" width="9.7109375" style="144" hidden="1"/>
    <col min="12059" max="12059" width="6.7109375" style="144" hidden="1"/>
    <col min="12060" max="12061" width="9.7109375" style="144" hidden="1"/>
    <col min="12062" max="12062" width="7.5703125" style="144" hidden="1"/>
    <col min="12063" max="12063" width="6" style="144" hidden="1"/>
    <col min="12064" max="12064" width="6.7109375" style="144" hidden="1"/>
    <col min="12065" max="12065" width="7.5703125" style="144" hidden="1"/>
    <col min="12066" max="12066" width="9.7109375" style="144" hidden="1"/>
    <col min="12067" max="12067" width="14.42578125" style="144" hidden="1"/>
    <col min="12068" max="12068" width="7.28515625" style="144" hidden="1"/>
    <col min="12069" max="12069" width="7.85546875" style="144" hidden="1"/>
    <col min="12070" max="12070" width="9.7109375" style="144" hidden="1"/>
    <col min="12071" max="12071" width="11.42578125" style="144" hidden="1"/>
    <col min="12072" max="12072" width="9.5703125" style="144" hidden="1"/>
    <col min="12073" max="12073" width="9.140625" style="144" hidden="1"/>
    <col min="12074" max="12074" width="11.28515625" style="144" hidden="1"/>
    <col min="12075" max="12075" width="11.5703125" style="144" hidden="1"/>
    <col min="12076" max="12076" width="7.140625" style="144" hidden="1"/>
    <col min="12077" max="12077" width="9.7109375" style="144" hidden="1"/>
    <col min="12078" max="12078" width="10.5703125" style="144" hidden="1"/>
    <col min="12079" max="12079" width="6.7109375" style="144" hidden="1"/>
    <col min="12080" max="12080" width="9.7109375" style="144" hidden="1"/>
    <col min="12081" max="12081" width="9" style="144" hidden="1"/>
    <col min="12082" max="12083" width="9.7109375" style="144" hidden="1"/>
    <col min="12084" max="12288" width="9.140625" style="144" hidden="1"/>
    <col min="12289" max="12289" width="6.140625" style="144" hidden="1"/>
    <col min="12290" max="12290" width="14.140625" style="144" hidden="1"/>
    <col min="12291" max="12291" width="9.5703125" style="144" hidden="1"/>
    <col min="12292" max="12292" width="10.28515625" style="144" hidden="1"/>
    <col min="12293" max="12293" width="11.28515625" style="144" hidden="1"/>
    <col min="12294" max="12294" width="11.42578125" style="144" hidden="1"/>
    <col min="12295" max="12295" width="22.5703125" style="144" hidden="1"/>
    <col min="12296" max="12296" width="2.28515625" style="144" hidden="1"/>
    <col min="12297" max="12297" width="11.28515625" style="144" hidden="1"/>
    <col min="12298" max="12298" width="8.42578125" style="144" hidden="1"/>
    <col min="12299" max="12299" width="8.140625" style="144" hidden="1"/>
    <col min="12300" max="12300" width="6.7109375" style="144" hidden="1"/>
    <col min="12301" max="12301" width="7.85546875" style="144" hidden="1"/>
    <col min="12302" max="12302" width="9.42578125" style="144" hidden="1"/>
    <col min="12303" max="12303" width="7.85546875" style="144" hidden="1"/>
    <col min="12304" max="12304" width="8.7109375" style="144" hidden="1"/>
    <col min="12305" max="12306" width="9.140625" style="144" hidden="1"/>
    <col min="12307" max="12307" width="7.85546875" style="144" hidden="1"/>
    <col min="12308" max="12308" width="8.42578125" style="144" hidden="1"/>
    <col min="12309" max="12309" width="6.42578125" style="144" hidden="1"/>
    <col min="12310" max="12310" width="5.28515625" style="144" hidden="1"/>
    <col min="12311" max="12311" width="6" style="144" hidden="1"/>
    <col min="12312" max="12313" width="9.140625" style="144" hidden="1"/>
    <col min="12314" max="12314" width="9.7109375" style="144" hidden="1"/>
    <col min="12315" max="12315" width="6.7109375" style="144" hidden="1"/>
    <col min="12316" max="12317" width="9.7109375" style="144" hidden="1"/>
    <col min="12318" max="12318" width="7.5703125" style="144" hidden="1"/>
    <col min="12319" max="12319" width="6" style="144" hidden="1"/>
    <col min="12320" max="12320" width="6.7109375" style="144" hidden="1"/>
    <col min="12321" max="12321" width="7.5703125" style="144" hidden="1"/>
    <col min="12322" max="12322" width="9.7109375" style="144" hidden="1"/>
    <col min="12323" max="12323" width="14.42578125" style="144" hidden="1"/>
    <col min="12324" max="12324" width="7.28515625" style="144" hidden="1"/>
    <col min="12325" max="12325" width="7.85546875" style="144" hidden="1"/>
    <col min="12326" max="12326" width="9.7109375" style="144" hidden="1"/>
    <col min="12327" max="12327" width="11.42578125" style="144" hidden="1"/>
    <col min="12328" max="12328" width="9.5703125" style="144" hidden="1"/>
    <col min="12329" max="12329" width="9.140625" style="144" hidden="1"/>
    <col min="12330" max="12330" width="11.28515625" style="144" hidden="1"/>
    <col min="12331" max="12331" width="11.5703125" style="144" hidden="1"/>
    <col min="12332" max="12332" width="7.140625" style="144" hidden="1"/>
    <col min="12333" max="12333" width="9.7109375" style="144" hidden="1"/>
    <col min="12334" max="12334" width="10.5703125" style="144" hidden="1"/>
    <col min="12335" max="12335" width="6.7109375" style="144" hidden="1"/>
    <col min="12336" max="12336" width="9.7109375" style="144" hidden="1"/>
    <col min="12337" max="12337" width="9" style="144" hidden="1"/>
    <col min="12338" max="12339" width="9.7109375" style="144" hidden="1"/>
    <col min="12340" max="12544" width="9.140625" style="144" hidden="1"/>
    <col min="12545" max="12545" width="6.140625" style="144" hidden="1"/>
    <col min="12546" max="12546" width="14.140625" style="144" hidden="1"/>
    <col min="12547" max="12547" width="9.5703125" style="144" hidden="1"/>
    <col min="12548" max="12548" width="10.28515625" style="144" hidden="1"/>
    <col min="12549" max="12549" width="11.28515625" style="144" hidden="1"/>
    <col min="12550" max="12550" width="11.42578125" style="144" hidden="1"/>
    <col min="12551" max="12551" width="22.5703125" style="144" hidden="1"/>
    <col min="12552" max="12552" width="2.28515625" style="144" hidden="1"/>
    <col min="12553" max="12553" width="11.28515625" style="144" hidden="1"/>
    <col min="12554" max="12554" width="8.42578125" style="144" hidden="1"/>
    <col min="12555" max="12555" width="8.140625" style="144" hidden="1"/>
    <col min="12556" max="12556" width="6.7109375" style="144" hidden="1"/>
    <col min="12557" max="12557" width="7.85546875" style="144" hidden="1"/>
    <col min="12558" max="12558" width="9.42578125" style="144" hidden="1"/>
    <col min="12559" max="12559" width="7.85546875" style="144" hidden="1"/>
    <col min="12560" max="12560" width="8.7109375" style="144" hidden="1"/>
    <col min="12561" max="12562" width="9.140625" style="144" hidden="1"/>
    <col min="12563" max="12563" width="7.85546875" style="144" hidden="1"/>
    <col min="12564" max="12564" width="8.42578125" style="144" hidden="1"/>
    <col min="12565" max="12565" width="6.42578125" style="144" hidden="1"/>
    <col min="12566" max="12566" width="5.28515625" style="144" hidden="1"/>
    <col min="12567" max="12567" width="6" style="144" hidden="1"/>
    <col min="12568" max="12569" width="9.140625" style="144" hidden="1"/>
    <col min="12570" max="12570" width="9.7109375" style="144" hidden="1"/>
    <col min="12571" max="12571" width="6.7109375" style="144" hidden="1"/>
    <col min="12572" max="12573" width="9.7109375" style="144" hidden="1"/>
    <col min="12574" max="12574" width="7.5703125" style="144" hidden="1"/>
    <col min="12575" max="12575" width="6" style="144" hidden="1"/>
    <col min="12576" max="12576" width="6.7109375" style="144" hidden="1"/>
    <col min="12577" max="12577" width="7.5703125" style="144" hidden="1"/>
    <col min="12578" max="12578" width="9.7109375" style="144" hidden="1"/>
    <col min="12579" max="12579" width="14.42578125" style="144" hidden="1"/>
    <col min="12580" max="12580" width="7.28515625" style="144" hidden="1"/>
    <col min="12581" max="12581" width="7.85546875" style="144" hidden="1"/>
    <col min="12582" max="12582" width="9.7109375" style="144" hidden="1"/>
    <col min="12583" max="12583" width="11.42578125" style="144" hidden="1"/>
    <col min="12584" max="12584" width="9.5703125" style="144" hidden="1"/>
    <col min="12585" max="12585" width="9.140625" style="144" hidden="1"/>
    <col min="12586" max="12586" width="11.28515625" style="144" hidden="1"/>
    <col min="12587" max="12587" width="11.5703125" style="144" hidden="1"/>
    <col min="12588" max="12588" width="7.140625" style="144" hidden="1"/>
    <col min="12589" max="12589" width="9.7109375" style="144" hidden="1"/>
    <col min="12590" max="12590" width="10.5703125" style="144" hidden="1"/>
    <col min="12591" max="12591" width="6.7109375" style="144" hidden="1"/>
    <col min="12592" max="12592" width="9.7109375" style="144" hidden="1"/>
    <col min="12593" max="12593" width="9" style="144" hidden="1"/>
    <col min="12594" max="12595" width="9.7109375" style="144" hidden="1"/>
    <col min="12596" max="12800" width="9.140625" style="144" hidden="1"/>
    <col min="12801" max="12801" width="6.140625" style="144" hidden="1"/>
    <col min="12802" max="12802" width="14.140625" style="144" hidden="1"/>
    <col min="12803" max="12803" width="9.5703125" style="144" hidden="1"/>
    <col min="12804" max="12804" width="10.28515625" style="144" hidden="1"/>
    <col min="12805" max="12805" width="11.28515625" style="144" hidden="1"/>
    <col min="12806" max="12806" width="11.42578125" style="144" hidden="1"/>
    <col min="12807" max="12807" width="22.5703125" style="144" hidden="1"/>
    <col min="12808" max="12808" width="2.28515625" style="144" hidden="1"/>
    <col min="12809" max="12809" width="11.28515625" style="144" hidden="1"/>
    <col min="12810" max="12810" width="8.42578125" style="144" hidden="1"/>
    <col min="12811" max="12811" width="8.140625" style="144" hidden="1"/>
    <col min="12812" max="12812" width="6.7109375" style="144" hidden="1"/>
    <col min="12813" max="12813" width="7.85546875" style="144" hidden="1"/>
    <col min="12814" max="12814" width="9.42578125" style="144" hidden="1"/>
    <col min="12815" max="12815" width="7.85546875" style="144" hidden="1"/>
    <col min="12816" max="12816" width="8.7109375" style="144" hidden="1"/>
    <col min="12817" max="12818" width="9.140625" style="144" hidden="1"/>
    <col min="12819" max="12819" width="7.85546875" style="144" hidden="1"/>
    <col min="12820" max="12820" width="8.42578125" style="144" hidden="1"/>
    <col min="12821" max="12821" width="6.42578125" style="144" hidden="1"/>
    <col min="12822" max="12822" width="5.28515625" style="144" hidden="1"/>
    <col min="12823" max="12823" width="6" style="144" hidden="1"/>
    <col min="12824" max="12825" width="9.140625" style="144" hidden="1"/>
    <col min="12826" max="12826" width="9.7109375" style="144" hidden="1"/>
    <col min="12827" max="12827" width="6.7109375" style="144" hidden="1"/>
    <col min="12828" max="12829" width="9.7109375" style="144" hidden="1"/>
    <col min="12830" max="12830" width="7.5703125" style="144" hidden="1"/>
    <col min="12831" max="12831" width="6" style="144" hidden="1"/>
    <col min="12832" max="12832" width="6.7109375" style="144" hidden="1"/>
    <col min="12833" max="12833" width="7.5703125" style="144" hidden="1"/>
    <col min="12834" max="12834" width="9.7109375" style="144" hidden="1"/>
    <col min="12835" max="12835" width="14.42578125" style="144" hidden="1"/>
    <col min="12836" max="12836" width="7.28515625" style="144" hidden="1"/>
    <col min="12837" max="12837" width="7.85546875" style="144" hidden="1"/>
    <col min="12838" max="12838" width="9.7109375" style="144" hidden="1"/>
    <col min="12839" max="12839" width="11.42578125" style="144" hidden="1"/>
    <col min="12840" max="12840" width="9.5703125" style="144" hidden="1"/>
    <col min="12841" max="12841" width="9.140625" style="144" hidden="1"/>
    <col min="12842" max="12842" width="11.28515625" style="144" hidden="1"/>
    <col min="12843" max="12843" width="11.5703125" style="144" hidden="1"/>
    <col min="12844" max="12844" width="7.140625" style="144" hidden="1"/>
    <col min="12845" max="12845" width="9.7109375" style="144" hidden="1"/>
    <col min="12846" max="12846" width="10.5703125" style="144" hidden="1"/>
    <col min="12847" max="12847" width="6.7109375" style="144" hidden="1"/>
    <col min="12848" max="12848" width="9.7109375" style="144" hidden="1"/>
    <col min="12849" max="12849" width="9" style="144" hidden="1"/>
    <col min="12850" max="12851" width="9.7109375" style="144" hidden="1"/>
    <col min="12852" max="13056" width="9.140625" style="144" hidden="1"/>
    <col min="13057" max="13057" width="6.140625" style="144" hidden="1"/>
    <col min="13058" max="13058" width="14.140625" style="144" hidden="1"/>
    <col min="13059" max="13059" width="9.5703125" style="144" hidden="1"/>
    <col min="13060" max="13060" width="10.28515625" style="144" hidden="1"/>
    <col min="13061" max="13061" width="11.28515625" style="144" hidden="1"/>
    <col min="13062" max="13062" width="11.42578125" style="144" hidden="1"/>
    <col min="13063" max="13063" width="22.5703125" style="144" hidden="1"/>
    <col min="13064" max="13064" width="2.28515625" style="144" hidden="1"/>
    <col min="13065" max="13065" width="11.28515625" style="144" hidden="1"/>
    <col min="13066" max="13066" width="8.42578125" style="144" hidden="1"/>
    <col min="13067" max="13067" width="8.140625" style="144" hidden="1"/>
    <col min="13068" max="13068" width="6.7109375" style="144" hidden="1"/>
    <col min="13069" max="13069" width="7.85546875" style="144" hidden="1"/>
    <col min="13070" max="13070" width="9.42578125" style="144" hidden="1"/>
    <col min="13071" max="13071" width="7.85546875" style="144" hidden="1"/>
    <col min="13072" max="13072" width="8.7109375" style="144" hidden="1"/>
    <col min="13073" max="13074" width="9.140625" style="144" hidden="1"/>
    <col min="13075" max="13075" width="7.85546875" style="144" hidden="1"/>
    <col min="13076" max="13076" width="8.42578125" style="144" hidden="1"/>
    <col min="13077" max="13077" width="6.42578125" style="144" hidden="1"/>
    <col min="13078" max="13078" width="5.28515625" style="144" hidden="1"/>
    <col min="13079" max="13079" width="6" style="144" hidden="1"/>
    <col min="13080" max="13081" width="9.140625" style="144" hidden="1"/>
    <col min="13082" max="13082" width="9.7109375" style="144" hidden="1"/>
    <col min="13083" max="13083" width="6.7109375" style="144" hidden="1"/>
    <col min="13084" max="13085" width="9.7109375" style="144" hidden="1"/>
    <col min="13086" max="13086" width="7.5703125" style="144" hidden="1"/>
    <col min="13087" max="13087" width="6" style="144" hidden="1"/>
    <col min="13088" max="13088" width="6.7109375" style="144" hidden="1"/>
    <col min="13089" max="13089" width="7.5703125" style="144" hidden="1"/>
    <col min="13090" max="13090" width="9.7109375" style="144" hidden="1"/>
    <col min="13091" max="13091" width="14.42578125" style="144" hidden="1"/>
    <col min="13092" max="13092" width="7.28515625" style="144" hidden="1"/>
    <col min="13093" max="13093" width="7.85546875" style="144" hidden="1"/>
    <col min="13094" max="13094" width="9.7109375" style="144" hidden="1"/>
    <col min="13095" max="13095" width="11.42578125" style="144" hidden="1"/>
    <col min="13096" max="13096" width="9.5703125" style="144" hidden="1"/>
    <col min="13097" max="13097" width="9.140625" style="144" hidden="1"/>
    <col min="13098" max="13098" width="11.28515625" style="144" hidden="1"/>
    <col min="13099" max="13099" width="11.5703125" style="144" hidden="1"/>
    <col min="13100" max="13100" width="7.140625" style="144" hidden="1"/>
    <col min="13101" max="13101" width="9.7109375" style="144" hidden="1"/>
    <col min="13102" max="13102" width="10.5703125" style="144" hidden="1"/>
    <col min="13103" max="13103" width="6.7109375" style="144" hidden="1"/>
    <col min="13104" max="13104" width="9.7109375" style="144" hidden="1"/>
    <col min="13105" max="13105" width="9" style="144" hidden="1"/>
    <col min="13106" max="13107" width="9.7109375" style="144" hidden="1"/>
    <col min="13108" max="13312" width="9.140625" style="144" hidden="1"/>
    <col min="13313" max="13313" width="6.140625" style="144" hidden="1"/>
    <col min="13314" max="13314" width="14.140625" style="144" hidden="1"/>
    <col min="13315" max="13315" width="9.5703125" style="144" hidden="1"/>
    <col min="13316" max="13316" width="10.28515625" style="144" hidden="1"/>
    <col min="13317" max="13317" width="11.28515625" style="144" hidden="1"/>
    <col min="13318" max="13318" width="11.42578125" style="144" hidden="1"/>
    <col min="13319" max="13319" width="22.5703125" style="144" hidden="1"/>
    <col min="13320" max="13320" width="2.28515625" style="144" hidden="1"/>
    <col min="13321" max="13321" width="11.28515625" style="144" hidden="1"/>
    <col min="13322" max="13322" width="8.42578125" style="144" hidden="1"/>
    <col min="13323" max="13323" width="8.140625" style="144" hidden="1"/>
    <col min="13324" max="13324" width="6.7109375" style="144" hidden="1"/>
    <col min="13325" max="13325" width="7.85546875" style="144" hidden="1"/>
    <col min="13326" max="13326" width="9.42578125" style="144" hidden="1"/>
    <col min="13327" max="13327" width="7.85546875" style="144" hidden="1"/>
    <col min="13328" max="13328" width="8.7109375" style="144" hidden="1"/>
    <col min="13329" max="13330" width="9.140625" style="144" hidden="1"/>
    <col min="13331" max="13331" width="7.85546875" style="144" hidden="1"/>
    <col min="13332" max="13332" width="8.42578125" style="144" hidden="1"/>
    <col min="13333" max="13333" width="6.42578125" style="144" hidden="1"/>
    <col min="13334" max="13334" width="5.28515625" style="144" hidden="1"/>
    <col min="13335" max="13335" width="6" style="144" hidden="1"/>
    <col min="13336" max="13337" width="9.140625" style="144" hidden="1"/>
    <col min="13338" max="13338" width="9.7109375" style="144" hidden="1"/>
    <col min="13339" max="13339" width="6.7109375" style="144" hidden="1"/>
    <col min="13340" max="13341" width="9.7109375" style="144" hidden="1"/>
    <col min="13342" max="13342" width="7.5703125" style="144" hidden="1"/>
    <col min="13343" max="13343" width="6" style="144" hidden="1"/>
    <col min="13344" max="13344" width="6.7109375" style="144" hidden="1"/>
    <col min="13345" max="13345" width="7.5703125" style="144" hidden="1"/>
    <col min="13346" max="13346" width="9.7109375" style="144" hidden="1"/>
    <col min="13347" max="13347" width="14.42578125" style="144" hidden="1"/>
    <col min="13348" max="13348" width="7.28515625" style="144" hidden="1"/>
    <col min="13349" max="13349" width="7.85546875" style="144" hidden="1"/>
    <col min="13350" max="13350" width="9.7109375" style="144" hidden="1"/>
    <col min="13351" max="13351" width="11.42578125" style="144" hidden="1"/>
    <col min="13352" max="13352" width="9.5703125" style="144" hidden="1"/>
    <col min="13353" max="13353" width="9.140625" style="144" hidden="1"/>
    <col min="13354" max="13354" width="11.28515625" style="144" hidden="1"/>
    <col min="13355" max="13355" width="11.5703125" style="144" hidden="1"/>
    <col min="13356" max="13356" width="7.140625" style="144" hidden="1"/>
    <col min="13357" max="13357" width="9.7109375" style="144" hidden="1"/>
    <col min="13358" max="13358" width="10.5703125" style="144" hidden="1"/>
    <col min="13359" max="13359" width="6.7109375" style="144" hidden="1"/>
    <col min="13360" max="13360" width="9.7109375" style="144" hidden="1"/>
    <col min="13361" max="13361" width="9" style="144" hidden="1"/>
    <col min="13362" max="13363" width="9.7109375" style="144" hidden="1"/>
    <col min="13364" max="13568" width="9.140625" style="144" hidden="1"/>
    <col min="13569" max="13569" width="6.140625" style="144" hidden="1"/>
    <col min="13570" max="13570" width="14.140625" style="144" hidden="1"/>
    <col min="13571" max="13571" width="9.5703125" style="144" hidden="1"/>
    <col min="13572" max="13572" width="10.28515625" style="144" hidden="1"/>
    <col min="13573" max="13573" width="11.28515625" style="144" hidden="1"/>
    <col min="13574" max="13574" width="11.42578125" style="144" hidden="1"/>
    <col min="13575" max="13575" width="22.5703125" style="144" hidden="1"/>
    <col min="13576" max="13576" width="2.28515625" style="144" hidden="1"/>
    <col min="13577" max="13577" width="11.28515625" style="144" hidden="1"/>
    <col min="13578" max="13578" width="8.42578125" style="144" hidden="1"/>
    <col min="13579" max="13579" width="8.140625" style="144" hidden="1"/>
    <col min="13580" max="13580" width="6.7109375" style="144" hidden="1"/>
    <col min="13581" max="13581" width="7.85546875" style="144" hidden="1"/>
    <col min="13582" max="13582" width="9.42578125" style="144" hidden="1"/>
    <col min="13583" max="13583" width="7.85546875" style="144" hidden="1"/>
    <col min="13584" max="13584" width="8.7109375" style="144" hidden="1"/>
    <col min="13585" max="13586" width="9.140625" style="144" hidden="1"/>
    <col min="13587" max="13587" width="7.85546875" style="144" hidden="1"/>
    <col min="13588" max="13588" width="8.42578125" style="144" hidden="1"/>
    <col min="13589" max="13589" width="6.42578125" style="144" hidden="1"/>
    <col min="13590" max="13590" width="5.28515625" style="144" hidden="1"/>
    <col min="13591" max="13591" width="6" style="144" hidden="1"/>
    <col min="13592" max="13593" width="9.140625" style="144" hidden="1"/>
    <col min="13594" max="13594" width="9.7109375" style="144" hidden="1"/>
    <col min="13595" max="13595" width="6.7109375" style="144" hidden="1"/>
    <col min="13596" max="13597" width="9.7109375" style="144" hidden="1"/>
    <col min="13598" max="13598" width="7.5703125" style="144" hidden="1"/>
    <col min="13599" max="13599" width="6" style="144" hidden="1"/>
    <col min="13600" max="13600" width="6.7109375" style="144" hidden="1"/>
    <col min="13601" max="13601" width="7.5703125" style="144" hidden="1"/>
    <col min="13602" max="13602" width="9.7109375" style="144" hidden="1"/>
    <col min="13603" max="13603" width="14.42578125" style="144" hidden="1"/>
    <col min="13604" max="13604" width="7.28515625" style="144" hidden="1"/>
    <col min="13605" max="13605" width="7.85546875" style="144" hidden="1"/>
    <col min="13606" max="13606" width="9.7109375" style="144" hidden="1"/>
    <col min="13607" max="13607" width="11.42578125" style="144" hidden="1"/>
    <col min="13608" max="13608" width="9.5703125" style="144" hidden="1"/>
    <col min="13609" max="13609" width="9.140625" style="144" hidden="1"/>
    <col min="13610" max="13610" width="11.28515625" style="144" hidden="1"/>
    <col min="13611" max="13611" width="11.5703125" style="144" hidden="1"/>
    <col min="13612" max="13612" width="7.140625" style="144" hidden="1"/>
    <col min="13613" max="13613" width="9.7109375" style="144" hidden="1"/>
    <col min="13614" max="13614" width="10.5703125" style="144" hidden="1"/>
    <col min="13615" max="13615" width="6.7109375" style="144" hidden="1"/>
    <col min="13616" max="13616" width="9.7109375" style="144" hidden="1"/>
    <col min="13617" max="13617" width="9" style="144" hidden="1"/>
    <col min="13618" max="13619" width="9.7109375" style="144" hidden="1"/>
    <col min="13620" max="13824" width="9.140625" style="144" hidden="1"/>
    <col min="13825" max="13825" width="6.140625" style="144" hidden="1"/>
    <col min="13826" max="13826" width="14.140625" style="144" hidden="1"/>
    <col min="13827" max="13827" width="9.5703125" style="144" hidden="1"/>
    <col min="13828" max="13828" width="10.28515625" style="144" hidden="1"/>
    <col min="13829" max="13829" width="11.28515625" style="144" hidden="1"/>
    <col min="13830" max="13830" width="11.42578125" style="144" hidden="1"/>
    <col min="13831" max="13831" width="22.5703125" style="144" hidden="1"/>
    <col min="13832" max="13832" width="2.28515625" style="144" hidden="1"/>
    <col min="13833" max="13833" width="11.28515625" style="144" hidden="1"/>
    <col min="13834" max="13834" width="8.42578125" style="144" hidden="1"/>
    <col min="13835" max="13835" width="8.140625" style="144" hidden="1"/>
    <col min="13836" max="13836" width="6.7109375" style="144" hidden="1"/>
    <col min="13837" max="13837" width="7.85546875" style="144" hidden="1"/>
    <col min="13838" max="13838" width="9.42578125" style="144" hidden="1"/>
    <col min="13839" max="13839" width="7.85546875" style="144" hidden="1"/>
    <col min="13840" max="13840" width="8.7109375" style="144" hidden="1"/>
    <col min="13841" max="13842" width="9.140625" style="144" hidden="1"/>
    <col min="13843" max="13843" width="7.85546875" style="144" hidden="1"/>
    <col min="13844" max="13844" width="8.42578125" style="144" hidden="1"/>
    <col min="13845" max="13845" width="6.42578125" style="144" hidden="1"/>
    <col min="13846" max="13846" width="5.28515625" style="144" hidden="1"/>
    <col min="13847" max="13847" width="6" style="144" hidden="1"/>
    <col min="13848" max="13849" width="9.140625" style="144" hidden="1"/>
    <col min="13850" max="13850" width="9.7109375" style="144" hidden="1"/>
    <col min="13851" max="13851" width="6.7109375" style="144" hidden="1"/>
    <col min="13852" max="13853" width="9.7109375" style="144" hidden="1"/>
    <col min="13854" max="13854" width="7.5703125" style="144" hidden="1"/>
    <col min="13855" max="13855" width="6" style="144" hidden="1"/>
    <col min="13856" max="13856" width="6.7109375" style="144" hidden="1"/>
    <col min="13857" max="13857" width="7.5703125" style="144" hidden="1"/>
    <col min="13858" max="13858" width="9.7109375" style="144" hidden="1"/>
    <col min="13859" max="13859" width="14.42578125" style="144" hidden="1"/>
    <col min="13860" max="13860" width="7.28515625" style="144" hidden="1"/>
    <col min="13861" max="13861" width="7.85546875" style="144" hidden="1"/>
    <col min="13862" max="13862" width="9.7109375" style="144" hidden="1"/>
    <col min="13863" max="13863" width="11.42578125" style="144" hidden="1"/>
    <col min="13864" max="13864" width="9.5703125" style="144" hidden="1"/>
    <col min="13865" max="13865" width="9.140625" style="144" hidden="1"/>
    <col min="13866" max="13866" width="11.28515625" style="144" hidden="1"/>
    <col min="13867" max="13867" width="11.5703125" style="144" hidden="1"/>
    <col min="13868" max="13868" width="7.140625" style="144" hidden="1"/>
    <col min="13869" max="13869" width="9.7109375" style="144" hidden="1"/>
    <col min="13870" max="13870" width="10.5703125" style="144" hidden="1"/>
    <col min="13871" max="13871" width="6.7109375" style="144" hidden="1"/>
    <col min="13872" max="13872" width="9.7109375" style="144" hidden="1"/>
    <col min="13873" max="13873" width="9" style="144" hidden="1"/>
    <col min="13874" max="13875" width="9.7109375" style="144" hidden="1"/>
    <col min="13876" max="14080" width="9.140625" style="144" hidden="1"/>
    <col min="14081" max="14081" width="6.140625" style="144" hidden="1"/>
    <col min="14082" max="14082" width="14.140625" style="144" hidden="1"/>
    <col min="14083" max="14083" width="9.5703125" style="144" hidden="1"/>
    <col min="14084" max="14084" width="10.28515625" style="144" hidden="1"/>
    <col min="14085" max="14085" width="11.28515625" style="144" hidden="1"/>
    <col min="14086" max="14086" width="11.42578125" style="144" hidden="1"/>
    <col min="14087" max="14087" width="22.5703125" style="144" hidden="1"/>
    <col min="14088" max="14088" width="2.28515625" style="144" hidden="1"/>
    <col min="14089" max="14089" width="11.28515625" style="144" hidden="1"/>
    <col min="14090" max="14090" width="8.42578125" style="144" hidden="1"/>
    <col min="14091" max="14091" width="8.140625" style="144" hidden="1"/>
    <col min="14092" max="14092" width="6.7109375" style="144" hidden="1"/>
    <col min="14093" max="14093" width="7.85546875" style="144" hidden="1"/>
    <col min="14094" max="14094" width="9.42578125" style="144" hidden="1"/>
    <col min="14095" max="14095" width="7.85546875" style="144" hidden="1"/>
    <col min="14096" max="14096" width="8.7109375" style="144" hidden="1"/>
    <col min="14097" max="14098" width="9.140625" style="144" hidden="1"/>
    <col min="14099" max="14099" width="7.85546875" style="144" hidden="1"/>
    <col min="14100" max="14100" width="8.42578125" style="144" hidden="1"/>
    <col min="14101" max="14101" width="6.42578125" style="144" hidden="1"/>
    <col min="14102" max="14102" width="5.28515625" style="144" hidden="1"/>
    <col min="14103" max="14103" width="6" style="144" hidden="1"/>
    <col min="14104" max="14105" width="9.140625" style="144" hidden="1"/>
    <col min="14106" max="14106" width="9.7109375" style="144" hidden="1"/>
    <col min="14107" max="14107" width="6.7109375" style="144" hidden="1"/>
    <col min="14108" max="14109" width="9.7109375" style="144" hidden="1"/>
    <col min="14110" max="14110" width="7.5703125" style="144" hidden="1"/>
    <col min="14111" max="14111" width="6" style="144" hidden="1"/>
    <col min="14112" max="14112" width="6.7109375" style="144" hidden="1"/>
    <col min="14113" max="14113" width="7.5703125" style="144" hidden="1"/>
    <col min="14114" max="14114" width="9.7109375" style="144" hidden="1"/>
    <col min="14115" max="14115" width="14.42578125" style="144" hidden="1"/>
    <col min="14116" max="14116" width="7.28515625" style="144" hidden="1"/>
    <col min="14117" max="14117" width="7.85546875" style="144" hidden="1"/>
    <col min="14118" max="14118" width="9.7109375" style="144" hidden="1"/>
    <col min="14119" max="14119" width="11.42578125" style="144" hidden="1"/>
    <col min="14120" max="14120" width="9.5703125" style="144" hidden="1"/>
    <col min="14121" max="14121" width="9.140625" style="144" hidden="1"/>
    <col min="14122" max="14122" width="11.28515625" style="144" hidden="1"/>
    <col min="14123" max="14123" width="11.5703125" style="144" hidden="1"/>
    <col min="14124" max="14124" width="7.140625" style="144" hidden="1"/>
    <col min="14125" max="14125" width="9.7109375" style="144" hidden="1"/>
    <col min="14126" max="14126" width="10.5703125" style="144" hidden="1"/>
    <col min="14127" max="14127" width="6.7109375" style="144" hidden="1"/>
    <col min="14128" max="14128" width="9.7109375" style="144" hidden="1"/>
    <col min="14129" max="14129" width="9" style="144" hidden="1"/>
    <col min="14130" max="14131" width="9.7109375" style="144" hidden="1"/>
    <col min="14132" max="14336" width="9.140625" style="144" hidden="1"/>
    <col min="14337" max="14337" width="6.140625" style="144" hidden="1"/>
    <col min="14338" max="14338" width="14.140625" style="144" hidden="1"/>
    <col min="14339" max="14339" width="9.5703125" style="144" hidden="1"/>
    <col min="14340" max="14340" width="10.28515625" style="144" hidden="1"/>
    <col min="14341" max="14341" width="11.28515625" style="144" hidden="1"/>
    <col min="14342" max="14342" width="11.42578125" style="144" hidden="1"/>
    <col min="14343" max="14343" width="22.5703125" style="144" hidden="1"/>
    <col min="14344" max="14344" width="2.28515625" style="144" hidden="1"/>
    <col min="14345" max="14345" width="11.28515625" style="144" hidden="1"/>
    <col min="14346" max="14346" width="8.42578125" style="144" hidden="1"/>
    <col min="14347" max="14347" width="8.140625" style="144" hidden="1"/>
    <col min="14348" max="14348" width="6.7109375" style="144" hidden="1"/>
    <col min="14349" max="14349" width="7.85546875" style="144" hidden="1"/>
    <col min="14350" max="14350" width="9.42578125" style="144" hidden="1"/>
    <col min="14351" max="14351" width="7.85546875" style="144" hidden="1"/>
    <col min="14352" max="14352" width="8.7109375" style="144" hidden="1"/>
    <col min="14353" max="14354" width="9.140625" style="144" hidden="1"/>
    <col min="14355" max="14355" width="7.85546875" style="144" hidden="1"/>
    <col min="14356" max="14356" width="8.42578125" style="144" hidden="1"/>
    <col min="14357" max="14357" width="6.42578125" style="144" hidden="1"/>
    <col min="14358" max="14358" width="5.28515625" style="144" hidden="1"/>
    <col min="14359" max="14359" width="6" style="144" hidden="1"/>
    <col min="14360" max="14361" width="9.140625" style="144" hidden="1"/>
    <col min="14362" max="14362" width="9.7109375" style="144" hidden="1"/>
    <col min="14363" max="14363" width="6.7109375" style="144" hidden="1"/>
    <col min="14364" max="14365" width="9.7109375" style="144" hidden="1"/>
    <col min="14366" max="14366" width="7.5703125" style="144" hidden="1"/>
    <col min="14367" max="14367" width="6" style="144" hidden="1"/>
    <col min="14368" max="14368" width="6.7109375" style="144" hidden="1"/>
    <col min="14369" max="14369" width="7.5703125" style="144" hidden="1"/>
    <col min="14370" max="14370" width="9.7109375" style="144" hidden="1"/>
    <col min="14371" max="14371" width="14.42578125" style="144" hidden="1"/>
    <col min="14372" max="14372" width="7.28515625" style="144" hidden="1"/>
    <col min="14373" max="14373" width="7.85546875" style="144" hidden="1"/>
    <col min="14374" max="14374" width="9.7109375" style="144" hidden="1"/>
    <col min="14375" max="14375" width="11.42578125" style="144" hidden="1"/>
    <col min="14376" max="14376" width="9.5703125" style="144" hidden="1"/>
    <col min="14377" max="14377" width="9.140625" style="144" hidden="1"/>
    <col min="14378" max="14378" width="11.28515625" style="144" hidden="1"/>
    <col min="14379" max="14379" width="11.5703125" style="144" hidden="1"/>
    <col min="14380" max="14380" width="7.140625" style="144" hidden="1"/>
    <col min="14381" max="14381" width="9.7109375" style="144" hidden="1"/>
    <col min="14382" max="14382" width="10.5703125" style="144" hidden="1"/>
    <col min="14383" max="14383" width="6.7109375" style="144" hidden="1"/>
    <col min="14384" max="14384" width="9.7109375" style="144" hidden="1"/>
    <col min="14385" max="14385" width="9" style="144" hidden="1"/>
    <col min="14386" max="14387" width="9.7109375" style="144" hidden="1"/>
    <col min="14388" max="14592" width="9.140625" style="144" hidden="1"/>
    <col min="14593" max="14593" width="6.140625" style="144" hidden="1"/>
    <col min="14594" max="14594" width="14.140625" style="144" hidden="1"/>
    <col min="14595" max="14595" width="9.5703125" style="144" hidden="1"/>
    <col min="14596" max="14596" width="10.28515625" style="144" hidden="1"/>
    <col min="14597" max="14597" width="11.28515625" style="144" hidden="1"/>
    <col min="14598" max="14598" width="11.42578125" style="144" hidden="1"/>
    <col min="14599" max="14599" width="22.5703125" style="144" hidden="1"/>
    <col min="14600" max="14600" width="2.28515625" style="144" hidden="1"/>
    <col min="14601" max="14601" width="11.28515625" style="144" hidden="1"/>
    <col min="14602" max="14602" width="8.42578125" style="144" hidden="1"/>
    <col min="14603" max="14603" width="8.140625" style="144" hidden="1"/>
    <col min="14604" max="14604" width="6.7109375" style="144" hidden="1"/>
    <col min="14605" max="14605" width="7.85546875" style="144" hidden="1"/>
    <col min="14606" max="14606" width="9.42578125" style="144" hidden="1"/>
    <col min="14607" max="14607" width="7.85546875" style="144" hidden="1"/>
    <col min="14608" max="14608" width="8.7109375" style="144" hidden="1"/>
    <col min="14609" max="14610" width="9.140625" style="144" hidden="1"/>
    <col min="14611" max="14611" width="7.85546875" style="144" hidden="1"/>
    <col min="14612" max="14612" width="8.42578125" style="144" hidden="1"/>
    <col min="14613" max="14613" width="6.42578125" style="144" hidden="1"/>
    <col min="14614" max="14614" width="5.28515625" style="144" hidden="1"/>
    <col min="14615" max="14615" width="6" style="144" hidden="1"/>
    <col min="14616" max="14617" width="9.140625" style="144" hidden="1"/>
    <col min="14618" max="14618" width="9.7109375" style="144" hidden="1"/>
    <col min="14619" max="14619" width="6.7109375" style="144" hidden="1"/>
    <col min="14620" max="14621" width="9.7109375" style="144" hidden="1"/>
    <col min="14622" max="14622" width="7.5703125" style="144" hidden="1"/>
    <col min="14623" max="14623" width="6" style="144" hidden="1"/>
    <col min="14624" max="14624" width="6.7109375" style="144" hidden="1"/>
    <col min="14625" max="14625" width="7.5703125" style="144" hidden="1"/>
    <col min="14626" max="14626" width="9.7109375" style="144" hidden="1"/>
    <col min="14627" max="14627" width="14.42578125" style="144" hidden="1"/>
    <col min="14628" max="14628" width="7.28515625" style="144" hidden="1"/>
    <col min="14629" max="14629" width="7.85546875" style="144" hidden="1"/>
    <col min="14630" max="14630" width="9.7109375" style="144" hidden="1"/>
    <col min="14631" max="14631" width="11.42578125" style="144" hidden="1"/>
    <col min="14632" max="14632" width="9.5703125" style="144" hidden="1"/>
    <col min="14633" max="14633" width="9.140625" style="144" hidden="1"/>
    <col min="14634" max="14634" width="11.28515625" style="144" hidden="1"/>
    <col min="14635" max="14635" width="11.5703125" style="144" hidden="1"/>
    <col min="14636" max="14636" width="7.140625" style="144" hidden="1"/>
    <col min="14637" max="14637" width="9.7109375" style="144" hidden="1"/>
    <col min="14638" max="14638" width="10.5703125" style="144" hidden="1"/>
    <col min="14639" max="14639" width="6.7109375" style="144" hidden="1"/>
    <col min="14640" max="14640" width="9.7109375" style="144" hidden="1"/>
    <col min="14641" max="14641" width="9" style="144" hidden="1"/>
    <col min="14642" max="14643" width="9.7109375" style="144" hidden="1"/>
    <col min="14644" max="14848" width="9.140625" style="144" hidden="1"/>
    <col min="14849" max="14849" width="6.140625" style="144" hidden="1"/>
    <col min="14850" max="14850" width="14.140625" style="144" hidden="1"/>
    <col min="14851" max="14851" width="9.5703125" style="144" hidden="1"/>
    <col min="14852" max="14852" width="10.28515625" style="144" hidden="1"/>
    <col min="14853" max="14853" width="11.28515625" style="144" hidden="1"/>
    <col min="14854" max="14854" width="11.42578125" style="144" hidden="1"/>
    <col min="14855" max="14855" width="22.5703125" style="144" hidden="1"/>
    <col min="14856" max="14856" width="2.28515625" style="144" hidden="1"/>
    <col min="14857" max="14857" width="11.28515625" style="144" hidden="1"/>
    <col min="14858" max="14858" width="8.42578125" style="144" hidden="1"/>
    <col min="14859" max="14859" width="8.140625" style="144" hidden="1"/>
    <col min="14860" max="14860" width="6.7109375" style="144" hidden="1"/>
    <col min="14861" max="14861" width="7.85546875" style="144" hidden="1"/>
    <col min="14862" max="14862" width="9.42578125" style="144" hidden="1"/>
    <col min="14863" max="14863" width="7.85546875" style="144" hidden="1"/>
    <col min="14864" max="14864" width="8.7109375" style="144" hidden="1"/>
    <col min="14865" max="14866" width="9.140625" style="144" hidden="1"/>
    <col min="14867" max="14867" width="7.85546875" style="144" hidden="1"/>
    <col min="14868" max="14868" width="8.42578125" style="144" hidden="1"/>
    <col min="14869" max="14869" width="6.42578125" style="144" hidden="1"/>
    <col min="14870" max="14870" width="5.28515625" style="144" hidden="1"/>
    <col min="14871" max="14871" width="6" style="144" hidden="1"/>
    <col min="14872" max="14873" width="9.140625" style="144" hidden="1"/>
    <col min="14874" max="14874" width="9.7109375" style="144" hidden="1"/>
    <col min="14875" max="14875" width="6.7109375" style="144" hidden="1"/>
    <col min="14876" max="14877" width="9.7109375" style="144" hidden="1"/>
    <col min="14878" max="14878" width="7.5703125" style="144" hidden="1"/>
    <col min="14879" max="14879" width="6" style="144" hidden="1"/>
    <col min="14880" max="14880" width="6.7109375" style="144" hidden="1"/>
    <col min="14881" max="14881" width="7.5703125" style="144" hidden="1"/>
    <col min="14882" max="14882" width="9.7109375" style="144" hidden="1"/>
    <col min="14883" max="14883" width="14.42578125" style="144" hidden="1"/>
    <col min="14884" max="14884" width="7.28515625" style="144" hidden="1"/>
    <col min="14885" max="14885" width="7.85546875" style="144" hidden="1"/>
    <col min="14886" max="14886" width="9.7109375" style="144" hidden="1"/>
    <col min="14887" max="14887" width="11.42578125" style="144" hidden="1"/>
    <col min="14888" max="14888" width="9.5703125" style="144" hidden="1"/>
    <col min="14889" max="14889" width="9.140625" style="144" hidden="1"/>
    <col min="14890" max="14890" width="11.28515625" style="144" hidden="1"/>
    <col min="14891" max="14891" width="11.5703125" style="144" hidden="1"/>
    <col min="14892" max="14892" width="7.140625" style="144" hidden="1"/>
    <col min="14893" max="14893" width="9.7109375" style="144" hidden="1"/>
    <col min="14894" max="14894" width="10.5703125" style="144" hidden="1"/>
    <col min="14895" max="14895" width="6.7109375" style="144" hidden="1"/>
    <col min="14896" max="14896" width="9.7109375" style="144" hidden="1"/>
    <col min="14897" max="14897" width="9" style="144" hidden="1"/>
    <col min="14898" max="14899" width="9.7109375" style="144" hidden="1"/>
    <col min="14900" max="15104" width="9.140625" style="144" hidden="1"/>
    <col min="15105" max="15105" width="6.140625" style="144" hidden="1"/>
    <col min="15106" max="15106" width="14.140625" style="144" hidden="1"/>
    <col min="15107" max="15107" width="9.5703125" style="144" hidden="1"/>
    <col min="15108" max="15108" width="10.28515625" style="144" hidden="1"/>
    <col min="15109" max="15109" width="11.28515625" style="144" hidden="1"/>
    <col min="15110" max="15110" width="11.42578125" style="144" hidden="1"/>
    <col min="15111" max="15111" width="22.5703125" style="144" hidden="1"/>
    <col min="15112" max="15112" width="2.28515625" style="144" hidden="1"/>
    <col min="15113" max="15113" width="11.28515625" style="144" hidden="1"/>
    <col min="15114" max="15114" width="8.42578125" style="144" hidden="1"/>
    <col min="15115" max="15115" width="8.140625" style="144" hidden="1"/>
    <col min="15116" max="15116" width="6.7109375" style="144" hidden="1"/>
    <col min="15117" max="15117" width="7.85546875" style="144" hidden="1"/>
    <col min="15118" max="15118" width="9.42578125" style="144" hidden="1"/>
    <col min="15119" max="15119" width="7.85546875" style="144" hidden="1"/>
    <col min="15120" max="15120" width="8.7109375" style="144" hidden="1"/>
    <col min="15121" max="15122" width="9.140625" style="144" hidden="1"/>
    <col min="15123" max="15123" width="7.85546875" style="144" hidden="1"/>
    <col min="15124" max="15124" width="8.42578125" style="144" hidden="1"/>
    <col min="15125" max="15125" width="6.42578125" style="144" hidden="1"/>
    <col min="15126" max="15126" width="5.28515625" style="144" hidden="1"/>
    <col min="15127" max="15127" width="6" style="144" hidden="1"/>
    <col min="15128" max="15129" width="9.140625" style="144" hidden="1"/>
    <col min="15130" max="15130" width="9.7109375" style="144" hidden="1"/>
    <col min="15131" max="15131" width="6.7109375" style="144" hidden="1"/>
    <col min="15132" max="15133" width="9.7109375" style="144" hidden="1"/>
    <col min="15134" max="15134" width="7.5703125" style="144" hidden="1"/>
    <col min="15135" max="15135" width="6" style="144" hidden="1"/>
    <col min="15136" max="15136" width="6.7109375" style="144" hidden="1"/>
    <col min="15137" max="15137" width="7.5703125" style="144" hidden="1"/>
    <col min="15138" max="15138" width="9.7109375" style="144" hidden="1"/>
    <col min="15139" max="15139" width="14.42578125" style="144" hidden="1"/>
    <col min="15140" max="15140" width="7.28515625" style="144" hidden="1"/>
    <col min="15141" max="15141" width="7.85546875" style="144" hidden="1"/>
    <col min="15142" max="15142" width="9.7109375" style="144" hidden="1"/>
    <col min="15143" max="15143" width="11.42578125" style="144" hidden="1"/>
    <col min="15144" max="15144" width="9.5703125" style="144" hidden="1"/>
    <col min="15145" max="15145" width="9.140625" style="144" hidden="1"/>
    <col min="15146" max="15146" width="11.28515625" style="144" hidden="1"/>
    <col min="15147" max="15147" width="11.5703125" style="144" hidden="1"/>
    <col min="15148" max="15148" width="7.140625" style="144" hidden="1"/>
    <col min="15149" max="15149" width="9.7109375" style="144" hidden="1"/>
    <col min="15150" max="15150" width="10.5703125" style="144" hidden="1"/>
    <col min="15151" max="15151" width="6.7109375" style="144" hidden="1"/>
    <col min="15152" max="15152" width="9.7109375" style="144" hidden="1"/>
    <col min="15153" max="15153" width="9" style="144" hidden="1"/>
    <col min="15154" max="15155" width="9.7109375" style="144" hidden="1"/>
    <col min="15156" max="15360" width="9.140625" style="144" hidden="1"/>
    <col min="15361" max="15361" width="6.140625" style="144" hidden="1"/>
    <col min="15362" max="15362" width="14.140625" style="144" hidden="1"/>
    <col min="15363" max="15363" width="9.5703125" style="144" hidden="1"/>
    <col min="15364" max="15364" width="10.28515625" style="144" hidden="1"/>
    <col min="15365" max="15365" width="11.28515625" style="144" hidden="1"/>
    <col min="15366" max="15366" width="11.42578125" style="144" hidden="1"/>
    <col min="15367" max="15367" width="22.5703125" style="144" hidden="1"/>
    <col min="15368" max="15368" width="2.28515625" style="144" hidden="1"/>
    <col min="15369" max="15369" width="11.28515625" style="144" hidden="1"/>
    <col min="15370" max="15370" width="8.42578125" style="144" hidden="1"/>
    <col min="15371" max="15371" width="8.140625" style="144" hidden="1"/>
    <col min="15372" max="15372" width="6.7109375" style="144" hidden="1"/>
    <col min="15373" max="15373" width="7.85546875" style="144" hidden="1"/>
    <col min="15374" max="15374" width="9.42578125" style="144" hidden="1"/>
    <col min="15375" max="15375" width="7.85546875" style="144" hidden="1"/>
    <col min="15376" max="15376" width="8.7109375" style="144" hidden="1"/>
    <col min="15377" max="15378" width="9.140625" style="144" hidden="1"/>
    <col min="15379" max="15379" width="7.85546875" style="144" hidden="1"/>
    <col min="15380" max="15380" width="8.42578125" style="144" hidden="1"/>
    <col min="15381" max="15381" width="6.42578125" style="144" hidden="1"/>
    <col min="15382" max="15382" width="5.28515625" style="144" hidden="1"/>
    <col min="15383" max="15383" width="6" style="144" hidden="1"/>
    <col min="15384" max="15385" width="9.140625" style="144" hidden="1"/>
    <col min="15386" max="15386" width="9.7109375" style="144" hidden="1"/>
    <col min="15387" max="15387" width="6.7109375" style="144" hidden="1"/>
    <col min="15388" max="15389" width="9.7109375" style="144" hidden="1"/>
    <col min="15390" max="15390" width="7.5703125" style="144" hidden="1"/>
    <col min="15391" max="15391" width="6" style="144" hidden="1"/>
    <col min="15392" max="15392" width="6.7109375" style="144" hidden="1"/>
    <col min="15393" max="15393" width="7.5703125" style="144" hidden="1"/>
    <col min="15394" max="15394" width="9.7109375" style="144" hidden="1"/>
    <col min="15395" max="15395" width="14.42578125" style="144" hidden="1"/>
    <col min="15396" max="15396" width="7.28515625" style="144" hidden="1"/>
    <col min="15397" max="15397" width="7.85546875" style="144" hidden="1"/>
    <col min="15398" max="15398" width="9.7109375" style="144" hidden="1"/>
    <col min="15399" max="15399" width="11.42578125" style="144" hidden="1"/>
    <col min="15400" max="15400" width="9.5703125" style="144" hidden="1"/>
    <col min="15401" max="15401" width="9.140625" style="144" hidden="1"/>
    <col min="15402" max="15402" width="11.28515625" style="144" hidden="1"/>
    <col min="15403" max="15403" width="11.5703125" style="144" hidden="1"/>
    <col min="15404" max="15404" width="7.140625" style="144" hidden="1"/>
    <col min="15405" max="15405" width="9.7109375" style="144" hidden="1"/>
    <col min="15406" max="15406" width="10.5703125" style="144" hidden="1"/>
    <col min="15407" max="15407" width="6.7109375" style="144" hidden="1"/>
    <col min="15408" max="15408" width="9.7109375" style="144" hidden="1"/>
    <col min="15409" max="15409" width="9" style="144" hidden="1"/>
    <col min="15410" max="15411" width="9.7109375" style="144" hidden="1"/>
    <col min="15412" max="15616" width="9.140625" style="144" hidden="1"/>
    <col min="15617" max="15617" width="6.140625" style="144" hidden="1"/>
    <col min="15618" max="15618" width="14.140625" style="144" hidden="1"/>
    <col min="15619" max="15619" width="9.5703125" style="144" hidden="1"/>
    <col min="15620" max="15620" width="10.28515625" style="144" hidden="1"/>
    <col min="15621" max="15621" width="11.28515625" style="144" hidden="1"/>
    <col min="15622" max="15622" width="11.42578125" style="144" hidden="1"/>
    <col min="15623" max="15623" width="22.5703125" style="144" hidden="1"/>
    <col min="15624" max="15624" width="2.28515625" style="144" hidden="1"/>
    <col min="15625" max="15625" width="11.28515625" style="144" hidden="1"/>
    <col min="15626" max="15626" width="8.42578125" style="144" hidden="1"/>
    <col min="15627" max="15627" width="8.140625" style="144" hidden="1"/>
    <col min="15628" max="15628" width="6.7109375" style="144" hidden="1"/>
    <col min="15629" max="15629" width="7.85546875" style="144" hidden="1"/>
    <col min="15630" max="15630" width="9.42578125" style="144" hidden="1"/>
    <col min="15631" max="15631" width="7.85546875" style="144" hidden="1"/>
    <col min="15632" max="15632" width="8.7109375" style="144" hidden="1"/>
    <col min="15633" max="15634" width="9.140625" style="144" hidden="1"/>
    <col min="15635" max="15635" width="7.85546875" style="144" hidden="1"/>
    <col min="15636" max="15636" width="8.42578125" style="144" hidden="1"/>
    <col min="15637" max="15637" width="6.42578125" style="144" hidden="1"/>
    <col min="15638" max="15638" width="5.28515625" style="144" hidden="1"/>
    <col min="15639" max="15639" width="6" style="144" hidden="1"/>
    <col min="15640" max="15641" width="9.140625" style="144" hidden="1"/>
    <col min="15642" max="15642" width="9.7109375" style="144" hidden="1"/>
    <col min="15643" max="15643" width="6.7109375" style="144" hidden="1"/>
    <col min="15644" max="15645" width="9.7109375" style="144" hidden="1"/>
    <col min="15646" max="15646" width="7.5703125" style="144" hidden="1"/>
    <col min="15647" max="15647" width="6" style="144" hidden="1"/>
    <col min="15648" max="15648" width="6.7109375" style="144" hidden="1"/>
    <col min="15649" max="15649" width="7.5703125" style="144" hidden="1"/>
    <col min="15650" max="15650" width="9.7109375" style="144" hidden="1"/>
    <col min="15651" max="15651" width="14.42578125" style="144" hidden="1"/>
    <col min="15652" max="15652" width="7.28515625" style="144" hidden="1"/>
    <col min="15653" max="15653" width="7.85546875" style="144" hidden="1"/>
    <col min="15654" max="15654" width="9.7109375" style="144" hidden="1"/>
    <col min="15655" max="15655" width="11.42578125" style="144" hidden="1"/>
    <col min="15656" max="15656" width="9.5703125" style="144" hidden="1"/>
    <col min="15657" max="15657" width="9.140625" style="144" hidden="1"/>
    <col min="15658" max="15658" width="11.28515625" style="144" hidden="1"/>
    <col min="15659" max="15659" width="11.5703125" style="144" hidden="1"/>
    <col min="15660" max="15660" width="7.140625" style="144" hidden="1"/>
    <col min="15661" max="15661" width="9.7109375" style="144" hidden="1"/>
    <col min="15662" max="15662" width="10.5703125" style="144" hidden="1"/>
    <col min="15663" max="15663" width="6.7109375" style="144" hidden="1"/>
    <col min="15664" max="15664" width="9.7109375" style="144" hidden="1"/>
    <col min="15665" max="15665" width="9" style="144" hidden="1"/>
    <col min="15666" max="15667" width="9.7109375" style="144" hidden="1"/>
    <col min="15668" max="15872" width="9.140625" style="144" hidden="1"/>
    <col min="15873" max="15873" width="6.140625" style="144" hidden="1"/>
    <col min="15874" max="15874" width="14.140625" style="144" hidden="1"/>
    <col min="15875" max="15875" width="9.5703125" style="144" hidden="1"/>
    <col min="15876" max="15876" width="10.28515625" style="144" hidden="1"/>
    <col min="15877" max="15877" width="11.28515625" style="144" hidden="1"/>
    <col min="15878" max="15878" width="11.42578125" style="144" hidden="1"/>
    <col min="15879" max="15879" width="22.5703125" style="144" hidden="1"/>
    <col min="15880" max="15880" width="2.28515625" style="144" hidden="1"/>
    <col min="15881" max="15881" width="11.28515625" style="144" hidden="1"/>
    <col min="15882" max="15882" width="8.42578125" style="144" hidden="1"/>
    <col min="15883" max="15883" width="8.140625" style="144" hidden="1"/>
    <col min="15884" max="15884" width="6.7109375" style="144" hidden="1"/>
    <col min="15885" max="15885" width="7.85546875" style="144" hidden="1"/>
    <col min="15886" max="15886" width="9.42578125" style="144" hidden="1"/>
    <col min="15887" max="15887" width="7.85546875" style="144" hidden="1"/>
    <col min="15888" max="15888" width="8.7109375" style="144" hidden="1"/>
    <col min="15889" max="15890" width="9.140625" style="144" hidden="1"/>
    <col min="15891" max="15891" width="7.85546875" style="144" hidden="1"/>
    <col min="15892" max="15892" width="8.42578125" style="144" hidden="1"/>
    <col min="15893" max="15893" width="6.42578125" style="144" hidden="1"/>
    <col min="15894" max="15894" width="5.28515625" style="144" hidden="1"/>
    <col min="15895" max="15895" width="6" style="144" hidden="1"/>
    <col min="15896" max="15897" width="9.140625" style="144" hidden="1"/>
    <col min="15898" max="15898" width="9.7109375" style="144" hidden="1"/>
    <col min="15899" max="15899" width="6.7109375" style="144" hidden="1"/>
    <col min="15900" max="15901" width="9.7109375" style="144" hidden="1"/>
    <col min="15902" max="15902" width="7.5703125" style="144" hidden="1"/>
    <col min="15903" max="15903" width="6" style="144" hidden="1"/>
    <col min="15904" max="15904" width="6.7109375" style="144" hidden="1"/>
    <col min="15905" max="15905" width="7.5703125" style="144" hidden="1"/>
    <col min="15906" max="15906" width="9.7109375" style="144" hidden="1"/>
    <col min="15907" max="15907" width="14.42578125" style="144" hidden="1"/>
    <col min="15908" max="15908" width="7.28515625" style="144" hidden="1"/>
    <col min="15909" max="15909" width="7.85546875" style="144" hidden="1"/>
    <col min="15910" max="15910" width="9.7109375" style="144" hidden="1"/>
    <col min="15911" max="15911" width="11.42578125" style="144" hidden="1"/>
    <col min="15912" max="15912" width="9.5703125" style="144" hidden="1"/>
    <col min="15913" max="15913" width="9.140625" style="144" hidden="1"/>
    <col min="15914" max="15914" width="11.28515625" style="144" hidden="1"/>
    <col min="15915" max="15915" width="11.5703125" style="144" hidden="1"/>
    <col min="15916" max="15916" width="7.140625" style="144" hidden="1"/>
    <col min="15917" max="15917" width="9.7109375" style="144" hidden="1"/>
    <col min="15918" max="15918" width="10.5703125" style="144" hidden="1"/>
    <col min="15919" max="15919" width="6.7109375" style="144" hidden="1"/>
    <col min="15920" max="15920" width="9.7109375" style="144" hidden="1"/>
    <col min="15921" max="15921" width="9" style="144" hidden="1"/>
    <col min="15922" max="15923" width="9.7109375" style="144" hidden="1"/>
    <col min="15924" max="16128" width="9.140625" style="144" hidden="1"/>
    <col min="16129" max="16129" width="6.140625" style="144" hidden="1"/>
    <col min="16130" max="16130" width="14.140625" style="144" hidden="1"/>
    <col min="16131" max="16131" width="9.5703125" style="144" hidden="1"/>
    <col min="16132" max="16132" width="10.28515625" style="144" hidden="1"/>
    <col min="16133" max="16133" width="11.28515625" style="144" hidden="1"/>
    <col min="16134" max="16134" width="11.42578125" style="144" hidden="1"/>
    <col min="16135" max="16135" width="22.5703125" style="144" hidden="1"/>
    <col min="16136" max="16136" width="2.28515625" style="144" hidden="1"/>
    <col min="16137" max="16137" width="11.28515625" style="144" hidden="1"/>
    <col min="16138" max="16138" width="8.42578125" style="144" hidden="1"/>
    <col min="16139" max="16139" width="8.140625" style="144" hidden="1"/>
    <col min="16140" max="16140" width="6.7109375" style="144" hidden="1"/>
    <col min="16141" max="16141" width="7.85546875" style="144" hidden="1"/>
    <col min="16142" max="16142" width="9.42578125" style="144" hidden="1"/>
    <col min="16143" max="16143" width="7.85546875" style="144" hidden="1"/>
    <col min="16144" max="16144" width="8.7109375" style="144" hidden="1"/>
    <col min="16145" max="16146" width="9.140625" style="144" hidden="1"/>
    <col min="16147" max="16147" width="7.85546875" style="144" hidden="1"/>
    <col min="16148" max="16148" width="8.42578125" style="144" hidden="1"/>
    <col min="16149" max="16149" width="6.42578125" style="144" hidden="1"/>
    <col min="16150" max="16150" width="5.28515625" style="144" hidden="1"/>
    <col min="16151" max="16151" width="6" style="144" hidden="1"/>
    <col min="16152" max="16153" width="9.140625" style="144" hidden="1"/>
    <col min="16154" max="16154" width="9.7109375" style="144" hidden="1"/>
    <col min="16155" max="16155" width="6.7109375" style="144" hidden="1"/>
    <col min="16156" max="16157" width="9.7109375" style="144" hidden="1"/>
    <col min="16158" max="16158" width="7.5703125" style="144" hidden="1"/>
    <col min="16159" max="16159" width="6" style="144" hidden="1"/>
    <col min="16160" max="16160" width="6.7109375" style="144" hidden="1"/>
    <col min="16161" max="16161" width="7.5703125" style="144" hidden="1"/>
    <col min="16162" max="16162" width="9.7109375" style="144" hidden="1"/>
    <col min="16163" max="16163" width="14.42578125" style="144" hidden="1"/>
    <col min="16164" max="16164" width="7.28515625" style="144" hidden="1"/>
    <col min="16165" max="16165" width="7.85546875" style="144" hidden="1"/>
    <col min="16166" max="16166" width="9.7109375" style="144" hidden="1"/>
    <col min="16167" max="16167" width="11.42578125" style="144" hidden="1"/>
    <col min="16168" max="16168" width="9.5703125" style="144" hidden="1"/>
    <col min="16169" max="16169" width="9.140625" style="144" hidden="1"/>
    <col min="16170" max="16170" width="11.28515625" style="144" hidden="1"/>
    <col min="16171" max="16171" width="11.5703125" style="144" hidden="1"/>
    <col min="16172" max="16172" width="7.140625" style="144" hidden="1"/>
    <col min="16173" max="16173" width="9.7109375" style="144" hidden="1"/>
    <col min="16174" max="16174" width="10.5703125" style="144" hidden="1"/>
    <col min="16175" max="16175" width="6.7109375" style="144" hidden="1"/>
    <col min="16176" max="16176" width="9.7109375" style="144" hidden="1"/>
    <col min="16177" max="16177" width="9" style="144" hidden="1"/>
    <col min="16178" max="16179" width="9.7109375" style="144" hidden="1"/>
    <col min="16180" max="16384" width="9.140625" style="144" hidden="1"/>
  </cols>
  <sheetData>
    <row r="1" spans="1:59" s="145" customFormat="1">
      <c r="A1" s="144"/>
      <c r="E1" s="146"/>
      <c r="F1" s="146" t="s">
        <v>389</v>
      </c>
      <c r="T1" s="144"/>
      <c r="AK1" s="145">
        <f>AK5*AK4</f>
        <v>60</v>
      </c>
      <c r="AW1" s="147"/>
      <c r="AX1" s="147"/>
    </row>
    <row r="2" spans="1:59" s="145" customFormat="1" ht="17.25" customHeight="1">
      <c r="A2" s="144"/>
      <c r="M2" s="148"/>
      <c r="N2" s="149"/>
      <c r="O2" s="149"/>
      <c r="P2" s="149"/>
      <c r="Q2" s="149"/>
      <c r="R2" s="149"/>
      <c r="T2" s="144"/>
      <c r="U2" s="551"/>
      <c r="V2" s="551"/>
      <c r="W2" s="149"/>
      <c r="AC2" s="150"/>
      <c r="AG2" s="150"/>
      <c r="AW2" s="147"/>
      <c r="AX2" s="147"/>
      <c r="AY2" s="116" t="s">
        <v>390</v>
      </c>
      <c r="AZ2" s="151" t="s">
        <v>391</v>
      </c>
    </row>
    <row r="3" spans="1:59" s="145" customFormat="1" ht="19.5">
      <c r="A3" s="144"/>
      <c r="B3" s="145">
        <v>0.15</v>
      </c>
      <c r="C3" s="145">
        <v>0.15</v>
      </c>
      <c r="E3" s="152" t="s">
        <v>392</v>
      </c>
      <c r="F3" s="552" t="str">
        <f>Inputs!I1</f>
        <v>TrB</v>
      </c>
      <c r="G3" s="552"/>
      <c r="H3" s="153"/>
      <c r="I3" s="146"/>
      <c r="J3" s="154" t="s">
        <v>393</v>
      </c>
      <c r="K3" s="146"/>
      <c r="M3" s="149" t="s">
        <v>394</v>
      </c>
      <c r="N3" s="155" t="s">
        <v>395</v>
      </c>
      <c r="O3" s="156"/>
      <c r="P3" s="144"/>
      <c r="Q3" s="144"/>
      <c r="R3" s="144"/>
      <c r="T3" s="144"/>
      <c r="U3" s="157" t="s">
        <v>396</v>
      </c>
      <c r="V3" s="511">
        <f>TRUNC(275*G5/9-31+G6)+IF(G5&gt;2,-2,0)+IF(MOD(G25,4)=0,1,0)</f>
        <v>11</v>
      </c>
      <c r="AA3" s="145" t="s">
        <v>397</v>
      </c>
      <c r="AC3" s="120">
        <v>1</v>
      </c>
      <c r="AF3" s="158" t="s">
        <v>398</v>
      </c>
      <c r="AG3" s="159">
        <v>0.15</v>
      </c>
      <c r="AJ3" s="145" t="s">
        <v>399</v>
      </c>
      <c r="AK3" s="160">
        <v>0.2</v>
      </c>
      <c r="AL3" s="145" t="s">
        <v>400</v>
      </c>
      <c r="AM3" s="145" t="s">
        <v>401</v>
      </c>
      <c r="AP3" s="160">
        <v>65</v>
      </c>
      <c r="AQ3" s="145" t="s">
        <v>402</v>
      </c>
      <c r="AW3" s="147"/>
      <c r="AX3" s="147"/>
      <c r="AY3" s="116" t="s">
        <v>403</v>
      </c>
      <c r="AZ3" s="116">
        <v>0.3</v>
      </c>
      <c r="BA3" s="145" t="s">
        <v>404</v>
      </c>
      <c r="BB3" s="145">
        <v>1.5</v>
      </c>
      <c r="BC3" s="145">
        <v>-0.2</v>
      </c>
    </row>
    <row r="4" spans="1:59" s="145" customFormat="1" ht="18">
      <c r="A4" s="144"/>
      <c r="B4" s="145">
        <v>0.93</v>
      </c>
      <c r="C4" s="145">
        <v>1.1499999999999999</v>
      </c>
      <c r="I4" s="144" t="s">
        <v>405</v>
      </c>
      <c r="J4" s="160">
        <v>31</v>
      </c>
      <c r="L4" s="145" t="s">
        <v>406</v>
      </c>
      <c r="M4" s="160">
        <v>0.15</v>
      </c>
      <c r="N4" s="120">
        <v>0.16</v>
      </c>
      <c r="O4" s="149"/>
      <c r="P4" s="158" t="s">
        <v>407</v>
      </c>
      <c r="Q4" s="161">
        <f>N4</f>
        <v>0.16</v>
      </c>
      <c r="T4" s="144"/>
      <c r="U4" s="157" t="s">
        <v>408</v>
      </c>
      <c r="V4" s="511">
        <f>V3+J4</f>
        <v>42</v>
      </c>
      <c r="AA4" s="145" t="s">
        <v>409</v>
      </c>
      <c r="AC4" s="120">
        <v>4</v>
      </c>
      <c r="AD4" s="145" t="s">
        <v>370</v>
      </c>
      <c r="AF4" s="158" t="s">
        <v>410</v>
      </c>
      <c r="AG4" s="162">
        <v>15</v>
      </c>
      <c r="AJ4" s="145" t="s">
        <v>411</v>
      </c>
      <c r="AK4" s="120">
        <v>0.6</v>
      </c>
      <c r="AL4" s="145" t="s">
        <v>400</v>
      </c>
      <c r="AM4" s="145" t="s">
        <v>412</v>
      </c>
      <c r="AP4" s="163">
        <f>AP3</f>
        <v>65</v>
      </c>
      <c r="AQ4" s="145" t="s">
        <v>402</v>
      </c>
      <c r="AW4" s="147"/>
      <c r="AX4" s="147"/>
      <c r="AY4" s="116" t="s">
        <v>413</v>
      </c>
      <c r="AZ4" s="116">
        <v>0.45</v>
      </c>
      <c r="BA4" s="116" t="s">
        <v>414</v>
      </c>
      <c r="BB4" s="116">
        <v>4</v>
      </c>
    </row>
    <row r="5" spans="1:59" s="145" customFormat="1" ht="18.75" thickBot="1">
      <c r="A5" s="144"/>
      <c r="E5" s="164" t="s">
        <v>174</v>
      </c>
      <c r="F5" s="456" t="s">
        <v>504</v>
      </c>
      <c r="G5" s="122">
        <f>MONTH(Inputs!I8)</f>
        <v>1</v>
      </c>
      <c r="I5" s="144" t="s">
        <v>415</v>
      </c>
      <c r="J5" s="162">
        <v>38</v>
      </c>
      <c r="L5" s="145" t="s">
        <v>416</v>
      </c>
      <c r="M5" s="162">
        <v>0.6</v>
      </c>
      <c r="N5" s="120">
        <v>0.7</v>
      </c>
      <c r="P5" s="158" t="s">
        <v>417</v>
      </c>
      <c r="Q5" s="165">
        <v>1</v>
      </c>
      <c r="R5" s="145" t="s">
        <v>400</v>
      </c>
      <c r="T5" s="144"/>
      <c r="U5" s="157" t="s">
        <v>418</v>
      </c>
      <c r="V5" s="511">
        <f>V4+J5</f>
        <v>80</v>
      </c>
      <c r="AA5" s="145" t="s">
        <v>419</v>
      </c>
      <c r="AC5" s="120">
        <v>8</v>
      </c>
      <c r="AD5" s="145" t="s">
        <v>370</v>
      </c>
      <c r="AF5" s="158" t="s">
        <v>420</v>
      </c>
      <c r="AG5" s="159">
        <v>236</v>
      </c>
      <c r="AJ5" s="145" t="s">
        <v>421</v>
      </c>
      <c r="AK5" s="120">
        <v>100</v>
      </c>
      <c r="AL5" s="145" t="s">
        <v>422</v>
      </c>
      <c r="AW5" s="147"/>
      <c r="AX5" s="147"/>
    </row>
    <row r="6" spans="1:59" s="145" customFormat="1" ht="18.75" thickBot="1">
      <c r="A6" s="144"/>
      <c r="F6" s="456" t="s">
        <v>678</v>
      </c>
      <c r="G6" s="122">
        <f>DAY(Inputs!I8)</f>
        <v>12</v>
      </c>
      <c r="I6" s="144" t="s">
        <v>423</v>
      </c>
      <c r="J6" s="162">
        <v>33</v>
      </c>
      <c r="L6" s="145" t="s">
        <v>424</v>
      </c>
      <c r="M6" s="163">
        <v>0.25</v>
      </c>
      <c r="N6" s="120">
        <v>0.65</v>
      </c>
      <c r="Q6" s="149"/>
      <c r="R6" s="149"/>
      <c r="T6" s="144"/>
      <c r="U6" s="157" t="s">
        <v>425</v>
      </c>
      <c r="V6" s="511">
        <f>V5+J6</f>
        <v>113</v>
      </c>
      <c r="AA6" s="145" t="s">
        <v>426</v>
      </c>
      <c r="AC6" s="120">
        <v>8</v>
      </c>
      <c r="AD6" s="145" t="s">
        <v>370</v>
      </c>
      <c r="AH6" s="510" t="s">
        <v>427</v>
      </c>
      <c r="AJ6" s="491">
        <f>SUM(P15:P244)</f>
        <v>174.50000000000006</v>
      </c>
      <c r="AK6" s="490" t="s">
        <v>428</v>
      </c>
      <c r="AM6" s="491">
        <f>SUM(AM15:AM244)</f>
        <v>270</v>
      </c>
      <c r="AO6" s="145" t="s">
        <v>429</v>
      </c>
      <c r="AP6" s="492">
        <f>SUM(AS15:AS244)</f>
        <v>482.4177336844013</v>
      </c>
      <c r="AW6" s="147"/>
      <c r="AX6" s="147"/>
      <c r="AY6" s="498" t="s">
        <v>430</v>
      </c>
      <c r="AZ6" s="166" t="s">
        <v>431</v>
      </c>
      <c r="BA6" s="499">
        <f>'F TrB'!C20</f>
        <v>42177</v>
      </c>
      <c r="BB6" s="500">
        <f>VLOOKUP(BA6,$C$15:$H$244,6,FALSE)</f>
        <v>173</v>
      </c>
      <c r="BC6" s="501" t="s">
        <v>432</v>
      </c>
    </row>
    <row r="7" spans="1:59" s="145" customFormat="1" ht="18.75" thickBot="1">
      <c r="A7" s="144"/>
      <c r="I7" s="144" t="s">
        <v>433</v>
      </c>
      <c r="J7" s="163">
        <v>29</v>
      </c>
      <c r="T7" s="144"/>
      <c r="U7" s="157" t="s">
        <v>434</v>
      </c>
      <c r="V7" s="511">
        <f>V6+J7</f>
        <v>142</v>
      </c>
      <c r="AA7" s="145" t="s">
        <v>435</v>
      </c>
      <c r="AC7" s="120">
        <v>1</v>
      </c>
      <c r="AJ7" s="145" t="s">
        <v>436</v>
      </c>
      <c r="AK7" s="120">
        <v>5</v>
      </c>
      <c r="AL7" s="145" t="s">
        <v>370</v>
      </c>
      <c r="AW7" s="147"/>
      <c r="AX7" s="147"/>
      <c r="AY7" s="498" t="s">
        <v>437</v>
      </c>
      <c r="AZ7" s="166"/>
      <c r="BA7" s="166"/>
      <c r="BB7" s="493">
        <f>MAX(BA15:BA244)</f>
        <v>371.0558574250465</v>
      </c>
      <c r="BC7" s="501" t="s">
        <v>370</v>
      </c>
    </row>
    <row r="8" spans="1:59" s="145" customFormat="1" ht="18" customHeight="1" thickBot="1">
      <c r="A8" s="144"/>
      <c r="E8" s="145" t="s">
        <v>438</v>
      </c>
      <c r="F8" s="122" t="str">
        <f>Inputs!W13</f>
        <v>Si</v>
      </c>
      <c r="L8" s="145" t="s">
        <v>440</v>
      </c>
      <c r="O8" s="145">
        <f>(VLOOKUP(V6,H15:AX202,38)-VLOOKUP(V5,H15:AX202,38))/(V6-V5)</f>
        <v>5.0174259465988495E-3</v>
      </c>
      <c r="P8" s="145" t="s">
        <v>441</v>
      </c>
      <c r="Q8" s="553" t="s">
        <v>442</v>
      </c>
      <c r="R8" s="554"/>
      <c r="S8" s="554"/>
      <c r="T8" s="554"/>
      <c r="U8" s="554"/>
      <c r="AE8" s="555"/>
      <c r="AF8" s="555"/>
      <c r="AG8" s="555"/>
      <c r="AH8" s="555"/>
      <c r="AI8" s="555"/>
      <c r="AJ8" s="555"/>
      <c r="AK8" s="555"/>
      <c r="AL8" s="555"/>
      <c r="AM8" s="144"/>
      <c r="AN8" s="145" t="s">
        <v>443</v>
      </c>
      <c r="AW8" s="147"/>
      <c r="AX8" s="147"/>
      <c r="AY8" s="502" t="s">
        <v>444</v>
      </c>
      <c r="AZ8" s="167"/>
      <c r="BA8" s="167"/>
      <c r="BB8" s="494">
        <f>COUNT(AY15:AY244)</f>
        <v>101</v>
      </c>
      <c r="BC8" s="503" t="s">
        <v>445</v>
      </c>
    </row>
    <row r="9" spans="1:59" s="145" customFormat="1" ht="26.25" customHeight="1" thickBot="1">
      <c r="A9" s="144"/>
      <c r="E9" s="168"/>
      <c r="L9" s="145" t="s">
        <v>446</v>
      </c>
      <c r="O9" s="145">
        <f>(VLOOKUP(V6,H15:AX202,39)-VLOOKUP(V5,H15:AX202,39))/(V6-V5)</f>
        <v>2.9485654404114592</v>
      </c>
      <c r="P9" s="145" t="s">
        <v>402</v>
      </c>
      <c r="Q9" s="553"/>
      <c r="R9" s="554"/>
      <c r="S9" s="554"/>
      <c r="T9" s="554"/>
      <c r="U9" s="554"/>
      <c r="W9" s="556" t="s">
        <v>447</v>
      </c>
      <c r="X9" s="557"/>
      <c r="Y9" s="557"/>
      <c r="Z9" s="557"/>
      <c r="AA9" s="557"/>
      <c r="AB9" s="557"/>
      <c r="AC9" s="557"/>
      <c r="AD9" s="557"/>
      <c r="AE9" s="557"/>
      <c r="AF9" s="558"/>
      <c r="AJ9" s="556" t="s">
        <v>448</v>
      </c>
      <c r="AK9" s="557"/>
      <c r="AL9" s="557"/>
      <c r="AM9" s="557"/>
      <c r="AN9" s="557"/>
      <c r="AO9" s="557"/>
      <c r="AP9" s="558"/>
      <c r="AW9" s="560" t="s">
        <v>449</v>
      </c>
      <c r="AX9" s="555"/>
      <c r="AY9" s="504" t="s">
        <v>450</v>
      </c>
      <c r="AZ9" s="169"/>
      <c r="BA9" s="169"/>
      <c r="BB9" s="495">
        <f>SUM(BB15:BB244)</f>
        <v>14.842234297001852</v>
      </c>
      <c r="BC9" s="505" t="s">
        <v>451</v>
      </c>
    </row>
    <row r="10" spans="1:59" s="145" customFormat="1" ht="19.5" customHeight="1" thickBot="1">
      <c r="A10" s="144"/>
      <c r="E10" s="168"/>
      <c r="T10" s="144"/>
      <c r="U10" s="145" t="s">
        <v>452</v>
      </c>
      <c r="V10" s="145">
        <v>1.1499999999999999</v>
      </c>
      <c r="AJ10" s="145" t="str">
        <f>VLOOKUP(C15,Riegos,2,FALSE)</f>
        <v/>
      </c>
      <c r="AL10" s="145" t="b">
        <f>ISERROR(VLOOKUP(C15,Riegos,2,FALSE))</f>
        <v>0</v>
      </c>
      <c r="AM10" s="170">
        <f>IF(ISERROR(VLOOKUP(C15,Riegos,2,FALSE)),VLOOKUP(C15,Riegos,2,FALSE),VLOOKUP($F$8,Nomen!$A$79:$B$80,2,FALSE)*IF(AND(H15&gt;120,D15&lt;0.45),0,IF(AQ14+AH15&gt;=AK15,MIN(AQ14,$AK$7),0)))</f>
        <v>0</v>
      </c>
      <c r="AN10" s="145" t="s">
        <v>453</v>
      </c>
      <c r="AP10" s="145" t="s">
        <v>454</v>
      </c>
      <c r="AQ10" s="170" t="s">
        <v>455</v>
      </c>
      <c r="AV10" s="145">
        <v>0.6</v>
      </c>
      <c r="AW10" s="561"/>
      <c r="AX10" s="561"/>
      <c r="AY10" s="506" t="s">
        <v>456</v>
      </c>
      <c r="AZ10" s="171"/>
      <c r="BA10" s="171"/>
      <c r="BB10" s="496">
        <f>MAX(BD15:BD244)</f>
        <v>252.31798304903151</v>
      </c>
      <c r="BC10" s="507" t="s">
        <v>457</v>
      </c>
    </row>
    <row r="11" spans="1:59" s="145" customFormat="1" ht="19.5" customHeight="1" thickBot="1">
      <c r="A11" s="144"/>
      <c r="C11" s="145">
        <v>1</v>
      </c>
      <c r="D11" s="145">
        <v>2</v>
      </c>
      <c r="E11" s="145">
        <v>3</v>
      </c>
      <c r="F11" s="145">
        <v>4</v>
      </c>
      <c r="G11" s="145">
        <v>5</v>
      </c>
      <c r="H11" s="145">
        <v>6</v>
      </c>
      <c r="I11" s="145">
        <v>7</v>
      </c>
      <c r="J11" s="145">
        <v>8</v>
      </c>
      <c r="K11" s="145">
        <v>9</v>
      </c>
      <c r="L11" s="145">
        <v>10</v>
      </c>
      <c r="M11" s="145">
        <v>11</v>
      </c>
      <c r="N11" s="145">
        <v>12</v>
      </c>
      <c r="O11" s="145">
        <v>13</v>
      </c>
      <c r="P11" s="145">
        <v>14</v>
      </c>
      <c r="Q11" s="145">
        <v>15</v>
      </c>
      <c r="R11" s="145">
        <v>16</v>
      </c>
      <c r="S11" s="145">
        <v>17</v>
      </c>
      <c r="T11" s="145">
        <v>18</v>
      </c>
      <c r="U11" s="145">
        <v>19</v>
      </c>
      <c r="V11" s="145">
        <v>20</v>
      </c>
      <c r="W11" s="145">
        <v>21</v>
      </c>
      <c r="X11" s="145">
        <v>22</v>
      </c>
      <c r="Y11" s="145">
        <v>23</v>
      </c>
      <c r="Z11" s="145">
        <v>24</v>
      </c>
      <c r="AA11" s="145">
        <v>25</v>
      </c>
      <c r="AB11" s="145">
        <v>26</v>
      </c>
      <c r="AC11" s="145">
        <v>27</v>
      </c>
      <c r="AD11" s="145">
        <v>28</v>
      </c>
      <c r="AE11" s="145">
        <v>29</v>
      </c>
      <c r="AF11" s="145">
        <v>30</v>
      </c>
      <c r="AG11" s="145">
        <v>31</v>
      </c>
      <c r="AH11" s="145">
        <v>32</v>
      </c>
      <c r="AI11" s="145">
        <v>33</v>
      </c>
      <c r="AJ11" s="145">
        <v>34</v>
      </c>
      <c r="AK11" s="145">
        <v>35</v>
      </c>
      <c r="AL11" s="145">
        <v>36</v>
      </c>
      <c r="AM11" s="145">
        <v>37</v>
      </c>
      <c r="AN11" s="145">
        <v>38</v>
      </c>
      <c r="AO11" s="145">
        <v>39</v>
      </c>
      <c r="AP11" s="145">
        <v>40</v>
      </c>
      <c r="AQ11" s="145">
        <v>41</v>
      </c>
      <c r="AR11" s="145">
        <v>42</v>
      </c>
      <c r="AS11" s="145">
        <v>43</v>
      </c>
      <c r="AT11" s="145">
        <v>44</v>
      </c>
      <c r="AU11" s="145">
        <v>45</v>
      </c>
      <c r="AW11" s="195"/>
      <c r="AX11" s="195"/>
      <c r="AY11" s="506"/>
      <c r="AZ11" s="171"/>
      <c r="BA11" s="171"/>
      <c r="BB11" s="497"/>
      <c r="BC11" s="507"/>
    </row>
    <row r="12" spans="1:59" s="145" customFormat="1" ht="21" customHeight="1" thickBot="1">
      <c r="A12" s="144"/>
      <c r="C12" s="172">
        <v>42370</v>
      </c>
      <c r="E12" s="173" t="s">
        <v>458</v>
      </c>
      <c r="F12" s="170"/>
      <c r="G12" s="170"/>
      <c r="H12" s="170"/>
      <c r="I12" s="170"/>
      <c r="J12" s="170"/>
      <c r="K12" s="170"/>
      <c r="L12" s="170"/>
      <c r="M12" s="556" t="s">
        <v>459</v>
      </c>
      <c r="N12" s="557"/>
      <c r="O12" s="557"/>
      <c r="P12" s="558"/>
      <c r="T12" s="144"/>
      <c r="U12" s="145" t="s">
        <v>460</v>
      </c>
      <c r="V12" s="170">
        <v>1</v>
      </c>
      <c r="W12" s="562" t="s">
        <v>461</v>
      </c>
      <c r="X12" s="174" t="s">
        <v>462</v>
      </c>
      <c r="Y12" s="175"/>
      <c r="Z12" s="175"/>
      <c r="AA12" s="563" t="s">
        <v>463</v>
      </c>
      <c r="AB12" s="170"/>
      <c r="AC12" s="170"/>
      <c r="AD12" s="170"/>
      <c r="AE12" s="170"/>
      <c r="AF12" s="563" t="s">
        <v>464</v>
      </c>
      <c r="AG12" s="170"/>
      <c r="AH12" s="170"/>
      <c r="AI12" s="170"/>
      <c r="AJ12" s="563" t="s">
        <v>465</v>
      </c>
      <c r="AK12" s="170"/>
      <c r="AL12" s="563" t="s">
        <v>466</v>
      </c>
      <c r="AM12" s="563" t="s">
        <v>467</v>
      </c>
      <c r="AN12" s="563" t="s">
        <v>468</v>
      </c>
      <c r="AO12" s="170"/>
      <c r="AP12" s="563" t="s">
        <v>469</v>
      </c>
      <c r="AQ12" s="563" t="s">
        <v>470</v>
      </c>
      <c r="AV12" s="145">
        <v>0.3</v>
      </c>
      <c r="AW12" s="565" t="s">
        <v>471</v>
      </c>
      <c r="AX12" s="566"/>
      <c r="AY12" s="508" t="s">
        <v>324</v>
      </c>
      <c r="AZ12" s="169"/>
      <c r="BA12" s="169"/>
      <c r="BB12" s="509">
        <f>SUM(L15:L244)</f>
        <v>708.90000000000009</v>
      </c>
      <c r="BC12" s="505" t="s">
        <v>370</v>
      </c>
    </row>
    <row r="13" spans="1:59" s="145" customFormat="1" ht="21.75" customHeight="1">
      <c r="A13" s="176" t="s">
        <v>83</v>
      </c>
      <c r="B13" s="176" t="s">
        <v>472</v>
      </c>
      <c r="C13" s="176" t="s">
        <v>84</v>
      </c>
      <c r="D13" s="452" t="s">
        <v>473</v>
      </c>
      <c r="E13" s="177"/>
      <c r="F13" s="177"/>
      <c r="G13" s="177"/>
      <c r="H13" s="177"/>
      <c r="I13" s="177" t="s">
        <v>474</v>
      </c>
      <c r="J13" s="177" t="s">
        <v>88</v>
      </c>
      <c r="K13" s="177" t="s">
        <v>475</v>
      </c>
      <c r="L13" s="177" t="s">
        <v>476</v>
      </c>
      <c r="M13" s="177" t="s">
        <v>477</v>
      </c>
      <c r="N13" s="177" t="s">
        <v>478</v>
      </c>
      <c r="O13" s="177" t="s">
        <v>479</v>
      </c>
      <c r="P13" s="177" t="s">
        <v>92</v>
      </c>
      <c r="Q13" s="145" t="s">
        <v>480</v>
      </c>
      <c r="R13" s="454" t="s">
        <v>481</v>
      </c>
      <c r="S13" s="177"/>
      <c r="T13" s="172" t="s">
        <v>482</v>
      </c>
      <c r="U13" s="177" t="s">
        <v>483</v>
      </c>
      <c r="V13" s="170"/>
      <c r="W13" s="562"/>
      <c r="X13" s="170"/>
      <c r="Y13" s="170"/>
      <c r="Z13" s="170"/>
      <c r="AA13" s="564"/>
      <c r="AC13" s="170"/>
      <c r="AD13" s="177" t="s">
        <v>122</v>
      </c>
      <c r="AE13" s="177" t="s">
        <v>484</v>
      </c>
      <c r="AF13" s="564"/>
      <c r="AG13" s="170"/>
      <c r="AH13" s="177" t="s">
        <v>485</v>
      </c>
      <c r="AI13" s="177"/>
      <c r="AJ13" s="564"/>
      <c r="AK13" s="177" t="s">
        <v>486</v>
      </c>
      <c r="AL13" s="564"/>
      <c r="AM13" s="564"/>
      <c r="AN13" s="564"/>
      <c r="AO13" s="177" t="s">
        <v>487</v>
      </c>
      <c r="AP13" s="564"/>
      <c r="AQ13" s="564"/>
      <c r="AS13" s="145" t="s">
        <v>488</v>
      </c>
      <c r="AT13" s="145" t="s">
        <v>489</v>
      </c>
      <c r="AU13" s="145" t="s">
        <v>490</v>
      </c>
      <c r="AV13" s="145" t="s">
        <v>491</v>
      </c>
      <c r="AW13" s="178" t="s">
        <v>492</v>
      </c>
      <c r="AX13" s="179" t="s">
        <v>493</v>
      </c>
      <c r="AY13" s="180" t="s">
        <v>494</v>
      </c>
      <c r="AZ13" s="180" t="s">
        <v>495</v>
      </c>
      <c r="BA13" s="145" t="s">
        <v>496</v>
      </c>
      <c r="BB13" s="145" t="s">
        <v>497</v>
      </c>
      <c r="BC13" s="145" t="s">
        <v>498</v>
      </c>
      <c r="BD13" s="145" t="s">
        <v>499</v>
      </c>
      <c r="BE13" s="145" t="s">
        <v>500</v>
      </c>
      <c r="BF13" s="145" t="s">
        <v>361</v>
      </c>
      <c r="BG13" s="145" t="s">
        <v>501</v>
      </c>
    </row>
    <row r="14" spans="1:59" s="145" customFormat="1" ht="18.75" thickBot="1">
      <c r="A14" s="176"/>
      <c r="B14" s="176" t="s">
        <v>502</v>
      </c>
      <c r="C14" s="176" t="s">
        <v>503</v>
      </c>
      <c r="D14" s="181"/>
      <c r="E14" s="182" t="s">
        <v>504</v>
      </c>
      <c r="F14" s="182" t="s">
        <v>505</v>
      </c>
      <c r="G14" s="182" t="s">
        <v>332</v>
      </c>
      <c r="H14" s="183" t="s">
        <v>10</v>
      </c>
      <c r="I14" s="182" t="s">
        <v>506</v>
      </c>
      <c r="J14" s="182" t="s">
        <v>441</v>
      </c>
      <c r="K14" s="182" t="s">
        <v>506</v>
      </c>
      <c r="L14" s="182" t="s">
        <v>507</v>
      </c>
      <c r="M14" s="183" t="s">
        <v>508</v>
      </c>
      <c r="N14" s="183" t="s">
        <v>508</v>
      </c>
      <c r="O14" s="183" t="s">
        <v>402</v>
      </c>
      <c r="P14" s="182" t="s">
        <v>370</v>
      </c>
      <c r="Q14" s="145" t="s">
        <v>370</v>
      </c>
      <c r="S14" s="185" t="s">
        <v>509</v>
      </c>
      <c r="T14" s="184" t="s">
        <v>507</v>
      </c>
      <c r="U14" s="183" t="s">
        <v>400</v>
      </c>
      <c r="V14" s="183" t="s">
        <v>510</v>
      </c>
      <c r="W14" s="183" t="s">
        <v>370</v>
      </c>
      <c r="X14" s="183" t="s">
        <v>511</v>
      </c>
      <c r="Y14" s="183" t="s">
        <v>512</v>
      </c>
      <c r="Z14" s="183" t="s">
        <v>513</v>
      </c>
      <c r="AA14" s="183" t="s">
        <v>370</v>
      </c>
      <c r="AB14" s="185" t="s">
        <v>514</v>
      </c>
      <c r="AC14" s="183" t="s">
        <v>515</v>
      </c>
      <c r="AD14" s="183" t="s">
        <v>507</v>
      </c>
      <c r="AE14" s="183" t="s">
        <v>507</v>
      </c>
      <c r="AF14" s="183" t="s">
        <v>370</v>
      </c>
      <c r="AG14" s="183" t="s">
        <v>516</v>
      </c>
      <c r="AH14" s="183" t="s">
        <v>507</v>
      </c>
      <c r="AI14" s="186"/>
      <c r="AJ14" s="183" t="s">
        <v>517</v>
      </c>
      <c r="AK14" s="183" t="s">
        <v>370</v>
      </c>
      <c r="AL14" s="183" t="s">
        <v>370</v>
      </c>
      <c r="AM14" s="183" t="s">
        <v>370</v>
      </c>
      <c r="AN14" s="183" t="s">
        <v>370</v>
      </c>
      <c r="AO14" s="183"/>
      <c r="AP14" s="183" t="s">
        <v>518</v>
      </c>
      <c r="AQ14" s="183"/>
      <c r="AR14" s="183"/>
      <c r="AS14" s="187"/>
      <c r="AT14" s="187"/>
      <c r="AU14" s="187"/>
      <c r="AV14" s="146" t="s">
        <v>519</v>
      </c>
      <c r="AW14" s="188" t="s">
        <v>441</v>
      </c>
      <c r="AX14" s="189" t="s">
        <v>402</v>
      </c>
    </row>
    <row r="15" spans="1:59" s="145" customFormat="1" ht="18.75" customHeight="1" thickTop="1">
      <c r="A15" s="567" t="s">
        <v>520</v>
      </c>
      <c r="B15" s="116">
        <f>INT(275*E15/9-30+F15)+IF(E15&gt;2,-2,0)+IF(MOD(G15,4)=0,IF(E15&gt;2,1,0),0)</f>
        <v>12</v>
      </c>
      <c r="C15" s="105">
        <f>Inputs!I8</f>
        <v>42016</v>
      </c>
      <c r="D15" s="257">
        <f>IF(ISERROR(VLOOKUP($C15,'NDVI real'!$T$8:$U$313,2,FALSE)),VLOOKUP(SWB!C15,'NDVI tipo'!$T$8:$U$193,2),VLOOKUP($C15,'NDVI real'!$T$8:$U$313,2,FALSE))</f>
        <v>0.25661179604938267</v>
      </c>
      <c r="E15" s="170">
        <f t="shared" ref="E15:E78" si="0">MONTH(C15)</f>
        <v>1</v>
      </c>
      <c r="F15" s="170">
        <f t="shared" ref="F15:F78" si="1">DAY(C15)</f>
        <v>12</v>
      </c>
      <c r="G15" s="170">
        <f t="shared" ref="G15:G78" si="2">YEAR(C15)</f>
        <v>2015</v>
      </c>
      <c r="H15" s="170">
        <f>INT(275*E15/9-30+F15)+IF(E15&gt;2,-2,0)+IF(MOD(G15,4)=0,IF(E15&gt;2,1,0),0)</f>
        <v>12</v>
      </c>
      <c r="I15" s="190">
        <f>IF(ISERROR(VLOOKUP($C15,Clima!$U$8:$AH$900,3,FALSE)),VLOOKUP($C15,Clima!$D$8:$R$900,3),VLOOKUP($C15,Clima!$U$8:$AH$900,3,FALSE))</f>
        <v>4.2</v>
      </c>
      <c r="J15" s="191"/>
      <c r="K15" s="170"/>
      <c r="L15" s="192">
        <f>IF(ISERROR(VLOOKUP($C15,Clima!$U$8:$AH$900,14,FALSE)),VLOOKUP($C15,Clima!$D$8:$R$900,14),VLOOKUP($C15,Clima!$U$8:$AH$900,14,FALSE))</f>
        <v>1</v>
      </c>
      <c r="M15" s="190"/>
      <c r="N15" s="190"/>
      <c r="O15" s="191"/>
      <c r="P15" s="191">
        <f>IF(ISERROR(VLOOKUP($C15,Clima!$W$8:$AH$350,12,FALSE)),VLOOKUP($C15,Clima!$E$8:$P$350,12),VLOOKUP($C15,Clima!$W$8:$AH$350,12,FALSE))</f>
        <v>0</v>
      </c>
      <c r="Q15" s="170">
        <f>S15*L15*AO15</f>
        <v>0.26952098631111099</v>
      </c>
      <c r="R15" s="170">
        <f>VLOOKUP(C15,Clima!$V$8:$AH$900,3,FALSE)</f>
        <v>5.5</v>
      </c>
      <c r="S15" s="455">
        <f>MIN($V$10,D15*1.44-0.1)</f>
        <v>0.26952098631111099</v>
      </c>
      <c r="T15" s="449">
        <f>S15*L15</f>
        <v>0.26952098631111099</v>
      </c>
      <c r="U15" s="195"/>
      <c r="V15" s="445">
        <f t="shared" ref="V15:V78" si="3">X15*$V$10+(1-X15)*$V$12</f>
        <v>1.0218052055948148</v>
      </c>
      <c r="W15" s="446">
        <v>0</v>
      </c>
      <c r="X15" s="447">
        <f>(1.19*D15)-0.16</f>
        <v>0.14536803729876538</v>
      </c>
      <c r="Y15" s="448">
        <f>IF(W15&gt;0,AC$3,IF(P15&gt;0,1,AC7))</f>
        <v>1</v>
      </c>
      <c r="Z15" s="449">
        <f t="shared" ref="Z15:Z78" si="4">MIN(1-X15,Y15)</f>
        <v>0.85463196270123465</v>
      </c>
      <c r="AA15" s="449">
        <f>MAX(AC6-P15-W15,0)</f>
        <v>8</v>
      </c>
      <c r="AB15" s="451">
        <f>MAX(IF(AA15&lt;$AC$4,IF(L15&gt;$AC$4,($AC$4)/L15,1),MIN(($AC$4)/L15,(($AC$5-AA15)*$AG$3)/($AC$5-$AC$4))),0)</f>
        <v>0</v>
      </c>
      <c r="AC15" s="449">
        <f t="shared" ref="AC15:AC78" si="5">MIN(+AB15*(V15-S15),Z15*V15)</f>
        <v>0</v>
      </c>
      <c r="AD15" s="449">
        <f t="shared" ref="AD15:AD78" si="6">AC15*L15</f>
        <v>0</v>
      </c>
      <c r="AE15" s="448">
        <f>MAX(P15+W15,0)</f>
        <v>0</v>
      </c>
      <c r="AF15" s="449">
        <f>AC6-P15-W15+AD15/Z15+AE15</f>
        <v>8</v>
      </c>
      <c r="AG15" s="449">
        <f t="shared" ref="AG15:AG78" si="7">S15+AC15</f>
        <v>0.26952098631111099</v>
      </c>
      <c r="AH15" s="449">
        <f t="shared" ref="AH15:AH78" si="8">AG15*L15</f>
        <v>0.26952098631111099</v>
      </c>
      <c r="AI15" s="448"/>
      <c r="AJ15" s="449">
        <f>MIN($AK$4,MAX($AK$3,MAX((S15-$N$4)/($N$5-$N$4)*($AK$4-$AK$3)+$AK$3,AJ14)))</f>
        <v>0.2811266565267489</v>
      </c>
      <c r="AK15" s="450">
        <f>MAX(IF(H15&lt;V$4,AP$3,AP$4)/100*AJ15*$AK$5,AK14)</f>
        <v>18.273232674238677</v>
      </c>
      <c r="AL15" s="449">
        <f>$AC$6-P15+AH15</f>
        <v>8.269520986311111</v>
      </c>
      <c r="AM15" s="451">
        <f>IF(ISERROR(VLOOKUP(C15,Riegos,2,FALSE)),VLOOKUP(C15,Riegos,2,FALSE),VLOOKUP($F$8,Nomen!$A$79:$B$80,2,FALSE)*IF(AND(H15&gt;120,D15&lt;0.45),0,IF(AQ14+AH15&gt;=AK15,MIN(AQ14,$AK$7),0)))</f>
        <v>0</v>
      </c>
      <c r="AN15" s="449">
        <f>MAX(+L15-Z15-$AC$6,0)</f>
        <v>0</v>
      </c>
      <c r="AO15" s="449">
        <f>MAX(0,IF(AL15&gt;AK15,(AJ15*AK$5-AL15)/(AJ15*AK$5-AK15),1))</f>
        <v>1</v>
      </c>
      <c r="AP15" s="449">
        <f>AC15+S15*AO15</f>
        <v>0.26952098631111099</v>
      </c>
      <c r="AQ15" s="449">
        <f>+$AC$6-P15+AP15*L15+AN15</f>
        <v>8.269520986311111</v>
      </c>
      <c r="AR15" s="449">
        <f>AO15</f>
        <v>1</v>
      </c>
      <c r="AS15" s="449">
        <f>AP15*L15</f>
        <v>0.26952098631111099</v>
      </c>
      <c r="AT15" s="449">
        <f>AS15+AT14</f>
        <v>0.26952098631111099</v>
      </c>
      <c r="AU15" s="195">
        <f>AM15+AU14</f>
        <v>0</v>
      </c>
      <c r="AV15" s="145">
        <f>P15</f>
        <v>0</v>
      </c>
      <c r="AW15" s="178">
        <f>J15</f>
        <v>0</v>
      </c>
      <c r="AX15" s="179">
        <f>O15</f>
        <v>0</v>
      </c>
      <c r="AZ15" s="145">
        <f>IF($C15&gt;$BA$6,0,IF(AND(($D16-$D15)&gt;0,$D15&gt;$AZ$3,$D15&lt;$AZ$4),($D15*$BB$3+$BC$3)*L15,IF($D15&gt;$AZ$4,($D15*$BB$3+$BC$3)*L15,IF(AND(($D16-$D14)&gt;0,$D15&gt;$AZ$4),($D15*$BB$3+$BC$3)*L15,0))))</f>
        <v>0</v>
      </c>
      <c r="BA15" s="145">
        <f>IFERROR(AZ15+BA14,"")</f>
        <v>0</v>
      </c>
      <c r="BB15" s="145">
        <f>(AZ15*$BB$4)/100</f>
        <v>0</v>
      </c>
      <c r="BC15" s="145">
        <f>IFERROR(BB15+BC14,"")</f>
        <v>0</v>
      </c>
      <c r="BD15" s="145">
        <f>(IF(BC15&lt;13,((IF(BC15&lt;1,5.3,IFERROR(5.35*(BC15)^(-0.442),0)))/100),1.7/100))*BC15*1000</f>
        <v>0</v>
      </c>
      <c r="BE15" s="145">
        <f>BD15-BD14</f>
        <v>0</v>
      </c>
      <c r="BF15" s="145" t="str">
        <f>IF(BB15&gt;0,L15,"")</f>
        <v/>
      </c>
    </row>
    <row r="16" spans="1:59" s="145" customFormat="1">
      <c r="A16" s="567"/>
      <c r="B16" s="116">
        <f t="shared" ref="B16:B79" si="9">INT(275*E16/9-30+F16)+IF(E16&gt;2,-2,0)+IF(MOD(G16,4)=0,IF(E16&gt;2,1,0),0)</f>
        <v>13</v>
      </c>
      <c r="C16" s="69">
        <f>C15+1</f>
        <v>42017</v>
      </c>
      <c r="D16" s="257">
        <f>IF(ISERROR(VLOOKUP($C16,'NDVI real'!$T$8:$U$313,2,FALSE)),VLOOKUP(SWB!C16,'NDVI tipo'!$T$8:$U$193,2),VLOOKUP($C16,'NDVI real'!$T$8:$U$313,2,FALSE))</f>
        <v>0.25935528024691351</v>
      </c>
      <c r="E16" s="170">
        <f t="shared" si="0"/>
        <v>1</v>
      </c>
      <c r="F16" s="170">
        <f t="shared" si="1"/>
        <v>13</v>
      </c>
      <c r="G16" s="170">
        <f t="shared" si="2"/>
        <v>2015</v>
      </c>
      <c r="H16" s="170">
        <f t="shared" ref="H16:H79" si="10">INT(275*E16/9-30+F16)+IF(E16&gt;2,-2,0)+IF(MOD(G16,4)=0,IF(E16&gt;2,1,0),0)</f>
        <v>13</v>
      </c>
      <c r="I16" s="190">
        <f>IF(ISERROR(VLOOKUP($C16,Clima!$U$8:$AH$900,3,FALSE)),VLOOKUP($C16,Clima!$D$8:$R$900,3),VLOOKUP($C16,Clima!$U$8:$AH$900,3,FALSE))</f>
        <v>2.8</v>
      </c>
      <c r="J16" s="191"/>
      <c r="K16" s="170"/>
      <c r="L16" s="192">
        <f>IF(ISERROR(VLOOKUP($C16,Clima!$U$8:$AH$900,14,FALSE)),VLOOKUP($C16,Clima!$D$8:$R$900,14),VLOOKUP($C16,Clima!$U$8:$AH$900,14,FALSE))</f>
        <v>0.7</v>
      </c>
      <c r="M16" s="190"/>
      <c r="N16" s="190"/>
      <c r="O16" s="191"/>
      <c r="P16" s="191">
        <f>IF(ISERROR(VLOOKUP($C16,Clima!$W$8:$AH$350,12,FALSE)),VLOOKUP($C16,Clima!$E$8:$P$350,12),VLOOKUP($C16,Clima!$W$8:$AH$350,12,FALSE))</f>
        <v>0</v>
      </c>
      <c r="Q16" s="170">
        <f>S16*L16*AO16+Q15</f>
        <v>0.46095110879999979</v>
      </c>
      <c r="R16" s="254">
        <f>VLOOKUP(C16,Clima!$V$8:$AH$900,3,FALSE)+R15</f>
        <v>12.3</v>
      </c>
      <c r="S16" s="455">
        <f>MIN($V$10,D16*1.44-0.1)</f>
        <v>0.27347160355555544</v>
      </c>
      <c r="T16" s="449">
        <f t="shared" ref="T16:T79" si="11">S16*L16</f>
        <v>0.1914301224888888</v>
      </c>
      <c r="U16" s="195"/>
      <c r="V16" s="445">
        <f t="shared" si="3"/>
        <v>1.0222949175240741</v>
      </c>
      <c r="W16" s="446">
        <f>IF(AM15&gt;0,AM15/$AC$3,0)</f>
        <v>0</v>
      </c>
      <c r="X16" s="447">
        <f>MAX(X15,(1.19*D16)-0.16)</f>
        <v>0.14863278349382705</v>
      </c>
      <c r="Y16" s="448">
        <f t="shared" ref="Y16:Y79" si="12">IF(W16&gt;0,AC$3,IF(P16&gt;0,1,Y15))</f>
        <v>1</v>
      </c>
      <c r="Z16" s="449">
        <f t="shared" si="4"/>
        <v>0.85136721650617297</v>
      </c>
      <c r="AA16" s="449">
        <f>MAX(AF15-P16-W16,0)</f>
        <v>8</v>
      </c>
      <c r="AB16" s="451">
        <f t="shared" ref="AB16:AB79" si="13">MAX(IF(AA16&lt;$AC$4,IF(L16&gt;$AC$4,($AC$4)/L16,1),MIN(($AC$4)/L16,(($AC$5-AA16)*$AG$3)/($AC$5-$AC$4))),0)</f>
        <v>0</v>
      </c>
      <c r="AC16" s="449">
        <f t="shared" si="5"/>
        <v>0</v>
      </c>
      <c r="AD16" s="449">
        <f t="shared" si="6"/>
        <v>0</v>
      </c>
      <c r="AE16" s="448">
        <f>MAX(P16+W16-AF15,0)</f>
        <v>0</v>
      </c>
      <c r="AF16" s="449">
        <f>AF15-P16-W16+AD16/Z16+AE16</f>
        <v>8</v>
      </c>
      <c r="AG16" s="449">
        <f t="shared" si="7"/>
        <v>0.27347160355555544</v>
      </c>
      <c r="AH16" s="449">
        <f t="shared" si="8"/>
        <v>0.1914301224888888</v>
      </c>
      <c r="AI16" s="448"/>
      <c r="AJ16" s="449">
        <f t="shared" ref="AJ16:AJ79" si="14">MIN($AK$4,MAX($AK$3,MAX((S16-$N$4)/($N$5-$N$4)*($AK$4-$AK$3)+$AK$3,AJ15)))</f>
        <v>0.28405303967078183</v>
      </c>
      <c r="AK16" s="450">
        <f>MAX(IF(H16&lt;V$4,AP$3,AP$4)/100*AJ16*$AK$5,AK15)</f>
        <v>18.463447578600821</v>
      </c>
      <c r="AL16" s="449">
        <f>AQ15-P16-AM15+AH16</f>
        <v>8.4609511087999998</v>
      </c>
      <c r="AM16" s="451">
        <f>IF(ISERROR(VLOOKUP(C16,Riegos,2,FALSE)),VLOOKUP(C16,Riegos,2,FALSE),VLOOKUP($F$8,Nomen!$A$79:$B$80,2,FALSE)*IF(AND(H16&gt;120,D16&lt;0.45),0,IF(AQ15+AH16&gt;=AK16,MIN(AQ15,$AK$7),0)))</f>
        <v>0</v>
      </c>
      <c r="AN16" s="448">
        <f t="shared" ref="AN16:AN79" si="15">MAX(+P16+AM15-AH16-AQ15,0)</f>
        <v>0</v>
      </c>
      <c r="AO16" s="448">
        <f t="shared" ref="AO16:AO79" si="16">MAX(0,IF(AL16&gt;AK16,(AJ16*AK$5-AL16)/(AJ16*AK$5-AK16),1))</f>
        <v>1</v>
      </c>
      <c r="AP16" s="449">
        <f t="shared" ref="AP16:AP79" si="17">AC16+S16*AO16</f>
        <v>0.27347160355555544</v>
      </c>
      <c r="AQ16" s="449">
        <f t="shared" ref="AQ16:AQ79" si="18">+AQ15-P16-AM15+AP16*L16+AN16</f>
        <v>8.4609511087999998</v>
      </c>
      <c r="AR16" s="449">
        <f>AO16+AR15</f>
        <v>2</v>
      </c>
      <c r="AS16" s="449">
        <f>AP16*L16</f>
        <v>0.1914301224888888</v>
      </c>
      <c r="AT16" s="449">
        <f>AS16+AT15</f>
        <v>0.46095110879999979</v>
      </c>
      <c r="AU16" s="453">
        <f t="shared" ref="AU16:AU79" si="19">AM16+AU15</f>
        <v>0</v>
      </c>
      <c r="AV16" s="145">
        <f t="shared" ref="AV16:AV79" si="20">P16+AV15</f>
        <v>0</v>
      </c>
      <c r="AW16" s="178">
        <f t="shared" ref="AW16:AW79" si="21">AW15+J16</f>
        <v>0</v>
      </c>
      <c r="AX16" s="179">
        <f t="shared" ref="AX16:AX79" si="22">AX15+O16</f>
        <v>0</v>
      </c>
      <c r="AY16" s="145" t="str">
        <f>IF($C16&gt;$BA$6,"",IF(AND(($D17-$D16)&gt;0,$D16&gt;$AZ$3,$D16&lt;$AZ$4),$D16,IF($D16&gt;$AZ$4,$D16,IF(AND(($D17-$D15)&gt;0,$D16&gt;$AZ$4),$D16,""))))</f>
        <v/>
      </c>
      <c r="AZ16" s="145">
        <f t="shared" ref="AZ16:AZ79" si="23">IF($C16&gt;$BA$6,0,IF(AND(($D17-$D16)&gt;0,$D16&gt;$AZ$3,$D16&lt;$AZ$4),($D16*$BB$3+$BC$3)*L16,IF($D16&gt;$AZ$4,($D16*$BB$3+$BC$3)*L16,IF(AND(($D17-$D15)&gt;0,$D16&gt;$AZ$4),($D16*$BB$3+$BC$3)*L16,0))))</f>
        <v>0</v>
      </c>
      <c r="BA16" s="145">
        <f t="shared" ref="BA16:BA79" si="24">IFERROR(AZ16+BA15,"")</f>
        <v>0</v>
      </c>
      <c r="BB16" s="145">
        <f t="shared" ref="BB16:BB79" si="25">(AZ16*$BB$4)/100</f>
        <v>0</v>
      </c>
      <c r="BC16" s="145">
        <f t="shared" ref="BC16:BC79" si="26">IFERROR(BB16+BC15,"")</f>
        <v>0</v>
      </c>
      <c r="BD16" s="145">
        <f t="shared" ref="BD16:BD79" si="27">(IF(BC16&lt;13,((IF(BC16&lt;1,5.3,IFERROR(5.35*(BC16)^(-0.442),0)))/100),1.7/100))*BC16*1000</f>
        <v>0</v>
      </c>
      <c r="BE16" s="145">
        <f t="shared" ref="BE16:BE79" si="28">BD16-BD15</f>
        <v>0</v>
      </c>
      <c r="BF16" s="145" t="str">
        <f t="shared" ref="BF16:BF79" si="29">IF(BB16&gt;0,L16,"")</f>
        <v/>
      </c>
    </row>
    <row r="17" spans="1:60" s="145" customFormat="1">
      <c r="A17" s="567"/>
      <c r="B17" s="116">
        <f t="shared" si="9"/>
        <v>14</v>
      </c>
      <c r="C17" s="69">
        <f t="shared" ref="C17:C80" si="30">C16+1</f>
        <v>42018</v>
      </c>
      <c r="D17" s="257">
        <f>IF(ISERROR(VLOOKUP($C17,'NDVI real'!$T$8:$U$313,2,FALSE)),VLOOKUP(SWB!C17,'NDVI tipo'!$T$8:$U$193,2),VLOOKUP($C17,'NDVI real'!$T$8:$U$313,2,FALSE))</f>
        <v>0.26209876444444441</v>
      </c>
      <c r="E17" s="170">
        <f t="shared" si="0"/>
        <v>1</v>
      </c>
      <c r="F17" s="170">
        <f t="shared" si="1"/>
        <v>14</v>
      </c>
      <c r="G17" s="170">
        <f t="shared" si="2"/>
        <v>2015</v>
      </c>
      <c r="H17" s="170">
        <f t="shared" si="10"/>
        <v>14</v>
      </c>
      <c r="I17" s="190">
        <f>IF(ISERROR(VLOOKUP($C17,Clima!$U$8:$AH$900,3,FALSE)),VLOOKUP($C17,Clima!$D$8:$R$900,3),VLOOKUP($C17,Clima!$U$8:$AH$900,3,FALSE))</f>
        <v>5.3</v>
      </c>
      <c r="J17" s="191"/>
      <c r="K17" s="170"/>
      <c r="L17" s="192">
        <f>IF(ISERROR(VLOOKUP($C17,Clima!$U$8:$AH$900,14,FALSE)),VLOOKUP($C17,Clima!$D$8:$R$900,14),VLOOKUP($C17,Clima!$U$8:$AH$900,14,FALSE))</f>
        <v>1.1000000000000001</v>
      </c>
      <c r="M17" s="190"/>
      <c r="N17" s="190"/>
      <c r="O17" s="191"/>
      <c r="P17" s="191">
        <f>IF(ISERROR(VLOOKUP($C17,Clima!$W$8:$AH$350,12,FALSE)),VLOOKUP($C17,Clima!$E$8:$P$350,12),VLOOKUP($C17,Clima!$W$8:$AH$350,12,FALSE))</f>
        <v>0</v>
      </c>
      <c r="Q17" s="170">
        <f t="shared" ref="Q17:Q80" si="31">S17*L17*AO17+Q16</f>
        <v>0.76611555167999967</v>
      </c>
      <c r="R17" s="254">
        <f>VLOOKUP(C17,Clima!$V$8:$AH$900,3,FALSE)+R16</f>
        <v>16.8</v>
      </c>
      <c r="S17" s="455">
        <f t="shared" ref="S17:S79" si="32">MIN($V$10,D17*1.44-0.1)</f>
        <v>0.2774222207999999</v>
      </c>
      <c r="T17" s="449">
        <f t="shared" si="11"/>
        <v>0.30516444287999989</v>
      </c>
      <c r="U17" s="195"/>
      <c r="V17" s="445">
        <f>X17*$V$10+(1-X17)*$V$12</f>
        <v>1.0227846294533334</v>
      </c>
      <c r="W17" s="446">
        <f>IF(AM16&gt;0,AM16/$AC$3,0)</f>
        <v>0</v>
      </c>
      <c r="X17" s="447">
        <f t="shared" ref="X17:X80" si="33">MAX(X16,(1.19*D17)-0.16)</f>
        <v>0.15189752968888884</v>
      </c>
      <c r="Y17" s="448">
        <f t="shared" si="12"/>
        <v>1</v>
      </c>
      <c r="Z17" s="449">
        <f t="shared" si="4"/>
        <v>0.84810247031111119</v>
      </c>
      <c r="AA17" s="449">
        <f t="shared" ref="AA17:AA80" si="34">MAX(AF16-P17-W17,0)</f>
        <v>8</v>
      </c>
      <c r="AB17" s="451">
        <f t="shared" si="13"/>
        <v>0</v>
      </c>
      <c r="AC17" s="449">
        <f t="shared" si="5"/>
        <v>0</v>
      </c>
      <c r="AD17" s="449">
        <f t="shared" si="6"/>
        <v>0</v>
      </c>
      <c r="AE17" s="448">
        <f t="shared" ref="AE17:AE80" si="35">MAX(P17+W17-AF16,0)</f>
        <v>0</v>
      </c>
      <c r="AF17" s="449">
        <f t="shared" ref="AF17:AF80" si="36">AF16-P17-W17+AD17/Z17+AE17</f>
        <v>8</v>
      </c>
      <c r="AG17" s="449">
        <f t="shared" si="7"/>
        <v>0.2774222207999999</v>
      </c>
      <c r="AH17" s="449">
        <f t="shared" si="8"/>
        <v>0.30516444287999989</v>
      </c>
      <c r="AI17" s="448"/>
      <c r="AJ17" s="449">
        <f t="shared" si="14"/>
        <v>0.28697942281481476</v>
      </c>
      <c r="AK17" s="450">
        <f t="shared" ref="AK17:AK78" si="37">MAX(IF(H17&lt;V$4,AP$3,AP$4)/100*AJ17*$AK$5,AK16)</f>
        <v>18.653662482962961</v>
      </c>
      <c r="AL17" s="449">
        <f t="shared" ref="AL17:AL80" si="38">AQ16-P17-AM16+AH17</f>
        <v>8.7661155516800005</v>
      </c>
      <c r="AM17" s="451">
        <f>IF(ISERROR(VLOOKUP(C17,Riegos,2,FALSE)),VLOOKUP(C17,Riegos,2,FALSE),VLOOKUP($F$8,Nomen!$A$79:$B$80,2,FALSE)*IF(AND(H17&gt;120,D17&lt;0.45),0,IF(AQ16+AH17&gt;=AK17,MIN(AQ16,$AK$7),0)))</f>
        <v>0</v>
      </c>
      <c r="AN17" s="448">
        <f t="shared" si="15"/>
        <v>0</v>
      </c>
      <c r="AO17" s="448">
        <f t="shared" si="16"/>
        <v>1</v>
      </c>
      <c r="AP17" s="449">
        <f t="shared" si="17"/>
        <v>0.2774222207999999</v>
      </c>
      <c r="AQ17" s="449">
        <f t="shared" si="18"/>
        <v>8.7661155516800005</v>
      </c>
      <c r="AR17" s="449">
        <f t="shared" ref="AR17:AR80" si="39">AO17+AR16</f>
        <v>3</v>
      </c>
      <c r="AS17" s="449">
        <f t="shared" ref="AS17:AS79" si="40">AP17*L17</f>
        <v>0.30516444287999989</v>
      </c>
      <c r="AT17" s="449">
        <f t="shared" ref="AT17:AT79" si="41">AS17+AT16</f>
        <v>0.76611555167999967</v>
      </c>
      <c r="AU17" s="453">
        <f t="shared" si="19"/>
        <v>0</v>
      </c>
      <c r="AV17" s="145">
        <f t="shared" si="20"/>
        <v>0</v>
      </c>
      <c r="AW17" s="178">
        <f t="shared" si="21"/>
        <v>0</v>
      </c>
      <c r="AX17" s="179">
        <f t="shared" si="22"/>
        <v>0</v>
      </c>
      <c r="AY17" s="145" t="str">
        <f t="shared" ref="AY17:AY80" si="42">IF($C17&gt;$BA$6,"",IF(AND(($D18-$D17)&gt;0,$D17&gt;$AZ$3,$D17&lt;$AZ$4),$D17,IF($D17&gt;$AZ$4,$D17,IF(AND(($D18-$D16)&gt;0,$D17&gt;$AZ$4),$D17,""))))</f>
        <v/>
      </c>
      <c r="AZ17" s="145">
        <f t="shared" si="23"/>
        <v>0</v>
      </c>
      <c r="BA17" s="145">
        <f t="shared" si="24"/>
        <v>0</v>
      </c>
      <c r="BB17" s="145">
        <f t="shared" si="25"/>
        <v>0</v>
      </c>
      <c r="BC17" s="145">
        <f t="shared" si="26"/>
        <v>0</v>
      </c>
      <c r="BD17" s="145">
        <f t="shared" si="27"/>
        <v>0</v>
      </c>
      <c r="BE17" s="145">
        <f t="shared" si="28"/>
        <v>0</v>
      </c>
      <c r="BF17" s="145" t="str">
        <f t="shared" si="29"/>
        <v/>
      </c>
    </row>
    <row r="18" spans="1:60" s="145" customFormat="1">
      <c r="A18" s="567"/>
      <c r="B18" s="116">
        <f t="shared" si="9"/>
        <v>15</v>
      </c>
      <c r="C18" s="69">
        <f t="shared" si="30"/>
        <v>42019</v>
      </c>
      <c r="D18" s="257">
        <f>IF(ISERROR(VLOOKUP($C18,'NDVI real'!$T$8:$U$313,2,FALSE)),VLOOKUP(SWB!C18,'NDVI tipo'!$T$8:$U$193,2),VLOOKUP($C18,'NDVI real'!$T$8:$U$313,2,FALSE))</f>
        <v>0.2619907397685185</v>
      </c>
      <c r="E18" s="170">
        <f t="shared" si="0"/>
        <v>1</v>
      </c>
      <c r="F18" s="170">
        <f t="shared" si="1"/>
        <v>15</v>
      </c>
      <c r="G18" s="170">
        <f t="shared" si="2"/>
        <v>2015</v>
      </c>
      <c r="H18" s="170">
        <f t="shared" si="10"/>
        <v>15</v>
      </c>
      <c r="I18" s="190">
        <f>IF(ISERROR(VLOOKUP($C18,Clima!$U$8:$AH$900,3,FALSE)),VLOOKUP($C18,Clima!$D$8:$R$900,3),VLOOKUP($C18,Clima!$U$8:$AH$900,3,FALSE))</f>
        <v>6.1</v>
      </c>
      <c r="J18" s="191"/>
      <c r="K18" s="170"/>
      <c r="L18" s="192">
        <f>IF(ISERROR(VLOOKUP($C18,Clima!$U$8:$AH$900,14,FALSE)),VLOOKUP($C18,Clima!$D$8:$R$900,14),VLOOKUP($C18,Clima!$U$8:$AH$900,14,FALSE))</f>
        <v>1.2</v>
      </c>
      <c r="M18" s="190"/>
      <c r="N18" s="190"/>
      <c r="O18" s="191"/>
      <c r="P18" s="191">
        <f>IF(ISERROR(VLOOKUP($C18,Clima!$W$8:$AH$350,12,FALSE)),VLOOKUP($C18,Clima!$E$8:$P$350,12),VLOOKUP($C18,Clima!$W$8:$AH$350,12,FALSE))</f>
        <v>0</v>
      </c>
      <c r="Q18" s="170">
        <f t="shared" si="31"/>
        <v>1.0988355499999996</v>
      </c>
      <c r="R18" s="254">
        <f>VLOOKUP(C18,Clima!$V$8:$AH$900,3,FALSE)+R17</f>
        <v>23.4</v>
      </c>
      <c r="S18" s="455">
        <f t="shared" si="32"/>
        <v>0.27726666526666666</v>
      </c>
      <c r="T18" s="449">
        <f t="shared" si="11"/>
        <v>0.33271999831999999</v>
      </c>
      <c r="U18" s="195"/>
      <c r="V18" s="445">
        <f t="shared" si="3"/>
        <v>1.0227846294533334</v>
      </c>
      <c r="W18" s="446">
        <f t="shared" ref="W18:W79" si="43">IF(AM17&gt;0,AM17/$AC$3,0)</f>
        <v>0</v>
      </c>
      <c r="X18" s="447">
        <f t="shared" si="33"/>
        <v>0.15189752968888884</v>
      </c>
      <c r="Y18" s="448">
        <f t="shared" si="12"/>
        <v>1</v>
      </c>
      <c r="Z18" s="449">
        <f t="shared" si="4"/>
        <v>0.84810247031111119</v>
      </c>
      <c r="AA18" s="449">
        <f t="shared" si="34"/>
        <v>8</v>
      </c>
      <c r="AB18" s="451">
        <f t="shared" si="13"/>
        <v>0</v>
      </c>
      <c r="AC18" s="449">
        <f t="shared" si="5"/>
        <v>0</v>
      </c>
      <c r="AD18" s="449">
        <f t="shared" si="6"/>
        <v>0</v>
      </c>
      <c r="AE18" s="448">
        <f t="shared" si="35"/>
        <v>0</v>
      </c>
      <c r="AF18" s="449">
        <f t="shared" si="36"/>
        <v>8</v>
      </c>
      <c r="AG18" s="449">
        <f t="shared" si="7"/>
        <v>0.27726666526666666</v>
      </c>
      <c r="AH18" s="449">
        <f t="shared" si="8"/>
        <v>0.33271999831999999</v>
      </c>
      <c r="AI18" s="448"/>
      <c r="AJ18" s="449">
        <f t="shared" si="14"/>
        <v>0.28697942281481476</v>
      </c>
      <c r="AK18" s="450">
        <f t="shared" si="37"/>
        <v>18.653662482962961</v>
      </c>
      <c r="AL18" s="449">
        <f t="shared" si="38"/>
        <v>9.0988355500000004</v>
      </c>
      <c r="AM18" s="451">
        <f>IF(ISERROR(VLOOKUP(C18,Riegos,2,FALSE)),VLOOKUP(C18,Riegos,2,FALSE),VLOOKUP($F$8,Nomen!$A$79:$B$80,2,FALSE)*IF(AND(H18&gt;120,D18&lt;0.45),0,IF(AQ17+AH18&gt;=AK18,MIN(AQ17,$AK$7),0)))</f>
        <v>0</v>
      </c>
      <c r="AN18" s="448">
        <f t="shared" si="15"/>
        <v>0</v>
      </c>
      <c r="AO18" s="448">
        <f t="shared" si="16"/>
        <v>1</v>
      </c>
      <c r="AP18" s="449">
        <f t="shared" si="17"/>
        <v>0.27726666526666666</v>
      </c>
      <c r="AQ18" s="449">
        <f t="shared" si="18"/>
        <v>9.0988355500000004</v>
      </c>
      <c r="AR18" s="449">
        <f t="shared" si="39"/>
        <v>4</v>
      </c>
      <c r="AS18" s="449">
        <f t="shared" si="40"/>
        <v>0.33271999831999999</v>
      </c>
      <c r="AT18" s="449">
        <f t="shared" si="41"/>
        <v>1.0988355499999996</v>
      </c>
      <c r="AU18" s="453">
        <f t="shared" si="19"/>
        <v>0</v>
      </c>
      <c r="AV18" s="145">
        <f t="shared" si="20"/>
        <v>0</v>
      </c>
      <c r="AW18" s="178">
        <f t="shared" si="21"/>
        <v>0</v>
      </c>
      <c r="AX18" s="179">
        <f t="shared" si="22"/>
        <v>0</v>
      </c>
      <c r="AY18" s="145" t="str">
        <f t="shared" si="42"/>
        <v/>
      </c>
      <c r="AZ18" s="145">
        <f t="shared" si="23"/>
        <v>0</v>
      </c>
      <c r="BA18" s="145">
        <f>IFERROR(AZ18+BA17,"")</f>
        <v>0</v>
      </c>
      <c r="BB18" s="145">
        <f t="shared" si="25"/>
        <v>0</v>
      </c>
      <c r="BC18" s="145">
        <f t="shared" si="26"/>
        <v>0</v>
      </c>
      <c r="BD18" s="145">
        <f t="shared" si="27"/>
        <v>0</v>
      </c>
      <c r="BE18" s="145">
        <f t="shared" si="28"/>
        <v>0</v>
      </c>
      <c r="BF18" s="145" t="str">
        <f t="shared" si="29"/>
        <v/>
      </c>
    </row>
    <row r="19" spans="1:60" s="145" customFormat="1">
      <c r="A19" s="567"/>
      <c r="B19" s="116">
        <f t="shared" si="9"/>
        <v>16</v>
      </c>
      <c r="C19" s="69">
        <f t="shared" si="30"/>
        <v>42020</v>
      </c>
      <c r="D19" s="257">
        <f>IF(ISERROR(VLOOKUP($C19,'NDVI real'!$T$8:$U$313,2,FALSE)),VLOOKUP(SWB!C19,'NDVI tipo'!$T$8:$U$193,2),VLOOKUP($C19,'NDVI real'!$T$8:$U$313,2,FALSE))</f>
        <v>0.26188271509259259</v>
      </c>
      <c r="E19" s="170">
        <f t="shared" si="0"/>
        <v>1</v>
      </c>
      <c r="F19" s="170">
        <f t="shared" si="1"/>
        <v>16</v>
      </c>
      <c r="G19" s="170">
        <f t="shared" si="2"/>
        <v>2015</v>
      </c>
      <c r="H19" s="170">
        <f t="shared" si="10"/>
        <v>16</v>
      </c>
      <c r="I19" s="190">
        <f>IF(ISERROR(VLOOKUP($C19,Clima!$U$8:$AH$900,3,FALSE)),VLOOKUP($C19,Clima!$D$8:$R$900,3),VLOOKUP($C19,Clima!$U$8:$AH$900,3,FALSE))</f>
        <v>1.6</v>
      </c>
      <c r="J19" s="191"/>
      <c r="K19" s="170"/>
      <c r="L19" s="192">
        <f>IF(ISERROR(VLOOKUP($C19,Clima!$U$8:$AH$900,14,FALSE)),VLOOKUP($C19,Clima!$D$8:$R$900,14),VLOOKUP($C19,Clima!$U$8:$AH$900,14,FALSE))</f>
        <v>1.4</v>
      </c>
      <c r="M19" s="190"/>
      <c r="N19" s="190"/>
      <c r="O19" s="191"/>
      <c r="P19" s="191">
        <f>IF(ISERROR(VLOOKUP($C19,Clima!$W$8:$AH$350,12,FALSE)),VLOOKUP($C19,Clima!$E$8:$P$350,12),VLOOKUP($C19,Clima!$W$8:$AH$350,12,FALSE))</f>
        <v>0.6</v>
      </c>
      <c r="Q19" s="170">
        <f t="shared" si="31"/>
        <v>1.4867911036266661</v>
      </c>
      <c r="R19" s="254">
        <f>VLOOKUP(C19,Clima!$V$8:$AH$900,3,FALSE)+R18</f>
        <v>29.7</v>
      </c>
      <c r="S19" s="455">
        <f t="shared" si="32"/>
        <v>0.27711110973333331</v>
      </c>
      <c r="T19" s="449">
        <f t="shared" si="11"/>
        <v>0.38795555362666662</v>
      </c>
      <c r="U19" s="195"/>
      <c r="V19" s="445">
        <f t="shared" si="3"/>
        <v>1.0227846294533334</v>
      </c>
      <c r="W19" s="446">
        <f t="shared" si="43"/>
        <v>0</v>
      </c>
      <c r="X19" s="447">
        <f t="shared" si="33"/>
        <v>0.15189752968888884</v>
      </c>
      <c r="Y19" s="448">
        <f t="shared" si="12"/>
        <v>1</v>
      </c>
      <c r="Z19" s="449">
        <f t="shared" si="4"/>
        <v>0.84810247031111119</v>
      </c>
      <c r="AA19" s="449">
        <f>MAX(AF18-P19-W19,0)</f>
        <v>7.4</v>
      </c>
      <c r="AB19" s="451">
        <f t="shared" si="13"/>
        <v>2.2499999999999985E-2</v>
      </c>
      <c r="AC19" s="449">
        <f t="shared" si="5"/>
        <v>1.677765419369999E-2</v>
      </c>
      <c r="AD19" s="449">
        <f t="shared" si="6"/>
        <v>2.3488715871179983E-2</v>
      </c>
      <c r="AE19" s="448">
        <f t="shared" si="35"/>
        <v>0</v>
      </c>
      <c r="AF19" s="449">
        <f t="shared" si="36"/>
        <v>7.4276956107232701</v>
      </c>
      <c r="AG19" s="449">
        <f t="shared" si="7"/>
        <v>0.29388876392703328</v>
      </c>
      <c r="AH19" s="449">
        <f t="shared" si="8"/>
        <v>0.41144426949784657</v>
      </c>
      <c r="AI19" s="448"/>
      <c r="AJ19" s="449">
        <f t="shared" si="14"/>
        <v>0.28697942281481476</v>
      </c>
      <c r="AK19" s="450">
        <f t="shared" si="37"/>
        <v>18.653662482962961</v>
      </c>
      <c r="AL19" s="449">
        <f t="shared" si="38"/>
        <v>8.9102798194978465</v>
      </c>
      <c r="AM19" s="451">
        <f>IF(ISERROR(VLOOKUP(C19,Riegos,2,FALSE)),VLOOKUP(C19,Riegos,2,FALSE),VLOOKUP($F$8,Nomen!$A$79:$B$80,2,FALSE)*IF(AND(H19&gt;120,D19&lt;0.45),0,IF(AQ18+AH19&gt;=AK19,MIN(AQ18,$AK$7),0)))</f>
        <v>0</v>
      </c>
      <c r="AN19" s="448">
        <f t="shared" si="15"/>
        <v>0</v>
      </c>
      <c r="AO19" s="448">
        <f t="shared" si="16"/>
        <v>1</v>
      </c>
      <c r="AP19" s="449">
        <f t="shared" si="17"/>
        <v>0.29388876392703328</v>
      </c>
      <c r="AQ19" s="449">
        <f t="shared" si="18"/>
        <v>8.9102798194978465</v>
      </c>
      <c r="AR19" s="449">
        <f t="shared" si="39"/>
        <v>5</v>
      </c>
      <c r="AS19" s="449">
        <f t="shared" si="40"/>
        <v>0.41144426949784657</v>
      </c>
      <c r="AT19" s="449">
        <f t="shared" si="41"/>
        <v>1.5102798194978462</v>
      </c>
      <c r="AU19" s="453">
        <f t="shared" si="19"/>
        <v>0</v>
      </c>
      <c r="AV19" s="145">
        <f t="shared" si="20"/>
        <v>0.6</v>
      </c>
      <c r="AW19" s="178">
        <f t="shared" si="21"/>
        <v>0</v>
      </c>
      <c r="AX19" s="179">
        <f t="shared" si="22"/>
        <v>0</v>
      </c>
      <c r="AY19" s="145" t="str">
        <f t="shared" si="42"/>
        <v/>
      </c>
      <c r="AZ19" s="145">
        <f t="shared" si="23"/>
        <v>0</v>
      </c>
      <c r="BA19" s="145">
        <f t="shared" si="24"/>
        <v>0</v>
      </c>
      <c r="BB19" s="145">
        <f t="shared" si="25"/>
        <v>0</v>
      </c>
      <c r="BC19" s="145">
        <f t="shared" si="26"/>
        <v>0</v>
      </c>
      <c r="BD19" s="145">
        <f t="shared" si="27"/>
        <v>0</v>
      </c>
      <c r="BE19" s="145">
        <f t="shared" si="28"/>
        <v>0</v>
      </c>
      <c r="BF19" s="145" t="str">
        <f t="shared" si="29"/>
        <v/>
      </c>
    </row>
    <row r="20" spans="1:60" s="145" customFormat="1">
      <c r="A20" s="567"/>
      <c r="B20" s="116">
        <f t="shared" si="9"/>
        <v>17</v>
      </c>
      <c r="C20" s="69">
        <f t="shared" si="30"/>
        <v>42021</v>
      </c>
      <c r="D20" s="257">
        <f>IF(ISERROR(VLOOKUP($C20,'NDVI real'!$T$8:$U$313,2,FALSE)),VLOOKUP(SWB!C20,'NDVI tipo'!$T$8:$U$193,2),VLOOKUP($C20,'NDVI real'!$T$8:$U$313,2,FALSE))</f>
        <v>0.26177469041666668</v>
      </c>
      <c r="E20" s="170">
        <f t="shared" si="0"/>
        <v>1</v>
      </c>
      <c r="F20" s="170">
        <f t="shared" si="1"/>
        <v>17</v>
      </c>
      <c r="G20" s="170">
        <f t="shared" si="2"/>
        <v>2015</v>
      </c>
      <c r="H20" s="170">
        <f t="shared" si="10"/>
        <v>17</v>
      </c>
      <c r="I20" s="190">
        <f>IF(ISERROR(VLOOKUP($C20,Clima!$U$8:$AH$900,3,FALSE)),VLOOKUP($C20,Clima!$D$8:$R$900,3),VLOOKUP($C20,Clima!$U$8:$AH$900,3,FALSE))</f>
        <v>1</v>
      </c>
      <c r="J20" s="191"/>
      <c r="K20" s="170"/>
      <c r="L20" s="192">
        <f>IF(ISERROR(VLOOKUP($C20,Clima!$U$8:$AH$900,14,FALSE)),VLOOKUP($C20,Clima!$D$8:$R$900,14),VLOOKUP($C20,Clima!$U$8:$AH$900,14,FALSE))</f>
        <v>1</v>
      </c>
      <c r="M20" s="190"/>
      <c r="N20" s="190"/>
      <c r="O20" s="191"/>
      <c r="P20" s="191">
        <f>IF(ISERROR(VLOOKUP($C20,Clima!$W$8:$AH$350,12,FALSE)),VLOOKUP($C20,Clima!$E$8:$P$350,12),VLOOKUP($C20,Clima!$W$8:$AH$350,12,FALSE))</f>
        <v>0</v>
      </c>
      <c r="Q20" s="170">
        <f t="shared" si="31"/>
        <v>1.7637466578266661</v>
      </c>
      <c r="R20" s="254">
        <f>VLOOKUP(C20,Clima!$V$8:$AH$900,3,FALSE)+R19</f>
        <v>31</v>
      </c>
      <c r="S20" s="455">
        <f t="shared" si="32"/>
        <v>0.27695555419999995</v>
      </c>
      <c r="T20" s="449">
        <f t="shared" si="11"/>
        <v>0.27695555419999995</v>
      </c>
      <c r="U20" s="195"/>
      <c r="V20" s="445">
        <f t="shared" si="3"/>
        <v>1.0227846294533334</v>
      </c>
      <c r="W20" s="446">
        <f t="shared" si="43"/>
        <v>0</v>
      </c>
      <c r="X20" s="447">
        <f t="shared" si="33"/>
        <v>0.15189752968888884</v>
      </c>
      <c r="Y20" s="448">
        <f t="shared" si="12"/>
        <v>1</v>
      </c>
      <c r="Z20" s="449">
        <f t="shared" si="4"/>
        <v>0.84810247031111119</v>
      </c>
      <c r="AA20" s="449">
        <f t="shared" si="34"/>
        <v>7.4276956107232701</v>
      </c>
      <c r="AB20" s="451">
        <f t="shared" si="13"/>
        <v>2.1461414597877371E-2</v>
      </c>
      <c r="AC20" s="449">
        <f t="shared" si="5"/>
        <v>1.6006547003163271E-2</v>
      </c>
      <c r="AD20" s="449">
        <f t="shared" si="6"/>
        <v>1.6006547003163271E-2</v>
      </c>
      <c r="AE20" s="448">
        <f t="shared" si="35"/>
        <v>0</v>
      </c>
      <c r="AF20" s="449">
        <f t="shared" si="36"/>
        <v>7.4465689751615223</v>
      </c>
      <c r="AG20" s="449">
        <f t="shared" si="7"/>
        <v>0.29296210120316324</v>
      </c>
      <c r="AH20" s="449">
        <f t="shared" si="8"/>
        <v>0.29296210120316324</v>
      </c>
      <c r="AI20" s="448"/>
      <c r="AJ20" s="449">
        <f t="shared" si="14"/>
        <v>0.28697942281481476</v>
      </c>
      <c r="AK20" s="450">
        <f t="shared" si="37"/>
        <v>18.653662482962961</v>
      </c>
      <c r="AL20" s="449">
        <f t="shared" si="38"/>
        <v>9.203241920701009</v>
      </c>
      <c r="AM20" s="451">
        <f>IF(ISERROR(VLOOKUP(C20,Riegos,2,FALSE)),VLOOKUP(C20,Riegos,2,FALSE),VLOOKUP($F$8,Nomen!$A$79:$B$80,2,FALSE)*IF(AND(H20&gt;120,D20&lt;0.45),0,IF(AQ19+AH20&gt;=AK20,MIN(AQ19,$AK$7),0)))</f>
        <v>0</v>
      </c>
      <c r="AN20" s="448">
        <f t="shared" si="15"/>
        <v>0</v>
      </c>
      <c r="AO20" s="448">
        <f t="shared" si="16"/>
        <v>1</v>
      </c>
      <c r="AP20" s="449">
        <f t="shared" si="17"/>
        <v>0.29296210120316324</v>
      </c>
      <c r="AQ20" s="449">
        <f t="shared" si="18"/>
        <v>9.203241920701009</v>
      </c>
      <c r="AR20" s="449">
        <f t="shared" si="39"/>
        <v>6</v>
      </c>
      <c r="AS20" s="449">
        <f t="shared" si="40"/>
        <v>0.29296210120316324</v>
      </c>
      <c r="AT20" s="449">
        <f t="shared" si="41"/>
        <v>1.8032419207010095</v>
      </c>
      <c r="AU20" s="453">
        <f t="shared" si="19"/>
        <v>0</v>
      </c>
      <c r="AV20" s="145">
        <f t="shared" si="20"/>
        <v>0.6</v>
      </c>
      <c r="AW20" s="178">
        <f t="shared" si="21"/>
        <v>0</v>
      </c>
      <c r="AX20" s="179">
        <f t="shared" si="22"/>
        <v>0</v>
      </c>
      <c r="AY20" s="145" t="str">
        <f t="shared" si="42"/>
        <v/>
      </c>
      <c r="AZ20" s="145">
        <f t="shared" si="23"/>
        <v>0</v>
      </c>
      <c r="BA20" s="145">
        <f t="shared" si="24"/>
        <v>0</v>
      </c>
      <c r="BB20" s="145">
        <f t="shared" si="25"/>
        <v>0</v>
      </c>
      <c r="BC20" s="145">
        <f t="shared" si="26"/>
        <v>0</v>
      </c>
      <c r="BD20" s="145">
        <f t="shared" si="27"/>
        <v>0</v>
      </c>
      <c r="BE20" s="145">
        <f t="shared" si="28"/>
        <v>0</v>
      </c>
      <c r="BF20" s="145" t="str">
        <f t="shared" si="29"/>
        <v/>
      </c>
    </row>
    <row r="21" spans="1:60" s="145" customFormat="1" ht="15.75" customHeight="1">
      <c r="A21" s="567"/>
      <c r="B21" s="116">
        <f t="shared" si="9"/>
        <v>18</v>
      </c>
      <c r="C21" s="69">
        <f t="shared" si="30"/>
        <v>42022</v>
      </c>
      <c r="D21" s="257">
        <f>IF(ISERROR(VLOOKUP($C21,'NDVI real'!$T$8:$U$313,2,FALSE)),VLOOKUP(SWB!C21,'NDVI tipo'!$T$8:$U$193,2),VLOOKUP($C21,'NDVI real'!$T$8:$U$313,2,FALSE))</f>
        <v>0.26166666574074077</v>
      </c>
      <c r="E21" s="170">
        <f t="shared" si="0"/>
        <v>1</v>
      </c>
      <c r="F21" s="170">
        <f t="shared" si="1"/>
        <v>18</v>
      </c>
      <c r="G21" s="170">
        <f t="shared" si="2"/>
        <v>2015</v>
      </c>
      <c r="H21" s="170">
        <f t="shared" si="10"/>
        <v>18</v>
      </c>
      <c r="I21" s="190">
        <f>IF(ISERROR(VLOOKUP($C21,Clima!$U$8:$AH$900,3,FALSE)),VLOOKUP($C21,Clima!$D$8:$R$900,3),VLOOKUP($C21,Clima!$U$8:$AH$900,3,FALSE))</f>
        <v>5.8</v>
      </c>
      <c r="J21" s="191"/>
      <c r="K21" s="170"/>
      <c r="L21" s="192">
        <f>IF(ISERROR(VLOOKUP($C21,Clima!$U$8:$AH$900,14,FALSE)),VLOOKUP($C21,Clima!$D$8:$R$900,14),VLOOKUP($C21,Clima!$U$8:$AH$900,14,FALSE))</f>
        <v>1.6</v>
      </c>
      <c r="M21" s="190"/>
      <c r="N21" s="190"/>
      <c r="O21" s="191"/>
      <c r="P21" s="191">
        <f>IF(ISERROR(VLOOKUP($C21,Clima!$W$8:$AH$350,12,FALSE)),VLOOKUP($C21,Clima!$E$8:$P$350,12),VLOOKUP($C21,Clima!$W$8:$AH$350,12,FALSE))</f>
        <v>4.0999999999999996</v>
      </c>
      <c r="Q21" s="170">
        <f t="shared" si="31"/>
        <v>2.2066266556933329</v>
      </c>
      <c r="R21" s="254">
        <f>VLOOKUP(C21,Clima!$V$8:$AH$900,3,FALSE)+R20</f>
        <v>30.6</v>
      </c>
      <c r="S21" s="455">
        <f t="shared" si="32"/>
        <v>0.27679999866666671</v>
      </c>
      <c r="T21" s="449">
        <f t="shared" si="11"/>
        <v>0.44287999786666676</v>
      </c>
      <c r="U21" s="195"/>
      <c r="V21" s="445">
        <f t="shared" si="3"/>
        <v>1.0227846294533334</v>
      </c>
      <c r="W21" s="446">
        <f t="shared" si="43"/>
        <v>0</v>
      </c>
      <c r="X21" s="447">
        <f t="shared" si="33"/>
        <v>0.15189752968888884</v>
      </c>
      <c r="Y21" s="448">
        <f t="shared" si="12"/>
        <v>1</v>
      </c>
      <c r="Z21" s="449">
        <f t="shared" si="4"/>
        <v>0.84810247031111119</v>
      </c>
      <c r="AA21" s="449">
        <f t="shared" si="34"/>
        <v>3.3465689751615226</v>
      </c>
      <c r="AB21" s="451">
        <f t="shared" si="13"/>
        <v>1</v>
      </c>
      <c r="AC21" s="449">
        <f t="shared" si="5"/>
        <v>0.74598463078666666</v>
      </c>
      <c r="AD21" s="449">
        <f t="shared" si="6"/>
        <v>1.1935754092586668</v>
      </c>
      <c r="AE21" s="448">
        <f t="shared" si="35"/>
        <v>0</v>
      </c>
      <c r="AF21" s="449">
        <f t="shared" si="36"/>
        <v>4.7539170858453943</v>
      </c>
      <c r="AG21" s="449">
        <f t="shared" si="7"/>
        <v>1.0227846294533334</v>
      </c>
      <c r="AH21" s="449">
        <f t="shared" si="8"/>
        <v>1.6364554071253334</v>
      </c>
      <c r="AI21" s="448"/>
      <c r="AJ21" s="449">
        <f t="shared" si="14"/>
        <v>0.28697942281481476</v>
      </c>
      <c r="AK21" s="450">
        <f t="shared" si="37"/>
        <v>18.653662482962961</v>
      </c>
      <c r="AL21" s="449">
        <f t="shared" si="38"/>
        <v>6.7396973278263426</v>
      </c>
      <c r="AM21" s="451">
        <f>IF(ISERROR(VLOOKUP(C21,Riegos,2,FALSE)),VLOOKUP(C21,Riegos,2,FALSE),VLOOKUP($F$8,Nomen!$A$79:$B$80,2,FALSE)*IF(AND(H21&gt;120,D21&lt;0.45),0,IF(AQ20+AH21&gt;=AK21,MIN(AQ20,$AK$7),0)))</f>
        <v>0</v>
      </c>
      <c r="AN21" s="448">
        <f t="shared" si="15"/>
        <v>0</v>
      </c>
      <c r="AO21" s="448">
        <f t="shared" si="16"/>
        <v>1</v>
      </c>
      <c r="AP21" s="449">
        <f t="shared" si="17"/>
        <v>1.0227846294533334</v>
      </c>
      <c r="AQ21" s="449">
        <f t="shared" si="18"/>
        <v>6.7396973278263426</v>
      </c>
      <c r="AR21" s="449">
        <f t="shared" si="39"/>
        <v>7</v>
      </c>
      <c r="AS21" s="449">
        <f t="shared" si="40"/>
        <v>1.6364554071253334</v>
      </c>
      <c r="AT21" s="449">
        <f t="shared" si="41"/>
        <v>3.4396973278263427</v>
      </c>
      <c r="AU21" s="453">
        <f t="shared" si="19"/>
        <v>0</v>
      </c>
      <c r="AV21" s="145">
        <f t="shared" si="20"/>
        <v>4.6999999999999993</v>
      </c>
      <c r="AW21" s="178">
        <f t="shared" si="21"/>
        <v>0</v>
      </c>
      <c r="AX21" s="179">
        <f t="shared" si="22"/>
        <v>0</v>
      </c>
      <c r="AY21" s="145" t="str">
        <f t="shared" si="42"/>
        <v/>
      </c>
      <c r="AZ21" s="145">
        <f t="shared" si="23"/>
        <v>0</v>
      </c>
      <c r="BA21" s="145">
        <f t="shared" si="24"/>
        <v>0</v>
      </c>
      <c r="BB21" s="145">
        <f t="shared" si="25"/>
        <v>0</v>
      </c>
      <c r="BC21" s="145">
        <f t="shared" si="26"/>
        <v>0</v>
      </c>
      <c r="BD21" s="145">
        <f t="shared" si="27"/>
        <v>0</v>
      </c>
      <c r="BE21" s="145">
        <f t="shared" si="28"/>
        <v>0</v>
      </c>
      <c r="BF21" s="145" t="str">
        <f t="shared" si="29"/>
        <v/>
      </c>
    </row>
    <row r="22" spans="1:60" s="145" customFormat="1">
      <c r="A22" s="567"/>
      <c r="B22" s="116">
        <f t="shared" si="9"/>
        <v>19</v>
      </c>
      <c r="C22" s="69">
        <f t="shared" si="30"/>
        <v>42023</v>
      </c>
      <c r="D22" s="257">
        <f>IF(ISERROR(VLOOKUP($C22,'NDVI real'!$T$8:$U$313,2,FALSE)),VLOOKUP(SWB!C22,'NDVI tipo'!$T$8:$U$193,2),VLOOKUP($C22,'NDVI real'!$T$8:$U$313,2,FALSE))</f>
        <v>0.26155864106481486</v>
      </c>
      <c r="E22" s="170">
        <f t="shared" si="0"/>
        <v>1</v>
      </c>
      <c r="F22" s="170">
        <f t="shared" si="1"/>
        <v>19</v>
      </c>
      <c r="G22" s="170">
        <f t="shared" si="2"/>
        <v>2015</v>
      </c>
      <c r="H22" s="170">
        <f t="shared" si="10"/>
        <v>19</v>
      </c>
      <c r="I22" s="190">
        <f>IF(ISERROR(VLOOKUP($C22,Clima!$U$8:$AH$900,3,FALSE)),VLOOKUP($C22,Clima!$D$8:$R$900,3),VLOOKUP($C22,Clima!$U$8:$AH$900,3,FALSE))</f>
        <v>3.9</v>
      </c>
      <c r="J22" s="191"/>
      <c r="K22" s="170"/>
      <c r="L22" s="192">
        <f>IF(ISERROR(VLOOKUP($C22,Clima!$U$8:$AH$900,14,FALSE)),VLOOKUP($C22,Clima!$D$8:$R$900,14),VLOOKUP($C22,Clima!$U$8:$AH$900,14,FALSE))</f>
        <v>0.8</v>
      </c>
      <c r="M22" s="190"/>
      <c r="N22" s="190"/>
      <c r="O22" s="191"/>
      <c r="P22" s="191">
        <f>IF(ISERROR(VLOOKUP($C22,Clima!$W$8:$AH$350,12,FALSE)),VLOOKUP($C22,Clima!$E$8:$P$350,12),VLOOKUP($C22,Clima!$W$8:$AH$350,12,FALSE))</f>
        <v>2.4</v>
      </c>
      <c r="Q22" s="170">
        <f t="shared" si="31"/>
        <v>2.4279422101999995</v>
      </c>
      <c r="R22" s="254">
        <f>VLOOKUP(C22,Clima!$V$8:$AH$900,3,FALSE)+R21</f>
        <v>33.800000000000004</v>
      </c>
      <c r="S22" s="455">
        <f t="shared" si="32"/>
        <v>0.27664444313333336</v>
      </c>
      <c r="T22" s="449">
        <f t="shared" si="11"/>
        <v>0.22131555450666671</v>
      </c>
      <c r="U22" s="195"/>
      <c r="V22" s="445">
        <f t="shared" si="3"/>
        <v>1.0227846294533334</v>
      </c>
      <c r="W22" s="446">
        <f t="shared" si="43"/>
        <v>0</v>
      </c>
      <c r="X22" s="447">
        <f t="shared" si="33"/>
        <v>0.15189752968888884</v>
      </c>
      <c r="Y22" s="448">
        <f t="shared" si="12"/>
        <v>1</v>
      </c>
      <c r="Z22" s="449">
        <f t="shared" si="4"/>
        <v>0.84810247031111119</v>
      </c>
      <c r="AA22" s="449">
        <f t="shared" si="34"/>
        <v>2.3539170858453944</v>
      </c>
      <c r="AB22" s="451">
        <f t="shared" si="13"/>
        <v>1</v>
      </c>
      <c r="AC22" s="449">
        <f t="shared" si="5"/>
        <v>0.74614018632000001</v>
      </c>
      <c r="AD22" s="449">
        <f t="shared" si="6"/>
        <v>0.59691214905599999</v>
      </c>
      <c r="AE22" s="448">
        <f t="shared" si="35"/>
        <v>0</v>
      </c>
      <c r="AF22" s="449">
        <f t="shared" si="36"/>
        <v>3.0577378739596344</v>
      </c>
      <c r="AG22" s="449">
        <f t="shared" si="7"/>
        <v>1.0227846294533334</v>
      </c>
      <c r="AH22" s="449">
        <f t="shared" si="8"/>
        <v>0.81822770356266672</v>
      </c>
      <c r="AI22" s="448"/>
      <c r="AJ22" s="449">
        <f t="shared" si="14"/>
        <v>0.28697942281481476</v>
      </c>
      <c r="AK22" s="450">
        <f t="shared" si="37"/>
        <v>18.653662482962961</v>
      </c>
      <c r="AL22" s="449">
        <f t="shared" si="38"/>
        <v>5.1579250313890102</v>
      </c>
      <c r="AM22" s="451">
        <f>IF(ISERROR(VLOOKUP(C22,Riegos,2,FALSE)),VLOOKUP(C22,Riegos,2,FALSE),VLOOKUP($F$8,Nomen!$A$79:$B$80,2,FALSE)*IF(AND(H22&gt;120,D22&lt;0.45),0,IF(AQ21+AH22&gt;=AK22,MIN(AQ21,$AK$7),0)))</f>
        <v>0</v>
      </c>
      <c r="AN22" s="448">
        <f t="shared" si="15"/>
        <v>0</v>
      </c>
      <c r="AO22" s="448">
        <f t="shared" si="16"/>
        <v>1</v>
      </c>
      <c r="AP22" s="449">
        <f t="shared" si="17"/>
        <v>1.0227846294533334</v>
      </c>
      <c r="AQ22" s="449">
        <f t="shared" si="18"/>
        <v>5.1579250313890102</v>
      </c>
      <c r="AR22" s="449">
        <f t="shared" si="39"/>
        <v>8</v>
      </c>
      <c r="AS22" s="449">
        <f t="shared" si="40"/>
        <v>0.81822770356266672</v>
      </c>
      <c r="AT22" s="449">
        <f t="shared" si="41"/>
        <v>4.2579250313890098</v>
      </c>
      <c r="AU22" s="453">
        <f t="shared" si="19"/>
        <v>0</v>
      </c>
      <c r="AV22" s="145">
        <f t="shared" si="20"/>
        <v>7.1</v>
      </c>
      <c r="AW22" s="178">
        <f t="shared" si="21"/>
        <v>0</v>
      </c>
      <c r="AX22" s="179">
        <f t="shared" si="22"/>
        <v>0</v>
      </c>
      <c r="AY22" s="145" t="str">
        <f t="shared" si="42"/>
        <v/>
      </c>
      <c r="AZ22" s="145">
        <f t="shared" si="23"/>
        <v>0</v>
      </c>
      <c r="BA22" s="145">
        <f t="shared" si="24"/>
        <v>0</v>
      </c>
      <c r="BB22" s="145">
        <f t="shared" si="25"/>
        <v>0</v>
      </c>
      <c r="BC22" s="145">
        <f t="shared" si="26"/>
        <v>0</v>
      </c>
      <c r="BD22" s="145">
        <f t="shared" si="27"/>
        <v>0</v>
      </c>
      <c r="BE22" s="145">
        <f t="shared" si="28"/>
        <v>0</v>
      </c>
      <c r="BF22" s="145" t="str">
        <f t="shared" si="29"/>
        <v/>
      </c>
    </row>
    <row r="23" spans="1:60" s="145" customFormat="1">
      <c r="A23" s="567"/>
      <c r="B23" s="116">
        <f t="shared" si="9"/>
        <v>20</v>
      </c>
      <c r="C23" s="69">
        <f t="shared" si="30"/>
        <v>42024</v>
      </c>
      <c r="D23" s="257">
        <f>IF(ISERROR(VLOOKUP($C23,'NDVI real'!$T$8:$U$313,2,FALSE)),VLOOKUP(SWB!C23,'NDVI tipo'!$T$8:$U$193,2),VLOOKUP($C23,'NDVI real'!$T$8:$U$313,2,FALSE))</f>
        <v>0.26145061638888895</v>
      </c>
      <c r="E23" s="170">
        <f t="shared" si="0"/>
        <v>1</v>
      </c>
      <c r="F23" s="170">
        <f t="shared" si="1"/>
        <v>20</v>
      </c>
      <c r="G23" s="170">
        <f t="shared" si="2"/>
        <v>2015</v>
      </c>
      <c r="H23" s="170">
        <f t="shared" si="10"/>
        <v>20</v>
      </c>
      <c r="I23" s="190">
        <f>IF(ISERROR(VLOOKUP($C23,Clima!$U$8:$AH$900,3,FALSE)),VLOOKUP($C23,Clima!$D$8:$R$900,3),VLOOKUP($C23,Clima!$U$8:$AH$900,3,FALSE))</f>
        <v>4.3</v>
      </c>
      <c r="J23" s="191"/>
      <c r="K23" s="170"/>
      <c r="L23" s="192">
        <f>IF(ISERROR(VLOOKUP($C23,Clima!$U$8:$AH$900,14,FALSE)),VLOOKUP($C23,Clima!$D$8:$R$900,14),VLOOKUP($C23,Clima!$U$8:$AH$900,14,FALSE))</f>
        <v>0.8</v>
      </c>
      <c r="M23" s="190"/>
      <c r="N23" s="190"/>
      <c r="O23" s="191"/>
      <c r="P23" s="191">
        <f>IF(ISERROR(VLOOKUP($C23,Clima!$W$8:$AH$350,12,FALSE)),VLOOKUP($C23,Clima!$E$8:$P$350,12),VLOOKUP($C23,Clima!$W$8:$AH$350,12,FALSE))</f>
        <v>0</v>
      </c>
      <c r="Q23" s="170">
        <f t="shared" si="31"/>
        <v>2.6491333202799994</v>
      </c>
      <c r="R23" s="254">
        <f>VLOOKUP(C23,Clima!$V$8:$AH$900,3,FALSE)+R22</f>
        <v>34.900000000000006</v>
      </c>
      <c r="S23" s="455">
        <f t="shared" si="32"/>
        <v>0.27648888760000001</v>
      </c>
      <c r="T23" s="449">
        <f t="shared" si="11"/>
        <v>0.22119111008000003</v>
      </c>
      <c r="U23" s="195"/>
      <c r="V23" s="445">
        <f t="shared" si="3"/>
        <v>1.0227846294533334</v>
      </c>
      <c r="W23" s="446">
        <f t="shared" si="43"/>
        <v>0</v>
      </c>
      <c r="X23" s="447">
        <f t="shared" si="33"/>
        <v>0.15189752968888884</v>
      </c>
      <c r="Y23" s="448">
        <f t="shared" si="12"/>
        <v>1</v>
      </c>
      <c r="Z23" s="449">
        <f t="shared" si="4"/>
        <v>0.84810247031111119</v>
      </c>
      <c r="AA23" s="449">
        <f t="shared" si="34"/>
        <v>3.0577378739596344</v>
      </c>
      <c r="AB23" s="451">
        <f t="shared" si="13"/>
        <v>1</v>
      </c>
      <c r="AC23" s="449">
        <f t="shared" si="5"/>
        <v>0.74629574185333336</v>
      </c>
      <c r="AD23" s="449">
        <f t="shared" si="6"/>
        <v>0.59703659348266669</v>
      </c>
      <c r="AE23" s="448">
        <f t="shared" si="35"/>
        <v>0</v>
      </c>
      <c r="AF23" s="449">
        <f t="shared" si="36"/>
        <v>3.7617053948461781</v>
      </c>
      <c r="AG23" s="449">
        <f t="shared" si="7"/>
        <v>1.0227846294533334</v>
      </c>
      <c r="AH23" s="449">
        <f t="shared" si="8"/>
        <v>0.81822770356266672</v>
      </c>
      <c r="AI23" s="448"/>
      <c r="AJ23" s="449">
        <f t="shared" si="14"/>
        <v>0.28697942281481476</v>
      </c>
      <c r="AK23" s="450">
        <f t="shared" si="37"/>
        <v>18.653662482962961</v>
      </c>
      <c r="AL23" s="449">
        <f t="shared" si="38"/>
        <v>5.9761527349516772</v>
      </c>
      <c r="AM23" s="451">
        <f>IF(ISERROR(VLOOKUP(C23,Riegos,2,FALSE)),VLOOKUP(C23,Riegos,2,FALSE),VLOOKUP($F$8,Nomen!$A$79:$B$80,2,FALSE)*IF(AND(H23&gt;120,D23&lt;0.45),0,IF(AQ22+AH23&gt;=AK23,MIN(AQ22,$AK$7),0)))</f>
        <v>0</v>
      </c>
      <c r="AN23" s="448">
        <f t="shared" si="15"/>
        <v>0</v>
      </c>
      <c r="AO23" s="448">
        <f t="shared" si="16"/>
        <v>1</v>
      </c>
      <c r="AP23" s="449">
        <f t="shared" si="17"/>
        <v>1.0227846294533334</v>
      </c>
      <c r="AQ23" s="449">
        <f t="shared" si="18"/>
        <v>5.9761527349516772</v>
      </c>
      <c r="AR23" s="449">
        <f t="shared" si="39"/>
        <v>9</v>
      </c>
      <c r="AS23" s="449">
        <f t="shared" si="40"/>
        <v>0.81822770356266672</v>
      </c>
      <c r="AT23" s="449">
        <f t="shared" si="41"/>
        <v>5.0761527349516768</v>
      </c>
      <c r="AU23" s="453">
        <f t="shared" si="19"/>
        <v>0</v>
      </c>
      <c r="AV23" s="145">
        <f t="shared" si="20"/>
        <v>7.1</v>
      </c>
      <c r="AW23" s="178">
        <f t="shared" si="21"/>
        <v>0</v>
      </c>
      <c r="AX23" s="179">
        <f t="shared" si="22"/>
        <v>0</v>
      </c>
      <c r="AY23" s="145" t="str">
        <f t="shared" si="42"/>
        <v/>
      </c>
      <c r="AZ23" s="145">
        <f t="shared" si="23"/>
        <v>0</v>
      </c>
      <c r="BA23" s="145">
        <f t="shared" si="24"/>
        <v>0</v>
      </c>
      <c r="BB23" s="145">
        <f t="shared" si="25"/>
        <v>0</v>
      </c>
      <c r="BC23" s="145">
        <f t="shared" si="26"/>
        <v>0</v>
      </c>
      <c r="BD23" s="145">
        <f t="shared" si="27"/>
        <v>0</v>
      </c>
      <c r="BE23" s="145">
        <f t="shared" si="28"/>
        <v>0</v>
      </c>
      <c r="BF23" s="145" t="str">
        <f t="shared" si="29"/>
        <v/>
      </c>
    </row>
    <row r="24" spans="1:60" s="145" customFormat="1">
      <c r="A24" s="567"/>
      <c r="B24" s="116">
        <f t="shared" si="9"/>
        <v>21</v>
      </c>
      <c r="C24" s="69">
        <f t="shared" si="30"/>
        <v>42025</v>
      </c>
      <c r="D24" s="257">
        <f>IF(ISERROR(VLOOKUP($C24,'NDVI real'!$T$8:$U$313,2,FALSE)),VLOOKUP(SWB!C24,'NDVI tipo'!$T$8:$U$193,2),VLOOKUP($C24,'NDVI real'!$T$8:$U$313,2,FALSE))</f>
        <v>0.26134259171296303</v>
      </c>
      <c r="E24" s="170">
        <f t="shared" si="0"/>
        <v>1</v>
      </c>
      <c r="F24" s="170">
        <f t="shared" si="1"/>
        <v>21</v>
      </c>
      <c r="G24" s="170">
        <f t="shared" si="2"/>
        <v>2015</v>
      </c>
      <c r="H24" s="170">
        <f t="shared" si="10"/>
        <v>21</v>
      </c>
      <c r="I24" s="190">
        <f>IF(ISERROR(VLOOKUP($C24,Clima!$U$8:$AH$900,3,FALSE)),VLOOKUP($C24,Clima!$D$8:$R$900,3),VLOOKUP($C24,Clima!$U$8:$AH$900,3,FALSE))</f>
        <v>6.9</v>
      </c>
      <c r="J24" s="191"/>
      <c r="K24" s="170"/>
      <c r="L24" s="192">
        <f>IF(ISERROR(VLOOKUP($C24,Clima!$U$8:$AH$900,14,FALSE)),VLOOKUP($C24,Clima!$D$8:$R$900,14),VLOOKUP($C24,Clima!$U$8:$AH$900,14,FALSE))</f>
        <v>0.9</v>
      </c>
      <c r="M24" s="190"/>
      <c r="N24" s="190"/>
      <c r="O24" s="191"/>
      <c r="P24" s="191">
        <f>IF(ISERROR(VLOOKUP($C24,Clima!$W$8:$AH$350,12,FALSE)),VLOOKUP($C24,Clima!$E$8:$P$350,12),VLOOKUP($C24,Clima!$W$8:$AH$350,12,FALSE))</f>
        <v>0.2</v>
      </c>
      <c r="Q24" s="170">
        <f t="shared" si="31"/>
        <v>2.8978333191399996</v>
      </c>
      <c r="R24" s="254">
        <f>VLOOKUP(C24,Clima!$V$8:$AH$900,3,FALSE)+R23</f>
        <v>36.400000000000006</v>
      </c>
      <c r="S24" s="455">
        <f t="shared" si="32"/>
        <v>0.27633333206666677</v>
      </c>
      <c r="T24" s="449">
        <f t="shared" si="11"/>
        <v>0.2486999988600001</v>
      </c>
      <c r="U24" s="195"/>
      <c r="V24" s="445">
        <f t="shared" si="3"/>
        <v>1.0227846294533334</v>
      </c>
      <c r="W24" s="446">
        <f t="shared" si="43"/>
        <v>0</v>
      </c>
      <c r="X24" s="447">
        <f t="shared" si="33"/>
        <v>0.15189752968888884</v>
      </c>
      <c r="Y24" s="448">
        <f t="shared" si="12"/>
        <v>1</v>
      </c>
      <c r="Z24" s="449">
        <f t="shared" si="4"/>
        <v>0.84810247031111119</v>
      </c>
      <c r="AA24" s="449">
        <f t="shared" si="34"/>
        <v>3.5617053948461779</v>
      </c>
      <c r="AB24" s="451">
        <f t="shared" si="13"/>
        <v>1</v>
      </c>
      <c r="AC24" s="449">
        <f t="shared" si="5"/>
        <v>0.7464512973866666</v>
      </c>
      <c r="AD24" s="449">
        <f t="shared" si="6"/>
        <v>0.67180616764799994</v>
      </c>
      <c r="AE24" s="448">
        <f t="shared" si="35"/>
        <v>0</v>
      </c>
      <c r="AF24" s="449">
        <f t="shared" si="36"/>
        <v>4.3538339302123816</v>
      </c>
      <c r="AG24" s="449">
        <f t="shared" si="7"/>
        <v>1.0227846294533334</v>
      </c>
      <c r="AH24" s="449">
        <f t="shared" si="8"/>
        <v>0.9205061665080001</v>
      </c>
      <c r="AI24" s="448"/>
      <c r="AJ24" s="449">
        <f t="shared" si="14"/>
        <v>0.28697942281481476</v>
      </c>
      <c r="AK24" s="450">
        <f t="shared" si="37"/>
        <v>18.653662482962961</v>
      </c>
      <c r="AL24" s="449">
        <f t="shared" si="38"/>
        <v>6.6966589014596769</v>
      </c>
      <c r="AM24" s="451">
        <f>IF(ISERROR(VLOOKUP(C24,Riegos,2,FALSE)),VLOOKUP(C24,Riegos,2,FALSE),VLOOKUP($F$8,Nomen!$A$79:$B$80,2,FALSE)*IF(AND(H24&gt;120,D24&lt;0.45),0,IF(AQ23+AH24&gt;=AK24,MIN(AQ23,$AK$7),0)))</f>
        <v>0</v>
      </c>
      <c r="AN24" s="448">
        <f t="shared" si="15"/>
        <v>0</v>
      </c>
      <c r="AO24" s="448">
        <f t="shared" si="16"/>
        <v>1</v>
      </c>
      <c r="AP24" s="449">
        <f t="shared" si="17"/>
        <v>1.0227846294533334</v>
      </c>
      <c r="AQ24" s="449">
        <f t="shared" si="18"/>
        <v>6.6966589014596769</v>
      </c>
      <c r="AR24" s="449">
        <f t="shared" si="39"/>
        <v>10</v>
      </c>
      <c r="AS24" s="449">
        <f t="shared" si="40"/>
        <v>0.9205061665080001</v>
      </c>
      <c r="AT24" s="449">
        <f t="shared" si="41"/>
        <v>5.9966589014596767</v>
      </c>
      <c r="AU24" s="453">
        <f t="shared" si="19"/>
        <v>0</v>
      </c>
      <c r="AV24" s="145">
        <f t="shared" si="20"/>
        <v>7.3</v>
      </c>
      <c r="AW24" s="178">
        <f t="shared" si="21"/>
        <v>0</v>
      </c>
      <c r="AX24" s="179">
        <f t="shared" si="22"/>
        <v>0</v>
      </c>
      <c r="AY24" s="145" t="str">
        <f t="shared" si="42"/>
        <v/>
      </c>
      <c r="AZ24" s="145">
        <f t="shared" si="23"/>
        <v>0</v>
      </c>
      <c r="BA24" s="145">
        <f t="shared" si="24"/>
        <v>0</v>
      </c>
      <c r="BB24" s="145">
        <f t="shared" si="25"/>
        <v>0</v>
      </c>
      <c r="BC24" s="145">
        <f t="shared" si="26"/>
        <v>0</v>
      </c>
      <c r="BD24" s="145">
        <f t="shared" si="27"/>
        <v>0</v>
      </c>
      <c r="BE24" s="145">
        <f t="shared" si="28"/>
        <v>0</v>
      </c>
      <c r="BF24" s="145" t="str">
        <f t="shared" si="29"/>
        <v/>
      </c>
    </row>
    <row r="25" spans="1:60" s="145" customFormat="1">
      <c r="A25" s="567"/>
      <c r="B25" s="116">
        <f t="shared" si="9"/>
        <v>22</v>
      </c>
      <c r="C25" s="69">
        <f t="shared" si="30"/>
        <v>42026</v>
      </c>
      <c r="D25" s="257">
        <f>IF(ISERROR(VLOOKUP($C25,'NDVI real'!$T$8:$U$313,2,FALSE)),VLOOKUP(SWB!C25,'NDVI tipo'!$T$8:$U$193,2),VLOOKUP($C25,'NDVI real'!$T$8:$U$313,2,FALSE))</f>
        <v>0.26123456703703712</v>
      </c>
      <c r="E25" s="170">
        <f t="shared" si="0"/>
        <v>1</v>
      </c>
      <c r="F25" s="170">
        <f t="shared" si="1"/>
        <v>22</v>
      </c>
      <c r="G25" s="170">
        <f t="shared" si="2"/>
        <v>2015</v>
      </c>
      <c r="H25" s="170">
        <f t="shared" si="10"/>
        <v>22</v>
      </c>
      <c r="I25" s="190">
        <f>IF(ISERROR(VLOOKUP($C25,Clima!$U$8:$AH$900,3,FALSE)),VLOOKUP($C25,Clima!$D$8:$R$900,3),VLOOKUP($C25,Clima!$U$8:$AH$900,3,FALSE))</f>
        <v>9</v>
      </c>
      <c r="J25" s="191"/>
      <c r="K25" s="170"/>
      <c r="L25" s="192">
        <f>IF(ISERROR(VLOOKUP($C25,Clima!$U$8:$AH$900,14,FALSE)),VLOOKUP($C25,Clima!$D$8:$R$900,14),VLOOKUP($C25,Clima!$U$8:$AH$900,14,FALSE))</f>
        <v>0.8</v>
      </c>
      <c r="M25" s="190"/>
      <c r="N25" s="190"/>
      <c r="O25" s="191"/>
      <c r="P25" s="191">
        <f>IF(ISERROR(VLOOKUP($C25,Clima!$W$8:$AH$350,12,FALSE)),VLOOKUP($C25,Clima!$E$8:$P$350,12),VLOOKUP($C25,Clima!$W$8:$AH$350,12,FALSE))</f>
        <v>0</v>
      </c>
      <c r="Q25" s="170">
        <f t="shared" si="31"/>
        <v>3.1187755403666664</v>
      </c>
      <c r="R25" s="254">
        <f>VLOOKUP(C25,Clima!$V$8:$AH$900,3,FALSE)+R24</f>
        <v>38.600000000000009</v>
      </c>
      <c r="S25" s="455">
        <f t="shared" si="32"/>
        <v>0.27617777653333342</v>
      </c>
      <c r="T25" s="449">
        <f t="shared" si="11"/>
        <v>0.22094222122666674</v>
      </c>
      <c r="U25" s="195"/>
      <c r="V25" s="445">
        <f t="shared" si="3"/>
        <v>1.0227846294533334</v>
      </c>
      <c r="W25" s="446">
        <f t="shared" si="43"/>
        <v>0</v>
      </c>
      <c r="X25" s="447">
        <f t="shared" si="33"/>
        <v>0.15189752968888884</v>
      </c>
      <c r="Y25" s="448">
        <f t="shared" si="12"/>
        <v>1</v>
      </c>
      <c r="Z25" s="449">
        <f t="shared" si="4"/>
        <v>0.84810247031111119</v>
      </c>
      <c r="AA25" s="449">
        <f t="shared" si="34"/>
        <v>4.3538339302123816</v>
      </c>
      <c r="AB25" s="451">
        <f t="shared" si="13"/>
        <v>0.13673122761703568</v>
      </c>
      <c r="AC25" s="449">
        <f t="shared" si="5"/>
        <v>0.1020844715470432</v>
      </c>
      <c r="AD25" s="449">
        <f t="shared" si="6"/>
        <v>8.166757723763457E-2</v>
      </c>
      <c r="AE25" s="448">
        <f t="shared" si="35"/>
        <v>0</v>
      </c>
      <c r="AF25" s="449">
        <f t="shared" si="36"/>
        <v>4.4501283994498975</v>
      </c>
      <c r="AG25" s="449">
        <f t="shared" si="7"/>
        <v>0.37826224808037662</v>
      </c>
      <c r="AH25" s="449">
        <f t="shared" si="8"/>
        <v>0.30260979846430131</v>
      </c>
      <c r="AI25" s="448"/>
      <c r="AJ25" s="449">
        <f t="shared" si="14"/>
        <v>0.28697942281481476</v>
      </c>
      <c r="AK25" s="450">
        <f t="shared" si="37"/>
        <v>18.653662482962961</v>
      </c>
      <c r="AL25" s="449">
        <f t="shared" si="38"/>
        <v>6.9992686999239782</v>
      </c>
      <c r="AM25" s="451">
        <f>IF(ISERROR(VLOOKUP(C25,Riegos,2,FALSE)),VLOOKUP(C25,Riegos,2,FALSE),VLOOKUP($F$8,Nomen!$A$79:$B$80,2,FALSE)*IF(AND(H25&gt;120,D25&lt;0.45),0,IF(AQ24+AH25&gt;=AK25,MIN(AQ24,$AK$7),0)))</f>
        <v>0</v>
      </c>
      <c r="AN25" s="448">
        <f t="shared" si="15"/>
        <v>0</v>
      </c>
      <c r="AO25" s="448">
        <f t="shared" si="16"/>
        <v>1</v>
      </c>
      <c r="AP25" s="449">
        <f t="shared" si="17"/>
        <v>0.37826224808037662</v>
      </c>
      <c r="AQ25" s="449">
        <f t="shared" si="18"/>
        <v>6.9992686999239782</v>
      </c>
      <c r="AR25" s="449">
        <f t="shared" si="39"/>
        <v>11</v>
      </c>
      <c r="AS25" s="449">
        <f t="shared" si="40"/>
        <v>0.30260979846430131</v>
      </c>
      <c r="AT25" s="449">
        <f t="shared" si="41"/>
        <v>6.299268699923978</v>
      </c>
      <c r="AU25" s="453">
        <f t="shared" si="19"/>
        <v>0</v>
      </c>
      <c r="AV25" s="145">
        <f t="shared" si="20"/>
        <v>7.3</v>
      </c>
      <c r="AW25" s="178">
        <f t="shared" si="21"/>
        <v>0</v>
      </c>
      <c r="AX25" s="179">
        <f t="shared" si="22"/>
        <v>0</v>
      </c>
      <c r="AY25" s="145" t="str">
        <f t="shared" si="42"/>
        <v/>
      </c>
      <c r="AZ25" s="145">
        <f t="shared" si="23"/>
        <v>0</v>
      </c>
      <c r="BA25" s="145">
        <f t="shared" si="24"/>
        <v>0</v>
      </c>
      <c r="BB25" s="145">
        <f t="shared" si="25"/>
        <v>0</v>
      </c>
      <c r="BC25" s="145">
        <f t="shared" si="26"/>
        <v>0</v>
      </c>
      <c r="BD25" s="145">
        <f t="shared" si="27"/>
        <v>0</v>
      </c>
      <c r="BE25" s="145">
        <f t="shared" si="28"/>
        <v>0</v>
      </c>
      <c r="BF25" s="145" t="str">
        <f t="shared" si="29"/>
        <v/>
      </c>
      <c r="BH25" s="145" t="s">
        <v>93</v>
      </c>
    </row>
    <row r="26" spans="1:60" s="145" customFormat="1">
      <c r="A26" s="567"/>
      <c r="B26" s="116">
        <f t="shared" si="9"/>
        <v>23</v>
      </c>
      <c r="C26" s="69">
        <f t="shared" si="30"/>
        <v>42027</v>
      </c>
      <c r="D26" s="257">
        <f>IF(ISERROR(VLOOKUP($C26,'NDVI real'!$T$8:$U$313,2,FALSE)),VLOOKUP(SWB!C26,'NDVI tipo'!$T$8:$U$193,2),VLOOKUP($C26,'NDVI real'!$T$8:$U$313,2,FALSE))</f>
        <v>0.26112654236111121</v>
      </c>
      <c r="E26" s="170">
        <f t="shared" si="0"/>
        <v>1</v>
      </c>
      <c r="F26" s="170">
        <f t="shared" si="1"/>
        <v>23</v>
      </c>
      <c r="G26" s="170">
        <f t="shared" si="2"/>
        <v>2015</v>
      </c>
      <c r="H26" s="170">
        <f t="shared" si="10"/>
        <v>23</v>
      </c>
      <c r="I26" s="190">
        <f>IF(ISERROR(VLOOKUP($C26,Clima!$U$8:$AH$900,3,FALSE)),VLOOKUP($C26,Clima!$D$8:$R$900,3),VLOOKUP($C26,Clima!$U$8:$AH$900,3,FALSE))</f>
        <v>8.1999999999999993</v>
      </c>
      <c r="J26" s="191"/>
      <c r="K26" s="170"/>
      <c r="L26" s="192">
        <f>IF(ISERROR(VLOOKUP($C26,Clima!$U$8:$AH$900,14,FALSE)),VLOOKUP($C26,Clima!$D$8:$R$900,14),VLOOKUP($C26,Clima!$U$8:$AH$900,14,FALSE))</f>
        <v>1.2</v>
      </c>
      <c r="M26" s="190"/>
      <c r="N26" s="190"/>
      <c r="O26" s="191"/>
      <c r="P26" s="191">
        <f>IF(ISERROR(VLOOKUP($C26,Clima!$W$8:$AH$350,12,FALSE)),VLOOKUP($C26,Clima!$E$8:$P$350,12),VLOOKUP($C26,Clima!$W$8:$AH$350,12,FALSE))</f>
        <v>0</v>
      </c>
      <c r="Q26" s="170">
        <f t="shared" si="31"/>
        <v>3.4500022055666664</v>
      </c>
      <c r="R26" s="254">
        <f>VLOOKUP(C26,Clima!$V$8:$AH$900,3,FALSE)+R25</f>
        <v>40.800000000000011</v>
      </c>
      <c r="S26" s="455">
        <f t="shared" si="32"/>
        <v>0.27602222100000018</v>
      </c>
      <c r="T26" s="449">
        <f t="shared" si="11"/>
        <v>0.33122666520000021</v>
      </c>
      <c r="U26" s="195"/>
      <c r="V26" s="445">
        <f t="shared" si="3"/>
        <v>1.0227846294533334</v>
      </c>
      <c r="W26" s="446">
        <f t="shared" si="43"/>
        <v>0</v>
      </c>
      <c r="X26" s="447">
        <f t="shared" si="33"/>
        <v>0.15189752968888884</v>
      </c>
      <c r="Y26" s="448">
        <f t="shared" si="12"/>
        <v>1</v>
      </c>
      <c r="Z26" s="449">
        <f t="shared" si="4"/>
        <v>0.84810247031111119</v>
      </c>
      <c r="AA26" s="449">
        <f t="shared" si="34"/>
        <v>4.4501283994498975</v>
      </c>
      <c r="AB26" s="451">
        <f t="shared" si="13"/>
        <v>0.13312018502062883</v>
      </c>
      <c r="AC26" s="449">
        <f t="shared" si="5"/>
        <v>9.940914997975811E-2</v>
      </c>
      <c r="AD26" s="449">
        <f t="shared" si="6"/>
        <v>0.11929097997570973</v>
      </c>
      <c r="AE26" s="448">
        <f t="shared" si="35"/>
        <v>0</v>
      </c>
      <c r="AF26" s="449">
        <f t="shared" si="36"/>
        <v>4.5907847283153824</v>
      </c>
      <c r="AG26" s="449">
        <f t="shared" si="7"/>
        <v>0.37543137097975832</v>
      </c>
      <c r="AH26" s="449">
        <f t="shared" si="8"/>
        <v>0.45051764517570997</v>
      </c>
      <c r="AI26" s="448"/>
      <c r="AJ26" s="449">
        <f t="shared" si="14"/>
        <v>0.28697942281481476</v>
      </c>
      <c r="AK26" s="450">
        <f t="shared" si="37"/>
        <v>18.653662482962961</v>
      </c>
      <c r="AL26" s="449">
        <f t="shared" si="38"/>
        <v>7.449786345099688</v>
      </c>
      <c r="AM26" s="451">
        <f>IF(ISERROR(VLOOKUP(C26,Riegos,2,FALSE)),VLOOKUP(C26,Riegos,2,FALSE),VLOOKUP($F$8,Nomen!$A$79:$B$80,2,FALSE)*IF(AND(H26&gt;120,D26&lt;0.45),0,IF(AQ25+AH26&gt;=AK26,MIN(AQ25,$AK$7),0)))</f>
        <v>0</v>
      </c>
      <c r="AN26" s="448">
        <f t="shared" si="15"/>
        <v>0</v>
      </c>
      <c r="AO26" s="448">
        <f t="shared" si="16"/>
        <v>1</v>
      </c>
      <c r="AP26" s="449">
        <f t="shared" si="17"/>
        <v>0.37543137097975832</v>
      </c>
      <c r="AQ26" s="449">
        <f t="shared" si="18"/>
        <v>7.449786345099688</v>
      </c>
      <c r="AR26" s="449">
        <f t="shared" si="39"/>
        <v>12</v>
      </c>
      <c r="AS26" s="449">
        <f t="shared" si="40"/>
        <v>0.45051764517570997</v>
      </c>
      <c r="AT26" s="449">
        <f t="shared" si="41"/>
        <v>6.7497863450996878</v>
      </c>
      <c r="AU26" s="453">
        <f t="shared" si="19"/>
        <v>0</v>
      </c>
      <c r="AV26" s="145">
        <f t="shared" si="20"/>
        <v>7.3</v>
      </c>
      <c r="AW26" s="178">
        <f t="shared" si="21"/>
        <v>0</v>
      </c>
      <c r="AX26" s="179">
        <f t="shared" si="22"/>
        <v>0</v>
      </c>
      <c r="AY26" s="145" t="str">
        <f t="shared" si="42"/>
        <v/>
      </c>
      <c r="AZ26" s="145">
        <f t="shared" si="23"/>
        <v>0</v>
      </c>
      <c r="BA26" s="145">
        <f t="shared" si="24"/>
        <v>0</v>
      </c>
      <c r="BB26" s="145">
        <f t="shared" si="25"/>
        <v>0</v>
      </c>
      <c r="BC26" s="145">
        <f t="shared" si="26"/>
        <v>0</v>
      </c>
      <c r="BD26" s="145">
        <f t="shared" si="27"/>
        <v>0</v>
      </c>
      <c r="BE26" s="145">
        <f t="shared" si="28"/>
        <v>0</v>
      </c>
      <c r="BF26" s="145" t="str">
        <f t="shared" si="29"/>
        <v/>
      </c>
      <c r="BH26" s="145" t="s">
        <v>521</v>
      </c>
    </row>
    <row r="27" spans="1:60" s="145" customFormat="1" ht="18" customHeight="1">
      <c r="A27" s="567"/>
      <c r="B27" s="116">
        <f t="shared" si="9"/>
        <v>24</v>
      </c>
      <c r="C27" s="69">
        <f t="shared" si="30"/>
        <v>42028</v>
      </c>
      <c r="D27" s="257">
        <f>IF(ISERROR(VLOOKUP($C27,'NDVI real'!$T$8:$U$313,2,FALSE)),VLOOKUP(SWB!C27,'NDVI tipo'!$T$8:$U$193,2),VLOOKUP($C27,'NDVI real'!$T$8:$U$313,2,FALSE))</f>
        <v>0.2610185176851853</v>
      </c>
      <c r="E27" s="170">
        <f t="shared" si="0"/>
        <v>1</v>
      </c>
      <c r="F27" s="170">
        <f t="shared" si="1"/>
        <v>24</v>
      </c>
      <c r="G27" s="170">
        <f t="shared" si="2"/>
        <v>2015</v>
      </c>
      <c r="H27" s="170">
        <f t="shared" si="10"/>
        <v>24</v>
      </c>
      <c r="I27" s="190">
        <f>IF(ISERROR(VLOOKUP($C27,Clima!$U$8:$AH$900,3,FALSE)),VLOOKUP($C27,Clima!$D$8:$R$900,3),VLOOKUP($C27,Clima!$U$8:$AH$900,3,FALSE))</f>
        <v>9.3000000000000007</v>
      </c>
      <c r="J27" s="191"/>
      <c r="K27" s="170"/>
      <c r="L27" s="192">
        <f>IF(ISERROR(VLOOKUP($C27,Clima!$U$8:$AH$900,14,FALSE)),VLOOKUP($C27,Clima!$D$8:$R$900,14),VLOOKUP($C27,Clima!$U$8:$AH$900,14,FALSE))</f>
        <v>1.7</v>
      </c>
      <c r="M27" s="190"/>
      <c r="N27" s="190"/>
      <c r="O27" s="191"/>
      <c r="P27" s="191">
        <f>IF(ISERROR(VLOOKUP($C27,Clima!$W$8:$AH$350,12,FALSE)),VLOOKUP($C27,Clima!$E$8:$P$350,12),VLOOKUP($C27,Clima!$W$8:$AH$350,12,FALSE))</f>
        <v>0</v>
      </c>
      <c r="Q27" s="170">
        <f t="shared" si="31"/>
        <v>3.9189755368600001</v>
      </c>
      <c r="R27" s="254">
        <f>VLOOKUP(C27,Clima!$V$8:$AH$900,3,FALSE)+R26</f>
        <v>42.70000000000001</v>
      </c>
      <c r="S27" s="455">
        <f t="shared" si="32"/>
        <v>0.27586666546666683</v>
      </c>
      <c r="T27" s="449">
        <f t="shared" si="11"/>
        <v>0.46897333129333357</v>
      </c>
      <c r="U27" s="195"/>
      <c r="V27" s="445">
        <f t="shared" si="3"/>
        <v>1.0227846294533334</v>
      </c>
      <c r="W27" s="446">
        <f t="shared" si="43"/>
        <v>0</v>
      </c>
      <c r="X27" s="447">
        <f t="shared" si="33"/>
        <v>0.15189752968888884</v>
      </c>
      <c r="Y27" s="448">
        <f t="shared" si="12"/>
        <v>1</v>
      </c>
      <c r="Z27" s="449">
        <f t="shared" si="4"/>
        <v>0.84810247031111119</v>
      </c>
      <c r="AA27" s="449">
        <f t="shared" si="34"/>
        <v>4.5907847283153824</v>
      </c>
      <c r="AB27" s="451">
        <f t="shared" si="13"/>
        <v>0.12784557268817315</v>
      </c>
      <c r="AC27" s="449">
        <f t="shared" si="5"/>
        <v>9.5490154856959678E-2</v>
      </c>
      <c r="AD27" s="449">
        <f t="shared" si="6"/>
        <v>0.16233326325683145</v>
      </c>
      <c r="AE27" s="448">
        <f t="shared" si="35"/>
        <v>0</v>
      </c>
      <c r="AF27" s="449">
        <f t="shared" si="36"/>
        <v>4.7821923340464236</v>
      </c>
      <c r="AG27" s="449">
        <f t="shared" si="7"/>
        <v>0.37135682032362649</v>
      </c>
      <c r="AH27" s="449">
        <f t="shared" si="8"/>
        <v>0.63130659455016502</v>
      </c>
      <c r="AI27" s="448"/>
      <c r="AJ27" s="449">
        <f t="shared" si="14"/>
        <v>0.28697942281481476</v>
      </c>
      <c r="AK27" s="450">
        <f t="shared" si="37"/>
        <v>18.653662482962961</v>
      </c>
      <c r="AL27" s="449">
        <f t="shared" si="38"/>
        <v>8.081092939649853</v>
      </c>
      <c r="AM27" s="451">
        <f>IF(ISERROR(VLOOKUP(C27,Riegos,2,FALSE)),VLOOKUP(C27,Riegos,2,FALSE),VLOOKUP($F$8,Nomen!$A$79:$B$80,2,FALSE)*IF(AND(H27&gt;120,D27&lt;0.45),0,IF(AQ26+AH27&gt;=AK27,MIN(AQ26,$AK$7),0)))</f>
        <v>0</v>
      </c>
      <c r="AN27" s="448">
        <f t="shared" si="15"/>
        <v>0</v>
      </c>
      <c r="AO27" s="448">
        <f t="shared" si="16"/>
        <v>1</v>
      </c>
      <c r="AP27" s="449">
        <f t="shared" si="17"/>
        <v>0.37135682032362649</v>
      </c>
      <c r="AQ27" s="449">
        <f t="shared" si="18"/>
        <v>8.081092939649853</v>
      </c>
      <c r="AR27" s="449">
        <f t="shared" si="39"/>
        <v>13</v>
      </c>
      <c r="AS27" s="449">
        <f t="shared" si="40"/>
        <v>0.63130659455016502</v>
      </c>
      <c r="AT27" s="449">
        <f t="shared" si="41"/>
        <v>7.3810929396498528</v>
      </c>
      <c r="AU27" s="453">
        <f t="shared" si="19"/>
        <v>0</v>
      </c>
      <c r="AV27" s="145">
        <f t="shared" si="20"/>
        <v>7.3</v>
      </c>
      <c r="AW27" s="178">
        <f t="shared" si="21"/>
        <v>0</v>
      </c>
      <c r="AX27" s="179">
        <f t="shared" si="22"/>
        <v>0</v>
      </c>
      <c r="AY27" s="145" t="str">
        <f t="shared" si="42"/>
        <v/>
      </c>
      <c r="AZ27" s="145">
        <f t="shared" si="23"/>
        <v>0</v>
      </c>
      <c r="BA27" s="145">
        <f t="shared" si="24"/>
        <v>0</v>
      </c>
      <c r="BB27" s="145">
        <f t="shared" si="25"/>
        <v>0</v>
      </c>
      <c r="BC27" s="145">
        <f t="shared" si="26"/>
        <v>0</v>
      </c>
      <c r="BD27" s="145">
        <f t="shared" si="27"/>
        <v>0</v>
      </c>
      <c r="BE27" s="145">
        <f t="shared" si="28"/>
        <v>0</v>
      </c>
      <c r="BF27" s="145" t="str">
        <f t="shared" si="29"/>
        <v/>
      </c>
      <c r="BH27" s="145" t="s">
        <v>522</v>
      </c>
    </row>
    <row r="28" spans="1:60" s="145" customFormat="1">
      <c r="A28" s="567"/>
      <c r="B28" s="116">
        <f t="shared" si="9"/>
        <v>25</v>
      </c>
      <c r="C28" s="69">
        <f t="shared" si="30"/>
        <v>42029</v>
      </c>
      <c r="D28" s="257">
        <f>IF(ISERROR(VLOOKUP($C28,'NDVI real'!$T$8:$U$313,2,FALSE)),VLOOKUP(SWB!C28,'NDVI tipo'!$T$8:$U$193,2),VLOOKUP($C28,'NDVI real'!$T$8:$U$313,2,FALSE))</f>
        <v>0.26091049300925939</v>
      </c>
      <c r="E28" s="170">
        <f t="shared" si="0"/>
        <v>1</v>
      </c>
      <c r="F28" s="170">
        <f t="shared" si="1"/>
        <v>25</v>
      </c>
      <c r="G28" s="170">
        <f t="shared" si="2"/>
        <v>2015</v>
      </c>
      <c r="H28" s="170">
        <f t="shared" si="10"/>
        <v>25</v>
      </c>
      <c r="I28" s="190">
        <f>IF(ISERROR(VLOOKUP($C28,Clima!$U$8:$AH$900,3,FALSE)),VLOOKUP($C28,Clima!$D$8:$R$900,3),VLOOKUP($C28,Clima!$U$8:$AH$900,3,FALSE))</f>
        <v>8.6</v>
      </c>
      <c r="J28" s="191"/>
      <c r="K28" s="170"/>
      <c r="L28" s="192">
        <f>IF(ISERROR(VLOOKUP($C28,Clima!$U$8:$AH$900,14,FALSE)),VLOOKUP($C28,Clima!$D$8:$R$900,14),VLOOKUP($C28,Clima!$U$8:$AH$900,14,FALSE))</f>
        <v>1.1000000000000001</v>
      </c>
      <c r="M28" s="190"/>
      <c r="N28" s="190"/>
      <c r="O28" s="191"/>
      <c r="P28" s="191">
        <f>IF(ISERROR(VLOOKUP($C28,Clima!$W$8:$AH$350,12,FALSE)),VLOOKUP($C28,Clima!$E$8:$P$350,12),VLOOKUP($C28,Clima!$W$8:$AH$350,12,FALSE))</f>
        <v>0</v>
      </c>
      <c r="Q28" s="170">
        <f t="shared" si="31"/>
        <v>4.2222577577866671</v>
      </c>
      <c r="R28" s="254">
        <f>VLOOKUP(C28,Clima!$V$8:$AH$900,3,FALSE)+R27</f>
        <v>48.400000000000013</v>
      </c>
      <c r="S28" s="455">
        <f t="shared" si="32"/>
        <v>0.27571110993333348</v>
      </c>
      <c r="T28" s="449">
        <f t="shared" si="11"/>
        <v>0.30328222092666685</v>
      </c>
      <c r="U28" s="195"/>
      <c r="V28" s="445">
        <f t="shared" si="3"/>
        <v>1.0227846294533334</v>
      </c>
      <c r="W28" s="446">
        <f t="shared" si="43"/>
        <v>0</v>
      </c>
      <c r="X28" s="447">
        <f t="shared" si="33"/>
        <v>0.15189752968888884</v>
      </c>
      <c r="Y28" s="448">
        <f t="shared" si="12"/>
        <v>1</v>
      </c>
      <c r="Z28" s="449">
        <f t="shared" si="4"/>
        <v>0.84810247031111119</v>
      </c>
      <c r="AA28" s="449">
        <f t="shared" si="34"/>
        <v>4.7821923340464236</v>
      </c>
      <c r="AB28" s="451">
        <f t="shared" si="13"/>
        <v>0.12066778747325911</v>
      </c>
      <c r="AC28" s="449">
        <f t="shared" si="5"/>
        <v>9.0147708680339042E-2</v>
      </c>
      <c r="AD28" s="449">
        <f t="shared" si="6"/>
        <v>9.9162479548372956E-2</v>
      </c>
      <c r="AE28" s="448">
        <f t="shared" si="35"/>
        <v>0</v>
      </c>
      <c r="AF28" s="449">
        <f t="shared" si="36"/>
        <v>4.899115091637257</v>
      </c>
      <c r="AG28" s="449">
        <f t="shared" si="7"/>
        <v>0.36585881861367253</v>
      </c>
      <c r="AH28" s="449">
        <f t="shared" si="8"/>
        <v>0.40244470047503983</v>
      </c>
      <c r="AI28" s="448"/>
      <c r="AJ28" s="449">
        <f t="shared" si="14"/>
        <v>0.28697942281481476</v>
      </c>
      <c r="AK28" s="450">
        <f t="shared" si="37"/>
        <v>18.653662482962961</v>
      </c>
      <c r="AL28" s="449">
        <f t="shared" si="38"/>
        <v>8.4835376401248936</v>
      </c>
      <c r="AM28" s="451">
        <f>IF(ISERROR(VLOOKUP(C28,Riegos,2,FALSE)),VLOOKUP(C28,Riegos,2,FALSE),VLOOKUP($F$8,Nomen!$A$79:$B$80,2,FALSE)*IF(AND(H28&gt;120,D28&lt;0.45),0,IF(AQ27+AH28&gt;=AK28,MIN(AQ27,$AK$7),0)))</f>
        <v>0</v>
      </c>
      <c r="AN28" s="448">
        <f t="shared" si="15"/>
        <v>0</v>
      </c>
      <c r="AO28" s="448">
        <f t="shared" si="16"/>
        <v>1</v>
      </c>
      <c r="AP28" s="449">
        <f t="shared" si="17"/>
        <v>0.36585881861367253</v>
      </c>
      <c r="AQ28" s="449">
        <f t="shared" si="18"/>
        <v>8.4835376401248936</v>
      </c>
      <c r="AR28" s="449">
        <f t="shared" si="39"/>
        <v>14</v>
      </c>
      <c r="AS28" s="449">
        <f t="shared" si="40"/>
        <v>0.40244470047503983</v>
      </c>
      <c r="AT28" s="449">
        <f t="shared" si="41"/>
        <v>7.7835376401248926</v>
      </c>
      <c r="AU28" s="453">
        <f t="shared" si="19"/>
        <v>0</v>
      </c>
      <c r="AV28" s="145">
        <f t="shared" si="20"/>
        <v>7.3</v>
      </c>
      <c r="AW28" s="178">
        <f t="shared" si="21"/>
        <v>0</v>
      </c>
      <c r="AX28" s="179">
        <f t="shared" si="22"/>
        <v>0</v>
      </c>
      <c r="AY28" s="145" t="str">
        <f t="shared" si="42"/>
        <v/>
      </c>
      <c r="AZ28" s="145">
        <f t="shared" si="23"/>
        <v>0</v>
      </c>
      <c r="BA28" s="145">
        <f t="shared" si="24"/>
        <v>0</v>
      </c>
      <c r="BB28" s="145">
        <f t="shared" si="25"/>
        <v>0</v>
      </c>
      <c r="BC28" s="145">
        <f t="shared" si="26"/>
        <v>0</v>
      </c>
      <c r="BD28" s="145">
        <f t="shared" si="27"/>
        <v>0</v>
      </c>
      <c r="BE28" s="145">
        <f t="shared" si="28"/>
        <v>0</v>
      </c>
      <c r="BF28" s="145" t="str">
        <f t="shared" si="29"/>
        <v/>
      </c>
      <c r="BH28" s="145" t="s">
        <v>523</v>
      </c>
    </row>
    <row r="29" spans="1:60" s="145" customFormat="1">
      <c r="A29" s="567"/>
      <c r="B29" s="116">
        <f t="shared" si="9"/>
        <v>26</v>
      </c>
      <c r="C29" s="69">
        <f t="shared" si="30"/>
        <v>42030</v>
      </c>
      <c r="D29" s="257">
        <f>IF(ISERROR(VLOOKUP($C29,'NDVI real'!$T$8:$U$313,2,FALSE)),VLOOKUP(SWB!C29,'NDVI tipo'!$T$8:$U$193,2),VLOOKUP($C29,'NDVI real'!$T$8:$U$313,2,FALSE))</f>
        <v>0.26080246833333348</v>
      </c>
      <c r="E29" s="170">
        <f t="shared" si="0"/>
        <v>1</v>
      </c>
      <c r="F29" s="170">
        <f t="shared" si="1"/>
        <v>26</v>
      </c>
      <c r="G29" s="170">
        <f t="shared" si="2"/>
        <v>2015</v>
      </c>
      <c r="H29" s="170">
        <f t="shared" si="10"/>
        <v>26</v>
      </c>
      <c r="I29" s="190">
        <f>IF(ISERROR(VLOOKUP($C29,Clima!$U$8:$AH$900,3,FALSE)),VLOOKUP($C29,Clima!$D$8:$R$900,3),VLOOKUP($C29,Clima!$U$8:$AH$900,3,FALSE))</f>
        <v>7.3</v>
      </c>
      <c r="J29" s="191"/>
      <c r="K29" s="170"/>
      <c r="L29" s="192">
        <f>IF(ISERROR(VLOOKUP($C29,Clima!$U$8:$AH$900,14,FALSE)),VLOOKUP($C29,Clima!$D$8:$R$900,14),VLOOKUP($C29,Clima!$U$8:$AH$900,14,FALSE))</f>
        <v>0.9</v>
      </c>
      <c r="M29" s="190"/>
      <c r="N29" s="190"/>
      <c r="O29" s="191"/>
      <c r="P29" s="191">
        <f>IF(ISERROR(VLOOKUP($C29,Clima!$W$8:$AH$350,12,FALSE)),VLOOKUP($C29,Clima!$E$8:$P$350,12),VLOOKUP($C29,Clima!$W$8:$AH$350,12,FALSE))</f>
        <v>0</v>
      </c>
      <c r="Q29" s="170">
        <f t="shared" si="31"/>
        <v>4.4702577567466673</v>
      </c>
      <c r="R29" s="254">
        <f>VLOOKUP(C29,Clima!$V$8:$AH$900,3,FALSE)+R28</f>
        <v>51.70000000000001</v>
      </c>
      <c r="S29" s="455">
        <f t="shared" si="32"/>
        <v>0.27555555440000024</v>
      </c>
      <c r="T29" s="449">
        <f t="shared" si="11"/>
        <v>0.24799999896000022</v>
      </c>
      <c r="U29" s="195"/>
      <c r="V29" s="445">
        <f t="shared" si="3"/>
        <v>1.0227846294533334</v>
      </c>
      <c r="W29" s="446">
        <f t="shared" si="43"/>
        <v>0</v>
      </c>
      <c r="X29" s="447">
        <f t="shared" si="33"/>
        <v>0.15189752968888884</v>
      </c>
      <c r="Y29" s="448">
        <f t="shared" si="12"/>
        <v>1</v>
      </c>
      <c r="Z29" s="449">
        <f t="shared" si="4"/>
        <v>0.84810247031111119</v>
      </c>
      <c r="AA29" s="449">
        <f t="shared" si="34"/>
        <v>4.899115091637257</v>
      </c>
      <c r="AB29" s="451">
        <f t="shared" si="13"/>
        <v>0.11628318406360286</v>
      </c>
      <c r="AC29" s="449">
        <f t="shared" si="5"/>
        <v>8.6890176072102449E-2</v>
      </c>
      <c r="AD29" s="449">
        <f t="shared" si="6"/>
        <v>7.8201158464892201E-2</v>
      </c>
      <c r="AE29" s="448">
        <f t="shared" si="35"/>
        <v>0</v>
      </c>
      <c r="AF29" s="449">
        <f t="shared" si="36"/>
        <v>4.991322296783359</v>
      </c>
      <c r="AG29" s="449">
        <f t="shared" si="7"/>
        <v>0.36244573047210271</v>
      </c>
      <c r="AH29" s="449">
        <f t="shared" si="8"/>
        <v>0.32620115742489247</v>
      </c>
      <c r="AI29" s="448"/>
      <c r="AJ29" s="449">
        <f t="shared" si="14"/>
        <v>0.28697942281481476</v>
      </c>
      <c r="AK29" s="450">
        <f t="shared" si="37"/>
        <v>18.653662482962961</v>
      </c>
      <c r="AL29" s="449">
        <f t="shared" si="38"/>
        <v>8.8097387975497856</v>
      </c>
      <c r="AM29" s="451">
        <f>IF(ISERROR(VLOOKUP(C29,Riegos,2,FALSE)),VLOOKUP(C29,Riegos,2,FALSE),VLOOKUP($F$8,Nomen!$A$79:$B$80,2,FALSE)*IF(AND(H29&gt;120,D29&lt;0.45),0,IF(AQ28+AH29&gt;=AK29,MIN(AQ28,$AK$7),0)))</f>
        <v>0</v>
      </c>
      <c r="AN29" s="448">
        <f t="shared" si="15"/>
        <v>0</v>
      </c>
      <c r="AO29" s="448">
        <f t="shared" si="16"/>
        <v>1</v>
      </c>
      <c r="AP29" s="449">
        <f t="shared" si="17"/>
        <v>0.36244573047210271</v>
      </c>
      <c r="AQ29" s="449">
        <f t="shared" si="18"/>
        <v>8.8097387975497856</v>
      </c>
      <c r="AR29" s="449">
        <f t="shared" si="39"/>
        <v>15</v>
      </c>
      <c r="AS29" s="449">
        <f t="shared" si="40"/>
        <v>0.32620115742489247</v>
      </c>
      <c r="AT29" s="449">
        <f t="shared" si="41"/>
        <v>8.1097387975497846</v>
      </c>
      <c r="AU29" s="453">
        <f t="shared" si="19"/>
        <v>0</v>
      </c>
      <c r="AV29" s="145">
        <f t="shared" si="20"/>
        <v>7.3</v>
      </c>
      <c r="AW29" s="178">
        <f t="shared" si="21"/>
        <v>0</v>
      </c>
      <c r="AX29" s="179">
        <f t="shared" si="22"/>
        <v>0</v>
      </c>
      <c r="AY29" s="145" t="str">
        <f t="shared" si="42"/>
        <v/>
      </c>
      <c r="AZ29" s="145">
        <f t="shared" si="23"/>
        <v>0</v>
      </c>
      <c r="BA29" s="145">
        <f t="shared" si="24"/>
        <v>0</v>
      </c>
      <c r="BB29" s="145">
        <f t="shared" si="25"/>
        <v>0</v>
      </c>
      <c r="BC29" s="145">
        <f t="shared" si="26"/>
        <v>0</v>
      </c>
      <c r="BD29" s="145">
        <f t="shared" si="27"/>
        <v>0</v>
      </c>
      <c r="BE29" s="145">
        <f t="shared" si="28"/>
        <v>0</v>
      </c>
      <c r="BF29" s="145" t="str">
        <f t="shared" si="29"/>
        <v/>
      </c>
    </row>
    <row r="30" spans="1:60" s="145" customFormat="1">
      <c r="A30" s="567"/>
      <c r="B30" s="116">
        <f t="shared" si="9"/>
        <v>27</v>
      </c>
      <c r="C30" s="69">
        <f t="shared" si="30"/>
        <v>42031</v>
      </c>
      <c r="D30" s="257">
        <f>IF(ISERROR(VLOOKUP($C30,'NDVI real'!$T$8:$U$313,2,FALSE)),VLOOKUP(SWB!C30,'NDVI tipo'!$T$8:$U$193,2),VLOOKUP($C30,'NDVI real'!$T$8:$U$313,2,FALSE))</f>
        <v>0.26069444365740757</v>
      </c>
      <c r="E30" s="170">
        <f t="shared" si="0"/>
        <v>1</v>
      </c>
      <c r="F30" s="170">
        <f t="shared" si="1"/>
        <v>27</v>
      </c>
      <c r="G30" s="170">
        <f t="shared" si="2"/>
        <v>2015</v>
      </c>
      <c r="H30" s="170">
        <f t="shared" si="10"/>
        <v>27</v>
      </c>
      <c r="I30" s="190">
        <f>IF(ISERROR(VLOOKUP($C30,Clima!$U$8:$AH$900,3,FALSE)),VLOOKUP($C30,Clima!$D$8:$R$900,3),VLOOKUP($C30,Clima!$U$8:$AH$900,3,FALSE))</f>
        <v>6.4</v>
      </c>
      <c r="J30" s="191"/>
      <c r="K30" s="170"/>
      <c r="L30" s="192">
        <f>IF(ISERROR(VLOOKUP($C30,Clima!$U$8:$AH$900,14,FALSE)),VLOOKUP($C30,Clima!$D$8:$R$900,14),VLOOKUP($C30,Clima!$U$8:$AH$900,14,FALSE))</f>
        <v>0.9</v>
      </c>
      <c r="M30" s="190"/>
      <c r="N30" s="190"/>
      <c r="O30" s="191"/>
      <c r="P30" s="191">
        <f>IF(ISERROR(VLOOKUP($C30,Clima!$W$8:$AH$350,12,FALSE)),VLOOKUP($C30,Clima!$E$8:$P$350,12),VLOOKUP($C30,Clima!$W$8:$AH$350,12,FALSE))</f>
        <v>0</v>
      </c>
      <c r="Q30" s="170">
        <f t="shared" si="31"/>
        <v>4.7181177557266674</v>
      </c>
      <c r="R30" s="254">
        <f>VLOOKUP(C30,Clima!$V$8:$AH$900,3,FALSE)+R29</f>
        <v>56.800000000000011</v>
      </c>
      <c r="S30" s="455">
        <f t="shared" si="32"/>
        <v>0.27539999886666688</v>
      </c>
      <c r="T30" s="449">
        <f t="shared" si="11"/>
        <v>0.24785999898000019</v>
      </c>
      <c r="U30" s="195"/>
      <c r="V30" s="445">
        <f t="shared" si="3"/>
        <v>1.0227846294533334</v>
      </c>
      <c r="W30" s="446">
        <f t="shared" si="43"/>
        <v>0</v>
      </c>
      <c r="X30" s="447">
        <f t="shared" si="33"/>
        <v>0.15189752968888884</v>
      </c>
      <c r="Y30" s="448">
        <f t="shared" si="12"/>
        <v>1</v>
      </c>
      <c r="Z30" s="449">
        <f t="shared" si="4"/>
        <v>0.84810247031111119</v>
      </c>
      <c r="AA30" s="449">
        <f t="shared" si="34"/>
        <v>4.991322296783359</v>
      </c>
      <c r="AB30" s="451">
        <f t="shared" si="13"/>
        <v>0.11282541387062403</v>
      </c>
      <c r="AC30" s="449">
        <f t="shared" si="5"/>
        <v>8.4323980266484092E-2</v>
      </c>
      <c r="AD30" s="449">
        <f t="shared" si="6"/>
        <v>7.5891582239835678E-2</v>
      </c>
      <c r="AE30" s="448">
        <f t="shared" si="35"/>
        <v>0</v>
      </c>
      <c r="AF30" s="449">
        <f t="shared" si="36"/>
        <v>5.0808062741286868</v>
      </c>
      <c r="AG30" s="449">
        <f t="shared" si="7"/>
        <v>0.35972397913315096</v>
      </c>
      <c r="AH30" s="449">
        <f t="shared" si="8"/>
        <v>0.32375158121983588</v>
      </c>
      <c r="AI30" s="448"/>
      <c r="AJ30" s="449">
        <f t="shared" si="14"/>
        <v>0.28697942281481476</v>
      </c>
      <c r="AK30" s="450">
        <f t="shared" si="37"/>
        <v>18.653662482962961</v>
      </c>
      <c r="AL30" s="449">
        <f t="shared" si="38"/>
        <v>9.133490378769622</v>
      </c>
      <c r="AM30" s="451">
        <f>IF(ISERROR(VLOOKUP(C30,Riegos,2,FALSE)),VLOOKUP(C30,Riegos,2,FALSE),VLOOKUP($F$8,Nomen!$A$79:$B$80,2,FALSE)*IF(AND(H30&gt;120,D30&lt;0.45),0,IF(AQ29+AH30&gt;=AK30,MIN(AQ29,$AK$7),0)))</f>
        <v>0</v>
      </c>
      <c r="AN30" s="448">
        <f t="shared" si="15"/>
        <v>0</v>
      </c>
      <c r="AO30" s="448">
        <f t="shared" si="16"/>
        <v>1</v>
      </c>
      <c r="AP30" s="449">
        <f t="shared" si="17"/>
        <v>0.35972397913315096</v>
      </c>
      <c r="AQ30" s="449">
        <f t="shared" si="18"/>
        <v>9.133490378769622</v>
      </c>
      <c r="AR30" s="449">
        <f t="shared" si="39"/>
        <v>16</v>
      </c>
      <c r="AS30" s="449">
        <f t="shared" si="40"/>
        <v>0.32375158121983588</v>
      </c>
      <c r="AT30" s="449">
        <f t="shared" si="41"/>
        <v>8.4334903787696209</v>
      </c>
      <c r="AU30" s="453">
        <f t="shared" si="19"/>
        <v>0</v>
      </c>
      <c r="AV30" s="145">
        <f t="shared" si="20"/>
        <v>7.3</v>
      </c>
      <c r="AW30" s="178">
        <f t="shared" si="21"/>
        <v>0</v>
      </c>
      <c r="AX30" s="179">
        <f t="shared" si="22"/>
        <v>0</v>
      </c>
      <c r="AY30" s="145" t="str">
        <f t="shared" si="42"/>
        <v/>
      </c>
      <c r="AZ30" s="145">
        <f t="shared" si="23"/>
        <v>0</v>
      </c>
      <c r="BA30" s="145">
        <f t="shared" si="24"/>
        <v>0</v>
      </c>
      <c r="BB30" s="145">
        <f t="shared" si="25"/>
        <v>0</v>
      </c>
      <c r="BC30" s="145">
        <f t="shared" si="26"/>
        <v>0</v>
      </c>
      <c r="BD30" s="145">
        <f t="shared" si="27"/>
        <v>0</v>
      </c>
      <c r="BE30" s="145">
        <f t="shared" si="28"/>
        <v>0</v>
      </c>
      <c r="BF30" s="145" t="str">
        <f t="shared" si="29"/>
        <v/>
      </c>
    </row>
    <row r="31" spans="1:60" s="145" customFormat="1">
      <c r="A31" s="567"/>
      <c r="B31" s="116">
        <f t="shared" si="9"/>
        <v>28</v>
      </c>
      <c r="C31" s="69">
        <f t="shared" si="30"/>
        <v>42032</v>
      </c>
      <c r="D31" s="257">
        <f>IF(ISERROR(VLOOKUP($C31,'NDVI real'!$T$8:$U$313,2,FALSE)),VLOOKUP(SWB!C31,'NDVI tipo'!$T$8:$U$193,2),VLOOKUP($C31,'NDVI real'!$T$8:$U$313,2,FALSE))</f>
        <v>0.26058641898148166</v>
      </c>
      <c r="E31" s="170">
        <f t="shared" si="0"/>
        <v>1</v>
      </c>
      <c r="F31" s="170">
        <f t="shared" si="1"/>
        <v>28</v>
      </c>
      <c r="G31" s="170">
        <f t="shared" si="2"/>
        <v>2015</v>
      </c>
      <c r="H31" s="170">
        <f t="shared" si="10"/>
        <v>28</v>
      </c>
      <c r="I31" s="190">
        <f>IF(ISERROR(VLOOKUP($C31,Clima!$U$8:$AH$900,3,FALSE)),VLOOKUP($C31,Clima!$D$8:$R$900,3),VLOOKUP($C31,Clima!$U$8:$AH$900,3,FALSE))</f>
        <v>6.4</v>
      </c>
      <c r="J31" s="191"/>
      <c r="K31" s="170"/>
      <c r="L31" s="192">
        <f>IF(ISERROR(VLOOKUP($C31,Clima!$U$8:$AH$900,14,FALSE)),VLOOKUP($C31,Clima!$D$8:$R$900,14),VLOOKUP($C31,Clima!$U$8:$AH$900,14,FALSE))</f>
        <v>1</v>
      </c>
      <c r="M31" s="190"/>
      <c r="N31" s="190"/>
      <c r="O31" s="191"/>
      <c r="P31" s="191">
        <f>IF(ISERROR(VLOOKUP($C31,Clima!$W$8:$AH$350,12,FALSE)),VLOOKUP($C31,Clima!$E$8:$P$350,12),VLOOKUP($C31,Clima!$W$8:$AH$350,12,FALSE))</f>
        <v>0</v>
      </c>
      <c r="Q31" s="170">
        <f t="shared" si="31"/>
        <v>4.9933621990600008</v>
      </c>
      <c r="R31" s="254">
        <f>VLOOKUP(C31,Clima!$V$8:$AH$900,3,FALSE)+R30</f>
        <v>61.800000000000011</v>
      </c>
      <c r="S31" s="455">
        <f t="shared" si="32"/>
        <v>0.27524444333333353</v>
      </c>
      <c r="T31" s="449">
        <f t="shared" si="11"/>
        <v>0.27524444333333353</v>
      </c>
      <c r="U31" s="195"/>
      <c r="V31" s="445">
        <f t="shared" si="3"/>
        <v>1.0227846294533334</v>
      </c>
      <c r="W31" s="446">
        <f t="shared" si="43"/>
        <v>0</v>
      </c>
      <c r="X31" s="447">
        <f t="shared" si="33"/>
        <v>0.15189752968888884</v>
      </c>
      <c r="Y31" s="448">
        <f t="shared" si="12"/>
        <v>1</v>
      </c>
      <c r="Z31" s="449">
        <f t="shared" si="4"/>
        <v>0.84810247031111119</v>
      </c>
      <c r="AA31" s="449">
        <f t="shared" si="34"/>
        <v>5.0808062741286868</v>
      </c>
      <c r="AB31" s="451">
        <f t="shared" si="13"/>
        <v>0.10946976472017424</v>
      </c>
      <c r="AC31" s="449">
        <f t="shared" si="5"/>
        <v>8.1833048293431646E-2</v>
      </c>
      <c r="AD31" s="449">
        <f t="shared" si="6"/>
        <v>8.1833048293431646E-2</v>
      </c>
      <c r="AE31" s="448">
        <f t="shared" si="35"/>
        <v>0</v>
      </c>
      <c r="AF31" s="449">
        <f t="shared" si="36"/>
        <v>5.1772958507519133</v>
      </c>
      <c r="AG31" s="449">
        <f t="shared" si="7"/>
        <v>0.35707749162676516</v>
      </c>
      <c r="AH31" s="449">
        <f t="shared" si="8"/>
        <v>0.35707749162676516</v>
      </c>
      <c r="AI31" s="448"/>
      <c r="AJ31" s="449">
        <f t="shared" si="14"/>
        <v>0.28697942281481476</v>
      </c>
      <c r="AK31" s="450">
        <f t="shared" si="37"/>
        <v>18.653662482962961</v>
      </c>
      <c r="AL31" s="449">
        <f t="shared" si="38"/>
        <v>9.4905678703963865</v>
      </c>
      <c r="AM31" s="451">
        <f>IF(ISERROR(VLOOKUP(C31,Riegos,2,FALSE)),VLOOKUP(C31,Riegos,2,FALSE),VLOOKUP($F$8,Nomen!$A$79:$B$80,2,FALSE)*IF(AND(H31&gt;120,D31&lt;0.45),0,IF(AQ30+AH31&gt;=AK31,MIN(AQ30,$AK$7),0)))</f>
        <v>0</v>
      </c>
      <c r="AN31" s="448">
        <f t="shared" si="15"/>
        <v>0</v>
      </c>
      <c r="AO31" s="448">
        <f t="shared" si="16"/>
        <v>1</v>
      </c>
      <c r="AP31" s="449">
        <f t="shared" si="17"/>
        <v>0.35707749162676516</v>
      </c>
      <c r="AQ31" s="449">
        <f t="shared" si="18"/>
        <v>9.4905678703963865</v>
      </c>
      <c r="AR31" s="449">
        <f t="shared" si="39"/>
        <v>17</v>
      </c>
      <c r="AS31" s="449">
        <f t="shared" si="40"/>
        <v>0.35707749162676516</v>
      </c>
      <c r="AT31" s="449">
        <f t="shared" si="41"/>
        <v>8.7905678703963854</v>
      </c>
      <c r="AU31" s="453">
        <f t="shared" si="19"/>
        <v>0</v>
      </c>
      <c r="AV31" s="145">
        <f t="shared" si="20"/>
        <v>7.3</v>
      </c>
      <c r="AW31" s="178">
        <f t="shared" si="21"/>
        <v>0</v>
      </c>
      <c r="AX31" s="179">
        <f t="shared" si="22"/>
        <v>0</v>
      </c>
      <c r="AY31" s="145" t="str">
        <f t="shared" si="42"/>
        <v/>
      </c>
      <c r="AZ31" s="145">
        <f t="shared" si="23"/>
        <v>0</v>
      </c>
      <c r="BA31" s="145">
        <f t="shared" si="24"/>
        <v>0</v>
      </c>
      <c r="BB31" s="145">
        <f t="shared" si="25"/>
        <v>0</v>
      </c>
      <c r="BC31" s="145">
        <f t="shared" si="26"/>
        <v>0</v>
      </c>
      <c r="BD31" s="145">
        <f t="shared" si="27"/>
        <v>0</v>
      </c>
      <c r="BE31" s="145">
        <f t="shared" si="28"/>
        <v>0</v>
      </c>
      <c r="BF31" s="145" t="str">
        <f t="shared" si="29"/>
        <v/>
      </c>
    </row>
    <row r="32" spans="1:60" s="145" customFormat="1" ht="18" customHeight="1">
      <c r="A32" s="567"/>
      <c r="B32" s="116">
        <f t="shared" si="9"/>
        <v>29</v>
      </c>
      <c r="C32" s="69">
        <f t="shared" si="30"/>
        <v>42033</v>
      </c>
      <c r="D32" s="257">
        <f>IF(ISERROR(VLOOKUP($C32,'NDVI real'!$T$8:$U$313,2,FALSE)),VLOOKUP(SWB!C32,'NDVI tipo'!$T$8:$U$193,2),VLOOKUP($C32,'NDVI real'!$T$8:$U$313,2,FALSE))</f>
        <v>0.26047839430555575</v>
      </c>
      <c r="E32" s="170">
        <f t="shared" si="0"/>
        <v>1</v>
      </c>
      <c r="F32" s="170">
        <f t="shared" si="1"/>
        <v>29</v>
      </c>
      <c r="G32" s="170">
        <f t="shared" si="2"/>
        <v>2015</v>
      </c>
      <c r="H32" s="170">
        <f t="shared" si="10"/>
        <v>29</v>
      </c>
      <c r="I32" s="190">
        <f>IF(ISERROR(VLOOKUP($C32,Clima!$U$8:$AH$900,3,FALSE)),VLOOKUP($C32,Clima!$D$8:$R$900,3),VLOOKUP($C32,Clima!$U$8:$AH$900,3,FALSE))</f>
        <v>7.4</v>
      </c>
      <c r="J32" s="191"/>
      <c r="K32" s="170"/>
      <c r="L32" s="192">
        <f>IF(ISERROR(VLOOKUP($C32,Clima!$U$8:$AH$900,14,FALSE)),VLOOKUP($C32,Clima!$D$8:$R$900,14),VLOOKUP($C32,Clima!$U$8:$AH$900,14,FALSE))</f>
        <v>0.7</v>
      </c>
      <c r="M32" s="190"/>
      <c r="N32" s="190"/>
      <c r="O32" s="191"/>
      <c r="P32" s="191">
        <f>IF(ISERROR(VLOOKUP($C32,Clima!$W$8:$AH$350,12,FALSE)),VLOOKUP($C32,Clima!$E$8:$P$350,12),VLOOKUP($C32,Clima!$W$8:$AH$350,12,FALSE))</f>
        <v>0</v>
      </c>
      <c r="Q32" s="170">
        <f t="shared" si="31"/>
        <v>5.185924420520001</v>
      </c>
      <c r="R32" s="254">
        <f>VLOOKUP(C32,Clima!$V$8:$AH$900,3,FALSE)+R31</f>
        <v>68.100000000000009</v>
      </c>
      <c r="S32" s="455">
        <f t="shared" si="32"/>
        <v>0.27508888780000029</v>
      </c>
      <c r="T32" s="449">
        <f t="shared" si="11"/>
        <v>0.19256222146000018</v>
      </c>
      <c r="U32" s="195"/>
      <c r="V32" s="445">
        <f t="shared" si="3"/>
        <v>1.0227846294533334</v>
      </c>
      <c r="W32" s="446">
        <f t="shared" si="43"/>
        <v>0</v>
      </c>
      <c r="X32" s="447">
        <f t="shared" si="33"/>
        <v>0.15189752968888884</v>
      </c>
      <c r="Y32" s="448">
        <f t="shared" si="12"/>
        <v>1</v>
      </c>
      <c r="Z32" s="449">
        <f t="shared" si="4"/>
        <v>0.84810247031111119</v>
      </c>
      <c r="AA32" s="449">
        <f t="shared" si="34"/>
        <v>5.1772958507519133</v>
      </c>
      <c r="AB32" s="451">
        <f t="shared" si="13"/>
        <v>0.10585140559680324</v>
      </c>
      <c r="AC32" s="449">
        <f t="shared" si="5"/>
        <v>7.9144645212749568E-2</v>
      </c>
      <c r="AD32" s="449">
        <f t="shared" si="6"/>
        <v>5.540125164892469E-2</v>
      </c>
      <c r="AE32" s="448">
        <f t="shared" si="35"/>
        <v>0</v>
      </c>
      <c r="AF32" s="449">
        <f t="shared" si="36"/>
        <v>5.2426196218624979</v>
      </c>
      <c r="AG32" s="449">
        <f t="shared" si="7"/>
        <v>0.35423353301274985</v>
      </c>
      <c r="AH32" s="449">
        <f t="shared" si="8"/>
        <v>0.24796347310892489</v>
      </c>
      <c r="AI32" s="448"/>
      <c r="AJ32" s="449">
        <f t="shared" si="14"/>
        <v>0.28697942281481476</v>
      </c>
      <c r="AK32" s="450">
        <f t="shared" si="37"/>
        <v>18.653662482962961</v>
      </c>
      <c r="AL32" s="449">
        <f t="shared" si="38"/>
        <v>9.7385313435053114</v>
      </c>
      <c r="AM32" s="451">
        <f>IF(ISERROR(VLOOKUP(C32,Riegos,2,FALSE)),VLOOKUP(C32,Riegos,2,FALSE),VLOOKUP($F$8,Nomen!$A$79:$B$80,2,FALSE)*IF(AND(H32&gt;120,D32&lt;0.45),0,IF(AQ31+AH32&gt;=AK32,MIN(AQ31,$AK$7),0)))</f>
        <v>0</v>
      </c>
      <c r="AN32" s="448">
        <f t="shared" si="15"/>
        <v>0</v>
      </c>
      <c r="AO32" s="448">
        <f t="shared" si="16"/>
        <v>1</v>
      </c>
      <c r="AP32" s="449">
        <f t="shared" si="17"/>
        <v>0.35423353301274985</v>
      </c>
      <c r="AQ32" s="449">
        <f t="shared" si="18"/>
        <v>9.7385313435053114</v>
      </c>
      <c r="AR32" s="449">
        <f t="shared" si="39"/>
        <v>18</v>
      </c>
      <c r="AS32" s="449">
        <f t="shared" si="40"/>
        <v>0.24796347310892489</v>
      </c>
      <c r="AT32" s="449">
        <f t="shared" si="41"/>
        <v>9.0385313435053103</v>
      </c>
      <c r="AU32" s="453">
        <f t="shared" si="19"/>
        <v>0</v>
      </c>
      <c r="AV32" s="145">
        <f t="shared" si="20"/>
        <v>7.3</v>
      </c>
      <c r="AW32" s="178">
        <f t="shared" si="21"/>
        <v>0</v>
      </c>
      <c r="AX32" s="179">
        <f t="shared" si="22"/>
        <v>0</v>
      </c>
      <c r="AY32" s="145" t="str">
        <f t="shared" si="42"/>
        <v/>
      </c>
      <c r="AZ32" s="145">
        <f t="shared" si="23"/>
        <v>0</v>
      </c>
      <c r="BA32" s="145">
        <f t="shared" si="24"/>
        <v>0</v>
      </c>
      <c r="BB32" s="145">
        <f t="shared" si="25"/>
        <v>0</v>
      </c>
      <c r="BC32" s="145">
        <f t="shared" si="26"/>
        <v>0</v>
      </c>
      <c r="BD32" s="145">
        <f t="shared" si="27"/>
        <v>0</v>
      </c>
      <c r="BE32" s="145">
        <f t="shared" si="28"/>
        <v>0</v>
      </c>
      <c r="BF32" s="145" t="str">
        <f t="shared" si="29"/>
        <v/>
      </c>
    </row>
    <row r="33" spans="1:60" s="145" customFormat="1" ht="15.75" customHeight="1">
      <c r="A33" s="567"/>
      <c r="B33" s="116">
        <f t="shared" si="9"/>
        <v>30</v>
      </c>
      <c r="C33" s="69">
        <f t="shared" si="30"/>
        <v>42034</v>
      </c>
      <c r="D33" s="257">
        <f>IF(ISERROR(VLOOKUP($C33,'NDVI real'!$T$8:$U$313,2,FALSE)),VLOOKUP(SWB!C33,'NDVI tipo'!$T$8:$U$193,2),VLOOKUP($C33,'NDVI real'!$T$8:$U$313,2,FALSE))</f>
        <v>0.26037036962962984</v>
      </c>
      <c r="E33" s="170">
        <f t="shared" si="0"/>
        <v>1</v>
      </c>
      <c r="F33" s="170">
        <f t="shared" si="1"/>
        <v>30</v>
      </c>
      <c r="G33" s="170">
        <f t="shared" si="2"/>
        <v>2015</v>
      </c>
      <c r="H33" s="170">
        <f t="shared" si="10"/>
        <v>30</v>
      </c>
      <c r="I33" s="190">
        <f>IF(ISERROR(VLOOKUP($C33,Clima!$U$8:$AH$900,3,FALSE)),VLOOKUP($C33,Clima!$D$8:$R$900,3),VLOOKUP($C33,Clima!$U$8:$AH$900,3,FALSE))</f>
        <v>6.1</v>
      </c>
      <c r="J33" s="191"/>
      <c r="K33" s="170"/>
      <c r="L33" s="192">
        <f>IF(ISERROR(VLOOKUP($C33,Clima!$U$8:$AH$900,14,FALSE)),VLOOKUP($C33,Clima!$D$8:$R$900,14),VLOOKUP($C33,Clima!$U$8:$AH$900,14,FALSE))</f>
        <v>1</v>
      </c>
      <c r="M33" s="190"/>
      <c r="N33" s="190"/>
      <c r="O33" s="191"/>
      <c r="P33" s="191">
        <f>IF(ISERROR(VLOOKUP($C33,Clima!$W$8:$AH$350,12,FALSE)),VLOOKUP($C33,Clima!$E$8:$P$350,12),VLOOKUP($C33,Clima!$W$8:$AH$350,12,FALSE))</f>
        <v>0.2</v>
      </c>
      <c r="Q33" s="170">
        <f t="shared" si="31"/>
        <v>5.4608577527866675</v>
      </c>
      <c r="R33" s="254">
        <f>VLOOKUP(C33,Clima!$V$8:$AH$900,3,FALSE)+R32</f>
        <v>80.000000000000014</v>
      </c>
      <c r="S33" s="455">
        <f t="shared" si="32"/>
        <v>0.27493333226666694</v>
      </c>
      <c r="T33" s="449">
        <f t="shared" si="11"/>
        <v>0.27493333226666694</v>
      </c>
      <c r="U33" s="195"/>
      <c r="V33" s="445">
        <f t="shared" si="3"/>
        <v>1.0227846294533334</v>
      </c>
      <c r="W33" s="446">
        <f t="shared" si="43"/>
        <v>0</v>
      </c>
      <c r="X33" s="447">
        <f t="shared" si="33"/>
        <v>0.15189752968888884</v>
      </c>
      <c r="Y33" s="448">
        <f t="shared" si="12"/>
        <v>1</v>
      </c>
      <c r="Z33" s="449">
        <f t="shared" si="4"/>
        <v>0.84810247031111119</v>
      </c>
      <c r="AA33" s="449">
        <f t="shared" si="34"/>
        <v>5.0426196218624977</v>
      </c>
      <c r="AB33" s="451">
        <f t="shared" si="13"/>
        <v>0.11090176418015633</v>
      </c>
      <c r="AC33" s="449">
        <f t="shared" si="5"/>
        <v>8.2938028202419689E-2</v>
      </c>
      <c r="AD33" s="449">
        <f t="shared" si="6"/>
        <v>8.2938028202419689E-2</v>
      </c>
      <c r="AE33" s="448">
        <f t="shared" si="35"/>
        <v>0</v>
      </c>
      <c r="AF33" s="449">
        <f t="shared" si="36"/>
        <v>5.140412083393703</v>
      </c>
      <c r="AG33" s="449">
        <f t="shared" si="7"/>
        <v>0.35787136046908663</v>
      </c>
      <c r="AH33" s="449">
        <f t="shared" si="8"/>
        <v>0.35787136046908663</v>
      </c>
      <c r="AI33" s="448"/>
      <c r="AJ33" s="449">
        <f t="shared" si="14"/>
        <v>0.28697942281481476</v>
      </c>
      <c r="AK33" s="450">
        <f t="shared" si="37"/>
        <v>18.653662482962961</v>
      </c>
      <c r="AL33" s="449">
        <f t="shared" si="38"/>
        <v>9.8964027039743989</v>
      </c>
      <c r="AM33" s="451">
        <f>IF(ISERROR(VLOOKUP(C33,Riegos,2,FALSE)),VLOOKUP(C33,Riegos,2,FALSE),VLOOKUP($F$8,Nomen!$A$79:$B$80,2,FALSE)*IF(AND(H33&gt;120,D33&lt;0.45),0,IF(AQ32+AH33&gt;=AK33,MIN(AQ32,$AK$7),0)))</f>
        <v>0</v>
      </c>
      <c r="AN33" s="448">
        <f t="shared" si="15"/>
        <v>0</v>
      </c>
      <c r="AO33" s="448">
        <f t="shared" si="16"/>
        <v>1</v>
      </c>
      <c r="AP33" s="449">
        <f t="shared" si="17"/>
        <v>0.35787136046908663</v>
      </c>
      <c r="AQ33" s="449">
        <f t="shared" si="18"/>
        <v>9.8964027039743989</v>
      </c>
      <c r="AR33" s="449">
        <f t="shared" si="39"/>
        <v>19</v>
      </c>
      <c r="AS33" s="449">
        <f t="shared" si="40"/>
        <v>0.35787136046908663</v>
      </c>
      <c r="AT33" s="449">
        <f t="shared" si="41"/>
        <v>9.3964027039743971</v>
      </c>
      <c r="AU33" s="453">
        <f t="shared" si="19"/>
        <v>0</v>
      </c>
      <c r="AV33" s="145">
        <f t="shared" si="20"/>
        <v>7.5</v>
      </c>
      <c r="AW33" s="178">
        <f t="shared" si="21"/>
        <v>0</v>
      </c>
      <c r="AX33" s="179">
        <f t="shared" si="22"/>
        <v>0</v>
      </c>
      <c r="AY33" s="145" t="str">
        <f t="shared" si="42"/>
        <v/>
      </c>
      <c r="AZ33" s="145">
        <f t="shared" si="23"/>
        <v>0</v>
      </c>
      <c r="BA33" s="145">
        <f t="shared" si="24"/>
        <v>0</v>
      </c>
      <c r="BB33" s="145">
        <f t="shared" si="25"/>
        <v>0</v>
      </c>
      <c r="BC33" s="145">
        <f t="shared" si="26"/>
        <v>0</v>
      </c>
      <c r="BD33" s="145">
        <f t="shared" si="27"/>
        <v>0</v>
      </c>
      <c r="BE33" s="145">
        <f t="shared" si="28"/>
        <v>0</v>
      </c>
      <c r="BF33" s="145" t="str">
        <f t="shared" si="29"/>
        <v/>
      </c>
    </row>
    <row r="34" spans="1:60" s="145" customFormat="1">
      <c r="A34" s="567"/>
      <c r="B34" s="116">
        <f t="shared" si="9"/>
        <v>31</v>
      </c>
      <c r="C34" s="69">
        <f t="shared" si="30"/>
        <v>42035</v>
      </c>
      <c r="D34" s="257">
        <f>IF(ISERROR(VLOOKUP($C34,'NDVI real'!$T$8:$U$313,2,FALSE)),VLOOKUP(SWB!C34,'NDVI tipo'!$T$8:$U$193,2),VLOOKUP($C34,'NDVI real'!$T$8:$U$313,2,FALSE))</f>
        <v>0.26026234495370393</v>
      </c>
      <c r="E34" s="170">
        <f t="shared" si="0"/>
        <v>1</v>
      </c>
      <c r="F34" s="170">
        <f t="shared" si="1"/>
        <v>31</v>
      </c>
      <c r="G34" s="170">
        <f t="shared" si="2"/>
        <v>2015</v>
      </c>
      <c r="H34" s="170">
        <f t="shared" si="10"/>
        <v>31</v>
      </c>
      <c r="I34" s="190">
        <f>IF(ISERROR(VLOOKUP($C34,Clima!$U$8:$AH$900,3,FALSE)),VLOOKUP($C34,Clima!$D$8:$R$900,3),VLOOKUP($C34,Clima!$U$8:$AH$900,3,FALSE))</f>
        <v>7.4</v>
      </c>
      <c r="J34" s="191"/>
      <c r="K34" s="170"/>
      <c r="L34" s="192">
        <f>IF(ISERROR(VLOOKUP($C34,Clima!$U$8:$AH$900,14,FALSE)),VLOOKUP($C34,Clima!$D$8:$R$900,14),VLOOKUP($C34,Clima!$U$8:$AH$900,14,FALSE))</f>
        <v>1.5</v>
      </c>
      <c r="M34" s="190"/>
      <c r="N34" s="190"/>
      <c r="O34" s="191"/>
      <c r="P34" s="191">
        <f>IF(ISERROR(VLOOKUP($C34,Clima!$W$8:$AH$350,12,FALSE)),VLOOKUP($C34,Clima!$E$8:$P$350,12),VLOOKUP($C34,Clima!$W$8:$AH$350,12,FALSE))</f>
        <v>11.2</v>
      </c>
      <c r="Q34" s="170">
        <f t="shared" si="31"/>
        <v>5.8730244178866675</v>
      </c>
      <c r="R34" s="254">
        <f>VLOOKUP(C34,Clima!$V$8:$AH$900,3,FALSE)+R33</f>
        <v>87.300000000000011</v>
      </c>
      <c r="S34" s="455">
        <f t="shared" si="32"/>
        <v>0.27477777673333359</v>
      </c>
      <c r="T34" s="449">
        <f t="shared" si="11"/>
        <v>0.41216666510000038</v>
      </c>
      <c r="U34" s="195"/>
      <c r="V34" s="445">
        <f t="shared" si="3"/>
        <v>1.0227846294533334</v>
      </c>
      <c r="W34" s="446">
        <f t="shared" si="43"/>
        <v>0</v>
      </c>
      <c r="X34" s="447">
        <f t="shared" si="33"/>
        <v>0.15189752968888884</v>
      </c>
      <c r="Y34" s="448">
        <f t="shared" si="12"/>
        <v>1</v>
      </c>
      <c r="Z34" s="449">
        <f t="shared" si="4"/>
        <v>0.84810247031111119</v>
      </c>
      <c r="AA34" s="449">
        <f t="shared" si="34"/>
        <v>0</v>
      </c>
      <c r="AB34" s="451">
        <f t="shared" si="13"/>
        <v>1</v>
      </c>
      <c r="AC34" s="449">
        <f t="shared" si="5"/>
        <v>0.74800685271999978</v>
      </c>
      <c r="AD34" s="449">
        <f t="shared" si="6"/>
        <v>1.1220102790799997</v>
      </c>
      <c r="AE34" s="448">
        <f t="shared" si="35"/>
        <v>6.0595879166062963</v>
      </c>
      <c r="AF34" s="449">
        <f t="shared" si="36"/>
        <v>1.3229654650910403</v>
      </c>
      <c r="AG34" s="449">
        <f t="shared" si="7"/>
        <v>1.0227846294533334</v>
      </c>
      <c r="AH34" s="449">
        <f t="shared" si="8"/>
        <v>1.5341769441799999</v>
      </c>
      <c r="AI34" s="448"/>
      <c r="AJ34" s="449">
        <f t="shared" si="14"/>
        <v>0.28697942281481476</v>
      </c>
      <c r="AK34" s="450">
        <f t="shared" si="37"/>
        <v>18.653662482962961</v>
      </c>
      <c r="AL34" s="449">
        <f t="shared" si="38"/>
        <v>0.23057964815439957</v>
      </c>
      <c r="AM34" s="451">
        <f>IF(ISERROR(VLOOKUP(C34,Riegos,2,FALSE)),VLOOKUP(C34,Riegos,2,FALSE),VLOOKUP($F$8,Nomen!$A$79:$B$80,2,FALSE)*IF(AND(H34&gt;120,D34&lt;0.45),0,IF(AQ33+AH34&gt;=AK34,MIN(AQ33,$AK$7),0)))</f>
        <v>0</v>
      </c>
      <c r="AN34" s="448">
        <f t="shared" si="15"/>
        <v>0</v>
      </c>
      <c r="AO34" s="448">
        <f t="shared" si="16"/>
        <v>1</v>
      </c>
      <c r="AP34" s="449">
        <f t="shared" si="17"/>
        <v>1.0227846294533334</v>
      </c>
      <c r="AQ34" s="449">
        <f t="shared" si="18"/>
        <v>0.23057964815439957</v>
      </c>
      <c r="AR34" s="449">
        <f t="shared" si="39"/>
        <v>20</v>
      </c>
      <c r="AS34" s="449">
        <f t="shared" si="40"/>
        <v>1.5341769441799999</v>
      </c>
      <c r="AT34" s="449">
        <f t="shared" si="41"/>
        <v>10.930579648154398</v>
      </c>
      <c r="AU34" s="453">
        <f t="shared" si="19"/>
        <v>0</v>
      </c>
      <c r="AV34" s="145">
        <f t="shared" si="20"/>
        <v>18.7</v>
      </c>
      <c r="AW34" s="178">
        <f t="shared" si="21"/>
        <v>0</v>
      </c>
      <c r="AX34" s="179">
        <f t="shared" si="22"/>
        <v>0</v>
      </c>
      <c r="AY34" s="145" t="str">
        <f t="shared" si="42"/>
        <v/>
      </c>
      <c r="AZ34" s="145">
        <f t="shared" si="23"/>
        <v>0</v>
      </c>
      <c r="BA34" s="145">
        <f t="shared" si="24"/>
        <v>0</v>
      </c>
      <c r="BB34" s="145">
        <f t="shared" si="25"/>
        <v>0</v>
      </c>
      <c r="BC34" s="145">
        <f t="shared" si="26"/>
        <v>0</v>
      </c>
      <c r="BD34" s="145">
        <f t="shared" si="27"/>
        <v>0</v>
      </c>
      <c r="BE34" s="145">
        <f t="shared" si="28"/>
        <v>0</v>
      </c>
      <c r="BF34" s="145" t="str">
        <f t="shared" si="29"/>
        <v/>
      </c>
    </row>
    <row r="35" spans="1:60" s="145" customFormat="1">
      <c r="A35" s="567"/>
      <c r="B35" s="116">
        <f t="shared" si="9"/>
        <v>32</v>
      </c>
      <c r="C35" s="69">
        <f t="shared" si="30"/>
        <v>42036</v>
      </c>
      <c r="D35" s="257">
        <f>IF(ISERROR(VLOOKUP($C35,'NDVI real'!$T$8:$U$313,2,FALSE)),VLOOKUP(SWB!C35,'NDVI tipo'!$T$8:$U$193,2),VLOOKUP($C35,'NDVI real'!$T$8:$U$313,2,FALSE))</f>
        <v>0.26015432027777802</v>
      </c>
      <c r="E35" s="170">
        <f t="shared" si="0"/>
        <v>2</v>
      </c>
      <c r="F35" s="170">
        <f t="shared" si="1"/>
        <v>1</v>
      </c>
      <c r="G35" s="170">
        <f t="shared" si="2"/>
        <v>2015</v>
      </c>
      <c r="H35" s="170">
        <f t="shared" si="10"/>
        <v>32</v>
      </c>
      <c r="I35" s="190">
        <f>IF(ISERROR(VLOOKUP($C35,Clima!$U$8:$AH$900,3,FALSE)),VLOOKUP($C35,Clima!$D$8:$R$900,3),VLOOKUP($C35,Clima!$U$8:$AH$900,3,FALSE))</f>
        <v>7.4</v>
      </c>
      <c r="J35" s="191"/>
      <c r="K35" s="170"/>
      <c r="L35" s="192">
        <f>IF(ISERROR(VLOOKUP($C35,Clima!$U$8:$AH$900,14,FALSE)),VLOOKUP($C35,Clima!$D$8:$R$900,14),VLOOKUP($C35,Clima!$U$8:$AH$900,14,FALSE))</f>
        <v>1.5</v>
      </c>
      <c r="M35" s="190"/>
      <c r="N35" s="190"/>
      <c r="O35" s="191"/>
      <c r="P35" s="191">
        <f>IF(ISERROR(VLOOKUP($C35,Clima!$W$8:$AH$350,12,FALSE)),VLOOKUP($C35,Clima!$E$8:$P$350,12),VLOOKUP($C35,Clima!$W$8:$AH$350,12,FALSE))</f>
        <v>0</v>
      </c>
      <c r="Q35" s="170">
        <f t="shared" si="31"/>
        <v>6.2849577496866678</v>
      </c>
      <c r="R35" s="254">
        <f>VLOOKUP(C35,Clima!$V$8:$AH$900,3,FALSE)+R34</f>
        <v>89.600000000000009</v>
      </c>
      <c r="S35" s="455">
        <f t="shared" si="32"/>
        <v>0.27462222120000035</v>
      </c>
      <c r="T35" s="449">
        <f t="shared" si="11"/>
        <v>0.41193333180000052</v>
      </c>
      <c r="U35" s="195"/>
      <c r="V35" s="445">
        <f t="shared" si="3"/>
        <v>1.0227846294533334</v>
      </c>
      <c r="W35" s="446">
        <f t="shared" si="43"/>
        <v>0</v>
      </c>
      <c r="X35" s="447">
        <f t="shared" si="33"/>
        <v>0.15189752968888884</v>
      </c>
      <c r="Y35" s="448">
        <f t="shared" si="12"/>
        <v>1</v>
      </c>
      <c r="Z35" s="449">
        <f t="shared" si="4"/>
        <v>0.84810247031111119</v>
      </c>
      <c r="AA35" s="449">
        <f t="shared" si="34"/>
        <v>1.3229654650910403</v>
      </c>
      <c r="AB35" s="451">
        <f t="shared" si="13"/>
        <v>1</v>
      </c>
      <c r="AC35" s="449">
        <f t="shared" si="5"/>
        <v>0.74816240825333302</v>
      </c>
      <c r="AD35" s="449">
        <f t="shared" si="6"/>
        <v>1.1222436123799995</v>
      </c>
      <c r="AE35" s="448">
        <f t="shared" si="35"/>
        <v>0</v>
      </c>
      <c r="AF35" s="449">
        <f t="shared" si="36"/>
        <v>2.6462060541301509</v>
      </c>
      <c r="AG35" s="449">
        <f t="shared" si="7"/>
        <v>1.0227846294533334</v>
      </c>
      <c r="AH35" s="449">
        <f t="shared" si="8"/>
        <v>1.5341769441799999</v>
      </c>
      <c r="AI35" s="448"/>
      <c r="AJ35" s="449">
        <f t="shared" si="14"/>
        <v>0.28697942281481476</v>
      </c>
      <c r="AK35" s="450">
        <f t="shared" si="37"/>
        <v>18.653662482962961</v>
      </c>
      <c r="AL35" s="449">
        <f t="shared" si="38"/>
        <v>1.7647565923343995</v>
      </c>
      <c r="AM35" s="451">
        <f>IF(ISERROR(VLOOKUP(C35,Riegos,2,FALSE)),VLOOKUP(C35,Riegos,2,FALSE),VLOOKUP($F$8,Nomen!$A$79:$B$80,2,FALSE)*IF(AND(H35&gt;120,D35&lt;0.45),0,IF(AQ34+AH35&gt;=AK35,MIN(AQ34,$AK$7),0)))</f>
        <v>0</v>
      </c>
      <c r="AN35" s="448">
        <f t="shared" si="15"/>
        <v>0</v>
      </c>
      <c r="AO35" s="448">
        <f t="shared" si="16"/>
        <v>1</v>
      </c>
      <c r="AP35" s="449">
        <f t="shared" si="17"/>
        <v>1.0227846294533334</v>
      </c>
      <c r="AQ35" s="449">
        <f t="shared" si="18"/>
        <v>1.7647565923343995</v>
      </c>
      <c r="AR35" s="449">
        <f t="shared" si="39"/>
        <v>21</v>
      </c>
      <c r="AS35" s="449">
        <f t="shared" si="40"/>
        <v>1.5341769441799999</v>
      </c>
      <c r="AT35" s="449">
        <f t="shared" si="41"/>
        <v>12.464756592334398</v>
      </c>
      <c r="AU35" s="453">
        <f t="shared" si="19"/>
        <v>0</v>
      </c>
      <c r="AV35" s="145">
        <f t="shared" si="20"/>
        <v>18.7</v>
      </c>
      <c r="AW35" s="178">
        <f t="shared" si="21"/>
        <v>0</v>
      </c>
      <c r="AX35" s="179">
        <f t="shared" si="22"/>
        <v>0</v>
      </c>
      <c r="AY35" s="145" t="str">
        <f t="shared" si="42"/>
        <v/>
      </c>
      <c r="AZ35" s="145">
        <f t="shared" si="23"/>
        <v>0</v>
      </c>
      <c r="BA35" s="145">
        <f t="shared" si="24"/>
        <v>0</v>
      </c>
      <c r="BB35" s="145">
        <f t="shared" si="25"/>
        <v>0</v>
      </c>
      <c r="BC35" s="145">
        <f t="shared" si="26"/>
        <v>0</v>
      </c>
      <c r="BD35" s="145">
        <f t="shared" si="27"/>
        <v>0</v>
      </c>
      <c r="BE35" s="145">
        <f t="shared" si="28"/>
        <v>0</v>
      </c>
      <c r="BF35" s="145" t="str">
        <f t="shared" si="29"/>
        <v/>
      </c>
    </row>
    <row r="36" spans="1:60" s="145" customFormat="1">
      <c r="A36" s="567"/>
      <c r="B36" s="116">
        <f t="shared" si="9"/>
        <v>33</v>
      </c>
      <c r="C36" s="69">
        <f t="shared" si="30"/>
        <v>42037</v>
      </c>
      <c r="D36" s="257">
        <f>IF(ISERROR(VLOOKUP($C36,'NDVI real'!$T$8:$U$313,2,FALSE)),VLOOKUP(SWB!C36,'NDVI tipo'!$T$8:$U$193,2),VLOOKUP($C36,'NDVI real'!$T$8:$U$313,2,FALSE))</f>
        <v>0.26004629560185211</v>
      </c>
      <c r="E36" s="170">
        <f t="shared" si="0"/>
        <v>2</v>
      </c>
      <c r="F36" s="170">
        <f t="shared" si="1"/>
        <v>2</v>
      </c>
      <c r="G36" s="170">
        <f t="shared" si="2"/>
        <v>2015</v>
      </c>
      <c r="H36" s="170">
        <f t="shared" si="10"/>
        <v>33</v>
      </c>
      <c r="I36" s="190">
        <f>IF(ISERROR(VLOOKUP($C36,Clima!$U$8:$AH$900,3,FALSE)),VLOOKUP($C36,Clima!$D$8:$R$900,3),VLOOKUP($C36,Clima!$U$8:$AH$900,3,FALSE))</f>
        <v>6.7</v>
      </c>
      <c r="J36" s="191"/>
      <c r="K36" s="170"/>
      <c r="L36" s="192">
        <f>IF(ISERROR(VLOOKUP($C36,Clima!$U$8:$AH$900,14,FALSE)),VLOOKUP($C36,Clima!$D$8:$R$900,14),VLOOKUP($C36,Clima!$U$8:$AH$900,14,FALSE))</f>
        <v>1.5</v>
      </c>
      <c r="M36" s="190"/>
      <c r="N36" s="190"/>
      <c r="O36" s="191"/>
      <c r="P36" s="191">
        <f>IF(ISERROR(VLOOKUP($C36,Clima!$W$8:$AH$350,12,FALSE)),VLOOKUP($C36,Clima!$E$8:$P$350,12),VLOOKUP($C36,Clima!$W$8:$AH$350,12,FALSE))</f>
        <v>0.6</v>
      </c>
      <c r="Q36" s="170">
        <f t="shared" si="31"/>
        <v>6.6966577481866683</v>
      </c>
      <c r="R36" s="254">
        <f>VLOOKUP(C36,Clima!$V$8:$AH$900,3,FALSE)+R35</f>
        <v>92.100000000000009</v>
      </c>
      <c r="S36" s="455">
        <f t="shared" si="32"/>
        <v>0.274466665666667</v>
      </c>
      <c r="T36" s="449">
        <f t="shared" si="11"/>
        <v>0.4116999985000005</v>
      </c>
      <c r="U36" s="195"/>
      <c r="V36" s="445">
        <f t="shared" si="3"/>
        <v>1.0227846294533334</v>
      </c>
      <c r="W36" s="446">
        <f t="shared" si="43"/>
        <v>0</v>
      </c>
      <c r="X36" s="447">
        <f t="shared" si="33"/>
        <v>0.15189752968888884</v>
      </c>
      <c r="Y36" s="448">
        <f t="shared" si="12"/>
        <v>1</v>
      </c>
      <c r="Z36" s="449">
        <f t="shared" si="4"/>
        <v>0.84810247031111119</v>
      </c>
      <c r="AA36" s="449">
        <f t="shared" si="34"/>
        <v>2.0462060541301508</v>
      </c>
      <c r="AB36" s="451">
        <f t="shared" si="13"/>
        <v>1</v>
      </c>
      <c r="AC36" s="449">
        <f t="shared" si="5"/>
        <v>0.74831796378666637</v>
      </c>
      <c r="AD36" s="449">
        <f t="shared" si="6"/>
        <v>1.1224769456799994</v>
      </c>
      <c r="AE36" s="448">
        <f t="shared" si="35"/>
        <v>0</v>
      </c>
      <c r="AF36" s="449">
        <f t="shared" si="36"/>
        <v>3.3697217671173316</v>
      </c>
      <c r="AG36" s="449">
        <f t="shared" si="7"/>
        <v>1.0227846294533334</v>
      </c>
      <c r="AH36" s="449">
        <f t="shared" si="8"/>
        <v>1.5341769441799999</v>
      </c>
      <c r="AI36" s="448"/>
      <c r="AJ36" s="449">
        <f t="shared" si="14"/>
        <v>0.28697942281481476</v>
      </c>
      <c r="AK36" s="450">
        <f t="shared" si="37"/>
        <v>18.653662482962961</v>
      </c>
      <c r="AL36" s="449">
        <f t="shared" si="38"/>
        <v>2.6989335365143994</v>
      </c>
      <c r="AM36" s="451">
        <f>IF(ISERROR(VLOOKUP(C36,Riegos,2,FALSE)),VLOOKUP(C36,Riegos,2,FALSE),VLOOKUP($F$8,Nomen!$A$79:$B$80,2,FALSE)*IF(AND(H36&gt;120,D36&lt;0.45),0,IF(AQ35+AH36&gt;=AK36,MIN(AQ35,$AK$7),0)))</f>
        <v>0</v>
      </c>
      <c r="AN36" s="448">
        <f t="shared" si="15"/>
        <v>0</v>
      </c>
      <c r="AO36" s="448">
        <f t="shared" si="16"/>
        <v>1</v>
      </c>
      <c r="AP36" s="449">
        <f t="shared" si="17"/>
        <v>1.0227846294533334</v>
      </c>
      <c r="AQ36" s="449">
        <f t="shared" si="18"/>
        <v>2.6989335365143994</v>
      </c>
      <c r="AR36" s="449">
        <f t="shared" si="39"/>
        <v>22</v>
      </c>
      <c r="AS36" s="449">
        <f t="shared" si="40"/>
        <v>1.5341769441799999</v>
      </c>
      <c r="AT36" s="449">
        <f t="shared" si="41"/>
        <v>13.998933536514398</v>
      </c>
      <c r="AU36" s="453">
        <f t="shared" si="19"/>
        <v>0</v>
      </c>
      <c r="AV36" s="145">
        <f t="shared" si="20"/>
        <v>19.3</v>
      </c>
      <c r="AW36" s="178">
        <f t="shared" si="21"/>
        <v>0</v>
      </c>
      <c r="AX36" s="179">
        <f t="shared" si="22"/>
        <v>0</v>
      </c>
      <c r="AY36" s="145" t="str">
        <f t="shared" si="42"/>
        <v/>
      </c>
      <c r="AZ36" s="145">
        <f t="shared" si="23"/>
        <v>0</v>
      </c>
      <c r="BA36" s="145">
        <f t="shared" si="24"/>
        <v>0</v>
      </c>
      <c r="BB36" s="145">
        <f t="shared" si="25"/>
        <v>0</v>
      </c>
      <c r="BC36" s="145">
        <f t="shared" si="26"/>
        <v>0</v>
      </c>
      <c r="BD36" s="145">
        <f t="shared" si="27"/>
        <v>0</v>
      </c>
      <c r="BE36" s="145">
        <f t="shared" si="28"/>
        <v>0</v>
      </c>
      <c r="BF36" s="145" t="str">
        <f t="shared" si="29"/>
        <v/>
      </c>
    </row>
    <row r="37" spans="1:60" s="145" customFormat="1">
      <c r="A37" s="567"/>
      <c r="B37" s="116">
        <f t="shared" si="9"/>
        <v>34</v>
      </c>
      <c r="C37" s="69">
        <f t="shared" si="30"/>
        <v>42038</v>
      </c>
      <c r="D37" s="257">
        <f>IF(ISERROR(VLOOKUP($C37,'NDVI real'!$T$8:$U$313,2,FALSE)),VLOOKUP(SWB!C37,'NDVI tipo'!$T$8:$U$193,2),VLOOKUP($C37,'NDVI real'!$T$8:$U$313,2,FALSE))</f>
        <v>0.2599382709259262</v>
      </c>
      <c r="E37" s="170">
        <f t="shared" si="0"/>
        <v>2</v>
      </c>
      <c r="F37" s="170">
        <f t="shared" si="1"/>
        <v>3</v>
      </c>
      <c r="G37" s="170">
        <f t="shared" si="2"/>
        <v>2015</v>
      </c>
      <c r="H37" s="170">
        <f t="shared" si="10"/>
        <v>34</v>
      </c>
      <c r="I37" s="190">
        <f>IF(ISERROR(VLOOKUP($C37,Clima!$U$8:$AH$900,3,FALSE)),VLOOKUP($C37,Clima!$D$8:$R$900,3),VLOOKUP($C37,Clima!$U$8:$AH$900,3,FALSE))</f>
        <v>6.6</v>
      </c>
      <c r="J37" s="191"/>
      <c r="K37" s="170"/>
      <c r="L37" s="192">
        <f>IF(ISERROR(VLOOKUP($C37,Clima!$U$8:$AH$900,14,FALSE)),VLOOKUP($C37,Clima!$D$8:$R$900,14),VLOOKUP($C37,Clima!$U$8:$AH$900,14,FALSE))</f>
        <v>1.4</v>
      </c>
      <c r="M37" s="190"/>
      <c r="N37" s="190"/>
      <c r="O37" s="191"/>
      <c r="P37" s="191">
        <f>IF(ISERROR(VLOOKUP($C37,Clima!$W$8:$AH$350,12,FALSE)),VLOOKUP($C37,Clima!$E$8:$P$350,12),VLOOKUP($C37,Clima!$W$8:$AH$350,12,FALSE))</f>
        <v>1.2</v>
      </c>
      <c r="Q37" s="170">
        <f t="shared" si="31"/>
        <v>7.0806933023733354</v>
      </c>
      <c r="R37" s="254">
        <f>VLOOKUP(C37,Clima!$V$8:$AH$900,3,FALSE)+R36</f>
        <v>98.300000000000011</v>
      </c>
      <c r="S37" s="455">
        <f t="shared" si="32"/>
        <v>0.27431111013333376</v>
      </c>
      <c r="T37" s="449">
        <f t="shared" si="11"/>
        <v>0.38403555418666724</v>
      </c>
      <c r="U37" s="195"/>
      <c r="V37" s="445">
        <f t="shared" si="3"/>
        <v>1.0227846294533334</v>
      </c>
      <c r="W37" s="446">
        <f t="shared" si="43"/>
        <v>0</v>
      </c>
      <c r="X37" s="447">
        <f t="shared" si="33"/>
        <v>0.15189752968888884</v>
      </c>
      <c r="Y37" s="448">
        <f t="shared" si="12"/>
        <v>1</v>
      </c>
      <c r="Z37" s="449">
        <f t="shared" si="4"/>
        <v>0.84810247031111119</v>
      </c>
      <c r="AA37" s="449">
        <f t="shared" si="34"/>
        <v>2.1697217671173314</v>
      </c>
      <c r="AB37" s="451">
        <f t="shared" si="13"/>
        <v>1</v>
      </c>
      <c r="AC37" s="449">
        <f t="shared" si="5"/>
        <v>0.74847351931999961</v>
      </c>
      <c r="AD37" s="449">
        <f t="shared" si="6"/>
        <v>1.0478629270479993</v>
      </c>
      <c r="AE37" s="448">
        <f t="shared" si="35"/>
        <v>0</v>
      </c>
      <c r="AF37" s="449">
        <f t="shared" si="36"/>
        <v>3.405259881590232</v>
      </c>
      <c r="AG37" s="449">
        <f t="shared" si="7"/>
        <v>1.0227846294533334</v>
      </c>
      <c r="AH37" s="449">
        <f t="shared" si="8"/>
        <v>1.4318984812346667</v>
      </c>
      <c r="AI37" s="448"/>
      <c r="AJ37" s="449">
        <f t="shared" si="14"/>
        <v>0.28697942281481476</v>
      </c>
      <c r="AK37" s="450">
        <f t="shared" si="37"/>
        <v>18.653662482962961</v>
      </c>
      <c r="AL37" s="449">
        <f t="shared" si="38"/>
        <v>2.9308320177490659</v>
      </c>
      <c r="AM37" s="451">
        <f>IF(ISERROR(VLOOKUP(C37,Riegos,2,FALSE)),VLOOKUP(C37,Riegos,2,FALSE),VLOOKUP($F$8,Nomen!$A$79:$B$80,2,FALSE)*IF(AND(H37&gt;120,D37&lt;0.45),0,IF(AQ36+AH37&gt;=AK37,MIN(AQ36,$AK$7),0)))</f>
        <v>0</v>
      </c>
      <c r="AN37" s="448">
        <f t="shared" si="15"/>
        <v>0</v>
      </c>
      <c r="AO37" s="448">
        <f t="shared" si="16"/>
        <v>1</v>
      </c>
      <c r="AP37" s="449">
        <f t="shared" si="17"/>
        <v>1.0227846294533334</v>
      </c>
      <c r="AQ37" s="449">
        <f t="shared" si="18"/>
        <v>2.9308320177490659</v>
      </c>
      <c r="AR37" s="449">
        <f t="shared" si="39"/>
        <v>23</v>
      </c>
      <c r="AS37" s="449">
        <f t="shared" si="40"/>
        <v>1.4318984812346667</v>
      </c>
      <c r="AT37" s="449">
        <f t="shared" si="41"/>
        <v>15.430832017749065</v>
      </c>
      <c r="AU37" s="453">
        <f t="shared" si="19"/>
        <v>0</v>
      </c>
      <c r="AV37" s="145">
        <f t="shared" si="20"/>
        <v>20.5</v>
      </c>
      <c r="AW37" s="178">
        <f t="shared" si="21"/>
        <v>0</v>
      </c>
      <c r="AX37" s="179">
        <f t="shared" si="22"/>
        <v>0</v>
      </c>
      <c r="AY37" s="145" t="str">
        <f t="shared" si="42"/>
        <v/>
      </c>
      <c r="AZ37" s="145">
        <f t="shared" si="23"/>
        <v>0</v>
      </c>
      <c r="BA37" s="145">
        <f t="shared" si="24"/>
        <v>0</v>
      </c>
      <c r="BB37" s="145">
        <f t="shared" si="25"/>
        <v>0</v>
      </c>
      <c r="BC37" s="145">
        <f t="shared" si="26"/>
        <v>0</v>
      </c>
      <c r="BD37" s="145">
        <f t="shared" si="27"/>
        <v>0</v>
      </c>
      <c r="BE37" s="145">
        <f t="shared" si="28"/>
        <v>0</v>
      </c>
      <c r="BF37" s="145" t="str">
        <f t="shared" si="29"/>
        <v/>
      </c>
    </row>
    <row r="38" spans="1:60" s="145" customFormat="1">
      <c r="A38" s="567"/>
      <c r="B38" s="116">
        <f t="shared" si="9"/>
        <v>35</v>
      </c>
      <c r="C38" s="69">
        <f t="shared" si="30"/>
        <v>42039</v>
      </c>
      <c r="D38" s="257">
        <f>IF(ISERROR(VLOOKUP($C38,'NDVI real'!$T$8:$U$313,2,FALSE)),VLOOKUP(SWB!C38,'NDVI tipo'!$T$8:$U$193,2),VLOOKUP($C38,'NDVI real'!$T$8:$U$313,2,FALSE))</f>
        <v>0.25983024625000029</v>
      </c>
      <c r="E38" s="170">
        <f t="shared" si="0"/>
        <v>2</v>
      </c>
      <c r="F38" s="170">
        <f t="shared" si="1"/>
        <v>4</v>
      </c>
      <c r="G38" s="170">
        <f t="shared" si="2"/>
        <v>2015</v>
      </c>
      <c r="H38" s="170">
        <f t="shared" si="10"/>
        <v>35</v>
      </c>
      <c r="I38" s="190">
        <f>IF(ISERROR(VLOOKUP($C38,Clima!$U$8:$AH$900,3,FALSE)),VLOOKUP($C38,Clima!$D$8:$R$900,3),VLOOKUP($C38,Clima!$U$8:$AH$900,3,FALSE))</f>
        <v>4.4000000000000004</v>
      </c>
      <c r="J38" s="191"/>
      <c r="K38" s="170"/>
      <c r="L38" s="192">
        <f>IF(ISERROR(VLOOKUP($C38,Clima!$U$8:$AH$900,14,FALSE)),VLOOKUP($C38,Clima!$D$8:$R$900,14),VLOOKUP($C38,Clima!$U$8:$AH$900,14,FALSE))</f>
        <v>1.5</v>
      </c>
      <c r="M38" s="190"/>
      <c r="N38" s="190"/>
      <c r="O38" s="191"/>
      <c r="P38" s="191">
        <f>IF(ISERROR(VLOOKUP($C38,Clima!$W$8:$AH$350,12,FALSE)),VLOOKUP($C38,Clima!$E$8:$P$350,12),VLOOKUP($C38,Clima!$W$8:$AH$350,12,FALSE))</f>
        <v>3.7</v>
      </c>
      <c r="Q38" s="170">
        <f t="shared" si="31"/>
        <v>7.4919266342733364</v>
      </c>
      <c r="R38" s="254">
        <f>VLOOKUP(C38,Clima!$V$8:$AH$900,3,FALSE)+R37</f>
        <v>98.9</v>
      </c>
      <c r="S38" s="455">
        <f t="shared" si="32"/>
        <v>0.27415555460000041</v>
      </c>
      <c r="T38" s="449">
        <f t="shared" si="11"/>
        <v>0.41123333190000061</v>
      </c>
      <c r="U38" s="195"/>
      <c r="V38" s="445">
        <f t="shared" si="3"/>
        <v>1.0227846294533334</v>
      </c>
      <c r="W38" s="446">
        <f t="shared" si="43"/>
        <v>0</v>
      </c>
      <c r="X38" s="447">
        <f t="shared" si="33"/>
        <v>0.15189752968888884</v>
      </c>
      <c r="Y38" s="448">
        <f t="shared" si="12"/>
        <v>1</v>
      </c>
      <c r="Z38" s="449">
        <f t="shared" si="4"/>
        <v>0.84810247031111119</v>
      </c>
      <c r="AA38" s="449">
        <f t="shared" si="34"/>
        <v>0</v>
      </c>
      <c r="AB38" s="451">
        <f t="shared" si="13"/>
        <v>1</v>
      </c>
      <c r="AC38" s="449">
        <f t="shared" si="5"/>
        <v>0.74862907485333297</v>
      </c>
      <c r="AD38" s="449">
        <f t="shared" si="6"/>
        <v>1.1229436122799994</v>
      </c>
      <c r="AE38" s="448">
        <f t="shared" si="35"/>
        <v>0.29474011840976821</v>
      </c>
      <c r="AF38" s="449">
        <f t="shared" si="36"/>
        <v>1.3240659608833207</v>
      </c>
      <c r="AG38" s="449">
        <f t="shared" si="7"/>
        <v>1.0227846294533334</v>
      </c>
      <c r="AH38" s="449">
        <f t="shared" si="8"/>
        <v>1.5341769441799999</v>
      </c>
      <c r="AI38" s="448"/>
      <c r="AJ38" s="449">
        <f t="shared" si="14"/>
        <v>0.28697942281481476</v>
      </c>
      <c r="AK38" s="450">
        <f t="shared" si="37"/>
        <v>18.653662482962961</v>
      </c>
      <c r="AL38" s="449">
        <f t="shared" si="38"/>
        <v>0.76500896192906565</v>
      </c>
      <c r="AM38" s="451">
        <f>IF(ISERROR(VLOOKUP(C38,Riegos,2,FALSE)),VLOOKUP(C38,Riegos,2,FALSE),VLOOKUP($F$8,Nomen!$A$79:$B$80,2,FALSE)*IF(AND(H38&gt;120,D38&lt;0.45),0,IF(AQ37+AH38&gt;=AK38,MIN(AQ37,$AK$7),0)))</f>
        <v>0</v>
      </c>
      <c r="AN38" s="448">
        <f t="shared" si="15"/>
        <v>0</v>
      </c>
      <c r="AO38" s="448">
        <f t="shared" si="16"/>
        <v>1</v>
      </c>
      <c r="AP38" s="449">
        <f t="shared" si="17"/>
        <v>1.0227846294533334</v>
      </c>
      <c r="AQ38" s="449">
        <f t="shared" si="18"/>
        <v>0.76500896192906565</v>
      </c>
      <c r="AR38" s="449">
        <f t="shared" si="39"/>
        <v>24</v>
      </c>
      <c r="AS38" s="449">
        <f t="shared" si="40"/>
        <v>1.5341769441799999</v>
      </c>
      <c r="AT38" s="449">
        <f t="shared" si="41"/>
        <v>16.965008961929065</v>
      </c>
      <c r="AU38" s="453">
        <f t="shared" si="19"/>
        <v>0</v>
      </c>
      <c r="AV38" s="145">
        <f t="shared" si="20"/>
        <v>24.2</v>
      </c>
      <c r="AW38" s="178">
        <f t="shared" si="21"/>
        <v>0</v>
      </c>
      <c r="AX38" s="179">
        <f t="shared" si="22"/>
        <v>0</v>
      </c>
      <c r="AY38" s="145" t="str">
        <f t="shared" si="42"/>
        <v/>
      </c>
      <c r="AZ38" s="145">
        <f t="shared" si="23"/>
        <v>0</v>
      </c>
      <c r="BA38" s="145">
        <f t="shared" si="24"/>
        <v>0</v>
      </c>
      <c r="BB38" s="145">
        <f t="shared" si="25"/>
        <v>0</v>
      </c>
      <c r="BC38" s="145">
        <f t="shared" si="26"/>
        <v>0</v>
      </c>
      <c r="BD38" s="145">
        <f t="shared" si="27"/>
        <v>0</v>
      </c>
      <c r="BE38" s="145">
        <f t="shared" si="28"/>
        <v>0</v>
      </c>
      <c r="BF38" s="145" t="str">
        <f t="shared" si="29"/>
        <v/>
      </c>
    </row>
    <row r="39" spans="1:60" s="145" customFormat="1">
      <c r="A39" s="567"/>
      <c r="B39" s="116">
        <f t="shared" si="9"/>
        <v>36</v>
      </c>
      <c r="C39" s="69">
        <f t="shared" si="30"/>
        <v>42040</v>
      </c>
      <c r="D39" s="257">
        <f>IF(ISERROR(VLOOKUP($C39,'NDVI real'!$T$8:$U$313,2,FALSE)),VLOOKUP(SWB!C39,'NDVI tipo'!$T$8:$U$193,2),VLOOKUP($C39,'NDVI real'!$T$8:$U$313,2,FALSE))</f>
        <v>0.25972222157407437</v>
      </c>
      <c r="E39" s="170">
        <f t="shared" si="0"/>
        <v>2</v>
      </c>
      <c r="F39" s="170">
        <f t="shared" si="1"/>
        <v>5</v>
      </c>
      <c r="G39" s="170">
        <f t="shared" si="2"/>
        <v>2015</v>
      </c>
      <c r="H39" s="170">
        <f t="shared" si="10"/>
        <v>36</v>
      </c>
      <c r="I39" s="190">
        <f>IF(ISERROR(VLOOKUP($C39,Clima!$U$8:$AH$900,3,FALSE)),VLOOKUP($C39,Clima!$D$8:$R$900,3),VLOOKUP($C39,Clima!$U$8:$AH$900,3,FALSE))</f>
        <v>7.8</v>
      </c>
      <c r="J39" s="191"/>
      <c r="K39" s="170"/>
      <c r="L39" s="192">
        <f>IF(ISERROR(VLOOKUP($C39,Clima!$U$8:$AH$900,14,FALSE)),VLOOKUP($C39,Clima!$D$8:$R$900,14),VLOOKUP($C39,Clima!$U$8:$AH$900,14,FALSE))</f>
        <v>1.6</v>
      </c>
      <c r="M39" s="190"/>
      <c r="N39" s="190"/>
      <c r="O39" s="191"/>
      <c r="P39" s="191">
        <f>IF(ISERROR(VLOOKUP($C39,Clima!$W$8:$AH$350,12,FALSE)),VLOOKUP($C39,Clima!$E$8:$P$350,12),VLOOKUP($C39,Clima!$W$8:$AH$350,12,FALSE))</f>
        <v>0</v>
      </c>
      <c r="Q39" s="170">
        <f t="shared" si="31"/>
        <v>7.9303266327800035</v>
      </c>
      <c r="R39" s="254">
        <f>VLOOKUP(C39,Clima!$V$8:$AH$900,3,FALSE)+R38</f>
        <v>99.100000000000009</v>
      </c>
      <c r="S39" s="455">
        <f t="shared" si="32"/>
        <v>0.27399999906666705</v>
      </c>
      <c r="T39" s="449">
        <f t="shared" si="11"/>
        <v>0.43839999850666733</v>
      </c>
      <c r="U39" s="195"/>
      <c r="V39" s="445">
        <f t="shared" si="3"/>
        <v>1.0227846294533334</v>
      </c>
      <c r="W39" s="446">
        <f t="shared" si="43"/>
        <v>0</v>
      </c>
      <c r="X39" s="447">
        <f t="shared" si="33"/>
        <v>0.15189752968888884</v>
      </c>
      <c r="Y39" s="448">
        <f t="shared" si="12"/>
        <v>1</v>
      </c>
      <c r="Z39" s="449">
        <f t="shared" si="4"/>
        <v>0.84810247031111119</v>
      </c>
      <c r="AA39" s="449">
        <f t="shared" si="34"/>
        <v>1.3240659608833207</v>
      </c>
      <c r="AB39" s="451">
        <f t="shared" si="13"/>
        <v>1</v>
      </c>
      <c r="AC39" s="449">
        <f t="shared" si="5"/>
        <v>0.74878463038666632</v>
      </c>
      <c r="AD39" s="449">
        <f t="shared" si="6"/>
        <v>1.1980554086186661</v>
      </c>
      <c r="AE39" s="448">
        <f t="shared" si="35"/>
        <v>0</v>
      </c>
      <c r="AF39" s="449">
        <f t="shared" si="36"/>
        <v>2.736696451370138</v>
      </c>
      <c r="AG39" s="449">
        <f t="shared" si="7"/>
        <v>1.0227846294533334</v>
      </c>
      <c r="AH39" s="449">
        <f t="shared" si="8"/>
        <v>1.6364554071253334</v>
      </c>
      <c r="AI39" s="448"/>
      <c r="AJ39" s="449">
        <f t="shared" si="14"/>
        <v>0.28697942281481476</v>
      </c>
      <c r="AK39" s="450">
        <f t="shared" si="37"/>
        <v>18.653662482962961</v>
      </c>
      <c r="AL39" s="449">
        <f t="shared" si="38"/>
        <v>2.4014643690543993</v>
      </c>
      <c r="AM39" s="451">
        <f>IF(ISERROR(VLOOKUP(C39,Riegos,2,FALSE)),VLOOKUP(C39,Riegos,2,FALSE),VLOOKUP($F$8,Nomen!$A$79:$B$80,2,FALSE)*IF(AND(H39&gt;120,D39&lt;0.45),0,IF(AQ38+AH39&gt;=AK39,MIN(AQ38,$AK$7),0)))</f>
        <v>0</v>
      </c>
      <c r="AN39" s="448">
        <f t="shared" si="15"/>
        <v>0</v>
      </c>
      <c r="AO39" s="448">
        <f t="shared" si="16"/>
        <v>1</v>
      </c>
      <c r="AP39" s="449">
        <f t="shared" si="17"/>
        <v>1.0227846294533334</v>
      </c>
      <c r="AQ39" s="449">
        <f t="shared" si="18"/>
        <v>2.4014643690543993</v>
      </c>
      <c r="AR39" s="449">
        <f t="shared" si="39"/>
        <v>25</v>
      </c>
      <c r="AS39" s="449">
        <f t="shared" si="40"/>
        <v>1.6364554071253334</v>
      </c>
      <c r="AT39" s="449">
        <f t="shared" si="41"/>
        <v>18.601464369054398</v>
      </c>
      <c r="AU39" s="453">
        <f t="shared" si="19"/>
        <v>0</v>
      </c>
      <c r="AV39" s="145">
        <f t="shared" si="20"/>
        <v>24.2</v>
      </c>
      <c r="AW39" s="178">
        <f t="shared" si="21"/>
        <v>0</v>
      </c>
      <c r="AX39" s="179">
        <f t="shared" si="22"/>
        <v>0</v>
      </c>
      <c r="AY39" s="145" t="str">
        <f t="shared" si="42"/>
        <v/>
      </c>
      <c r="AZ39" s="145">
        <f t="shared" si="23"/>
        <v>0</v>
      </c>
      <c r="BA39" s="145">
        <f t="shared" si="24"/>
        <v>0</v>
      </c>
      <c r="BB39" s="145">
        <f t="shared" si="25"/>
        <v>0</v>
      </c>
      <c r="BC39" s="145">
        <f t="shared" si="26"/>
        <v>0</v>
      </c>
      <c r="BD39" s="145">
        <f t="shared" si="27"/>
        <v>0</v>
      </c>
      <c r="BE39" s="145">
        <f t="shared" si="28"/>
        <v>0</v>
      </c>
      <c r="BF39" s="145" t="str">
        <f t="shared" si="29"/>
        <v/>
      </c>
    </row>
    <row r="40" spans="1:60" s="145" customFormat="1">
      <c r="A40" s="567"/>
      <c r="B40" s="116">
        <f t="shared" si="9"/>
        <v>37</v>
      </c>
      <c r="C40" s="69">
        <f t="shared" si="30"/>
        <v>42041</v>
      </c>
      <c r="D40" s="257">
        <f>IF(ISERROR(VLOOKUP($C40,'NDVI real'!$T$8:$U$313,2,FALSE)),VLOOKUP(SWB!C40,'NDVI tipo'!$T$8:$U$193,2),VLOOKUP($C40,'NDVI real'!$T$8:$U$313,2,FALSE))</f>
        <v>0.25961419689814846</v>
      </c>
      <c r="E40" s="170">
        <f t="shared" si="0"/>
        <v>2</v>
      </c>
      <c r="F40" s="170">
        <f t="shared" si="1"/>
        <v>6</v>
      </c>
      <c r="G40" s="170">
        <f t="shared" si="2"/>
        <v>2015</v>
      </c>
      <c r="H40" s="170">
        <f t="shared" si="10"/>
        <v>37</v>
      </c>
      <c r="I40" s="190">
        <f>IF(ISERROR(VLOOKUP($C40,Clima!$U$8:$AH$900,3,FALSE)),VLOOKUP($C40,Clima!$D$8:$R$900,3),VLOOKUP($C40,Clima!$U$8:$AH$900,3,FALSE))</f>
        <v>8</v>
      </c>
      <c r="J40" s="191"/>
      <c r="K40" s="170"/>
      <c r="L40" s="192">
        <f>IF(ISERROR(VLOOKUP($C40,Clima!$U$8:$AH$900,14,FALSE)),VLOOKUP($C40,Clima!$D$8:$R$900,14),VLOOKUP($C40,Clima!$U$8:$AH$900,14,FALSE))</f>
        <v>1.9</v>
      </c>
      <c r="M40" s="190"/>
      <c r="N40" s="190"/>
      <c r="O40" s="191"/>
      <c r="P40" s="191">
        <f>IF(ISERROR(VLOOKUP($C40,Clima!$W$8:$AH$350,12,FALSE)),VLOOKUP($C40,Clima!$E$8:$P$350,12),VLOOKUP($C40,Clima!$W$8:$AH$350,12,FALSE))</f>
        <v>0</v>
      </c>
      <c r="Q40" s="170">
        <f t="shared" si="31"/>
        <v>8.4506310754933374</v>
      </c>
      <c r="R40" s="254">
        <f>VLOOKUP(C40,Clima!$V$8:$AH$900,3,FALSE)+R39</f>
        <v>99.000000000000014</v>
      </c>
      <c r="S40" s="455">
        <f t="shared" si="32"/>
        <v>0.27384444353333381</v>
      </c>
      <c r="T40" s="449">
        <f t="shared" si="11"/>
        <v>0.5203044427133342</v>
      </c>
      <c r="U40" s="195"/>
      <c r="V40" s="445">
        <f t="shared" si="3"/>
        <v>1.0227846294533334</v>
      </c>
      <c r="W40" s="446">
        <f t="shared" si="43"/>
        <v>0</v>
      </c>
      <c r="X40" s="447">
        <f t="shared" si="33"/>
        <v>0.15189752968888884</v>
      </c>
      <c r="Y40" s="448">
        <f t="shared" si="12"/>
        <v>1</v>
      </c>
      <c r="Z40" s="449">
        <f t="shared" si="4"/>
        <v>0.84810247031111119</v>
      </c>
      <c r="AA40" s="449">
        <f t="shared" si="34"/>
        <v>2.736696451370138</v>
      </c>
      <c r="AB40" s="451">
        <f t="shared" si="13"/>
        <v>1</v>
      </c>
      <c r="AC40" s="449">
        <f t="shared" si="5"/>
        <v>0.74894018591999956</v>
      </c>
      <c r="AD40" s="449">
        <f t="shared" si="6"/>
        <v>1.4229863532479992</v>
      </c>
      <c r="AE40" s="448">
        <f t="shared" si="35"/>
        <v>0</v>
      </c>
      <c r="AF40" s="449">
        <f t="shared" si="36"/>
        <v>4.414543649157455</v>
      </c>
      <c r="AG40" s="449">
        <f t="shared" si="7"/>
        <v>1.0227846294533334</v>
      </c>
      <c r="AH40" s="449">
        <f t="shared" si="8"/>
        <v>1.9432907959613333</v>
      </c>
      <c r="AI40" s="448"/>
      <c r="AJ40" s="449">
        <f t="shared" si="14"/>
        <v>0.28697942281481476</v>
      </c>
      <c r="AK40" s="450">
        <f t="shared" si="37"/>
        <v>18.653662482962961</v>
      </c>
      <c r="AL40" s="449">
        <f t="shared" si="38"/>
        <v>4.3447551650157328</v>
      </c>
      <c r="AM40" s="451">
        <f>IF(ISERROR(VLOOKUP(C40,Riegos,2,FALSE)),VLOOKUP(C40,Riegos,2,FALSE),VLOOKUP($F$8,Nomen!$A$79:$B$80,2,FALSE)*IF(AND(H40&gt;120,D40&lt;0.45),0,IF(AQ39+AH40&gt;=AK40,MIN(AQ39,$AK$7),0)))</f>
        <v>0</v>
      </c>
      <c r="AN40" s="448">
        <f t="shared" si="15"/>
        <v>0</v>
      </c>
      <c r="AO40" s="448">
        <f t="shared" si="16"/>
        <v>1</v>
      </c>
      <c r="AP40" s="449">
        <f t="shared" si="17"/>
        <v>1.0227846294533334</v>
      </c>
      <c r="AQ40" s="449">
        <f t="shared" si="18"/>
        <v>4.3447551650157328</v>
      </c>
      <c r="AR40" s="449">
        <f t="shared" si="39"/>
        <v>26</v>
      </c>
      <c r="AS40" s="449">
        <f t="shared" si="40"/>
        <v>1.9432907959613333</v>
      </c>
      <c r="AT40" s="449">
        <f t="shared" si="41"/>
        <v>20.544755165015729</v>
      </c>
      <c r="AU40" s="453">
        <f t="shared" si="19"/>
        <v>0</v>
      </c>
      <c r="AV40" s="145">
        <f t="shared" si="20"/>
        <v>24.2</v>
      </c>
      <c r="AW40" s="178">
        <f t="shared" si="21"/>
        <v>0</v>
      </c>
      <c r="AX40" s="179">
        <f t="shared" si="22"/>
        <v>0</v>
      </c>
      <c r="AY40" s="145" t="str">
        <f t="shared" si="42"/>
        <v/>
      </c>
      <c r="AZ40" s="145">
        <f t="shared" si="23"/>
        <v>0</v>
      </c>
      <c r="BA40" s="145">
        <f t="shared" si="24"/>
        <v>0</v>
      </c>
      <c r="BB40" s="145">
        <f t="shared" si="25"/>
        <v>0</v>
      </c>
      <c r="BC40" s="145">
        <f t="shared" si="26"/>
        <v>0</v>
      </c>
      <c r="BD40" s="145">
        <f t="shared" si="27"/>
        <v>0</v>
      </c>
      <c r="BE40" s="145">
        <f t="shared" si="28"/>
        <v>0</v>
      </c>
      <c r="BF40" s="145" t="str">
        <f t="shared" si="29"/>
        <v/>
      </c>
      <c r="BH40" s="145" t="s">
        <v>524</v>
      </c>
    </row>
    <row r="41" spans="1:60" s="145" customFormat="1">
      <c r="A41" s="567"/>
      <c r="B41" s="116">
        <f t="shared" si="9"/>
        <v>38</v>
      </c>
      <c r="C41" s="69">
        <f t="shared" si="30"/>
        <v>42042</v>
      </c>
      <c r="D41" s="257">
        <f>IF(ISERROR(VLOOKUP($C41,'NDVI real'!$T$8:$U$313,2,FALSE)),VLOOKUP(SWB!C41,'NDVI tipo'!$T$8:$U$193,2),VLOOKUP($C41,'NDVI real'!$T$8:$U$313,2,FALSE))</f>
        <v>0.25950617222222255</v>
      </c>
      <c r="E41" s="170">
        <f t="shared" si="0"/>
        <v>2</v>
      </c>
      <c r="F41" s="170">
        <f t="shared" si="1"/>
        <v>7</v>
      </c>
      <c r="G41" s="170">
        <f t="shared" si="2"/>
        <v>2015</v>
      </c>
      <c r="H41" s="170">
        <f t="shared" si="10"/>
        <v>38</v>
      </c>
      <c r="I41" s="190">
        <f>IF(ISERROR(VLOOKUP($C41,Clima!$U$8:$AH$900,3,FALSE)),VLOOKUP($C41,Clima!$D$8:$R$900,3),VLOOKUP($C41,Clima!$U$8:$AH$900,3,FALSE))</f>
        <v>7.2</v>
      </c>
      <c r="J41" s="191"/>
      <c r="K41" s="170"/>
      <c r="L41" s="192">
        <f>IF(ISERROR(VLOOKUP($C41,Clima!$U$8:$AH$900,14,FALSE)),VLOOKUP($C41,Clima!$D$8:$R$900,14),VLOOKUP($C41,Clima!$U$8:$AH$900,14,FALSE))</f>
        <v>2</v>
      </c>
      <c r="M41" s="190"/>
      <c r="N41" s="190"/>
      <c r="O41" s="191"/>
      <c r="P41" s="191">
        <f>IF(ISERROR(VLOOKUP($C41,Clima!$W$8:$AH$350,12,FALSE)),VLOOKUP($C41,Clima!$E$8:$P$350,12),VLOOKUP($C41,Clima!$W$8:$AH$350,12,FALSE))</f>
        <v>0</v>
      </c>
      <c r="Q41" s="170">
        <f t="shared" si="31"/>
        <v>8.9980088514933385</v>
      </c>
      <c r="R41" s="254">
        <f>VLOOKUP(C41,Clima!$V$8:$AH$900,3,FALSE)+R40</f>
        <v>97.600000000000009</v>
      </c>
      <c r="S41" s="455">
        <f t="shared" si="32"/>
        <v>0.27368888800000046</v>
      </c>
      <c r="T41" s="449">
        <f t="shared" si="11"/>
        <v>0.54737777600000093</v>
      </c>
      <c r="U41" s="195"/>
      <c r="V41" s="445">
        <f t="shared" si="3"/>
        <v>1.0227846294533334</v>
      </c>
      <c r="W41" s="446">
        <f t="shared" si="43"/>
        <v>0</v>
      </c>
      <c r="X41" s="447">
        <f t="shared" si="33"/>
        <v>0.15189752968888884</v>
      </c>
      <c r="Y41" s="448">
        <f t="shared" si="12"/>
        <v>1</v>
      </c>
      <c r="Z41" s="449">
        <f t="shared" si="4"/>
        <v>0.84810247031111119</v>
      </c>
      <c r="AA41" s="449">
        <f t="shared" si="34"/>
        <v>4.414543649157455</v>
      </c>
      <c r="AB41" s="451">
        <f t="shared" si="13"/>
        <v>0.13445461315659543</v>
      </c>
      <c r="AC41" s="449">
        <f t="shared" si="5"/>
        <v>0.10071937813436091</v>
      </c>
      <c r="AD41" s="449">
        <f t="shared" si="6"/>
        <v>0.20143875626872182</v>
      </c>
      <c r="AE41" s="448">
        <f t="shared" si="35"/>
        <v>0</v>
      </c>
      <c r="AF41" s="449">
        <f t="shared" si="36"/>
        <v>4.6520606513126639</v>
      </c>
      <c r="AG41" s="449">
        <f t="shared" si="7"/>
        <v>0.3744082661343614</v>
      </c>
      <c r="AH41" s="449">
        <f t="shared" si="8"/>
        <v>0.7488165322687228</v>
      </c>
      <c r="AI41" s="448"/>
      <c r="AJ41" s="449">
        <f t="shared" si="14"/>
        <v>0.28697942281481476</v>
      </c>
      <c r="AK41" s="450">
        <f t="shared" si="37"/>
        <v>18.653662482962961</v>
      </c>
      <c r="AL41" s="449">
        <f t="shared" si="38"/>
        <v>5.0935716972844558</v>
      </c>
      <c r="AM41" s="451">
        <f>IF(ISERROR(VLOOKUP(C41,Riegos,2,FALSE)),VLOOKUP(C41,Riegos,2,FALSE),VLOOKUP($F$8,Nomen!$A$79:$B$80,2,FALSE)*IF(AND(H41&gt;120,D41&lt;0.45),0,IF(AQ40+AH41&gt;=AK41,MIN(AQ40,$AK$7),0)))</f>
        <v>0</v>
      </c>
      <c r="AN41" s="448">
        <f t="shared" si="15"/>
        <v>0</v>
      </c>
      <c r="AO41" s="448">
        <f t="shared" si="16"/>
        <v>1</v>
      </c>
      <c r="AP41" s="449">
        <f t="shared" si="17"/>
        <v>0.3744082661343614</v>
      </c>
      <c r="AQ41" s="449">
        <f t="shared" si="18"/>
        <v>5.0935716972844558</v>
      </c>
      <c r="AR41" s="449">
        <f t="shared" si="39"/>
        <v>27</v>
      </c>
      <c r="AS41" s="449">
        <f t="shared" si="40"/>
        <v>0.7488165322687228</v>
      </c>
      <c r="AT41" s="449">
        <f t="shared" si="41"/>
        <v>21.293571697284452</v>
      </c>
      <c r="AU41" s="453">
        <f t="shared" si="19"/>
        <v>0</v>
      </c>
      <c r="AV41" s="145">
        <f t="shared" si="20"/>
        <v>24.2</v>
      </c>
      <c r="AW41" s="178">
        <f t="shared" si="21"/>
        <v>0</v>
      </c>
      <c r="AX41" s="179">
        <f t="shared" si="22"/>
        <v>0</v>
      </c>
      <c r="AY41" s="145" t="str">
        <f t="shared" si="42"/>
        <v/>
      </c>
      <c r="AZ41" s="145">
        <f t="shared" si="23"/>
        <v>0</v>
      </c>
      <c r="BA41" s="145">
        <f t="shared" si="24"/>
        <v>0</v>
      </c>
      <c r="BB41" s="145">
        <f t="shared" si="25"/>
        <v>0</v>
      </c>
      <c r="BC41" s="145">
        <f t="shared" si="26"/>
        <v>0</v>
      </c>
      <c r="BD41" s="145">
        <f t="shared" si="27"/>
        <v>0</v>
      </c>
      <c r="BE41" s="145">
        <f t="shared" si="28"/>
        <v>0</v>
      </c>
      <c r="BF41" s="145" t="str">
        <f t="shared" si="29"/>
        <v/>
      </c>
      <c r="BH41" s="145" t="s">
        <v>525</v>
      </c>
    </row>
    <row r="42" spans="1:60" s="145" customFormat="1" ht="15.75" customHeight="1">
      <c r="A42" s="567"/>
      <c r="B42" s="116">
        <f t="shared" si="9"/>
        <v>39</v>
      </c>
      <c r="C42" s="69">
        <f t="shared" si="30"/>
        <v>42043</v>
      </c>
      <c r="D42" s="257">
        <f>IF(ISERROR(VLOOKUP($C42,'NDVI real'!$T$8:$U$313,2,FALSE)),VLOOKUP(SWB!C42,'NDVI tipo'!$T$8:$U$193,2),VLOOKUP($C42,'NDVI real'!$T$8:$U$313,2,FALSE))</f>
        <v>0.25939814754629664</v>
      </c>
      <c r="E42" s="170">
        <f t="shared" si="0"/>
        <v>2</v>
      </c>
      <c r="F42" s="170">
        <f t="shared" si="1"/>
        <v>8</v>
      </c>
      <c r="G42" s="170">
        <f t="shared" si="2"/>
        <v>2015</v>
      </c>
      <c r="H42" s="170">
        <f t="shared" si="10"/>
        <v>39</v>
      </c>
      <c r="I42" s="190">
        <f>IF(ISERROR(VLOOKUP($C42,Clima!$U$8:$AH$900,3,FALSE)),VLOOKUP($C42,Clima!$D$8:$R$900,3),VLOOKUP($C42,Clima!$U$8:$AH$900,3,FALSE))</f>
        <v>7.7</v>
      </c>
      <c r="J42" s="191"/>
      <c r="K42" s="170"/>
      <c r="L42" s="192">
        <f>IF(ISERROR(VLOOKUP($C42,Clima!$U$8:$AH$900,14,FALSE)),VLOOKUP($C42,Clima!$D$8:$R$900,14),VLOOKUP($C42,Clima!$U$8:$AH$900,14,FALSE))</f>
        <v>1.2</v>
      </c>
      <c r="M42" s="190"/>
      <c r="N42" s="190"/>
      <c r="O42" s="191"/>
      <c r="P42" s="191">
        <f>IF(ISERROR(VLOOKUP($C42,Clima!$W$8:$AH$350,12,FALSE)),VLOOKUP($C42,Clima!$E$8:$P$350,12),VLOOKUP($C42,Clima!$W$8:$AH$350,12,FALSE))</f>
        <v>0</v>
      </c>
      <c r="Q42" s="170">
        <f t="shared" si="31"/>
        <v>9.3262488504533394</v>
      </c>
      <c r="R42" s="254">
        <f>VLOOKUP(C42,Clima!$V$8:$AH$900,3,FALSE)+R41</f>
        <v>96.800000000000011</v>
      </c>
      <c r="S42" s="455">
        <f t="shared" si="32"/>
        <v>0.27353333246666711</v>
      </c>
      <c r="T42" s="449">
        <f t="shared" si="11"/>
        <v>0.3282399989600005</v>
      </c>
      <c r="U42" s="195"/>
      <c r="V42" s="445">
        <f t="shared" si="3"/>
        <v>1.0227846294533334</v>
      </c>
      <c r="W42" s="446">
        <f t="shared" si="43"/>
        <v>0</v>
      </c>
      <c r="X42" s="447">
        <f t="shared" si="33"/>
        <v>0.15189752968888884</v>
      </c>
      <c r="Y42" s="448">
        <f t="shared" si="12"/>
        <v>1</v>
      </c>
      <c r="Z42" s="449">
        <f t="shared" si="4"/>
        <v>0.84810247031111119</v>
      </c>
      <c r="AA42" s="449">
        <f t="shared" si="34"/>
        <v>4.6520606513126639</v>
      </c>
      <c r="AB42" s="451">
        <f t="shared" si="13"/>
        <v>0.12554772557577509</v>
      </c>
      <c r="AC42" s="449">
        <f t="shared" si="5"/>
        <v>9.4066796221375537E-2</v>
      </c>
      <c r="AD42" s="449">
        <f t="shared" si="6"/>
        <v>0.11288015546565064</v>
      </c>
      <c r="AE42" s="448">
        <f t="shared" si="35"/>
        <v>0</v>
      </c>
      <c r="AF42" s="449">
        <f t="shared" si="36"/>
        <v>4.7851579590286084</v>
      </c>
      <c r="AG42" s="449">
        <f t="shared" si="7"/>
        <v>0.36760012868804265</v>
      </c>
      <c r="AH42" s="449">
        <f t="shared" si="8"/>
        <v>0.44112015442565117</v>
      </c>
      <c r="AI42" s="448"/>
      <c r="AJ42" s="449">
        <f t="shared" si="14"/>
        <v>0.28697942281481476</v>
      </c>
      <c r="AK42" s="450">
        <f t="shared" si="37"/>
        <v>18.653662482962961</v>
      </c>
      <c r="AL42" s="449">
        <f t="shared" si="38"/>
        <v>5.5346918517101074</v>
      </c>
      <c r="AM42" s="451">
        <f>IF(ISERROR(VLOOKUP(C42,Riegos,2,FALSE)),VLOOKUP(C42,Riegos,2,FALSE),VLOOKUP($F$8,Nomen!$A$79:$B$80,2,FALSE)*IF(AND(H42&gt;120,D42&lt;0.45),0,IF(AQ41+AH42&gt;=AK42,MIN(AQ41,$AK$7),0)))</f>
        <v>0</v>
      </c>
      <c r="AN42" s="448">
        <f t="shared" si="15"/>
        <v>0</v>
      </c>
      <c r="AO42" s="448">
        <f t="shared" si="16"/>
        <v>1</v>
      </c>
      <c r="AP42" s="449">
        <f t="shared" si="17"/>
        <v>0.36760012868804265</v>
      </c>
      <c r="AQ42" s="449">
        <f t="shared" si="18"/>
        <v>5.5346918517101074</v>
      </c>
      <c r="AR42" s="449">
        <f t="shared" si="39"/>
        <v>28</v>
      </c>
      <c r="AS42" s="449">
        <f t="shared" si="40"/>
        <v>0.44112015442565117</v>
      </c>
      <c r="AT42" s="449">
        <f t="shared" si="41"/>
        <v>21.734691851710103</v>
      </c>
      <c r="AU42" s="453">
        <f t="shared" si="19"/>
        <v>0</v>
      </c>
      <c r="AV42" s="145">
        <f t="shared" si="20"/>
        <v>24.2</v>
      </c>
      <c r="AW42" s="178">
        <f t="shared" si="21"/>
        <v>0</v>
      </c>
      <c r="AX42" s="179">
        <f t="shared" si="22"/>
        <v>0</v>
      </c>
      <c r="AY42" s="145" t="str">
        <f t="shared" si="42"/>
        <v/>
      </c>
      <c r="AZ42" s="145">
        <f t="shared" si="23"/>
        <v>0</v>
      </c>
      <c r="BA42" s="145">
        <f t="shared" si="24"/>
        <v>0</v>
      </c>
      <c r="BB42" s="145">
        <f t="shared" si="25"/>
        <v>0</v>
      </c>
      <c r="BC42" s="145">
        <f t="shared" si="26"/>
        <v>0</v>
      </c>
      <c r="BD42" s="145">
        <f t="shared" si="27"/>
        <v>0</v>
      </c>
      <c r="BE42" s="145">
        <f t="shared" si="28"/>
        <v>0</v>
      </c>
      <c r="BF42" s="145" t="str">
        <f t="shared" si="29"/>
        <v/>
      </c>
    </row>
    <row r="43" spans="1:60" s="145" customFormat="1">
      <c r="A43" s="567"/>
      <c r="B43" s="116">
        <f t="shared" si="9"/>
        <v>40</v>
      </c>
      <c r="C43" s="69">
        <f t="shared" si="30"/>
        <v>42044</v>
      </c>
      <c r="D43" s="257">
        <f>IF(ISERROR(VLOOKUP($C43,'NDVI real'!$T$8:$U$313,2,FALSE)),VLOOKUP(SWB!C43,'NDVI tipo'!$T$8:$U$193,2),VLOOKUP($C43,'NDVI real'!$T$8:$U$313,2,FALSE))</f>
        <v>0.25929012287037073</v>
      </c>
      <c r="E43" s="170">
        <f t="shared" si="0"/>
        <v>2</v>
      </c>
      <c r="F43" s="170">
        <f t="shared" si="1"/>
        <v>9</v>
      </c>
      <c r="G43" s="170">
        <f t="shared" si="2"/>
        <v>2015</v>
      </c>
      <c r="H43" s="170">
        <f t="shared" si="10"/>
        <v>40</v>
      </c>
      <c r="I43" s="190">
        <f>IF(ISERROR(VLOOKUP($C43,Clima!$U$8:$AH$900,3,FALSE)),VLOOKUP($C43,Clima!$D$8:$R$900,3),VLOOKUP($C43,Clima!$U$8:$AH$900,3,FALSE))</f>
        <v>10.4</v>
      </c>
      <c r="J43" s="191"/>
      <c r="K43" s="170"/>
      <c r="L43" s="192">
        <f>IF(ISERROR(VLOOKUP($C43,Clima!$U$8:$AH$900,14,FALSE)),VLOOKUP($C43,Clima!$D$8:$R$900,14),VLOOKUP($C43,Clima!$U$8:$AH$900,14,FALSE))</f>
        <v>2.5</v>
      </c>
      <c r="M43" s="190"/>
      <c r="N43" s="190"/>
      <c r="O43" s="191"/>
      <c r="P43" s="191">
        <f>IF(ISERROR(VLOOKUP($C43,Clima!$W$8:$AH$350,12,FALSE)),VLOOKUP($C43,Clima!$E$8:$P$350,12),VLOOKUP($C43,Clima!$W$8:$AH$350,12,FALSE))</f>
        <v>0</v>
      </c>
      <c r="Q43" s="170">
        <f t="shared" si="31"/>
        <v>10.009693292786674</v>
      </c>
      <c r="R43" s="254">
        <f>VLOOKUP(C43,Clima!$V$8:$AH$900,3,FALSE)+R42</f>
        <v>97.4</v>
      </c>
      <c r="S43" s="455">
        <f t="shared" si="32"/>
        <v>0.27337777693333387</v>
      </c>
      <c r="T43" s="449">
        <f t="shared" si="11"/>
        <v>0.68344444233333468</v>
      </c>
      <c r="U43" s="195"/>
      <c r="V43" s="445">
        <f t="shared" si="3"/>
        <v>1.0227846294533334</v>
      </c>
      <c r="W43" s="446">
        <f t="shared" si="43"/>
        <v>0</v>
      </c>
      <c r="X43" s="447">
        <f t="shared" si="33"/>
        <v>0.15189752968888884</v>
      </c>
      <c r="Y43" s="448">
        <f t="shared" si="12"/>
        <v>1</v>
      </c>
      <c r="Z43" s="449">
        <f t="shared" si="4"/>
        <v>0.84810247031111119</v>
      </c>
      <c r="AA43" s="449">
        <f t="shared" si="34"/>
        <v>4.7851579590286084</v>
      </c>
      <c r="AB43" s="451">
        <f t="shared" si="13"/>
        <v>0.12055657653642718</v>
      </c>
      <c r="AC43" s="449">
        <f t="shared" si="5"/>
        <v>9.0345924572750314E-2</v>
      </c>
      <c r="AD43" s="449">
        <f t="shared" si="6"/>
        <v>0.22586481143187578</v>
      </c>
      <c r="AE43" s="448">
        <f t="shared" si="35"/>
        <v>0</v>
      </c>
      <c r="AF43" s="449">
        <f t="shared" si="36"/>
        <v>5.051475791293643</v>
      </c>
      <c r="AG43" s="449">
        <f t="shared" si="7"/>
        <v>0.36372370150608418</v>
      </c>
      <c r="AH43" s="449">
        <f t="shared" si="8"/>
        <v>0.90930925376521043</v>
      </c>
      <c r="AI43" s="448"/>
      <c r="AJ43" s="449">
        <f t="shared" si="14"/>
        <v>0.28697942281481476</v>
      </c>
      <c r="AK43" s="450">
        <f t="shared" si="37"/>
        <v>18.653662482962961</v>
      </c>
      <c r="AL43" s="449">
        <f t="shared" si="38"/>
        <v>6.4440011054753175</v>
      </c>
      <c r="AM43" s="451">
        <f>IF(ISERROR(VLOOKUP(C43,Riegos,2,FALSE)),VLOOKUP(C43,Riegos,2,FALSE),VLOOKUP($F$8,Nomen!$A$79:$B$80,2,FALSE)*IF(AND(H43&gt;120,D43&lt;0.45),0,IF(AQ42+AH43&gt;=AK43,MIN(AQ42,$AK$7),0)))</f>
        <v>0</v>
      </c>
      <c r="AN43" s="448">
        <f t="shared" si="15"/>
        <v>0</v>
      </c>
      <c r="AO43" s="448">
        <f t="shared" si="16"/>
        <v>1</v>
      </c>
      <c r="AP43" s="449">
        <f t="shared" si="17"/>
        <v>0.36372370150608418</v>
      </c>
      <c r="AQ43" s="449">
        <f t="shared" si="18"/>
        <v>6.4440011054753175</v>
      </c>
      <c r="AR43" s="449">
        <f t="shared" si="39"/>
        <v>29</v>
      </c>
      <c r="AS43" s="449">
        <f t="shared" si="40"/>
        <v>0.90930925376521043</v>
      </c>
      <c r="AT43" s="449">
        <f t="shared" si="41"/>
        <v>22.644001105475315</v>
      </c>
      <c r="AU43" s="453">
        <f t="shared" si="19"/>
        <v>0</v>
      </c>
      <c r="AV43" s="145">
        <f t="shared" si="20"/>
        <v>24.2</v>
      </c>
      <c r="AW43" s="178">
        <f t="shared" si="21"/>
        <v>0</v>
      </c>
      <c r="AX43" s="179">
        <f t="shared" si="22"/>
        <v>0</v>
      </c>
      <c r="AY43" s="145" t="str">
        <f t="shared" si="42"/>
        <v/>
      </c>
      <c r="AZ43" s="145">
        <f t="shared" si="23"/>
        <v>0</v>
      </c>
      <c r="BA43" s="145">
        <f t="shared" si="24"/>
        <v>0</v>
      </c>
      <c r="BB43" s="145">
        <f t="shared" si="25"/>
        <v>0</v>
      </c>
      <c r="BC43" s="145">
        <f t="shared" si="26"/>
        <v>0</v>
      </c>
      <c r="BD43" s="145">
        <f t="shared" si="27"/>
        <v>0</v>
      </c>
      <c r="BE43" s="145">
        <f t="shared" si="28"/>
        <v>0</v>
      </c>
      <c r="BF43" s="145" t="str">
        <f t="shared" si="29"/>
        <v/>
      </c>
    </row>
    <row r="44" spans="1:60" s="145" customFormat="1">
      <c r="A44" s="567"/>
      <c r="B44" s="116">
        <f t="shared" si="9"/>
        <v>41</v>
      </c>
      <c r="C44" s="69">
        <f t="shared" si="30"/>
        <v>42045</v>
      </c>
      <c r="D44" s="257">
        <f>IF(ISERROR(VLOOKUP($C44,'NDVI real'!$T$8:$U$313,2,FALSE)),VLOOKUP(SWB!C44,'NDVI tipo'!$T$8:$U$193,2),VLOOKUP($C44,'NDVI real'!$T$8:$U$313,2,FALSE))</f>
        <v>0.25918209819444482</v>
      </c>
      <c r="E44" s="170">
        <f t="shared" si="0"/>
        <v>2</v>
      </c>
      <c r="F44" s="170">
        <f t="shared" si="1"/>
        <v>10</v>
      </c>
      <c r="G44" s="170">
        <f t="shared" si="2"/>
        <v>2015</v>
      </c>
      <c r="H44" s="170">
        <f t="shared" si="10"/>
        <v>41</v>
      </c>
      <c r="I44" s="190">
        <f>IF(ISERROR(VLOOKUP($C44,Clima!$U$8:$AH$900,3,FALSE)),VLOOKUP($C44,Clima!$D$8:$R$900,3),VLOOKUP($C44,Clima!$U$8:$AH$900,3,FALSE))</f>
        <v>12.1</v>
      </c>
      <c r="J44" s="191"/>
      <c r="K44" s="170"/>
      <c r="L44" s="192">
        <f>IF(ISERROR(VLOOKUP($C44,Clima!$U$8:$AH$900,14,FALSE)),VLOOKUP($C44,Clima!$D$8:$R$900,14),VLOOKUP($C44,Clima!$U$8:$AH$900,14,FALSE))</f>
        <v>2.4</v>
      </c>
      <c r="M44" s="190"/>
      <c r="N44" s="190"/>
      <c r="O44" s="191"/>
      <c r="P44" s="191">
        <f>IF(ISERROR(VLOOKUP($C44,Clima!$W$8:$AH$350,12,FALSE)),VLOOKUP($C44,Clima!$E$8:$P$350,12),VLOOKUP($C44,Clima!$W$8:$AH$350,12,FALSE))</f>
        <v>0.2</v>
      </c>
      <c r="Q44" s="170">
        <f t="shared" si="31"/>
        <v>10.665426624146674</v>
      </c>
      <c r="R44" s="254">
        <f>VLOOKUP(C44,Clima!$V$8:$AH$900,3,FALSE)+R43</f>
        <v>101</v>
      </c>
      <c r="S44" s="455">
        <f t="shared" si="32"/>
        <v>0.27322222140000052</v>
      </c>
      <c r="T44" s="449">
        <f t="shared" si="11"/>
        <v>0.65573333136000123</v>
      </c>
      <c r="U44" s="195"/>
      <c r="V44" s="445">
        <f t="shared" si="3"/>
        <v>1.0227846294533334</v>
      </c>
      <c r="W44" s="446">
        <f t="shared" si="43"/>
        <v>0</v>
      </c>
      <c r="X44" s="447">
        <f t="shared" si="33"/>
        <v>0.15189752968888884</v>
      </c>
      <c r="Y44" s="448">
        <f t="shared" si="12"/>
        <v>1</v>
      </c>
      <c r="Z44" s="449">
        <f t="shared" si="4"/>
        <v>0.84810247031111119</v>
      </c>
      <c r="AA44" s="449">
        <f t="shared" si="34"/>
        <v>4.8514757912936428</v>
      </c>
      <c r="AB44" s="451">
        <f t="shared" si="13"/>
        <v>0.11806965782648839</v>
      </c>
      <c r="AC44" s="449">
        <f t="shared" si="5"/>
        <v>8.8500577038455666E-2</v>
      </c>
      <c r="AD44" s="449">
        <f t="shared" si="6"/>
        <v>0.2124013848922936</v>
      </c>
      <c r="AE44" s="448">
        <f t="shared" si="35"/>
        <v>0</v>
      </c>
      <c r="AF44" s="449">
        <f t="shared" si="36"/>
        <v>5.1019188595874754</v>
      </c>
      <c r="AG44" s="449">
        <f t="shared" si="7"/>
        <v>0.36172279843845617</v>
      </c>
      <c r="AH44" s="449">
        <f t="shared" si="8"/>
        <v>0.86813471625229477</v>
      </c>
      <c r="AI44" s="448"/>
      <c r="AJ44" s="449">
        <f t="shared" si="14"/>
        <v>0.28697942281481476</v>
      </c>
      <c r="AK44" s="450">
        <f t="shared" si="37"/>
        <v>18.653662482962961</v>
      </c>
      <c r="AL44" s="449">
        <f t="shared" si="38"/>
        <v>7.1121358217276125</v>
      </c>
      <c r="AM44" s="451">
        <f>IF(ISERROR(VLOOKUP(C44,Riegos,2,FALSE)),VLOOKUP(C44,Riegos,2,FALSE),VLOOKUP($F$8,Nomen!$A$79:$B$80,2,FALSE)*IF(AND(H44&gt;120,D44&lt;0.45),0,IF(AQ43+AH44&gt;=AK44,MIN(AQ43,$AK$7),0)))</f>
        <v>0</v>
      </c>
      <c r="AN44" s="448">
        <f t="shared" si="15"/>
        <v>0</v>
      </c>
      <c r="AO44" s="448">
        <f t="shared" si="16"/>
        <v>1</v>
      </c>
      <c r="AP44" s="449">
        <f t="shared" si="17"/>
        <v>0.36172279843845617</v>
      </c>
      <c r="AQ44" s="449">
        <f t="shared" si="18"/>
        <v>7.1121358217276125</v>
      </c>
      <c r="AR44" s="449">
        <f t="shared" si="39"/>
        <v>30</v>
      </c>
      <c r="AS44" s="449">
        <f t="shared" si="40"/>
        <v>0.86813471625229477</v>
      </c>
      <c r="AT44" s="449">
        <f t="shared" si="41"/>
        <v>23.512135821727611</v>
      </c>
      <c r="AU44" s="453">
        <f t="shared" si="19"/>
        <v>0</v>
      </c>
      <c r="AV44" s="145">
        <f t="shared" si="20"/>
        <v>24.4</v>
      </c>
      <c r="AW44" s="178">
        <f t="shared" si="21"/>
        <v>0</v>
      </c>
      <c r="AX44" s="179">
        <f t="shared" si="22"/>
        <v>0</v>
      </c>
      <c r="AY44" s="145" t="str">
        <f t="shared" si="42"/>
        <v/>
      </c>
      <c r="AZ44" s="145">
        <f t="shared" si="23"/>
        <v>0</v>
      </c>
      <c r="BA44" s="145">
        <f t="shared" si="24"/>
        <v>0</v>
      </c>
      <c r="BB44" s="145">
        <f t="shared" si="25"/>
        <v>0</v>
      </c>
      <c r="BC44" s="145">
        <f t="shared" si="26"/>
        <v>0</v>
      </c>
      <c r="BD44" s="145">
        <f t="shared" si="27"/>
        <v>0</v>
      </c>
      <c r="BE44" s="145">
        <f t="shared" si="28"/>
        <v>0</v>
      </c>
      <c r="BF44" s="145" t="str">
        <f t="shared" si="29"/>
        <v/>
      </c>
    </row>
    <row r="45" spans="1:60" s="145" customFormat="1">
      <c r="A45" s="567"/>
      <c r="B45" s="116">
        <f t="shared" si="9"/>
        <v>42</v>
      </c>
      <c r="C45" s="69">
        <f t="shared" si="30"/>
        <v>42046</v>
      </c>
      <c r="D45" s="257">
        <f>IF(ISERROR(VLOOKUP($C45,'NDVI real'!$T$8:$U$313,2,FALSE)),VLOOKUP(SWB!C45,'NDVI tipo'!$T$8:$U$193,2),VLOOKUP($C45,'NDVI real'!$T$8:$U$313,2,FALSE))</f>
        <v>0.25907407351851891</v>
      </c>
      <c r="E45" s="170">
        <f t="shared" si="0"/>
        <v>2</v>
      </c>
      <c r="F45" s="170">
        <f t="shared" si="1"/>
        <v>11</v>
      </c>
      <c r="G45" s="170">
        <f t="shared" si="2"/>
        <v>2015</v>
      </c>
      <c r="H45" s="170">
        <f t="shared" si="10"/>
        <v>42</v>
      </c>
      <c r="I45" s="190">
        <f>IF(ISERROR(VLOOKUP($C45,Clima!$U$8:$AH$900,3,FALSE)),VLOOKUP($C45,Clima!$D$8:$R$900,3),VLOOKUP($C45,Clima!$U$8:$AH$900,3,FALSE))</f>
        <v>12.5</v>
      </c>
      <c r="J45" s="191"/>
      <c r="K45" s="170"/>
      <c r="L45" s="192">
        <f>IF(ISERROR(VLOOKUP($C45,Clima!$U$8:$AH$900,14,FALSE)),VLOOKUP($C45,Clima!$D$8:$R$900,14),VLOOKUP($C45,Clima!$U$8:$AH$900,14,FALSE))</f>
        <v>2.6</v>
      </c>
      <c r="M45" s="190"/>
      <c r="N45" s="190"/>
      <c r="O45" s="191"/>
      <c r="P45" s="191">
        <f>IF(ISERROR(VLOOKUP($C45,Clima!$W$8:$AH$350,12,FALSE)),VLOOKUP($C45,Clima!$E$8:$P$350,12),VLOOKUP($C45,Clima!$W$8:$AH$350,12,FALSE))</f>
        <v>0.2</v>
      </c>
      <c r="Q45" s="170">
        <f t="shared" si="31"/>
        <v>11.375399955400008</v>
      </c>
      <c r="R45" s="254">
        <f>VLOOKUP(C45,Clima!$V$8:$AH$900,3,FALSE)+R44</f>
        <v>106.9</v>
      </c>
      <c r="S45" s="455">
        <f t="shared" si="32"/>
        <v>0.27306666586666717</v>
      </c>
      <c r="T45" s="449">
        <f t="shared" si="11"/>
        <v>0.70997333125333462</v>
      </c>
      <c r="U45" s="195"/>
      <c r="V45" s="445">
        <f t="shared" si="3"/>
        <v>1.0227846294533334</v>
      </c>
      <c r="W45" s="446">
        <f t="shared" si="43"/>
        <v>0</v>
      </c>
      <c r="X45" s="447">
        <f t="shared" si="33"/>
        <v>0.15189752968888884</v>
      </c>
      <c r="Y45" s="448">
        <f t="shared" si="12"/>
        <v>1</v>
      </c>
      <c r="Z45" s="449">
        <f t="shared" si="4"/>
        <v>0.84810247031111119</v>
      </c>
      <c r="AA45" s="449">
        <f t="shared" si="34"/>
        <v>4.9019188595874752</v>
      </c>
      <c r="AB45" s="451">
        <f t="shared" si="13"/>
        <v>0.11617804276546967</v>
      </c>
      <c r="AC45" s="449">
        <f t="shared" si="5"/>
        <v>8.7100765635612531E-2</v>
      </c>
      <c r="AD45" s="449">
        <f t="shared" si="6"/>
        <v>0.22646199065259259</v>
      </c>
      <c r="AE45" s="448">
        <f t="shared" si="35"/>
        <v>0</v>
      </c>
      <c r="AF45" s="449">
        <f t="shared" si="36"/>
        <v>5.1689408275455673</v>
      </c>
      <c r="AG45" s="449">
        <f t="shared" si="7"/>
        <v>0.3601674315022797</v>
      </c>
      <c r="AH45" s="449">
        <f t="shared" si="8"/>
        <v>0.93643532190592726</v>
      </c>
      <c r="AI45" s="448"/>
      <c r="AJ45" s="449">
        <f t="shared" si="14"/>
        <v>0.28697942281481476</v>
      </c>
      <c r="AK45" s="450">
        <f t="shared" si="37"/>
        <v>18.653662482962961</v>
      </c>
      <c r="AL45" s="449">
        <f t="shared" si="38"/>
        <v>7.8485711436335395</v>
      </c>
      <c r="AM45" s="451">
        <f>IF(ISERROR(VLOOKUP(C45,Riegos,2,FALSE)),VLOOKUP(C45,Riegos,2,FALSE),VLOOKUP($F$8,Nomen!$A$79:$B$80,2,FALSE)*IF(AND(H45&gt;120,D45&lt;0.45),0,IF(AQ44+AH45&gt;=AK45,MIN(AQ44,$AK$7),0)))</f>
        <v>0</v>
      </c>
      <c r="AN45" s="448">
        <f t="shared" si="15"/>
        <v>0</v>
      </c>
      <c r="AO45" s="448">
        <f t="shared" si="16"/>
        <v>1</v>
      </c>
      <c r="AP45" s="449">
        <f t="shared" si="17"/>
        <v>0.3601674315022797</v>
      </c>
      <c r="AQ45" s="449">
        <f t="shared" si="18"/>
        <v>7.8485711436335395</v>
      </c>
      <c r="AR45" s="449">
        <f t="shared" si="39"/>
        <v>31</v>
      </c>
      <c r="AS45" s="449">
        <f t="shared" si="40"/>
        <v>0.93643532190592726</v>
      </c>
      <c r="AT45" s="449">
        <f t="shared" si="41"/>
        <v>24.44857114363354</v>
      </c>
      <c r="AU45" s="453">
        <f t="shared" si="19"/>
        <v>0</v>
      </c>
      <c r="AV45" s="145">
        <f t="shared" si="20"/>
        <v>24.599999999999998</v>
      </c>
      <c r="AW45" s="178">
        <f t="shared" si="21"/>
        <v>0</v>
      </c>
      <c r="AX45" s="179">
        <f t="shared" si="22"/>
        <v>0</v>
      </c>
      <c r="AY45" s="145" t="str">
        <f t="shared" si="42"/>
        <v/>
      </c>
      <c r="AZ45" s="145">
        <f t="shared" si="23"/>
        <v>0</v>
      </c>
      <c r="BA45" s="145">
        <f t="shared" si="24"/>
        <v>0</v>
      </c>
      <c r="BB45" s="145">
        <f t="shared" si="25"/>
        <v>0</v>
      </c>
      <c r="BC45" s="145">
        <f t="shared" si="26"/>
        <v>0</v>
      </c>
      <c r="BD45" s="145">
        <f t="shared" si="27"/>
        <v>0</v>
      </c>
      <c r="BE45" s="145">
        <f t="shared" si="28"/>
        <v>0</v>
      </c>
      <c r="BF45" s="145" t="str">
        <f t="shared" si="29"/>
        <v/>
      </c>
    </row>
    <row r="46" spans="1:60" s="145" customFormat="1">
      <c r="A46" s="568" t="s">
        <v>526</v>
      </c>
      <c r="B46" s="116">
        <f t="shared" si="9"/>
        <v>43</v>
      </c>
      <c r="C46" s="69">
        <f t="shared" si="30"/>
        <v>42047</v>
      </c>
      <c r="D46" s="257">
        <f>IF(ISERROR(VLOOKUP($C46,'NDVI real'!$T$8:$U$313,2,FALSE)),VLOOKUP(SWB!C46,'NDVI tipo'!$T$8:$U$193,2),VLOOKUP($C46,'NDVI real'!$T$8:$U$313,2,FALSE))</f>
        <v>0.258966048842593</v>
      </c>
      <c r="E46" s="170">
        <f t="shared" si="0"/>
        <v>2</v>
      </c>
      <c r="F46" s="170">
        <f t="shared" si="1"/>
        <v>12</v>
      </c>
      <c r="G46" s="170">
        <f t="shared" si="2"/>
        <v>2015</v>
      </c>
      <c r="H46" s="170">
        <f t="shared" si="10"/>
        <v>43</v>
      </c>
      <c r="I46" s="190">
        <f>IF(ISERROR(VLOOKUP($C46,Clima!$U$8:$AH$900,3,FALSE)),VLOOKUP($C46,Clima!$D$8:$R$900,3),VLOOKUP($C46,Clima!$U$8:$AH$900,3,FALSE))</f>
        <v>11.5</v>
      </c>
      <c r="J46" s="191"/>
      <c r="K46" s="170"/>
      <c r="L46" s="192">
        <f>IF(ISERROR(VLOOKUP($C46,Clima!$U$8:$AH$900,14,FALSE)),VLOOKUP($C46,Clima!$D$8:$R$900,14),VLOOKUP($C46,Clima!$U$8:$AH$900,14,FALSE))</f>
        <v>1.5</v>
      </c>
      <c r="M46" s="190"/>
      <c r="N46" s="190"/>
      <c r="O46" s="191"/>
      <c r="P46" s="191">
        <f>IF(ISERROR(VLOOKUP($C46,Clima!$W$8:$AH$350,12,FALSE)),VLOOKUP($C46,Clima!$E$8:$P$350,12),VLOOKUP($C46,Clima!$W$8:$AH$350,12,FALSE))</f>
        <v>1.8</v>
      </c>
      <c r="Q46" s="170">
        <f t="shared" si="31"/>
        <v>11.784766620900008</v>
      </c>
      <c r="R46" s="254">
        <f>VLOOKUP(C46,Clima!$V$8:$AH$900,3,FALSE)+R45</f>
        <v>112.30000000000001</v>
      </c>
      <c r="S46" s="455">
        <f t="shared" si="32"/>
        <v>0.27291111033333393</v>
      </c>
      <c r="T46" s="449">
        <f t="shared" si="11"/>
        <v>0.40936666550000089</v>
      </c>
      <c r="U46" s="195"/>
      <c r="V46" s="445">
        <f t="shared" si="3"/>
        <v>1.0227846294533334</v>
      </c>
      <c r="W46" s="446">
        <f t="shared" si="43"/>
        <v>0</v>
      </c>
      <c r="X46" s="447">
        <f t="shared" si="33"/>
        <v>0.15189752968888884</v>
      </c>
      <c r="Y46" s="448">
        <f t="shared" si="12"/>
        <v>1</v>
      </c>
      <c r="Z46" s="449">
        <f t="shared" si="4"/>
        <v>0.84810247031111119</v>
      </c>
      <c r="AA46" s="449">
        <f t="shared" si="34"/>
        <v>3.3689408275455675</v>
      </c>
      <c r="AB46" s="451">
        <f t="shared" si="13"/>
        <v>1</v>
      </c>
      <c r="AC46" s="449">
        <f t="shared" si="5"/>
        <v>0.74987351911999944</v>
      </c>
      <c r="AD46" s="449">
        <f t="shared" si="6"/>
        <v>1.1248102786799992</v>
      </c>
      <c r="AE46" s="448">
        <f t="shared" si="35"/>
        <v>0</v>
      </c>
      <c r="AF46" s="449">
        <f t="shared" si="36"/>
        <v>4.6952077800134484</v>
      </c>
      <c r="AG46" s="449">
        <f t="shared" si="7"/>
        <v>1.0227846294533334</v>
      </c>
      <c r="AH46" s="449">
        <f t="shared" si="8"/>
        <v>1.5341769441799999</v>
      </c>
      <c r="AI46" s="448"/>
      <c r="AJ46" s="449">
        <f t="shared" si="14"/>
        <v>0.28697942281481476</v>
      </c>
      <c r="AK46" s="450">
        <f t="shared" si="37"/>
        <v>18.653662482962961</v>
      </c>
      <c r="AL46" s="449">
        <f t="shared" si="38"/>
        <v>7.58274808781354</v>
      </c>
      <c r="AM46" s="451">
        <f>IF(ISERROR(VLOOKUP(C46,Riegos,2,FALSE)),VLOOKUP(C46,Riegos,2,FALSE),VLOOKUP($F$8,Nomen!$A$79:$B$80,2,FALSE)*IF(AND(H46&gt;120,D46&lt;0.45),0,IF(AQ45+AH46&gt;=AK46,MIN(AQ45,$AK$7),0)))</f>
        <v>0</v>
      </c>
      <c r="AN46" s="448">
        <f t="shared" si="15"/>
        <v>0</v>
      </c>
      <c r="AO46" s="448">
        <f t="shared" si="16"/>
        <v>1</v>
      </c>
      <c r="AP46" s="449">
        <f t="shared" si="17"/>
        <v>1.0227846294533334</v>
      </c>
      <c r="AQ46" s="449">
        <f t="shared" si="18"/>
        <v>7.58274808781354</v>
      </c>
      <c r="AR46" s="449">
        <f t="shared" si="39"/>
        <v>32</v>
      </c>
      <c r="AS46" s="449">
        <f t="shared" si="40"/>
        <v>1.5341769441799999</v>
      </c>
      <c r="AT46" s="449">
        <f t="shared" si="41"/>
        <v>25.98274808781354</v>
      </c>
      <c r="AU46" s="453">
        <f t="shared" si="19"/>
        <v>0</v>
      </c>
      <c r="AV46" s="145">
        <f t="shared" si="20"/>
        <v>26.4</v>
      </c>
      <c r="AW46" s="178">
        <f t="shared" si="21"/>
        <v>0</v>
      </c>
      <c r="AX46" s="179">
        <f t="shared" si="22"/>
        <v>0</v>
      </c>
      <c r="AY46" s="145" t="str">
        <f t="shared" si="42"/>
        <v/>
      </c>
      <c r="AZ46" s="145">
        <f t="shared" si="23"/>
        <v>0</v>
      </c>
      <c r="BA46" s="145">
        <f t="shared" si="24"/>
        <v>0</v>
      </c>
      <c r="BB46" s="145">
        <f t="shared" si="25"/>
        <v>0</v>
      </c>
      <c r="BC46" s="145">
        <f t="shared" si="26"/>
        <v>0</v>
      </c>
      <c r="BD46" s="145">
        <f t="shared" si="27"/>
        <v>0</v>
      </c>
      <c r="BE46" s="145">
        <f t="shared" si="28"/>
        <v>0</v>
      </c>
      <c r="BF46" s="145" t="str">
        <f t="shared" si="29"/>
        <v/>
      </c>
    </row>
    <row r="47" spans="1:60" s="145" customFormat="1">
      <c r="A47" s="568"/>
      <c r="B47" s="116">
        <f t="shared" si="9"/>
        <v>44</v>
      </c>
      <c r="C47" s="69">
        <f t="shared" si="30"/>
        <v>42048</v>
      </c>
      <c r="D47" s="257">
        <f>IF(ISERROR(VLOOKUP($C47,'NDVI real'!$T$8:$U$313,2,FALSE)),VLOOKUP(SWB!C47,'NDVI tipo'!$T$8:$U$193,2),VLOOKUP($C47,'NDVI real'!$T$8:$U$313,2,FALSE))</f>
        <v>0.25885802416666709</v>
      </c>
      <c r="E47" s="170">
        <f t="shared" si="0"/>
        <v>2</v>
      </c>
      <c r="F47" s="170">
        <f t="shared" si="1"/>
        <v>13</v>
      </c>
      <c r="G47" s="170">
        <f t="shared" si="2"/>
        <v>2015</v>
      </c>
      <c r="H47" s="170">
        <f t="shared" si="10"/>
        <v>44</v>
      </c>
      <c r="I47" s="190">
        <f>IF(ISERROR(VLOOKUP($C47,Clima!$U$8:$AH$900,3,FALSE)),VLOOKUP($C47,Clima!$D$8:$R$900,3),VLOOKUP($C47,Clima!$U$8:$AH$900,3,FALSE))</f>
        <v>13</v>
      </c>
      <c r="J47" s="191"/>
      <c r="K47" s="170"/>
      <c r="L47" s="192">
        <f>IF(ISERROR(VLOOKUP($C47,Clima!$U$8:$AH$900,14,FALSE)),VLOOKUP($C47,Clima!$D$8:$R$900,14),VLOOKUP($C47,Clima!$U$8:$AH$900,14,FALSE))</f>
        <v>1.6</v>
      </c>
      <c r="M47" s="190"/>
      <c r="N47" s="190"/>
      <c r="O47" s="191"/>
      <c r="P47" s="191">
        <f>IF(ISERROR(VLOOKUP($C47,Clima!$W$8:$AH$350,12,FALSE)),VLOOKUP($C47,Clima!$E$8:$P$350,12),VLOOKUP($C47,Clima!$W$8:$AH$350,12,FALSE))</f>
        <v>0</v>
      </c>
      <c r="Q47" s="170">
        <f t="shared" si="31"/>
        <v>12.221175508580009</v>
      </c>
      <c r="R47" s="254">
        <f>VLOOKUP(C47,Clima!$V$8:$AH$900,3,FALSE)+R46</f>
        <v>116.4</v>
      </c>
      <c r="S47" s="455">
        <f t="shared" si="32"/>
        <v>0.27275555480000058</v>
      </c>
      <c r="T47" s="449">
        <f t="shared" si="11"/>
        <v>0.43640888768000097</v>
      </c>
      <c r="U47" s="195"/>
      <c r="V47" s="445">
        <f t="shared" si="3"/>
        <v>1.0227846294533334</v>
      </c>
      <c r="W47" s="446">
        <f t="shared" si="43"/>
        <v>0</v>
      </c>
      <c r="X47" s="447">
        <f t="shared" si="33"/>
        <v>0.15189752968888884</v>
      </c>
      <c r="Y47" s="448">
        <f t="shared" si="12"/>
        <v>1</v>
      </c>
      <c r="Z47" s="449">
        <f t="shared" si="4"/>
        <v>0.84810247031111119</v>
      </c>
      <c r="AA47" s="449">
        <f t="shared" si="34"/>
        <v>4.6952077800134484</v>
      </c>
      <c r="AB47" s="451">
        <f t="shared" si="13"/>
        <v>0.12392970824949567</v>
      </c>
      <c r="AC47" s="449">
        <f t="shared" si="5"/>
        <v>9.2950884400426745E-2</v>
      </c>
      <c r="AD47" s="449">
        <f t="shared" si="6"/>
        <v>0.14872141504068279</v>
      </c>
      <c r="AE47" s="448">
        <f t="shared" si="35"/>
        <v>0</v>
      </c>
      <c r="AF47" s="449">
        <f t="shared" si="36"/>
        <v>4.8705656173584178</v>
      </c>
      <c r="AG47" s="449">
        <f t="shared" si="7"/>
        <v>0.36570643920042734</v>
      </c>
      <c r="AH47" s="449">
        <f t="shared" si="8"/>
        <v>0.58513030272068378</v>
      </c>
      <c r="AI47" s="448"/>
      <c r="AJ47" s="449">
        <f t="shared" si="14"/>
        <v>0.28697942281481476</v>
      </c>
      <c r="AK47" s="450">
        <f t="shared" si="37"/>
        <v>18.653662482962961</v>
      </c>
      <c r="AL47" s="449">
        <f t="shared" si="38"/>
        <v>8.1678783905342236</v>
      </c>
      <c r="AM47" s="451">
        <f>IF(ISERROR(VLOOKUP(C47,Riegos,2,FALSE)),VLOOKUP(C47,Riegos,2,FALSE),VLOOKUP($F$8,Nomen!$A$79:$B$80,2,FALSE)*IF(AND(H47&gt;120,D47&lt;0.45),0,IF(AQ46+AH47&gt;=AK47,MIN(AQ46,$AK$7),0)))</f>
        <v>0</v>
      </c>
      <c r="AN47" s="448">
        <f t="shared" si="15"/>
        <v>0</v>
      </c>
      <c r="AO47" s="448">
        <f t="shared" si="16"/>
        <v>1</v>
      </c>
      <c r="AP47" s="449">
        <f t="shared" si="17"/>
        <v>0.36570643920042734</v>
      </c>
      <c r="AQ47" s="449">
        <f t="shared" si="18"/>
        <v>8.1678783905342236</v>
      </c>
      <c r="AR47" s="449">
        <f t="shared" si="39"/>
        <v>33</v>
      </c>
      <c r="AS47" s="449">
        <f t="shared" si="40"/>
        <v>0.58513030272068378</v>
      </c>
      <c r="AT47" s="449">
        <f t="shared" si="41"/>
        <v>26.567878390534226</v>
      </c>
      <c r="AU47" s="453">
        <f t="shared" si="19"/>
        <v>0</v>
      </c>
      <c r="AV47" s="145">
        <f t="shared" si="20"/>
        <v>26.4</v>
      </c>
      <c r="AW47" s="178">
        <f t="shared" si="21"/>
        <v>0</v>
      </c>
      <c r="AX47" s="179">
        <f t="shared" si="22"/>
        <v>0</v>
      </c>
      <c r="AY47" s="145" t="str">
        <f t="shared" si="42"/>
        <v/>
      </c>
      <c r="AZ47" s="145">
        <f t="shared" si="23"/>
        <v>0</v>
      </c>
      <c r="BA47" s="145">
        <f t="shared" si="24"/>
        <v>0</v>
      </c>
      <c r="BB47" s="145">
        <f t="shared" si="25"/>
        <v>0</v>
      </c>
      <c r="BC47" s="145">
        <f t="shared" si="26"/>
        <v>0</v>
      </c>
      <c r="BD47" s="145">
        <f t="shared" si="27"/>
        <v>0</v>
      </c>
      <c r="BE47" s="145">
        <f t="shared" si="28"/>
        <v>0</v>
      </c>
      <c r="BF47" s="145" t="str">
        <f t="shared" si="29"/>
        <v/>
      </c>
    </row>
    <row r="48" spans="1:60" s="145" customFormat="1">
      <c r="A48" s="568"/>
      <c r="B48" s="116">
        <f t="shared" si="9"/>
        <v>45</v>
      </c>
      <c r="C48" s="69">
        <f t="shared" si="30"/>
        <v>42049</v>
      </c>
      <c r="D48" s="257">
        <f>IF(ISERROR(VLOOKUP($C48,'NDVI real'!$T$8:$U$313,2,FALSE)),VLOOKUP(SWB!C48,'NDVI tipo'!$T$8:$U$193,2),VLOOKUP($C48,'NDVI real'!$T$8:$U$313,2,FALSE))</f>
        <v>0.25874999949074118</v>
      </c>
      <c r="E48" s="170">
        <f t="shared" si="0"/>
        <v>2</v>
      </c>
      <c r="F48" s="170">
        <f t="shared" si="1"/>
        <v>14</v>
      </c>
      <c r="G48" s="170">
        <f t="shared" si="2"/>
        <v>2015</v>
      </c>
      <c r="H48" s="170">
        <f t="shared" si="10"/>
        <v>45</v>
      </c>
      <c r="I48" s="190">
        <f>IF(ISERROR(VLOOKUP($C48,Clima!$U$8:$AH$900,3,FALSE)),VLOOKUP($C48,Clima!$D$8:$R$900,3),VLOOKUP($C48,Clima!$U$8:$AH$900,3,FALSE))</f>
        <v>7.3</v>
      </c>
      <c r="J48" s="191"/>
      <c r="K48" s="170"/>
      <c r="L48" s="192">
        <f>IF(ISERROR(VLOOKUP($C48,Clima!$U$8:$AH$900,14,FALSE)),VLOOKUP($C48,Clima!$D$8:$R$900,14),VLOOKUP($C48,Clima!$U$8:$AH$900,14,FALSE))</f>
        <v>1.8</v>
      </c>
      <c r="M48" s="190"/>
      <c r="N48" s="190"/>
      <c r="O48" s="191"/>
      <c r="P48" s="191">
        <f>IF(ISERROR(VLOOKUP($C48,Clima!$W$8:$AH$350,12,FALSE)),VLOOKUP($C48,Clima!$E$8:$P$350,12),VLOOKUP($C48,Clima!$W$8:$AH$350,12,FALSE))</f>
        <v>0.2</v>
      </c>
      <c r="Q48" s="170">
        <f t="shared" si="31"/>
        <v>12.71185550726001</v>
      </c>
      <c r="R48" s="254">
        <f>VLOOKUP(C48,Clima!$V$8:$AH$900,3,FALSE)+R47</f>
        <v>124.60000000000001</v>
      </c>
      <c r="S48" s="455">
        <f t="shared" si="32"/>
        <v>0.27259999926666723</v>
      </c>
      <c r="T48" s="449">
        <f t="shared" si="11"/>
        <v>0.49067999868000101</v>
      </c>
      <c r="U48" s="195"/>
      <c r="V48" s="445">
        <f t="shared" si="3"/>
        <v>1.0227846294533334</v>
      </c>
      <c r="W48" s="446">
        <f t="shared" si="43"/>
        <v>0</v>
      </c>
      <c r="X48" s="447">
        <f t="shared" si="33"/>
        <v>0.15189752968888884</v>
      </c>
      <c r="Y48" s="448">
        <f t="shared" si="12"/>
        <v>1</v>
      </c>
      <c r="Z48" s="449">
        <f t="shared" si="4"/>
        <v>0.84810247031111119</v>
      </c>
      <c r="AA48" s="449">
        <f t="shared" si="34"/>
        <v>4.6705656173584176</v>
      </c>
      <c r="AB48" s="451">
        <f t="shared" si="13"/>
        <v>0.12485378934905933</v>
      </c>
      <c r="AC48" s="449">
        <f t="shared" si="5"/>
        <v>9.3663393790227992E-2</v>
      </c>
      <c r="AD48" s="449">
        <f t="shared" si="6"/>
        <v>0.16859410882241038</v>
      </c>
      <c r="AE48" s="448">
        <f t="shared" si="35"/>
        <v>0</v>
      </c>
      <c r="AF48" s="449">
        <f t="shared" si="36"/>
        <v>4.8693554036451676</v>
      </c>
      <c r="AG48" s="449">
        <f t="shared" si="7"/>
        <v>0.3662633930568952</v>
      </c>
      <c r="AH48" s="449">
        <f t="shared" si="8"/>
        <v>0.65927410750241133</v>
      </c>
      <c r="AI48" s="448"/>
      <c r="AJ48" s="449">
        <f t="shared" si="14"/>
        <v>0.28697942281481476</v>
      </c>
      <c r="AK48" s="450">
        <f t="shared" si="37"/>
        <v>18.653662482962961</v>
      </c>
      <c r="AL48" s="449">
        <f t="shared" si="38"/>
        <v>8.6271524980366348</v>
      </c>
      <c r="AM48" s="451">
        <f>IF(ISERROR(VLOOKUP(C48,Riegos,2,FALSE)),VLOOKUP(C48,Riegos,2,FALSE),VLOOKUP($F$8,Nomen!$A$79:$B$80,2,FALSE)*IF(AND(H48&gt;120,D48&lt;0.45),0,IF(AQ47+AH48&gt;=AK48,MIN(AQ47,$AK$7),0)))</f>
        <v>0</v>
      </c>
      <c r="AN48" s="448">
        <f t="shared" si="15"/>
        <v>0</v>
      </c>
      <c r="AO48" s="448">
        <f t="shared" si="16"/>
        <v>1</v>
      </c>
      <c r="AP48" s="449">
        <f t="shared" si="17"/>
        <v>0.3662633930568952</v>
      </c>
      <c r="AQ48" s="449">
        <f t="shared" si="18"/>
        <v>8.6271524980366348</v>
      </c>
      <c r="AR48" s="449">
        <f t="shared" si="39"/>
        <v>34</v>
      </c>
      <c r="AS48" s="449">
        <f t="shared" si="40"/>
        <v>0.65927410750241133</v>
      </c>
      <c r="AT48" s="449">
        <f t="shared" si="41"/>
        <v>27.227152498036638</v>
      </c>
      <c r="AU48" s="453">
        <f t="shared" si="19"/>
        <v>0</v>
      </c>
      <c r="AV48" s="145">
        <f t="shared" si="20"/>
        <v>26.599999999999998</v>
      </c>
      <c r="AW48" s="178">
        <f t="shared" si="21"/>
        <v>0</v>
      </c>
      <c r="AX48" s="179">
        <f t="shared" si="22"/>
        <v>0</v>
      </c>
      <c r="AY48" s="145" t="str">
        <f t="shared" si="42"/>
        <v/>
      </c>
      <c r="AZ48" s="145">
        <f t="shared" si="23"/>
        <v>0</v>
      </c>
      <c r="BA48" s="145">
        <f t="shared" si="24"/>
        <v>0</v>
      </c>
      <c r="BB48" s="145">
        <f t="shared" si="25"/>
        <v>0</v>
      </c>
      <c r="BC48" s="145">
        <f t="shared" si="26"/>
        <v>0</v>
      </c>
      <c r="BD48" s="145">
        <f t="shared" si="27"/>
        <v>0</v>
      </c>
      <c r="BE48" s="145">
        <f t="shared" si="28"/>
        <v>0</v>
      </c>
      <c r="BF48" s="145" t="str">
        <f t="shared" si="29"/>
        <v/>
      </c>
    </row>
    <row r="49" spans="1:58" s="145" customFormat="1">
      <c r="A49" s="568"/>
      <c r="B49" s="116">
        <f t="shared" si="9"/>
        <v>46</v>
      </c>
      <c r="C49" s="69">
        <f t="shared" si="30"/>
        <v>42050</v>
      </c>
      <c r="D49" s="257">
        <f>IF(ISERROR(VLOOKUP($C49,'NDVI real'!$T$8:$U$313,2,FALSE)),VLOOKUP(SWB!C49,'NDVI tipo'!$T$8:$U$193,2),VLOOKUP($C49,'NDVI real'!$T$8:$U$313,2,FALSE))</f>
        <v>0.25864197481481527</v>
      </c>
      <c r="E49" s="170">
        <f t="shared" si="0"/>
        <v>2</v>
      </c>
      <c r="F49" s="170">
        <f t="shared" si="1"/>
        <v>15</v>
      </c>
      <c r="G49" s="170">
        <f t="shared" si="2"/>
        <v>2015</v>
      </c>
      <c r="H49" s="170">
        <f t="shared" si="10"/>
        <v>46</v>
      </c>
      <c r="I49" s="190">
        <f>IF(ISERROR(VLOOKUP($C49,Clima!$U$8:$AH$900,3,FALSE)),VLOOKUP($C49,Clima!$D$8:$R$900,3),VLOOKUP($C49,Clima!$U$8:$AH$900,3,FALSE))</f>
        <v>4.2</v>
      </c>
      <c r="J49" s="191"/>
      <c r="K49" s="170"/>
      <c r="L49" s="192">
        <f>IF(ISERROR(VLOOKUP($C49,Clima!$U$8:$AH$900,14,FALSE)),VLOOKUP($C49,Clima!$D$8:$R$900,14),VLOOKUP($C49,Clima!$U$8:$AH$900,14,FALSE))</f>
        <v>2.5</v>
      </c>
      <c r="M49" s="190"/>
      <c r="N49" s="190"/>
      <c r="O49" s="191"/>
      <c r="P49" s="191">
        <f>IF(ISERROR(VLOOKUP($C49,Clima!$W$8:$AH$350,12,FALSE)),VLOOKUP($C49,Clima!$E$8:$P$350,12),VLOOKUP($C49,Clima!$W$8:$AH$350,12,FALSE))</f>
        <v>1.8</v>
      </c>
      <c r="Q49" s="170">
        <f t="shared" si="31"/>
        <v>13.392966616593345</v>
      </c>
      <c r="R49" s="254">
        <f>VLOOKUP(C49,Clima!$V$8:$AH$900,3,FALSE)+R48</f>
        <v>133.4</v>
      </c>
      <c r="S49" s="455">
        <f t="shared" si="32"/>
        <v>0.27244444373333399</v>
      </c>
      <c r="T49" s="449">
        <f t="shared" si="11"/>
        <v>0.68111110933333496</v>
      </c>
      <c r="U49" s="195"/>
      <c r="V49" s="445">
        <f t="shared" si="3"/>
        <v>1.0227846294533334</v>
      </c>
      <c r="W49" s="446">
        <f t="shared" si="43"/>
        <v>0</v>
      </c>
      <c r="X49" s="447">
        <f t="shared" si="33"/>
        <v>0.15189752968888884</v>
      </c>
      <c r="Y49" s="448">
        <f t="shared" si="12"/>
        <v>1</v>
      </c>
      <c r="Z49" s="449">
        <f t="shared" si="4"/>
        <v>0.84810247031111119</v>
      </c>
      <c r="AA49" s="449">
        <f t="shared" si="34"/>
        <v>3.0693554036451678</v>
      </c>
      <c r="AB49" s="451">
        <f t="shared" si="13"/>
        <v>1</v>
      </c>
      <c r="AC49" s="449">
        <f t="shared" si="5"/>
        <v>0.75034018571999939</v>
      </c>
      <c r="AD49" s="449">
        <f t="shared" si="6"/>
        <v>1.8758504642999985</v>
      </c>
      <c r="AE49" s="448">
        <f t="shared" si="35"/>
        <v>0</v>
      </c>
      <c r="AF49" s="449">
        <f t="shared" si="36"/>
        <v>5.2811759441653203</v>
      </c>
      <c r="AG49" s="449">
        <f t="shared" si="7"/>
        <v>1.0227846294533334</v>
      </c>
      <c r="AH49" s="449">
        <f t="shared" si="8"/>
        <v>2.5569615736333335</v>
      </c>
      <c r="AI49" s="448"/>
      <c r="AJ49" s="449">
        <f t="shared" si="14"/>
        <v>0.28697942281481476</v>
      </c>
      <c r="AK49" s="450">
        <f t="shared" si="37"/>
        <v>18.653662482962961</v>
      </c>
      <c r="AL49" s="449">
        <f t="shared" si="38"/>
        <v>9.384114071669968</v>
      </c>
      <c r="AM49" s="451">
        <f>IF(ISERROR(VLOOKUP(C49,Riegos,2,FALSE)),VLOOKUP(C49,Riegos,2,FALSE),VLOOKUP($F$8,Nomen!$A$79:$B$80,2,FALSE)*IF(AND(H49&gt;120,D49&lt;0.45),0,IF(AQ48+AH49&gt;=AK49,MIN(AQ48,$AK$7),0)))</f>
        <v>0</v>
      </c>
      <c r="AN49" s="448">
        <f t="shared" si="15"/>
        <v>0</v>
      </c>
      <c r="AO49" s="448">
        <f t="shared" si="16"/>
        <v>1</v>
      </c>
      <c r="AP49" s="449">
        <f t="shared" si="17"/>
        <v>1.0227846294533334</v>
      </c>
      <c r="AQ49" s="449">
        <f t="shared" si="18"/>
        <v>9.384114071669968</v>
      </c>
      <c r="AR49" s="449">
        <f t="shared" si="39"/>
        <v>35</v>
      </c>
      <c r="AS49" s="449">
        <f t="shared" si="40"/>
        <v>2.5569615736333335</v>
      </c>
      <c r="AT49" s="449">
        <f t="shared" si="41"/>
        <v>29.784114071669972</v>
      </c>
      <c r="AU49" s="453">
        <f t="shared" si="19"/>
        <v>0</v>
      </c>
      <c r="AV49" s="145">
        <f t="shared" si="20"/>
        <v>28.4</v>
      </c>
      <c r="AW49" s="178">
        <f t="shared" si="21"/>
        <v>0</v>
      </c>
      <c r="AX49" s="179">
        <f t="shared" si="22"/>
        <v>0</v>
      </c>
      <c r="AY49" s="145" t="str">
        <f t="shared" si="42"/>
        <v/>
      </c>
      <c r="AZ49" s="145">
        <f t="shared" si="23"/>
        <v>0</v>
      </c>
      <c r="BA49" s="145">
        <f t="shared" si="24"/>
        <v>0</v>
      </c>
      <c r="BB49" s="145">
        <f t="shared" si="25"/>
        <v>0</v>
      </c>
      <c r="BC49" s="145">
        <f t="shared" si="26"/>
        <v>0</v>
      </c>
      <c r="BD49" s="145">
        <f t="shared" si="27"/>
        <v>0</v>
      </c>
      <c r="BE49" s="145">
        <f t="shared" si="28"/>
        <v>0</v>
      </c>
      <c r="BF49" s="145" t="str">
        <f t="shared" si="29"/>
        <v/>
      </c>
    </row>
    <row r="50" spans="1:58" s="145" customFormat="1">
      <c r="A50" s="568"/>
      <c r="B50" s="116">
        <f t="shared" si="9"/>
        <v>47</v>
      </c>
      <c r="C50" s="69">
        <f t="shared" si="30"/>
        <v>42051</v>
      </c>
      <c r="D50" s="257">
        <f>IF(ISERROR(VLOOKUP($C50,'NDVI real'!$T$8:$U$313,2,FALSE)),VLOOKUP(SWB!C50,'NDVI tipo'!$T$8:$U$193,2),VLOOKUP($C50,'NDVI real'!$T$8:$U$313,2,FALSE))</f>
        <v>0.25853395013888936</v>
      </c>
      <c r="E50" s="170">
        <f t="shared" si="0"/>
        <v>2</v>
      </c>
      <c r="F50" s="170">
        <f t="shared" si="1"/>
        <v>16</v>
      </c>
      <c r="G50" s="170">
        <f t="shared" si="2"/>
        <v>2015</v>
      </c>
      <c r="H50" s="170">
        <f t="shared" si="10"/>
        <v>47</v>
      </c>
      <c r="I50" s="190">
        <f>IF(ISERROR(VLOOKUP($C50,Clima!$U$8:$AH$900,3,FALSE)),VLOOKUP($C50,Clima!$D$8:$R$900,3),VLOOKUP($C50,Clima!$U$8:$AH$900,3,FALSE))</f>
        <v>0.7</v>
      </c>
      <c r="J50" s="191"/>
      <c r="K50" s="170"/>
      <c r="L50" s="192">
        <f>IF(ISERROR(VLOOKUP($C50,Clima!$U$8:$AH$900,14,FALSE)),VLOOKUP($C50,Clima!$D$8:$R$900,14),VLOOKUP($C50,Clima!$U$8:$AH$900,14,FALSE))</f>
        <v>1.7</v>
      </c>
      <c r="M50" s="190"/>
      <c r="N50" s="190"/>
      <c r="O50" s="191"/>
      <c r="P50" s="191">
        <f>IF(ISERROR(VLOOKUP($C50,Clima!$W$8:$AH$350,12,FALSE)),VLOOKUP($C50,Clima!$E$8:$P$350,12),VLOOKUP($C50,Clima!$W$8:$AH$350,12,FALSE))</f>
        <v>0.2</v>
      </c>
      <c r="Q50" s="170">
        <f t="shared" si="31"/>
        <v>13.855857726533346</v>
      </c>
      <c r="R50" s="254">
        <f>VLOOKUP(C50,Clima!$V$8:$AH$900,3,FALSE)+R49</f>
        <v>141.6</v>
      </c>
      <c r="S50" s="455">
        <f t="shared" si="32"/>
        <v>0.27228888820000063</v>
      </c>
      <c r="T50" s="449">
        <f t="shared" si="11"/>
        <v>0.46289110994000104</v>
      </c>
      <c r="U50" s="195"/>
      <c r="V50" s="445">
        <f t="shared" si="3"/>
        <v>1.0227846294533334</v>
      </c>
      <c r="W50" s="446">
        <f t="shared" si="43"/>
        <v>0</v>
      </c>
      <c r="X50" s="447">
        <f t="shared" si="33"/>
        <v>0.15189752968888884</v>
      </c>
      <c r="Y50" s="448">
        <f t="shared" si="12"/>
        <v>1</v>
      </c>
      <c r="Z50" s="449">
        <f t="shared" si="4"/>
        <v>0.84810247031111119</v>
      </c>
      <c r="AA50" s="449">
        <f t="shared" si="34"/>
        <v>5.0811759441653201</v>
      </c>
      <c r="AB50" s="451">
        <f t="shared" si="13"/>
        <v>0.10945590209380049</v>
      </c>
      <c r="AC50" s="449">
        <f t="shared" si="5"/>
        <v>8.2146188376439014E-2</v>
      </c>
      <c r="AD50" s="449">
        <f t="shared" si="6"/>
        <v>0.13964852023994631</v>
      </c>
      <c r="AE50" s="448">
        <f t="shared" si="35"/>
        <v>0</v>
      </c>
      <c r="AF50" s="449">
        <f t="shared" si="36"/>
        <v>5.2458359058191508</v>
      </c>
      <c r="AG50" s="449">
        <f t="shared" si="7"/>
        <v>0.35443507657643963</v>
      </c>
      <c r="AH50" s="449">
        <f t="shared" si="8"/>
        <v>0.60253963017994738</v>
      </c>
      <c r="AI50" s="448"/>
      <c r="AJ50" s="449">
        <f t="shared" si="14"/>
        <v>0.28697942281481476</v>
      </c>
      <c r="AK50" s="450">
        <f t="shared" si="37"/>
        <v>18.653662482962961</v>
      </c>
      <c r="AL50" s="449">
        <f t="shared" si="38"/>
        <v>9.7866537018499162</v>
      </c>
      <c r="AM50" s="451">
        <f>IF(ISERROR(VLOOKUP(C50,Riegos,2,FALSE)),VLOOKUP(C50,Riegos,2,FALSE),VLOOKUP($F$8,Nomen!$A$79:$B$80,2,FALSE)*IF(AND(H50&gt;120,D50&lt;0.45),0,IF(AQ49+AH50&gt;=AK50,MIN(AQ49,$AK$7),0)))</f>
        <v>0</v>
      </c>
      <c r="AN50" s="448">
        <f t="shared" si="15"/>
        <v>0</v>
      </c>
      <c r="AO50" s="448">
        <f t="shared" si="16"/>
        <v>1</v>
      </c>
      <c r="AP50" s="449">
        <f t="shared" si="17"/>
        <v>0.35443507657643963</v>
      </c>
      <c r="AQ50" s="449">
        <f t="shared" si="18"/>
        <v>9.7866537018499162</v>
      </c>
      <c r="AR50" s="449">
        <f t="shared" si="39"/>
        <v>36</v>
      </c>
      <c r="AS50" s="449">
        <f t="shared" si="40"/>
        <v>0.60253963017994738</v>
      </c>
      <c r="AT50" s="449">
        <f t="shared" si="41"/>
        <v>30.386653701849919</v>
      </c>
      <c r="AU50" s="453">
        <f t="shared" si="19"/>
        <v>0</v>
      </c>
      <c r="AV50" s="145">
        <f t="shared" si="20"/>
        <v>28.599999999999998</v>
      </c>
      <c r="AW50" s="178">
        <f t="shared" si="21"/>
        <v>0</v>
      </c>
      <c r="AX50" s="179">
        <f t="shared" si="22"/>
        <v>0</v>
      </c>
      <c r="AY50" s="145" t="str">
        <f t="shared" si="42"/>
        <v/>
      </c>
      <c r="AZ50" s="145">
        <f t="shared" si="23"/>
        <v>0</v>
      </c>
      <c r="BA50" s="145">
        <f t="shared" si="24"/>
        <v>0</v>
      </c>
      <c r="BB50" s="145">
        <f t="shared" si="25"/>
        <v>0</v>
      </c>
      <c r="BC50" s="145">
        <f t="shared" si="26"/>
        <v>0</v>
      </c>
      <c r="BD50" s="145">
        <f t="shared" si="27"/>
        <v>0</v>
      </c>
      <c r="BE50" s="145">
        <f t="shared" si="28"/>
        <v>0</v>
      </c>
      <c r="BF50" s="145" t="str">
        <f t="shared" si="29"/>
        <v/>
      </c>
    </row>
    <row r="51" spans="1:58" s="145" customFormat="1">
      <c r="A51" s="568"/>
      <c r="B51" s="116">
        <f t="shared" si="9"/>
        <v>48</v>
      </c>
      <c r="C51" s="69">
        <f t="shared" si="30"/>
        <v>42052</v>
      </c>
      <c r="D51" s="257">
        <f>IF(ISERROR(VLOOKUP($C51,'NDVI real'!$T$8:$U$313,2,FALSE)),VLOOKUP(SWB!C51,'NDVI tipo'!$T$8:$U$193,2),VLOOKUP($C51,'NDVI real'!$T$8:$U$313,2,FALSE))</f>
        <v>0.25842592546296345</v>
      </c>
      <c r="E51" s="170">
        <f t="shared" si="0"/>
        <v>2</v>
      </c>
      <c r="F51" s="170">
        <f t="shared" si="1"/>
        <v>17</v>
      </c>
      <c r="G51" s="170">
        <f t="shared" si="2"/>
        <v>2015</v>
      </c>
      <c r="H51" s="170">
        <f t="shared" si="10"/>
        <v>48</v>
      </c>
      <c r="I51" s="190">
        <f>IF(ISERROR(VLOOKUP($C51,Clima!$U$8:$AH$900,3,FALSE)),VLOOKUP($C51,Clima!$D$8:$R$900,3),VLOOKUP($C51,Clima!$U$8:$AH$900,3,FALSE))</f>
        <v>2</v>
      </c>
      <c r="J51" s="191"/>
      <c r="K51" s="170"/>
      <c r="L51" s="192">
        <f>IF(ISERROR(VLOOKUP($C51,Clima!$U$8:$AH$900,14,FALSE)),VLOOKUP($C51,Clima!$D$8:$R$900,14),VLOOKUP($C51,Clima!$U$8:$AH$900,14,FALSE))</f>
        <v>2.2000000000000002</v>
      </c>
      <c r="M51" s="190"/>
      <c r="N51" s="190"/>
      <c r="O51" s="191"/>
      <c r="P51" s="191">
        <f>IF(ISERROR(VLOOKUP($C51,Clima!$W$8:$AH$350,12,FALSE)),VLOOKUP($C51,Clima!$E$8:$P$350,12),VLOOKUP($C51,Clima!$W$8:$AH$350,12,FALSE))</f>
        <v>6.3</v>
      </c>
      <c r="Q51" s="170">
        <f t="shared" si="31"/>
        <v>14.454551058400014</v>
      </c>
      <c r="R51" s="254">
        <f>VLOOKUP(C51,Clima!$V$8:$AH$900,3,FALSE)+R50</f>
        <v>147.79999999999998</v>
      </c>
      <c r="S51" s="455">
        <f t="shared" si="32"/>
        <v>0.27213333266666739</v>
      </c>
      <c r="T51" s="449">
        <f t="shared" si="11"/>
        <v>0.59869333186666829</v>
      </c>
      <c r="U51" s="195"/>
      <c r="V51" s="445">
        <f t="shared" si="3"/>
        <v>1.0227846294533334</v>
      </c>
      <c r="W51" s="446">
        <f t="shared" si="43"/>
        <v>0</v>
      </c>
      <c r="X51" s="447">
        <f t="shared" si="33"/>
        <v>0.15189752968888884</v>
      </c>
      <c r="Y51" s="448">
        <f t="shared" si="12"/>
        <v>1</v>
      </c>
      <c r="Z51" s="449">
        <f t="shared" si="4"/>
        <v>0.84810247031111119</v>
      </c>
      <c r="AA51" s="449">
        <f t="shared" si="34"/>
        <v>0</v>
      </c>
      <c r="AB51" s="451">
        <f t="shared" si="13"/>
        <v>1</v>
      </c>
      <c r="AC51" s="449">
        <f t="shared" si="5"/>
        <v>0.75065129678666598</v>
      </c>
      <c r="AD51" s="449">
        <f t="shared" si="6"/>
        <v>1.6514328529306652</v>
      </c>
      <c r="AE51" s="448">
        <f t="shared" si="35"/>
        <v>1.054164094180849</v>
      </c>
      <c r="AF51" s="449">
        <f t="shared" si="36"/>
        <v>1.9472091059054064</v>
      </c>
      <c r="AG51" s="449">
        <f t="shared" si="7"/>
        <v>1.0227846294533334</v>
      </c>
      <c r="AH51" s="449">
        <f t="shared" si="8"/>
        <v>2.2501261847973337</v>
      </c>
      <c r="AI51" s="448"/>
      <c r="AJ51" s="449">
        <f t="shared" si="14"/>
        <v>0.28697942281481476</v>
      </c>
      <c r="AK51" s="450">
        <f t="shared" si="37"/>
        <v>18.653662482962961</v>
      </c>
      <c r="AL51" s="449">
        <f t="shared" si="38"/>
        <v>5.7367798866472501</v>
      </c>
      <c r="AM51" s="451">
        <f>IF(ISERROR(VLOOKUP(C51,Riegos,2,FALSE)),VLOOKUP(C51,Riegos,2,FALSE),VLOOKUP($F$8,Nomen!$A$79:$B$80,2,FALSE)*IF(AND(H51&gt;120,D51&lt;0.45),0,IF(AQ50+AH51&gt;=AK51,MIN(AQ50,$AK$7),0)))</f>
        <v>0</v>
      </c>
      <c r="AN51" s="448">
        <f t="shared" si="15"/>
        <v>0</v>
      </c>
      <c r="AO51" s="448">
        <f t="shared" si="16"/>
        <v>1</v>
      </c>
      <c r="AP51" s="449">
        <f t="shared" si="17"/>
        <v>1.0227846294533334</v>
      </c>
      <c r="AQ51" s="449">
        <f t="shared" si="18"/>
        <v>5.7367798866472501</v>
      </c>
      <c r="AR51" s="449">
        <f t="shared" si="39"/>
        <v>37</v>
      </c>
      <c r="AS51" s="449">
        <f t="shared" si="40"/>
        <v>2.2501261847973337</v>
      </c>
      <c r="AT51" s="449">
        <f t="shared" si="41"/>
        <v>32.636779886647254</v>
      </c>
      <c r="AU51" s="453">
        <f t="shared" si="19"/>
        <v>0</v>
      </c>
      <c r="AV51" s="145">
        <f t="shared" si="20"/>
        <v>34.9</v>
      </c>
      <c r="AW51" s="178">
        <f t="shared" si="21"/>
        <v>0</v>
      </c>
      <c r="AX51" s="179">
        <f t="shared" si="22"/>
        <v>0</v>
      </c>
      <c r="AY51" s="145" t="str">
        <f t="shared" si="42"/>
        <v/>
      </c>
      <c r="AZ51" s="145">
        <f t="shared" si="23"/>
        <v>0</v>
      </c>
      <c r="BA51" s="145">
        <f t="shared" si="24"/>
        <v>0</v>
      </c>
      <c r="BB51" s="145">
        <f t="shared" si="25"/>
        <v>0</v>
      </c>
      <c r="BC51" s="145">
        <f t="shared" si="26"/>
        <v>0</v>
      </c>
      <c r="BD51" s="145">
        <f t="shared" si="27"/>
        <v>0</v>
      </c>
      <c r="BE51" s="145">
        <f t="shared" si="28"/>
        <v>0</v>
      </c>
      <c r="BF51" s="145" t="str">
        <f t="shared" si="29"/>
        <v/>
      </c>
    </row>
    <row r="52" spans="1:58" s="145" customFormat="1">
      <c r="A52" s="568"/>
      <c r="B52" s="116">
        <f t="shared" si="9"/>
        <v>49</v>
      </c>
      <c r="C52" s="69">
        <f t="shared" si="30"/>
        <v>42053</v>
      </c>
      <c r="D52" s="257">
        <f>IF(ISERROR(VLOOKUP($C52,'NDVI real'!$T$8:$U$313,2,FALSE)),VLOOKUP(SWB!C52,'NDVI tipo'!$T$8:$U$193,2),VLOOKUP($C52,'NDVI real'!$T$8:$U$313,2,FALSE))</f>
        <v>0.25831790078703754</v>
      </c>
      <c r="E52" s="170">
        <f t="shared" si="0"/>
        <v>2</v>
      </c>
      <c r="F52" s="170">
        <f t="shared" si="1"/>
        <v>18</v>
      </c>
      <c r="G52" s="170">
        <f t="shared" si="2"/>
        <v>2015</v>
      </c>
      <c r="H52" s="170">
        <f t="shared" si="10"/>
        <v>49</v>
      </c>
      <c r="I52" s="190">
        <f>IF(ISERROR(VLOOKUP($C52,Clima!$U$8:$AH$900,3,FALSE)),VLOOKUP($C52,Clima!$D$8:$R$900,3),VLOOKUP($C52,Clima!$U$8:$AH$900,3,FALSE))</f>
        <v>4.2</v>
      </c>
      <c r="J52" s="191"/>
      <c r="K52" s="170"/>
      <c r="L52" s="192">
        <f>IF(ISERROR(VLOOKUP($C52,Clima!$U$8:$AH$900,14,FALSE)),VLOOKUP($C52,Clima!$D$8:$R$900,14),VLOOKUP($C52,Clima!$U$8:$AH$900,14,FALSE))</f>
        <v>1</v>
      </c>
      <c r="M52" s="190"/>
      <c r="N52" s="190"/>
      <c r="O52" s="191"/>
      <c r="P52" s="191">
        <f>IF(ISERROR(VLOOKUP($C52,Clima!$W$8:$AH$350,12,FALSE)),VLOOKUP($C52,Clima!$E$8:$P$350,12),VLOOKUP($C52,Clima!$W$8:$AH$350,12,FALSE))</f>
        <v>0</v>
      </c>
      <c r="Q52" s="170">
        <f t="shared" si="31"/>
        <v>14.726528835533347</v>
      </c>
      <c r="R52" s="254">
        <f>VLOOKUP(C52,Clima!$V$8:$AH$900,3,FALSE)+R51</f>
        <v>153.39999999999998</v>
      </c>
      <c r="S52" s="455">
        <f t="shared" si="32"/>
        <v>0.27197777713333404</v>
      </c>
      <c r="T52" s="449">
        <f t="shared" si="11"/>
        <v>0.27197777713333404</v>
      </c>
      <c r="U52" s="195"/>
      <c r="V52" s="445">
        <f t="shared" si="3"/>
        <v>1.0227846294533334</v>
      </c>
      <c r="W52" s="446">
        <f t="shared" si="43"/>
        <v>0</v>
      </c>
      <c r="X52" s="447">
        <f t="shared" si="33"/>
        <v>0.15189752968888884</v>
      </c>
      <c r="Y52" s="448">
        <f t="shared" si="12"/>
        <v>1</v>
      </c>
      <c r="Z52" s="449">
        <f t="shared" si="4"/>
        <v>0.84810247031111119</v>
      </c>
      <c r="AA52" s="449">
        <f t="shared" si="34"/>
        <v>1.9472091059054064</v>
      </c>
      <c r="AB52" s="451">
        <f t="shared" si="13"/>
        <v>1</v>
      </c>
      <c r="AC52" s="449">
        <f t="shared" si="5"/>
        <v>0.75080685231999933</v>
      </c>
      <c r="AD52" s="449">
        <f t="shared" si="6"/>
        <v>0.75080685231999933</v>
      </c>
      <c r="AE52" s="448">
        <f t="shared" si="35"/>
        <v>0</v>
      </c>
      <c r="AF52" s="449">
        <f t="shared" si="36"/>
        <v>2.8324875700096075</v>
      </c>
      <c r="AG52" s="449">
        <f t="shared" si="7"/>
        <v>1.0227846294533334</v>
      </c>
      <c r="AH52" s="449">
        <f t="shared" si="8"/>
        <v>1.0227846294533334</v>
      </c>
      <c r="AI52" s="448"/>
      <c r="AJ52" s="449">
        <f t="shared" si="14"/>
        <v>0.28697942281481476</v>
      </c>
      <c r="AK52" s="450">
        <f t="shared" si="37"/>
        <v>18.653662482962961</v>
      </c>
      <c r="AL52" s="449">
        <f t="shared" si="38"/>
        <v>6.7595645161005837</v>
      </c>
      <c r="AM52" s="451">
        <f>IF(ISERROR(VLOOKUP(C52,Riegos,2,FALSE)),VLOOKUP(C52,Riegos,2,FALSE),VLOOKUP($F$8,Nomen!$A$79:$B$80,2,FALSE)*IF(AND(H52&gt;120,D52&lt;0.45),0,IF(AQ51+AH52&gt;=AK52,MIN(AQ51,$AK$7),0)))</f>
        <v>0</v>
      </c>
      <c r="AN52" s="448">
        <f t="shared" si="15"/>
        <v>0</v>
      </c>
      <c r="AO52" s="448">
        <f t="shared" si="16"/>
        <v>1</v>
      </c>
      <c r="AP52" s="449">
        <f t="shared" si="17"/>
        <v>1.0227846294533334</v>
      </c>
      <c r="AQ52" s="449">
        <f t="shared" si="18"/>
        <v>6.7595645161005837</v>
      </c>
      <c r="AR52" s="449">
        <f t="shared" si="39"/>
        <v>38</v>
      </c>
      <c r="AS52" s="449">
        <f t="shared" si="40"/>
        <v>1.0227846294533334</v>
      </c>
      <c r="AT52" s="449">
        <f t="shared" si="41"/>
        <v>33.659564516100588</v>
      </c>
      <c r="AU52" s="453">
        <f t="shared" si="19"/>
        <v>0</v>
      </c>
      <c r="AV52" s="145">
        <f t="shared" si="20"/>
        <v>34.9</v>
      </c>
      <c r="AW52" s="178">
        <f t="shared" si="21"/>
        <v>0</v>
      </c>
      <c r="AX52" s="179">
        <f t="shared" si="22"/>
        <v>0</v>
      </c>
      <c r="AY52" s="145" t="str">
        <f t="shared" si="42"/>
        <v/>
      </c>
      <c r="AZ52" s="145">
        <f t="shared" si="23"/>
        <v>0</v>
      </c>
      <c r="BA52" s="145">
        <f t="shared" si="24"/>
        <v>0</v>
      </c>
      <c r="BB52" s="145">
        <f t="shared" si="25"/>
        <v>0</v>
      </c>
      <c r="BC52" s="145">
        <f t="shared" si="26"/>
        <v>0</v>
      </c>
      <c r="BD52" s="145">
        <f t="shared" si="27"/>
        <v>0</v>
      </c>
      <c r="BE52" s="145">
        <f t="shared" si="28"/>
        <v>0</v>
      </c>
      <c r="BF52" s="145" t="str">
        <f t="shared" si="29"/>
        <v/>
      </c>
    </row>
    <row r="53" spans="1:58" s="145" customFormat="1">
      <c r="A53" s="568"/>
      <c r="B53" s="116">
        <f t="shared" si="9"/>
        <v>50</v>
      </c>
      <c r="C53" s="69">
        <f t="shared" si="30"/>
        <v>42054</v>
      </c>
      <c r="D53" s="257">
        <f>IF(ISERROR(VLOOKUP($C53,'NDVI real'!$T$8:$U$313,2,FALSE)),VLOOKUP(SWB!C53,'NDVI tipo'!$T$8:$U$193,2),VLOOKUP($C53,'NDVI real'!$T$8:$U$313,2,FALSE))</f>
        <v>0.25820987611111162</v>
      </c>
      <c r="E53" s="170">
        <f t="shared" si="0"/>
        <v>2</v>
      </c>
      <c r="F53" s="170">
        <f t="shared" si="1"/>
        <v>19</v>
      </c>
      <c r="G53" s="170">
        <f t="shared" si="2"/>
        <v>2015</v>
      </c>
      <c r="H53" s="170">
        <f t="shared" si="10"/>
        <v>50</v>
      </c>
      <c r="I53" s="190">
        <f>IF(ISERROR(VLOOKUP($C53,Clima!$U$8:$AH$900,3,FALSE)),VLOOKUP($C53,Clima!$D$8:$R$900,3),VLOOKUP($C53,Clima!$U$8:$AH$900,3,FALSE))</f>
        <v>4.7</v>
      </c>
      <c r="J53" s="191"/>
      <c r="K53" s="170"/>
      <c r="L53" s="192">
        <f>IF(ISERROR(VLOOKUP($C53,Clima!$U$8:$AH$900,14,FALSE)),VLOOKUP($C53,Clima!$D$8:$R$900,14),VLOOKUP($C53,Clima!$U$8:$AH$900,14,FALSE))</f>
        <v>1.4</v>
      </c>
      <c r="M53" s="190"/>
      <c r="N53" s="190"/>
      <c r="O53" s="191"/>
      <c r="P53" s="191">
        <f>IF(ISERROR(VLOOKUP($C53,Clima!$W$8:$AH$350,12,FALSE)),VLOOKUP($C53,Clima!$E$8:$P$350,12),VLOOKUP($C53,Clima!$W$8:$AH$350,12,FALSE))</f>
        <v>0</v>
      </c>
      <c r="Q53" s="170">
        <f t="shared" si="31"/>
        <v>15.107079945773348</v>
      </c>
      <c r="R53" s="254">
        <f>VLOOKUP(C53,Clima!$V$8:$AH$900,3,FALSE)+R52</f>
        <v>157.79999999999998</v>
      </c>
      <c r="S53" s="455">
        <f t="shared" si="32"/>
        <v>0.27182222160000069</v>
      </c>
      <c r="T53" s="449">
        <f t="shared" si="11"/>
        <v>0.38055111024000093</v>
      </c>
      <c r="U53" s="195"/>
      <c r="V53" s="445">
        <f t="shared" si="3"/>
        <v>1.0227846294533334</v>
      </c>
      <c r="W53" s="446">
        <f t="shared" si="43"/>
        <v>0</v>
      </c>
      <c r="X53" s="447">
        <f t="shared" si="33"/>
        <v>0.15189752968888884</v>
      </c>
      <c r="Y53" s="448">
        <f t="shared" si="12"/>
        <v>1</v>
      </c>
      <c r="Z53" s="449">
        <f t="shared" si="4"/>
        <v>0.84810247031111119</v>
      </c>
      <c r="AA53" s="449">
        <f t="shared" si="34"/>
        <v>2.8324875700096075</v>
      </c>
      <c r="AB53" s="451">
        <f t="shared" si="13"/>
        <v>1</v>
      </c>
      <c r="AC53" s="449">
        <f t="shared" si="5"/>
        <v>0.75096240785333268</v>
      </c>
      <c r="AD53" s="449">
        <f t="shared" si="6"/>
        <v>1.0513473709946657</v>
      </c>
      <c r="AE53" s="448">
        <f t="shared" si="35"/>
        <v>0</v>
      </c>
      <c r="AF53" s="449">
        <f t="shared" si="36"/>
        <v>4.072134202107021</v>
      </c>
      <c r="AG53" s="449">
        <f t="shared" si="7"/>
        <v>1.0227846294533334</v>
      </c>
      <c r="AH53" s="449">
        <f t="shared" si="8"/>
        <v>1.4318984812346667</v>
      </c>
      <c r="AI53" s="448"/>
      <c r="AJ53" s="449">
        <f t="shared" si="14"/>
        <v>0.28697942281481476</v>
      </c>
      <c r="AK53" s="450">
        <f t="shared" si="37"/>
        <v>18.653662482962961</v>
      </c>
      <c r="AL53" s="449">
        <f t="shared" si="38"/>
        <v>8.1914629973352504</v>
      </c>
      <c r="AM53" s="451">
        <f>IF(ISERROR(VLOOKUP(C53,Riegos,2,FALSE)),VLOOKUP(C53,Riegos,2,FALSE),VLOOKUP($F$8,Nomen!$A$79:$B$80,2,FALSE)*IF(AND(H53&gt;120,D53&lt;0.45),0,IF(AQ52+AH53&gt;=AK53,MIN(AQ52,$AK$7),0)))</f>
        <v>0</v>
      </c>
      <c r="AN53" s="448">
        <f t="shared" si="15"/>
        <v>0</v>
      </c>
      <c r="AO53" s="448">
        <f t="shared" si="16"/>
        <v>1</v>
      </c>
      <c r="AP53" s="449">
        <f t="shared" si="17"/>
        <v>1.0227846294533334</v>
      </c>
      <c r="AQ53" s="449">
        <f t="shared" si="18"/>
        <v>8.1914629973352504</v>
      </c>
      <c r="AR53" s="449">
        <f t="shared" si="39"/>
        <v>39</v>
      </c>
      <c r="AS53" s="449">
        <f t="shared" si="40"/>
        <v>1.4318984812346667</v>
      </c>
      <c r="AT53" s="449">
        <f t="shared" si="41"/>
        <v>35.091462997335256</v>
      </c>
      <c r="AU53" s="453">
        <f t="shared" si="19"/>
        <v>0</v>
      </c>
      <c r="AV53" s="145">
        <f t="shared" si="20"/>
        <v>34.9</v>
      </c>
      <c r="AW53" s="178">
        <f t="shared" si="21"/>
        <v>0</v>
      </c>
      <c r="AX53" s="179">
        <f t="shared" si="22"/>
        <v>0</v>
      </c>
      <c r="AY53" s="145" t="str">
        <f t="shared" si="42"/>
        <v/>
      </c>
      <c r="AZ53" s="145">
        <f t="shared" si="23"/>
        <v>0</v>
      </c>
      <c r="BA53" s="145">
        <f t="shared" si="24"/>
        <v>0</v>
      </c>
      <c r="BB53" s="145">
        <f t="shared" si="25"/>
        <v>0</v>
      </c>
      <c r="BC53" s="145">
        <f t="shared" si="26"/>
        <v>0</v>
      </c>
      <c r="BD53" s="145">
        <f t="shared" si="27"/>
        <v>0</v>
      </c>
      <c r="BE53" s="145">
        <f t="shared" si="28"/>
        <v>0</v>
      </c>
      <c r="BF53" s="145" t="str">
        <f t="shared" si="29"/>
        <v/>
      </c>
    </row>
    <row r="54" spans="1:58" s="145" customFormat="1">
      <c r="A54" s="568"/>
      <c r="B54" s="116">
        <f t="shared" si="9"/>
        <v>51</v>
      </c>
      <c r="C54" s="69">
        <f t="shared" si="30"/>
        <v>42055</v>
      </c>
      <c r="D54" s="257">
        <f>IF(ISERROR(VLOOKUP($C54,'NDVI real'!$T$8:$U$313,2,FALSE)),VLOOKUP(SWB!C54,'NDVI tipo'!$T$8:$U$193,2),VLOOKUP($C54,'NDVI real'!$T$8:$U$313,2,FALSE))</f>
        <v>0.25810185143518571</v>
      </c>
      <c r="E54" s="170">
        <f t="shared" si="0"/>
        <v>2</v>
      </c>
      <c r="F54" s="170">
        <f t="shared" si="1"/>
        <v>20</v>
      </c>
      <c r="G54" s="170">
        <f t="shared" si="2"/>
        <v>2015</v>
      </c>
      <c r="H54" s="170">
        <f t="shared" si="10"/>
        <v>51</v>
      </c>
      <c r="I54" s="190">
        <f>IF(ISERROR(VLOOKUP($C54,Clima!$U$8:$AH$900,3,FALSE)),VLOOKUP($C54,Clima!$D$8:$R$900,3),VLOOKUP($C54,Clima!$U$8:$AH$900,3,FALSE))</f>
        <v>4.8</v>
      </c>
      <c r="J54" s="191"/>
      <c r="K54" s="170"/>
      <c r="L54" s="192">
        <f>IF(ISERROR(VLOOKUP($C54,Clima!$U$8:$AH$900,14,FALSE)),VLOOKUP($C54,Clima!$D$8:$R$900,14),VLOOKUP($C54,Clima!$U$8:$AH$900,14,FALSE))</f>
        <v>2</v>
      </c>
      <c r="M54" s="190"/>
      <c r="N54" s="190"/>
      <c r="O54" s="191"/>
      <c r="P54" s="191">
        <f>IF(ISERROR(VLOOKUP($C54,Clima!$W$8:$AH$350,12,FALSE)),VLOOKUP($C54,Clima!$E$8:$P$350,12),VLOOKUP($C54,Clima!$W$8:$AH$350,12,FALSE))</f>
        <v>0.2</v>
      </c>
      <c r="Q54" s="170">
        <f t="shared" si="31"/>
        <v>15.650413277906683</v>
      </c>
      <c r="R54" s="254">
        <f>VLOOKUP(C54,Clima!$V$8:$AH$900,3,FALSE)+R53</f>
        <v>161.49999999999997</v>
      </c>
      <c r="S54" s="455">
        <f t="shared" si="32"/>
        <v>0.27166666606666745</v>
      </c>
      <c r="T54" s="449">
        <f t="shared" si="11"/>
        <v>0.5433333321333349</v>
      </c>
      <c r="U54" s="195"/>
      <c r="V54" s="445">
        <f t="shared" si="3"/>
        <v>1.0227846294533334</v>
      </c>
      <c r="W54" s="446">
        <f t="shared" si="43"/>
        <v>0</v>
      </c>
      <c r="X54" s="447">
        <f t="shared" si="33"/>
        <v>0.15189752968888884</v>
      </c>
      <c r="Y54" s="448">
        <f t="shared" si="12"/>
        <v>1</v>
      </c>
      <c r="Z54" s="449">
        <f t="shared" si="4"/>
        <v>0.84810247031111119</v>
      </c>
      <c r="AA54" s="449">
        <f t="shared" si="34"/>
        <v>3.8721342021070209</v>
      </c>
      <c r="AB54" s="451">
        <f t="shared" si="13"/>
        <v>1</v>
      </c>
      <c r="AC54" s="449">
        <f t="shared" si="5"/>
        <v>0.75111796338666592</v>
      </c>
      <c r="AD54" s="449">
        <f t="shared" si="6"/>
        <v>1.5022359267733318</v>
      </c>
      <c r="AE54" s="448">
        <f t="shared" si="35"/>
        <v>0</v>
      </c>
      <c r="AF54" s="449">
        <f t="shared" si="36"/>
        <v>5.6434247941769433</v>
      </c>
      <c r="AG54" s="449">
        <f t="shared" si="7"/>
        <v>1.0227846294533334</v>
      </c>
      <c r="AH54" s="449">
        <f t="shared" si="8"/>
        <v>2.0455692589066667</v>
      </c>
      <c r="AI54" s="448"/>
      <c r="AJ54" s="449">
        <f t="shared" si="14"/>
        <v>0.28697942281481476</v>
      </c>
      <c r="AK54" s="450">
        <f t="shared" si="37"/>
        <v>18.653662482962961</v>
      </c>
      <c r="AL54" s="449">
        <f t="shared" si="38"/>
        <v>10.037032256241917</v>
      </c>
      <c r="AM54" s="451">
        <f>IF(ISERROR(VLOOKUP(C54,Riegos,2,FALSE)),VLOOKUP(C54,Riegos,2,FALSE),VLOOKUP($F$8,Nomen!$A$79:$B$80,2,FALSE)*IF(AND(H54&gt;120,D54&lt;0.45),0,IF(AQ53+AH54&gt;=AK54,MIN(AQ53,$AK$7),0)))</f>
        <v>0</v>
      </c>
      <c r="AN54" s="448">
        <f t="shared" si="15"/>
        <v>0</v>
      </c>
      <c r="AO54" s="448">
        <f t="shared" si="16"/>
        <v>1</v>
      </c>
      <c r="AP54" s="449">
        <f t="shared" si="17"/>
        <v>1.0227846294533334</v>
      </c>
      <c r="AQ54" s="449">
        <f t="shared" si="18"/>
        <v>10.037032256241917</v>
      </c>
      <c r="AR54" s="449">
        <f t="shared" si="39"/>
        <v>40</v>
      </c>
      <c r="AS54" s="449">
        <f t="shared" si="40"/>
        <v>2.0455692589066667</v>
      </c>
      <c r="AT54" s="449">
        <f t="shared" si="41"/>
        <v>37.137032256241923</v>
      </c>
      <c r="AU54" s="453">
        <f t="shared" si="19"/>
        <v>0</v>
      </c>
      <c r="AV54" s="145">
        <f t="shared" si="20"/>
        <v>35.1</v>
      </c>
      <c r="AW54" s="178">
        <f t="shared" si="21"/>
        <v>0</v>
      </c>
      <c r="AX54" s="179">
        <f t="shared" si="22"/>
        <v>0</v>
      </c>
      <c r="AY54" s="145" t="str">
        <f t="shared" si="42"/>
        <v/>
      </c>
      <c r="AZ54" s="145">
        <f t="shared" si="23"/>
        <v>0</v>
      </c>
      <c r="BA54" s="145">
        <f t="shared" si="24"/>
        <v>0</v>
      </c>
      <c r="BB54" s="145">
        <f t="shared" si="25"/>
        <v>0</v>
      </c>
      <c r="BC54" s="145">
        <f t="shared" si="26"/>
        <v>0</v>
      </c>
      <c r="BD54" s="145">
        <f t="shared" si="27"/>
        <v>0</v>
      </c>
      <c r="BE54" s="145">
        <f t="shared" si="28"/>
        <v>0</v>
      </c>
      <c r="BF54" s="145" t="str">
        <f t="shared" si="29"/>
        <v/>
      </c>
    </row>
    <row r="55" spans="1:58" s="145" customFormat="1">
      <c r="A55" s="568"/>
      <c r="B55" s="116">
        <f t="shared" si="9"/>
        <v>52</v>
      </c>
      <c r="C55" s="69">
        <f t="shared" si="30"/>
        <v>42056</v>
      </c>
      <c r="D55" s="257">
        <f>IF(ISERROR(VLOOKUP($C55,'NDVI real'!$T$8:$U$313,2,FALSE)),VLOOKUP(SWB!C55,'NDVI tipo'!$T$8:$U$193,2),VLOOKUP($C55,'NDVI real'!$T$8:$U$313,2,FALSE))</f>
        <v>0.2579938267592598</v>
      </c>
      <c r="E55" s="170">
        <f t="shared" si="0"/>
        <v>2</v>
      </c>
      <c r="F55" s="170">
        <f t="shared" si="1"/>
        <v>21</v>
      </c>
      <c r="G55" s="170">
        <f t="shared" si="2"/>
        <v>2015</v>
      </c>
      <c r="H55" s="170">
        <f t="shared" si="10"/>
        <v>52</v>
      </c>
      <c r="I55" s="190">
        <f>IF(ISERROR(VLOOKUP($C55,Clima!$U$8:$AH$900,3,FALSE)),VLOOKUP($C55,Clima!$D$8:$R$900,3),VLOOKUP($C55,Clima!$U$8:$AH$900,3,FALSE))</f>
        <v>6.1</v>
      </c>
      <c r="J55" s="191"/>
      <c r="K55" s="170"/>
      <c r="L55" s="192">
        <f>IF(ISERROR(VLOOKUP($C55,Clima!$U$8:$AH$900,14,FALSE)),VLOOKUP($C55,Clima!$D$8:$R$900,14),VLOOKUP($C55,Clima!$U$8:$AH$900,14,FALSE))</f>
        <v>1.8</v>
      </c>
      <c r="M55" s="190"/>
      <c r="N55" s="190"/>
      <c r="O55" s="191"/>
      <c r="P55" s="191">
        <f>IF(ISERROR(VLOOKUP($C55,Clima!$W$8:$AH$350,12,FALSE)),VLOOKUP($C55,Clima!$E$8:$P$350,12),VLOOKUP($C55,Clima!$W$8:$AH$350,12,FALSE))</f>
        <v>1.4</v>
      </c>
      <c r="Q55" s="170">
        <f t="shared" si="31"/>
        <v>16.139133276866684</v>
      </c>
      <c r="R55" s="254">
        <f>VLOOKUP(C55,Clima!$V$8:$AH$900,3,FALSE)+R54</f>
        <v>165.99999999999997</v>
      </c>
      <c r="S55" s="455">
        <f t="shared" si="32"/>
        <v>0.2715111105333341</v>
      </c>
      <c r="T55" s="449">
        <f t="shared" si="11"/>
        <v>0.4887199989600014</v>
      </c>
      <c r="U55" s="195"/>
      <c r="V55" s="445">
        <f t="shared" si="3"/>
        <v>1.0227846294533334</v>
      </c>
      <c r="W55" s="446">
        <f t="shared" si="43"/>
        <v>0</v>
      </c>
      <c r="X55" s="447">
        <f t="shared" si="33"/>
        <v>0.15189752968888884</v>
      </c>
      <c r="Y55" s="448">
        <f t="shared" si="12"/>
        <v>1</v>
      </c>
      <c r="Z55" s="449">
        <f t="shared" si="4"/>
        <v>0.84810247031111119</v>
      </c>
      <c r="AA55" s="449">
        <f t="shared" si="34"/>
        <v>4.2434247941769438</v>
      </c>
      <c r="AB55" s="451">
        <f t="shared" si="13"/>
        <v>0.14087157021836461</v>
      </c>
      <c r="AC55" s="449">
        <f t="shared" si="5"/>
        <v>0.10583308027373654</v>
      </c>
      <c r="AD55" s="449">
        <f t="shared" si="6"/>
        <v>0.19049954449272577</v>
      </c>
      <c r="AE55" s="448">
        <f t="shared" si="35"/>
        <v>0</v>
      </c>
      <c r="AF55" s="449">
        <f t="shared" si="36"/>
        <v>4.4680433410641429</v>
      </c>
      <c r="AG55" s="449">
        <f t="shared" si="7"/>
        <v>0.37734419080707066</v>
      </c>
      <c r="AH55" s="449">
        <f t="shared" si="8"/>
        <v>0.67921954345272717</v>
      </c>
      <c r="AI55" s="448"/>
      <c r="AJ55" s="449">
        <f t="shared" si="14"/>
        <v>0.28697942281481476</v>
      </c>
      <c r="AK55" s="450">
        <f t="shared" si="37"/>
        <v>18.653662482962961</v>
      </c>
      <c r="AL55" s="449">
        <f t="shared" si="38"/>
        <v>9.3162517996946441</v>
      </c>
      <c r="AM55" s="451">
        <f>IF(ISERROR(VLOOKUP(C55,Riegos,2,FALSE)),VLOOKUP(C55,Riegos,2,FALSE),VLOOKUP($F$8,Nomen!$A$79:$B$80,2,FALSE)*IF(AND(H55&gt;120,D55&lt;0.45),0,IF(AQ54+AH55&gt;=AK55,MIN(AQ54,$AK$7),0)))</f>
        <v>0</v>
      </c>
      <c r="AN55" s="448">
        <f t="shared" si="15"/>
        <v>0</v>
      </c>
      <c r="AO55" s="448">
        <f t="shared" si="16"/>
        <v>1</v>
      </c>
      <c r="AP55" s="449">
        <f t="shared" si="17"/>
        <v>0.37734419080707066</v>
      </c>
      <c r="AQ55" s="449">
        <f t="shared" si="18"/>
        <v>9.3162517996946441</v>
      </c>
      <c r="AR55" s="449">
        <f t="shared" si="39"/>
        <v>41</v>
      </c>
      <c r="AS55" s="449">
        <f t="shared" si="40"/>
        <v>0.67921954345272717</v>
      </c>
      <c r="AT55" s="449">
        <f t="shared" si="41"/>
        <v>37.816251799694648</v>
      </c>
      <c r="AU55" s="453">
        <f t="shared" si="19"/>
        <v>0</v>
      </c>
      <c r="AV55" s="145">
        <f t="shared" si="20"/>
        <v>36.5</v>
      </c>
      <c r="AW55" s="178">
        <f t="shared" si="21"/>
        <v>0</v>
      </c>
      <c r="AX55" s="179">
        <f t="shared" si="22"/>
        <v>0</v>
      </c>
      <c r="AY55" s="145" t="str">
        <f t="shared" si="42"/>
        <v/>
      </c>
      <c r="AZ55" s="145">
        <f t="shared" si="23"/>
        <v>0</v>
      </c>
      <c r="BA55" s="145">
        <f t="shared" si="24"/>
        <v>0</v>
      </c>
      <c r="BB55" s="145">
        <f t="shared" si="25"/>
        <v>0</v>
      </c>
      <c r="BC55" s="145">
        <f t="shared" si="26"/>
        <v>0</v>
      </c>
      <c r="BD55" s="145">
        <f t="shared" si="27"/>
        <v>0</v>
      </c>
      <c r="BE55" s="145">
        <f t="shared" si="28"/>
        <v>0</v>
      </c>
      <c r="BF55" s="145" t="str">
        <f t="shared" si="29"/>
        <v/>
      </c>
    </row>
    <row r="56" spans="1:58" s="145" customFormat="1">
      <c r="A56" s="568"/>
      <c r="B56" s="116">
        <f t="shared" si="9"/>
        <v>53</v>
      </c>
      <c r="C56" s="69">
        <f t="shared" si="30"/>
        <v>42057</v>
      </c>
      <c r="D56" s="257">
        <f>IF(ISERROR(VLOOKUP($C56,'NDVI real'!$T$8:$U$313,2,FALSE)),VLOOKUP(SWB!C56,'NDVI tipo'!$T$8:$U$193,2),VLOOKUP($C56,'NDVI real'!$T$8:$U$313,2,FALSE))</f>
        <v>0.25788580208333389</v>
      </c>
      <c r="E56" s="170">
        <f t="shared" si="0"/>
        <v>2</v>
      </c>
      <c r="F56" s="170">
        <f t="shared" si="1"/>
        <v>22</v>
      </c>
      <c r="G56" s="170">
        <f t="shared" si="2"/>
        <v>2015</v>
      </c>
      <c r="H56" s="170">
        <f t="shared" si="10"/>
        <v>53</v>
      </c>
      <c r="I56" s="190">
        <f>IF(ISERROR(VLOOKUP($C56,Clima!$U$8:$AH$900,3,FALSE)),VLOOKUP($C56,Clima!$D$8:$R$900,3),VLOOKUP($C56,Clima!$U$8:$AH$900,3,FALSE))</f>
        <v>8.6</v>
      </c>
      <c r="J56" s="191"/>
      <c r="K56" s="170"/>
      <c r="L56" s="192">
        <f>IF(ISERROR(VLOOKUP($C56,Clima!$U$8:$AH$900,14,FALSE)),VLOOKUP($C56,Clima!$D$8:$R$900,14),VLOOKUP($C56,Clima!$U$8:$AH$900,14,FALSE))</f>
        <v>2.6</v>
      </c>
      <c r="M56" s="190"/>
      <c r="N56" s="190"/>
      <c r="O56" s="191"/>
      <c r="P56" s="191">
        <f>IF(ISERROR(VLOOKUP($C56,Clima!$W$8:$AH$350,12,FALSE)),VLOOKUP($C56,Clima!$E$8:$P$350,12),VLOOKUP($C56,Clima!$W$8:$AH$350,12,FALSE))</f>
        <v>0</v>
      </c>
      <c r="Q56" s="170">
        <f t="shared" si="31"/>
        <v>16.844657719866685</v>
      </c>
      <c r="R56" s="254">
        <f>VLOOKUP(C56,Clima!$V$8:$AH$900,3,FALSE)+R55</f>
        <v>172.39999999999998</v>
      </c>
      <c r="S56" s="455">
        <f t="shared" si="32"/>
        <v>0.27135555500000075</v>
      </c>
      <c r="T56" s="449">
        <f t="shared" si="11"/>
        <v>0.70552444300000194</v>
      </c>
      <c r="U56" s="195"/>
      <c r="V56" s="445">
        <f t="shared" si="3"/>
        <v>1.0227846294533334</v>
      </c>
      <c r="W56" s="446">
        <f t="shared" si="43"/>
        <v>0</v>
      </c>
      <c r="X56" s="447">
        <f t="shared" si="33"/>
        <v>0.15189752968888884</v>
      </c>
      <c r="Y56" s="448">
        <f t="shared" si="12"/>
        <v>1</v>
      </c>
      <c r="Z56" s="449">
        <f t="shared" si="4"/>
        <v>0.84810247031111119</v>
      </c>
      <c r="AA56" s="449">
        <f t="shared" si="34"/>
        <v>4.4680433410641429</v>
      </c>
      <c r="AB56" s="451">
        <f t="shared" si="13"/>
        <v>0.13244837471009463</v>
      </c>
      <c r="AC56" s="449">
        <f t="shared" si="5"/>
        <v>9.9525559621254589E-2</v>
      </c>
      <c r="AD56" s="449">
        <f t="shared" si="6"/>
        <v>0.25876645501526196</v>
      </c>
      <c r="AE56" s="448">
        <f t="shared" si="35"/>
        <v>0</v>
      </c>
      <c r="AF56" s="449">
        <f t="shared" si="36"/>
        <v>4.7731555935026222</v>
      </c>
      <c r="AG56" s="449">
        <f t="shared" si="7"/>
        <v>0.37088111462125534</v>
      </c>
      <c r="AH56" s="449">
        <f t="shared" si="8"/>
        <v>0.96429089801526391</v>
      </c>
      <c r="AI56" s="448"/>
      <c r="AJ56" s="449">
        <f t="shared" si="14"/>
        <v>0.28697942281481476</v>
      </c>
      <c r="AK56" s="450">
        <f t="shared" si="37"/>
        <v>18.653662482962961</v>
      </c>
      <c r="AL56" s="449">
        <f t="shared" si="38"/>
        <v>10.280542697709908</v>
      </c>
      <c r="AM56" s="451">
        <f>IF(ISERROR(VLOOKUP(C56,Riegos,2,FALSE)),VLOOKUP(C56,Riegos,2,FALSE),VLOOKUP($F$8,Nomen!$A$79:$B$80,2,FALSE)*IF(AND(H56&gt;120,D56&lt;0.45),0,IF(AQ55+AH56&gt;=AK56,MIN(AQ55,$AK$7),0)))</f>
        <v>0</v>
      </c>
      <c r="AN56" s="448">
        <f t="shared" si="15"/>
        <v>0</v>
      </c>
      <c r="AO56" s="448">
        <f t="shared" si="16"/>
        <v>1</v>
      </c>
      <c r="AP56" s="449">
        <f t="shared" si="17"/>
        <v>0.37088111462125534</v>
      </c>
      <c r="AQ56" s="449">
        <f t="shared" si="18"/>
        <v>10.280542697709908</v>
      </c>
      <c r="AR56" s="449">
        <f t="shared" si="39"/>
        <v>42</v>
      </c>
      <c r="AS56" s="449">
        <f t="shared" si="40"/>
        <v>0.96429089801526391</v>
      </c>
      <c r="AT56" s="449">
        <f t="shared" si="41"/>
        <v>38.780542697709912</v>
      </c>
      <c r="AU56" s="453">
        <f t="shared" si="19"/>
        <v>0</v>
      </c>
      <c r="AV56" s="145">
        <f t="shared" si="20"/>
        <v>36.5</v>
      </c>
      <c r="AW56" s="178">
        <f t="shared" si="21"/>
        <v>0</v>
      </c>
      <c r="AX56" s="179">
        <f t="shared" si="22"/>
        <v>0</v>
      </c>
      <c r="AY56" s="145" t="str">
        <f t="shared" si="42"/>
        <v/>
      </c>
      <c r="AZ56" s="145">
        <f t="shared" si="23"/>
        <v>0</v>
      </c>
      <c r="BA56" s="145">
        <f t="shared" si="24"/>
        <v>0</v>
      </c>
      <c r="BB56" s="145">
        <f t="shared" si="25"/>
        <v>0</v>
      </c>
      <c r="BC56" s="145">
        <f t="shared" si="26"/>
        <v>0</v>
      </c>
      <c r="BD56" s="145">
        <f t="shared" si="27"/>
        <v>0</v>
      </c>
      <c r="BE56" s="145">
        <f t="shared" si="28"/>
        <v>0</v>
      </c>
      <c r="BF56" s="145" t="str">
        <f t="shared" si="29"/>
        <v/>
      </c>
    </row>
    <row r="57" spans="1:58" s="145" customFormat="1">
      <c r="A57" s="568"/>
      <c r="B57" s="116">
        <f t="shared" si="9"/>
        <v>54</v>
      </c>
      <c r="C57" s="69">
        <f t="shared" si="30"/>
        <v>42058</v>
      </c>
      <c r="D57" s="257">
        <f>IF(ISERROR(VLOOKUP($C57,'NDVI real'!$T$8:$U$313,2,FALSE)),VLOOKUP(SWB!C57,'NDVI tipo'!$T$8:$U$193,2),VLOOKUP($C57,'NDVI real'!$T$8:$U$313,2,FALSE))</f>
        <v>0.25777777740740798</v>
      </c>
      <c r="E57" s="170">
        <f t="shared" si="0"/>
        <v>2</v>
      </c>
      <c r="F57" s="170">
        <f t="shared" si="1"/>
        <v>23</v>
      </c>
      <c r="G57" s="170">
        <f t="shared" si="2"/>
        <v>2015</v>
      </c>
      <c r="H57" s="170">
        <f t="shared" si="10"/>
        <v>54</v>
      </c>
      <c r="I57" s="190">
        <f>IF(ISERROR(VLOOKUP($C57,Clima!$U$8:$AH$900,3,FALSE)),VLOOKUP($C57,Clima!$D$8:$R$900,3),VLOOKUP($C57,Clima!$U$8:$AH$900,3,FALSE))</f>
        <v>7.4</v>
      </c>
      <c r="J57" s="191"/>
      <c r="K57" s="170"/>
      <c r="L57" s="192">
        <f>IF(ISERROR(VLOOKUP($C57,Clima!$U$8:$AH$900,14,FALSE)),VLOOKUP($C57,Clima!$D$8:$R$900,14),VLOOKUP($C57,Clima!$U$8:$AH$900,14,FALSE))</f>
        <v>2.4</v>
      </c>
      <c r="M57" s="190"/>
      <c r="N57" s="190"/>
      <c r="O57" s="191"/>
      <c r="P57" s="191">
        <f>IF(ISERROR(VLOOKUP($C57,Clima!$W$8:$AH$350,12,FALSE)),VLOOKUP($C57,Clima!$E$8:$P$350,12),VLOOKUP($C57,Clima!$W$8:$AH$350,12,FALSE))</f>
        <v>3.3</v>
      </c>
      <c r="Q57" s="170">
        <f t="shared" si="31"/>
        <v>17.495537718586686</v>
      </c>
      <c r="R57" s="254">
        <f>VLOOKUP(C57,Clima!$V$8:$AH$900,3,FALSE)+R56</f>
        <v>181.09999999999997</v>
      </c>
      <c r="S57" s="455">
        <f t="shared" si="32"/>
        <v>0.27119999946666751</v>
      </c>
      <c r="T57" s="449">
        <f t="shared" si="11"/>
        <v>0.65087999872000202</v>
      </c>
      <c r="U57" s="195"/>
      <c r="V57" s="445">
        <f t="shared" si="3"/>
        <v>1.0227846294533334</v>
      </c>
      <c r="W57" s="446">
        <f t="shared" si="43"/>
        <v>0</v>
      </c>
      <c r="X57" s="447">
        <f t="shared" si="33"/>
        <v>0.15189752968888884</v>
      </c>
      <c r="Y57" s="448">
        <f t="shared" si="12"/>
        <v>1</v>
      </c>
      <c r="Z57" s="449">
        <f t="shared" si="4"/>
        <v>0.84810247031111119</v>
      </c>
      <c r="AA57" s="449">
        <f t="shared" si="34"/>
        <v>1.4731555935026224</v>
      </c>
      <c r="AB57" s="451">
        <f t="shared" si="13"/>
        <v>1</v>
      </c>
      <c r="AC57" s="449">
        <f t="shared" si="5"/>
        <v>0.75158462998666586</v>
      </c>
      <c r="AD57" s="449">
        <f t="shared" si="6"/>
        <v>1.803803111967998</v>
      </c>
      <c r="AE57" s="448">
        <f t="shared" si="35"/>
        <v>0</v>
      </c>
      <c r="AF57" s="449">
        <f t="shared" si="36"/>
        <v>3.6000248989372654</v>
      </c>
      <c r="AG57" s="449">
        <f t="shared" si="7"/>
        <v>1.0227846294533334</v>
      </c>
      <c r="AH57" s="449">
        <f t="shared" si="8"/>
        <v>2.4546831106879998</v>
      </c>
      <c r="AI57" s="448"/>
      <c r="AJ57" s="449">
        <f t="shared" si="14"/>
        <v>0.28697942281481476</v>
      </c>
      <c r="AK57" s="450">
        <f t="shared" si="37"/>
        <v>18.653662482962961</v>
      </c>
      <c r="AL57" s="449">
        <f t="shared" si="38"/>
        <v>9.4352258083979077</v>
      </c>
      <c r="AM57" s="451">
        <f>IF(ISERROR(VLOOKUP(C57,Riegos,2,FALSE)),VLOOKUP(C57,Riegos,2,FALSE),VLOOKUP($F$8,Nomen!$A$79:$B$80,2,FALSE)*IF(AND(H57&gt;120,D57&lt;0.45),0,IF(AQ56+AH57&gt;=AK57,MIN(AQ56,$AK$7),0)))</f>
        <v>0</v>
      </c>
      <c r="AN57" s="448">
        <f t="shared" si="15"/>
        <v>0</v>
      </c>
      <c r="AO57" s="448">
        <f t="shared" si="16"/>
        <v>1</v>
      </c>
      <c r="AP57" s="449">
        <f t="shared" si="17"/>
        <v>1.0227846294533334</v>
      </c>
      <c r="AQ57" s="449">
        <f t="shared" si="18"/>
        <v>9.4352258083979077</v>
      </c>
      <c r="AR57" s="449">
        <f t="shared" si="39"/>
        <v>43</v>
      </c>
      <c r="AS57" s="449">
        <f t="shared" si="40"/>
        <v>2.4546831106879998</v>
      </c>
      <c r="AT57" s="449">
        <f t="shared" si="41"/>
        <v>41.235225808397914</v>
      </c>
      <c r="AU57" s="453">
        <f t="shared" si="19"/>
        <v>0</v>
      </c>
      <c r="AV57" s="145">
        <f t="shared" si="20"/>
        <v>39.799999999999997</v>
      </c>
      <c r="AW57" s="178">
        <f t="shared" si="21"/>
        <v>0</v>
      </c>
      <c r="AX57" s="179">
        <f t="shared" si="22"/>
        <v>0</v>
      </c>
      <c r="AY57" s="145" t="str">
        <f t="shared" si="42"/>
        <v/>
      </c>
      <c r="AZ57" s="145">
        <f t="shared" si="23"/>
        <v>0</v>
      </c>
      <c r="BA57" s="145">
        <f t="shared" si="24"/>
        <v>0</v>
      </c>
      <c r="BB57" s="145">
        <f t="shared" si="25"/>
        <v>0</v>
      </c>
      <c r="BC57" s="145">
        <f t="shared" si="26"/>
        <v>0</v>
      </c>
      <c r="BD57" s="145">
        <f t="shared" si="27"/>
        <v>0</v>
      </c>
      <c r="BE57" s="145">
        <f t="shared" si="28"/>
        <v>0</v>
      </c>
      <c r="BF57" s="145" t="str">
        <f t="shared" si="29"/>
        <v/>
      </c>
    </row>
    <row r="58" spans="1:58" s="145" customFormat="1">
      <c r="A58" s="568"/>
      <c r="B58" s="116">
        <f t="shared" si="9"/>
        <v>55</v>
      </c>
      <c r="C58" s="69">
        <f t="shared" si="30"/>
        <v>42059</v>
      </c>
      <c r="D58" s="257">
        <f>IF(ISERROR(VLOOKUP($C58,'NDVI real'!$T$8:$U$313,2,FALSE)),VLOOKUP(SWB!C58,'NDVI tipo'!$T$8:$U$193,2),VLOOKUP($C58,'NDVI real'!$T$8:$U$313,2,FALSE))</f>
        <v>0.25766975273148207</v>
      </c>
      <c r="E58" s="170">
        <f t="shared" si="0"/>
        <v>2</v>
      </c>
      <c r="F58" s="170">
        <f t="shared" si="1"/>
        <v>24</v>
      </c>
      <c r="G58" s="170">
        <f t="shared" si="2"/>
        <v>2015</v>
      </c>
      <c r="H58" s="170">
        <f t="shared" si="10"/>
        <v>55</v>
      </c>
      <c r="I58" s="190">
        <f>IF(ISERROR(VLOOKUP($C58,Clima!$U$8:$AH$900,3,FALSE)),VLOOKUP($C58,Clima!$D$8:$R$900,3),VLOOKUP($C58,Clima!$U$8:$AH$900,3,FALSE))</f>
        <v>6.5</v>
      </c>
      <c r="J58" s="191"/>
      <c r="K58" s="170"/>
      <c r="L58" s="192">
        <f>IF(ISERROR(VLOOKUP($C58,Clima!$U$8:$AH$900,14,FALSE)),VLOOKUP($C58,Clima!$D$8:$R$900,14),VLOOKUP($C58,Clima!$U$8:$AH$900,14,FALSE))</f>
        <v>2</v>
      </c>
      <c r="M58" s="190"/>
      <c r="N58" s="190"/>
      <c r="O58" s="191"/>
      <c r="P58" s="191">
        <f>IF(ISERROR(VLOOKUP($C58,Clima!$W$8:$AH$350,12,FALSE)),VLOOKUP($C58,Clima!$E$8:$P$350,12),VLOOKUP($C58,Clima!$W$8:$AH$350,12,FALSE))</f>
        <v>0</v>
      </c>
      <c r="Q58" s="170">
        <f t="shared" si="31"/>
        <v>18.037626606453355</v>
      </c>
      <c r="R58" s="254">
        <f>VLOOKUP(C58,Clima!$V$8:$AH$900,3,FALSE)+R57</f>
        <v>186.79999999999995</v>
      </c>
      <c r="S58" s="455">
        <f t="shared" si="32"/>
        <v>0.27104444393333416</v>
      </c>
      <c r="T58" s="449">
        <f t="shared" si="11"/>
        <v>0.54208888786666831</v>
      </c>
      <c r="U58" s="195"/>
      <c r="V58" s="445">
        <f t="shared" si="3"/>
        <v>1.0227846294533334</v>
      </c>
      <c r="W58" s="446">
        <f t="shared" si="43"/>
        <v>0</v>
      </c>
      <c r="X58" s="447">
        <f t="shared" si="33"/>
        <v>0.15189752968888884</v>
      </c>
      <c r="Y58" s="448">
        <f t="shared" si="12"/>
        <v>1</v>
      </c>
      <c r="Z58" s="449">
        <f t="shared" si="4"/>
        <v>0.84810247031111119</v>
      </c>
      <c r="AA58" s="449">
        <f t="shared" si="34"/>
        <v>3.6000248989372654</v>
      </c>
      <c r="AB58" s="451">
        <f t="shared" si="13"/>
        <v>1</v>
      </c>
      <c r="AC58" s="449">
        <f t="shared" si="5"/>
        <v>0.75174018551999922</v>
      </c>
      <c r="AD58" s="449">
        <f t="shared" si="6"/>
        <v>1.5034803710399984</v>
      </c>
      <c r="AE58" s="448">
        <f t="shared" si="35"/>
        <v>0</v>
      </c>
      <c r="AF58" s="449">
        <f t="shared" si="36"/>
        <v>5.3727828187302284</v>
      </c>
      <c r="AG58" s="449">
        <f t="shared" si="7"/>
        <v>1.0227846294533334</v>
      </c>
      <c r="AH58" s="449">
        <f t="shared" si="8"/>
        <v>2.0455692589066667</v>
      </c>
      <c r="AI58" s="448"/>
      <c r="AJ58" s="449">
        <f t="shared" si="14"/>
        <v>0.28697942281481476</v>
      </c>
      <c r="AK58" s="450">
        <f t="shared" si="37"/>
        <v>18.653662482962961</v>
      </c>
      <c r="AL58" s="449">
        <f t="shared" si="38"/>
        <v>11.480795067304575</v>
      </c>
      <c r="AM58" s="451">
        <f>IF(ISERROR(VLOOKUP(C58,Riegos,2,FALSE)),VLOOKUP(C58,Riegos,2,FALSE),VLOOKUP($F$8,Nomen!$A$79:$B$80,2,FALSE)*IF(AND(H58&gt;120,D58&lt;0.45),0,IF(AQ57+AH58&gt;=AK58,MIN(AQ57,$AK$7),0)))</f>
        <v>0</v>
      </c>
      <c r="AN58" s="448">
        <f t="shared" si="15"/>
        <v>0</v>
      </c>
      <c r="AO58" s="448">
        <f t="shared" si="16"/>
        <v>1</v>
      </c>
      <c r="AP58" s="449">
        <f t="shared" si="17"/>
        <v>1.0227846294533334</v>
      </c>
      <c r="AQ58" s="449">
        <f t="shared" si="18"/>
        <v>11.480795067304575</v>
      </c>
      <c r="AR58" s="449">
        <f t="shared" si="39"/>
        <v>44</v>
      </c>
      <c r="AS58" s="449">
        <f t="shared" si="40"/>
        <v>2.0455692589066667</v>
      </c>
      <c r="AT58" s="449">
        <f t="shared" si="41"/>
        <v>43.280795067304581</v>
      </c>
      <c r="AU58" s="453">
        <f t="shared" si="19"/>
        <v>0</v>
      </c>
      <c r="AV58" s="145">
        <f t="shared" si="20"/>
        <v>39.799999999999997</v>
      </c>
      <c r="AW58" s="178">
        <f t="shared" si="21"/>
        <v>0</v>
      </c>
      <c r="AX58" s="179">
        <f t="shared" si="22"/>
        <v>0</v>
      </c>
      <c r="AY58" s="145" t="str">
        <f t="shared" si="42"/>
        <v/>
      </c>
      <c r="AZ58" s="145">
        <f t="shared" si="23"/>
        <v>0</v>
      </c>
      <c r="BA58" s="145">
        <f t="shared" si="24"/>
        <v>0</v>
      </c>
      <c r="BB58" s="145">
        <f t="shared" si="25"/>
        <v>0</v>
      </c>
      <c r="BC58" s="145">
        <f t="shared" si="26"/>
        <v>0</v>
      </c>
      <c r="BD58" s="145">
        <f t="shared" si="27"/>
        <v>0</v>
      </c>
      <c r="BE58" s="145">
        <f t="shared" si="28"/>
        <v>0</v>
      </c>
      <c r="BF58" s="145" t="str">
        <f t="shared" si="29"/>
        <v/>
      </c>
    </row>
    <row r="59" spans="1:58" s="145" customFormat="1">
      <c r="A59" s="568"/>
      <c r="B59" s="116">
        <f t="shared" si="9"/>
        <v>56</v>
      </c>
      <c r="C59" s="69">
        <f t="shared" si="30"/>
        <v>42060</v>
      </c>
      <c r="D59" s="257">
        <f>IF(ISERROR(VLOOKUP($C59,'NDVI real'!$T$8:$U$313,2,FALSE)),VLOOKUP(SWB!C59,'NDVI tipo'!$T$8:$U$193,2),VLOOKUP($C59,'NDVI real'!$T$8:$U$313,2,FALSE))</f>
        <v>0.25756172805555616</v>
      </c>
      <c r="E59" s="170">
        <f t="shared" si="0"/>
        <v>2</v>
      </c>
      <c r="F59" s="170">
        <f t="shared" si="1"/>
        <v>25</v>
      </c>
      <c r="G59" s="170">
        <f t="shared" si="2"/>
        <v>2015</v>
      </c>
      <c r="H59" s="170">
        <f t="shared" si="10"/>
        <v>56</v>
      </c>
      <c r="I59" s="190">
        <f>IF(ISERROR(VLOOKUP($C59,Clima!$U$8:$AH$900,3,FALSE)),VLOOKUP($C59,Clima!$D$8:$R$900,3),VLOOKUP($C59,Clima!$U$8:$AH$900,3,FALSE))</f>
        <v>8.5</v>
      </c>
      <c r="J59" s="191"/>
      <c r="K59" s="170"/>
      <c r="L59" s="192">
        <f>IF(ISERROR(VLOOKUP($C59,Clima!$U$8:$AH$900,14,FALSE)),VLOOKUP($C59,Clima!$D$8:$R$900,14),VLOOKUP($C59,Clima!$U$8:$AH$900,14,FALSE))</f>
        <v>2.4</v>
      </c>
      <c r="M59" s="190"/>
      <c r="N59" s="190"/>
      <c r="O59" s="191"/>
      <c r="P59" s="191">
        <f>IF(ISERROR(VLOOKUP($C59,Clima!$W$8:$AH$350,12,FALSE)),VLOOKUP($C59,Clima!$E$8:$P$350,12),VLOOKUP($C59,Clima!$W$8:$AH$350,12,FALSE))</f>
        <v>0</v>
      </c>
      <c r="Q59" s="170">
        <f t="shared" si="31"/>
        <v>18.687759938613357</v>
      </c>
      <c r="R59" s="254">
        <f>VLOOKUP(C59,Clima!$V$8:$AH$900,3,FALSE)+R58</f>
        <v>193.29999999999995</v>
      </c>
      <c r="S59" s="455">
        <f t="shared" si="32"/>
        <v>0.2708888884000008</v>
      </c>
      <c r="T59" s="449">
        <f t="shared" si="11"/>
        <v>0.65013333216000191</v>
      </c>
      <c r="U59" s="195"/>
      <c r="V59" s="445">
        <f t="shared" si="3"/>
        <v>1.0227846294533334</v>
      </c>
      <c r="W59" s="446">
        <f t="shared" si="43"/>
        <v>0</v>
      </c>
      <c r="X59" s="447">
        <f t="shared" si="33"/>
        <v>0.15189752968888884</v>
      </c>
      <c r="Y59" s="448">
        <f t="shared" si="12"/>
        <v>1</v>
      </c>
      <c r="Z59" s="449">
        <f t="shared" si="4"/>
        <v>0.84810247031111119</v>
      </c>
      <c r="AA59" s="449">
        <f t="shared" si="34"/>
        <v>5.3727828187302284</v>
      </c>
      <c r="AB59" s="451">
        <f t="shared" si="13"/>
        <v>9.8520644297616436E-2</v>
      </c>
      <c r="AC59" s="449">
        <f t="shared" si="5"/>
        <v>7.4077252853208098E-2</v>
      </c>
      <c r="AD59" s="449">
        <f t="shared" si="6"/>
        <v>0.17778540684769942</v>
      </c>
      <c r="AE59" s="448">
        <f t="shared" si="35"/>
        <v>0</v>
      </c>
      <c r="AF59" s="449">
        <f t="shared" si="36"/>
        <v>5.5824100902820755</v>
      </c>
      <c r="AG59" s="449">
        <f t="shared" si="7"/>
        <v>0.3449661412532089</v>
      </c>
      <c r="AH59" s="449">
        <f t="shared" si="8"/>
        <v>0.8279187390077013</v>
      </c>
      <c r="AI59" s="448"/>
      <c r="AJ59" s="449">
        <f t="shared" si="14"/>
        <v>0.28697942281481476</v>
      </c>
      <c r="AK59" s="450">
        <f t="shared" si="37"/>
        <v>18.653662482962961</v>
      </c>
      <c r="AL59" s="449">
        <f t="shared" si="38"/>
        <v>12.308713806312277</v>
      </c>
      <c r="AM59" s="451">
        <f>IF(ISERROR(VLOOKUP(C59,Riegos,2,FALSE)),VLOOKUP(C59,Riegos,2,FALSE),VLOOKUP($F$8,Nomen!$A$79:$B$80,2,FALSE)*IF(AND(H59&gt;120,D59&lt;0.45),0,IF(AQ58+AH59&gt;=AK59,MIN(AQ58,$AK$7),0)))</f>
        <v>0</v>
      </c>
      <c r="AN59" s="448">
        <f t="shared" si="15"/>
        <v>0</v>
      </c>
      <c r="AO59" s="448">
        <f t="shared" si="16"/>
        <v>1</v>
      </c>
      <c r="AP59" s="449">
        <f t="shared" si="17"/>
        <v>0.3449661412532089</v>
      </c>
      <c r="AQ59" s="449">
        <f t="shared" si="18"/>
        <v>12.308713806312277</v>
      </c>
      <c r="AR59" s="449">
        <f t="shared" si="39"/>
        <v>45</v>
      </c>
      <c r="AS59" s="449">
        <f t="shared" si="40"/>
        <v>0.8279187390077013</v>
      </c>
      <c r="AT59" s="449">
        <f t="shared" si="41"/>
        <v>44.108713806312281</v>
      </c>
      <c r="AU59" s="453">
        <f t="shared" si="19"/>
        <v>0</v>
      </c>
      <c r="AV59" s="145">
        <f t="shared" si="20"/>
        <v>39.799999999999997</v>
      </c>
      <c r="AW59" s="178">
        <f t="shared" si="21"/>
        <v>0</v>
      </c>
      <c r="AX59" s="179">
        <f t="shared" si="22"/>
        <v>0</v>
      </c>
      <c r="AY59" s="145" t="str">
        <f t="shared" si="42"/>
        <v/>
      </c>
      <c r="AZ59" s="145">
        <f t="shared" si="23"/>
        <v>0</v>
      </c>
      <c r="BA59" s="145">
        <f t="shared" si="24"/>
        <v>0</v>
      </c>
      <c r="BB59" s="145">
        <f t="shared" si="25"/>
        <v>0</v>
      </c>
      <c r="BC59" s="145">
        <f t="shared" si="26"/>
        <v>0</v>
      </c>
      <c r="BD59" s="145">
        <f t="shared" si="27"/>
        <v>0</v>
      </c>
      <c r="BE59" s="145">
        <f t="shared" si="28"/>
        <v>0</v>
      </c>
      <c r="BF59" s="145" t="str">
        <f t="shared" si="29"/>
        <v/>
      </c>
    </row>
    <row r="60" spans="1:58" s="145" customFormat="1">
      <c r="A60" s="568"/>
      <c r="B60" s="116">
        <f t="shared" si="9"/>
        <v>57</v>
      </c>
      <c r="C60" s="69">
        <f t="shared" si="30"/>
        <v>42061</v>
      </c>
      <c r="D60" s="257">
        <f>IF(ISERROR(VLOOKUP($C60,'NDVI real'!$T$8:$U$313,2,FALSE)),VLOOKUP(SWB!C60,'NDVI tipo'!$T$8:$U$193,2),VLOOKUP($C60,'NDVI real'!$T$8:$U$313,2,FALSE))</f>
        <v>0.25745370337963025</v>
      </c>
      <c r="E60" s="170">
        <f t="shared" si="0"/>
        <v>2</v>
      </c>
      <c r="F60" s="170">
        <f t="shared" si="1"/>
        <v>26</v>
      </c>
      <c r="G60" s="170">
        <f t="shared" si="2"/>
        <v>2015</v>
      </c>
      <c r="H60" s="170">
        <f t="shared" si="10"/>
        <v>57</v>
      </c>
      <c r="I60" s="190">
        <f>IF(ISERROR(VLOOKUP($C60,Clima!$U$8:$AH$900,3,FALSE)),VLOOKUP($C60,Clima!$D$8:$R$900,3),VLOOKUP($C60,Clima!$U$8:$AH$900,3,FALSE))</f>
        <v>7.5</v>
      </c>
      <c r="J60" s="191"/>
      <c r="K60" s="170"/>
      <c r="L60" s="192">
        <f>IF(ISERROR(VLOOKUP($C60,Clima!$U$8:$AH$900,14,FALSE)),VLOOKUP($C60,Clima!$D$8:$R$900,14),VLOOKUP($C60,Clima!$U$8:$AH$900,14,FALSE))</f>
        <v>1.7</v>
      </c>
      <c r="M60" s="190"/>
      <c r="N60" s="190"/>
      <c r="O60" s="191"/>
      <c r="P60" s="191">
        <f>IF(ISERROR(VLOOKUP($C60,Clima!$W$8:$AH$350,12,FALSE)),VLOOKUP($C60,Clima!$E$8:$P$350,12),VLOOKUP($C60,Clima!$W$8:$AH$350,12,FALSE))</f>
        <v>0</v>
      </c>
      <c r="Q60" s="170">
        <f t="shared" si="31"/>
        <v>19.148006604486692</v>
      </c>
      <c r="R60" s="254">
        <f>VLOOKUP(C60,Clima!$V$8:$AH$900,3,FALSE)+R59</f>
        <v>203.29999999999995</v>
      </c>
      <c r="S60" s="455">
        <f t="shared" si="32"/>
        <v>0.27073333286666756</v>
      </c>
      <c r="T60" s="449">
        <f t="shared" si="11"/>
        <v>0.46024666587333485</v>
      </c>
      <c r="U60" s="195"/>
      <c r="V60" s="445">
        <f t="shared" si="3"/>
        <v>1.0227846294533334</v>
      </c>
      <c r="W60" s="446">
        <f t="shared" si="43"/>
        <v>0</v>
      </c>
      <c r="X60" s="447">
        <f t="shared" si="33"/>
        <v>0.15189752968888884</v>
      </c>
      <c r="Y60" s="448">
        <f t="shared" si="12"/>
        <v>1</v>
      </c>
      <c r="Z60" s="449">
        <f t="shared" si="4"/>
        <v>0.84810247031111119</v>
      </c>
      <c r="AA60" s="449">
        <f t="shared" si="34"/>
        <v>5.5824100902820755</v>
      </c>
      <c r="AB60" s="451">
        <f t="shared" si="13"/>
        <v>9.0659621614422162E-2</v>
      </c>
      <c r="AC60" s="449">
        <f t="shared" si="5"/>
        <v>6.8180685983182693E-2</v>
      </c>
      <c r="AD60" s="449">
        <f t="shared" si="6"/>
        <v>0.11590716617141057</v>
      </c>
      <c r="AE60" s="448">
        <f t="shared" si="35"/>
        <v>0</v>
      </c>
      <c r="AF60" s="449">
        <f t="shared" si="36"/>
        <v>5.7190765548059819</v>
      </c>
      <c r="AG60" s="449">
        <f t="shared" si="7"/>
        <v>0.33891401884985028</v>
      </c>
      <c r="AH60" s="449">
        <f t="shared" si="8"/>
        <v>0.57615383204474546</v>
      </c>
      <c r="AI60" s="448"/>
      <c r="AJ60" s="449">
        <f t="shared" si="14"/>
        <v>0.28697942281481476</v>
      </c>
      <c r="AK60" s="450">
        <f t="shared" si="37"/>
        <v>18.653662482962961</v>
      </c>
      <c r="AL60" s="449">
        <f t="shared" si="38"/>
        <v>12.884867638357022</v>
      </c>
      <c r="AM60" s="451">
        <f>IF(ISERROR(VLOOKUP(C60,Riegos,2,FALSE)),VLOOKUP(C60,Riegos,2,FALSE),VLOOKUP($F$8,Nomen!$A$79:$B$80,2,FALSE)*IF(AND(H60&gt;120,D60&lt;0.45),0,IF(AQ59+AH60&gt;=AK60,MIN(AQ59,$AK$7),0)))</f>
        <v>0</v>
      </c>
      <c r="AN60" s="448">
        <f t="shared" si="15"/>
        <v>0</v>
      </c>
      <c r="AO60" s="448">
        <f t="shared" si="16"/>
        <v>1</v>
      </c>
      <c r="AP60" s="449">
        <f t="shared" si="17"/>
        <v>0.33891401884985028</v>
      </c>
      <c r="AQ60" s="449">
        <f t="shared" si="18"/>
        <v>12.884867638357022</v>
      </c>
      <c r="AR60" s="449">
        <f t="shared" si="39"/>
        <v>46</v>
      </c>
      <c r="AS60" s="449">
        <f t="shared" si="40"/>
        <v>0.57615383204474546</v>
      </c>
      <c r="AT60" s="449">
        <f t="shared" si="41"/>
        <v>44.684867638357026</v>
      </c>
      <c r="AU60" s="453">
        <f t="shared" si="19"/>
        <v>0</v>
      </c>
      <c r="AV60" s="145">
        <f t="shared" si="20"/>
        <v>39.799999999999997</v>
      </c>
      <c r="AW60" s="178">
        <f t="shared" si="21"/>
        <v>0</v>
      </c>
      <c r="AX60" s="179">
        <f t="shared" si="22"/>
        <v>0</v>
      </c>
      <c r="AY60" s="145" t="str">
        <f t="shared" si="42"/>
        <v/>
      </c>
      <c r="AZ60" s="145">
        <f t="shared" si="23"/>
        <v>0</v>
      </c>
      <c r="BA60" s="145">
        <f t="shared" si="24"/>
        <v>0</v>
      </c>
      <c r="BB60" s="145">
        <f t="shared" si="25"/>
        <v>0</v>
      </c>
      <c r="BC60" s="145">
        <f t="shared" si="26"/>
        <v>0</v>
      </c>
      <c r="BD60" s="145">
        <f t="shared" si="27"/>
        <v>0</v>
      </c>
      <c r="BE60" s="145">
        <f t="shared" si="28"/>
        <v>0</v>
      </c>
      <c r="BF60" s="145" t="str">
        <f t="shared" si="29"/>
        <v/>
      </c>
    </row>
    <row r="61" spans="1:58" s="145" customFormat="1">
      <c r="A61" s="568"/>
      <c r="B61" s="116">
        <f t="shared" si="9"/>
        <v>58</v>
      </c>
      <c r="C61" s="69">
        <f t="shared" si="30"/>
        <v>42062</v>
      </c>
      <c r="D61" s="257">
        <f>IF(ISERROR(VLOOKUP($C61,'NDVI real'!$T$8:$U$313,2,FALSE)),VLOOKUP(SWB!C61,'NDVI tipo'!$T$8:$U$193,2),VLOOKUP($C61,'NDVI real'!$T$8:$U$313,2,FALSE))</f>
        <v>0.25734567870370434</v>
      </c>
      <c r="E61" s="170">
        <f t="shared" si="0"/>
        <v>2</v>
      </c>
      <c r="F61" s="170">
        <f t="shared" si="1"/>
        <v>27</v>
      </c>
      <c r="G61" s="170">
        <f t="shared" si="2"/>
        <v>2015</v>
      </c>
      <c r="H61" s="170">
        <f t="shared" si="10"/>
        <v>58</v>
      </c>
      <c r="I61" s="190">
        <f>IF(ISERROR(VLOOKUP($C61,Clima!$U$8:$AH$900,3,FALSE)),VLOOKUP($C61,Clima!$D$8:$R$900,3),VLOOKUP($C61,Clima!$U$8:$AH$900,3,FALSE))</f>
        <v>3.4</v>
      </c>
      <c r="J61" s="191"/>
      <c r="K61" s="170"/>
      <c r="L61" s="192">
        <f>IF(ISERROR(VLOOKUP($C61,Clima!$U$8:$AH$900,14,FALSE)),VLOOKUP($C61,Clima!$D$8:$R$900,14),VLOOKUP($C61,Clima!$U$8:$AH$900,14,FALSE))</f>
        <v>1.8</v>
      </c>
      <c r="M61" s="190"/>
      <c r="N61" s="190"/>
      <c r="O61" s="191"/>
      <c r="P61" s="191">
        <f>IF(ISERROR(VLOOKUP($C61,Clima!$W$8:$AH$350,12,FALSE)),VLOOKUP($C61,Clima!$E$8:$P$350,12),VLOOKUP($C61,Clima!$W$8:$AH$350,12,FALSE))</f>
        <v>0</v>
      </c>
      <c r="Q61" s="170">
        <f t="shared" si="31"/>
        <v>19.635046603686693</v>
      </c>
      <c r="R61" s="254">
        <f>VLOOKUP(C61,Clima!$V$8:$AH$900,3,FALSE)+R60</f>
        <v>212.39999999999995</v>
      </c>
      <c r="S61" s="455">
        <f t="shared" si="32"/>
        <v>0.27057777733333421</v>
      </c>
      <c r="T61" s="449">
        <f t="shared" si="11"/>
        <v>0.48703999920000157</v>
      </c>
      <c r="U61" s="195"/>
      <c r="V61" s="445">
        <f t="shared" si="3"/>
        <v>1.0227846294533334</v>
      </c>
      <c r="W61" s="446">
        <f t="shared" si="43"/>
        <v>0</v>
      </c>
      <c r="X61" s="447">
        <f t="shared" si="33"/>
        <v>0.15189752968888884</v>
      </c>
      <c r="Y61" s="448">
        <f t="shared" si="12"/>
        <v>1</v>
      </c>
      <c r="Z61" s="449">
        <f t="shared" si="4"/>
        <v>0.84810247031111119</v>
      </c>
      <c r="AA61" s="449">
        <f t="shared" si="34"/>
        <v>5.7190765548059819</v>
      </c>
      <c r="AB61" s="451">
        <f t="shared" si="13"/>
        <v>8.5534629194775683E-2</v>
      </c>
      <c r="AC61" s="449">
        <f t="shared" si="5"/>
        <v>6.4339734173853594E-2</v>
      </c>
      <c r="AD61" s="449">
        <f t="shared" si="6"/>
        <v>0.11581152151293647</v>
      </c>
      <c r="AE61" s="448">
        <f t="shared" si="35"/>
        <v>0</v>
      </c>
      <c r="AF61" s="449">
        <f t="shared" si="36"/>
        <v>5.8556302444449866</v>
      </c>
      <c r="AG61" s="449">
        <f t="shared" si="7"/>
        <v>0.33491751150718779</v>
      </c>
      <c r="AH61" s="449">
        <f t="shared" si="8"/>
        <v>0.60285152071293802</v>
      </c>
      <c r="AI61" s="448"/>
      <c r="AJ61" s="449">
        <f t="shared" si="14"/>
        <v>0.28697942281481476</v>
      </c>
      <c r="AK61" s="450">
        <f t="shared" si="37"/>
        <v>18.653662482962961</v>
      </c>
      <c r="AL61" s="449">
        <f t="shared" si="38"/>
        <v>13.487719159069961</v>
      </c>
      <c r="AM61" s="451">
        <f>IF(ISERROR(VLOOKUP(C61,Riegos,2,FALSE)),VLOOKUP(C61,Riegos,2,FALSE),VLOOKUP($F$8,Nomen!$A$79:$B$80,2,FALSE)*IF(AND(H61&gt;120,D61&lt;0.45),0,IF(AQ60+AH61&gt;=AK61,MIN(AQ60,$AK$7),0)))</f>
        <v>0</v>
      </c>
      <c r="AN61" s="448">
        <f t="shared" si="15"/>
        <v>0</v>
      </c>
      <c r="AO61" s="448">
        <f t="shared" si="16"/>
        <v>1</v>
      </c>
      <c r="AP61" s="449">
        <f t="shared" si="17"/>
        <v>0.33491751150718779</v>
      </c>
      <c r="AQ61" s="449">
        <f t="shared" si="18"/>
        <v>13.487719159069961</v>
      </c>
      <c r="AR61" s="449">
        <f t="shared" si="39"/>
        <v>47</v>
      </c>
      <c r="AS61" s="449">
        <f t="shared" si="40"/>
        <v>0.60285152071293802</v>
      </c>
      <c r="AT61" s="449">
        <f t="shared" si="41"/>
        <v>45.287719159069965</v>
      </c>
      <c r="AU61" s="453">
        <f t="shared" si="19"/>
        <v>0</v>
      </c>
      <c r="AV61" s="145">
        <f t="shared" si="20"/>
        <v>39.799999999999997</v>
      </c>
      <c r="AW61" s="178">
        <f t="shared" si="21"/>
        <v>0</v>
      </c>
      <c r="AX61" s="179">
        <f t="shared" si="22"/>
        <v>0</v>
      </c>
      <c r="AY61" s="145" t="str">
        <f t="shared" si="42"/>
        <v/>
      </c>
      <c r="AZ61" s="145">
        <f t="shared" si="23"/>
        <v>0</v>
      </c>
      <c r="BA61" s="145">
        <f t="shared" si="24"/>
        <v>0</v>
      </c>
      <c r="BB61" s="145">
        <f t="shared" si="25"/>
        <v>0</v>
      </c>
      <c r="BC61" s="145">
        <f t="shared" si="26"/>
        <v>0</v>
      </c>
      <c r="BD61" s="145">
        <f t="shared" si="27"/>
        <v>0</v>
      </c>
      <c r="BE61" s="145">
        <f t="shared" si="28"/>
        <v>0</v>
      </c>
      <c r="BF61" s="145" t="str">
        <f t="shared" si="29"/>
        <v/>
      </c>
    </row>
    <row r="62" spans="1:58" s="145" customFormat="1">
      <c r="A62" s="568"/>
      <c r="B62" s="116">
        <f t="shared" si="9"/>
        <v>59</v>
      </c>
      <c r="C62" s="69">
        <f t="shared" si="30"/>
        <v>42063</v>
      </c>
      <c r="D62" s="257">
        <f>IF(ISERROR(VLOOKUP($C62,'NDVI real'!$T$8:$U$313,2,FALSE)),VLOOKUP(SWB!C62,'NDVI tipo'!$T$8:$U$193,2),VLOOKUP($C62,'NDVI real'!$T$8:$U$313,2,FALSE))</f>
        <v>0.25723765402777843</v>
      </c>
      <c r="E62" s="170">
        <f t="shared" si="0"/>
        <v>2</v>
      </c>
      <c r="F62" s="170">
        <f t="shared" si="1"/>
        <v>28</v>
      </c>
      <c r="G62" s="170">
        <f t="shared" si="2"/>
        <v>2015</v>
      </c>
      <c r="H62" s="170">
        <f t="shared" si="10"/>
        <v>59</v>
      </c>
      <c r="I62" s="190">
        <f>IF(ISERROR(VLOOKUP($C62,Clima!$U$8:$AH$900,3,FALSE)),VLOOKUP($C62,Clima!$D$8:$R$900,3),VLOOKUP($C62,Clima!$U$8:$AH$900,3,FALSE))</f>
        <v>4.5</v>
      </c>
      <c r="J62" s="191"/>
      <c r="K62" s="170"/>
      <c r="L62" s="192">
        <f>IF(ISERROR(VLOOKUP($C62,Clima!$U$8:$AH$900,14,FALSE)),VLOOKUP($C62,Clima!$D$8:$R$900,14),VLOOKUP($C62,Clima!$U$8:$AH$900,14,FALSE))</f>
        <v>1.4</v>
      </c>
      <c r="M62" s="190"/>
      <c r="N62" s="190"/>
      <c r="O62" s="191"/>
      <c r="P62" s="191">
        <f>IF(ISERROR(VLOOKUP($C62,Clima!$W$8:$AH$350,12,FALSE)),VLOOKUP($C62,Clima!$E$8:$P$350,12),VLOOKUP($C62,Clima!$W$8:$AH$350,12,FALSE))</f>
        <v>0</v>
      </c>
      <c r="Q62" s="170">
        <f t="shared" si="31"/>
        <v>20.013637714206695</v>
      </c>
      <c r="R62" s="254">
        <f>VLOOKUP(C62,Clima!$V$8:$AH$900,3,FALSE)+R61</f>
        <v>220.89999999999995</v>
      </c>
      <c r="S62" s="455">
        <f t="shared" si="32"/>
        <v>0.27042222180000097</v>
      </c>
      <c r="T62" s="449">
        <f t="shared" si="11"/>
        <v>0.37859111052000133</v>
      </c>
      <c r="U62" s="195"/>
      <c r="V62" s="445">
        <f t="shared" si="3"/>
        <v>1.0227846294533334</v>
      </c>
      <c r="W62" s="446">
        <f t="shared" si="43"/>
        <v>0</v>
      </c>
      <c r="X62" s="447">
        <f t="shared" si="33"/>
        <v>0.15189752968888884</v>
      </c>
      <c r="Y62" s="448">
        <f t="shared" si="12"/>
        <v>1</v>
      </c>
      <c r="Z62" s="449">
        <f t="shared" si="4"/>
        <v>0.84810247031111119</v>
      </c>
      <c r="AA62" s="449">
        <f t="shared" si="34"/>
        <v>5.8556302444449866</v>
      </c>
      <c r="AB62" s="451">
        <f t="shared" si="13"/>
        <v>8.0413865833313003E-2</v>
      </c>
      <c r="AC62" s="449">
        <f t="shared" si="5"/>
        <v>6.0500369707063413E-2</v>
      </c>
      <c r="AD62" s="449">
        <f t="shared" si="6"/>
        <v>8.470051758988878E-2</v>
      </c>
      <c r="AE62" s="448">
        <f t="shared" si="35"/>
        <v>0</v>
      </c>
      <c r="AF62" s="449">
        <f t="shared" si="36"/>
        <v>5.9555008621532668</v>
      </c>
      <c r="AG62" s="449">
        <f t="shared" si="7"/>
        <v>0.33092259150706438</v>
      </c>
      <c r="AH62" s="449">
        <f t="shared" si="8"/>
        <v>0.46329162810989011</v>
      </c>
      <c r="AI62" s="448"/>
      <c r="AJ62" s="449">
        <f t="shared" si="14"/>
        <v>0.28697942281481476</v>
      </c>
      <c r="AK62" s="450">
        <f t="shared" si="37"/>
        <v>18.653662482962961</v>
      </c>
      <c r="AL62" s="449">
        <f t="shared" si="38"/>
        <v>13.95101078717985</v>
      </c>
      <c r="AM62" s="451">
        <f>IF(ISERROR(VLOOKUP(C62,Riegos,2,FALSE)),VLOOKUP(C62,Riegos,2,FALSE),VLOOKUP($F$8,Nomen!$A$79:$B$80,2,FALSE)*IF(AND(H62&gt;120,D62&lt;0.45),0,IF(AQ61+AH62&gt;=AK62,MIN(AQ61,$AK$7),0)))</f>
        <v>0</v>
      </c>
      <c r="AN62" s="448">
        <f t="shared" si="15"/>
        <v>0</v>
      </c>
      <c r="AO62" s="448">
        <f t="shared" si="16"/>
        <v>1</v>
      </c>
      <c r="AP62" s="449">
        <f t="shared" si="17"/>
        <v>0.33092259150706438</v>
      </c>
      <c r="AQ62" s="449">
        <f t="shared" si="18"/>
        <v>13.95101078717985</v>
      </c>
      <c r="AR62" s="449">
        <f t="shared" si="39"/>
        <v>48</v>
      </c>
      <c r="AS62" s="449">
        <f t="shared" si="40"/>
        <v>0.46329162810989011</v>
      </c>
      <c r="AT62" s="449">
        <f t="shared" si="41"/>
        <v>45.751010787179858</v>
      </c>
      <c r="AU62" s="453">
        <f t="shared" si="19"/>
        <v>0</v>
      </c>
      <c r="AV62" s="145">
        <f t="shared" si="20"/>
        <v>39.799999999999997</v>
      </c>
      <c r="AW62" s="178">
        <f t="shared" si="21"/>
        <v>0</v>
      </c>
      <c r="AX62" s="179">
        <f t="shared" si="22"/>
        <v>0</v>
      </c>
      <c r="AY62" s="145" t="str">
        <f t="shared" si="42"/>
        <v/>
      </c>
      <c r="AZ62" s="145">
        <f t="shared" si="23"/>
        <v>0</v>
      </c>
      <c r="BA62" s="145">
        <f t="shared" si="24"/>
        <v>0</v>
      </c>
      <c r="BB62" s="145">
        <f t="shared" si="25"/>
        <v>0</v>
      </c>
      <c r="BC62" s="145">
        <f t="shared" si="26"/>
        <v>0</v>
      </c>
      <c r="BD62" s="145">
        <f t="shared" si="27"/>
        <v>0</v>
      </c>
      <c r="BE62" s="145">
        <f t="shared" si="28"/>
        <v>0</v>
      </c>
      <c r="BF62" s="145" t="str">
        <f t="shared" si="29"/>
        <v/>
      </c>
    </row>
    <row r="63" spans="1:58" s="145" customFormat="1">
      <c r="A63" s="568"/>
      <c r="B63" s="116">
        <f t="shared" si="9"/>
        <v>60</v>
      </c>
      <c r="C63" s="69">
        <f t="shared" si="30"/>
        <v>42064</v>
      </c>
      <c r="D63" s="257">
        <f>IF(ISERROR(VLOOKUP($C63,'NDVI real'!$T$8:$U$313,2,FALSE)),VLOOKUP(SWB!C63,'NDVI tipo'!$T$8:$U$193,2),VLOOKUP($C63,'NDVI real'!$T$8:$U$313,2,FALSE))</f>
        <v>0.25712962935185252</v>
      </c>
      <c r="E63" s="170">
        <f t="shared" si="0"/>
        <v>3</v>
      </c>
      <c r="F63" s="170">
        <f t="shared" si="1"/>
        <v>1</v>
      </c>
      <c r="G63" s="170">
        <f t="shared" si="2"/>
        <v>2015</v>
      </c>
      <c r="H63" s="170">
        <f t="shared" si="10"/>
        <v>60</v>
      </c>
      <c r="I63" s="190">
        <f>IF(ISERROR(VLOOKUP($C63,Clima!$U$8:$AH$900,3,FALSE)),VLOOKUP($C63,Clima!$D$8:$R$900,3),VLOOKUP($C63,Clima!$U$8:$AH$900,3,FALSE))</f>
        <v>5.5</v>
      </c>
      <c r="J63" s="191"/>
      <c r="K63" s="170"/>
      <c r="L63" s="192">
        <f>IF(ISERROR(VLOOKUP($C63,Clima!$U$8:$AH$900,14,FALSE)),VLOOKUP($C63,Clima!$D$8:$R$900,14),VLOOKUP($C63,Clima!$U$8:$AH$900,14,FALSE))</f>
        <v>2.4</v>
      </c>
      <c r="M63" s="190"/>
      <c r="N63" s="190"/>
      <c r="O63" s="191"/>
      <c r="P63" s="191">
        <f>IF(ISERROR(VLOOKUP($C63,Clima!$W$8:$AH$350,12,FALSE)),VLOOKUP($C63,Clima!$E$8:$P$350,12),VLOOKUP($C63,Clima!$W$8:$AH$350,12,FALSE))</f>
        <v>0</v>
      </c>
      <c r="Q63" s="170">
        <f t="shared" si="31"/>
        <v>20.662277713246699</v>
      </c>
      <c r="R63" s="254">
        <f>VLOOKUP(C63,Clima!$V$8:$AH$900,3,FALSE)+R62</f>
        <v>230.69999999999996</v>
      </c>
      <c r="S63" s="455">
        <f t="shared" si="32"/>
        <v>0.27026666626666762</v>
      </c>
      <c r="T63" s="449">
        <f t="shared" si="11"/>
        <v>0.64863999904000225</v>
      </c>
      <c r="U63" s="195"/>
      <c r="V63" s="445">
        <f t="shared" si="3"/>
        <v>1.0227846294533334</v>
      </c>
      <c r="W63" s="446">
        <f t="shared" si="43"/>
        <v>0</v>
      </c>
      <c r="X63" s="447">
        <f t="shared" si="33"/>
        <v>0.15189752968888884</v>
      </c>
      <c r="Y63" s="448">
        <f t="shared" si="12"/>
        <v>1</v>
      </c>
      <c r="Z63" s="449">
        <f t="shared" si="4"/>
        <v>0.84810247031111119</v>
      </c>
      <c r="AA63" s="449">
        <f t="shared" si="34"/>
        <v>5.9555008621532668</v>
      </c>
      <c r="AB63" s="451">
        <f t="shared" si="13"/>
        <v>7.6668717669252498E-2</v>
      </c>
      <c r="AC63" s="449">
        <f t="shared" si="5"/>
        <v>5.7694587260599423E-2</v>
      </c>
      <c r="AD63" s="449">
        <f t="shared" si="6"/>
        <v>0.1384670094254386</v>
      </c>
      <c r="AE63" s="448">
        <f t="shared" si="35"/>
        <v>0</v>
      </c>
      <c r="AF63" s="449">
        <f t="shared" si="36"/>
        <v>6.1187677010939012</v>
      </c>
      <c r="AG63" s="449">
        <f t="shared" si="7"/>
        <v>0.32796125352726702</v>
      </c>
      <c r="AH63" s="449">
        <f t="shared" si="8"/>
        <v>0.78710700846544079</v>
      </c>
      <c r="AI63" s="448"/>
      <c r="AJ63" s="449">
        <f t="shared" si="14"/>
        <v>0.28697942281481476</v>
      </c>
      <c r="AK63" s="450">
        <f t="shared" si="37"/>
        <v>18.653662482962961</v>
      </c>
      <c r="AL63" s="449">
        <f t="shared" si="38"/>
        <v>14.738117795645291</v>
      </c>
      <c r="AM63" s="451">
        <f>IF(ISERROR(VLOOKUP(C63,Riegos,2,FALSE)),VLOOKUP(C63,Riegos,2,FALSE),VLOOKUP($F$8,Nomen!$A$79:$B$80,2,FALSE)*IF(AND(H63&gt;120,D63&lt;0.45),0,IF(AQ62+AH63&gt;=AK63,MIN(AQ62,$AK$7),0)))</f>
        <v>0</v>
      </c>
      <c r="AN63" s="448">
        <f t="shared" si="15"/>
        <v>0</v>
      </c>
      <c r="AO63" s="448">
        <f t="shared" si="16"/>
        <v>1</v>
      </c>
      <c r="AP63" s="449">
        <f t="shared" si="17"/>
        <v>0.32796125352726702</v>
      </c>
      <c r="AQ63" s="449">
        <f t="shared" si="18"/>
        <v>14.738117795645291</v>
      </c>
      <c r="AR63" s="449">
        <f t="shared" si="39"/>
        <v>49</v>
      </c>
      <c r="AS63" s="449">
        <f t="shared" si="40"/>
        <v>0.78710700846544079</v>
      </c>
      <c r="AT63" s="449">
        <f t="shared" si="41"/>
        <v>46.538117795645299</v>
      </c>
      <c r="AU63" s="453">
        <f t="shared" si="19"/>
        <v>0</v>
      </c>
      <c r="AV63" s="145">
        <f t="shared" si="20"/>
        <v>39.799999999999997</v>
      </c>
      <c r="AW63" s="178">
        <f t="shared" si="21"/>
        <v>0</v>
      </c>
      <c r="AX63" s="179">
        <f t="shared" si="22"/>
        <v>0</v>
      </c>
      <c r="AY63" s="145" t="str">
        <f t="shared" si="42"/>
        <v/>
      </c>
      <c r="AZ63" s="145">
        <f t="shared" si="23"/>
        <v>0</v>
      </c>
      <c r="BA63" s="145">
        <f t="shared" si="24"/>
        <v>0</v>
      </c>
      <c r="BB63" s="145">
        <f t="shared" si="25"/>
        <v>0</v>
      </c>
      <c r="BC63" s="145">
        <f t="shared" si="26"/>
        <v>0</v>
      </c>
      <c r="BD63" s="145">
        <f t="shared" si="27"/>
        <v>0</v>
      </c>
      <c r="BE63" s="145">
        <f t="shared" si="28"/>
        <v>0</v>
      </c>
      <c r="BF63" s="145" t="str">
        <f t="shared" si="29"/>
        <v/>
      </c>
    </row>
    <row r="64" spans="1:58" s="145" customFormat="1">
      <c r="A64" s="568"/>
      <c r="B64" s="116">
        <f t="shared" si="9"/>
        <v>61</v>
      </c>
      <c r="C64" s="69">
        <f t="shared" si="30"/>
        <v>42065</v>
      </c>
      <c r="D64" s="257">
        <f>IF(ISERROR(VLOOKUP($C64,'NDVI real'!$T$8:$U$313,2,FALSE)),VLOOKUP(SWB!C64,'NDVI tipo'!$T$8:$U$193,2),VLOOKUP($C64,'NDVI real'!$T$8:$U$313,2,FALSE))</f>
        <v>0.25702160467592661</v>
      </c>
      <c r="E64" s="170">
        <f t="shared" si="0"/>
        <v>3</v>
      </c>
      <c r="F64" s="170">
        <f t="shared" si="1"/>
        <v>2</v>
      </c>
      <c r="G64" s="170">
        <f t="shared" si="2"/>
        <v>2015</v>
      </c>
      <c r="H64" s="170">
        <f t="shared" si="10"/>
        <v>61</v>
      </c>
      <c r="I64" s="190">
        <f>IF(ISERROR(VLOOKUP($C64,Clima!$U$8:$AH$900,3,FALSE)),VLOOKUP($C64,Clima!$D$8:$R$900,3),VLOOKUP($C64,Clima!$U$8:$AH$900,3,FALSE))</f>
        <v>5.8</v>
      </c>
      <c r="J64" s="191"/>
      <c r="K64" s="170"/>
      <c r="L64" s="192">
        <f>IF(ISERROR(VLOOKUP($C64,Clima!$U$8:$AH$900,14,FALSE)),VLOOKUP($C64,Clima!$D$8:$R$900,14),VLOOKUP($C64,Clima!$U$8:$AH$900,14,FALSE))</f>
        <v>3.4</v>
      </c>
      <c r="M64" s="190"/>
      <c r="N64" s="190"/>
      <c r="O64" s="191"/>
      <c r="P64" s="191">
        <f>IF(ISERROR(VLOOKUP($C64,Clima!$W$8:$AH$350,12,FALSE)),VLOOKUP($C64,Clima!$E$8:$P$350,12),VLOOKUP($C64,Clima!$W$8:$AH$350,12,FALSE))</f>
        <v>0</v>
      </c>
      <c r="Q64" s="170">
        <f t="shared" si="31"/>
        <v>21.580655489740035</v>
      </c>
      <c r="R64" s="254">
        <f>VLOOKUP(C64,Clima!$V$8:$AH$900,3,FALSE)+R63</f>
        <v>242.79999999999995</v>
      </c>
      <c r="S64" s="455">
        <f t="shared" si="32"/>
        <v>0.27011111073333427</v>
      </c>
      <c r="T64" s="449">
        <f t="shared" si="11"/>
        <v>0.91837777649333652</v>
      </c>
      <c r="U64" s="195"/>
      <c r="V64" s="445">
        <f t="shared" si="3"/>
        <v>1.0227846294533334</v>
      </c>
      <c r="W64" s="446">
        <f t="shared" si="43"/>
        <v>0</v>
      </c>
      <c r="X64" s="447">
        <f t="shared" si="33"/>
        <v>0.15189752968888884</v>
      </c>
      <c r="Y64" s="448">
        <f t="shared" si="12"/>
        <v>1</v>
      </c>
      <c r="Z64" s="449">
        <f t="shared" si="4"/>
        <v>0.84810247031111119</v>
      </c>
      <c r="AA64" s="449">
        <f t="shared" si="34"/>
        <v>6.1187677010939012</v>
      </c>
      <c r="AB64" s="451">
        <f t="shared" si="13"/>
        <v>7.0546211208978707E-2</v>
      </c>
      <c r="AC64" s="449">
        <f t="shared" si="5"/>
        <v>5.3098265023026246E-2</v>
      </c>
      <c r="AD64" s="449">
        <f t="shared" si="6"/>
        <v>0.18053410107828924</v>
      </c>
      <c r="AE64" s="448">
        <f t="shared" si="35"/>
        <v>0</v>
      </c>
      <c r="AF64" s="449">
        <f t="shared" si="36"/>
        <v>6.331635965717707</v>
      </c>
      <c r="AG64" s="449">
        <f t="shared" si="7"/>
        <v>0.3232093757563605</v>
      </c>
      <c r="AH64" s="449">
        <f t="shared" si="8"/>
        <v>1.0989118775716256</v>
      </c>
      <c r="AI64" s="448"/>
      <c r="AJ64" s="449">
        <f t="shared" si="14"/>
        <v>0.28697942281481476</v>
      </c>
      <c r="AK64" s="450">
        <f t="shared" si="37"/>
        <v>18.653662482962961</v>
      </c>
      <c r="AL64" s="449">
        <f t="shared" si="38"/>
        <v>15.837029673216916</v>
      </c>
      <c r="AM64" s="451">
        <f>IF(ISERROR(VLOOKUP(C64,Riegos,2,FALSE)),VLOOKUP(C64,Riegos,2,FALSE),VLOOKUP($F$8,Nomen!$A$79:$B$80,2,FALSE)*IF(AND(H64&gt;120,D64&lt;0.45),0,IF(AQ63+AH64&gt;=AK64,MIN(AQ63,$AK$7),0)))</f>
        <v>0</v>
      </c>
      <c r="AN64" s="448">
        <f t="shared" si="15"/>
        <v>0</v>
      </c>
      <c r="AO64" s="448">
        <f t="shared" si="16"/>
        <v>1</v>
      </c>
      <c r="AP64" s="449">
        <f t="shared" si="17"/>
        <v>0.3232093757563605</v>
      </c>
      <c r="AQ64" s="449">
        <f t="shared" si="18"/>
        <v>15.837029673216916</v>
      </c>
      <c r="AR64" s="449">
        <f t="shared" si="39"/>
        <v>50</v>
      </c>
      <c r="AS64" s="449">
        <f t="shared" si="40"/>
        <v>1.0989118775716256</v>
      </c>
      <c r="AT64" s="449">
        <f t="shared" si="41"/>
        <v>47.637029673216922</v>
      </c>
      <c r="AU64" s="453">
        <f t="shared" si="19"/>
        <v>0</v>
      </c>
      <c r="AV64" s="145">
        <f t="shared" si="20"/>
        <v>39.799999999999997</v>
      </c>
      <c r="AW64" s="178">
        <f t="shared" si="21"/>
        <v>0</v>
      </c>
      <c r="AX64" s="179">
        <f t="shared" si="22"/>
        <v>0</v>
      </c>
      <c r="AY64" s="145" t="str">
        <f t="shared" si="42"/>
        <v/>
      </c>
      <c r="AZ64" s="145">
        <f t="shared" si="23"/>
        <v>0</v>
      </c>
      <c r="BA64" s="145">
        <f t="shared" si="24"/>
        <v>0</v>
      </c>
      <c r="BB64" s="145">
        <f t="shared" si="25"/>
        <v>0</v>
      </c>
      <c r="BC64" s="145">
        <f t="shared" si="26"/>
        <v>0</v>
      </c>
      <c r="BD64" s="145">
        <f t="shared" si="27"/>
        <v>0</v>
      </c>
      <c r="BE64" s="145">
        <f t="shared" si="28"/>
        <v>0</v>
      </c>
      <c r="BF64" s="145" t="str">
        <f t="shared" si="29"/>
        <v/>
      </c>
    </row>
    <row r="65" spans="1:58" s="145" customFormat="1">
      <c r="A65" s="568"/>
      <c r="B65" s="116">
        <f t="shared" si="9"/>
        <v>62</v>
      </c>
      <c r="C65" s="69">
        <f t="shared" si="30"/>
        <v>42066</v>
      </c>
      <c r="D65" s="257">
        <f>IF(ISERROR(VLOOKUP($C65,'NDVI real'!$T$8:$U$313,2,FALSE)),VLOOKUP(SWB!C65,'NDVI tipo'!$T$8:$U$193,2),VLOOKUP($C65,'NDVI real'!$T$8:$U$313,2,FALSE))</f>
        <v>0.25691358000000003</v>
      </c>
      <c r="E65" s="170">
        <f t="shared" si="0"/>
        <v>3</v>
      </c>
      <c r="F65" s="170">
        <f t="shared" si="1"/>
        <v>3</v>
      </c>
      <c r="G65" s="170">
        <f t="shared" si="2"/>
        <v>2015</v>
      </c>
      <c r="H65" s="170">
        <f t="shared" si="10"/>
        <v>62</v>
      </c>
      <c r="I65" s="190">
        <f>IF(ISERROR(VLOOKUP($C65,Clima!$U$8:$AH$900,3,FALSE)),VLOOKUP($C65,Clima!$D$8:$R$900,3),VLOOKUP($C65,Clima!$U$8:$AH$900,3,FALSE))</f>
        <v>8.5</v>
      </c>
      <c r="J65" s="191"/>
      <c r="K65" s="170"/>
      <c r="L65" s="192">
        <f>IF(ISERROR(VLOOKUP($C65,Clima!$U$8:$AH$900,14,FALSE)),VLOOKUP($C65,Clima!$D$8:$R$900,14),VLOOKUP($C65,Clima!$U$8:$AH$900,14,FALSE))</f>
        <v>3.5</v>
      </c>
      <c r="M65" s="190"/>
      <c r="N65" s="190"/>
      <c r="O65" s="191"/>
      <c r="P65" s="191">
        <f>IF(ISERROR(VLOOKUP($C65,Clima!$W$8:$AH$350,12,FALSE)),VLOOKUP($C65,Clima!$E$8:$P$350,12),VLOOKUP($C65,Clima!$W$8:$AH$350,12,FALSE))</f>
        <v>0</v>
      </c>
      <c r="Q65" s="170">
        <f t="shared" si="31"/>
        <v>22.525499932940036</v>
      </c>
      <c r="R65" s="254">
        <f>VLOOKUP(C65,Clima!$V$8:$AH$900,3,FALSE)+R64</f>
        <v>256.79999999999995</v>
      </c>
      <c r="S65" s="455">
        <f t="shared" si="32"/>
        <v>0.26995555520000003</v>
      </c>
      <c r="T65" s="449">
        <f t="shared" si="11"/>
        <v>0.94484444320000005</v>
      </c>
      <c r="U65" s="195"/>
      <c r="V65" s="445">
        <f t="shared" si="3"/>
        <v>1.0227846294533334</v>
      </c>
      <c r="W65" s="446">
        <f t="shared" si="43"/>
        <v>0</v>
      </c>
      <c r="X65" s="447">
        <f t="shared" si="33"/>
        <v>0.15189752968888884</v>
      </c>
      <c r="Y65" s="448">
        <f t="shared" si="12"/>
        <v>1</v>
      </c>
      <c r="Z65" s="449">
        <f t="shared" si="4"/>
        <v>0.84810247031111119</v>
      </c>
      <c r="AA65" s="449">
        <f t="shared" si="34"/>
        <v>6.331635965717707</v>
      </c>
      <c r="AB65" s="451">
        <f t="shared" si="13"/>
        <v>6.2563651285585983E-2</v>
      </c>
      <c r="AC65" s="449">
        <f t="shared" si="5"/>
        <v>4.7099735679236067E-2</v>
      </c>
      <c r="AD65" s="449">
        <f t="shared" si="6"/>
        <v>0.16484907487732622</v>
      </c>
      <c r="AE65" s="448">
        <f t="shared" si="35"/>
        <v>0</v>
      </c>
      <c r="AF65" s="449">
        <f t="shared" si="36"/>
        <v>6.5260099719823677</v>
      </c>
      <c r="AG65" s="449">
        <f t="shared" si="7"/>
        <v>0.31705529087923612</v>
      </c>
      <c r="AH65" s="449">
        <f t="shared" si="8"/>
        <v>1.1096935180773264</v>
      </c>
      <c r="AI65" s="448"/>
      <c r="AJ65" s="449">
        <f t="shared" si="14"/>
        <v>0.28697942281481476</v>
      </c>
      <c r="AK65" s="450">
        <f t="shared" si="37"/>
        <v>18.653662482962961</v>
      </c>
      <c r="AL65" s="449">
        <f t="shared" si="38"/>
        <v>16.946723191294243</v>
      </c>
      <c r="AM65" s="451">
        <f>IF(ISERROR(VLOOKUP(C65,Riegos,2,FALSE)),VLOOKUP(C65,Riegos,2,FALSE),VLOOKUP($F$8,Nomen!$A$79:$B$80,2,FALSE)*IF(AND(H65&gt;120,D65&lt;0.45),0,IF(AQ64+AH65&gt;=AK65,MIN(AQ64,$AK$7),0)))</f>
        <v>0</v>
      </c>
      <c r="AN65" s="448">
        <f t="shared" si="15"/>
        <v>0</v>
      </c>
      <c r="AO65" s="448">
        <f t="shared" si="16"/>
        <v>1</v>
      </c>
      <c r="AP65" s="449">
        <f t="shared" si="17"/>
        <v>0.31705529087923612</v>
      </c>
      <c r="AQ65" s="449">
        <f t="shared" si="18"/>
        <v>16.946723191294243</v>
      </c>
      <c r="AR65" s="449">
        <f t="shared" si="39"/>
        <v>51</v>
      </c>
      <c r="AS65" s="449">
        <f t="shared" si="40"/>
        <v>1.1096935180773264</v>
      </c>
      <c r="AT65" s="449">
        <f t="shared" si="41"/>
        <v>48.746723191294251</v>
      </c>
      <c r="AU65" s="453">
        <f t="shared" si="19"/>
        <v>0</v>
      </c>
      <c r="AV65" s="145">
        <f t="shared" si="20"/>
        <v>39.799999999999997</v>
      </c>
      <c r="AW65" s="178">
        <f t="shared" si="21"/>
        <v>0</v>
      </c>
      <c r="AX65" s="179">
        <f t="shared" si="22"/>
        <v>0</v>
      </c>
      <c r="AY65" s="145" t="str">
        <f t="shared" si="42"/>
        <v/>
      </c>
      <c r="AZ65" s="145">
        <f t="shared" si="23"/>
        <v>0</v>
      </c>
      <c r="BA65" s="145">
        <f t="shared" si="24"/>
        <v>0</v>
      </c>
      <c r="BB65" s="145">
        <f t="shared" si="25"/>
        <v>0</v>
      </c>
      <c r="BC65" s="145">
        <f t="shared" si="26"/>
        <v>0</v>
      </c>
      <c r="BD65" s="145">
        <f t="shared" si="27"/>
        <v>0</v>
      </c>
      <c r="BE65" s="145">
        <f t="shared" si="28"/>
        <v>0</v>
      </c>
      <c r="BF65" s="145" t="str">
        <f t="shared" si="29"/>
        <v/>
      </c>
    </row>
    <row r="66" spans="1:58" s="145" customFormat="1">
      <c r="A66" s="568"/>
      <c r="B66" s="116">
        <f t="shared" si="9"/>
        <v>63</v>
      </c>
      <c r="C66" s="69">
        <f t="shared" si="30"/>
        <v>42067</v>
      </c>
      <c r="D66" s="257">
        <f>IF(ISERROR(VLOOKUP($C66,'NDVI real'!$T$8:$U$313,2,FALSE)),VLOOKUP(SWB!C66,'NDVI tipo'!$T$8:$U$193,2),VLOOKUP($C66,'NDVI real'!$T$8:$U$313,2,FALSE))</f>
        <v>0.26042328015873017</v>
      </c>
      <c r="E66" s="170">
        <f t="shared" si="0"/>
        <v>3</v>
      </c>
      <c r="F66" s="170">
        <f t="shared" si="1"/>
        <v>4</v>
      </c>
      <c r="G66" s="170">
        <f t="shared" si="2"/>
        <v>2015</v>
      </c>
      <c r="H66" s="170">
        <f t="shared" si="10"/>
        <v>63</v>
      </c>
      <c r="I66" s="190">
        <f>IF(ISERROR(VLOOKUP($C66,Clima!$U$8:$AH$900,3,FALSE)),VLOOKUP($C66,Clima!$D$8:$R$900,3),VLOOKUP($C66,Clima!$U$8:$AH$900,3,FALSE))</f>
        <v>8</v>
      </c>
      <c r="J66" s="191"/>
      <c r="K66" s="170"/>
      <c r="L66" s="192">
        <f>IF(ISERROR(VLOOKUP($C66,Clima!$U$8:$AH$900,14,FALSE)),VLOOKUP($C66,Clima!$D$8:$R$900,14),VLOOKUP($C66,Clima!$U$8:$AH$900,14,FALSE))</f>
        <v>2.8</v>
      </c>
      <c r="M66" s="190"/>
      <c r="N66" s="190"/>
      <c r="O66" s="191"/>
      <c r="P66" s="191">
        <f>IF(ISERROR(VLOOKUP($C66,Clima!$W$8:$AH$350,12,FALSE)),VLOOKUP($C66,Clima!$E$8:$P$350,12),VLOOKUP($C66,Clima!$W$8:$AH$350,12,FALSE))</f>
        <v>0</v>
      </c>
      <c r="Q66" s="170">
        <f t="shared" si="31"/>
        <v>23.295526598540036</v>
      </c>
      <c r="R66" s="254">
        <f>VLOOKUP(C66,Clima!$V$8:$AH$900,3,FALSE)+R65</f>
        <v>267.49999999999994</v>
      </c>
      <c r="S66" s="455">
        <f t="shared" si="32"/>
        <v>0.27500952342857143</v>
      </c>
      <c r="T66" s="449">
        <f t="shared" si="11"/>
        <v>0.77002666559999999</v>
      </c>
      <c r="U66" s="195"/>
      <c r="V66" s="445">
        <f t="shared" si="3"/>
        <v>1.0227846294533334</v>
      </c>
      <c r="W66" s="446">
        <f t="shared" si="43"/>
        <v>0</v>
      </c>
      <c r="X66" s="447">
        <f t="shared" si="33"/>
        <v>0.15189752968888884</v>
      </c>
      <c r="Y66" s="448">
        <f t="shared" si="12"/>
        <v>1</v>
      </c>
      <c r="Z66" s="449">
        <f t="shared" si="4"/>
        <v>0.84810247031111119</v>
      </c>
      <c r="AA66" s="449">
        <f t="shared" si="34"/>
        <v>6.5260099719823677</v>
      </c>
      <c r="AB66" s="451">
        <f t="shared" si="13"/>
        <v>5.5274626050661212E-2</v>
      </c>
      <c r="AC66" s="449">
        <f t="shared" si="5"/>
        <v>4.1332989355512259E-2</v>
      </c>
      <c r="AD66" s="449">
        <f t="shared" si="6"/>
        <v>0.11573237019543432</v>
      </c>
      <c r="AE66" s="448">
        <f t="shared" si="35"/>
        <v>0</v>
      </c>
      <c r="AF66" s="449">
        <f t="shared" si="36"/>
        <v>6.6624703340810418</v>
      </c>
      <c r="AG66" s="449">
        <f t="shared" si="7"/>
        <v>0.31634251278408371</v>
      </c>
      <c r="AH66" s="449">
        <f t="shared" si="8"/>
        <v>0.88575903579543436</v>
      </c>
      <c r="AI66" s="448"/>
      <c r="AJ66" s="449">
        <f t="shared" si="14"/>
        <v>0.28697942281481476</v>
      </c>
      <c r="AK66" s="450">
        <f t="shared" si="37"/>
        <v>18.653662482962961</v>
      </c>
      <c r="AL66" s="449">
        <f t="shared" si="38"/>
        <v>17.832482227089677</v>
      </c>
      <c r="AM66" s="451">
        <f>IF(ISERROR(VLOOKUP(C66,Riegos,2,FALSE)),VLOOKUP(C66,Riegos,2,FALSE),VLOOKUP($F$8,Nomen!$A$79:$B$80,2,FALSE)*IF(AND(H66&gt;120,D66&lt;0.45),0,IF(AQ65+AH66&gt;=AK66,MIN(AQ65,$AK$7),0)))</f>
        <v>0</v>
      </c>
      <c r="AN66" s="448">
        <f t="shared" si="15"/>
        <v>0</v>
      </c>
      <c r="AO66" s="448">
        <f t="shared" si="16"/>
        <v>1</v>
      </c>
      <c r="AP66" s="449">
        <f t="shared" si="17"/>
        <v>0.31634251278408371</v>
      </c>
      <c r="AQ66" s="449">
        <f t="shared" si="18"/>
        <v>17.832482227089677</v>
      </c>
      <c r="AR66" s="449">
        <f t="shared" si="39"/>
        <v>52</v>
      </c>
      <c r="AS66" s="449">
        <f t="shared" si="40"/>
        <v>0.88575903579543436</v>
      </c>
      <c r="AT66" s="449">
        <f t="shared" si="41"/>
        <v>49.632482227089682</v>
      </c>
      <c r="AU66" s="453">
        <f t="shared" si="19"/>
        <v>0</v>
      </c>
      <c r="AV66" s="145">
        <f t="shared" si="20"/>
        <v>39.799999999999997</v>
      </c>
      <c r="AW66" s="178">
        <f t="shared" si="21"/>
        <v>0</v>
      </c>
      <c r="AX66" s="179">
        <f t="shared" si="22"/>
        <v>0</v>
      </c>
      <c r="AY66" s="145" t="str">
        <f t="shared" si="42"/>
        <v/>
      </c>
      <c r="AZ66" s="145">
        <f t="shared" si="23"/>
        <v>0</v>
      </c>
      <c r="BA66" s="145">
        <f t="shared" si="24"/>
        <v>0</v>
      </c>
      <c r="BB66" s="145">
        <f t="shared" si="25"/>
        <v>0</v>
      </c>
      <c r="BC66" s="145">
        <f t="shared" si="26"/>
        <v>0</v>
      </c>
      <c r="BD66" s="145">
        <f t="shared" si="27"/>
        <v>0</v>
      </c>
      <c r="BE66" s="145">
        <f t="shared" si="28"/>
        <v>0</v>
      </c>
      <c r="BF66" s="145" t="str">
        <f t="shared" si="29"/>
        <v/>
      </c>
    </row>
    <row r="67" spans="1:58" s="145" customFormat="1">
      <c r="A67" s="568"/>
      <c r="B67" s="116">
        <f t="shared" si="9"/>
        <v>64</v>
      </c>
      <c r="C67" s="69">
        <f t="shared" si="30"/>
        <v>42068</v>
      </c>
      <c r="D67" s="257">
        <f>IF(ISERROR(VLOOKUP($C67,'NDVI real'!$T$8:$U$313,2,FALSE)),VLOOKUP(SWB!C67,'NDVI tipo'!$T$8:$U$193,2),VLOOKUP($C67,'NDVI real'!$T$8:$U$313,2,FALSE))</f>
        <v>0.26393298031746032</v>
      </c>
      <c r="E67" s="170">
        <f t="shared" si="0"/>
        <v>3</v>
      </c>
      <c r="F67" s="170">
        <f t="shared" si="1"/>
        <v>5</v>
      </c>
      <c r="G67" s="170">
        <f t="shared" si="2"/>
        <v>2015</v>
      </c>
      <c r="H67" s="170">
        <f t="shared" si="10"/>
        <v>64</v>
      </c>
      <c r="I67" s="190">
        <f>IF(ISERROR(VLOOKUP($C67,Clima!$U$8:$AH$900,3,FALSE)),VLOOKUP($C67,Clima!$D$8:$R$900,3),VLOOKUP($C67,Clima!$U$8:$AH$900,3,FALSE))</f>
        <v>8.3000000000000007</v>
      </c>
      <c r="J67" s="191"/>
      <c r="K67" s="170"/>
      <c r="L67" s="192">
        <f>IF(ISERROR(VLOOKUP($C67,Clima!$U$8:$AH$900,14,FALSE)),VLOOKUP($C67,Clima!$D$8:$R$900,14),VLOOKUP($C67,Clima!$U$8:$AH$900,14,FALSE))</f>
        <v>3.7</v>
      </c>
      <c r="M67" s="190"/>
      <c r="N67" s="190"/>
      <c r="O67" s="191"/>
      <c r="P67" s="191">
        <f>IF(ISERROR(VLOOKUP($C67,Clima!$W$8:$AH$350,12,FALSE)),VLOOKUP($C67,Clima!$E$8:$P$350,12),VLOOKUP($C67,Clima!$W$8:$AH$350,12,FALSE))</f>
        <v>0</v>
      </c>
      <c r="Q67" s="170">
        <f t="shared" si="31"/>
        <v>24.308626377016406</v>
      </c>
      <c r="R67" s="254">
        <f>VLOOKUP(C67,Clima!$V$8:$AH$900,3,FALSE)+R66</f>
        <v>271.79999999999995</v>
      </c>
      <c r="S67" s="455">
        <f t="shared" si="32"/>
        <v>0.28006349165714284</v>
      </c>
      <c r="T67" s="449">
        <f t="shared" si="11"/>
        <v>1.0362349191314286</v>
      </c>
      <c r="U67" s="195"/>
      <c r="V67" s="445">
        <f t="shared" si="3"/>
        <v>1.0231120369866666</v>
      </c>
      <c r="W67" s="446">
        <f t="shared" si="43"/>
        <v>0</v>
      </c>
      <c r="X67" s="447">
        <f t="shared" si="33"/>
        <v>0.15408024657777777</v>
      </c>
      <c r="Y67" s="448">
        <f t="shared" si="12"/>
        <v>1</v>
      </c>
      <c r="Z67" s="449">
        <f t="shared" si="4"/>
        <v>0.84591975342222225</v>
      </c>
      <c r="AA67" s="449">
        <f t="shared" si="34"/>
        <v>6.6624703340810418</v>
      </c>
      <c r="AB67" s="451">
        <f t="shared" si="13"/>
        <v>5.0157362471960933E-2</v>
      </c>
      <c r="AC67" s="449">
        <f t="shared" si="5"/>
        <v>3.7269355222356221E-2</v>
      </c>
      <c r="AD67" s="449">
        <f t="shared" si="6"/>
        <v>0.13789661432271802</v>
      </c>
      <c r="AE67" s="448">
        <f t="shared" si="35"/>
        <v>0</v>
      </c>
      <c r="AF67" s="449">
        <f t="shared" si="36"/>
        <v>6.8254841586960229</v>
      </c>
      <c r="AG67" s="449">
        <f t="shared" si="7"/>
        <v>0.31733284687949903</v>
      </c>
      <c r="AH67" s="449">
        <f t="shared" si="8"/>
        <v>1.1741315334541464</v>
      </c>
      <c r="AI67" s="448"/>
      <c r="AJ67" s="449">
        <f t="shared" si="14"/>
        <v>0.28893591974603172</v>
      </c>
      <c r="AK67" s="450">
        <f t="shared" si="37"/>
        <v>18.780834783492061</v>
      </c>
      <c r="AL67" s="449">
        <f t="shared" si="38"/>
        <v>19.006613760543825</v>
      </c>
      <c r="AM67" s="451">
        <f>IF(ISERROR(VLOOKUP(C67,Riegos,2,FALSE)),VLOOKUP(C67,Riegos,2,FALSE),VLOOKUP($F$8,Nomen!$A$79:$B$80,2,FALSE)*IF(AND(H67&gt;120,D67&lt;0.45),0,IF(AQ66+AH67&gt;=AK67,MIN(AQ66,$AK$7),0)))</f>
        <v>5</v>
      </c>
      <c r="AN67" s="448">
        <f t="shared" si="15"/>
        <v>0</v>
      </c>
      <c r="AO67" s="448">
        <f t="shared" si="16"/>
        <v>0.97767384573910088</v>
      </c>
      <c r="AP67" s="449">
        <f t="shared" si="17"/>
        <v>0.31108010616191561</v>
      </c>
      <c r="AQ67" s="449">
        <f t="shared" si="18"/>
        <v>18.983478619888764</v>
      </c>
      <c r="AR67" s="449">
        <f t="shared" si="39"/>
        <v>52.977673845739098</v>
      </c>
      <c r="AS67" s="449">
        <f t="shared" si="40"/>
        <v>1.1509963927990878</v>
      </c>
      <c r="AT67" s="449">
        <f t="shared" si="41"/>
        <v>50.783478619888768</v>
      </c>
      <c r="AU67" s="453">
        <f t="shared" si="19"/>
        <v>5</v>
      </c>
      <c r="AV67" s="145">
        <f t="shared" si="20"/>
        <v>39.799999999999997</v>
      </c>
      <c r="AW67" s="178">
        <f t="shared" si="21"/>
        <v>0</v>
      </c>
      <c r="AX67" s="179">
        <f t="shared" si="22"/>
        <v>0</v>
      </c>
      <c r="AY67" s="145" t="str">
        <f t="shared" si="42"/>
        <v/>
      </c>
      <c r="AZ67" s="145">
        <f t="shared" si="23"/>
        <v>0</v>
      </c>
      <c r="BA67" s="145">
        <f t="shared" si="24"/>
        <v>0</v>
      </c>
      <c r="BB67" s="145">
        <f t="shared" si="25"/>
        <v>0</v>
      </c>
      <c r="BC67" s="145">
        <f t="shared" si="26"/>
        <v>0</v>
      </c>
      <c r="BD67" s="145">
        <f t="shared" si="27"/>
        <v>0</v>
      </c>
      <c r="BE67" s="145">
        <f t="shared" si="28"/>
        <v>0</v>
      </c>
      <c r="BF67" s="145" t="str">
        <f t="shared" si="29"/>
        <v/>
      </c>
    </row>
    <row r="68" spans="1:58" s="145" customFormat="1">
      <c r="A68" s="568"/>
      <c r="B68" s="116">
        <f t="shared" si="9"/>
        <v>65</v>
      </c>
      <c r="C68" s="69">
        <f t="shared" si="30"/>
        <v>42069</v>
      </c>
      <c r="D68" s="257">
        <f>IF(ISERROR(VLOOKUP($C68,'NDVI real'!$T$8:$U$313,2,FALSE)),VLOOKUP(SWB!C68,'NDVI tipo'!$T$8:$U$193,2),VLOOKUP($C68,'NDVI real'!$T$8:$U$313,2,FALSE))</f>
        <v>0.26744268047619046</v>
      </c>
      <c r="E68" s="170">
        <f t="shared" si="0"/>
        <v>3</v>
      </c>
      <c r="F68" s="170">
        <f t="shared" si="1"/>
        <v>6</v>
      </c>
      <c r="G68" s="170">
        <f t="shared" si="2"/>
        <v>2015</v>
      </c>
      <c r="H68" s="170">
        <f t="shared" si="10"/>
        <v>65</v>
      </c>
      <c r="I68" s="190">
        <f>IF(ISERROR(VLOOKUP($C68,Clima!$U$8:$AH$900,3,FALSE)),VLOOKUP($C68,Clima!$D$8:$R$900,3),VLOOKUP($C68,Clima!$U$8:$AH$900,3,FALSE))</f>
        <v>5.4</v>
      </c>
      <c r="J68" s="191"/>
      <c r="K68" s="170"/>
      <c r="L68" s="192">
        <f>IF(ISERROR(VLOOKUP($C68,Clima!$U$8:$AH$900,14,FALSE)),VLOOKUP($C68,Clima!$D$8:$R$900,14),VLOOKUP($C68,Clima!$U$8:$AH$900,14,FALSE))</f>
        <v>2.5</v>
      </c>
      <c r="M68" s="190"/>
      <c r="N68" s="190"/>
      <c r="O68" s="191"/>
      <c r="P68" s="191">
        <f>IF(ISERROR(VLOOKUP($C68,Clima!$W$8:$AH$350,12,FALSE)),VLOOKUP($C68,Clima!$E$8:$P$350,12),VLOOKUP($C68,Clima!$W$8:$AH$350,12,FALSE))</f>
        <v>0</v>
      </c>
      <c r="Q68" s="170">
        <f t="shared" si="31"/>
        <v>25.021420026730691</v>
      </c>
      <c r="R68" s="254">
        <f>VLOOKUP(C68,Clima!$V$8:$AH$900,3,FALSE)+R67</f>
        <v>277.69999999999993</v>
      </c>
      <c r="S68" s="455">
        <f t="shared" si="32"/>
        <v>0.28511745988571424</v>
      </c>
      <c r="T68" s="449">
        <f t="shared" si="11"/>
        <v>0.7127936497142856</v>
      </c>
      <c r="U68" s="195"/>
      <c r="V68" s="445">
        <f t="shared" si="3"/>
        <v>1.0237385184650001</v>
      </c>
      <c r="W68" s="446">
        <f t="shared" si="43"/>
        <v>5</v>
      </c>
      <c r="X68" s="447">
        <f t="shared" si="33"/>
        <v>0.15825678976666666</v>
      </c>
      <c r="Y68" s="448">
        <f t="shared" si="12"/>
        <v>1</v>
      </c>
      <c r="Z68" s="449">
        <f t="shared" si="4"/>
        <v>0.84174321023333332</v>
      </c>
      <c r="AA68" s="449">
        <f t="shared" si="34"/>
        <v>1.8254841586960229</v>
      </c>
      <c r="AB68" s="451">
        <f t="shared" si="13"/>
        <v>1</v>
      </c>
      <c r="AC68" s="449">
        <f t="shared" si="5"/>
        <v>0.73862105857928584</v>
      </c>
      <c r="AD68" s="449">
        <f t="shared" si="6"/>
        <v>1.8465526464482145</v>
      </c>
      <c r="AE68" s="448">
        <f t="shared" si="35"/>
        <v>0</v>
      </c>
      <c r="AF68" s="449">
        <f t="shared" si="36"/>
        <v>4.0192085915148459</v>
      </c>
      <c r="AG68" s="449">
        <f t="shared" si="7"/>
        <v>1.0237385184650001</v>
      </c>
      <c r="AH68" s="449">
        <f t="shared" si="8"/>
        <v>2.5593462961625004</v>
      </c>
      <c r="AI68" s="448"/>
      <c r="AJ68" s="449">
        <f t="shared" si="14"/>
        <v>0.29267959991534387</v>
      </c>
      <c r="AK68" s="450">
        <f t="shared" si="37"/>
        <v>19.02417399449735</v>
      </c>
      <c r="AL68" s="449">
        <f t="shared" si="38"/>
        <v>16.542824916051266</v>
      </c>
      <c r="AM68" s="451">
        <f>IF(ISERROR(VLOOKUP(C68,Riegos,2,FALSE)),VLOOKUP(C68,Riegos,2,FALSE),VLOOKUP($F$8,Nomen!$A$79:$B$80,2,FALSE)*IF(AND(H68&gt;120,D68&lt;0.45),0,IF(AQ67+AH68&gt;=AK68,MIN(AQ67,$AK$7),0)))</f>
        <v>5</v>
      </c>
      <c r="AN68" s="448">
        <f t="shared" si="15"/>
        <v>0</v>
      </c>
      <c r="AO68" s="448">
        <f t="shared" si="16"/>
        <v>1</v>
      </c>
      <c r="AP68" s="449">
        <f t="shared" si="17"/>
        <v>1.0237385184650001</v>
      </c>
      <c r="AQ68" s="449">
        <f t="shared" si="18"/>
        <v>16.542824916051266</v>
      </c>
      <c r="AR68" s="449">
        <f t="shared" si="39"/>
        <v>53.977673845739098</v>
      </c>
      <c r="AS68" s="449">
        <f t="shared" si="40"/>
        <v>2.5593462961625004</v>
      </c>
      <c r="AT68" s="449">
        <f t="shared" si="41"/>
        <v>53.342824916051271</v>
      </c>
      <c r="AU68" s="453">
        <f t="shared" si="19"/>
        <v>10</v>
      </c>
      <c r="AV68" s="145">
        <f t="shared" si="20"/>
        <v>39.799999999999997</v>
      </c>
      <c r="AW68" s="178">
        <f t="shared" si="21"/>
        <v>0</v>
      </c>
      <c r="AX68" s="179">
        <f t="shared" si="22"/>
        <v>0</v>
      </c>
      <c r="AY68" s="145" t="str">
        <f t="shared" si="42"/>
        <v/>
      </c>
      <c r="AZ68" s="145">
        <f t="shared" si="23"/>
        <v>0</v>
      </c>
      <c r="BA68" s="145">
        <f t="shared" si="24"/>
        <v>0</v>
      </c>
      <c r="BB68" s="145">
        <f t="shared" si="25"/>
        <v>0</v>
      </c>
      <c r="BC68" s="145">
        <f t="shared" si="26"/>
        <v>0</v>
      </c>
      <c r="BD68" s="145">
        <f t="shared" si="27"/>
        <v>0</v>
      </c>
      <c r="BE68" s="145">
        <f t="shared" si="28"/>
        <v>0</v>
      </c>
      <c r="BF68" s="145" t="str">
        <f t="shared" si="29"/>
        <v/>
      </c>
    </row>
    <row r="69" spans="1:58" s="145" customFormat="1">
      <c r="A69" s="568"/>
      <c r="B69" s="116">
        <f t="shared" si="9"/>
        <v>66</v>
      </c>
      <c r="C69" s="69">
        <f t="shared" si="30"/>
        <v>42070</v>
      </c>
      <c r="D69" s="257">
        <f>IF(ISERROR(VLOOKUP($C69,'NDVI real'!$T$8:$U$313,2,FALSE)),VLOOKUP(SWB!C69,'NDVI tipo'!$T$8:$U$193,2),VLOOKUP($C69,'NDVI real'!$T$8:$U$313,2,FALSE))</f>
        <v>0.27095238063492061</v>
      </c>
      <c r="E69" s="170">
        <f t="shared" si="0"/>
        <v>3</v>
      </c>
      <c r="F69" s="170">
        <f t="shared" si="1"/>
        <v>7</v>
      </c>
      <c r="G69" s="170">
        <f t="shared" si="2"/>
        <v>2015</v>
      </c>
      <c r="H69" s="170">
        <f t="shared" si="10"/>
        <v>66</v>
      </c>
      <c r="I69" s="190">
        <f>IF(ISERROR(VLOOKUP($C69,Clima!$U$8:$AH$900,3,FALSE)),VLOOKUP($C69,Clima!$D$8:$R$900,3),VLOOKUP($C69,Clima!$U$8:$AH$900,3,FALSE))</f>
        <v>4</v>
      </c>
      <c r="J69" s="191"/>
      <c r="K69" s="170"/>
      <c r="L69" s="192">
        <f>IF(ISERROR(VLOOKUP($C69,Clima!$U$8:$AH$900,14,FALSE)),VLOOKUP($C69,Clima!$D$8:$R$900,14),VLOOKUP($C69,Clima!$U$8:$AH$900,14,FALSE))</f>
        <v>2.5</v>
      </c>
      <c r="M69" s="190"/>
      <c r="N69" s="190"/>
      <c r="O69" s="191"/>
      <c r="P69" s="191">
        <f>IF(ISERROR(VLOOKUP($C69,Clima!$W$8:$AH$350,12,FALSE)),VLOOKUP($C69,Clima!$E$8:$P$350,12),VLOOKUP($C69,Clima!$W$8:$AH$350,12,FALSE))</f>
        <v>0</v>
      </c>
      <c r="Q69" s="170">
        <f t="shared" si="31"/>
        <v>25.746848597016406</v>
      </c>
      <c r="R69" s="254">
        <f>VLOOKUP(C69,Clima!$V$8:$AH$900,3,FALSE)+R68</f>
        <v>286.39999999999992</v>
      </c>
      <c r="S69" s="455">
        <f t="shared" si="32"/>
        <v>0.29017142811428565</v>
      </c>
      <c r="T69" s="449">
        <f t="shared" si="11"/>
        <v>0.72542857028571417</v>
      </c>
      <c r="U69" s="195"/>
      <c r="V69" s="445">
        <f t="shared" si="3"/>
        <v>1.0243649999433333</v>
      </c>
      <c r="W69" s="446">
        <f t="shared" si="43"/>
        <v>5</v>
      </c>
      <c r="X69" s="447">
        <f t="shared" si="33"/>
        <v>0.16243333295555548</v>
      </c>
      <c r="Y69" s="448">
        <f t="shared" si="12"/>
        <v>1</v>
      </c>
      <c r="Z69" s="449">
        <f t="shared" si="4"/>
        <v>0.83756666704444449</v>
      </c>
      <c r="AA69" s="449">
        <f t="shared" si="34"/>
        <v>0</v>
      </c>
      <c r="AB69" s="451">
        <f t="shared" si="13"/>
        <v>1</v>
      </c>
      <c r="AC69" s="449">
        <f t="shared" si="5"/>
        <v>0.73419357182904765</v>
      </c>
      <c r="AD69" s="449">
        <f t="shared" si="6"/>
        <v>1.8354839295726191</v>
      </c>
      <c r="AE69" s="448">
        <f t="shared" si="35"/>
        <v>0.98079140848515411</v>
      </c>
      <c r="AF69" s="449">
        <f t="shared" si="36"/>
        <v>2.191448157851799</v>
      </c>
      <c r="AG69" s="449">
        <f t="shared" si="7"/>
        <v>1.0243649999433333</v>
      </c>
      <c r="AH69" s="449">
        <f t="shared" si="8"/>
        <v>2.5609124998583335</v>
      </c>
      <c r="AI69" s="448"/>
      <c r="AJ69" s="449">
        <f t="shared" si="14"/>
        <v>0.29642328008465607</v>
      </c>
      <c r="AK69" s="450">
        <f t="shared" si="37"/>
        <v>19.267513205502645</v>
      </c>
      <c r="AL69" s="449">
        <f t="shared" si="38"/>
        <v>14.103737415909599</v>
      </c>
      <c r="AM69" s="451">
        <f>IF(ISERROR(VLOOKUP(C69,Riegos,2,FALSE)),VLOOKUP(C69,Riegos,2,FALSE),VLOOKUP($F$8,Nomen!$A$79:$B$80,2,FALSE)*IF(AND(H69&gt;120,D69&lt;0.45),0,IF(AQ68+AH69&gt;=AK69,MIN(AQ68,$AK$7),0)))</f>
        <v>0</v>
      </c>
      <c r="AN69" s="448">
        <f t="shared" si="15"/>
        <v>0</v>
      </c>
      <c r="AO69" s="448">
        <f t="shared" si="16"/>
        <v>1</v>
      </c>
      <c r="AP69" s="449">
        <f t="shared" si="17"/>
        <v>1.0243649999433333</v>
      </c>
      <c r="AQ69" s="449">
        <f t="shared" si="18"/>
        <v>14.103737415909599</v>
      </c>
      <c r="AR69" s="449">
        <f t="shared" si="39"/>
        <v>54.977673845739098</v>
      </c>
      <c r="AS69" s="449">
        <f t="shared" si="40"/>
        <v>2.5609124998583335</v>
      </c>
      <c r="AT69" s="449">
        <f t="shared" si="41"/>
        <v>55.903737415909603</v>
      </c>
      <c r="AU69" s="453">
        <f t="shared" si="19"/>
        <v>10</v>
      </c>
      <c r="AV69" s="145">
        <f t="shared" si="20"/>
        <v>39.799999999999997</v>
      </c>
      <c r="AW69" s="178">
        <f t="shared" si="21"/>
        <v>0</v>
      </c>
      <c r="AX69" s="179">
        <f t="shared" si="22"/>
        <v>0</v>
      </c>
      <c r="AY69" s="145" t="str">
        <f t="shared" si="42"/>
        <v/>
      </c>
      <c r="AZ69" s="145">
        <f t="shared" si="23"/>
        <v>0</v>
      </c>
      <c r="BA69" s="145">
        <f t="shared" si="24"/>
        <v>0</v>
      </c>
      <c r="BB69" s="145">
        <f t="shared" si="25"/>
        <v>0</v>
      </c>
      <c r="BC69" s="145">
        <f t="shared" si="26"/>
        <v>0</v>
      </c>
      <c r="BD69" s="145">
        <f t="shared" si="27"/>
        <v>0</v>
      </c>
      <c r="BE69" s="145">
        <f t="shared" si="28"/>
        <v>0</v>
      </c>
      <c r="BF69" s="145" t="str">
        <f t="shared" si="29"/>
        <v/>
      </c>
    </row>
    <row r="70" spans="1:58" s="145" customFormat="1">
      <c r="A70" s="568"/>
      <c r="B70" s="116">
        <f t="shared" si="9"/>
        <v>67</v>
      </c>
      <c r="C70" s="69">
        <f t="shared" si="30"/>
        <v>42071</v>
      </c>
      <c r="D70" s="257">
        <f>IF(ISERROR(VLOOKUP($C70,'NDVI real'!$T$8:$U$313,2,FALSE)),VLOOKUP(SWB!C70,'NDVI tipo'!$T$8:$U$193,2),VLOOKUP($C70,'NDVI real'!$T$8:$U$313,2,FALSE))</f>
        <v>0.27446208079365075</v>
      </c>
      <c r="E70" s="170">
        <f t="shared" si="0"/>
        <v>3</v>
      </c>
      <c r="F70" s="170">
        <f t="shared" si="1"/>
        <v>8</v>
      </c>
      <c r="G70" s="170">
        <f t="shared" si="2"/>
        <v>2015</v>
      </c>
      <c r="H70" s="170">
        <f t="shared" si="10"/>
        <v>67</v>
      </c>
      <c r="I70" s="190">
        <f>IF(ISERROR(VLOOKUP($C70,Clima!$U$8:$AH$900,3,FALSE)),VLOOKUP($C70,Clima!$D$8:$R$900,3),VLOOKUP($C70,Clima!$U$8:$AH$900,3,FALSE))</f>
        <v>3.2</v>
      </c>
      <c r="J70" s="191"/>
      <c r="K70" s="170"/>
      <c r="L70" s="192">
        <f>IF(ISERROR(VLOOKUP($C70,Clima!$U$8:$AH$900,14,FALSE)),VLOOKUP($C70,Clima!$D$8:$R$900,14),VLOOKUP($C70,Clima!$U$8:$AH$900,14,FALSE))</f>
        <v>0.9</v>
      </c>
      <c r="M70" s="190"/>
      <c r="N70" s="190"/>
      <c r="O70" s="191"/>
      <c r="P70" s="191">
        <f>IF(ISERROR(VLOOKUP($C70,Clima!$W$8:$AH$350,12,FALSE)),VLOOKUP($C70,Clima!$E$8:$P$350,12),VLOOKUP($C70,Clima!$W$8:$AH$350,12,FALSE))</f>
        <v>0</v>
      </c>
      <c r="Q70" s="170">
        <f t="shared" si="31"/>
        <v>26.012551453724978</v>
      </c>
      <c r="R70" s="254">
        <f>VLOOKUP(C70,Clima!$V$8:$AH$900,3,FALSE)+R69</f>
        <v>294.7999999999999</v>
      </c>
      <c r="S70" s="455">
        <f t="shared" si="32"/>
        <v>0.29522539634285705</v>
      </c>
      <c r="T70" s="449">
        <f t="shared" si="11"/>
        <v>0.26570285670857136</v>
      </c>
      <c r="U70" s="195"/>
      <c r="V70" s="445">
        <f t="shared" si="3"/>
        <v>1.0249914814216667</v>
      </c>
      <c r="W70" s="446">
        <f t="shared" si="43"/>
        <v>0</v>
      </c>
      <c r="X70" s="447">
        <f t="shared" si="33"/>
        <v>0.16660987614444436</v>
      </c>
      <c r="Y70" s="448">
        <f t="shared" si="12"/>
        <v>1</v>
      </c>
      <c r="Z70" s="449">
        <f t="shared" si="4"/>
        <v>0.83339012385555566</v>
      </c>
      <c r="AA70" s="449">
        <f t="shared" si="34"/>
        <v>2.191448157851799</v>
      </c>
      <c r="AB70" s="451">
        <f t="shared" si="13"/>
        <v>1</v>
      </c>
      <c r="AC70" s="449">
        <f t="shared" si="5"/>
        <v>0.72976608507880969</v>
      </c>
      <c r="AD70" s="449">
        <f t="shared" si="6"/>
        <v>0.65678947657092879</v>
      </c>
      <c r="AE70" s="448">
        <f t="shared" si="35"/>
        <v>0</v>
      </c>
      <c r="AF70" s="449">
        <f t="shared" si="36"/>
        <v>2.9795418222360008</v>
      </c>
      <c r="AG70" s="449">
        <f t="shared" si="7"/>
        <v>1.0249914814216667</v>
      </c>
      <c r="AH70" s="449">
        <f t="shared" si="8"/>
        <v>0.92249233327950009</v>
      </c>
      <c r="AI70" s="448"/>
      <c r="AJ70" s="449">
        <f t="shared" si="14"/>
        <v>0.30016696025396822</v>
      </c>
      <c r="AK70" s="450">
        <f t="shared" si="37"/>
        <v>19.510852416507934</v>
      </c>
      <c r="AL70" s="449">
        <f t="shared" si="38"/>
        <v>15.026229749189099</v>
      </c>
      <c r="AM70" s="451">
        <f>IF(ISERROR(VLOOKUP(C70,Riegos,2,FALSE)),VLOOKUP(C70,Riegos,2,FALSE),VLOOKUP($F$8,Nomen!$A$79:$B$80,2,FALSE)*IF(AND(H70&gt;120,D70&lt;0.45),0,IF(AQ69+AH70&gt;=AK70,MIN(AQ69,$AK$7),0)))</f>
        <v>0</v>
      </c>
      <c r="AN70" s="448">
        <f t="shared" si="15"/>
        <v>0</v>
      </c>
      <c r="AO70" s="448">
        <f t="shared" si="16"/>
        <v>1</v>
      </c>
      <c r="AP70" s="449">
        <f t="shared" si="17"/>
        <v>1.0249914814216667</v>
      </c>
      <c r="AQ70" s="449">
        <f t="shared" si="18"/>
        <v>15.026229749189099</v>
      </c>
      <c r="AR70" s="449">
        <f t="shared" si="39"/>
        <v>55.977673845739098</v>
      </c>
      <c r="AS70" s="449">
        <f t="shared" si="40"/>
        <v>0.92249233327950009</v>
      </c>
      <c r="AT70" s="449">
        <f t="shared" si="41"/>
        <v>56.826229749189103</v>
      </c>
      <c r="AU70" s="453">
        <f t="shared" si="19"/>
        <v>10</v>
      </c>
      <c r="AV70" s="145">
        <f t="shared" si="20"/>
        <v>39.799999999999997</v>
      </c>
      <c r="AW70" s="178">
        <f t="shared" si="21"/>
        <v>0</v>
      </c>
      <c r="AX70" s="179">
        <f t="shared" si="22"/>
        <v>0</v>
      </c>
      <c r="AY70" s="145" t="str">
        <f t="shared" si="42"/>
        <v/>
      </c>
      <c r="AZ70" s="145">
        <f t="shared" si="23"/>
        <v>0</v>
      </c>
      <c r="BA70" s="145">
        <f t="shared" si="24"/>
        <v>0</v>
      </c>
      <c r="BB70" s="145">
        <f t="shared" si="25"/>
        <v>0</v>
      </c>
      <c r="BC70" s="145">
        <f t="shared" si="26"/>
        <v>0</v>
      </c>
      <c r="BD70" s="145">
        <f t="shared" si="27"/>
        <v>0</v>
      </c>
      <c r="BE70" s="145">
        <f t="shared" si="28"/>
        <v>0</v>
      </c>
      <c r="BF70" s="145" t="str">
        <f t="shared" si="29"/>
        <v/>
      </c>
    </row>
    <row r="71" spans="1:58" s="145" customFormat="1">
      <c r="A71" s="568"/>
      <c r="B71" s="116">
        <f t="shared" si="9"/>
        <v>68</v>
      </c>
      <c r="C71" s="69">
        <f t="shared" si="30"/>
        <v>42072</v>
      </c>
      <c r="D71" s="257">
        <f>IF(ISERROR(VLOOKUP($C71,'NDVI real'!$T$8:$U$313,2,FALSE)),VLOOKUP(SWB!C71,'NDVI tipo'!$T$8:$U$193,2),VLOOKUP($C71,'NDVI real'!$T$8:$U$313,2,FALSE))</f>
        <v>0.2779717809523809</v>
      </c>
      <c r="E71" s="170">
        <f t="shared" si="0"/>
        <v>3</v>
      </c>
      <c r="F71" s="170">
        <f t="shared" si="1"/>
        <v>9</v>
      </c>
      <c r="G71" s="170">
        <f t="shared" si="2"/>
        <v>2015</v>
      </c>
      <c r="H71" s="170">
        <f t="shared" si="10"/>
        <v>68</v>
      </c>
      <c r="I71" s="190">
        <f>IF(ISERROR(VLOOKUP($C71,Clima!$U$8:$AH$900,3,FALSE)),VLOOKUP($C71,Clima!$D$8:$R$900,3),VLOOKUP($C71,Clima!$U$8:$AH$900,3,FALSE))</f>
        <v>3.8</v>
      </c>
      <c r="J71" s="191"/>
      <c r="K71" s="170"/>
      <c r="L71" s="192">
        <f>IF(ISERROR(VLOOKUP($C71,Clima!$U$8:$AH$900,14,FALSE)),VLOOKUP($C71,Clima!$D$8:$R$900,14),VLOOKUP($C71,Clima!$U$8:$AH$900,14,FALSE))</f>
        <v>2.4</v>
      </c>
      <c r="M71" s="190"/>
      <c r="N71" s="190"/>
      <c r="O71" s="191"/>
      <c r="P71" s="191">
        <f>IF(ISERROR(VLOOKUP($C71,Clima!$W$8:$AH$350,12,FALSE)),VLOOKUP($C71,Clima!$E$8:$P$350,12),VLOOKUP($C71,Clima!$W$8:$AH$350,12,FALSE))</f>
        <v>0</v>
      </c>
      <c r="Q71" s="170">
        <f t="shared" si="31"/>
        <v>26.733221928696405</v>
      </c>
      <c r="R71" s="254">
        <f>VLOOKUP(C71,Clima!$V$8:$AH$900,3,FALSE)+R70</f>
        <v>305.39999999999992</v>
      </c>
      <c r="S71" s="455">
        <f t="shared" si="32"/>
        <v>0.30027936457142845</v>
      </c>
      <c r="T71" s="449">
        <f t="shared" si="11"/>
        <v>0.72067047497142822</v>
      </c>
      <c r="U71" s="195"/>
      <c r="V71" s="445">
        <f t="shared" si="3"/>
        <v>1.0256179629</v>
      </c>
      <c r="W71" s="446">
        <f t="shared" si="43"/>
        <v>0</v>
      </c>
      <c r="X71" s="447">
        <f t="shared" si="33"/>
        <v>0.17078641933333324</v>
      </c>
      <c r="Y71" s="448">
        <f t="shared" si="12"/>
        <v>1</v>
      </c>
      <c r="Z71" s="449">
        <f t="shared" si="4"/>
        <v>0.82921358066666673</v>
      </c>
      <c r="AA71" s="449">
        <f t="shared" si="34"/>
        <v>2.9795418222360008</v>
      </c>
      <c r="AB71" s="451">
        <f t="shared" si="13"/>
        <v>1</v>
      </c>
      <c r="AC71" s="449">
        <f t="shared" si="5"/>
        <v>0.7253385983285715</v>
      </c>
      <c r="AD71" s="449">
        <f t="shared" si="6"/>
        <v>1.7408126359885716</v>
      </c>
      <c r="AE71" s="448">
        <f t="shared" si="35"/>
        <v>0</v>
      </c>
      <c r="AF71" s="449">
        <f t="shared" si="36"/>
        <v>5.0788955672494414</v>
      </c>
      <c r="AG71" s="449">
        <f t="shared" si="7"/>
        <v>1.0256179629</v>
      </c>
      <c r="AH71" s="449">
        <f t="shared" si="8"/>
        <v>2.4614831109599997</v>
      </c>
      <c r="AI71" s="448"/>
      <c r="AJ71" s="449">
        <f t="shared" si="14"/>
        <v>0.30391064042328036</v>
      </c>
      <c r="AK71" s="450">
        <f t="shared" si="37"/>
        <v>19.754191627513222</v>
      </c>
      <c r="AL71" s="449">
        <f t="shared" si="38"/>
        <v>17.487712860149099</v>
      </c>
      <c r="AM71" s="451">
        <f>IF(ISERROR(VLOOKUP(C71,Riegos,2,FALSE)),VLOOKUP(C71,Riegos,2,FALSE),VLOOKUP($F$8,Nomen!$A$79:$B$80,2,FALSE)*IF(AND(H71&gt;120,D71&lt;0.45),0,IF(AQ70+AH71&gt;=AK71,MIN(AQ70,$AK$7),0)))</f>
        <v>0</v>
      </c>
      <c r="AN71" s="448">
        <f t="shared" si="15"/>
        <v>0</v>
      </c>
      <c r="AO71" s="448">
        <f t="shared" si="16"/>
        <v>1</v>
      </c>
      <c r="AP71" s="449">
        <f t="shared" si="17"/>
        <v>1.0256179629</v>
      </c>
      <c r="AQ71" s="449">
        <f t="shared" si="18"/>
        <v>17.487712860149099</v>
      </c>
      <c r="AR71" s="449">
        <f t="shared" si="39"/>
        <v>56.977673845739098</v>
      </c>
      <c r="AS71" s="449">
        <f t="shared" si="40"/>
        <v>2.4614831109599997</v>
      </c>
      <c r="AT71" s="449">
        <f t="shared" si="41"/>
        <v>59.287712860149099</v>
      </c>
      <c r="AU71" s="453">
        <f t="shared" si="19"/>
        <v>10</v>
      </c>
      <c r="AV71" s="145">
        <f t="shared" si="20"/>
        <v>39.799999999999997</v>
      </c>
      <c r="AW71" s="178">
        <f t="shared" si="21"/>
        <v>0</v>
      </c>
      <c r="AX71" s="179">
        <f t="shared" si="22"/>
        <v>0</v>
      </c>
      <c r="AY71" s="145" t="str">
        <f t="shared" si="42"/>
        <v/>
      </c>
      <c r="AZ71" s="145">
        <f t="shared" si="23"/>
        <v>0</v>
      </c>
      <c r="BA71" s="145">
        <f t="shared" si="24"/>
        <v>0</v>
      </c>
      <c r="BB71" s="145">
        <f t="shared" si="25"/>
        <v>0</v>
      </c>
      <c r="BC71" s="145">
        <f t="shared" si="26"/>
        <v>0</v>
      </c>
      <c r="BD71" s="145">
        <f t="shared" si="27"/>
        <v>0</v>
      </c>
      <c r="BE71" s="145">
        <f t="shared" si="28"/>
        <v>0</v>
      </c>
      <c r="BF71" s="145" t="str">
        <f t="shared" si="29"/>
        <v/>
      </c>
    </row>
    <row r="72" spans="1:58" s="145" customFormat="1">
      <c r="A72" s="568"/>
      <c r="B72" s="116">
        <f t="shared" si="9"/>
        <v>69</v>
      </c>
      <c r="C72" s="69">
        <f t="shared" si="30"/>
        <v>42073</v>
      </c>
      <c r="D72" s="257">
        <f>IF(ISERROR(VLOOKUP($C72,'NDVI real'!$T$8:$U$313,2,FALSE)),VLOOKUP(SWB!C72,'NDVI tipo'!$T$8:$U$193,2),VLOOKUP($C72,'NDVI real'!$T$8:$U$313,2,FALSE))</f>
        <v>0.28148148111111104</v>
      </c>
      <c r="E72" s="170">
        <f t="shared" si="0"/>
        <v>3</v>
      </c>
      <c r="F72" s="170">
        <f t="shared" si="1"/>
        <v>10</v>
      </c>
      <c r="G72" s="170">
        <f t="shared" si="2"/>
        <v>2015</v>
      </c>
      <c r="H72" s="170">
        <f t="shared" si="10"/>
        <v>69</v>
      </c>
      <c r="I72" s="190">
        <f>IF(ISERROR(VLOOKUP($C72,Clima!$U$8:$AH$900,3,FALSE)),VLOOKUP($C72,Clima!$D$8:$R$900,3),VLOOKUP($C72,Clima!$U$8:$AH$900,3,FALSE))</f>
        <v>4.9000000000000004</v>
      </c>
      <c r="J72" s="191"/>
      <c r="K72" s="170"/>
      <c r="L72" s="192">
        <f>IF(ISERROR(VLOOKUP($C72,Clima!$U$8:$AH$900,14,FALSE)),VLOOKUP($C72,Clima!$D$8:$R$900,14),VLOOKUP($C72,Clima!$U$8:$AH$900,14,FALSE))</f>
        <v>2.2999999999999998</v>
      </c>
      <c r="M72" s="190"/>
      <c r="N72" s="190"/>
      <c r="O72" s="191"/>
      <c r="P72" s="191">
        <f>IF(ISERROR(VLOOKUP($C72,Clima!$W$8:$AH$350,12,FALSE)),VLOOKUP($C72,Clima!$E$8:$P$350,12),VLOOKUP($C72,Clima!$W$8:$AH$350,12,FALSE))</f>
        <v>0</v>
      </c>
      <c r="Q72" s="170">
        <f t="shared" si="31"/>
        <v>27.435488594136405</v>
      </c>
      <c r="R72" s="254">
        <f>VLOOKUP(C72,Clima!$V$8:$AH$900,3,FALSE)+R71</f>
        <v>315.2999999999999</v>
      </c>
      <c r="S72" s="455">
        <f t="shared" si="32"/>
        <v>0.30533333279999986</v>
      </c>
      <c r="T72" s="449">
        <f t="shared" si="11"/>
        <v>0.7022666654399996</v>
      </c>
      <c r="U72" s="195"/>
      <c r="V72" s="445">
        <f t="shared" si="3"/>
        <v>1.0262444443783334</v>
      </c>
      <c r="W72" s="446">
        <f t="shared" si="43"/>
        <v>0</v>
      </c>
      <c r="X72" s="447">
        <f t="shared" si="33"/>
        <v>0.17496296252222213</v>
      </c>
      <c r="Y72" s="448">
        <f t="shared" si="12"/>
        <v>1</v>
      </c>
      <c r="Z72" s="449">
        <f t="shared" si="4"/>
        <v>0.8250370374777779</v>
      </c>
      <c r="AA72" s="449">
        <f t="shared" si="34"/>
        <v>5.0788955672494414</v>
      </c>
      <c r="AB72" s="451">
        <f t="shared" si="13"/>
        <v>0.10954141622814595</v>
      </c>
      <c r="AC72" s="449">
        <f t="shared" si="5"/>
        <v>7.8969624136897607E-2</v>
      </c>
      <c r="AD72" s="449">
        <f t="shared" si="6"/>
        <v>0.18163013551486448</v>
      </c>
      <c r="AE72" s="448">
        <f t="shared" si="35"/>
        <v>0</v>
      </c>
      <c r="AF72" s="449">
        <f t="shared" si="36"/>
        <v>5.2990434239688513</v>
      </c>
      <c r="AG72" s="449">
        <f t="shared" si="7"/>
        <v>0.38430295693689748</v>
      </c>
      <c r="AH72" s="449">
        <f t="shared" si="8"/>
        <v>0.88389680095486411</v>
      </c>
      <c r="AI72" s="448"/>
      <c r="AJ72" s="449">
        <f t="shared" si="14"/>
        <v>0.30765432059259251</v>
      </c>
      <c r="AK72" s="450">
        <f t="shared" si="37"/>
        <v>19.997530838518514</v>
      </c>
      <c r="AL72" s="449">
        <f t="shared" si="38"/>
        <v>18.371609661103964</v>
      </c>
      <c r="AM72" s="451">
        <f>IF(ISERROR(VLOOKUP(C72,Riegos,2,FALSE)),VLOOKUP(C72,Riegos,2,FALSE),VLOOKUP($F$8,Nomen!$A$79:$B$80,2,FALSE)*IF(AND(H72&gt;120,D72&lt;0.45),0,IF(AQ71+AH72&gt;=AK72,MIN(AQ71,$AK$7),0)))</f>
        <v>0</v>
      </c>
      <c r="AN72" s="448">
        <f t="shared" si="15"/>
        <v>0</v>
      </c>
      <c r="AO72" s="448">
        <f t="shared" si="16"/>
        <v>1</v>
      </c>
      <c r="AP72" s="449">
        <f t="shared" si="17"/>
        <v>0.38430295693689748</v>
      </c>
      <c r="AQ72" s="449">
        <f t="shared" si="18"/>
        <v>18.371609661103964</v>
      </c>
      <c r="AR72" s="449">
        <f t="shared" si="39"/>
        <v>57.977673845739098</v>
      </c>
      <c r="AS72" s="449">
        <f t="shared" si="40"/>
        <v>0.88389680095486411</v>
      </c>
      <c r="AT72" s="449">
        <f t="shared" si="41"/>
        <v>60.171609661103965</v>
      </c>
      <c r="AU72" s="453">
        <f t="shared" si="19"/>
        <v>10</v>
      </c>
      <c r="AV72" s="145">
        <f t="shared" si="20"/>
        <v>39.799999999999997</v>
      </c>
      <c r="AW72" s="178">
        <f t="shared" si="21"/>
        <v>0</v>
      </c>
      <c r="AX72" s="179">
        <f t="shared" si="22"/>
        <v>0</v>
      </c>
      <c r="AY72" s="145" t="str">
        <f t="shared" si="42"/>
        <v/>
      </c>
      <c r="AZ72" s="145">
        <f t="shared" si="23"/>
        <v>0</v>
      </c>
      <c r="BA72" s="145">
        <f t="shared" si="24"/>
        <v>0</v>
      </c>
      <c r="BB72" s="145">
        <f t="shared" si="25"/>
        <v>0</v>
      </c>
      <c r="BC72" s="145">
        <f t="shared" si="26"/>
        <v>0</v>
      </c>
      <c r="BD72" s="145">
        <f t="shared" si="27"/>
        <v>0</v>
      </c>
      <c r="BE72" s="145">
        <f t="shared" si="28"/>
        <v>0</v>
      </c>
      <c r="BF72" s="145" t="str">
        <f t="shared" si="29"/>
        <v/>
      </c>
    </row>
    <row r="73" spans="1:58" s="145" customFormat="1">
      <c r="A73" s="568"/>
      <c r="B73" s="116">
        <f t="shared" si="9"/>
        <v>70</v>
      </c>
      <c r="C73" s="69">
        <f t="shared" si="30"/>
        <v>42074</v>
      </c>
      <c r="D73" s="257">
        <f>IF(ISERROR(VLOOKUP($C73,'NDVI real'!$T$8:$U$313,2,FALSE)),VLOOKUP(SWB!C73,'NDVI tipo'!$T$8:$U$193,2),VLOOKUP($C73,'NDVI real'!$T$8:$U$313,2,FALSE))</f>
        <v>0.29454983403794033</v>
      </c>
      <c r="E73" s="170">
        <f t="shared" si="0"/>
        <v>3</v>
      </c>
      <c r="F73" s="170">
        <f t="shared" si="1"/>
        <v>11</v>
      </c>
      <c r="G73" s="170">
        <f t="shared" si="2"/>
        <v>2015</v>
      </c>
      <c r="H73" s="170">
        <f t="shared" si="10"/>
        <v>70</v>
      </c>
      <c r="I73" s="190">
        <f>IF(ISERROR(VLOOKUP($C73,Clima!$U$8:$AH$900,3,FALSE)),VLOOKUP($C73,Clima!$D$8:$R$900,3),VLOOKUP($C73,Clima!$U$8:$AH$900,3,FALSE))</f>
        <v>4.0999999999999996</v>
      </c>
      <c r="J73" s="191"/>
      <c r="K73" s="170"/>
      <c r="L73" s="192">
        <f>IF(ISERROR(VLOOKUP($C73,Clima!$U$8:$AH$900,14,FALSE)),VLOOKUP($C73,Clima!$D$8:$R$900,14),VLOOKUP($C73,Clima!$U$8:$AH$900,14,FALSE))</f>
        <v>2.2000000000000002</v>
      </c>
      <c r="M73" s="190"/>
      <c r="N73" s="190"/>
      <c r="O73" s="191"/>
      <c r="P73" s="191">
        <f>IF(ISERROR(VLOOKUP($C73,Clima!$W$8:$AH$350,12,FALSE)),VLOOKUP($C73,Clima!$E$8:$P$350,12),VLOOKUP($C73,Clima!$W$8:$AH$350,12,FALSE))</f>
        <v>0</v>
      </c>
      <c r="Q73" s="170">
        <f t="shared" si="31"/>
        <v>28.1486224683686</v>
      </c>
      <c r="R73" s="254">
        <f>VLOOKUP(C73,Clima!$V$8:$AH$900,3,FALSE)+R72</f>
        <v>326.2999999999999</v>
      </c>
      <c r="S73" s="455">
        <f t="shared" si="32"/>
        <v>0.32415176101463405</v>
      </c>
      <c r="T73" s="449">
        <f t="shared" si="11"/>
        <v>0.71313387423219499</v>
      </c>
      <c r="U73" s="195"/>
      <c r="V73" s="445">
        <f t="shared" si="3"/>
        <v>1.0285771453757724</v>
      </c>
      <c r="W73" s="446">
        <f t="shared" si="43"/>
        <v>0</v>
      </c>
      <c r="X73" s="447">
        <f t="shared" si="33"/>
        <v>0.19051430250514897</v>
      </c>
      <c r="Y73" s="448">
        <f t="shared" si="12"/>
        <v>1</v>
      </c>
      <c r="Z73" s="449">
        <f t="shared" si="4"/>
        <v>0.809485697494851</v>
      </c>
      <c r="AA73" s="449">
        <f t="shared" si="34"/>
        <v>5.2990434239688513</v>
      </c>
      <c r="AB73" s="451">
        <f t="shared" si="13"/>
        <v>0.10128587160116807</v>
      </c>
      <c r="AC73" s="449">
        <f t="shared" si="5"/>
        <v>7.134833903300572E-2</v>
      </c>
      <c r="AD73" s="449">
        <f t="shared" si="6"/>
        <v>0.1569663458726126</v>
      </c>
      <c r="AE73" s="448">
        <f t="shared" si="35"/>
        <v>0</v>
      </c>
      <c r="AF73" s="449">
        <f t="shared" si="36"/>
        <v>5.492952156832672</v>
      </c>
      <c r="AG73" s="449">
        <f t="shared" si="7"/>
        <v>0.3955001000476398</v>
      </c>
      <c r="AH73" s="449">
        <f t="shared" si="8"/>
        <v>0.87010022010480759</v>
      </c>
      <c r="AI73" s="448"/>
      <c r="AJ73" s="449">
        <f t="shared" si="14"/>
        <v>0.32159389704787711</v>
      </c>
      <c r="AK73" s="450">
        <f t="shared" si="37"/>
        <v>20.903603308112011</v>
      </c>
      <c r="AL73" s="449">
        <f t="shared" si="38"/>
        <v>19.24170988120877</v>
      </c>
      <c r="AM73" s="451">
        <f>IF(ISERROR(VLOOKUP(C73,Riegos,2,FALSE)),VLOOKUP(C73,Riegos,2,FALSE),VLOOKUP($F$8,Nomen!$A$79:$B$80,2,FALSE)*IF(AND(H73&gt;120,D73&lt;0.45),0,IF(AQ72+AH73&gt;=AK73,MIN(AQ72,$AK$7),0)))</f>
        <v>0</v>
      </c>
      <c r="AN73" s="448">
        <f t="shared" si="15"/>
        <v>0</v>
      </c>
      <c r="AO73" s="448">
        <f t="shared" si="16"/>
        <v>1</v>
      </c>
      <c r="AP73" s="449">
        <f t="shared" si="17"/>
        <v>0.3955001000476398</v>
      </c>
      <c r="AQ73" s="449">
        <f t="shared" si="18"/>
        <v>19.24170988120877</v>
      </c>
      <c r="AR73" s="449">
        <f t="shared" si="39"/>
        <v>58.977673845739098</v>
      </c>
      <c r="AS73" s="449">
        <f t="shared" si="40"/>
        <v>0.87010022010480759</v>
      </c>
      <c r="AT73" s="449">
        <f t="shared" si="41"/>
        <v>61.041709881208774</v>
      </c>
      <c r="AU73" s="453">
        <f t="shared" si="19"/>
        <v>10</v>
      </c>
      <c r="AV73" s="145">
        <f t="shared" si="20"/>
        <v>39.799999999999997</v>
      </c>
      <c r="AW73" s="178">
        <f t="shared" si="21"/>
        <v>0</v>
      </c>
      <c r="AX73" s="179">
        <f t="shared" si="22"/>
        <v>0</v>
      </c>
      <c r="AY73" s="145" t="str">
        <f t="shared" si="42"/>
        <v/>
      </c>
      <c r="AZ73" s="145">
        <f t="shared" si="23"/>
        <v>0</v>
      </c>
      <c r="BA73" s="145">
        <f t="shared" si="24"/>
        <v>0</v>
      </c>
      <c r="BB73" s="145">
        <f t="shared" si="25"/>
        <v>0</v>
      </c>
      <c r="BC73" s="145">
        <f t="shared" si="26"/>
        <v>0</v>
      </c>
      <c r="BD73" s="145">
        <f t="shared" si="27"/>
        <v>0</v>
      </c>
      <c r="BE73" s="145">
        <f t="shared" si="28"/>
        <v>0</v>
      </c>
      <c r="BF73" s="145" t="str">
        <f t="shared" si="29"/>
        <v/>
      </c>
    </row>
    <row r="74" spans="1:58" s="145" customFormat="1">
      <c r="A74" s="568"/>
      <c r="B74" s="116">
        <f t="shared" si="9"/>
        <v>71</v>
      </c>
      <c r="C74" s="69">
        <f t="shared" si="30"/>
        <v>42075</v>
      </c>
      <c r="D74" s="257">
        <f>IF(ISERROR(VLOOKUP($C74,'NDVI real'!$T$8:$U$313,2,FALSE)),VLOOKUP(SWB!C74,'NDVI tipo'!$T$8:$U$193,2),VLOOKUP($C74,'NDVI real'!$T$8:$U$313,2,FALSE))</f>
        <v>0.30761818696476961</v>
      </c>
      <c r="E74" s="170">
        <f t="shared" si="0"/>
        <v>3</v>
      </c>
      <c r="F74" s="170">
        <f t="shared" si="1"/>
        <v>12</v>
      </c>
      <c r="G74" s="170">
        <f t="shared" si="2"/>
        <v>2015</v>
      </c>
      <c r="H74" s="170">
        <f t="shared" si="10"/>
        <v>71</v>
      </c>
      <c r="I74" s="190">
        <f>IF(ISERROR(VLOOKUP($C74,Clima!$U$8:$AH$900,3,FALSE)),VLOOKUP($C74,Clima!$D$8:$R$900,3),VLOOKUP($C74,Clima!$U$8:$AH$900,3,FALSE))</f>
        <v>5.2</v>
      </c>
      <c r="J74" s="191"/>
      <c r="K74" s="170"/>
      <c r="L74" s="192">
        <f>IF(ISERROR(VLOOKUP($C74,Clima!$U$8:$AH$900,14,FALSE)),VLOOKUP($C74,Clima!$D$8:$R$900,14),VLOOKUP($C74,Clima!$U$8:$AH$900,14,FALSE))</f>
        <v>2.6</v>
      </c>
      <c r="M74" s="190"/>
      <c r="N74" s="190"/>
      <c r="O74" s="191"/>
      <c r="P74" s="191">
        <f>IF(ISERROR(VLOOKUP($C74,Clima!$W$8:$AH$350,12,FALSE)),VLOOKUP($C74,Clima!$E$8:$P$350,12),VLOOKUP($C74,Clima!$W$8:$AH$350,12,FALSE))</f>
        <v>0</v>
      </c>
      <c r="Q74" s="170">
        <f t="shared" si="31"/>
        <v>29.040344960364699</v>
      </c>
      <c r="R74" s="254">
        <f>VLOOKUP(C74,Clima!$V$8:$AH$900,3,FALSE)+R73</f>
        <v>337.39999999999992</v>
      </c>
      <c r="S74" s="455">
        <f t="shared" si="32"/>
        <v>0.34297018922926825</v>
      </c>
      <c r="T74" s="449">
        <f t="shared" si="11"/>
        <v>0.89172249199609743</v>
      </c>
      <c r="U74" s="195"/>
      <c r="V74" s="445">
        <f t="shared" si="3"/>
        <v>1.0309098463732114</v>
      </c>
      <c r="W74" s="446">
        <f t="shared" si="43"/>
        <v>0</v>
      </c>
      <c r="X74" s="447">
        <f t="shared" si="33"/>
        <v>0.20606564248807582</v>
      </c>
      <c r="Y74" s="448">
        <f t="shared" si="12"/>
        <v>1</v>
      </c>
      <c r="Z74" s="449">
        <f t="shared" si="4"/>
        <v>0.7939343575119242</v>
      </c>
      <c r="AA74" s="449">
        <f t="shared" si="34"/>
        <v>5.492952156832672</v>
      </c>
      <c r="AB74" s="451">
        <f t="shared" si="13"/>
        <v>9.4014294118774794E-2</v>
      </c>
      <c r="AC74" s="449">
        <f t="shared" si="5"/>
        <v>6.4676161262699761E-2</v>
      </c>
      <c r="AD74" s="449">
        <f t="shared" si="6"/>
        <v>0.16815801928301938</v>
      </c>
      <c r="AE74" s="448">
        <f t="shared" si="35"/>
        <v>0</v>
      </c>
      <c r="AF74" s="449">
        <f t="shared" si="36"/>
        <v>5.7047555857836532</v>
      </c>
      <c r="AG74" s="449">
        <f t="shared" si="7"/>
        <v>0.40764635049196801</v>
      </c>
      <c r="AH74" s="449">
        <f t="shared" si="8"/>
        <v>1.059880511279117</v>
      </c>
      <c r="AI74" s="448"/>
      <c r="AJ74" s="449">
        <f t="shared" si="14"/>
        <v>0.33553347350316171</v>
      </c>
      <c r="AK74" s="450">
        <f t="shared" si="37"/>
        <v>21.809675777705511</v>
      </c>
      <c r="AL74" s="449">
        <f t="shared" si="38"/>
        <v>20.301590392487888</v>
      </c>
      <c r="AM74" s="451">
        <f>IF(ISERROR(VLOOKUP(C74,Riegos,2,FALSE)),VLOOKUP(C74,Riegos,2,FALSE),VLOOKUP($F$8,Nomen!$A$79:$B$80,2,FALSE)*IF(AND(H74&gt;120,D74&lt;0.45),0,IF(AQ73+AH74&gt;=AK74,MIN(AQ73,$AK$7),0)))</f>
        <v>0</v>
      </c>
      <c r="AN74" s="448">
        <f t="shared" si="15"/>
        <v>0</v>
      </c>
      <c r="AO74" s="448">
        <f t="shared" si="16"/>
        <v>1</v>
      </c>
      <c r="AP74" s="449">
        <f t="shared" si="17"/>
        <v>0.40764635049196801</v>
      </c>
      <c r="AQ74" s="449">
        <f t="shared" si="18"/>
        <v>20.301590392487888</v>
      </c>
      <c r="AR74" s="449">
        <f t="shared" si="39"/>
        <v>59.977673845739098</v>
      </c>
      <c r="AS74" s="449">
        <f t="shared" si="40"/>
        <v>1.059880511279117</v>
      </c>
      <c r="AT74" s="449">
        <f t="shared" si="41"/>
        <v>62.101590392487893</v>
      </c>
      <c r="AU74" s="453">
        <f t="shared" si="19"/>
        <v>10</v>
      </c>
      <c r="AV74" s="145">
        <f t="shared" si="20"/>
        <v>39.799999999999997</v>
      </c>
      <c r="AW74" s="178">
        <f t="shared" si="21"/>
        <v>0</v>
      </c>
      <c r="AX74" s="179">
        <f t="shared" si="22"/>
        <v>0</v>
      </c>
      <c r="AY74" s="145">
        <f t="shared" si="42"/>
        <v>0.30761818696476961</v>
      </c>
      <c r="AZ74" s="145">
        <f t="shared" si="23"/>
        <v>0.67971092916260145</v>
      </c>
      <c r="BA74" s="145">
        <f t="shared" si="24"/>
        <v>0.67971092916260145</v>
      </c>
      <c r="BB74" s="145">
        <f t="shared" si="25"/>
        <v>2.7188437166504056E-2</v>
      </c>
      <c r="BC74" s="145">
        <f t="shared" si="26"/>
        <v>2.7188437166504056E-2</v>
      </c>
      <c r="BD74" s="145">
        <f t="shared" si="27"/>
        <v>1.440987169824715</v>
      </c>
      <c r="BE74" s="145">
        <f t="shared" si="28"/>
        <v>1.440987169824715</v>
      </c>
      <c r="BF74" s="145">
        <f t="shared" si="29"/>
        <v>2.6</v>
      </c>
    </row>
    <row r="75" spans="1:58" s="145" customFormat="1">
      <c r="A75" s="568"/>
      <c r="B75" s="116">
        <f t="shared" si="9"/>
        <v>72</v>
      </c>
      <c r="C75" s="69">
        <f t="shared" si="30"/>
        <v>42076</v>
      </c>
      <c r="D75" s="257">
        <f>IF(ISERROR(VLOOKUP($C75,'NDVI real'!$T$8:$U$313,2,FALSE)),VLOOKUP(SWB!C75,'NDVI tipo'!$T$8:$U$193,2),VLOOKUP($C75,'NDVI real'!$T$8:$U$313,2,FALSE))</f>
        <v>0.3206865398915989</v>
      </c>
      <c r="E75" s="170">
        <f t="shared" si="0"/>
        <v>3</v>
      </c>
      <c r="F75" s="170">
        <f t="shared" si="1"/>
        <v>13</v>
      </c>
      <c r="G75" s="170">
        <f t="shared" si="2"/>
        <v>2015</v>
      </c>
      <c r="H75" s="170">
        <f t="shared" si="10"/>
        <v>72</v>
      </c>
      <c r="I75" s="190">
        <f>IF(ISERROR(VLOOKUP($C75,Clima!$U$8:$AH$900,3,FALSE)),VLOOKUP($C75,Clima!$D$8:$R$900,3),VLOOKUP($C75,Clima!$U$8:$AH$900,3,FALSE))</f>
        <v>4.2</v>
      </c>
      <c r="J75" s="191"/>
      <c r="K75" s="170"/>
      <c r="L75" s="192">
        <f>IF(ISERROR(VLOOKUP($C75,Clima!$U$8:$AH$900,14,FALSE)),VLOOKUP($C75,Clima!$D$8:$R$900,14),VLOOKUP($C75,Clima!$U$8:$AH$900,14,FALSE))</f>
        <v>2.2999999999999998</v>
      </c>
      <c r="M75" s="190"/>
      <c r="N75" s="190"/>
      <c r="O75" s="191"/>
      <c r="P75" s="191">
        <f>IF(ISERROR(VLOOKUP($C75,Clima!$W$8:$AH$350,12,FALSE)),VLOOKUP($C75,Clima!$E$8:$P$350,12),VLOOKUP($C75,Clima!$W$8:$AH$350,12,FALSE))</f>
        <v>0</v>
      </c>
      <c r="Q75" s="170">
        <f t="shared" si="31"/>
        <v>29.872458780485676</v>
      </c>
      <c r="R75" s="254">
        <f>VLOOKUP(C75,Clima!$V$8:$AH$900,3,FALSE)+R74</f>
        <v>346.59999999999991</v>
      </c>
      <c r="S75" s="455">
        <f t="shared" si="32"/>
        <v>0.36178861744390234</v>
      </c>
      <c r="T75" s="449">
        <f t="shared" si="11"/>
        <v>0.83211382012097534</v>
      </c>
      <c r="U75" s="195"/>
      <c r="V75" s="445">
        <f t="shared" si="3"/>
        <v>1.0332425473706504</v>
      </c>
      <c r="W75" s="446">
        <f t="shared" si="43"/>
        <v>0</v>
      </c>
      <c r="X75" s="447">
        <f t="shared" si="33"/>
        <v>0.22161698247100267</v>
      </c>
      <c r="Y75" s="448">
        <f t="shared" si="12"/>
        <v>1</v>
      </c>
      <c r="Z75" s="449">
        <f t="shared" si="4"/>
        <v>0.7783830175289973</v>
      </c>
      <c r="AA75" s="449">
        <f t="shared" si="34"/>
        <v>5.7047555857836532</v>
      </c>
      <c r="AB75" s="451">
        <f t="shared" si="13"/>
        <v>8.6071665533113004E-2</v>
      </c>
      <c r="AC75" s="449">
        <f t="shared" si="5"/>
        <v>5.7793158077549353E-2</v>
      </c>
      <c r="AD75" s="449">
        <f t="shared" si="6"/>
        <v>0.13292426357836351</v>
      </c>
      <c r="AE75" s="448">
        <f t="shared" si="35"/>
        <v>0</v>
      </c>
      <c r="AF75" s="449">
        <f t="shared" si="36"/>
        <v>5.8755253232842684</v>
      </c>
      <c r="AG75" s="449">
        <f t="shared" si="7"/>
        <v>0.41958177552145171</v>
      </c>
      <c r="AH75" s="449">
        <f t="shared" si="8"/>
        <v>0.96503808369933886</v>
      </c>
      <c r="AI75" s="448"/>
      <c r="AJ75" s="449">
        <f t="shared" si="14"/>
        <v>0.34947304995844619</v>
      </c>
      <c r="AK75" s="450">
        <f t="shared" si="37"/>
        <v>22.715748247299004</v>
      </c>
      <c r="AL75" s="449">
        <f t="shared" si="38"/>
        <v>21.266628476187229</v>
      </c>
      <c r="AM75" s="451">
        <f>IF(ISERROR(VLOOKUP(C75,Riegos,2,FALSE)),VLOOKUP(C75,Riegos,2,FALSE),VLOOKUP($F$8,Nomen!$A$79:$B$80,2,FALSE)*IF(AND(H75&gt;120,D75&lt;0.45),0,IF(AQ74+AH75&gt;=AK75,MIN(AQ74,$AK$7),0)))</f>
        <v>0</v>
      </c>
      <c r="AN75" s="448">
        <f t="shared" si="15"/>
        <v>0</v>
      </c>
      <c r="AO75" s="448">
        <f t="shared" si="16"/>
        <v>1</v>
      </c>
      <c r="AP75" s="449">
        <f t="shared" si="17"/>
        <v>0.41958177552145171</v>
      </c>
      <c r="AQ75" s="449">
        <f t="shared" si="18"/>
        <v>21.266628476187229</v>
      </c>
      <c r="AR75" s="449">
        <f t="shared" si="39"/>
        <v>60.977673845739098</v>
      </c>
      <c r="AS75" s="449">
        <f t="shared" si="40"/>
        <v>0.96503808369933886</v>
      </c>
      <c r="AT75" s="449">
        <f t="shared" si="41"/>
        <v>63.066628476187233</v>
      </c>
      <c r="AU75" s="453">
        <f t="shared" si="19"/>
        <v>10</v>
      </c>
      <c r="AV75" s="145">
        <f t="shared" si="20"/>
        <v>39.799999999999997</v>
      </c>
      <c r="AW75" s="178">
        <f t="shared" si="21"/>
        <v>0</v>
      </c>
      <c r="AX75" s="179">
        <f t="shared" si="22"/>
        <v>0</v>
      </c>
      <c r="AY75" s="145">
        <f t="shared" si="42"/>
        <v>0.3206865398915989</v>
      </c>
      <c r="AZ75" s="145">
        <f t="shared" si="23"/>
        <v>0.64636856262601616</v>
      </c>
      <c r="BA75" s="145">
        <f t="shared" si="24"/>
        <v>1.3260794917886176</v>
      </c>
      <c r="BB75" s="145">
        <f t="shared" si="25"/>
        <v>2.5854742505040648E-2</v>
      </c>
      <c r="BC75" s="145">
        <f t="shared" si="26"/>
        <v>5.3043179671544705E-2</v>
      </c>
      <c r="BD75" s="145">
        <f t="shared" si="27"/>
        <v>2.8112885225918696</v>
      </c>
      <c r="BE75" s="145">
        <f t="shared" si="28"/>
        <v>1.3703013527671546</v>
      </c>
      <c r="BF75" s="145">
        <f t="shared" si="29"/>
        <v>2.2999999999999998</v>
      </c>
    </row>
    <row r="76" spans="1:58" s="145" customFormat="1">
      <c r="A76" s="568"/>
      <c r="B76" s="116">
        <f t="shared" si="9"/>
        <v>73</v>
      </c>
      <c r="C76" s="69">
        <f t="shared" si="30"/>
        <v>42077</v>
      </c>
      <c r="D76" s="257">
        <f>IF(ISERROR(VLOOKUP($C76,'NDVI real'!$T$8:$U$313,2,FALSE)),VLOOKUP(SWB!C76,'NDVI tipo'!$T$8:$U$193,2),VLOOKUP($C76,'NDVI real'!$T$8:$U$313,2,FALSE))</f>
        <v>0.33375489281842818</v>
      </c>
      <c r="E76" s="170">
        <f t="shared" si="0"/>
        <v>3</v>
      </c>
      <c r="F76" s="170">
        <f t="shared" si="1"/>
        <v>14</v>
      </c>
      <c r="G76" s="170">
        <f t="shared" si="2"/>
        <v>2015</v>
      </c>
      <c r="H76" s="170">
        <f t="shared" si="10"/>
        <v>73</v>
      </c>
      <c r="I76" s="190">
        <f>IF(ISERROR(VLOOKUP($C76,Clima!$U$8:$AH$900,3,FALSE)),VLOOKUP($C76,Clima!$D$8:$R$900,3),VLOOKUP($C76,Clima!$U$8:$AH$900,3,FALSE))</f>
        <v>5.2</v>
      </c>
      <c r="J76" s="191"/>
      <c r="K76" s="170"/>
      <c r="L76" s="192">
        <f>IF(ISERROR(VLOOKUP($C76,Clima!$U$8:$AH$900,14,FALSE)),VLOOKUP($C76,Clima!$D$8:$R$900,14),VLOOKUP($C76,Clima!$U$8:$AH$900,14,FALSE))</f>
        <v>2.5</v>
      </c>
      <c r="M76" s="190"/>
      <c r="N76" s="190"/>
      <c r="O76" s="191"/>
      <c r="P76" s="191">
        <f>IF(ISERROR(VLOOKUP($C76,Clima!$W$8:$AH$350,12,FALSE)),VLOOKUP($C76,Clima!$E$8:$P$350,12),VLOOKUP($C76,Clima!$W$8:$AH$350,12,FALSE))</f>
        <v>0</v>
      </c>
      <c r="Q76" s="170">
        <f t="shared" si="31"/>
        <v>30.823976394632016</v>
      </c>
      <c r="R76" s="254">
        <f>VLOOKUP(C76,Clima!$V$8:$AH$900,3,FALSE)+R75</f>
        <v>353.69999999999993</v>
      </c>
      <c r="S76" s="455">
        <f t="shared" si="32"/>
        <v>0.38060704565853654</v>
      </c>
      <c r="T76" s="449">
        <f t="shared" si="11"/>
        <v>0.95151761414634128</v>
      </c>
      <c r="U76" s="195"/>
      <c r="V76" s="445">
        <f t="shared" si="3"/>
        <v>1.0355752483680893</v>
      </c>
      <c r="W76" s="446">
        <f t="shared" si="43"/>
        <v>0</v>
      </c>
      <c r="X76" s="447">
        <f t="shared" si="33"/>
        <v>0.23716832245392952</v>
      </c>
      <c r="Y76" s="448">
        <f t="shared" si="12"/>
        <v>1</v>
      </c>
      <c r="Z76" s="449">
        <f t="shared" si="4"/>
        <v>0.76283167754607051</v>
      </c>
      <c r="AA76" s="449">
        <f t="shared" si="34"/>
        <v>5.8755253232842684</v>
      </c>
      <c r="AB76" s="451">
        <f t="shared" si="13"/>
        <v>7.9667800376839931E-2</v>
      </c>
      <c r="AC76" s="449">
        <f t="shared" si="5"/>
        <v>5.2179876026642286E-2</v>
      </c>
      <c r="AD76" s="449">
        <f t="shared" si="6"/>
        <v>0.13044969006660573</v>
      </c>
      <c r="AE76" s="448">
        <f t="shared" si="35"/>
        <v>0</v>
      </c>
      <c r="AF76" s="449">
        <f t="shared" si="36"/>
        <v>6.0465324981386805</v>
      </c>
      <c r="AG76" s="449">
        <f t="shared" si="7"/>
        <v>0.43278692168517885</v>
      </c>
      <c r="AH76" s="449">
        <f t="shared" si="8"/>
        <v>1.0819673042129472</v>
      </c>
      <c r="AI76" s="448"/>
      <c r="AJ76" s="449">
        <f t="shared" si="14"/>
        <v>0.36341262641373079</v>
      </c>
      <c r="AK76" s="450">
        <f t="shared" si="37"/>
        <v>23.621820716892504</v>
      </c>
      <c r="AL76" s="449">
        <f t="shared" si="38"/>
        <v>22.348595780400178</v>
      </c>
      <c r="AM76" s="451">
        <f>IF(ISERROR(VLOOKUP(C76,Riegos,2,FALSE)),VLOOKUP(C76,Riegos,2,FALSE),VLOOKUP($F$8,Nomen!$A$79:$B$80,2,FALSE)*IF(AND(H76&gt;120,D76&lt;0.45),0,IF(AQ75+AH76&gt;=AK76,MIN(AQ75,$AK$7),0)))</f>
        <v>0</v>
      </c>
      <c r="AN76" s="448">
        <f t="shared" si="15"/>
        <v>0</v>
      </c>
      <c r="AO76" s="448">
        <f t="shared" si="16"/>
        <v>1</v>
      </c>
      <c r="AP76" s="449">
        <f t="shared" si="17"/>
        <v>0.43278692168517885</v>
      </c>
      <c r="AQ76" s="449">
        <f t="shared" si="18"/>
        <v>22.348595780400178</v>
      </c>
      <c r="AR76" s="449">
        <f t="shared" si="39"/>
        <v>61.977673845739098</v>
      </c>
      <c r="AS76" s="449">
        <f t="shared" si="40"/>
        <v>1.0819673042129472</v>
      </c>
      <c r="AT76" s="449">
        <f t="shared" si="41"/>
        <v>64.148595780400186</v>
      </c>
      <c r="AU76" s="453">
        <f t="shared" si="19"/>
        <v>10</v>
      </c>
      <c r="AV76" s="145">
        <f t="shared" si="20"/>
        <v>39.799999999999997</v>
      </c>
      <c r="AW76" s="178">
        <f t="shared" si="21"/>
        <v>0</v>
      </c>
      <c r="AX76" s="179">
        <f t="shared" si="22"/>
        <v>0</v>
      </c>
      <c r="AY76" s="145">
        <f t="shared" si="42"/>
        <v>0.33375489281842818</v>
      </c>
      <c r="AZ76" s="145">
        <f t="shared" si="23"/>
        <v>0.75158084806910563</v>
      </c>
      <c r="BA76" s="145">
        <f t="shared" si="24"/>
        <v>2.0776603398577231</v>
      </c>
      <c r="BB76" s="145">
        <f t="shared" si="25"/>
        <v>3.0063233922764224E-2</v>
      </c>
      <c r="BC76" s="145">
        <f t="shared" si="26"/>
        <v>8.3106413594308925E-2</v>
      </c>
      <c r="BD76" s="145">
        <f t="shared" si="27"/>
        <v>4.4046399204983731</v>
      </c>
      <c r="BE76" s="145">
        <f t="shared" si="28"/>
        <v>1.5933513979065035</v>
      </c>
      <c r="BF76" s="145">
        <f t="shared" si="29"/>
        <v>2.5</v>
      </c>
    </row>
    <row r="77" spans="1:58" s="145" customFormat="1">
      <c r="A77" s="568"/>
      <c r="B77" s="116">
        <f t="shared" si="9"/>
        <v>74</v>
      </c>
      <c r="C77" s="69">
        <f t="shared" si="30"/>
        <v>42078</v>
      </c>
      <c r="D77" s="257">
        <f>IF(ISERROR(VLOOKUP($C77,'NDVI real'!$T$8:$U$313,2,FALSE)),VLOOKUP(SWB!C77,'NDVI tipo'!$T$8:$U$193,2),VLOOKUP($C77,'NDVI real'!$T$8:$U$313,2,FALSE))</f>
        <v>0.34682324574525747</v>
      </c>
      <c r="E77" s="170">
        <f t="shared" si="0"/>
        <v>3</v>
      </c>
      <c r="F77" s="170">
        <f t="shared" si="1"/>
        <v>15</v>
      </c>
      <c r="G77" s="170">
        <f t="shared" si="2"/>
        <v>2015</v>
      </c>
      <c r="H77" s="170">
        <f t="shared" si="10"/>
        <v>74</v>
      </c>
      <c r="I77" s="190">
        <f>IF(ISERROR(VLOOKUP($C77,Clima!$U$8:$AH$900,3,FALSE)),VLOOKUP($C77,Clima!$D$8:$R$900,3),VLOOKUP($C77,Clima!$U$8:$AH$900,3,FALSE))</f>
        <v>7.8</v>
      </c>
      <c r="J77" s="191"/>
      <c r="K77" s="170"/>
      <c r="L77" s="192">
        <f>IF(ISERROR(VLOOKUP($C77,Clima!$U$8:$AH$900,14,FALSE)),VLOOKUP($C77,Clima!$D$8:$R$900,14),VLOOKUP($C77,Clima!$U$8:$AH$900,14,FALSE))</f>
        <v>2.1</v>
      </c>
      <c r="M77" s="190"/>
      <c r="N77" s="190"/>
      <c r="O77" s="191"/>
      <c r="P77" s="191">
        <f>IF(ISERROR(VLOOKUP($C77,Clima!$W$8:$AH$350,12,FALSE)),VLOOKUP($C77,Clima!$E$8:$P$350,12),VLOOKUP($C77,Clima!$W$8:$AH$350,12,FALSE))</f>
        <v>0</v>
      </c>
      <c r="Q77" s="170">
        <f t="shared" si="31"/>
        <v>31.662769889765674</v>
      </c>
      <c r="R77" s="254">
        <f>VLOOKUP(C77,Clima!$V$8:$AH$900,3,FALSE)+R76</f>
        <v>358.89999999999992</v>
      </c>
      <c r="S77" s="455">
        <f t="shared" si="32"/>
        <v>0.39942547387317073</v>
      </c>
      <c r="T77" s="449">
        <f t="shared" si="11"/>
        <v>0.83879349513365853</v>
      </c>
      <c r="U77" s="195"/>
      <c r="V77" s="445">
        <f t="shared" si="3"/>
        <v>1.0379079493655285</v>
      </c>
      <c r="W77" s="446">
        <f t="shared" si="43"/>
        <v>0</v>
      </c>
      <c r="X77" s="447">
        <f t="shared" si="33"/>
        <v>0.2527196624368564</v>
      </c>
      <c r="Y77" s="448">
        <f t="shared" si="12"/>
        <v>1</v>
      </c>
      <c r="Z77" s="449">
        <f t="shared" si="4"/>
        <v>0.7472803375631436</v>
      </c>
      <c r="AA77" s="449">
        <f t="shared" si="34"/>
        <v>6.0465324981386805</v>
      </c>
      <c r="AB77" s="451">
        <f t="shared" si="13"/>
        <v>7.3255031319799477E-2</v>
      </c>
      <c r="AC77" s="449">
        <f t="shared" si="5"/>
        <v>4.6772053739335774E-2</v>
      </c>
      <c r="AD77" s="449">
        <f t="shared" si="6"/>
        <v>9.822131285260513E-2</v>
      </c>
      <c r="AE77" s="448">
        <f t="shared" si="35"/>
        <v>0</v>
      </c>
      <c r="AF77" s="449">
        <f t="shared" si="36"/>
        <v>6.1779708726219456</v>
      </c>
      <c r="AG77" s="449">
        <f t="shared" si="7"/>
        <v>0.44619752761250653</v>
      </c>
      <c r="AH77" s="449">
        <f t="shared" si="8"/>
        <v>0.9370148079862638</v>
      </c>
      <c r="AI77" s="448"/>
      <c r="AJ77" s="449">
        <f t="shared" si="14"/>
        <v>0.37735220286901539</v>
      </c>
      <c r="AK77" s="450">
        <f t="shared" si="37"/>
        <v>24.527893186486001</v>
      </c>
      <c r="AL77" s="449">
        <f t="shared" si="38"/>
        <v>23.28561058838644</v>
      </c>
      <c r="AM77" s="451">
        <f>IF(ISERROR(VLOOKUP(C77,Riegos,2,FALSE)),VLOOKUP(C77,Riegos,2,FALSE),VLOOKUP($F$8,Nomen!$A$79:$B$80,2,FALSE)*IF(AND(H77&gt;120,D77&lt;0.45),0,IF(AQ76+AH77&gt;=AK77,MIN(AQ76,$AK$7),0)))</f>
        <v>0</v>
      </c>
      <c r="AN77" s="448">
        <f t="shared" si="15"/>
        <v>0</v>
      </c>
      <c r="AO77" s="448">
        <f t="shared" si="16"/>
        <v>1</v>
      </c>
      <c r="AP77" s="449">
        <f t="shared" si="17"/>
        <v>0.44619752761250653</v>
      </c>
      <c r="AQ77" s="449">
        <f t="shared" si="18"/>
        <v>23.28561058838644</v>
      </c>
      <c r="AR77" s="449">
        <f t="shared" si="39"/>
        <v>62.977673845739098</v>
      </c>
      <c r="AS77" s="449">
        <f t="shared" si="40"/>
        <v>0.9370148079862638</v>
      </c>
      <c r="AT77" s="449">
        <f t="shared" si="41"/>
        <v>65.085610588386444</v>
      </c>
      <c r="AU77" s="453">
        <f t="shared" si="19"/>
        <v>10</v>
      </c>
      <c r="AV77" s="145">
        <f t="shared" si="20"/>
        <v>39.799999999999997</v>
      </c>
      <c r="AW77" s="178">
        <f t="shared" si="21"/>
        <v>0</v>
      </c>
      <c r="AX77" s="179">
        <f t="shared" si="22"/>
        <v>0</v>
      </c>
      <c r="AY77" s="145">
        <f t="shared" si="42"/>
        <v>0.34682324574525747</v>
      </c>
      <c r="AZ77" s="145">
        <f t="shared" si="23"/>
        <v>0.67249322409756096</v>
      </c>
      <c r="BA77" s="145">
        <f t="shared" si="24"/>
        <v>2.7501535639552843</v>
      </c>
      <c r="BB77" s="145">
        <f t="shared" si="25"/>
        <v>2.6899728963902438E-2</v>
      </c>
      <c r="BC77" s="145">
        <f t="shared" si="26"/>
        <v>0.11000614255821137</v>
      </c>
      <c r="BD77" s="145">
        <f t="shared" si="27"/>
        <v>5.830325555585202</v>
      </c>
      <c r="BE77" s="145">
        <f t="shared" si="28"/>
        <v>1.425685635086829</v>
      </c>
      <c r="BF77" s="145">
        <f t="shared" si="29"/>
        <v>2.1</v>
      </c>
    </row>
    <row r="78" spans="1:58" s="145" customFormat="1">
      <c r="A78" s="568"/>
      <c r="B78" s="116">
        <f t="shared" si="9"/>
        <v>75</v>
      </c>
      <c r="C78" s="69">
        <f t="shared" si="30"/>
        <v>42079</v>
      </c>
      <c r="D78" s="257">
        <f>IF(ISERROR(VLOOKUP($C78,'NDVI real'!$T$8:$U$313,2,FALSE)),VLOOKUP(SWB!C78,'NDVI tipo'!$T$8:$U$193,2),VLOOKUP($C78,'NDVI real'!$T$8:$U$313,2,FALSE))</f>
        <v>0.35989159867208675</v>
      </c>
      <c r="E78" s="170">
        <f t="shared" si="0"/>
        <v>3</v>
      </c>
      <c r="F78" s="170">
        <f t="shared" si="1"/>
        <v>16</v>
      </c>
      <c r="G78" s="170">
        <f t="shared" si="2"/>
        <v>2015</v>
      </c>
      <c r="H78" s="170">
        <f t="shared" si="10"/>
        <v>75</v>
      </c>
      <c r="I78" s="190">
        <f>IF(ISERROR(VLOOKUP($C78,Clima!$U$8:$AH$900,3,FALSE)),VLOOKUP($C78,Clima!$D$8:$R$900,3),VLOOKUP($C78,Clima!$U$8:$AH$900,3,FALSE))</f>
        <v>7.9</v>
      </c>
      <c r="J78" s="191"/>
      <c r="K78" s="170"/>
      <c r="L78" s="192">
        <f>IF(ISERROR(VLOOKUP($C78,Clima!$U$8:$AH$900,14,FALSE)),VLOOKUP($C78,Clima!$D$8:$R$900,14),VLOOKUP($C78,Clima!$U$8:$AH$900,14,FALSE))</f>
        <v>2.2999999999999998</v>
      </c>
      <c r="M78" s="190"/>
      <c r="N78" s="190"/>
      <c r="O78" s="191"/>
      <c r="P78" s="191">
        <f>IF(ISERROR(VLOOKUP($C78,Clima!$W$8:$AH$350,12,FALSE)),VLOOKUP($C78,Clima!$E$8:$P$350,12),VLOOKUP($C78,Clima!$W$8:$AH$350,12,FALSE))</f>
        <v>0</v>
      </c>
      <c r="Q78" s="170">
        <f t="shared" si="31"/>
        <v>32.624730864567624</v>
      </c>
      <c r="R78" s="254">
        <f>VLOOKUP(C78,Clima!$V$8:$AH$900,3,FALSE)+R77</f>
        <v>365.49999999999994</v>
      </c>
      <c r="S78" s="455">
        <f t="shared" si="32"/>
        <v>0.41824390208780493</v>
      </c>
      <c r="T78" s="449">
        <f t="shared" si="11"/>
        <v>0.96196097480195131</v>
      </c>
      <c r="U78" s="195"/>
      <c r="V78" s="445">
        <f t="shared" si="3"/>
        <v>1.0402406503629675</v>
      </c>
      <c r="W78" s="446">
        <f t="shared" si="43"/>
        <v>0</v>
      </c>
      <c r="X78" s="447">
        <f t="shared" si="33"/>
        <v>0.26827100241978319</v>
      </c>
      <c r="Y78" s="448">
        <f t="shared" si="12"/>
        <v>1</v>
      </c>
      <c r="Z78" s="449">
        <f t="shared" si="4"/>
        <v>0.73172899758021681</v>
      </c>
      <c r="AA78" s="449">
        <f t="shared" si="34"/>
        <v>6.1779708726219456</v>
      </c>
      <c r="AB78" s="451">
        <f t="shared" si="13"/>
        <v>6.8326092276677033E-2</v>
      </c>
      <c r="AC78" s="449">
        <f t="shared" si="5"/>
        <v>4.2498607218441814E-2</v>
      </c>
      <c r="AD78" s="449">
        <f t="shared" si="6"/>
        <v>9.7746796602416169E-2</v>
      </c>
      <c r="AE78" s="448">
        <f t="shared" si="35"/>
        <v>0</v>
      </c>
      <c r="AF78" s="449">
        <f t="shared" si="36"/>
        <v>6.3115542032343157</v>
      </c>
      <c r="AG78" s="449">
        <f t="shared" si="7"/>
        <v>0.46074250930624672</v>
      </c>
      <c r="AH78" s="449">
        <f t="shared" si="8"/>
        <v>1.0597077714043674</v>
      </c>
      <c r="AI78" s="448"/>
      <c r="AJ78" s="449">
        <f t="shared" si="14"/>
        <v>0.39129177932429993</v>
      </c>
      <c r="AK78" s="450">
        <f t="shared" si="37"/>
        <v>25.433965656079494</v>
      </c>
      <c r="AL78" s="449">
        <f t="shared" si="38"/>
        <v>24.345318359790809</v>
      </c>
      <c r="AM78" s="451">
        <f>IF(ISERROR(VLOOKUP(C78,Riegos,2,FALSE)),VLOOKUP(C78,Riegos,2,FALSE),VLOOKUP($F$8,Nomen!$A$79:$B$80,2,FALSE)*IF(AND(H78&gt;120,D78&lt;0.45),0,IF(AQ77+AH78&gt;=AK78,MIN(AQ77,$AK$7),0)))</f>
        <v>0</v>
      </c>
      <c r="AN78" s="448">
        <f t="shared" si="15"/>
        <v>0</v>
      </c>
      <c r="AO78" s="448">
        <f t="shared" si="16"/>
        <v>1</v>
      </c>
      <c r="AP78" s="449">
        <f t="shared" si="17"/>
        <v>0.46074250930624672</v>
      </c>
      <c r="AQ78" s="449">
        <f t="shared" si="18"/>
        <v>24.345318359790809</v>
      </c>
      <c r="AR78" s="449">
        <f t="shared" si="39"/>
        <v>63.977673845739098</v>
      </c>
      <c r="AS78" s="449">
        <f t="shared" si="40"/>
        <v>1.0597077714043674</v>
      </c>
      <c r="AT78" s="449">
        <f t="shared" si="41"/>
        <v>66.145318359790807</v>
      </c>
      <c r="AU78" s="453">
        <f t="shared" si="19"/>
        <v>10</v>
      </c>
      <c r="AV78" s="145">
        <f t="shared" si="20"/>
        <v>39.799999999999997</v>
      </c>
      <c r="AW78" s="178">
        <f t="shared" si="21"/>
        <v>0</v>
      </c>
      <c r="AX78" s="179">
        <f t="shared" si="22"/>
        <v>0</v>
      </c>
      <c r="AY78" s="145">
        <f t="shared" si="42"/>
        <v>0.35989159867208675</v>
      </c>
      <c r="AZ78" s="145">
        <f t="shared" si="23"/>
        <v>0.78162601541869925</v>
      </c>
      <c r="BA78" s="145">
        <f t="shared" si="24"/>
        <v>3.5317795793739837</v>
      </c>
      <c r="BB78" s="145">
        <f t="shared" si="25"/>
        <v>3.1265040616747973E-2</v>
      </c>
      <c r="BC78" s="145">
        <f t="shared" si="26"/>
        <v>0.14127118317495935</v>
      </c>
      <c r="BD78" s="145">
        <f t="shared" si="27"/>
        <v>7.4873727082728445</v>
      </c>
      <c r="BE78" s="145">
        <f t="shared" si="28"/>
        <v>1.6570471526876425</v>
      </c>
      <c r="BF78" s="145">
        <f t="shared" si="29"/>
        <v>2.2999999999999998</v>
      </c>
    </row>
    <row r="79" spans="1:58" s="145" customFormat="1">
      <c r="A79" s="568"/>
      <c r="B79" s="116">
        <f t="shared" si="9"/>
        <v>76</v>
      </c>
      <c r="C79" s="69">
        <f t="shared" si="30"/>
        <v>42080</v>
      </c>
      <c r="D79" s="257">
        <f>IF(ISERROR(VLOOKUP($C79,'NDVI real'!$T$8:$U$313,2,FALSE)),VLOOKUP(SWB!C79,'NDVI tipo'!$T$8:$U$193,2),VLOOKUP($C79,'NDVI real'!$T$8:$U$313,2,FALSE))</f>
        <v>0.37295995159891604</v>
      </c>
      <c r="E79" s="170">
        <f t="shared" ref="E79:E142" si="44">MONTH(C79)</f>
        <v>3</v>
      </c>
      <c r="F79" s="170">
        <f t="shared" ref="F79:F142" si="45">DAY(C79)</f>
        <v>17</v>
      </c>
      <c r="G79" s="170">
        <f t="shared" ref="G79:G142" si="46">YEAR(C79)</f>
        <v>2015</v>
      </c>
      <c r="H79" s="170">
        <f t="shared" si="10"/>
        <v>76</v>
      </c>
      <c r="I79" s="190">
        <f>IF(ISERROR(VLOOKUP($C79,Clima!$U$8:$AH$900,3,FALSE)),VLOOKUP($C79,Clima!$D$8:$R$900,3),VLOOKUP($C79,Clima!$U$8:$AH$900,3,FALSE))</f>
        <v>7.7</v>
      </c>
      <c r="J79" s="191"/>
      <c r="K79" s="170"/>
      <c r="L79" s="192">
        <f>IF(ISERROR(VLOOKUP($C79,Clima!$U$8:$AH$900,14,FALSE)),VLOOKUP($C79,Clima!$D$8:$R$900,14),VLOOKUP($C79,Clima!$U$8:$AH$900,14,FALSE))</f>
        <v>3.5</v>
      </c>
      <c r="M79" s="190"/>
      <c r="N79" s="190"/>
      <c r="O79" s="191"/>
      <c r="P79" s="191">
        <f>IF(ISERROR(VLOOKUP($C79,Clima!$W$8:$AH$350,12,FALSE)),VLOOKUP($C79,Clima!$E$8:$P$350,12),VLOOKUP($C79,Clima!$W$8:$AH$350,12,FALSE))</f>
        <v>0</v>
      </c>
      <c r="Q79" s="170">
        <f t="shared" si="31"/>
        <v>34.15444902062616</v>
      </c>
      <c r="R79" s="254">
        <f>VLOOKUP(C79,Clima!$V$8:$AH$900,3,FALSE)+R78</f>
        <v>373.29999999999995</v>
      </c>
      <c r="S79" s="455">
        <f t="shared" si="32"/>
        <v>0.43706233030243913</v>
      </c>
      <c r="T79" s="449">
        <f t="shared" si="11"/>
        <v>1.5297181560585369</v>
      </c>
      <c r="U79" s="195"/>
      <c r="V79" s="445">
        <f t="shared" ref="V79:V142" si="47">X79*$V$10+(1-X79)*$V$12</f>
        <v>1.0425733513604065</v>
      </c>
      <c r="W79" s="446">
        <f t="shared" si="43"/>
        <v>0</v>
      </c>
      <c r="X79" s="447">
        <f t="shared" si="33"/>
        <v>0.28382234240271009</v>
      </c>
      <c r="Y79" s="448">
        <f t="shared" si="12"/>
        <v>1</v>
      </c>
      <c r="Z79" s="449">
        <f t="shared" ref="Z79:Z142" si="48">MIN(1-X79,Y79)</f>
        <v>0.71617765759728991</v>
      </c>
      <c r="AA79" s="449">
        <f t="shared" si="34"/>
        <v>6.3115542032343157</v>
      </c>
      <c r="AB79" s="451">
        <f t="shared" si="13"/>
        <v>6.3316717378713153E-2</v>
      </c>
      <c r="AC79" s="449">
        <f t="shared" ref="AC79:AC142" si="49">MIN(+AB79*(V79-S79),Z79*V79)</f>
        <v>3.8338970190023351E-2</v>
      </c>
      <c r="AD79" s="449">
        <f t="shared" ref="AD79:AD142" si="50">AC79*L79</f>
        <v>0.13418639566508173</v>
      </c>
      <c r="AE79" s="448">
        <f t="shared" si="35"/>
        <v>0</v>
      </c>
      <c r="AF79" s="449">
        <f t="shared" si="36"/>
        <v>6.4989188804783176</v>
      </c>
      <c r="AG79" s="449">
        <f t="shared" ref="AG79:AG142" si="51">S79+AC79</f>
        <v>0.47540130049246249</v>
      </c>
      <c r="AH79" s="449">
        <f t="shared" ref="AH79:AH142" si="52">AG79*L79</f>
        <v>1.6639045517236186</v>
      </c>
      <c r="AI79" s="448"/>
      <c r="AJ79" s="449">
        <f t="shared" si="14"/>
        <v>0.40523135577958452</v>
      </c>
      <c r="AK79" s="450">
        <f t="shared" ref="AK79:AK142" si="53">MAX(IF(H79&lt;V$4,AP$3,AP$4)/100*AJ79*$AK$5,AK78)</f>
        <v>26.340038125672994</v>
      </c>
      <c r="AL79" s="449">
        <f t="shared" si="38"/>
        <v>26.009222911514428</v>
      </c>
      <c r="AM79" s="451">
        <f>IF(ISERROR(VLOOKUP(C79,Riegos,2,FALSE)),VLOOKUP(C79,Riegos,2,FALSE),VLOOKUP($F$8,Nomen!$A$79:$B$80,2,FALSE)*IF(AND(H79&gt;120,D79&lt;0.45),0,IF(AQ78+AH79&gt;=AK79,MIN(AQ78,$AK$7),0)))</f>
        <v>0</v>
      </c>
      <c r="AN79" s="448">
        <f t="shared" si="15"/>
        <v>0</v>
      </c>
      <c r="AO79" s="448">
        <f t="shared" si="16"/>
        <v>1</v>
      </c>
      <c r="AP79" s="449">
        <f t="shared" si="17"/>
        <v>0.47540130049246249</v>
      </c>
      <c r="AQ79" s="449">
        <f t="shared" si="18"/>
        <v>26.009222911514428</v>
      </c>
      <c r="AR79" s="449">
        <f t="shared" si="39"/>
        <v>64.977673845739105</v>
      </c>
      <c r="AS79" s="449">
        <f t="shared" si="40"/>
        <v>1.6639045517236186</v>
      </c>
      <c r="AT79" s="449">
        <f t="shared" si="41"/>
        <v>67.809222911514425</v>
      </c>
      <c r="AU79" s="453">
        <f t="shared" si="19"/>
        <v>10</v>
      </c>
      <c r="AV79" s="145">
        <f t="shared" si="20"/>
        <v>39.799999999999997</v>
      </c>
      <c r="AW79" s="178">
        <f t="shared" si="21"/>
        <v>0</v>
      </c>
      <c r="AX79" s="179">
        <f t="shared" si="22"/>
        <v>0</v>
      </c>
      <c r="AY79" s="145">
        <f t="shared" si="42"/>
        <v>0.37295995159891604</v>
      </c>
      <c r="AZ79" s="145">
        <f t="shared" si="23"/>
        <v>1.2580397458943093</v>
      </c>
      <c r="BA79" s="145">
        <f t="shared" si="24"/>
        <v>4.7898193252682928</v>
      </c>
      <c r="BB79" s="145">
        <f t="shared" si="25"/>
        <v>5.0321589835772375E-2</v>
      </c>
      <c r="BC79" s="145">
        <f t="shared" si="26"/>
        <v>0.19159277301073172</v>
      </c>
      <c r="BD79" s="145">
        <f t="shared" si="27"/>
        <v>10.15441696956878</v>
      </c>
      <c r="BE79" s="145">
        <f t="shared" si="28"/>
        <v>2.6670442612959357</v>
      </c>
      <c r="BF79" s="145">
        <f t="shared" si="29"/>
        <v>3.5</v>
      </c>
    </row>
    <row r="80" spans="1:58" s="145" customFormat="1">
      <c r="A80" s="568"/>
      <c r="B80" s="116">
        <f t="shared" ref="B80:B143" si="54">INT(275*E80/9-30+F80)+IF(E80&gt;2,-2,0)+IF(MOD(G80,4)=0,IF(E80&gt;2,1,0),0)</f>
        <v>77</v>
      </c>
      <c r="C80" s="69">
        <f t="shared" si="30"/>
        <v>42081</v>
      </c>
      <c r="D80" s="257">
        <f>IF(ISERROR(VLOOKUP($C80,'NDVI real'!$T$8:$U$313,2,FALSE)),VLOOKUP(SWB!C80,'NDVI tipo'!$T$8:$U$193,2),VLOOKUP($C80,'NDVI real'!$T$8:$U$313,2,FALSE))</f>
        <v>0.38602830452574532</v>
      </c>
      <c r="E80" s="170">
        <f t="shared" si="44"/>
        <v>3</v>
      </c>
      <c r="F80" s="170">
        <f t="shared" si="45"/>
        <v>18</v>
      </c>
      <c r="G80" s="170">
        <f t="shared" si="46"/>
        <v>2015</v>
      </c>
      <c r="H80" s="170">
        <f t="shared" ref="H80:H143" si="55">INT(275*E80/9-30+F80)+IF(E80&gt;2,-2,0)+IF(MOD(G80,4)=0,IF(E80&gt;2,1,0),0)</f>
        <v>77</v>
      </c>
      <c r="I80" s="190">
        <f>IF(ISERROR(VLOOKUP($C80,Clima!$U$8:$AH$900,3,FALSE)),VLOOKUP($C80,Clima!$D$8:$R$900,3),VLOOKUP($C80,Clima!$U$8:$AH$900,3,FALSE))</f>
        <v>8</v>
      </c>
      <c r="J80" s="191"/>
      <c r="K80" s="170"/>
      <c r="L80" s="192">
        <f>IF(ISERROR(VLOOKUP($C80,Clima!$U$8:$AH$900,14,FALSE)),VLOOKUP($C80,Clima!$D$8:$R$900,14),VLOOKUP($C80,Clima!$U$8:$AH$900,14,FALSE))</f>
        <v>2.5</v>
      </c>
      <c r="M80" s="190"/>
      <c r="N80" s="190"/>
      <c r="O80" s="191"/>
      <c r="P80" s="191">
        <f>IF(ISERROR(VLOOKUP($C80,Clima!$W$8:$AH$350,12,FALSE)),VLOOKUP($C80,Clima!$E$8:$P$350,12),VLOOKUP($C80,Clima!$W$8:$AH$350,12,FALSE))</f>
        <v>11.2</v>
      </c>
      <c r="Q80" s="170">
        <f t="shared" si="31"/>
        <v>35.294150916918845</v>
      </c>
      <c r="R80" s="254">
        <f>VLOOKUP(C80,Clima!$V$8:$AH$900,3,FALSE)+R79</f>
        <v>379.49999999999994</v>
      </c>
      <c r="S80" s="455">
        <f t="shared" ref="S80:S143" si="56">MIN($V$10,D80*1.44-0.1)</f>
        <v>0.45588075851707321</v>
      </c>
      <c r="T80" s="449">
        <f t="shared" ref="T80:T143" si="57">S80*L80</f>
        <v>1.139701896292683</v>
      </c>
      <c r="U80" s="195"/>
      <c r="V80" s="445">
        <f t="shared" si="47"/>
        <v>1.0449060523578455</v>
      </c>
      <c r="W80" s="446">
        <f t="shared" ref="W80:W143" si="58">IF(AM79&gt;0,AM79/$AC$3,0)</f>
        <v>0</v>
      </c>
      <c r="X80" s="447">
        <f t="shared" si="33"/>
        <v>0.29937368238563689</v>
      </c>
      <c r="Y80" s="448">
        <f t="shared" ref="Y80:Y143" si="59">IF(W80&gt;0,AC$3,IF(P80&gt;0,1,Y79))</f>
        <v>1</v>
      </c>
      <c r="Z80" s="449">
        <f t="shared" si="48"/>
        <v>0.70062631761436311</v>
      </c>
      <c r="AA80" s="449">
        <f t="shared" si="34"/>
        <v>0</v>
      </c>
      <c r="AB80" s="451">
        <f t="shared" ref="AB80:AB143" si="60">MAX(IF(AA80&lt;$AC$4,IF(L80&gt;$AC$4,($AC$4)/L80,1),MIN(($AC$4)/L80,(($AC$5-AA80)*$AG$3)/($AC$5-$AC$4))),0)</f>
        <v>1</v>
      </c>
      <c r="AC80" s="449">
        <f t="shared" si="49"/>
        <v>0.58902529384077229</v>
      </c>
      <c r="AD80" s="449">
        <f t="shared" si="50"/>
        <v>1.4725632346019308</v>
      </c>
      <c r="AE80" s="448">
        <f t="shared" si="35"/>
        <v>4.7010811195216817</v>
      </c>
      <c r="AF80" s="449">
        <f t="shared" si="36"/>
        <v>2.1017812171487043</v>
      </c>
      <c r="AG80" s="449">
        <f t="shared" si="51"/>
        <v>1.0449060523578455</v>
      </c>
      <c r="AH80" s="449">
        <f t="shared" si="52"/>
        <v>2.6122651308946137</v>
      </c>
      <c r="AI80" s="448"/>
      <c r="AJ80" s="449">
        <f t="shared" ref="AJ80:AJ143" si="61">MIN($AK$4,MAX($AK$3,MAX((S80-$N$4)/($N$5-$N$4)*($AK$4-$AK$3)+$AK$3,AJ79)))</f>
        <v>0.41917093223486906</v>
      </c>
      <c r="AK80" s="450">
        <f t="shared" si="53"/>
        <v>27.246110595266494</v>
      </c>
      <c r="AL80" s="449">
        <f t="shared" si="38"/>
        <v>17.421488042409042</v>
      </c>
      <c r="AM80" s="451">
        <f>IF(ISERROR(VLOOKUP(C80,Riegos,2,FALSE)),VLOOKUP(C80,Riegos,2,FALSE),VLOOKUP($F$8,Nomen!$A$79:$B$80,2,FALSE)*IF(AND(H80&gt;120,D80&lt;0.45),0,IF(AQ79+AH80&gt;=AK80,MIN(AQ79,$AK$7),0)))</f>
        <v>5</v>
      </c>
      <c r="AN80" s="448">
        <f t="shared" ref="AN80:AN143" si="62">MAX(+P80+AM79-AH80-AQ79,0)</f>
        <v>0</v>
      </c>
      <c r="AO80" s="448">
        <f t="shared" ref="AO80:AO143" si="63">MAX(0,IF(AL80&gt;AK80,(AJ80*AK$5-AL80)/(AJ80*AK$5-AK80),1))</f>
        <v>1</v>
      </c>
      <c r="AP80" s="449">
        <f t="shared" ref="AP80:AP143" si="64">AC80+S80*AO80</f>
        <v>1.0449060523578455</v>
      </c>
      <c r="AQ80" s="449">
        <f t="shared" ref="AQ80:AQ143" si="65">+AQ79-P80-AM79+AP80*L80+AN80</f>
        <v>17.421488042409042</v>
      </c>
      <c r="AR80" s="449">
        <f t="shared" si="39"/>
        <v>65.977673845739105</v>
      </c>
      <c r="AS80" s="449">
        <f t="shared" ref="AS80:AS143" si="66">AP80*L80</f>
        <v>2.6122651308946137</v>
      </c>
      <c r="AT80" s="449">
        <f t="shared" ref="AT80:AT143" si="67">AS80+AT79</f>
        <v>70.421488042409038</v>
      </c>
      <c r="AU80" s="453">
        <f t="shared" ref="AU80:AU143" si="68">AM80+AU79</f>
        <v>15</v>
      </c>
      <c r="AV80" s="145">
        <f t="shared" ref="AV80:AV143" si="69">P80+AV79</f>
        <v>51</v>
      </c>
      <c r="AW80" s="178">
        <f t="shared" ref="AW80:AW143" si="70">AW79+J80</f>
        <v>0</v>
      </c>
      <c r="AX80" s="179">
        <f t="shared" ref="AX80:AX143" si="71">AX79+O80</f>
        <v>0</v>
      </c>
      <c r="AY80" s="145">
        <f t="shared" si="42"/>
        <v>0.38602830452574532</v>
      </c>
      <c r="AZ80" s="145">
        <f t="shared" ref="AZ80:AZ143" si="72">IF($C80&gt;$BA$6,0,IF(AND(($D81-$D80)&gt;0,$D80&gt;$AZ$3,$D80&lt;$AZ$4),($D80*$BB$3+$BC$3)*L80,IF($D80&gt;$AZ$4,($D80*$BB$3+$BC$3)*L80,IF(AND(($D81-$D79)&gt;0,$D80&gt;$AZ$4),($D80*$BB$3+$BC$3)*L80,0))))</f>
        <v>0.94760614197154491</v>
      </c>
      <c r="BA80" s="145">
        <f t="shared" ref="BA80:BA143" si="73">IFERROR(AZ80+BA79,"")</f>
        <v>5.7374254672398379</v>
      </c>
      <c r="BB80" s="145">
        <f t="shared" ref="BB80:BB143" si="74">(AZ80*$BB$4)/100</f>
        <v>3.7904245678861796E-2</v>
      </c>
      <c r="BC80" s="145">
        <f t="shared" ref="BC80:BC143" si="75">IFERROR(BB80+BC79,"")</f>
        <v>0.22949701868959352</v>
      </c>
      <c r="BD80" s="145">
        <f t="shared" ref="BD80:BD143" si="76">(IF(BC80&lt;13,((IF(BC80&lt;1,5.3,IFERROR(5.35*(BC80)^(-0.442),0)))/100),1.7/100))*BC80*1000</f>
        <v>12.163341990548457</v>
      </c>
      <c r="BE80" s="145">
        <f t="shared" ref="BE80:BE143" si="77">BD80-BD79</f>
        <v>2.0089250209796763</v>
      </c>
      <c r="BF80" s="145">
        <f t="shared" ref="BF80:BF143" si="78">IF(BB80&gt;0,L80,"")</f>
        <v>2.5</v>
      </c>
    </row>
    <row r="81" spans="1:58" s="145" customFormat="1">
      <c r="A81" s="568"/>
      <c r="B81" s="116">
        <f t="shared" si="54"/>
        <v>78</v>
      </c>
      <c r="C81" s="69">
        <f t="shared" ref="C81:C144" si="79">C80+1</f>
        <v>42082</v>
      </c>
      <c r="D81" s="257">
        <f>IF(ISERROR(VLOOKUP($C81,'NDVI real'!$T$8:$U$313,2,FALSE)),VLOOKUP(SWB!C81,'NDVI tipo'!$T$8:$U$193,2),VLOOKUP($C81,'NDVI real'!$T$8:$U$313,2,FALSE))</f>
        <v>0.39909665745257461</v>
      </c>
      <c r="E81" s="170">
        <f t="shared" si="44"/>
        <v>3</v>
      </c>
      <c r="F81" s="170">
        <f t="shared" si="45"/>
        <v>19</v>
      </c>
      <c r="G81" s="170">
        <f t="shared" si="46"/>
        <v>2015</v>
      </c>
      <c r="H81" s="170">
        <f t="shared" si="55"/>
        <v>78</v>
      </c>
      <c r="I81" s="190">
        <f>IF(ISERROR(VLOOKUP($C81,Clima!$U$8:$AH$900,3,FALSE)),VLOOKUP($C81,Clima!$D$8:$R$900,3),VLOOKUP($C81,Clima!$U$8:$AH$900,3,FALSE))</f>
        <v>8.9</v>
      </c>
      <c r="J81" s="191"/>
      <c r="K81" s="170"/>
      <c r="L81" s="192">
        <f>IF(ISERROR(VLOOKUP($C81,Clima!$U$8:$AH$900,14,FALSE)),VLOOKUP($C81,Clima!$D$8:$R$900,14),VLOOKUP($C81,Clima!$U$8:$AH$900,14,FALSE))</f>
        <v>2.1</v>
      </c>
      <c r="M81" s="190"/>
      <c r="N81" s="190"/>
      <c r="O81" s="191"/>
      <c r="P81" s="191">
        <f>IF(ISERROR(VLOOKUP($C81,Clima!$W$8:$AH$350,12,FALSE)),VLOOKUP($C81,Clima!$E$8:$P$350,12),VLOOKUP($C81,Clima!$W$8:$AH$350,12,FALSE))</f>
        <v>0.4</v>
      </c>
      <c r="Q81" s="170">
        <f t="shared" ref="Q81:Q144" si="80">S81*L81*AO81+Q80</f>
        <v>36.291019209055428</v>
      </c>
      <c r="R81" s="254">
        <f>VLOOKUP(C81,Clima!$V$8:$AH$900,3,FALSE)+R80</f>
        <v>387.69999999999993</v>
      </c>
      <c r="S81" s="455">
        <f t="shared" si="56"/>
        <v>0.47469918673170741</v>
      </c>
      <c r="T81" s="449">
        <f t="shared" si="57"/>
        <v>0.99686829213658557</v>
      </c>
      <c r="U81" s="195"/>
      <c r="V81" s="445">
        <f t="shared" si="47"/>
        <v>1.0472387533552845</v>
      </c>
      <c r="W81" s="446">
        <f t="shared" si="58"/>
        <v>5</v>
      </c>
      <c r="X81" s="447">
        <f t="shared" ref="X81:X144" si="81">MAX(X80,(1.19*D81)-0.16)</f>
        <v>0.31492502236856379</v>
      </c>
      <c r="Y81" s="448">
        <f t="shared" si="59"/>
        <v>1</v>
      </c>
      <c r="Z81" s="449">
        <f t="shared" si="48"/>
        <v>0.68507497763143621</v>
      </c>
      <c r="AA81" s="449">
        <f t="shared" ref="AA81:AA144" si="82">MAX(AF80-P81-W81,0)</f>
        <v>0</v>
      </c>
      <c r="AB81" s="451">
        <f t="shared" si="60"/>
        <v>1</v>
      </c>
      <c r="AC81" s="449">
        <f t="shared" si="49"/>
        <v>0.57253956662357708</v>
      </c>
      <c r="AD81" s="449">
        <f t="shared" si="50"/>
        <v>1.2023330899095119</v>
      </c>
      <c r="AE81" s="448">
        <f t="shared" ref="AE81:AE144" si="83">MAX(P81+W81-AF80,0)</f>
        <v>3.2982187828512961</v>
      </c>
      <c r="AF81" s="449">
        <f t="shared" ref="AF81:AF144" si="84">AF80-P81-W81+AD81/Z81+AE81</f>
        <v>1.7550386879789908</v>
      </c>
      <c r="AG81" s="449">
        <f t="shared" si="51"/>
        <v>1.0472387533552845</v>
      </c>
      <c r="AH81" s="449">
        <f t="shared" si="52"/>
        <v>2.1992013820460974</v>
      </c>
      <c r="AI81" s="448"/>
      <c r="AJ81" s="449">
        <f t="shared" si="61"/>
        <v>0.43311050869015366</v>
      </c>
      <c r="AK81" s="450">
        <f t="shared" si="53"/>
        <v>28.152183064859987</v>
      </c>
      <c r="AL81" s="449">
        <f t="shared" ref="AL81:AL144" si="85">AQ80-P81-AM80+AH81</f>
        <v>14.220689424455141</v>
      </c>
      <c r="AM81" s="451">
        <f>IF(ISERROR(VLOOKUP(C81,Riegos,2,FALSE)),VLOOKUP(C81,Riegos,2,FALSE),VLOOKUP($F$8,Nomen!$A$79:$B$80,2,FALSE)*IF(AND(H81&gt;120,D81&lt;0.45),0,IF(AQ80+AH81&gt;=AK81,MIN(AQ80,$AK$7),0)))</f>
        <v>0</v>
      </c>
      <c r="AN81" s="448">
        <f t="shared" si="62"/>
        <v>0</v>
      </c>
      <c r="AO81" s="448">
        <f t="shared" si="63"/>
        <v>1</v>
      </c>
      <c r="AP81" s="449">
        <f t="shared" si="64"/>
        <v>1.0472387533552845</v>
      </c>
      <c r="AQ81" s="449">
        <f t="shared" si="65"/>
        <v>14.220689424455141</v>
      </c>
      <c r="AR81" s="449">
        <f t="shared" ref="AR81:AR144" si="86">AO81+AR80</f>
        <v>66.977673845739105</v>
      </c>
      <c r="AS81" s="449">
        <f t="shared" si="66"/>
        <v>2.1992013820460974</v>
      </c>
      <c r="AT81" s="449">
        <f t="shared" si="67"/>
        <v>72.620689424455136</v>
      </c>
      <c r="AU81" s="453">
        <f t="shared" si="68"/>
        <v>15</v>
      </c>
      <c r="AV81" s="145">
        <f t="shared" si="69"/>
        <v>51.4</v>
      </c>
      <c r="AW81" s="178">
        <f t="shared" si="70"/>
        <v>0</v>
      </c>
      <c r="AX81" s="179">
        <f t="shared" si="71"/>
        <v>0</v>
      </c>
      <c r="AY81" s="145">
        <f t="shared" ref="AY81:AY144" si="87">IF($C81&gt;$BA$6,"",IF(AND(($D82-$D81)&gt;0,$D81&gt;$AZ$3,$D81&lt;$AZ$4),$D81,IF($D81&gt;$AZ$4,$D81,IF(AND(($D82-$D80)&gt;0,$D81&gt;$AZ$4),$D81,""))))</f>
        <v>0.39909665745257461</v>
      </c>
      <c r="AZ81" s="145">
        <f t="shared" si="72"/>
        <v>0.83715447097560991</v>
      </c>
      <c r="BA81" s="145">
        <f t="shared" si="73"/>
        <v>6.5745799382154475</v>
      </c>
      <c r="BB81" s="145">
        <f t="shared" si="74"/>
        <v>3.3486178839024397E-2</v>
      </c>
      <c r="BC81" s="145">
        <f t="shared" si="75"/>
        <v>0.26298319752861793</v>
      </c>
      <c r="BD81" s="145">
        <f t="shared" si="76"/>
        <v>13.93810946901675</v>
      </c>
      <c r="BE81" s="145">
        <f t="shared" si="77"/>
        <v>1.7747674784682932</v>
      </c>
      <c r="BF81" s="145">
        <f t="shared" si="78"/>
        <v>2.1</v>
      </c>
    </row>
    <row r="82" spans="1:58" s="145" customFormat="1">
      <c r="A82" s="568"/>
      <c r="B82" s="116">
        <f t="shared" si="54"/>
        <v>79</v>
      </c>
      <c r="C82" s="69">
        <f t="shared" si="79"/>
        <v>42083</v>
      </c>
      <c r="D82" s="257">
        <f>IF(ISERROR(VLOOKUP($C82,'NDVI real'!$T$8:$U$313,2,FALSE)),VLOOKUP(SWB!C82,'NDVI tipo'!$T$8:$U$193,2),VLOOKUP($C82,'NDVI real'!$T$8:$U$313,2,FALSE))</f>
        <v>0.4121650103794039</v>
      </c>
      <c r="E82" s="170">
        <f t="shared" si="44"/>
        <v>3</v>
      </c>
      <c r="F82" s="170">
        <f t="shared" si="45"/>
        <v>20</v>
      </c>
      <c r="G82" s="170">
        <f t="shared" si="46"/>
        <v>2015</v>
      </c>
      <c r="H82" s="170">
        <f t="shared" si="55"/>
        <v>79</v>
      </c>
      <c r="I82" s="190">
        <f>IF(ISERROR(VLOOKUP($C82,Clima!$U$8:$AH$900,3,FALSE)),VLOOKUP($C82,Clima!$D$8:$R$900,3),VLOOKUP($C82,Clima!$U$8:$AH$900,3,FALSE))</f>
        <v>8.9</v>
      </c>
      <c r="J82" s="191"/>
      <c r="K82" s="170"/>
      <c r="L82" s="192">
        <f>IF(ISERROR(VLOOKUP($C82,Clima!$U$8:$AH$900,14,FALSE)),VLOOKUP($C82,Clima!$D$8:$R$900,14),VLOOKUP($C82,Clima!$U$8:$AH$900,14,FALSE))</f>
        <v>1.7</v>
      </c>
      <c r="M82" s="190"/>
      <c r="N82" s="190"/>
      <c r="O82" s="191"/>
      <c r="P82" s="191">
        <f>IF(ISERROR(VLOOKUP($C82,Clima!$W$8:$AH$350,12,FALSE)),VLOOKUP($C82,Clima!$E$8:$P$350,12),VLOOKUP($C82,Clima!$W$8:$AH$350,12,FALSE))</f>
        <v>3.1</v>
      </c>
      <c r="Q82" s="170">
        <f t="shared" si="80"/>
        <v>37.129999154464208</v>
      </c>
      <c r="R82" s="254">
        <f>VLOOKUP(C82,Clima!$V$8:$AH$900,3,FALSE)+R81</f>
        <v>396.29999999999995</v>
      </c>
      <c r="S82" s="455">
        <f t="shared" si="56"/>
        <v>0.49351761494634161</v>
      </c>
      <c r="T82" s="449">
        <f t="shared" si="57"/>
        <v>0.83897994540878074</v>
      </c>
      <c r="U82" s="195"/>
      <c r="V82" s="445">
        <f t="shared" si="47"/>
        <v>1.0495714543527235</v>
      </c>
      <c r="W82" s="446">
        <f t="shared" si="58"/>
        <v>0</v>
      </c>
      <c r="X82" s="447">
        <f t="shared" si="81"/>
        <v>0.33047636235149058</v>
      </c>
      <c r="Y82" s="448">
        <f t="shared" si="59"/>
        <v>1</v>
      </c>
      <c r="Z82" s="449">
        <f t="shared" si="48"/>
        <v>0.66952363764850942</v>
      </c>
      <c r="AA82" s="449">
        <f t="shared" si="82"/>
        <v>0</v>
      </c>
      <c r="AB82" s="451">
        <f t="shared" si="60"/>
        <v>1</v>
      </c>
      <c r="AC82" s="449">
        <f t="shared" si="49"/>
        <v>0.55605383940638187</v>
      </c>
      <c r="AD82" s="449">
        <f t="shared" si="50"/>
        <v>0.94529152699084917</v>
      </c>
      <c r="AE82" s="448">
        <f t="shared" si="83"/>
        <v>1.3449613120210093</v>
      </c>
      <c r="AF82" s="449">
        <f t="shared" si="84"/>
        <v>1.4118867114399238</v>
      </c>
      <c r="AG82" s="449">
        <f t="shared" si="51"/>
        <v>1.0495714543527235</v>
      </c>
      <c r="AH82" s="449">
        <f t="shared" si="52"/>
        <v>1.7842714723996298</v>
      </c>
      <c r="AI82" s="448"/>
      <c r="AJ82" s="449">
        <f t="shared" si="61"/>
        <v>0.4470500851454382</v>
      </c>
      <c r="AK82" s="450">
        <f t="shared" si="53"/>
        <v>29.058255534453487</v>
      </c>
      <c r="AL82" s="449">
        <f t="shared" si="85"/>
        <v>12.904960896854771</v>
      </c>
      <c r="AM82" s="451">
        <f>IF(ISERROR(VLOOKUP(C82,Riegos,2,FALSE)),VLOOKUP(C82,Riegos,2,FALSE),VLOOKUP($F$8,Nomen!$A$79:$B$80,2,FALSE)*IF(AND(H82&gt;120,D82&lt;0.45),0,IF(AQ81+AH82&gt;=AK82,MIN(AQ81,$AK$7),0)))</f>
        <v>0</v>
      </c>
      <c r="AN82" s="448">
        <f t="shared" si="62"/>
        <v>0</v>
      </c>
      <c r="AO82" s="448">
        <f t="shared" si="63"/>
        <v>1</v>
      </c>
      <c r="AP82" s="449">
        <f t="shared" si="64"/>
        <v>1.0495714543527235</v>
      </c>
      <c r="AQ82" s="449">
        <f t="shared" si="65"/>
        <v>12.904960896854771</v>
      </c>
      <c r="AR82" s="449">
        <f t="shared" si="86"/>
        <v>67.977673845739105</v>
      </c>
      <c r="AS82" s="449">
        <f t="shared" si="66"/>
        <v>1.7842714723996298</v>
      </c>
      <c r="AT82" s="449">
        <f t="shared" si="67"/>
        <v>74.40496089685476</v>
      </c>
      <c r="AU82" s="453">
        <f t="shared" si="68"/>
        <v>15</v>
      </c>
      <c r="AV82" s="145">
        <f t="shared" si="69"/>
        <v>54.5</v>
      </c>
      <c r="AW82" s="178">
        <f t="shared" si="70"/>
        <v>0</v>
      </c>
      <c r="AX82" s="179">
        <f t="shared" si="71"/>
        <v>0</v>
      </c>
      <c r="AY82" s="145">
        <f t="shared" si="87"/>
        <v>0.4121650103794039</v>
      </c>
      <c r="AZ82" s="145">
        <f t="shared" si="72"/>
        <v>0.71102077646747985</v>
      </c>
      <c r="BA82" s="145">
        <f t="shared" si="73"/>
        <v>7.2856007146829276</v>
      </c>
      <c r="BB82" s="145">
        <f t="shared" si="74"/>
        <v>2.8440831058699195E-2</v>
      </c>
      <c r="BC82" s="145">
        <f t="shared" si="75"/>
        <v>0.29142402858731714</v>
      </c>
      <c r="BD82" s="145">
        <f t="shared" si="76"/>
        <v>15.445473515127809</v>
      </c>
      <c r="BE82" s="145">
        <f t="shared" si="77"/>
        <v>1.5073640461110589</v>
      </c>
      <c r="BF82" s="145">
        <f t="shared" si="78"/>
        <v>1.7</v>
      </c>
    </row>
    <row r="83" spans="1:58" s="145" customFormat="1">
      <c r="A83" s="568"/>
      <c r="B83" s="116">
        <f t="shared" si="54"/>
        <v>80</v>
      </c>
      <c r="C83" s="69">
        <f t="shared" si="79"/>
        <v>42084</v>
      </c>
      <c r="D83" s="257">
        <f>IF(ISERROR(VLOOKUP($C83,'NDVI real'!$T$8:$U$313,2,FALSE)),VLOOKUP(SWB!C83,'NDVI tipo'!$T$8:$U$193,2),VLOOKUP($C83,'NDVI real'!$T$8:$U$313,2,FALSE))</f>
        <v>0.42523336330623318</v>
      </c>
      <c r="E83" s="170">
        <f t="shared" si="44"/>
        <v>3</v>
      </c>
      <c r="F83" s="170">
        <f t="shared" si="45"/>
        <v>21</v>
      </c>
      <c r="G83" s="170">
        <f t="shared" si="46"/>
        <v>2015</v>
      </c>
      <c r="H83" s="170">
        <f t="shared" si="55"/>
        <v>80</v>
      </c>
      <c r="I83" s="190">
        <f>IF(ISERROR(VLOOKUP($C83,Clima!$U$8:$AH$900,3,FALSE)),VLOOKUP($C83,Clima!$D$8:$R$900,3),VLOOKUP($C83,Clima!$U$8:$AH$900,3,FALSE))</f>
        <v>8.9</v>
      </c>
      <c r="J83" s="191"/>
      <c r="K83" s="170"/>
      <c r="L83" s="192">
        <f>IF(ISERROR(VLOOKUP($C83,Clima!$U$8:$AH$900,14,FALSE)),VLOOKUP($C83,Clima!$D$8:$R$900,14),VLOOKUP($C83,Clima!$U$8:$AH$900,14,FALSE))</f>
        <v>2.2999999999999998</v>
      </c>
      <c r="M83" s="190"/>
      <c r="N83" s="190"/>
      <c r="O83" s="191"/>
      <c r="P83" s="191">
        <f>IF(ISERROR(VLOOKUP($C83,Clima!$W$8:$AH$350,12,FALSE)),VLOOKUP($C83,Clima!$E$8:$P$350,12),VLOOKUP($C83,Clima!$W$8:$AH$350,12,FALSE))</f>
        <v>14.1</v>
      </c>
      <c r="Q83" s="170">
        <f t="shared" si="80"/>
        <v>38.308372053734452</v>
      </c>
      <c r="R83" s="254">
        <f>VLOOKUP(C83,Clima!$V$8:$AH$900,3,FALSE)+R82</f>
        <v>404.9</v>
      </c>
      <c r="S83" s="455">
        <f t="shared" si="56"/>
        <v>0.51233604316097581</v>
      </c>
      <c r="T83" s="449">
        <f t="shared" si="57"/>
        <v>1.1783728992702442</v>
      </c>
      <c r="U83" s="195"/>
      <c r="V83" s="445">
        <f t="shared" si="47"/>
        <v>1.0519041553501625</v>
      </c>
      <c r="W83" s="446">
        <f t="shared" si="58"/>
        <v>0</v>
      </c>
      <c r="X83" s="447">
        <f t="shared" si="81"/>
        <v>0.34602770233441749</v>
      </c>
      <c r="Y83" s="448">
        <f t="shared" si="59"/>
        <v>1</v>
      </c>
      <c r="Z83" s="449">
        <f t="shared" si="48"/>
        <v>0.65397229766558251</v>
      </c>
      <c r="AA83" s="449">
        <f t="shared" si="82"/>
        <v>0</v>
      </c>
      <c r="AB83" s="451">
        <f t="shared" si="60"/>
        <v>1</v>
      </c>
      <c r="AC83" s="449">
        <f t="shared" si="49"/>
        <v>0.53956811218918665</v>
      </c>
      <c r="AD83" s="449">
        <f t="shared" si="50"/>
        <v>1.2410066580351291</v>
      </c>
      <c r="AE83" s="448">
        <f t="shared" si="83"/>
        <v>12.688113288560075</v>
      </c>
      <c r="AF83" s="449">
        <f t="shared" si="84"/>
        <v>1.8976440782966222</v>
      </c>
      <c r="AG83" s="449">
        <f t="shared" si="51"/>
        <v>1.0519041553501625</v>
      </c>
      <c r="AH83" s="449">
        <f t="shared" si="52"/>
        <v>2.4193795573053736</v>
      </c>
      <c r="AI83" s="448"/>
      <c r="AJ83" s="449">
        <f t="shared" si="61"/>
        <v>0.4609896616007228</v>
      </c>
      <c r="AK83" s="450">
        <f t="shared" si="53"/>
        <v>29.96432800404698</v>
      </c>
      <c r="AL83" s="449">
        <f t="shared" si="85"/>
        <v>1.2243404541601448</v>
      </c>
      <c r="AM83" s="451">
        <f>IF(ISERROR(VLOOKUP(C83,Riegos,2,FALSE)),VLOOKUP(C83,Riegos,2,FALSE),VLOOKUP($F$8,Nomen!$A$79:$B$80,2,FALSE)*IF(AND(H83&gt;120,D83&lt;0.45),0,IF(AQ82+AH83&gt;=AK83,MIN(AQ82,$AK$7),0)))</f>
        <v>0</v>
      </c>
      <c r="AN83" s="448">
        <f t="shared" si="62"/>
        <v>0</v>
      </c>
      <c r="AO83" s="448">
        <f t="shared" si="63"/>
        <v>1</v>
      </c>
      <c r="AP83" s="449">
        <f t="shared" si="64"/>
        <v>1.0519041553501625</v>
      </c>
      <c r="AQ83" s="449">
        <f t="shared" si="65"/>
        <v>1.2243404541601448</v>
      </c>
      <c r="AR83" s="449">
        <f t="shared" si="86"/>
        <v>68.977673845739105</v>
      </c>
      <c r="AS83" s="449">
        <f t="shared" si="66"/>
        <v>2.4193795573053736</v>
      </c>
      <c r="AT83" s="449">
        <f t="shared" si="67"/>
        <v>76.824340454160136</v>
      </c>
      <c r="AU83" s="453">
        <f t="shared" si="68"/>
        <v>15</v>
      </c>
      <c r="AV83" s="145">
        <f t="shared" si="69"/>
        <v>68.599999999999994</v>
      </c>
      <c r="AW83" s="178">
        <f t="shared" si="70"/>
        <v>0</v>
      </c>
      <c r="AX83" s="179">
        <f t="shared" si="71"/>
        <v>0</v>
      </c>
      <c r="AY83" s="145">
        <f t="shared" si="87"/>
        <v>0.42523336330623318</v>
      </c>
      <c r="AZ83" s="145">
        <f t="shared" si="72"/>
        <v>1.0070551034065045</v>
      </c>
      <c r="BA83" s="145">
        <f t="shared" si="73"/>
        <v>8.2926558180894325</v>
      </c>
      <c r="BB83" s="145">
        <f t="shared" si="74"/>
        <v>4.0282204136260179E-2</v>
      </c>
      <c r="BC83" s="145">
        <f t="shared" si="75"/>
        <v>0.3317062327235773</v>
      </c>
      <c r="BD83" s="145">
        <f t="shared" si="76"/>
        <v>17.580430334349597</v>
      </c>
      <c r="BE83" s="145">
        <f t="shared" si="77"/>
        <v>2.134956819221788</v>
      </c>
      <c r="BF83" s="145">
        <f t="shared" si="78"/>
        <v>2.2999999999999998</v>
      </c>
    </row>
    <row r="84" spans="1:58" s="145" customFormat="1">
      <c r="A84" s="569" t="s">
        <v>527</v>
      </c>
      <c r="B84" s="116">
        <f t="shared" si="54"/>
        <v>81</v>
      </c>
      <c r="C84" s="69">
        <f t="shared" si="79"/>
        <v>42085</v>
      </c>
      <c r="D84" s="257">
        <f>IF(ISERROR(VLOOKUP($C84,'NDVI real'!$T$8:$U$313,2,FALSE)),VLOOKUP(SWB!C84,'NDVI tipo'!$T$8:$U$193,2),VLOOKUP($C84,'NDVI real'!$T$8:$U$313,2,FALSE))</f>
        <v>0.43830171623306247</v>
      </c>
      <c r="E84" s="170">
        <f t="shared" si="44"/>
        <v>3</v>
      </c>
      <c r="F84" s="170">
        <f t="shared" si="45"/>
        <v>22</v>
      </c>
      <c r="G84" s="170">
        <f t="shared" si="46"/>
        <v>2015</v>
      </c>
      <c r="H84" s="170">
        <f t="shared" si="55"/>
        <v>81</v>
      </c>
      <c r="I84" s="190">
        <f>IF(ISERROR(VLOOKUP($C84,Clima!$U$8:$AH$900,3,FALSE)),VLOOKUP($C84,Clima!$D$8:$R$900,3),VLOOKUP($C84,Clima!$U$8:$AH$900,3,FALSE))</f>
        <v>7.7</v>
      </c>
      <c r="J84" s="191"/>
      <c r="K84" s="170"/>
      <c r="L84" s="192">
        <f>IF(ISERROR(VLOOKUP($C84,Clima!$U$8:$AH$900,14,FALSE)),VLOOKUP($C84,Clima!$D$8:$R$900,14),VLOOKUP($C84,Clima!$U$8:$AH$900,14,FALSE))</f>
        <v>1</v>
      </c>
      <c r="M84" s="190"/>
      <c r="N84" s="190"/>
      <c r="O84" s="191"/>
      <c r="P84" s="191">
        <f>IF(ISERROR(VLOOKUP($C84,Clima!$W$8:$AH$350,12,FALSE)),VLOOKUP($C84,Clima!$E$8:$P$350,12),VLOOKUP($C84,Clima!$W$8:$AH$350,12,FALSE))</f>
        <v>2.7</v>
      </c>
      <c r="Q84" s="170">
        <f t="shared" si="80"/>
        <v>38.83952652511006</v>
      </c>
      <c r="R84" s="254">
        <f>VLOOKUP(C84,Clima!$V$8:$AH$900,3,FALSE)+R83</f>
        <v>413.5</v>
      </c>
      <c r="S84" s="455">
        <f t="shared" si="56"/>
        <v>0.53115447137561</v>
      </c>
      <c r="T84" s="449">
        <f t="shared" si="57"/>
        <v>0.53115447137561</v>
      </c>
      <c r="U84" s="195"/>
      <c r="V84" s="445">
        <f t="shared" si="47"/>
        <v>1.0542368563476017</v>
      </c>
      <c r="W84" s="446">
        <f t="shared" si="58"/>
        <v>0</v>
      </c>
      <c r="X84" s="447">
        <f t="shared" si="81"/>
        <v>0.36157904231734428</v>
      </c>
      <c r="Y84" s="448">
        <f t="shared" si="59"/>
        <v>1</v>
      </c>
      <c r="Z84" s="449">
        <f t="shared" si="48"/>
        <v>0.63842095768265572</v>
      </c>
      <c r="AA84" s="449">
        <f>MAX(AF83-P84-W84,0)</f>
        <v>0</v>
      </c>
      <c r="AB84" s="451">
        <f t="shared" si="60"/>
        <v>1</v>
      </c>
      <c r="AC84" s="449">
        <f t="shared" si="49"/>
        <v>0.52308238497199167</v>
      </c>
      <c r="AD84" s="449">
        <f t="shared" si="50"/>
        <v>0.52308238497199167</v>
      </c>
      <c r="AE84" s="448">
        <f t="shared" si="83"/>
        <v>0.80235592170337799</v>
      </c>
      <c r="AF84" s="449">
        <f t="shared" si="84"/>
        <v>0.81933774052574859</v>
      </c>
      <c r="AG84" s="449">
        <f t="shared" si="51"/>
        <v>1.0542368563476017</v>
      </c>
      <c r="AH84" s="449">
        <f t="shared" si="52"/>
        <v>1.0542368563476017</v>
      </c>
      <c r="AI84" s="448"/>
      <c r="AJ84" s="449">
        <f t="shared" si="61"/>
        <v>0.4749292380560074</v>
      </c>
      <c r="AK84" s="450">
        <f t="shared" si="53"/>
        <v>30.87040047364048</v>
      </c>
      <c r="AL84" s="449">
        <f t="shared" si="85"/>
        <v>-0.4214226894922537</v>
      </c>
      <c r="AM84" s="451">
        <f>IF(ISERROR(VLOOKUP(C84,Riegos,2,FALSE)),VLOOKUP(C84,Riegos,2,FALSE),VLOOKUP($F$8,Nomen!$A$79:$B$80,2,FALSE)*IF(AND(H84&gt;120,D84&lt;0.45),0,IF(AQ83+AH84&gt;=AK84,MIN(AQ83,$AK$7),0)))</f>
        <v>0</v>
      </c>
      <c r="AN84" s="448">
        <f t="shared" si="62"/>
        <v>0.4214226894922537</v>
      </c>
      <c r="AO84" s="448">
        <f t="shared" si="63"/>
        <v>1</v>
      </c>
      <c r="AP84" s="449">
        <f t="shared" si="64"/>
        <v>1.0542368563476017</v>
      </c>
      <c r="AQ84" s="449">
        <f t="shared" si="65"/>
        <v>0</v>
      </c>
      <c r="AR84" s="449">
        <f t="shared" si="86"/>
        <v>69.977673845739105</v>
      </c>
      <c r="AS84" s="449">
        <f t="shared" si="66"/>
        <v>1.0542368563476017</v>
      </c>
      <c r="AT84" s="449">
        <f t="shared" si="67"/>
        <v>77.878577310507737</v>
      </c>
      <c r="AU84" s="453">
        <f t="shared" si="68"/>
        <v>15</v>
      </c>
      <c r="AV84" s="145">
        <f t="shared" si="69"/>
        <v>71.3</v>
      </c>
      <c r="AW84" s="178">
        <f t="shared" si="70"/>
        <v>0</v>
      </c>
      <c r="AX84" s="179">
        <f t="shared" si="71"/>
        <v>0</v>
      </c>
      <c r="AY84" s="145">
        <f t="shared" si="87"/>
        <v>0.43830171623306247</v>
      </c>
      <c r="AZ84" s="145">
        <f t="shared" si="72"/>
        <v>0.45745257434959369</v>
      </c>
      <c r="BA84" s="145">
        <f t="shared" si="73"/>
        <v>8.7501083924390262</v>
      </c>
      <c r="BB84" s="145">
        <f t="shared" si="74"/>
        <v>1.8298102973983748E-2</v>
      </c>
      <c r="BC84" s="145">
        <f t="shared" si="75"/>
        <v>0.35000433569756106</v>
      </c>
      <c r="BD84" s="145">
        <f t="shared" si="76"/>
        <v>18.550229791970736</v>
      </c>
      <c r="BE84" s="145">
        <f t="shared" si="77"/>
        <v>0.96979945762113928</v>
      </c>
      <c r="BF84" s="145">
        <f t="shared" si="78"/>
        <v>1</v>
      </c>
    </row>
    <row r="85" spans="1:58" s="145" customFormat="1">
      <c r="A85" s="569"/>
      <c r="B85" s="116">
        <f t="shared" si="54"/>
        <v>82</v>
      </c>
      <c r="C85" s="69">
        <f t="shared" si="79"/>
        <v>42086</v>
      </c>
      <c r="D85" s="257">
        <f>IF(ISERROR(VLOOKUP($C85,'NDVI real'!$T$8:$U$313,2,FALSE)),VLOOKUP(SWB!C85,'NDVI tipo'!$T$8:$U$193,2),VLOOKUP($C85,'NDVI real'!$T$8:$U$313,2,FALSE))</f>
        <v>0.45137006915989175</v>
      </c>
      <c r="E85" s="170">
        <f t="shared" si="44"/>
        <v>3</v>
      </c>
      <c r="F85" s="170">
        <f t="shared" si="45"/>
        <v>23</v>
      </c>
      <c r="G85" s="170">
        <f t="shared" si="46"/>
        <v>2015</v>
      </c>
      <c r="H85" s="170">
        <f t="shared" si="55"/>
        <v>82</v>
      </c>
      <c r="I85" s="190">
        <f>IF(ISERROR(VLOOKUP($C85,Clima!$U$8:$AH$900,3,FALSE)),VLOOKUP($C85,Clima!$D$8:$R$900,3),VLOOKUP($C85,Clima!$U$8:$AH$900,3,FALSE))</f>
        <v>7.8</v>
      </c>
      <c r="J85" s="191"/>
      <c r="K85" s="170"/>
      <c r="L85" s="192">
        <f>IF(ISERROR(VLOOKUP($C85,Clima!$U$8:$AH$900,14,FALSE)),VLOOKUP($C85,Clima!$D$8:$R$900,14),VLOOKUP($C85,Clima!$U$8:$AH$900,14,FALSE))</f>
        <v>1.3</v>
      </c>
      <c r="M85" s="190"/>
      <c r="N85" s="190"/>
      <c r="O85" s="191"/>
      <c r="P85" s="191">
        <f>IF(ISERROR(VLOOKUP($C85,Clima!$W$8:$AH$350,12,FALSE)),VLOOKUP($C85,Clima!$E$8:$P$350,12),VLOOKUP($C85,Clima!$W$8:$AH$350,12,FALSE))</f>
        <v>6.9</v>
      </c>
      <c r="Q85" s="170">
        <f t="shared" si="80"/>
        <v>39.554491294577375</v>
      </c>
      <c r="R85" s="254">
        <f>VLOOKUP(C85,Clima!$V$8:$AH$900,3,FALSE)+R84</f>
        <v>422.8</v>
      </c>
      <c r="S85" s="455">
        <f t="shared" si="56"/>
        <v>0.54997289959024409</v>
      </c>
      <c r="T85" s="449">
        <f t="shared" si="57"/>
        <v>0.71496476946731735</v>
      </c>
      <c r="U85" s="195"/>
      <c r="V85" s="445">
        <f t="shared" si="47"/>
        <v>1.0565695573450407</v>
      </c>
      <c r="W85" s="446">
        <f t="shared" si="58"/>
        <v>0</v>
      </c>
      <c r="X85" s="447">
        <f t="shared" si="81"/>
        <v>0.37713038230027118</v>
      </c>
      <c r="Y85" s="448">
        <f t="shared" si="59"/>
        <v>1</v>
      </c>
      <c r="Z85" s="449">
        <f t="shared" si="48"/>
        <v>0.62286961769972882</v>
      </c>
      <c r="AA85" s="449">
        <f t="shared" si="82"/>
        <v>0</v>
      </c>
      <c r="AB85" s="451">
        <f t="shared" si="60"/>
        <v>1</v>
      </c>
      <c r="AC85" s="449">
        <f t="shared" si="49"/>
        <v>0.50659665775479656</v>
      </c>
      <c r="AD85" s="449">
        <f t="shared" si="50"/>
        <v>0.65857565508123561</v>
      </c>
      <c r="AE85" s="448">
        <f t="shared" si="83"/>
        <v>6.0806622594742521</v>
      </c>
      <c r="AF85" s="449">
        <f t="shared" si="84"/>
        <v>1.0573250586749925</v>
      </c>
      <c r="AG85" s="449">
        <f t="shared" si="51"/>
        <v>1.0565695573450407</v>
      </c>
      <c r="AH85" s="449">
        <f t="shared" si="52"/>
        <v>1.373540424548553</v>
      </c>
      <c r="AI85" s="448"/>
      <c r="AJ85" s="449">
        <f t="shared" si="61"/>
        <v>0.48886881451129188</v>
      </c>
      <c r="AK85" s="450">
        <f t="shared" si="53"/>
        <v>31.776472943233973</v>
      </c>
      <c r="AL85" s="449">
        <f t="shared" si="85"/>
        <v>-5.5264595754514474</v>
      </c>
      <c r="AM85" s="451">
        <f>IF(ISERROR(VLOOKUP(C85,Riegos,2,FALSE)),VLOOKUP(C85,Riegos,2,FALSE),VLOOKUP($F$8,Nomen!$A$79:$B$80,2,FALSE)*IF(AND(H85&gt;120,D85&lt;0.45),0,IF(AQ84+AH85&gt;=AK85,MIN(AQ84,$AK$7),0)))</f>
        <v>0</v>
      </c>
      <c r="AN85" s="448">
        <f t="shared" si="62"/>
        <v>5.5264595754514474</v>
      </c>
      <c r="AO85" s="448">
        <f t="shared" si="63"/>
        <v>1</v>
      </c>
      <c r="AP85" s="449">
        <f t="shared" si="64"/>
        <v>1.0565695573450407</v>
      </c>
      <c r="AQ85" s="449">
        <f t="shared" si="65"/>
        <v>0</v>
      </c>
      <c r="AR85" s="449">
        <f t="shared" si="86"/>
        <v>70.977673845739105</v>
      </c>
      <c r="AS85" s="449">
        <f t="shared" si="66"/>
        <v>1.373540424548553</v>
      </c>
      <c r="AT85" s="449">
        <f t="shared" si="67"/>
        <v>79.252117735056288</v>
      </c>
      <c r="AU85" s="453">
        <f t="shared" si="68"/>
        <v>15</v>
      </c>
      <c r="AV85" s="145">
        <f t="shared" si="69"/>
        <v>78.2</v>
      </c>
      <c r="AW85" s="178">
        <f t="shared" si="70"/>
        <v>0</v>
      </c>
      <c r="AX85" s="179">
        <f t="shared" si="71"/>
        <v>0</v>
      </c>
      <c r="AY85" s="145">
        <f t="shared" si="87"/>
        <v>0.45137006915989175</v>
      </c>
      <c r="AZ85" s="145">
        <f t="shared" si="72"/>
        <v>0.62017163486178883</v>
      </c>
      <c r="BA85" s="145">
        <f t="shared" si="73"/>
        <v>9.3702800273008151</v>
      </c>
      <c r="BB85" s="145">
        <f t="shared" si="74"/>
        <v>2.4806865394471554E-2</v>
      </c>
      <c r="BC85" s="145">
        <f t="shared" si="75"/>
        <v>0.37481120109203264</v>
      </c>
      <c r="BD85" s="145">
        <f t="shared" si="76"/>
        <v>19.864993657877729</v>
      </c>
      <c r="BE85" s="145">
        <f t="shared" si="77"/>
        <v>1.3147638659069933</v>
      </c>
      <c r="BF85" s="145">
        <f t="shared" si="78"/>
        <v>1.3</v>
      </c>
    </row>
    <row r="86" spans="1:58" s="145" customFormat="1">
      <c r="A86" s="569"/>
      <c r="B86" s="116">
        <f t="shared" si="54"/>
        <v>83</v>
      </c>
      <c r="C86" s="69">
        <f t="shared" si="79"/>
        <v>42087</v>
      </c>
      <c r="D86" s="257">
        <f>IF(ISERROR(VLOOKUP($C86,'NDVI real'!$T$8:$U$313,2,FALSE)),VLOOKUP(SWB!C86,'NDVI tipo'!$T$8:$U$193,2),VLOOKUP($C86,'NDVI real'!$T$8:$U$313,2,FALSE))</f>
        <v>0.46443842208672104</v>
      </c>
      <c r="E86" s="170">
        <f t="shared" si="44"/>
        <v>3</v>
      </c>
      <c r="F86" s="170">
        <f t="shared" si="45"/>
        <v>24</v>
      </c>
      <c r="G86" s="170">
        <f t="shared" si="46"/>
        <v>2015</v>
      </c>
      <c r="H86" s="170">
        <f t="shared" si="55"/>
        <v>83</v>
      </c>
      <c r="I86" s="190">
        <f>IF(ISERROR(VLOOKUP($C86,Clima!$U$8:$AH$900,3,FALSE)),VLOOKUP($C86,Clima!$D$8:$R$900,3),VLOOKUP($C86,Clima!$U$8:$AH$900,3,FALSE))</f>
        <v>7.7</v>
      </c>
      <c r="J86" s="191"/>
      <c r="K86" s="170"/>
      <c r="L86" s="192">
        <f>IF(ISERROR(VLOOKUP($C86,Clima!$U$8:$AH$900,14,FALSE)),VLOOKUP($C86,Clima!$D$8:$R$900,14),VLOOKUP($C86,Clima!$U$8:$AH$900,14,FALSE))</f>
        <v>2.9</v>
      </c>
      <c r="M86" s="190"/>
      <c r="N86" s="190"/>
      <c r="O86" s="191"/>
      <c r="P86" s="191">
        <f>IF(ISERROR(VLOOKUP($C86,Clima!$W$8:$AH$350,12,FALSE)),VLOOKUP($C86,Clima!$E$8:$P$350,12),VLOOKUP($C86,Clima!$W$8:$AH$350,12,FALSE))</f>
        <v>8</v>
      </c>
      <c r="Q86" s="170">
        <f t="shared" si="80"/>
        <v>41.203986145211523</v>
      </c>
      <c r="R86" s="254">
        <f>VLOOKUP(C86,Clima!$V$8:$AH$900,3,FALSE)+R85</f>
        <v>431</v>
      </c>
      <c r="S86" s="455">
        <f t="shared" si="56"/>
        <v>0.56879132780487829</v>
      </c>
      <c r="T86" s="449">
        <f t="shared" si="57"/>
        <v>1.6494948506341469</v>
      </c>
      <c r="U86" s="195"/>
      <c r="V86" s="445">
        <f t="shared" si="47"/>
        <v>1.0589022583424796</v>
      </c>
      <c r="W86" s="446">
        <f t="shared" si="58"/>
        <v>0</v>
      </c>
      <c r="X86" s="447">
        <f t="shared" si="81"/>
        <v>0.39268172228319798</v>
      </c>
      <c r="Y86" s="448">
        <f t="shared" si="59"/>
        <v>1</v>
      </c>
      <c r="Z86" s="449">
        <f t="shared" si="48"/>
        <v>0.60731827771680202</v>
      </c>
      <c r="AA86" s="449">
        <f t="shared" si="82"/>
        <v>0</v>
      </c>
      <c r="AB86" s="451">
        <f t="shared" si="60"/>
        <v>1</v>
      </c>
      <c r="AC86" s="449">
        <f t="shared" si="49"/>
        <v>0.49011093053760135</v>
      </c>
      <c r="AD86" s="449">
        <f t="shared" si="50"/>
        <v>1.4213216985590438</v>
      </c>
      <c r="AE86" s="448">
        <f t="shared" si="83"/>
        <v>6.9426749413250075</v>
      </c>
      <c r="AF86" s="449">
        <f t="shared" si="84"/>
        <v>2.3403242594681446</v>
      </c>
      <c r="AG86" s="449">
        <f t="shared" si="51"/>
        <v>1.0589022583424796</v>
      </c>
      <c r="AH86" s="449">
        <f t="shared" si="52"/>
        <v>3.0708165491931907</v>
      </c>
      <c r="AI86" s="448"/>
      <c r="AJ86" s="449">
        <f t="shared" si="61"/>
        <v>0.50280839096657659</v>
      </c>
      <c r="AK86" s="450">
        <f t="shared" si="53"/>
        <v>32.68254541282748</v>
      </c>
      <c r="AL86" s="449">
        <f t="shared" si="85"/>
        <v>-4.9291834508068089</v>
      </c>
      <c r="AM86" s="451">
        <f>IF(ISERROR(VLOOKUP(C86,Riegos,2,FALSE)),VLOOKUP(C86,Riegos,2,FALSE),VLOOKUP($F$8,Nomen!$A$79:$B$80,2,FALSE)*IF(AND(H86&gt;120,D86&lt;0.45),0,IF(AQ85+AH86&gt;=AK86,MIN(AQ85,$AK$7),0)))</f>
        <v>0</v>
      </c>
      <c r="AN86" s="448">
        <f t="shared" si="62"/>
        <v>4.9291834508068089</v>
      </c>
      <c r="AO86" s="448">
        <f t="shared" si="63"/>
        <v>1</v>
      </c>
      <c r="AP86" s="449">
        <f t="shared" si="64"/>
        <v>1.0589022583424796</v>
      </c>
      <c r="AQ86" s="449">
        <f t="shared" si="65"/>
        <v>0</v>
      </c>
      <c r="AR86" s="449">
        <f t="shared" si="86"/>
        <v>71.977673845739105</v>
      </c>
      <c r="AS86" s="449">
        <f t="shared" si="66"/>
        <v>3.0708165491931907</v>
      </c>
      <c r="AT86" s="449">
        <f t="shared" si="67"/>
        <v>82.322934284249484</v>
      </c>
      <c r="AU86" s="453">
        <f t="shared" si="68"/>
        <v>15</v>
      </c>
      <c r="AV86" s="145">
        <f t="shared" si="69"/>
        <v>86.2</v>
      </c>
      <c r="AW86" s="178">
        <f t="shared" si="70"/>
        <v>0</v>
      </c>
      <c r="AX86" s="179">
        <f t="shared" si="71"/>
        <v>0</v>
      </c>
      <c r="AY86" s="145">
        <f t="shared" si="87"/>
        <v>0.46443842208672104</v>
      </c>
      <c r="AZ86" s="145">
        <f t="shared" si="72"/>
        <v>1.4403071360772364</v>
      </c>
      <c r="BA86" s="145">
        <f t="shared" si="73"/>
        <v>10.810587163378052</v>
      </c>
      <c r="BB86" s="145">
        <f t="shared" si="74"/>
        <v>5.7612285443089453E-2</v>
      </c>
      <c r="BC86" s="145">
        <f t="shared" si="75"/>
        <v>0.43242348653512208</v>
      </c>
      <c r="BD86" s="145">
        <f t="shared" si="76"/>
        <v>22.918444786361469</v>
      </c>
      <c r="BE86" s="145">
        <f t="shared" si="77"/>
        <v>3.05345112848374</v>
      </c>
      <c r="BF86" s="145">
        <f t="shared" si="78"/>
        <v>2.9</v>
      </c>
    </row>
    <row r="87" spans="1:58" s="145" customFormat="1">
      <c r="A87" s="569"/>
      <c r="B87" s="116">
        <f t="shared" si="54"/>
        <v>84</v>
      </c>
      <c r="C87" s="69">
        <f t="shared" si="79"/>
        <v>42088</v>
      </c>
      <c r="D87" s="257">
        <f>IF(ISERROR(VLOOKUP($C87,'NDVI real'!$T$8:$U$313,2,FALSE)),VLOOKUP(SWB!C87,'NDVI tipo'!$T$8:$U$193,2),VLOOKUP($C87,'NDVI real'!$T$8:$U$313,2,FALSE))</f>
        <v>0.47750677501355032</v>
      </c>
      <c r="E87" s="170">
        <f t="shared" si="44"/>
        <v>3</v>
      </c>
      <c r="F87" s="170">
        <f t="shared" si="45"/>
        <v>25</v>
      </c>
      <c r="G87" s="170">
        <f t="shared" si="46"/>
        <v>2015</v>
      </c>
      <c r="H87" s="170">
        <f t="shared" si="55"/>
        <v>84</v>
      </c>
      <c r="I87" s="190">
        <f>IF(ISERROR(VLOOKUP($C87,Clima!$U$8:$AH$900,3,FALSE)),VLOOKUP($C87,Clima!$D$8:$R$900,3),VLOOKUP($C87,Clima!$U$8:$AH$900,3,FALSE))</f>
        <v>6.9</v>
      </c>
      <c r="J87" s="191"/>
      <c r="K87" s="170"/>
      <c r="L87" s="192">
        <f>IF(ISERROR(VLOOKUP($C87,Clima!$U$8:$AH$900,14,FALSE)),VLOOKUP($C87,Clima!$D$8:$R$900,14),VLOOKUP($C87,Clima!$U$8:$AH$900,14,FALSE))</f>
        <v>3.2</v>
      </c>
      <c r="M87" s="190"/>
      <c r="N87" s="190"/>
      <c r="O87" s="191"/>
      <c r="P87" s="191">
        <f>IF(ISERROR(VLOOKUP($C87,Clima!$W$8:$AH$350,12,FALSE)),VLOOKUP($C87,Clima!$E$8:$P$350,12),VLOOKUP($C87,Clima!$W$8:$AH$350,12,FALSE))</f>
        <v>2.4</v>
      </c>
      <c r="Q87" s="170">
        <f t="shared" si="80"/>
        <v>43.08433736447396</v>
      </c>
      <c r="R87" s="254">
        <f>VLOOKUP(C87,Clima!$V$8:$AH$900,3,FALSE)+R86</f>
        <v>436.3</v>
      </c>
      <c r="S87" s="455">
        <f t="shared" si="56"/>
        <v>0.58760975601951249</v>
      </c>
      <c r="T87" s="449">
        <f t="shared" si="57"/>
        <v>1.8803512192624401</v>
      </c>
      <c r="U87" s="195"/>
      <c r="V87" s="445">
        <f t="shared" si="47"/>
        <v>1.0612349593399186</v>
      </c>
      <c r="W87" s="446">
        <f t="shared" si="58"/>
        <v>0</v>
      </c>
      <c r="X87" s="447">
        <f t="shared" si="81"/>
        <v>0.40823306226612488</v>
      </c>
      <c r="Y87" s="448">
        <f t="shared" si="59"/>
        <v>1</v>
      </c>
      <c r="Z87" s="449">
        <f t="shared" si="48"/>
        <v>0.59176693773387512</v>
      </c>
      <c r="AA87" s="449">
        <f t="shared" si="82"/>
        <v>0</v>
      </c>
      <c r="AB87" s="451">
        <f t="shared" si="60"/>
        <v>1</v>
      </c>
      <c r="AC87" s="449">
        <f t="shared" si="49"/>
        <v>0.47362520332040614</v>
      </c>
      <c r="AD87" s="449">
        <f t="shared" si="50"/>
        <v>1.5156006506252997</v>
      </c>
      <c r="AE87" s="448">
        <f t="shared" si="83"/>
        <v>5.9675740531855315E-2</v>
      </c>
      <c r="AF87" s="449">
        <f t="shared" si="84"/>
        <v>2.5611445215732616</v>
      </c>
      <c r="AG87" s="449">
        <f t="shared" si="51"/>
        <v>1.0612349593399186</v>
      </c>
      <c r="AH87" s="449">
        <f t="shared" si="52"/>
        <v>3.3959518698877398</v>
      </c>
      <c r="AI87" s="448"/>
      <c r="AJ87" s="449">
        <f t="shared" si="61"/>
        <v>0.51674796742186113</v>
      </c>
      <c r="AK87" s="450">
        <f t="shared" si="53"/>
        <v>33.588617882420976</v>
      </c>
      <c r="AL87" s="449">
        <f t="shared" si="85"/>
        <v>0.99595186988773987</v>
      </c>
      <c r="AM87" s="451">
        <f>IF(ISERROR(VLOOKUP(C87,Riegos,2,FALSE)),VLOOKUP(C87,Riegos,2,FALSE),VLOOKUP($F$8,Nomen!$A$79:$B$80,2,FALSE)*IF(AND(H87&gt;120,D87&lt;0.45),0,IF(AQ86+AH87&gt;=AK87,MIN(AQ86,$AK$7),0)))</f>
        <v>0</v>
      </c>
      <c r="AN87" s="448">
        <f t="shared" si="62"/>
        <v>0</v>
      </c>
      <c r="AO87" s="448">
        <f t="shared" si="63"/>
        <v>1</v>
      </c>
      <c r="AP87" s="449">
        <f t="shared" si="64"/>
        <v>1.0612349593399186</v>
      </c>
      <c r="AQ87" s="449">
        <f t="shared" si="65"/>
        <v>0.99595186988773987</v>
      </c>
      <c r="AR87" s="449">
        <f t="shared" si="86"/>
        <v>72.977673845739105</v>
      </c>
      <c r="AS87" s="449">
        <f t="shared" si="66"/>
        <v>3.3959518698877398</v>
      </c>
      <c r="AT87" s="449">
        <f t="shared" si="67"/>
        <v>85.718886154137223</v>
      </c>
      <c r="AU87" s="453">
        <f t="shared" si="68"/>
        <v>15</v>
      </c>
      <c r="AV87" s="145">
        <f t="shared" si="69"/>
        <v>88.600000000000009</v>
      </c>
      <c r="AW87" s="178">
        <f t="shared" si="70"/>
        <v>0</v>
      </c>
      <c r="AX87" s="179">
        <f t="shared" si="71"/>
        <v>0</v>
      </c>
      <c r="AY87" s="145">
        <f t="shared" si="87"/>
        <v>0.47750677501355032</v>
      </c>
      <c r="AZ87" s="145">
        <f t="shared" si="72"/>
        <v>1.6520325200650419</v>
      </c>
      <c r="BA87" s="145">
        <f t="shared" si="73"/>
        <v>12.462619683443094</v>
      </c>
      <c r="BB87" s="145">
        <f t="shared" si="74"/>
        <v>6.6081300802601675E-2</v>
      </c>
      <c r="BC87" s="145">
        <f t="shared" si="75"/>
        <v>0.49850478733772374</v>
      </c>
      <c r="BD87" s="145">
        <f t="shared" si="76"/>
        <v>26.42075372889936</v>
      </c>
      <c r="BE87" s="145">
        <f t="shared" si="77"/>
        <v>3.5023089425378906</v>
      </c>
      <c r="BF87" s="145">
        <f t="shared" si="78"/>
        <v>3.2</v>
      </c>
    </row>
    <row r="88" spans="1:58" s="145" customFormat="1">
      <c r="A88" s="569"/>
      <c r="B88" s="116">
        <f t="shared" si="54"/>
        <v>85</v>
      </c>
      <c r="C88" s="69">
        <f t="shared" si="79"/>
        <v>42089</v>
      </c>
      <c r="D88" s="257">
        <f>IF(ISERROR(VLOOKUP($C88,'NDVI real'!$T$8:$U$313,2,FALSE)),VLOOKUP(SWB!C88,'NDVI tipo'!$T$8:$U$193,2),VLOOKUP($C88,'NDVI real'!$T$8:$U$313,2,FALSE))</f>
        <v>0.49057512794037961</v>
      </c>
      <c r="E88" s="170">
        <f t="shared" si="44"/>
        <v>3</v>
      </c>
      <c r="F88" s="170">
        <f t="shared" si="45"/>
        <v>26</v>
      </c>
      <c r="G88" s="170">
        <f t="shared" si="46"/>
        <v>2015</v>
      </c>
      <c r="H88" s="170">
        <f t="shared" si="55"/>
        <v>85</v>
      </c>
      <c r="I88" s="190">
        <f>IF(ISERROR(VLOOKUP($C88,Clima!$U$8:$AH$900,3,FALSE)),VLOOKUP($C88,Clima!$D$8:$R$900,3),VLOOKUP($C88,Clima!$U$8:$AH$900,3,FALSE))</f>
        <v>10.3</v>
      </c>
      <c r="J88" s="191"/>
      <c r="K88" s="170"/>
      <c r="L88" s="192">
        <f>IF(ISERROR(VLOOKUP($C88,Clima!$U$8:$AH$900,14,FALSE)),VLOOKUP($C88,Clima!$D$8:$R$900,14),VLOOKUP($C88,Clima!$U$8:$AH$900,14,FALSE))</f>
        <v>3.9</v>
      </c>
      <c r="M88" s="190"/>
      <c r="N88" s="190"/>
      <c r="O88" s="191"/>
      <c r="P88" s="191">
        <f>IF(ISERROR(VLOOKUP($C88,Clima!$W$8:$AH$350,12,FALSE)),VLOOKUP($C88,Clima!$E$8:$P$350,12),VLOOKUP($C88,Clima!$W$8:$AH$350,12,FALSE))</f>
        <v>0</v>
      </c>
      <c r="Q88" s="170">
        <f t="shared" si="80"/>
        <v>45.449407282987131</v>
      </c>
      <c r="R88" s="254">
        <f>VLOOKUP(C88,Clima!$V$8:$AH$900,3,FALSE)+R87</f>
        <v>442.8</v>
      </c>
      <c r="S88" s="455">
        <f t="shared" si="56"/>
        <v>0.60642818423414668</v>
      </c>
      <c r="T88" s="449">
        <f t="shared" si="57"/>
        <v>2.3650699185131718</v>
      </c>
      <c r="U88" s="195"/>
      <c r="V88" s="445">
        <f t="shared" si="47"/>
        <v>1.0635676603373576</v>
      </c>
      <c r="W88" s="446">
        <f t="shared" si="58"/>
        <v>0</v>
      </c>
      <c r="X88" s="447">
        <f t="shared" si="81"/>
        <v>0.42378440224905167</v>
      </c>
      <c r="Y88" s="448">
        <f t="shared" si="59"/>
        <v>1</v>
      </c>
      <c r="Z88" s="449">
        <f t="shared" si="48"/>
        <v>0.57621559775094833</v>
      </c>
      <c r="AA88" s="449">
        <f t="shared" si="82"/>
        <v>2.5611445215732616</v>
      </c>
      <c r="AB88" s="451">
        <f t="shared" si="60"/>
        <v>1</v>
      </c>
      <c r="AC88" s="449">
        <f t="shared" si="49"/>
        <v>0.45713947610321093</v>
      </c>
      <c r="AD88" s="449">
        <f t="shared" si="50"/>
        <v>1.7828439568025225</v>
      </c>
      <c r="AE88" s="448">
        <f t="shared" si="83"/>
        <v>0</v>
      </c>
      <c r="AF88" s="449">
        <f t="shared" si="84"/>
        <v>5.6552016136777041</v>
      </c>
      <c r="AG88" s="449">
        <f t="shared" si="51"/>
        <v>1.0635676603373576</v>
      </c>
      <c r="AH88" s="449">
        <f t="shared" si="52"/>
        <v>4.1479138753156946</v>
      </c>
      <c r="AI88" s="448"/>
      <c r="AJ88" s="449">
        <f t="shared" si="61"/>
        <v>0.53068754387714567</v>
      </c>
      <c r="AK88" s="450">
        <f t="shared" si="53"/>
        <v>34.494690352014466</v>
      </c>
      <c r="AL88" s="449">
        <f t="shared" si="85"/>
        <v>5.1438657452034349</v>
      </c>
      <c r="AM88" s="451">
        <f>IF(ISERROR(VLOOKUP(C88,Riegos,2,FALSE)),VLOOKUP(C88,Riegos,2,FALSE),VLOOKUP($F$8,Nomen!$A$79:$B$80,2,FALSE)*IF(AND(H88&gt;120,D88&lt;0.45),0,IF(AQ87+AH88&gt;=AK88,MIN(AQ87,$AK$7),0)))</f>
        <v>0</v>
      </c>
      <c r="AN88" s="448">
        <f t="shared" si="62"/>
        <v>0</v>
      </c>
      <c r="AO88" s="448">
        <f t="shared" si="63"/>
        <v>1</v>
      </c>
      <c r="AP88" s="449">
        <f t="shared" si="64"/>
        <v>1.0635676603373576</v>
      </c>
      <c r="AQ88" s="449">
        <f t="shared" si="65"/>
        <v>5.1438657452034349</v>
      </c>
      <c r="AR88" s="449">
        <f t="shared" si="86"/>
        <v>73.977673845739105</v>
      </c>
      <c r="AS88" s="449">
        <f t="shared" si="66"/>
        <v>4.1479138753156946</v>
      </c>
      <c r="AT88" s="449">
        <f t="shared" si="67"/>
        <v>89.866800029452918</v>
      </c>
      <c r="AU88" s="453">
        <f t="shared" si="68"/>
        <v>15</v>
      </c>
      <c r="AV88" s="145">
        <f t="shared" si="69"/>
        <v>88.600000000000009</v>
      </c>
      <c r="AW88" s="178">
        <f t="shared" si="70"/>
        <v>0</v>
      </c>
      <c r="AX88" s="179">
        <f t="shared" si="71"/>
        <v>0</v>
      </c>
      <c r="AY88" s="145">
        <f t="shared" si="87"/>
        <v>0.49057512794037961</v>
      </c>
      <c r="AZ88" s="145">
        <f t="shared" si="72"/>
        <v>2.0898644984512202</v>
      </c>
      <c r="BA88" s="145">
        <f t="shared" si="73"/>
        <v>14.552484181894314</v>
      </c>
      <c r="BB88" s="145">
        <f t="shared" si="74"/>
        <v>8.3594579938048807E-2</v>
      </c>
      <c r="BC88" s="145">
        <f t="shared" si="75"/>
        <v>0.58209936727577261</v>
      </c>
      <c r="BD88" s="145">
        <f t="shared" si="76"/>
        <v>30.851266465615947</v>
      </c>
      <c r="BE88" s="145">
        <f t="shared" si="77"/>
        <v>4.4305127367165866</v>
      </c>
      <c r="BF88" s="145">
        <f t="shared" si="78"/>
        <v>3.9</v>
      </c>
    </row>
    <row r="89" spans="1:58" s="145" customFormat="1">
      <c r="A89" s="569"/>
      <c r="B89" s="116">
        <f t="shared" si="54"/>
        <v>86</v>
      </c>
      <c r="C89" s="69">
        <f t="shared" si="79"/>
        <v>42090</v>
      </c>
      <c r="D89" s="257">
        <f>IF(ISERROR(VLOOKUP($C89,'NDVI real'!$T$8:$U$313,2,FALSE)),VLOOKUP(SWB!C89,'NDVI tipo'!$T$8:$U$193,2),VLOOKUP($C89,'NDVI real'!$T$8:$U$313,2,FALSE))</f>
        <v>0.50364348086720889</v>
      </c>
      <c r="E89" s="170">
        <f t="shared" si="44"/>
        <v>3</v>
      </c>
      <c r="F89" s="170">
        <f t="shared" si="45"/>
        <v>27</v>
      </c>
      <c r="G89" s="170">
        <f t="shared" si="46"/>
        <v>2015</v>
      </c>
      <c r="H89" s="170">
        <f t="shared" si="55"/>
        <v>86</v>
      </c>
      <c r="I89" s="190">
        <f>IF(ISERROR(VLOOKUP($C89,Clima!$U$8:$AH$900,3,FALSE)),VLOOKUP($C89,Clima!$D$8:$R$900,3),VLOOKUP($C89,Clima!$U$8:$AH$900,3,FALSE))</f>
        <v>10.8</v>
      </c>
      <c r="J89" s="191"/>
      <c r="K89" s="170"/>
      <c r="L89" s="192">
        <f>IF(ISERROR(VLOOKUP($C89,Clima!$U$8:$AH$900,14,FALSE)),VLOOKUP($C89,Clima!$D$8:$R$900,14),VLOOKUP($C89,Clima!$U$8:$AH$900,14,FALSE))</f>
        <v>3.5</v>
      </c>
      <c r="M89" s="190"/>
      <c r="N89" s="190"/>
      <c r="O89" s="191"/>
      <c r="P89" s="191">
        <f>IF(ISERROR(VLOOKUP($C89,Clima!$W$8:$AH$350,12,FALSE)),VLOOKUP($C89,Clima!$E$8:$P$350,12),VLOOKUP($C89,Clima!$W$8:$AH$350,12,FALSE))</f>
        <v>0</v>
      </c>
      <c r="Q89" s="170">
        <f t="shared" si="80"/>
        <v>47.637770426557864</v>
      </c>
      <c r="R89" s="254">
        <f>VLOOKUP(C89,Clima!$V$8:$AH$900,3,FALSE)+R88</f>
        <v>455.5</v>
      </c>
      <c r="S89" s="455">
        <f t="shared" si="56"/>
        <v>0.62524661244878077</v>
      </c>
      <c r="T89" s="449">
        <f t="shared" si="57"/>
        <v>2.1883631435707329</v>
      </c>
      <c r="U89" s="195"/>
      <c r="V89" s="445">
        <f t="shared" si="47"/>
        <v>1.0659003613347968</v>
      </c>
      <c r="W89" s="446">
        <f t="shared" si="58"/>
        <v>0</v>
      </c>
      <c r="X89" s="447">
        <f t="shared" si="81"/>
        <v>0.43933574223197858</v>
      </c>
      <c r="Y89" s="448">
        <f t="shared" si="59"/>
        <v>1</v>
      </c>
      <c r="Z89" s="449">
        <f t="shared" si="48"/>
        <v>0.56066425776802142</v>
      </c>
      <c r="AA89" s="449">
        <f t="shared" si="82"/>
        <v>5.6552016136777041</v>
      </c>
      <c r="AB89" s="451">
        <f t="shared" si="60"/>
        <v>8.7929939487086092E-2</v>
      </c>
      <c r="AC89" s="449">
        <f t="shared" si="49"/>
        <v>3.8746657474305023E-2</v>
      </c>
      <c r="AD89" s="449">
        <f t="shared" si="50"/>
        <v>0.13561330116006759</v>
      </c>
      <c r="AE89" s="448">
        <f t="shared" si="83"/>
        <v>0</v>
      </c>
      <c r="AF89" s="449">
        <f t="shared" si="84"/>
        <v>5.8970813113419318</v>
      </c>
      <c r="AG89" s="449">
        <f t="shared" si="51"/>
        <v>0.66399326992308583</v>
      </c>
      <c r="AH89" s="449">
        <f t="shared" si="52"/>
        <v>2.3239764447308002</v>
      </c>
      <c r="AI89" s="448"/>
      <c r="AJ89" s="449">
        <f t="shared" si="61"/>
        <v>0.54462712033243021</v>
      </c>
      <c r="AK89" s="450">
        <f t="shared" si="53"/>
        <v>35.400762821607969</v>
      </c>
      <c r="AL89" s="449">
        <f t="shared" si="85"/>
        <v>7.4678421899342347</v>
      </c>
      <c r="AM89" s="451">
        <f>IF(ISERROR(VLOOKUP(C89,Riegos,2,FALSE)),VLOOKUP(C89,Riegos,2,FALSE),VLOOKUP($F$8,Nomen!$A$79:$B$80,2,FALSE)*IF(AND(H89&gt;120,D89&lt;0.45),0,IF(AQ88+AH89&gt;=AK89,MIN(AQ88,$AK$7),0)))</f>
        <v>0</v>
      </c>
      <c r="AN89" s="448">
        <f t="shared" si="62"/>
        <v>0</v>
      </c>
      <c r="AO89" s="448">
        <f t="shared" si="63"/>
        <v>1</v>
      </c>
      <c r="AP89" s="449">
        <f t="shared" si="64"/>
        <v>0.66399326992308583</v>
      </c>
      <c r="AQ89" s="449">
        <f t="shared" si="65"/>
        <v>7.4678421899342347</v>
      </c>
      <c r="AR89" s="449">
        <f t="shared" si="86"/>
        <v>74.977673845739105</v>
      </c>
      <c r="AS89" s="449">
        <f t="shared" si="66"/>
        <v>2.3239764447308002</v>
      </c>
      <c r="AT89" s="449">
        <f t="shared" si="67"/>
        <v>92.190776474183721</v>
      </c>
      <c r="AU89" s="453">
        <f t="shared" si="68"/>
        <v>15</v>
      </c>
      <c r="AV89" s="145">
        <f t="shared" si="69"/>
        <v>88.600000000000009</v>
      </c>
      <c r="AW89" s="178">
        <f t="shared" si="70"/>
        <v>0</v>
      </c>
      <c r="AX89" s="179">
        <f t="shared" si="71"/>
        <v>0</v>
      </c>
      <c r="AY89" s="145">
        <f t="shared" si="87"/>
        <v>0.50364348086720889</v>
      </c>
      <c r="AZ89" s="145">
        <f t="shared" si="72"/>
        <v>1.9441282745528468</v>
      </c>
      <c r="BA89" s="145">
        <f t="shared" si="73"/>
        <v>16.49661245644716</v>
      </c>
      <c r="BB89" s="145">
        <f t="shared" si="74"/>
        <v>7.7765130982113864E-2</v>
      </c>
      <c r="BC89" s="145">
        <f t="shared" si="75"/>
        <v>0.65986449825788651</v>
      </c>
      <c r="BD89" s="145">
        <f t="shared" si="76"/>
        <v>34.972818407667987</v>
      </c>
      <c r="BE89" s="145">
        <f t="shared" si="77"/>
        <v>4.1215519420520401</v>
      </c>
      <c r="BF89" s="145">
        <f t="shared" si="78"/>
        <v>3.5</v>
      </c>
    </row>
    <row r="90" spans="1:58" s="145" customFormat="1">
      <c r="A90" s="569"/>
      <c r="B90" s="116">
        <f t="shared" si="54"/>
        <v>87</v>
      </c>
      <c r="C90" s="69">
        <f t="shared" si="79"/>
        <v>42091</v>
      </c>
      <c r="D90" s="257">
        <f>IF(ISERROR(VLOOKUP($C90,'NDVI real'!$T$8:$U$313,2,FALSE)),VLOOKUP(SWB!C90,'NDVI tipo'!$T$8:$U$193,2),VLOOKUP($C90,'NDVI real'!$T$8:$U$313,2,FALSE))</f>
        <v>0.51671183379403818</v>
      </c>
      <c r="E90" s="170">
        <f t="shared" si="44"/>
        <v>3</v>
      </c>
      <c r="F90" s="170">
        <f t="shared" si="45"/>
        <v>28</v>
      </c>
      <c r="G90" s="170">
        <f t="shared" si="46"/>
        <v>2015</v>
      </c>
      <c r="H90" s="170">
        <f t="shared" si="55"/>
        <v>87</v>
      </c>
      <c r="I90" s="190">
        <f>IF(ISERROR(VLOOKUP($C90,Clima!$U$8:$AH$900,3,FALSE)),VLOOKUP($C90,Clima!$D$8:$R$900,3),VLOOKUP($C90,Clima!$U$8:$AH$900,3,FALSE))</f>
        <v>11.1</v>
      </c>
      <c r="J90" s="191"/>
      <c r="K90" s="170"/>
      <c r="L90" s="192">
        <f>IF(ISERROR(VLOOKUP($C90,Clima!$U$8:$AH$900,14,FALSE)),VLOOKUP($C90,Clima!$D$8:$R$900,14),VLOOKUP($C90,Clima!$U$8:$AH$900,14,FALSE))</f>
        <v>3.8</v>
      </c>
      <c r="M90" s="190"/>
      <c r="N90" s="190"/>
      <c r="O90" s="191"/>
      <c r="P90" s="191">
        <f>IF(ISERROR(VLOOKUP($C90,Clima!$W$8:$AH$350,12,FALSE)),VLOOKUP($C90,Clima!$E$8:$P$350,12),VLOOKUP($C90,Clima!$W$8:$AH$350,12,FALSE))</f>
        <v>0</v>
      </c>
      <c r="Q90" s="170">
        <f t="shared" si="80"/>
        <v>50.085217581078844</v>
      </c>
      <c r="R90" s="254">
        <f>VLOOKUP(C90,Clima!$V$8:$AH$900,3,FALSE)+R89</f>
        <v>469.1</v>
      </c>
      <c r="S90" s="455">
        <f t="shared" si="56"/>
        <v>0.64406504066341497</v>
      </c>
      <c r="T90" s="449">
        <f t="shared" si="57"/>
        <v>2.4474471545209768</v>
      </c>
      <c r="U90" s="195"/>
      <c r="V90" s="445">
        <f t="shared" si="47"/>
        <v>1.0682330623322358</v>
      </c>
      <c r="W90" s="446">
        <f t="shared" si="58"/>
        <v>0</v>
      </c>
      <c r="X90" s="447">
        <f t="shared" si="81"/>
        <v>0.45488708221490537</v>
      </c>
      <c r="Y90" s="448">
        <f t="shared" si="59"/>
        <v>1</v>
      </c>
      <c r="Z90" s="449">
        <f t="shared" si="48"/>
        <v>0.54511291778509463</v>
      </c>
      <c r="AA90" s="449">
        <f t="shared" si="82"/>
        <v>5.8970813113419318</v>
      </c>
      <c r="AB90" s="451">
        <f t="shared" si="60"/>
        <v>7.885945082467756E-2</v>
      </c>
      <c r="AC90" s="449">
        <f t="shared" si="49"/>
        <v>3.3449657246193143E-2</v>
      </c>
      <c r="AD90" s="449">
        <f t="shared" si="50"/>
        <v>0.12710869753553394</v>
      </c>
      <c r="AE90" s="448">
        <f t="shared" si="83"/>
        <v>0</v>
      </c>
      <c r="AF90" s="449">
        <f t="shared" si="84"/>
        <v>6.1302599673385689</v>
      </c>
      <c r="AG90" s="449">
        <f t="shared" si="51"/>
        <v>0.67751469790960805</v>
      </c>
      <c r="AH90" s="449">
        <f t="shared" si="52"/>
        <v>2.5745558520565104</v>
      </c>
      <c r="AI90" s="448"/>
      <c r="AJ90" s="449">
        <f t="shared" si="61"/>
        <v>0.55856669678771476</v>
      </c>
      <c r="AK90" s="450">
        <f t="shared" si="53"/>
        <v>36.306835291201459</v>
      </c>
      <c r="AL90" s="449">
        <f t="shared" si="85"/>
        <v>10.042398041990745</v>
      </c>
      <c r="AM90" s="451">
        <f>IF(ISERROR(VLOOKUP(C90,Riegos,2,FALSE)),VLOOKUP(C90,Riegos,2,FALSE),VLOOKUP($F$8,Nomen!$A$79:$B$80,2,FALSE)*IF(AND(H90&gt;120,D90&lt;0.45),0,IF(AQ89+AH90&gt;=AK90,MIN(AQ89,$AK$7),0)))</f>
        <v>0</v>
      </c>
      <c r="AN90" s="448">
        <f t="shared" si="62"/>
        <v>0</v>
      </c>
      <c r="AO90" s="448">
        <f t="shared" si="63"/>
        <v>1</v>
      </c>
      <c r="AP90" s="449">
        <f t="shared" si="64"/>
        <v>0.67751469790960805</v>
      </c>
      <c r="AQ90" s="449">
        <f t="shared" si="65"/>
        <v>10.042398041990745</v>
      </c>
      <c r="AR90" s="449">
        <f t="shared" si="86"/>
        <v>75.977673845739105</v>
      </c>
      <c r="AS90" s="449">
        <f t="shared" si="66"/>
        <v>2.5745558520565104</v>
      </c>
      <c r="AT90" s="449">
        <f t="shared" si="67"/>
        <v>94.765332326240227</v>
      </c>
      <c r="AU90" s="453">
        <f t="shared" si="68"/>
        <v>15</v>
      </c>
      <c r="AV90" s="145">
        <f t="shared" si="69"/>
        <v>88.600000000000009</v>
      </c>
      <c r="AW90" s="178">
        <f t="shared" si="70"/>
        <v>0</v>
      </c>
      <c r="AX90" s="179">
        <f t="shared" si="71"/>
        <v>0</v>
      </c>
      <c r="AY90" s="145">
        <f t="shared" si="87"/>
        <v>0.51671183379403818</v>
      </c>
      <c r="AZ90" s="145">
        <f t="shared" si="72"/>
        <v>2.1852574526260176</v>
      </c>
      <c r="BA90" s="145">
        <f t="shared" si="73"/>
        <v>18.681869909073178</v>
      </c>
      <c r="BB90" s="145">
        <f t="shared" si="74"/>
        <v>8.7410298105040696E-2</v>
      </c>
      <c r="BC90" s="145">
        <f t="shared" si="75"/>
        <v>0.74727479636292715</v>
      </c>
      <c r="BD90" s="145">
        <f t="shared" si="76"/>
        <v>39.605564207235133</v>
      </c>
      <c r="BE90" s="145">
        <f t="shared" si="77"/>
        <v>4.6327457995671466</v>
      </c>
      <c r="BF90" s="145">
        <f t="shared" si="78"/>
        <v>3.8</v>
      </c>
    </row>
    <row r="91" spans="1:58" s="145" customFormat="1">
      <c r="A91" s="569"/>
      <c r="B91" s="116">
        <f t="shared" si="54"/>
        <v>88</v>
      </c>
      <c r="C91" s="69">
        <f t="shared" si="79"/>
        <v>42092</v>
      </c>
      <c r="D91" s="257">
        <f>IF(ISERROR(VLOOKUP($C91,'NDVI real'!$T$8:$U$313,2,FALSE)),VLOOKUP(SWB!C91,'NDVI tipo'!$T$8:$U$193,2),VLOOKUP($C91,'NDVI real'!$T$8:$U$313,2,FALSE))</f>
        <v>0.52978018672086746</v>
      </c>
      <c r="E91" s="170">
        <f t="shared" si="44"/>
        <v>3</v>
      </c>
      <c r="F91" s="170">
        <f t="shared" si="45"/>
        <v>29</v>
      </c>
      <c r="G91" s="170">
        <f t="shared" si="46"/>
        <v>2015</v>
      </c>
      <c r="H91" s="170">
        <f t="shared" si="55"/>
        <v>88</v>
      </c>
      <c r="I91" s="190">
        <f>IF(ISERROR(VLOOKUP($C91,Clima!$U$8:$AH$900,3,FALSE)),VLOOKUP($C91,Clima!$D$8:$R$900,3),VLOOKUP($C91,Clima!$U$8:$AH$900,3,FALSE))</f>
        <v>9.3000000000000007</v>
      </c>
      <c r="J91" s="191"/>
      <c r="K91" s="170"/>
      <c r="L91" s="192">
        <f>IF(ISERROR(VLOOKUP($C91,Clima!$U$8:$AH$900,14,FALSE)),VLOOKUP($C91,Clima!$D$8:$R$900,14),VLOOKUP($C91,Clima!$U$8:$AH$900,14,FALSE))</f>
        <v>3.3</v>
      </c>
      <c r="M91" s="190"/>
      <c r="N91" s="190"/>
      <c r="O91" s="191"/>
      <c r="P91" s="191">
        <f>IF(ISERROR(VLOOKUP($C91,Clima!$W$8:$AH$350,12,FALSE)),VLOOKUP($C91,Clima!$E$8:$P$350,12),VLOOKUP($C91,Clima!$W$8:$AH$350,12,FALSE))</f>
        <v>0</v>
      </c>
      <c r="Q91" s="170">
        <f t="shared" si="80"/>
        <v>52.272733028376408</v>
      </c>
      <c r="R91" s="254">
        <f>VLOOKUP(C91,Clima!$V$8:$AH$900,3,FALSE)+R90</f>
        <v>482.1</v>
      </c>
      <c r="S91" s="455">
        <f t="shared" si="56"/>
        <v>0.66288346887804916</v>
      </c>
      <c r="T91" s="449">
        <f t="shared" si="57"/>
        <v>2.187515447297562</v>
      </c>
      <c r="U91" s="195"/>
      <c r="V91" s="445">
        <f t="shared" si="47"/>
        <v>1.0705657633296748</v>
      </c>
      <c r="W91" s="446">
        <f t="shared" si="58"/>
        <v>0</v>
      </c>
      <c r="X91" s="447">
        <f t="shared" si="81"/>
        <v>0.47043842219783227</v>
      </c>
      <c r="Y91" s="448">
        <f t="shared" si="59"/>
        <v>1</v>
      </c>
      <c r="Z91" s="449">
        <f t="shared" si="48"/>
        <v>0.52956157780216773</v>
      </c>
      <c r="AA91" s="449">
        <f t="shared" si="82"/>
        <v>6.1302599673385689</v>
      </c>
      <c r="AB91" s="451">
        <f t="shared" si="60"/>
        <v>7.0115251224803665E-2</v>
      </c>
      <c r="AC91" s="449">
        <f t="shared" si="49"/>
        <v>2.8584746495380113E-2</v>
      </c>
      <c r="AD91" s="449">
        <f t="shared" si="50"/>
        <v>9.4329663434754366E-2</v>
      </c>
      <c r="AE91" s="448">
        <f t="shared" si="83"/>
        <v>0</v>
      </c>
      <c r="AF91" s="449">
        <f t="shared" si="84"/>
        <v>6.3083878138229181</v>
      </c>
      <c r="AG91" s="449">
        <f t="shared" si="51"/>
        <v>0.69146821537342928</v>
      </c>
      <c r="AH91" s="449">
        <f t="shared" si="52"/>
        <v>2.2818451107323163</v>
      </c>
      <c r="AI91" s="448"/>
      <c r="AJ91" s="449">
        <f t="shared" si="61"/>
        <v>0.57250627324299941</v>
      </c>
      <c r="AK91" s="450">
        <f t="shared" si="53"/>
        <v>37.212907760794963</v>
      </c>
      <c r="AL91" s="449">
        <f t="shared" si="85"/>
        <v>12.324243152723062</v>
      </c>
      <c r="AM91" s="451">
        <f>IF(ISERROR(VLOOKUP(C91,Riegos,2,FALSE)),VLOOKUP(C91,Riegos,2,FALSE),VLOOKUP($F$8,Nomen!$A$79:$B$80,2,FALSE)*IF(AND(H91&gt;120,D91&lt;0.45),0,IF(AQ90+AH91&gt;=AK91,MIN(AQ90,$AK$7),0)))</f>
        <v>0</v>
      </c>
      <c r="AN91" s="448">
        <f t="shared" si="62"/>
        <v>0</v>
      </c>
      <c r="AO91" s="448">
        <f t="shared" si="63"/>
        <v>1</v>
      </c>
      <c r="AP91" s="449">
        <f t="shared" si="64"/>
        <v>0.69146821537342928</v>
      </c>
      <c r="AQ91" s="449">
        <f t="shared" si="65"/>
        <v>12.324243152723062</v>
      </c>
      <c r="AR91" s="449">
        <f t="shared" si="86"/>
        <v>76.977673845739105</v>
      </c>
      <c r="AS91" s="449">
        <f t="shared" si="66"/>
        <v>2.2818451107323163</v>
      </c>
      <c r="AT91" s="449">
        <f t="shared" si="67"/>
        <v>97.047177436972547</v>
      </c>
      <c r="AU91" s="453">
        <f t="shared" si="68"/>
        <v>15</v>
      </c>
      <c r="AV91" s="145">
        <f t="shared" si="69"/>
        <v>88.600000000000009</v>
      </c>
      <c r="AW91" s="178">
        <f t="shared" si="70"/>
        <v>0</v>
      </c>
      <c r="AX91" s="179">
        <f t="shared" si="71"/>
        <v>0</v>
      </c>
      <c r="AY91" s="145">
        <f t="shared" si="87"/>
        <v>0.52978018672086746</v>
      </c>
      <c r="AZ91" s="145">
        <f t="shared" si="72"/>
        <v>1.9624119242682942</v>
      </c>
      <c r="BA91" s="145">
        <f t="shared" si="73"/>
        <v>20.644281833341473</v>
      </c>
      <c r="BB91" s="145">
        <f t="shared" si="74"/>
        <v>7.8496476970731768E-2</v>
      </c>
      <c r="BC91" s="145">
        <f t="shared" si="75"/>
        <v>0.82577127333365896</v>
      </c>
      <c r="BD91" s="145">
        <f t="shared" si="76"/>
        <v>43.765877486683927</v>
      </c>
      <c r="BE91" s="145">
        <f t="shared" si="77"/>
        <v>4.1603132794487934</v>
      </c>
      <c r="BF91" s="145">
        <f t="shared" si="78"/>
        <v>3.3</v>
      </c>
    </row>
    <row r="92" spans="1:58" s="145" customFormat="1">
      <c r="A92" s="569"/>
      <c r="B92" s="116">
        <f t="shared" si="54"/>
        <v>89</v>
      </c>
      <c r="C92" s="69">
        <f t="shared" si="79"/>
        <v>42093</v>
      </c>
      <c r="D92" s="257">
        <f>IF(ISERROR(VLOOKUP($C92,'NDVI real'!$T$8:$U$313,2,FALSE)),VLOOKUP(SWB!C92,'NDVI tipo'!$T$8:$U$193,2),VLOOKUP($C92,'NDVI real'!$T$8:$U$313,2,FALSE))</f>
        <v>0.54284853964769675</v>
      </c>
      <c r="E92" s="170">
        <f t="shared" si="44"/>
        <v>3</v>
      </c>
      <c r="F92" s="170">
        <f t="shared" si="45"/>
        <v>30</v>
      </c>
      <c r="G92" s="170">
        <f t="shared" si="46"/>
        <v>2015</v>
      </c>
      <c r="H92" s="170">
        <f t="shared" si="55"/>
        <v>89</v>
      </c>
      <c r="I92" s="190">
        <f>IF(ISERROR(VLOOKUP($C92,Clima!$U$8:$AH$900,3,FALSE)),VLOOKUP($C92,Clima!$D$8:$R$900,3),VLOOKUP($C92,Clima!$U$8:$AH$900,3,FALSE))</f>
        <v>11.4</v>
      </c>
      <c r="J92" s="191"/>
      <c r="K92" s="170"/>
      <c r="L92" s="192">
        <f>IF(ISERROR(VLOOKUP($C92,Clima!$U$8:$AH$900,14,FALSE)),VLOOKUP($C92,Clima!$D$8:$R$900,14),VLOOKUP($C92,Clima!$U$8:$AH$900,14,FALSE))</f>
        <v>3.3</v>
      </c>
      <c r="M92" s="190"/>
      <c r="N92" s="190"/>
      <c r="O92" s="191"/>
      <c r="P92" s="191">
        <f>IF(ISERROR(VLOOKUP($C92,Clima!$W$8:$AH$350,12,FALSE)),VLOOKUP($C92,Clima!$E$8:$P$350,12),VLOOKUP($C92,Clima!$W$8:$AH$350,12,FALSE))</f>
        <v>0</v>
      </c>
      <c r="Q92" s="170">
        <f t="shared" si="80"/>
        <v>54.522349288782266</v>
      </c>
      <c r="R92" s="254">
        <f>VLOOKUP(C92,Clima!$V$8:$AH$900,3,FALSE)+R91</f>
        <v>496.40000000000003</v>
      </c>
      <c r="S92" s="455">
        <f t="shared" si="56"/>
        <v>0.68170189709268336</v>
      </c>
      <c r="T92" s="449">
        <f t="shared" si="57"/>
        <v>2.2496162604058552</v>
      </c>
      <c r="U92" s="195"/>
      <c r="V92" s="445">
        <f t="shared" si="47"/>
        <v>1.0728984643271138</v>
      </c>
      <c r="W92" s="446">
        <f t="shared" si="58"/>
        <v>0</v>
      </c>
      <c r="X92" s="447">
        <f t="shared" si="81"/>
        <v>0.48598976218075907</v>
      </c>
      <c r="Y92" s="448">
        <f t="shared" si="59"/>
        <v>1</v>
      </c>
      <c r="Z92" s="449">
        <f t="shared" si="48"/>
        <v>0.51401023781924093</v>
      </c>
      <c r="AA92" s="449">
        <f t="shared" si="82"/>
        <v>6.3083878138229181</v>
      </c>
      <c r="AB92" s="451">
        <f t="shared" si="60"/>
        <v>6.3435456981640562E-2</v>
      </c>
      <c r="AC92" s="449">
        <f t="shared" si="49"/>
        <v>2.4815733012165171E-2</v>
      </c>
      <c r="AD92" s="449">
        <f t="shared" si="50"/>
        <v>8.1891918940145067E-2</v>
      </c>
      <c r="AE92" s="448">
        <f t="shared" si="83"/>
        <v>0</v>
      </c>
      <c r="AF92" s="449">
        <f t="shared" si="84"/>
        <v>6.4677074399992041</v>
      </c>
      <c r="AG92" s="449">
        <f t="shared" si="51"/>
        <v>0.70651763010484858</v>
      </c>
      <c r="AH92" s="449">
        <f t="shared" si="52"/>
        <v>2.3315081793460002</v>
      </c>
      <c r="AI92" s="448"/>
      <c r="AJ92" s="449">
        <f t="shared" si="61"/>
        <v>0.58644584969828406</v>
      </c>
      <c r="AK92" s="450">
        <f t="shared" si="53"/>
        <v>38.118980230388466</v>
      </c>
      <c r="AL92" s="449">
        <f t="shared" si="85"/>
        <v>14.655751332069062</v>
      </c>
      <c r="AM92" s="451">
        <f>IF(ISERROR(VLOOKUP(C92,Riegos,2,FALSE)),VLOOKUP(C92,Riegos,2,FALSE),VLOOKUP($F$8,Nomen!$A$79:$B$80,2,FALSE)*IF(AND(H92&gt;120,D92&lt;0.45),0,IF(AQ91+AH92&gt;=AK92,MIN(AQ91,$AK$7),0)))</f>
        <v>0</v>
      </c>
      <c r="AN92" s="448">
        <f t="shared" si="62"/>
        <v>0</v>
      </c>
      <c r="AO92" s="448">
        <f t="shared" si="63"/>
        <v>1</v>
      </c>
      <c r="AP92" s="449">
        <f t="shared" si="64"/>
        <v>0.70651763010484858</v>
      </c>
      <c r="AQ92" s="449">
        <f t="shared" si="65"/>
        <v>14.655751332069062</v>
      </c>
      <c r="AR92" s="449">
        <f t="shared" si="86"/>
        <v>77.977673845739105</v>
      </c>
      <c r="AS92" s="449">
        <f t="shared" si="66"/>
        <v>2.3315081793460002</v>
      </c>
      <c r="AT92" s="449">
        <f t="shared" si="67"/>
        <v>99.378685616318549</v>
      </c>
      <c r="AU92" s="453">
        <f t="shared" si="68"/>
        <v>15</v>
      </c>
      <c r="AV92" s="145">
        <f t="shared" si="69"/>
        <v>88.600000000000009</v>
      </c>
      <c r="AW92" s="178">
        <f t="shared" si="70"/>
        <v>0</v>
      </c>
      <c r="AX92" s="179">
        <f t="shared" si="71"/>
        <v>0</v>
      </c>
      <c r="AY92" s="145">
        <f t="shared" si="87"/>
        <v>0.54284853964769675</v>
      </c>
      <c r="AZ92" s="145">
        <f t="shared" si="72"/>
        <v>2.0271002712560984</v>
      </c>
      <c r="BA92" s="145">
        <f t="shared" si="73"/>
        <v>22.671382104597573</v>
      </c>
      <c r="BB92" s="145">
        <f t="shared" si="74"/>
        <v>8.1084010850243929E-2</v>
      </c>
      <c r="BC92" s="145">
        <f t="shared" si="75"/>
        <v>0.90685528418390293</v>
      </c>
      <c r="BD92" s="145">
        <f t="shared" si="76"/>
        <v>48.063330061746854</v>
      </c>
      <c r="BE92" s="145">
        <f t="shared" si="77"/>
        <v>4.2974525750629269</v>
      </c>
      <c r="BF92" s="145">
        <f t="shared" si="78"/>
        <v>3.3</v>
      </c>
    </row>
    <row r="93" spans="1:58" s="145" customFormat="1">
      <c r="A93" s="569"/>
      <c r="B93" s="116">
        <f t="shared" si="54"/>
        <v>90</v>
      </c>
      <c r="C93" s="69">
        <f t="shared" si="79"/>
        <v>42094</v>
      </c>
      <c r="D93" s="257">
        <f>IF(ISERROR(VLOOKUP($C93,'NDVI real'!$T$8:$U$313,2,FALSE)),VLOOKUP(SWB!C93,'NDVI tipo'!$T$8:$U$193,2),VLOOKUP($C93,'NDVI real'!$T$8:$U$313,2,FALSE))</f>
        <v>0.55591689257452603</v>
      </c>
      <c r="E93" s="170">
        <f t="shared" si="44"/>
        <v>3</v>
      </c>
      <c r="F93" s="170">
        <f t="shared" si="45"/>
        <v>31</v>
      </c>
      <c r="G93" s="170">
        <f t="shared" si="46"/>
        <v>2015</v>
      </c>
      <c r="H93" s="170">
        <f t="shared" si="55"/>
        <v>90</v>
      </c>
      <c r="I93" s="190">
        <f>IF(ISERROR(VLOOKUP($C93,Clima!$U$8:$AH$900,3,FALSE)),VLOOKUP($C93,Clima!$D$8:$R$900,3),VLOOKUP($C93,Clima!$U$8:$AH$900,3,FALSE))</f>
        <v>13.9</v>
      </c>
      <c r="J93" s="191"/>
      <c r="K93" s="170"/>
      <c r="L93" s="192">
        <f>IF(ISERROR(VLOOKUP($C93,Clima!$U$8:$AH$900,14,FALSE)),VLOOKUP($C93,Clima!$D$8:$R$900,14),VLOOKUP($C93,Clima!$U$8:$AH$900,14,FALSE))</f>
        <v>4.4000000000000004</v>
      </c>
      <c r="M93" s="190"/>
      <c r="N93" s="190"/>
      <c r="O93" s="191"/>
      <c r="P93" s="191">
        <f>IF(ISERROR(VLOOKUP($C93,Clima!$W$8:$AH$350,12,FALSE)),VLOOKUP($C93,Clima!$E$8:$P$350,12),VLOOKUP($C93,Clima!$W$8:$AH$350,12,FALSE))</f>
        <v>0</v>
      </c>
      <c r="Q93" s="170">
        <f t="shared" si="80"/>
        <v>57.60463872013446</v>
      </c>
      <c r="R93" s="254">
        <f>VLOOKUP(C93,Clima!$V$8:$AH$900,3,FALSE)+R92</f>
        <v>511.8</v>
      </c>
      <c r="S93" s="455">
        <f t="shared" si="56"/>
        <v>0.70052032530731745</v>
      </c>
      <c r="T93" s="449">
        <f t="shared" si="57"/>
        <v>3.0822894313521969</v>
      </c>
      <c r="U93" s="195"/>
      <c r="V93" s="445">
        <f t="shared" si="47"/>
        <v>1.0752311653245528</v>
      </c>
      <c r="W93" s="446">
        <f t="shared" si="58"/>
        <v>0</v>
      </c>
      <c r="X93" s="447">
        <f t="shared" si="81"/>
        <v>0.50154110216368597</v>
      </c>
      <c r="Y93" s="448">
        <f t="shared" si="59"/>
        <v>1</v>
      </c>
      <c r="Z93" s="449">
        <f t="shared" si="48"/>
        <v>0.49845889783631403</v>
      </c>
      <c r="AA93" s="449">
        <f t="shared" si="82"/>
        <v>6.4677074399992041</v>
      </c>
      <c r="AB93" s="451">
        <f t="shared" si="60"/>
        <v>5.7460971000029844E-2</v>
      </c>
      <c r="AC93" s="449">
        <f t="shared" si="49"/>
        <v>2.153124871162718E-2</v>
      </c>
      <c r="AD93" s="449">
        <f t="shared" si="50"/>
        <v>9.4737494331159605E-2</v>
      </c>
      <c r="AE93" s="448">
        <f t="shared" si="83"/>
        <v>0</v>
      </c>
      <c r="AF93" s="449">
        <f t="shared" si="84"/>
        <v>6.6577682348659248</v>
      </c>
      <c r="AG93" s="449">
        <f t="shared" si="51"/>
        <v>0.7220515740189446</v>
      </c>
      <c r="AH93" s="449">
        <f t="shared" si="52"/>
        <v>3.1770269256833563</v>
      </c>
      <c r="AI93" s="448"/>
      <c r="AJ93" s="449">
        <f t="shared" si="61"/>
        <v>0.6</v>
      </c>
      <c r="AK93" s="450">
        <f t="shared" si="53"/>
        <v>39</v>
      </c>
      <c r="AL93" s="449">
        <f t="shared" si="85"/>
        <v>17.83277825775242</v>
      </c>
      <c r="AM93" s="451">
        <f>IF(ISERROR(VLOOKUP(C93,Riegos,2,FALSE)),VLOOKUP(C93,Riegos,2,FALSE),VLOOKUP($F$8,Nomen!$A$79:$B$80,2,FALSE)*IF(AND(H93&gt;120,D93&lt;0.45),0,IF(AQ92+AH93&gt;=AK93,MIN(AQ92,$AK$7),0)))</f>
        <v>0</v>
      </c>
      <c r="AN93" s="448">
        <f t="shared" si="62"/>
        <v>0</v>
      </c>
      <c r="AO93" s="448">
        <f t="shared" si="63"/>
        <v>1</v>
      </c>
      <c r="AP93" s="449">
        <f t="shared" si="64"/>
        <v>0.7220515740189446</v>
      </c>
      <c r="AQ93" s="449">
        <f t="shared" si="65"/>
        <v>17.83277825775242</v>
      </c>
      <c r="AR93" s="449">
        <f t="shared" si="86"/>
        <v>78.977673845739105</v>
      </c>
      <c r="AS93" s="449">
        <f t="shared" si="66"/>
        <v>3.1770269256833563</v>
      </c>
      <c r="AT93" s="449">
        <f t="shared" si="67"/>
        <v>102.5557125420019</v>
      </c>
      <c r="AU93" s="453">
        <f t="shared" si="68"/>
        <v>15</v>
      </c>
      <c r="AV93" s="145">
        <f t="shared" si="69"/>
        <v>88.600000000000009</v>
      </c>
      <c r="AW93" s="178">
        <f t="shared" si="70"/>
        <v>0</v>
      </c>
      <c r="AX93" s="179">
        <f t="shared" si="71"/>
        <v>0</v>
      </c>
      <c r="AY93" s="145">
        <f t="shared" si="87"/>
        <v>0.55591689257452603</v>
      </c>
      <c r="AZ93" s="145">
        <f t="shared" si="72"/>
        <v>2.7890514909918722</v>
      </c>
      <c r="BA93" s="145">
        <f t="shared" si="73"/>
        <v>25.460433595589446</v>
      </c>
      <c r="BB93" s="145">
        <f t="shared" si="74"/>
        <v>0.11156205963967489</v>
      </c>
      <c r="BC93" s="145">
        <f t="shared" si="75"/>
        <v>1.0184173438235777</v>
      </c>
      <c r="BD93" s="145">
        <f t="shared" si="76"/>
        <v>54.047594689282462</v>
      </c>
      <c r="BE93" s="145">
        <f t="shared" si="77"/>
        <v>5.9842646275356088</v>
      </c>
      <c r="BF93" s="145">
        <f t="shared" si="78"/>
        <v>4.4000000000000004</v>
      </c>
    </row>
    <row r="94" spans="1:58" s="145" customFormat="1">
      <c r="A94" s="569"/>
      <c r="B94" s="116">
        <f t="shared" si="54"/>
        <v>91</v>
      </c>
      <c r="C94" s="69">
        <f t="shared" si="79"/>
        <v>42095</v>
      </c>
      <c r="D94" s="257">
        <f>IF(ISERROR(VLOOKUP($C94,'NDVI real'!$T$8:$U$313,2,FALSE)),VLOOKUP(SWB!C94,'NDVI tipo'!$T$8:$U$193,2),VLOOKUP($C94,'NDVI real'!$T$8:$U$313,2,FALSE))</f>
        <v>0.56898524550135532</v>
      </c>
      <c r="E94" s="170">
        <f t="shared" si="44"/>
        <v>4</v>
      </c>
      <c r="F94" s="170">
        <f t="shared" si="45"/>
        <v>1</v>
      </c>
      <c r="G94" s="170">
        <f t="shared" si="46"/>
        <v>2015</v>
      </c>
      <c r="H94" s="170">
        <f t="shared" si="55"/>
        <v>91</v>
      </c>
      <c r="I94" s="190">
        <f>IF(ISERROR(VLOOKUP($C94,Clima!$U$8:$AH$900,3,FALSE)),VLOOKUP($C94,Clima!$D$8:$R$900,3),VLOOKUP($C94,Clima!$U$8:$AH$900,3,FALSE))</f>
        <v>9.1</v>
      </c>
      <c r="J94" s="191"/>
      <c r="K94" s="170"/>
      <c r="L94" s="192">
        <f>IF(ISERROR(VLOOKUP($C94,Clima!$U$8:$AH$900,14,FALSE)),VLOOKUP($C94,Clima!$D$8:$R$900,14),VLOOKUP($C94,Clima!$U$8:$AH$900,14,FALSE))</f>
        <v>2.8</v>
      </c>
      <c r="M94" s="190"/>
      <c r="N94" s="190"/>
      <c r="O94" s="191"/>
      <c r="P94" s="191">
        <f>IF(ISERROR(VLOOKUP($C94,Clima!$W$8:$AH$350,12,FALSE)),VLOOKUP($C94,Clima!$E$8:$P$350,12),VLOOKUP($C94,Clima!$W$8:$AH$350,12,FALSE))</f>
        <v>0</v>
      </c>
      <c r="Q94" s="170">
        <f t="shared" si="80"/>
        <v>59.618787229995924</v>
      </c>
      <c r="R94" s="254">
        <f>VLOOKUP(C94,Clima!$V$8:$AH$900,3,FALSE)+R93</f>
        <v>525.20000000000005</v>
      </c>
      <c r="S94" s="455">
        <f t="shared" si="56"/>
        <v>0.71933875352195165</v>
      </c>
      <c r="T94" s="449">
        <f t="shared" si="57"/>
        <v>2.0141485098614647</v>
      </c>
      <c r="U94" s="195"/>
      <c r="V94" s="445">
        <f t="shared" si="47"/>
        <v>1.077563866321992</v>
      </c>
      <c r="W94" s="446">
        <f t="shared" si="58"/>
        <v>0</v>
      </c>
      <c r="X94" s="447">
        <f t="shared" si="81"/>
        <v>0.51709244214661276</v>
      </c>
      <c r="Y94" s="448">
        <f t="shared" si="59"/>
        <v>1</v>
      </c>
      <c r="Z94" s="449">
        <f t="shared" si="48"/>
        <v>0.48290755785338724</v>
      </c>
      <c r="AA94" s="449">
        <f t="shared" si="82"/>
        <v>6.6577682348659248</v>
      </c>
      <c r="AB94" s="451">
        <f t="shared" si="60"/>
        <v>5.033369119252782E-2</v>
      </c>
      <c r="AC94" s="449">
        <f t="shared" si="49"/>
        <v>1.8030792205085674E-2</v>
      </c>
      <c r="AD94" s="449">
        <f t="shared" si="50"/>
        <v>5.0486218174239886E-2</v>
      </c>
      <c r="AE94" s="448">
        <f t="shared" si="83"/>
        <v>0</v>
      </c>
      <c r="AF94" s="449">
        <f t="shared" si="84"/>
        <v>6.7623145757818977</v>
      </c>
      <c r="AG94" s="449">
        <f t="shared" si="51"/>
        <v>0.73736954572703728</v>
      </c>
      <c r="AH94" s="449">
        <f t="shared" si="52"/>
        <v>2.0646347280357045</v>
      </c>
      <c r="AI94" s="448"/>
      <c r="AJ94" s="449">
        <f t="shared" si="61"/>
        <v>0.6</v>
      </c>
      <c r="AK94" s="450">
        <f t="shared" si="53"/>
        <v>39</v>
      </c>
      <c r="AL94" s="449">
        <f t="shared" si="85"/>
        <v>19.897412985788122</v>
      </c>
      <c r="AM94" s="451">
        <f>IF(ISERROR(VLOOKUP(C94,Riegos,2,FALSE)),VLOOKUP(C94,Riegos,2,FALSE),VLOOKUP($F$8,Nomen!$A$79:$B$80,2,FALSE)*IF(AND(H94&gt;120,D94&lt;0.45),0,IF(AQ93+AH94&gt;=AK94,MIN(AQ93,$AK$7),0)))</f>
        <v>0</v>
      </c>
      <c r="AN94" s="448">
        <f t="shared" si="62"/>
        <v>0</v>
      </c>
      <c r="AO94" s="448">
        <f t="shared" si="63"/>
        <v>1</v>
      </c>
      <c r="AP94" s="449">
        <f t="shared" si="64"/>
        <v>0.73736954572703728</v>
      </c>
      <c r="AQ94" s="449">
        <f t="shared" si="65"/>
        <v>19.897412985788122</v>
      </c>
      <c r="AR94" s="449">
        <f t="shared" si="86"/>
        <v>79.977673845739105</v>
      </c>
      <c r="AS94" s="449">
        <f t="shared" si="66"/>
        <v>2.0646347280357045</v>
      </c>
      <c r="AT94" s="449">
        <f t="shared" si="67"/>
        <v>104.6203472700376</v>
      </c>
      <c r="AU94" s="453">
        <f t="shared" si="68"/>
        <v>15</v>
      </c>
      <c r="AV94" s="145">
        <f t="shared" si="69"/>
        <v>88.600000000000009</v>
      </c>
      <c r="AW94" s="178">
        <f t="shared" si="70"/>
        <v>0</v>
      </c>
      <c r="AX94" s="179">
        <f t="shared" si="71"/>
        <v>0</v>
      </c>
      <c r="AY94" s="145">
        <f t="shared" si="87"/>
        <v>0.56898524550135532</v>
      </c>
      <c r="AZ94" s="145">
        <f t="shared" si="72"/>
        <v>1.8297380311056923</v>
      </c>
      <c r="BA94" s="145">
        <f t="shared" si="73"/>
        <v>27.290171626695138</v>
      </c>
      <c r="BB94" s="145">
        <f t="shared" si="74"/>
        <v>7.3189521244227687E-2</v>
      </c>
      <c r="BC94" s="145">
        <f t="shared" si="75"/>
        <v>1.0916068650678055</v>
      </c>
      <c r="BD94" s="145">
        <f t="shared" si="76"/>
        <v>56.181684187706693</v>
      </c>
      <c r="BE94" s="145">
        <f t="shared" si="77"/>
        <v>2.1340894984242311</v>
      </c>
      <c r="BF94" s="145">
        <f t="shared" si="78"/>
        <v>2.8</v>
      </c>
    </row>
    <row r="95" spans="1:58" s="145" customFormat="1" ht="15" customHeight="1">
      <c r="A95" s="569"/>
      <c r="B95" s="116">
        <f t="shared" si="54"/>
        <v>92</v>
      </c>
      <c r="C95" s="69">
        <f t="shared" si="79"/>
        <v>42096</v>
      </c>
      <c r="D95" s="257">
        <f>IF(ISERROR(VLOOKUP($C95,'NDVI real'!$T$8:$U$313,2,FALSE)),VLOOKUP(SWB!C95,'NDVI tipo'!$T$8:$U$193,2),VLOOKUP($C95,'NDVI real'!$T$8:$U$313,2,FALSE))</f>
        <v>0.5820535984281846</v>
      </c>
      <c r="E95" s="170">
        <f t="shared" si="44"/>
        <v>4</v>
      </c>
      <c r="F95" s="170">
        <f t="shared" si="45"/>
        <v>2</v>
      </c>
      <c r="G95" s="170">
        <f t="shared" si="46"/>
        <v>2015</v>
      </c>
      <c r="H95" s="170">
        <f t="shared" si="55"/>
        <v>92</v>
      </c>
      <c r="I95" s="190">
        <f>IF(ISERROR(VLOOKUP($C95,Clima!$U$8:$AH$900,3,FALSE)),VLOOKUP($C95,Clima!$D$8:$R$900,3),VLOOKUP($C95,Clima!$U$8:$AH$900,3,FALSE))</f>
        <v>6.4</v>
      </c>
      <c r="J95" s="191"/>
      <c r="K95" s="170"/>
      <c r="L95" s="192">
        <f>IF(ISERROR(VLOOKUP($C95,Clima!$U$8:$AH$900,14,FALSE)),VLOOKUP($C95,Clima!$D$8:$R$900,14),VLOOKUP($C95,Clima!$U$8:$AH$900,14,FALSE))</f>
        <v>3.1</v>
      </c>
      <c r="M95" s="190"/>
      <c r="N95" s="190"/>
      <c r="O95" s="191"/>
      <c r="P95" s="191">
        <f>IF(ISERROR(VLOOKUP($C95,Clima!$W$8:$AH$350,12,FALSE)),VLOOKUP($C95,Clima!$E$8:$P$350,12),VLOOKUP($C95,Clima!$W$8:$AH$350,12,FALSE))</f>
        <v>0</v>
      </c>
      <c r="Q95" s="170">
        <f t="shared" si="80"/>
        <v>61.907074493379341</v>
      </c>
      <c r="R95" s="254">
        <f>VLOOKUP(C95,Clima!$V$8:$AH$900,3,FALSE)+R94</f>
        <v>537.70000000000005</v>
      </c>
      <c r="S95" s="455">
        <f t="shared" si="56"/>
        <v>0.73815718173658584</v>
      </c>
      <c r="T95" s="449">
        <f t="shared" si="57"/>
        <v>2.2882872633834164</v>
      </c>
      <c r="U95" s="195"/>
      <c r="V95" s="445">
        <f t="shared" si="47"/>
        <v>1.079896567319431</v>
      </c>
      <c r="W95" s="446">
        <f t="shared" si="58"/>
        <v>0</v>
      </c>
      <c r="X95" s="447">
        <f t="shared" si="81"/>
        <v>0.53264378212953967</v>
      </c>
      <c r="Y95" s="448">
        <f t="shared" si="59"/>
        <v>1</v>
      </c>
      <c r="Z95" s="449">
        <f t="shared" si="48"/>
        <v>0.46735621787046033</v>
      </c>
      <c r="AA95" s="449">
        <f t="shared" si="82"/>
        <v>6.7623145757818977</v>
      </c>
      <c r="AB95" s="451">
        <f t="shared" si="60"/>
        <v>4.6413203408178838E-2</v>
      </c>
      <c r="AC95" s="449">
        <f t="shared" si="49"/>
        <v>1.5861219615642647E-2</v>
      </c>
      <c r="AD95" s="449">
        <f t="shared" si="50"/>
        <v>4.9169780808492207E-2</v>
      </c>
      <c r="AE95" s="448">
        <f t="shared" si="83"/>
        <v>0</v>
      </c>
      <c r="AF95" s="449">
        <f t="shared" si="84"/>
        <v>6.8675229349057743</v>
      </c>
      <c r="AG95" s="449">
        <f t="shared" si="51"/>
        <v>0.75401840135222853</v>
      </c>
      <c r="AH95" s="449">
        <f t="shared" si="52"/>
        <v>2.3374570441919085</v>
      </c>
      <c r="AI95" s="448"/>
      <c r="AJ95" s="449">
        <f t="shared" si="61"/>
        <v>0.6</v>
      </c>
      <c r="AK95" s="450">
        <f t="shared" si="53"/>
        <v>39</v>
      </c>
      <c r="AL95" s="449">
        <f t="shared" si="85"/>
        <v>22.23487002998003</v>
      </c>
      <c r="AM95" s="451">
        <f>IF(ISERROR(VLOOKUP(C95,Riegos,2,FALSE)),VLOOKUP(C95,Riegos,2,FALSE),VLOOKUP($F$8,Nomen!$A$79:$B$80,2,FALSE)*IF(AND(H95&gt;120,D95&lt;0.45),0,IF(AQ94+AH95&gt;=AK95,MIN(AQ94,$AK$7),0)))</f>
        <v>0</v>
      </c>
      <c r="AN95" s="448">
        <f t="shared" si="62"/>
        <v>0</v>
      </c>
      <c r="AO95" s="448">
        <f t="shared" si="63"/>
        <v>1</v>
      </c>
      <c r="AP95" s="449">
        <f t="shared" si="64"/>
        <v>0.75401840135222853</v>
      </c>
      <c r="AQ95" s="449">
        <f t="shared" si="65"/>
        <v>22.23487002998003</v>
      </c>
      <c r="AR95" s="449">
        <f t="shared" si="86"/>
        <v>80.977673845739105</v>
      </c>
      <c r="AS95" s="449">
        <f t="shared" si="66"/>
        <v>2.3374570441919085</v>
      </c>
      <c r="AT95" s="449">
        <f t="shared" si="67"/>
        <v>106.95780431422951</v>
      </c>
      <c r="AU95" s="453">
        <f t="shared" si="68"/>
        <v>15</v>
      </c>
      <c r="AV95" s="145">
        <f t="shared" si="69"/>
        <v>88.600000000000009</v>
      </c>
      <c r="AW95" s="178">
        <f t="shared" si="70"/>
        <v>0</v>
      </c>
      <c r="AX95" s="179">
        <f t="shared" si="71"/>
        <v>0</v>
      </c>
      <c r="AY95" s="145">
        <f t="shared" si="87"/>
        <v>0.5820535984281846</v>
      </c>
      <c r="AZ95" s="145">
        <f t="shared" si="72"/>
        <v>2.0865492326910586</v>
      </c>
      <c r="BA95" s="145">
        <f t="shared" si="73"/>
        <v>29.376720859386197</v>
      </c>
      <c r="BB95" s="145">
        <f t="shared" si="74"/>
        <v>8.3461969307642339E-2</v>
      </c>
      <c r="BC95" s="145">
        <f t="shared" si="75"/>
        <v>1.1750688343754478</v>
      </c>
      <c r="BD95" s="145">
        <f t="shared" si="76"/>
        <v>58.539513361632643</v>
      </c>
      <c r="BE95" s="145">
        <f t="shared" si="77"/>
        <v>2.3578291739259498</v>
      </c>
      <c r="BF95" s="145">
        <f t="shared" si="78"/>
        <v>3.1</v>
      </c>
    </row>
    <row r="96" spans="1:58" s="145" customFormat="1">
      <c r="A96" s="569"/>
      <c r="B96" s="116">
        <f t="shared" si="54"/>
        <v>93</v>
      </c>
      <c r="C96" s="69">
        <f t="shared" si="79"/>
        <v>42097</v>
      </c>
      <c r="D96" s="257">
        <f>IF(ISERROR(VLOOKUP($C96,'NDVI real'!$T$8:$U$313,2,FALSE)),VLOOKUP(SWB!C96,'NDVI tipo'!$T$8:$U$193,2),VLOOKUP($C96,'NDVI real'!$T$8:$U$313,2,FALSE))</f>
        <v>0.59512195135501389</v>
      </c>
      <c r="E96" s="170">
        <f t="shared" si="44"/>
        <v>4</v>
      </c>
      <c r="F96" s="170">
        <f t="shared" si="45"/>
        <v>3</v>
      </c>
      <c r="G96" s="170">
        <f t="shared" si="46"/>
        <v>2015</v>
      </c>
      <c r="H96" s="170">
        <f t="shared" si="55"/>
        <v>93</v>
      </c>
      <c r="I96" s="190">
        <f>IF(ISERROR(VLOOKUP($C96,Clima!$U$8:$AH$900,3,FALSE)),VLOOKUP($C96,Clima!$D$8:$R$900,3),VLOOKUP($C96,Clima!$U$8:$AH$900,3,FALSE))</f>
        <v>8</v>
      </c>
      <c r="J96" s="191"/>
      <c r="K96" s="170"/>
      <c r="L96" s="192">
        <f>IF(ISERROR(VLOOKUP($C96,Clima!$U$8:$AH$900,14,FALSE)),VLOOKUP($C96,Clima!$D$8:$R$900,14),VLOOKUP($C96,Clima!$U$8:$AH$900,14,FALSE))</f>
        <v>3.3</v>
      </c>
      <c r="M96" s="190"/>
      <c r="N96" s="190"/>
      <c r="O96" s="191"/>
      <c r="P96" s="191">
        <f>IF(ISERROR(VLOOKUP($C96,Clima!$W$8:$AH$350,12,FALSE)),VLOOKUP($C96,Clima!$E$8:$P$350,12),VLOOKUP($C96,Clima!$W$8:$AH$350,12,FALSE))</f>
        <v>0</v>
      </c>
      <c r="Q96" s="170">
        <f t="shared" si="80"/>
        <v>64.405094006218363</v>
      </c>
      <c r="R96" s="254">
        <f>VLOOKUP(C96,Clima!$V$8:$AH$900,3,FALSE)+R95</f>
        <v>551.5</v>
      </c>
      <c r="S96" s="455">
        <f t="shared" si="56"/>
        <v>0.75697560995122004</v>
      </c>
      <c r="T96" s="449">
        <f t="shared" si="57"/>
        <v>2.4980195128390261</v>
      </c>
      <c r="U96" s="195"/>
      <c r="V96" s="445">
        <f t="shared" si="47"/>
        <v>1.0822292683168699</v>
      </c>
      <c r="W96" s="446">
        <f t="shared" si="58"/>
        <v>0</v>
      </c>
      <c r="X96" s="447">
        <f t="shared" si="81"/>
        <v>0.54819512211246646</v>
      </c>
      <c r="Y96" s="448">
        <f t="shared" si="59"/>
        <v>1</v>
      </c>
      <c r="Z96" s="449">
        <f t="shared" si="48"/>
        <v>0.45180487788753354</v>
      </c>
      <c r="AA96" s="449">
        <f t="shared" si="82"/>
        <v>6.8675229349057743</v>
      </c>
      <c r="AB96" s="451">
        <f t="shared" si="60"/>
        <v>4.2467889941033461E-2</v>
      </c>
      <c r="AC96" s="449">
        <f t="shared" si="49"/>
        <v>1.3812836566390917E-2</v>
      </c>
      <c r="AD96" s="449">
        <f t="shared" si="50"/>
        <v>4.5582360669090022E-2</v>
      </c>
      <c r="AE96" s="448">
        <f t="shared" si="83"/>
        <v>0</v>
      </c>
      <c r="AF96" s="449">
        <f t="shared" si="84"/>
        <v>6.9684124181761096</v>
      </c>
      <c r="AG96" s="449">
        <f t="shared" si="51"/>
        <v>0.77078844651761091</v>
      </c>
      <c r="AH96" s="449">
        <f t="shared" si="52"/>
        <v>2.5436018735081158</v>
      </c>
      <c r="AI96" s="448"/>
      <c r="AJ96" s="449">
        <f t="shared" si="61"/>
        <v>0.6</v>
      </c>
      <c r="AK96" s="450">
        <f t="shared" si="53"/>
        <v>39</v>
      </c>
      <c r="AL96" s="449">
        <f t="shared" si="85"/>
        <v>24.778471903488146</v>
      </c>
      <c r="AM96" s="451">
        <f>IF(ISERROR(VLOOKUP(C96,Riegos,2,FALSE)),VLOOKUP(C96,Riegos,2,FALSE),VLOOKUP($F$8,Nomen!$A$79:$B$80,2,FALSE)*IF(AND(H96&gt;120,D96&lt;0.45),0,IF(AQ95+AH96&gt;=AK96,MIN(AQ95,$AK$7),0)))</f>
        <v>0</v>
      </c>
      <c r="AN96" s="448">
        <f t="shared" si="62"/>
        <v>0</v>
      </c>
      <c r="AO96" s="448">
        <f t="shared" si="63"/>
        <v>1</v>
      </c>
      <c r="AP96" s="449">
        <f t="shared" si="64"/>
        <v>0.77078844651761091</v>
      </c>
      <c r="AQ96" s="449">
        <f t="shared" si="65"/>
        <v>24.778471903488146</v>
      </c>
      <c r="AR96" s="449">
        <f t="shared" si="86"/>
        <v>81.977673845739105</v>
      </c>
      <c r="AS96" s="449">
        <f t="shared" si="66"/>
        <v>2.5436018735081158</v>
      </c>
      <c r="AT96" s="449">
        <f t="shared" si="67"/>
        <v>109.50140618773762</v>
      </c>
      <c r="AU96" s="453">
        <f t="shared" si="68"/>
        <v>15</v>
      </c>
      <c r="AV96" s="145">
        <f t="shared" si="69"/>
        <v>88.600000000000009</v>
      </c>
      <c r="AW96" s="178">
        <f t="shared" si="70"/>
        <v>0</v>
      </c>
      <c r="AX96" s="179">
        <f t="shared" si="71"/>
        <v>0</v>
      </c>
      <c r="AY96" s="145">
        <f t="shared" si="87"/>
        <v>0.59512195135501389</v>
      </c>
      <c r="AZ96" s="145">
        <f t="shared" si="72"/>
        <v>2.2858536592073184</v>
      </c>
      <c r="BA96" s="145">
        <f t="shared" si="73"/>
        <v>31.662574518593516</v>
      </c>
      <c r="BB96" s="145">
        <f t="shared" si="74"/>
        <v>9.1434146368292737E-2</v>
      </c>
      <c r="BC96" s="145">
        <f t="shared" si="75"/>
        <v>1.2665029807437407</v>
      </c>
      <c r="BD96" s="145">
        <f t="shared" si="76"/>
        <v>61.03909005112228</v>
      </c>
      <c r="BE96" s="145">
        <f t="shared" si="77"/>
        <v>2.4995766894896363</v>
      </c>
      <c r="BF96" s="145">
        <f t="shared" si="78"/>
        <v>3.3</v>
      </c>
    </row>
    <row r="97" spans="1:58" s="145" customFormat="1">
      <c r="A97" s="569"/>
      <c r="B97" s="116">
        <f t="shared" si="54"/>
        <v>94</v>
      </c>
      <c r="C97" s="69">
        <f t="shared" si="79"/>
        <v>42098</v>
      </c>
      <c r="D97" s="257">
        <f>IF(ISERROR(VLOOKUP($C97,'NDVI real'!$T$8:$U$313,2,FALSE)),VLOOKUP(SWB!C97,'NDVI tipo'!$T$8:$U$193,2),VLOOKUP($C97,'NDVI real'!$T$8:$U$313,2,FALSE))</f>
        <v>0.60819030428184317</v>
      </c>
      <c r="E97" s="170">
        <f t="shared" si="44"/>
        <v>4</v>
      </c>
      <c r="F97" s="170">
        <f t="shared" si="45"/>
        <v>4</v>
      </c>
      <c r="G97" s="170">
        <f t="shared" si="46"/>
        <v>2015</v>
      </c>
      <c r="H97" s="170">
        <f t="shared" si="55"/>
        <v>94</v>
      </c>
      <c r="I97" s="190">
        <f>IF(ISERROR(VLOOKUP($C97,Clima!$U$8:$AH$900,3,FALSE)),VLOOKUP($C97,Clima!$D$8:$R$900,3),VLOOKUP($C97,Clima!$U$8:$AH$900,3,FALSE))</f>
        <v>11.9</v>
      </c>
      <c r="J97" s="191"/>
      <c r="K97" s="170"/>
      <c r="L97" s="192">
        <f>IF(ISERROR(VLOOKUP($C97,Clima!$U$8:$AH$900,14,FALSE)),VLOOKUP($C97,Clima!$D$8:$R$900,14),VLOOKUP($C97,Clima!$U$8:$AH$900,14,FALSE))</f>
        <v>4.0999999999999996</v>
      </c>
      <c r="M97" s="190"/>
      <c r="N97" s="190"/>
      <c r="O97" s="191"/>
      <c r="P97" s="191">
        <f>IF(ISERROR(VLOOKUP($C97,Clima!$W$8:$AH$350,12,FALSE)),VLOOKUP($C97,Clima!$E$8:$P$350,12),VLOOKUP($C97,Clima!$W$8:$AH$350,12,FALSE))</f>
        <v>0</v>
      </c>
      <c r="Q97" s="170">
        <f t="shared" si="80"/>
        <v>67.585849562698371</v>
      </c>
      <c r="R97" s="254">
        <f>VLOOKUP(C97,Clima!$V$8:$AH$900,3,FALSE)+R96</f>
        <v>565.1</v>
      </c>
      <c r="S97" s="455">
        <f t="shared" si="56"/>
        <v>0.77579403816585413</v>
      </c>
      <c r="T97" s="449">
        <f t="shared" si="57"/>
        <v>3.1807555564800016</v>
      </c>
      <c r="U97" s="195"/>
      <c r="V97" s="445">
        <f t="shared" si="47"/>
        <v>1.0845619693143089</v>
      </c>
      <c r="W97" s="446">
        <f t="shared" si="58"/>
        <v>0</v>
      </c>
      <c r="X97" s="447">
        <f t="shared" si="81"/>
        <v>0.56374646209539336</v>
      </c>
      <c r="Y97" s="448">
        <f t="shared" si="59"/>
        <v>1</v>
      </c>
      <c r="Z97" s="449">
        <f t="shared" si="48"/>
        <v>0.43625353790460664</v>
      </c>
      <c r="AA97" s="449">
        <f t="shared" si="82"/>
        <v>6.9684124181761096</v>
      </c>
      <c r="AB97" s="451">
        <f t="shared" si="60"/>
        <v>3.8684534318395893E-2</v>
      </c>
      <c r="AC97" s="449">
        <f t="shared" si="49"/>
        <v>1.19445436289325E-2</v>
      </c>
      <c r="AD97" s="449">
        <f t="shared" si="50"/>
        <v>4.8972628878623248E-2</v>
      </c>
      <c r="AE97" s="448">
        <f t="shared" si="83"/>
        <v>0</v>
      </c>
      <c r="AF97" s="449">
        <f t="shared" si="84"/>
        <v>7.0806696828709619</v>
      </c>
      <c r="AG97" s="449">
        <f t="shared" si="51"/>
        <v>0.78773858179478662</v>
      </c>
      <c r="AH97" s="449">
        <f t="shared" si="52"/>
        <v>3.229728185358625</v>
      </c>
      <c r="AI97" s="448"/>
      <c r="AJ97" s="449">
        <f t="shared" si="61"/>
        <v>0.6</v>
      </c>
      <c r="AK97" s="450">
        <f t="shared" si="53"/>
        <v>39</v>
      </c>
      <c r="AL97" s="449">
        <f t="shared" si="85"/>
        <v>28.00820008884677</v>
      </c>
      <c r="AM97" s="451">
        <f>IF(ISERROR(VLOOKUP(C97,Riegos,2,FALSE)),VLOOKUP(C97,Riegos,2,FALSE),VLOOKUP($F$8,Nomen!$A$79:$B$80,2,FALSE)*IF(AND(H97&gt;120,D97&lt;0.45),0,IF(AQ96+AH97&gt;=AK97,MIN(AQ96,$AK$7),0)))</f>
        <v>0</v>
      </c>
      <c r="AN97" s="448">
        <f t="shared" si="62"/>
        <v>0</v>
      </c>
      <c r="AO97" s="448">
        <f t="shared" si="63"/>
        <v>1</v>
      </c>
      <c r="AP97" s="449">
        <f t="shared" si="64"/>
        <v>0.78773858179478662</v>
      </c>
      <c r="AQ97" s="449">
        <f t="shared" si="65"/>
        <v>28.00820008884677</v>
      </c>
      <c r="AR97" s="449">
        <f t="shared" si="86"/>
        <v>82.977673845739105</v>
      </c>
      <c r="AS97" s="449">
        <f t="shared" si="66"/>
        <v>3.229728185358625</v>
      </c>
      <c r="AT97" s="449">
        <f t="shared" si="67"/>
        <v>112.73113437309624</v>
      </c>
      <c r="AU97" s="453">
        <f t="shared" si="68"/>
        <v>15</v>
      </c>
      <c r="AV97" s="145">
        <f t="shared" si="69"/>
        <v>88.600000000000009</v>
      </c>
      <c r="AW97" s="178">
        <f t="shared" si="70"/>
        <v>0</v>
      </c>
      <c r="AX97" s="179">
        <f t="shared" si="71"/>
        <v>0</v>
      </c>
      <c r="AY97" s="145">
        <f t="shared" si="87"/>
        <v>0.60819030428184317</v>
      </c>
      <c r="AZ97" s="145">
        <f t="shared" si="72"/>
        <v>2.9203703713333353</v>
      </c>
      <c r="BA97" s="145">
        <f t="shared" si="73"/>
        <v>34.58294488992685</v>
      </c>
      <c r="BB97" s="145">
        <f t="shared" si="74"/>
        <v>0.11681481485333341</v>
      </c>
      <c r="BC97" s="145">
        <f t="shared" si="75"/>
        <v>1.3833177955970741</v>
      </c>
      <c r="BD97" s="145">
        <f t="shared" si="76"/>
        <v>64.119221077857574</v>
      </c>
      <c r="BE97" s="145">
        <f t="shared" si="77"/>
        <v>3.0801310267352946</v>
      </c>
      <c r="BF97" s="145">
        <f t="shared" si="78"/>
        <v>4.0999999999999996</v>
      </c>
    </row>
    <row r="98" spans="1:58" s="145" customFormat="1">
      <c r="A98" s="569"/>
      <c r="B98" s="116">
        <f t="shared" si="54"/>
        <v>95</v>
      </c>
      <c r="C98" s="69">
        <f t="shared" si="79"/>
        <v>42099</v>
      </c>
      <c r="D98" s="257">
        <f>IF(ISERROR(VLOOKUP($C98,'NDVI real'!$T$8:$U$313,2,FALSE)),VLOOKUP(SWB!C98,'NDVI tipo'!$T$8:$U$193,2),VLOOKUP($C98,'NDVI real'!$T$8:$U$313,2,FALSE))</f>
        <v>0.62125865720867246</v>
      </c>
      <c r="E98" s="170">
        <f t="shared" si="44"/>
        <v>4</v>
      </c>
      <c r="F98" s="170">
        <f t="shared" si="45"/>
        <v>5</v>
      </c>
      <c r="G98" s="170">
        <f t="shared" si="46"/>
        <v>2015</v>
      </c>
      <c r="H98" s="170">
        <f t="shared" si="55"/>
        <v>95</v>
      </c>
      <c r="I98" s="190">
        <f>IF(ISERROR(VLOOKUP($C98,Clima!$U$8:$AH$900,3,FALSE)),VLOOKUP($C98,Clima!$D$8:$R$900,3),VLOOKUP($C98,Clima!$U$8:$AH$900,3,FALSE))</f>
        <v>9.6999999999999993</v>
      </c>
      <c r="J98" s="191"/>
      <c r="K98" s="170"/>
      <c r="L98" s="192">
        <f>IF(ISERROR(VLOOKUP($C98,Clima!$U$8:$AH$900,14,FALSE)),VLOOKUP($C98,Clima!$D$8:$R$900,14),VLOOKUP($C98,Clima!$U$8:$AH$900,14,FALSE))</f>
        <v>1.1000000000000001</v>
      </c>
      <c r="M98" s="190"/>
      <c r="N98" s="190"/>
      <c r="O98" s="191"/>
      <c r="P98" s="191">
        <f>IF(ISERROR(VLOOKUP($C98,Clima!$W$8:$AH$350,12,FALSE)),VLOOKUP($C98,Clima!$E$8:$P$350,12),VLOOKUP($C98,Clima!$W$8:$AH$350,12,FALSE))</f>
        <v>0</v>
      </c>
      <c r="Q98" s="170">
        <f t="shared" si="80"/>
        <v>68.459923275716903</v>
      </c>
      <c r="R98" s="254">
        <f>VLOOKUP(C98,Clima!$V$8:$AH$900,3,FALSE)+R97</f>
        <v>577.6</v>
      </c>
      <c r="S98" s="455">
        <f t="shared" si="56"/>
        <v>0.79461246638048832</v>
      </c>
      <c r="T98" s="449">
        <f t="shared" si="57"/>
        <v>0.8740737130185372</v>
      </c>
      <c r="U98" s="195"/>
      <c r="V98" s="445">
        <f t="shared" si="47"/>
        <v>1.0868946703117479</v>
      </c>
      <c r="W98" s="446">
        <f t="shared" si="58"/>
        <v>0</v>
      </c>
      <c r="X98" s="447">
        <f t="shared" si="81"/>
        <v>0.57929780207832016</v>
      </c>
      <c r="Y98" s="448">
        <f t="shared" si="59"/>
        <v>1</v>
      </c>
      <c r="Z98" s="449">
        <f t="shared" si="48"/>
        <v>0.42070219792167984</v>
      </c>
      <c r="AA98" s="449">
        <f t="shared" si="82"/>
        <v>7.0806696828709619</v>
      </c>
      <c r="AB98" s="451">
        <f t="shared" si="60"/>
        <v>3.4474886892338928E-2</v>
      </c>
      <c r="AC98" s="449">
        <f t="shared" si="49"/>
        <v>1.0076395921173714E-2</v>
      </c>
      <c r="AD98" s="449">
        <f t="shared" si="50"/>
        <v>1.1084035513291086E-2</v>
      </c>
      <c r="AE98" s="448">
        <f t="shared" si="83"/>
        <v>0</v>
      </c>
      <c r="AF98" s="449">
        <f t="shared" si="84"/>
        <v>7.1070161948883639</v>
      </c>
      <c r="AG98" s="449">
        <f t="shared" si="51"/>
        <v>0.80468886230166203</v>
      </c>
      <c r="AH98" s="449">
        <f t="shared" si="52"/>
        <v>0.88515774853182827</v>
      </c>
      <c r="AI98" s="448"/>
      <c r="AJ98" s="449">
        <f t="shared" si="61"/>
        <v>0.6</v>
      </c>
      <c r="AK98" s="450">
        <f t="shared" si="53"/>
        <v>39</v>
      </c>
      <c r="AL98" s="449">
        <f t="shared" si="85"/>
        <v>28.893357837378598</v>
      </c>
      <c r="AM98" s="451">
        <f>IF(ISERROR(VLOOKUP(C98,Riegos,2,FALSE)),VLOOKUP(C98,Riegos,2,FALSE),VLOOKUP($F$8,Nomen!$A$79:$B$80,2,FALSE)*IF(AND(H98&gt;120,D98&lt;0.45),0,IF(AQ97+AH98&gt;=AK98,MIN(AQ97,$AK$7),0)))</f>
        <v>0</v>
      </c>
      <c r="AN98" s="448">
        <f t="shared" si="62"/>
        <v>0</v>
      </c>
      <c r="AO98" s="448">
        <f t="shared" si="63"/>
        <v>1</v>
      </c>
      <c r="AP98" s="449">
        <f t="shared" si="64"/>
        <v>0.80468886230166203</v>
      </c>
      <c r="AQ98" s="449">
        <f t="shared" si="65"/>
        <v>28.893357837378598</v>
      </c>
      <c r="AR98" s="449">
        <f t="shared" si="86"/>
        <v>83.977673845739105</v>
      </c>
      <c r="AS98" s="449">
        <f t="shared" si="66"/>
        <v>0.88515774853182827</v>
      </c>
      <c r="AT98" s="449">
        <f t="shared" si="67"/>
        <v>113.61629212162806</v>
      </c>
      <c r="AU98" s="453">
        <f t="shared" si="68"/>
        <v>15</v>
      </c>
      <c r="AV98" s="145">
        <f t="shared" si="69"/>
        <v>88.600000000000009</v>
      </c>
      <c r="AW98" s="178">
        <f t="shared" si="70"/>
        <v>0</v>
      </c>
      <c r="AX98" s="179">
        <f t="shared" si="71"/>
        <v>0</v>
      </c>
      <c r="AY98" s="145">
        <f t="shared" si="87"/>
        <v>0.62125865720867246</v>
      </c>
      <c r="AZ98" s="145">
        <f t="shared" si="72"/>
        <v>0.80507678439430963</v>
      </c>
      <c r="BA98" s="145">
        <f t="shared" si="73"/>
        <v>35.388021674321159</v>
      </c>
      <c r="BB98" s="145">
        <f t="shared" si="74"/>
        <v>3.2203071375772385E-2</v>
      </c>
      <c r="BC98" s="145">
        <f t="shared" si="75"/>
        <v>1.4155208669728465</v>
      </c>
      <c r="BD98" s="145">
        <f t="shared" si="76"/>
        <v>64.947892620979644</v>
      </c>
      <c r="BE98" s="145">
        <f t="shared" si="77"/>
        <v>0.82867154312206992</v>
      </c>
      <c r="BF98" s="145">
        <f t="shared" si="78"/>
        <v>1.1000000000000001</v>
      </c>
    </row>
    <row r="99" spans="1:58" s="145" customFormat="1">
      <c r="A99" s="569"/>
      <c r="B99" s="116">
        <f t="shared" si="54"/>
        <v>96</v>
      </c>
      <c r="C99" s="69">
        <f t="shared" si="79"/>
        <v>42100</v>
      </c>
      <c r="D99" s="257">
        <f>IF(ISERROR(VLOOKUP($C99,'NDVI real'!$T$8:$U$313,2,FALSE)),VLOOKUP(SWB!C99,'NDVI tipo'!$T$8:$U$193,2),VLOOKUP($C99,'NDVI real'!$T$8:$U$313,2,FALSE))</f>
        <v>0.63432701013550175</v>
      </c>
      <c r="E99" s="170">
        <f t="shared" si="44"/>
        <v>4</v>
      </c>
      <c r="F99" s="170">
        <f t="shared" si="45"/>
        <v>6</v>
      </c>
      <c r="G99" s="170">
        <f t="shared" si="46"/>
        <v>2015</v>
      </c>
      <c r="H99" s="170">
        <f t="shared" si="55"/>
        <v>96</v>
      </c>
      <c r="I99" s="190">
        <f>IF(ISERROR(VLOOKUP($C99,Clima!$U$8:$AH$900,3,FALSE)),VLOOKUP($C99,Clima!$D$8:$R$900,3),VLOOKUP($C99,Clima!$U$8:$AH$900,3,FALSE))</f>
        <v>8.6999999999999993</v>
      </c>
      <c r="J99" s="191"/>
      <c r="K99" s="170"/>
      <c r="L99" s="192">
        <f>IF(ISERROR(VLOOKUP($C99,Clima!$U$8:$AH$900,14,FALSE)),VLOOKUP($C99,Clima!$D$8:$R$900,14),VLOOKUP($C99,Clima!$U$8:$AH$900,14,FALSE))</f>
        <v>1.4</v>
      </c>
      <c r="M99" s="190"/>
      <c r="N99" s="190"/>
      <c r="O99" s="191"/>
      <c r="P99" s="191">
        <f>IF(ISERROR(VLOOKUP($C99,Clima!$W$8:$AH$350,12,FALSE)),VLOOKUP($C99,Clima!$E$8:$P$350,12),VLOOKUP($C99,Clima!$W$8:$AH$350,12,FALSE))</f>
        <v>0</v>
      </c>
      <c r="Q99" s="170">
        <f t="shared" si="80"/>
        <v>69.598726528150081</v>
      </c>
      <c r="R99" s="254">
        <f>VLOOKUP(C99,Clima!$V$8:$AH$900,3,FALSE)+R98</f>
        <v>587.80000000000007</v>
      </c>
      <c r="S99" s="455">
        <f t="shared" si="56"/>
        <v>0.81343089459512252</v>
      </c>
      <c r="T99" s="449">
        <f t="shared" si="57"/>
        <v>1.1388032524331715</v>
      </c>
      <c r="U99" s="195"/>
      <c r="V99" s="445">
        <f t="shared" si="47"/>
        <v>1.0892273713091871</v>
      </c>
      <c r="W99" s="446">
        <f t="shared" si="58"/>
        <v>0</v>
      </c>
      <c r="X99" s="447">
        <f t="shared" si="81"/>
        <v>0.59484914206124706</v>
      </c>
      <c r="Y99" s="448">
        <f t="shared" si="59"/>
        <v>1</v>
      </c>
      <c r="Z99" s="449">
        <f t="shared" si="48"/>
        <v>0.40515085793875294</v>
      </c>
      <c r="AA99" s="449">
        <f t="shared" si="82"/>
        <v>7.1070161948883639</v>
      </c>
      <c r="AB99" s="451">
        <f t="shared" si="60"/>
        <v>3.3486892691686351E-2</v>
      </c>
      <c r="AC99" s="449">
        <f t="shared" si="49"/>
        <v>9.2355670204690554E-3</v>
      </c>
      <c r="AD99" s="449">
        <f t="shared" si="50"/>
        <v>1.2929793828656676E-2</v>
      </c>
      <c r="AE99" s="448">
        <f t="shared" si="83"/>
        <v>0</v>
      </c>
      <c r="AF99" s="449">
        <f t="shared" si="84"/>
        <v>7.1389297243189525</v>
      </c>
      <c r="AG99" s="449">
        <f t="shared" si="51"/>
        <v>0.82266646161559154</v>
      </c>
      <c r="AH99" s="449">
        <f t="shared" si="52"/>
        <v>1.151733046261828</v>
      </c>
      <c r="AI99" s="448"/>
      <c r="AJ99" s="449">
        <f t="shared" si="61"/>
        <v>0.6</v>
      </c>
      <c r="AK99" s="450">
        <f t="shared" si="53"/>
        <v>39</v>
      </c>
      <c r="AL99" s="449">
        <f t="shared" si="85"/>
        <v>30.045090883640427</v>
      </c>
      <c r="AM99" s="451">
        <f>IF(ISERROR(VLOOKUP(C99,Riegos,2,FALSE)),VLOOKUP(C99,Riegos,2,FALSE),VLOOKUP($F$8,Nomen!$A$79:$B$80,2,FALSE)*IF(AND(H99&gt;120,D99&lt;0.45),0,IF(AQ98+AH99&gt;=AK99,MIN(AQ98,$AK$7),0)))</f>
        <v>0</v>
      </c>
      <c r="AN99" s="448">
        <f t="shared" si="62"/>
        <v>0</v>
      </c>
      <c r="AO99" s="448">
        <f t="shared" si="63"/>
        <v>1</v>
      </c>
      <c r="AP99" s="449">
        <f t="shared" si="64"/>
        <v>0.82266646161559154</v>
      </c>
      <c r="AQ99" s="449">
        <f t="shared" si="65"/>
        <v>30.045090883640427</v>
      </c>
      <c r="AR99" s="449">
        <f t="shared" si="86"/>
        <v>84.977673845739105</v>
      </c>
      <c r="AS99" s="449">
        <f t="shared" si="66"/>
        <v>1.151733046261828</v>
      </c>
      <c r="AT99" s="449">
        <f t="shared" si="67"/>
        <v>114.76802516788989</v>
      </c>
      <c r="AU99" s="453">
        <f t="shared" si="68"/>
        <v>15</v>
      </c>
      <c r="AV99" s="145">
        <f t="shared" si="69"/>
        <v>88.600000000000009</v>
      </c>
      <c r="AW99" s="178">
        <f t="shared" si="70"/>
        <v>0</v>
      </c>
      <c r="AX99" s="179">
        <f t="shared" si="71"/>
        <v>0</v>
      </c>
      <c r="AY99" s="145">
        <f t="shared" si="87"/>
        <v>0.63432701013550175</v>
      </c>
      <c r="AZ99" s="145">
        <f t="shared" si="72"/>
        <v>1.0520867212845537</v>
      </c>
      <c r="BA99" s="145">
        <f t="shared" si="73"/>
        <v>36.440108395605712</v>
      </c>
      <c r="BB99" s="145">
        <f t="shared" si="74"/>
        <v>4.2083468851382151E-2</v>
      </c>
      <c r="BC99" s="145">
        <f t="shared" si="75"/>
        <v>1.4576043358242288</v>
      </c>
      <c r="BD99" s="145">
        <f t="shared" si="76"/>
        <v>66.01835634940349</v>
      </c>
      <c r="BE99" s="145">
        <f t="shared" si="77"/>
        <v>1.0704637284238459</v>
      </c>
      <c r="BF99" s="145">
        <f t="shared" si="78"/>
        <v>1.4</v>
      </c>
    </row>
    <row r="100" spans="1:58" s="145" customFormat="1">
      <c r="A100" s="569"/>
      <c r="B100" s="116">
        <f t="shared" si="54"/>
        <v>97</v>
      </c>
      <c r="C100" s="69">
        <f t="shared" si="79"/>
        <v>42101</v>
      </c>
      <c r="D100" s="257">
        <f>IF(ISERROR(VLOOKUP($C100,'NDVI real'!$T$8:$U$313,2,FALSE)),VLOOKUP(SWB!C100,'NDVI tipo'!$T$8:$U$193,2),VLOOKUP($C100,'NDVI real'!$T$8:$U$313,2,FALSE))</f>
        <v>0.64739536306233103</v>
      </c>
      <c r="E100" s="170">
        <f t="shared" si="44"/>
        <v>4</v>
      </c>
      <c r="F100" s="170">
        <f t="shared" si="45"/>
        <v>7</v>
      </c>
      <c r="G100" s="170">
        <f t="shared" si="46"/>
        <v>2015</v>
      </c>
      <c r="H100" s="170">
        <f t="shared" si="55"/>
        <v>97</v>
      </c>
      <c r="I100" s="190">
        <f>IF(ISERROR(VLOOKUP($C100,Clima!$U$8:$AH$900,3,FALSE)),VLOOKUP($C100,Clima!$D$8:$R$900,3),VLOOKUP($C100,Clima!$U$8:$AH$900,3,FALSE))</f>
        <v>11.2</v>
      </c>
      <c r="J100" s="191"/>
      <c r="K100" s="170"/>
      <c r="L100" s="192">
        <f>IF(ISERROR(VLOOKUP($C100,Clima!$U$8:$AH$900,14,FALSE)),VLOOKUP($C100,Clima!$D$8:$R$900,14),VLOOKUP($C100,Clima!$U$8:$AH$900,14,FALSE))</f>
        <v>3</v>
      </c>
      <c r="M100" s="190"/>
      <c r="N100" s="190"/>
      <c r="O100" s="191"/>
      <c r="P100" s="191">
        <f>IF(ISERROR(VLOOKUP($C100,Clima!$W$8:$AH$350,12,FALSE)),VLOOKUP($C100,Clima!$E$8:$P$350,12),VLOOKUP($C100,Clima!$W$8:$AH$350,12,FALSE))</f>
        <v>0</v>
      </c>
      <c r="Q100" s="170">
        <f t="shared" si="80"/>
        <v>72.095474496579357</v>
      </c>
      <c r="R100" s="254">
        <f>VLOOKUP(C100,Clima!$V$8:$AH$900,3,FALSE)+R99</f>
        <v>596.40000000000009</v>
      </c>
      <c r="S100" s="455">
        <f t="shared" si="56"/>
        <v>0.83224932280975672</v>
      </c>
      <c r="T100" s="449">
        <f t="shared" si="57"/>
        <v>2.4967479684292702</v>
      </c>
      <c r="U100" s="195"/>
      <c r="V100" s="445">
        <f t="shared" si="47"/>
        <v>1.0915600723066259</v>
      </c>
      <c r="W100" s="446">
        <f t="shared" si="58"/>
        <v>0</v>
      </c>
      <c r="X100" s="447">
        <f t="shared" si="81"/>
        <v>0.61040048204417385</v>
      </c>
      <c r="Y100" s="448">
        <f t="shared" si="59"/>
        <v>1</v>
      </c>
      <c r="Z100" s="449">
        <f t="shared" si="48"/>
        <v>0.38959951795582615</v>
      </c>
      <c r="AA100" s="449">
        <f t="shared" si="82"/>
        <v>7.1389297243189525</v>
      </c>
      <c r="AB100" s="451">
        <f t="shared" si="60"/>
        <v>3.2290135338039282E-2</v>
      </c>
      <c r="AC100" s="449">
        <f t="shared" si="49"/>
        <v>8.373179195862307E-3</v>
      </c>
      <c r="AD100" s="449">
        <f t="shared" si="50"/>
        <v>2.5119537587586921E-2</v>
      </c>
      <c r="AE100" s="448">
        <f t="shared" si="83"/>
        <v>0</v>
      </c>
      <c r="AF100" s="449">
        <f t="shared" si="84"/>
        <v>7.2034050032396904</v>
      </c>
      <c r="AG100" s="449">
        <f t="shared" si="51"/>
        <v>0.84062250200561905</v>
      </c>
      <c r="AH100" s="449">
        <f t="shared" si="52"/>
        <v>2.5218675060168572</v>
      </c>
      <c r="AI100" s="448"/>
      <c r="AJ100" s="449">
        <f t="shared" si="61"/>
        <v>0.6</v>
      </c>
      <c r="AK100" s="450">
        <f t="shared" si="53"/>
        <v>39</v>
      </c>
      <c r="AL100" s="449">
        <f t="shared" si="85"/>
        <v>32.566958389657287</v>
      </c>
      <c r="AM100" s="451">
        <f>IF(ISERROR(VLOOKUP(C100,Riegos,2,FALSE)),VLOOKUP(C100,Riegos,2,FALSE),VLOOKUP($F$8,Nomen!$A$79:$B$80,2,FALSE)*IF(AND(H100&gt;120,D100&lt;0.45),0,IF(AQ99+AH100&gt;=AK100,MIN(AQ99,$AK$7),0)))</f>
        <v>0</v>
      </c>
      <c r="AN100" s="448">
        <f t="shared" si="62"/>
        <v>0</v>
      </c>
      <c r="AO100" s="448">
        <f t="shared" si="63"/>
        <v>1</v>
      </c>
      <c r="AP100" s="449">
        <f t="shared" si="64"/>
        <v>0.84062250200561905</v>
      </c>
      <c r="AQ100" s="449">
        <f t="shared" si="65"/>
        <v>32.566958389657287</v>
      </c>
      <c r="AR100" s="449">
        <f t="shared" si="86"/>
        <v>85.977673845739105</v>
      </c>
      <c r="AS100" s="449">
        <f t="shared" si="66"/>
        <v>2.5218675060168572</v>
      </c>
      <c r="AT100" s="449">
        <f t="shared" si="67"/>
        <v>117.28989267390675</v>
      </c>
      <c r="AU100" s="453">
        <f t="shared" si="68"/>
        <v>15</v>
      </c>
      <c r="AV100" s="145">
        <f t="shared" si="69"/>
        <v>88.600000000000009</v>
      </c>
      <c r="AW100" s="178">
        <f t="shared" si="70"/>
        <v>0</v>
      </c>
      <c r="AX100" s="179">
        <f t="shared" si="71"/>
        <v>0</v>
      </c>
      <c r="AY100" s="145">
        <f t="shared" si="87"/>
        <v>0.64739536306233103</v>
      </c>
      <c r="AZ100" s="145">
        <f t="shared" si="72"/>
        <v>2.3132791337804894</v>
      </c>
      <c r="BA100" s="145">
        <f t="shared" si="73"/>
        <v>38.753387529386202</v>
      </c>
      <c r="BB100" s="145">
        <f t="shared" si="74"/>
        <v>9.253116535121958E-2</v>
      </c>
      <c r="BC100" s="145">
        <f t="shared" si="75"/>
        <v>1.5501355011754483</v>
      </c>
      <c r="BD100" s="145">
        <f t="shared" si="76"/>
        <v>68.325065034396744</v>
      </c>
      <c r="BE100" s="145">
        <f t="shared" si="77"/>
        <v>2.3067086849932537</v>
      </c>
      <c r="BF100" s="145">
        <f t="shared" si="78"/>
        <v>3</v>
      </c>
    </row>
    <row r="101" spans="1:58" s="145" customFormat="1" ht="15" customHeight="1">
      <c r="A101" s="569"/>
      <c r="B101" s="116">
        <f t="shared" si="54"/>
        <v>98</v>
      </c>
      <c r="C101" s="69">
        <f t="shared" si="79"/>
        <v>42102</v>
      </c>
      <c r="D101" s="257">
        <f>IF(ISERROR(VLOOKUP($C101,'NDVI real'!$T$8:$U$313,2,FALSE)),VLOOKUP(SWB!C101,'NDVI tipo'!$T$8:$U$193,2),VLOOKUP($C101,'NDVI real'!$T$8:$U$313,2,FALSE))</f>
        <v>0.66046371598916032</v>
      </c>
      <c r="E101" s="170">
        <f t="shared" si="44"/>
        <v>4</v>
      </c>
      <c r="F101" s="170">
        <f t="shared" si="45"/>
        <v>8</v>
      </c>
      <c r="G101" s="170">
        <f t="shared" si="46"/>
        <v>2015</v>
      </c>
      <c r="H101" s="170">
        <f t="shared" si="55"/>
        <v>98</v>
      </c>
      <c r="I101" s="190">
        <f>IF(ISERROR(VLOOKUP($C101,Clima!$U$8:$AH$900,3,FALSE)),VLOOKUP($C101,Clima!$D$8:$R$900,3),VLOOKUP($C101,Clima!$U$8:$AH$900,3,FALSE))</f>
        <v>10.8</v>
      </c>
      <c r="J101" s="191"/>
      <c r="K101" s="170"/>
      <c r="L101" s="192">
        <f>IF(ISERROR(VLOOKUP($C101,Clima!$U$8:$AH$900,14,FALSE)),VLOOKUP($C101,Clima!$D$8:$R$900,14),VLOOKUP($C101,Clima!$U$8:$AH$900,14,FALSE))</f>
        <v>3.8</v>
      </c>
      <c r="M101" s="190"/>
      <c r="N101" s="190"/>
      <c r="O101" s="191"/>
      <c r="P101" s="191">
        <f>IF(ISERROR(VLOOKUP($C101,Clima!$W$8:$AH$350,12,FALSE)),VLOOKUP($C101,Clima!$E$8:$P$350,12),VLOOKUP($C101,Clima!$W$8:$AH$350,12,FALSE))</f>
        <v>0</v>
      </c>
      <c r="Q101" s="170">
        <f t="shared" si="80"/>
        <v>75.329531950472045</v>
      </c>
      <c r="R101" s="254">
        <f>VLOOKUP(C101,Clima!$V$8:$AH$900,3,FALSE)+R100</f>
        <v>605.40000000000009</v>
      </c>
      <c r="S101" s="455">
        <f t="shared" si="56"/>
        <v>0.85106775102439081</v>
      </c>
      <c r="T101" s="449">
        <f t="shared" si="57"/>
        <v>3.2340574538926847</v>
      </c>
      <c r="U101" s="195"/>
      <c r="V101" s="445">
        <f t="shared" si="47"/>
        <v>1.0938927733040651</v>
      </c>
      <c r="W101" s="446">
        <f t="shared" si="58"/>
        <v>0</v>
      </c>
      <c r="X101" s="447">
        <f t="shared" si="81"/>
        <v>0.62595182202710076</v>
      </c>
      <c r="Y101" s="448">
        <f t="shared" si="59"/>
        <v>1</v>
      </c>
      <c r="Z101" s="449">
        <f t="shared" si="48"/>
        <v>0.37404817797289924</v>
      </c>
      <c r="AA101" s="449">
        <f t="shared" si="82"/>
        <v>7.2034050032396904</v>
      </c>
      <c r="AB101" s="451">
        <f t="shared" si="60"/>
        <v>2.9872312378511609E-2</v>
      </c>
      <c r="AC101" s="449">
        <f t="shared" si="49"/>
        <v>7.2537449188574714E-3</v>
      </c>
      <c r="AD101" s="449">
        <f t="shared" si="50"/>
        <v>2.7564230691658389E-2</v>
      </c>
      <c r="AE101" s="448">
        <f t="shared" si="83"/>
        <v>0</v>
      </c>
      <c r="AF101" s="449">
        <f t="shared" si="84"/>
        <v>7.2770966620015081</v>
      </c>
      <c r="AG101" s="449">
        <f t="shared" si="51"/>
        <v>0.85832149594324825</v>
      </c>
      <c r="AH101" s="449">
        <f t="shared" si="52"/>
        <v>3.2616216845843433</v>
      </c>
      <c r="AI101" s="448"/>
      <c r="AJ101" s="449">
        <f t="shared" si="61"/>
        <v>0.6</v>
      </c>
      <c r="AK101" s="450">
        <f t="shared" si="53"/>
        <v>39</v>
      </c>
      <c r="AL101" s="449">
        <f t="shared" si="85"/>
        <v>35.828580074241628</v>
      </c>
      <c r="AM101" s="451">
        <f>IF(ISERROR(VLOOKUP(C101,Riegos,2,FALSE)),VLOOKUP(C101,Riegos,2,FALSE),VLOOKUP($F$8,Nomen!$A$79:$B$80,2,FALSE)*IF(AND(H101&gt;120,D101&lt;0.45),0,IF(AQ100+AH101&gt;=AK101,MIN(AQ100,$AK$7),0)))</f>
        <v>0</v>
      </c>
      <c r="AN101" s="448">
        <f t="shared" si="62"/>
        <v>0</v>
      </c>
      <c r="AO101" s="448">
        <f t="shared" si="63"/>
        <v>1</v>
      </c>
      <c r="AP101" s="449">
        <f t="shared" si="64"/>
        <v>0.85832149594324825</v>
      </c>
      <c r="AQ101" s="449">
        <f t="shared" si="65"/>
        <v>35.828580074241628</v>
      </c>
      <c r="AR101" s="449">
        <f t="shared" si="86"/>
        <v>86.977673845739105</v>
      </c>
      <c r="AS101" s="449">
        <f t="shared" si="66"/>
        <v>3.2616216845843433</v>
      </c>
      <c r="AT101" s="449">
        <f t="shared" si="67"/>
        <v>120.55151435849109</v>
      </c>
      <c r="AU101" s="453">
        <f t="shared" si="68"/>
        <v>15</v>
      </c>
      <c r="AV101" s="145">
        <f t="shared" si="69"/>
        <v>88.600000000000009</v>
      </c>
      <c r="AW101" s="178">
        <f t="shared" si="70"/>
        <v>0</v>
      </c>
      <c r="AX101" s="179">
        <f t="shared" si="71"/>
        <v>0</v>
      </c>
      <c r="AY101" s="145">
        <f t="shared" si="87"/>
        <v>0.66046371598916032</v>
      </c>
      <c r="AZ101" s="145">
        <f t="shared" si="72"/>
        <v>3.0046431811382135</v>
      </c>
      <c r="BA101" s="145">
        <f t="shared" si="73"/>
        <v>41.758030710524416</v>
      </c>
      <c r="BB101" s="145">
        <f t="shared" si="74"/>
        <v>0.12018572724552853</v>
      </c>
      <c r="BC101" s="145">
        <f t="shared" si="75"/>
        <v>1.6703212284209767</v>
      </c>
      <c r="BD101" s="145">
        <f t="shared" si="76"/>
        <v>71.232171247965923</v>
      </c>
      <c r="BE101" s="145">
        <f t="shared" si="77"/>
        <v>2.907106213569179</v>
      </c>
      <c r="BF101" s="145">
        <f t="shared" si="78"/>
        <v>3.8</v>
      </c>
    </row>
    <row r="102" spans="1:58" s="145" customFormat="1">
      <c r="A102" s="569"/>
      <c r="B102" s="116">
        <f t="shared" si="54"/>
        <v>99</v>
      </c>
      <c r="C102" s="69">
        <f t="shared" si="79"/>
        <v>42103</v>
      </c>
      <c r="D102" s="257">
        <f>IF(ISERROR(VLOOKUP($C102,'NDVI real'!$T$8:$U$313,2,FALSE)),VLOOKUP(SWB!C102,'NDVI tipo'!$T$8:$U$193,2),VLOOKUP($C102,'NDVI real'!$T$8:$U$313,2,FALSE))</f>
        <v>0.6735320689159896</v>
      </c>
      <c r="E102" s="170">
        <f t="shared" si="44"/>
        <v>4</v>
      </c>
      <c r="F102" s="170">
        <f t="shared" si="45"/>
        <v>9</v>
      </c>
      <c r="G102" s="170">
        <f t="shared" si="46"/>
        <v>2015</v>
      </c>
      <c r="H102" s="170">
        <f t="shared" si="55"/>
        <v>99</v>
      </c>
      <c r="I102" s="190">
        <f>IF(ISERROR(VLOOKUP($C102,Clima!$U$8:$AH$900,3,FALSE)),VLOOKUP($C102,Clima!$D$8:$R$900,3),VLOOKUP($C102,Clima!$U$8:$AH$900,3,FALSE))</f>
        <v>8.4</v>
      </c>
      <c r="J102" s="191"/>
      <c r="K102" s="170"/>
      <c r="L102" s="192">
        <f>IF(ISERROR(VLOOKUP($C102,Clima!$U$8:$AH$900,14,FALSE)),VLOOKUP($C102,Clima!$D$8:$R$900,14),VLOOKUP($C102,Clima!$U$8:$AH$900,14,FALSE))</f>
        <v>3.6</v>
      </c>
      <c r="M102" s="190"/>
      <c r="N102" s="190"/>
      <c r="O102" s="191"/>
      <c r="P102" s="191">
        <f>IF(ISERROR(VLOOKUP($C102,Clima!$W$8:$AH$350,12,FALSE)),VLOOKUP($C102,Clima!$E$8:$P$350,12),VLOOKUP($C102,Clima!$W$8:$AH$350,12,FALSE))</f>
        <v>1</v>
      </c>
      <c r="Q102" s="170">
        <f t="shared" si="80"/>
        <v>78.461122195732543</v>
      </c>
      <c r="R102" s="254">
        <f>VLOOKUP(C102,Clima!$V$8:$AH$900,3,FALSE)+R101</f>
        <v>613.10000000000014</v>
      </c>
      <c r="S102" s="455">
        <f t="shared" si="56"/>
        <v>0.869886179239025</v>
      </c>
      <c r="T102" s="449">
        <f t="shared" si="57"/>
        <v>3.1315902452604902</v>
      </c>
      <c r="U102" s="195"/>
      <c r="V102" s="445">
        <f t="shared" si="47"/>
        <v>1.0962254743015041</v>
      </c>
      <c r="W102" s="446">
        <f t="shared" si="58"/>
        <v>0</v>
      </c>
      <c r="X102" s="447">
        <f t="shared" si="81"/>
        <v>0.64150316201002755</v>
      </c>
      <c r="Y102" s="448">
        <f t="shared" si="59"/>
        <v>1</v>
      </c>
      <c r="Z102" s="449">
        <f t="shared" si="48"/>
        <v>0.35849683798997245</v>
      </c>
      <c r="AA102" s="449">
        <f t="shared" si="82"/>
        <v>6.2770966620015081</v>
      </c>
      <c r="AB102" s="451">
        <f t="shared" si="60"/>
        <v>6.4608875174943445E-2</v>
      </c>
      <c r="AC102" s="449">
        <f t="shared" si="49"/>
        <v>1.4623527261876403E-2</v>
      </c>
      <c r="AD102" s="449">
        <f t="shared" si="50"/>
        <v>5.2644698142755054E-2</v>
      </c>
      <c r="AE102" s="448">
        <f t="shared" si="83"/>
        <v>0</v>
      </c>
      <c r="AF102" s="449">
        <f t="shared" si="84"/>
        <v>6.4239450929051793</v>
      </c>
      <c r="AG102" s="449">
        <f t="shared" si="51"/>
        <v>0.88450970650090144</v>
      </c>
      <c r="AH102" s="449">
        <f t="shared" si="52"/>
        <v>3.1842349434032453</v>
      </c>
      <c r="AI102" s="448"/>
      <c r="AJ102" s="449">
        <f t="shared" si="61"/>
        <v>0.6</v>
      </c>
      <c r="AK102" s="450">
        <f t="shared" si="53"/>
        <v>39</v>
      </c>
      <c r="AL102" s="449">
        <f t="shared" si="85"/>
        <v>38.012815017644876</v>
      </c>
      <c r="AM102" s="451">
        <f>IF(ISERROR(VLOOKUP(C102,Riegos,2,FALSE)),VLOOKUP(C102,Riegos,2,FALSE),VLOOKUP($F$8,Nomen!$A$79:$B$80,2,FALSE)*IF(AND(H102&gt;120,D102&lt;0.45),0,IF(AQ101+AH102&gt;=AK102,MIN(AQ101,$AK$7),0)))</f>
        <v>5</v>
      </c>
      <c r="AN102" s="448">
        <f t="shared" si="62"/>
        <v>0</v>
      </c>
      <c r="AO102" s="448">
        <f t="shared" si="63"/>
        <v>1</v>
      </c>
      <c r="AP102" s="449">
        <f t="shared" si="64"/>
        <v>0.88450970650090144</v>
      </c>
      <c r="AQ102" s="449">
        <f t="shared" si="65"/>
        <v>38.012815017644876</v>
      </c>
      <c r="AR102" s="449">
        <f t="shared" si="86"/>
        <v>87.977673845739105</v>
      </c>
      <c r="AS102" s="449">
        <f t="shared" si="66"/>
        <v>3.1842349434032453</v>
      </c>
      <c r="AT102" s="449">
        <f t="shared" si="67"/>
        <v>123.73574930189433</v>
      </c>
      <c r="AU102" s="453">
        <f t="shared" si="68"/>
        <v>20</v>
      </c>
      <c r="AV102" s="145">
        <f t="shared" si="69"/>
        <v>89.600000000000009</v>
      </c>
      <c r="AW102" s="178">
        <f t="shared" si="70"/>
        <v>0</v>
      </c>
      <c r="AX102" s="179">
        <f t="shared" si="71"/>
        <v>0</v>
      </c>
      <c r="AY102" s="145">
        <f t="shared" si="87"/>
        <v>0.6735320689159896</v>
      </c>
      <c r="AZ102" s="145">
        <f t="shared" si="72"/>
        <v>2.9170731721463441</v>
      </c>
      <c r="BA102" s="145">
        <f t="shared" si="73"/>
        <v>44.675103882670761</v>
      </c>
      <c r="BB102" s="145">
        <f t="shared" si="74"/>
        <v>0.11668292688585376</v>
      </c>
      <c r="BC102" s="145">
        <f t="shared" si="75"/>
        <v>1.7870041553068305</v>
      </c>
      <c r="BD102" s="145">
        <f t="shared" si="76"/>
        <v>73.967313577007133</v>
      </c>
      <c r="BE102" s="145">
        <f t="shared" si="77"/>
        <v>2.73514232904121</v>
      </c>
      <c r="BF102" s="145">
        <f t="shared" si="78"/>
        <v>3.6</v>
      </c>
    </row>
    <row r="103" spans="1:58" s="145" customFormat="1">
      <c r="A103" s="569"/>
      <c r="B103" s="116">
        <f t="shared" si="54"/>
        <v>100</v>
      </c>
      <c r="C103" s="69">
        <f t="shared" si="79"/>
        <v>42104</v>
      </c>
      <c r="D103" s="257">
        <f>IF(ISERROR(VLOOKUP($C103,'NDVI real'!$T$8:$U$313,2,FALSE)),VLOOKUP(SWB!C103,'NDVI tipo'!$T$8:$U$193,2),VLOOKUP($C103,'NDVI real'!$T$8:$U$313,2,FALSE))</f>
        <v>0.68660042184281889</v>
      </c>
      <c r="E103" s="170">
        <f t="shared" si="44"/>
        <v>4</v>
      </c>
      <c r="F103" s="170">
        <f t="shared" si="45"/>
        <v>10</v>
      </c>
      <c r="G103" s="170">
        <f t="shared" si="46"/>
        <v>2015</v>
      </c>
      <c r="H103" s="170">
        <f t="shared" si="55"/>
        <v>100</v>
      </c>
      <c r="I103" s="190">
        <f>IF(ISERROR(VLOOKUP($C103,Clima!$U$8:$AH$900,3,FALSE)),VLOOKUP($C103,Clima!$D$8:$R$900,3),VLOOKUP($C103,Clima!$U$8:$AH$900,3,FALSE))</f>
        <v>8.6999999999999993</v>
      </c>
      <c r="J103" s="191"/>
      <c r="K103" s="170"/>
      <c r="L103" s="192">
        <f>IF(ISERROR(VLOOKUP($C103,Clima!$U$8:$AH$900,14,FALSE)),VLOOKUP($C103,Clima!$D$8:$R$900,14),VLOOKUP($C103,Clima!$U$8:$AH$900,14,FALSE))</f>
        <v>3.7</v>
      </c>
      <c r="M103" s="190"/>
      <c r="N103" s="190"/>
      <c r="O103" s="191"/>
      <c r="P103" s="191">
        <f>IF(ISERROR(VLOOKUP($C103,Clima!$W$8:$AH$350,12,FALSE)),VLOOKUP($C103,Clima!$E$8:$P$350,12),VLOOKUP($C103,Clima!$W$8:$AH$350,12,FALSE))</f>
        <v>0</v>
      </c>
      <c r="Q103" s="170">
        <f t="shared" si="80"/>
        <v>81.749329243311081</v>
      </c>
      <c r="R103" s="254">
        <f>VLOOKUP(C103,Clima!$V$8:$AH$900,3,FALSE)+R102</f>
        <v>623.60000000000014</v>
      </c>
      <c r="S103" s="455">
        <f t="shared" si="56"/>
        <v>0.8887046074536592</v>
      </c>
      <c r="T103" s="449">
        <f t="shared" si="57"/>
        <v>3.2882070475785392</v>
      </c>
      <c r="U103" s="195"/>
      <c r="V103" s="445">
        <f t="shared" si="47"/>
        <v>1.0985581752989431</v>
      </c>
      <c r="W103" s="446">
        <f t="shared" si="58"/>
        <v>5</v>
      </c>
      <c r="X103" s="447">
        <f t="shared" si="81"/>
        <v>0.65705450199295445</v>
      </c>
      <c r="Y103" s="448">
        <f t="shared" si="59"/>
        <v>1</v>
      </c>
      <c r="Z103" s="449">
        <f t="shared" si="48"/>
        <v>0.34294549800704555</v>
      </c>
      <c r="AA103" s="449">
        <f t="shared" si="82"/>
        <v>1.4239450929051793</v>
      </c>
      <c r="AB103" s="451">
        <f t="shared" si="60"/>
        <v>1</v>
      </c>
      <c r="AC103" s="449">
        <f t="shared" si="49"/>
        <v>0.20985356784528386</v>
      </c>
      <c r="AD103" s="449">
        <f t="shared" si="50"/>
        <v>0.77645820102755037</v>
      </c>
      <c r="AE103" s="448">
        <f t="shared" si="83"/>
        <v>0</v>
      </c>
      <c r="AF103" s="449">
        <f t="shared" si="84"/>
        <v>3.688031385157946</v>
      </c>
      <c r="AG103" s="449">
        <f t="shared" si="51"/>
        <v>1.0985581752989431</v>
      </c>
      <c r="AH103" s="449">
        <f t="shared" si="52"/>
        <v>4.0646652486060892</v>
      </c>
      <c r="AI103" s="448"/>
      <c r="AJ103" s="449">
        <f t="shared" si="61"/>
        <v>0.6</v>
      </c>
      <c r="AK103" s="450">
        <f t="shared" si="53"/>
        <v>39</v>
      </c>
      <c r="AL103" s="449">
        <f t="shared" si="85"/>
        <v>37.077480266250966</v>
      </c>
      <c r="AM103" s="451">
        <f>IF(ISERROR(VLOOKUP(C103,Riegos,2,FALSE)),VLOOKUP(C103,Riegos,2,FALSE),VLOOKUP($F$8,Nomen!$A$79:$B$80,2,FALSE)*IF(AND(H103&gt;120,D103&lt;0.45),0,IF(AQ102+AH103&gt;=AK103,MIN(AQ102,$AK$7),0)))</f>
        <v>5</v>
      </c>
      <c r="AN103" s="448">
        <f t="shared" si="62"/>
        <v>0</v>
      </c>
      <c r="AO103" s="448">
        <f t="shared" si="63"/>
        <v>1</v>
      </c>
      <c r="AP103" s="449">
        <f t="shared" si="64"/>
        <v>1.0985581752989431</v>
      </c>
      <c r="AQ103" s="449">
        <f t="shared" si="65"/>
        <v>37.077480266250966</v>
      </c>
      <c r="AR103" s="449">
        <f t="shared" si="86"/>
        <v>88.977673845739105</v>
      </c>
      <c r="AS103" s="449">
        <f t="shared" si="66"/>
        <v>4.0646652486060892</v>
      </c>
      <c r="AT103" s="449">
        <f t="shared" si="67"/>
        <v>127.80041455050042</v>
      </c>
      <c r="AU103" s="453">
        <f t="shared" si="68"/>
        <v>25</v>
      </c>
      <c r="AV103" s="145">
        <f t="shared" si="69"/>
        <v>89.600000000000009</v>
      </c>
      <c r="AW103" s="178">
        <f t="shared" si="70"/>
        <v>0</v>
      </c>
      <c r="AX103" s="179">
        <f t="shared" si="71"/>
        <v>0</v>
      </c>
      <c r="AY103" s="145">
        <f t="shared" si="87"/>
        <v>0.68660042184281889</v>
      </c>
      <c r="AZ103" s="145">
        <f t="shared" si="72"/>
        <v>3.0706323412276455</v>
      </c>
      <c r="BA103" s="145">
        <f t="shared" si="73"/>
        <v>47.745736223898405</v>
      </c>
      <c r="BB103" s="145">
        <f t="shared" si="74"/>
        <v>0.12282529364910583</v>
      </c>
      <c r="BC103" s="145">
        <f t="shared" si="75"/>
        <v>1.9098294489559364</v>
      </c>
      <c r="BD103" s="145">
        <f t="shared" si="76"/>
        <v>76.762438220282192</v>
      </c>
      <c r="BE103" s="145">
        <f t="shared" si="77"/>
        <v>2.7951246432750594</v>
      </c>
      <c r="BF103" s="145">
        <f t="shared" si="78"/>
        <v>3.7</v>
      </c>
    </row>
    <row r="104" spans="1:58" s="145" customFormat="1">
      <c r="A104" s="569"/>
      <c r="B104" s="116">
        <f t="shared" si="54"/>
        <v>101</v>
      </c>
      <c r="C104" s="69">
        <f t="shared" si="79"/>
        <v>42105</v>
      </c>
      <c r="D104" s="257">
        <f>IF(ISERROR(VLOOKUP($C104,'NDVI real'!$T$8:$U$313,2,FALSE)),VLOOKUP(SWB!C104,'NDVI tipo'!$T$8:$U$193,2),VLOOKUP($C104,'NDVI real'!$T$8:$U$313,2,FALSE))</f>
        <v>0.69966877476964817</v>
      </c>
      <c r="E104" s="170">
        <f t="shared" si="44"/>
        <v>4</v>
      </c>
      <c r="F104" s="170">
        <f t="shared" si="45"/>
        <v>11</v>
      </c>
      <c r="G104" s="170">
        <f t="shared" si="46"/>
        <v>2015</v>
      </c>
      <c r="H104" s="170">
        <f t="shared" si="55"/>
        <v>101</v>
      </c>
      <c r="I104" s="190">
        <f>IF(ISERROR(VLOOKUP($C104,Clima!$U$8:$AH$900,3,FALSE)),VLOOKUP($C104,Clima!$D$8:$R$900,3),VLOOKUP($C104,Clima!$U$8:$AH$900,3,FALSE))</f>
        <v>10.8</v>
      </c>
      <c r="J104" s="191"/>
      <c r="K104" s="170"/>
      <c r="L104" s="192">
        <f>IF(ISERROR(VLOOKUP($C104,Clima!$U$8:$AH$900,14,FALSE)),VLOOKUP($C104,Clima!$D$8:$R$900,14),VLOOKUP($C104,Clima!$U$8:$AH$900,14,FALSE))</f>
        <v>3.6</v>
      </c>
      <c r="M104" s="190"/>
      <c r="N104" s="190"/>
      <c r="O104" s="191"/>
      <c r="P104" s="191">
        <f>IF(ISERROR(VLOOKUP($C104,Clima!$W$8:$AH$350,12,FALSE)),VLOOKUP($C104,Clima!$E$8:$P$350,12),VLOOKUP($C104,Clima!$W$8:$AH$350,12,FALSE))</f>
        <v>0.6</v>
      </c>
      <c r="Q104" s="170">
        <f t="shared" si="80"/>
        <v>85.016412171716937</v>
      </c>
      <c r="R104" s="254">
        <f>VLOOKUP(C104,Clima!$V$8:$AH$900,3,FALSE)+R103</f>
        <v>633.20000000000016</v>
      </c>
      <c r="S104" s="455">
        <f t="shared" si="56"/>
        <v>0.9075230356682934</v>
      </c>
      <c r="T104" s="449">
        <f t="shared" si="57"/>
        <v>3.2670829284058565</v>
      </c>
      <c r="U104" s="195"/>
      <c r="V104" s="445">
        <f t="shared" si="47"/>
        <v>1.1008908762963823</v>
      </c>
      <c r="W104" s="446">
        <f t="shared" si="58"/>
        <v>5</v>
      </c>
      <c r="X104" s="447">
        <f t="shared" si="81"/>
        <v>0.67260584197588125</v>
      </c>
      <c r="Y104" s="448">
        <f t="shared" si="59"/>
        <v>1</v>
      </c>
      <c r="Z104" s="449">
        <f t="shared" si="48"/>
        <v>0.32739415802411875</v>
      </c>
      <c r="AA104" s="449">
        <f t="shared" si="82"/>
        <v>0</v>
      </c>
      <c r="AB104" s="451">
        <f t="shared" si="60"/>
        <v>1</v>
      </c>
      <c r="AC104" s="449">
        <f t="shared" si="49"/>
        <v>0.19336784062808887</v>
      </c>
      <c r="AD104" s="449">
        <f t="shared" si="50"/>
        <v>0.69612422626111992</v>
      </c>
      <c r="AE104" s="448">
        <f t="shared" si="83"/>
        <v>1.9119686148420536</v>
      </c>
      <c r="AF104" s="449">
        <f t="shared" si="84"/>
        <v>2.1262573237786273</v>
      </c>
      <c r="AG104" s="449">
        <f t="shared" si="51"/>
        <v>1.1008908762963823</v>
      </c>
      <c r="AH104" s="449">
        <f t="shared" si="52"/>
        <v>3.9632071546669763</v>
      </c>
      <c r="AI104" s="448"/>
      <c r="AJ104" s="449">
        <f t="shared" si="61"/>
        <v>0.6</v>
      </c>
      <c r="AK104" s="450">
        <f t="shared" si="53"/>
        <v>39</v>
      </c>
      <c r="AL104" s="449">
        <f t="shared" si="85"/>
        <v>35.440687420917939</v>
      </c>
      <c r="AM104" s="451">
        <f>IF(ISERROR(VLOOKUP(C104,Riegos,2,FALSE)),VLOOKUP(C104,Riegos,2,FALSE),VLOOKUP($F$8,Nomen!$A$79:$B$80,2,FALSE)*IF(AND(H104&gt;120,D104&lt;0.45),0,IF(AQ103+AH104&gt;=AK104,MIN(AQ103,$AK$7),0)))</f>
        <v>5</v>
      </c>
      <c r="AN104" s="448">
        <f t="shared" si="62"/>
        <v>0</v>
      </c>
      <c r="AO104" s="448">
        <f t="shared" si="63"/>
        <v>1</v>
      </c>
      <c r="AP104" s="449">
        <f t="shared" si="64"/>
        <v>1.1008908762963823</v>
      </c>
      <c r="AQ104" s="449">
        <f t="shared" si="65"/>
        <v>35.440687420917939</v>
      </c>
      <c r="AR104" s="449">
        <f t="shared" si="86"/>
        <v>89.977673845739105</v>
      </c>
      <c r="AS104" s="449">
        <f t="shared" si="66"/>
        <v>3.9632071546669763</v>
      </c>
      <c r="AT104" s="449">
        <f t="shared" si="67"/>
        <v>131.7636217051674</v>
      </c>
      <c r="AU104" s="453">
        <f t="shared" si="68"/>
        <v>30</v>
      </c>
      <c r="AV104" s="145">
        <f t="shared" si="69"/>
        <v>90.2</v>
      </c>
      <c r="AW104" s="178">
        <f t="shared" si="70"/>
        <v>0</v>
      </c>
      <c r="AX104" s="179">
        <f t="shared" si="71"/>
        <v>0</v>
      </c>
      <c r="AY104" s="145">
        <f t="shared" si="87"/>
        <v>0.69966877476964817</v>
      </c>
      <c r="AZ104" s="145">
        <f t="shared" si="72"/>
        <v>3.0582113837560998</v>
      </c>
      <c r="BA104" s="145">
        <f t="shared" si="73"/>
        <v>50.803947607654507</v>
      </c>
      <c r="BB104" s="145">
        <f t="shared" si="74"/>
        <v>0.12232845535024399</v>
      </c>
      <c r="BC104" s="145">
        <f t="shared" si="75"/>
        <v>2.0321579043061804</v>
      </c>
      <c r="BD104" s="145">
        <f t="shared" si="76"/>
        <v>79.468321401844037</v>
      </c>
      <c r="BE104" s="145">
        <f t="shared" si="77"/>
        <v>2.7058831815618447</v>
      </c>
      <c r="BF104" s="145">
        <f t="shared" si="78"/>
        <v>3.6</v>
      </c>
    </row>
    <row r="105" spans="1:58" s="145" customFormat="1">
      <c r="A105" s="569"/>
      <c r="B105" s="116">
        <f t="shared" si="54"/>
        <v>102</v>
      </c>
      <c r="C105" s="69">
        <f t="shared" si="79"/>
        <v>42106</v>
      </c>
      <c r="D105" s="257">
        <f>IF(ISERROR(VLOOKUP($C105,'NDVI real'!$T$8:$U$313,2,FALSE)),VLOOKUP(SWB!C105,'NDVI tipo'!$T$8:$U$193,2),VLOOKUP($C105,'NDVI real'!$T$8:$U$313,2,FALSE))</f>
        <v>0.71273712769647746</v>
      </c>
      <c r="E105" s="170">
        <f t="shared" si="44"/>
        <v>4</v>
      </c>
      <c r="F105" s="170">
        <f t="shared" si="45"/>
        <v>12</v>
      </c>
      <c r="G105" s="170">
        <f t="shared" si="46"/>
        <v>2015</v>
      </c>
      <c r="H105" s="170">
        <f t="shared" si="55"/>
        <v>102</v>
      </c>
      <c r="I105" s="190">
        <f>IF(ISERROR(VLOOKUP($C105,Clima!$U$8:$AH$900,3,FALSE)),VLOOKUP($C105,Clima!$D$8:$R$900,3),VLOOKUP($C105,Clima!$U$8:$AH$900,3,FALSE))</f>
        <v>10.5</v>
      </c>
      <c r="J105" s="191"/>
      <c r="K105" s="170"/>
      <c r="L105" s="192">
        <f>IF(ISERROR(VLOOKUP($C105,Clima!$U$8:$AH$900,14,FALSE)),VLOOKUP($C105,Clima!$D$8:$R$900,14),VLOOKUP($C105,Clima!$U$8:$AH$900,14,FALSE))</f>
        <v>3.1</v>
      </c>
      <c r="M105" s="190"/>
      <c r="N105" s="190"/>
      <c r="O105" s="191"/>
      <c r="P105" s="191">
        <f>IF(ISERROR(VLOOKUP($C105,Clima!$W$8:$AH$350,12,FALSE)),VLOOKUP($C105,Clima!$E$8:$P$350,12),VLOOKUP($C105,Clima!$W$8:$AH$350,12,FALSE))</f>
        <v>0</v>
      </c>
      <c r="Q105" s="170">
        <f t="shared" si="80"/>
        <v>87.888070709754018</v>
      </c>
      <c r="R105" s="254">
        <f>VLOOKUP(C105,Clima!$V$8:$AH$900,3,FALSE)+R104</f>
        <v>643.50000000000011</v>
      </c>
      <c r="S105" s="455">
        <f t="shared" si="56"/>
        <v>0.9263414638829276</v>
      </c>
      <c r="T105" s="449">
        <f t="shared" si="57"/>
        <v>2.8716585380370758</v>
      </c>
      <c r="U105" s="195"/>
      <c r="V105" s="445">
        <f t="shared" si="47"/>
        <v>1.103223577293821</v>
      </c>
      <c r="W105" s="446">
        <f t="shared" si="58"/>
        <v>5</v>
      </c>
      <c r="X105" s="447">
        <f t="shared" si="81"/>
        <v>0.68815718195880815</v>
      </c>
      <c r="Y105" s="448">
        <f t="shared" si="59"/>
        <v>1</v>
      </c>
      <c r="Z105" s="449">
        <f t="shared" si="48"/>
        <v>0.31184281804119185</v>
      </c>
      <c r="AA105" s="449">
        <f t="shared" si="82"/>
        <v>0</v>
      </c>
      <c r="AB105" s="451">
        <f t="shared" si="60"/>
        <v>1</v>
      </c>
      <c r="AC105" s="449">
        <f t="shared" si="49"/>
        <v>0.17688211341089344</v>
      </c>
      <c r="AD105" s="449">
        <f t="shared" si="50"/>
        <v>0.54833455157376965</v>
      </c>
      <c r="AE105" s="448">
        <f t="shared" si="83"/>
        <v>2.8737426762213727</v>
      </c>
      <c r="AF105" s="449">
        <f t="shared" si="84"/>
        <v>1.7583683825655372</v>
      </c>
      <c r="AG105" s="449">
        <f t="shared" si="51"/>
        <v>1.103223577293821</v>
      </c>
      <c r="AH105" s="449">
        <f t="shared" si="52"/>
        <v>3.4199930896108452</v>
      </c>
      <c r="AI105" s="448"/>
      <c r="AJ105" s="449">
        <f t="shared" si="61"/>
        <v>0.6</v>
      </c>
      <c r="AK105" s="450">
        <f t="shared" si="53"/>
        <v>39</v>
      </c>
      <c r="AL105" s="449">
        <f t="shared" si="85"/>
        <v>33.860680510528788</v>
      </c>
      <c r="AM105" s="451">
        <f>IF(ISERROR(VLOOKUP(C105,Riegos,2,FALSE)),VLOOKUP(C105,Riegos,2,FALSE),VLOOKUP($F$8,Nomen!$A$79:$B$80,2,FALSE)*IF(AND(H105&gt;120,D105&lt;0.45),0,IF(AQ104+AH105&gt;=AK105,MIN(AQ104,$AK$7),0)))</f>
        <v>0</v>
      </c>
      <c r="AN105" s="448">
        <f t="shared" si="62"/>
        <v>0</v>
      </c>
      <c r="AO105" s="448">
        <f t="shared" si="63"/>
        <v>1</v>
      </c>
      <c r="AP105" s="449">
        <f t="shared" si="64"/>
        <v>1.103223577293821</v>
      </c>
      <c r="AQ105" s="449">
        <f t="shared" si="65"/>
        <v>33.860680510528788</v>
      </c>
      <c r="AR105" s="449">
        <f t="shared" si="86"/>
        <v>90.977673845739105</v>
      </c>
      <c r="AS105" s="449">
        <f t="shared" si="66"/>
        <v>3.4199930896108452</v>
      </c>
      <c r="AT105" s="449">
        <f t="shared" si="67"/>
        <v>135.18361479477824</v>
      </c>
      <c r="AU105" s="453">
        <f t="shared" si="68"/>
        <v>30</v>
      </c>
      <c r="AV105" s="145">
        <f t="shared" si="69"/>
        <v>90.2</v>
      </c>
      <c r="AW105" s="178">
        <f t="shared" si="70"/>
        <v>0</v>
      </c>
      <c r="AX105" s="179">
        <f t="shared" si="71"/>
        <v>0</v>
      </c>
      <c r="AY105" s="145">
        <f t="shared" si="87"/>
        <v>0.71273712769647746</v>
      </c>
      <c r="AZ105" s="145">
        <f t="shared" si="72"/>
        <v>2.6942276437886203</v>
      </c>
      <c r="BA105" s="145">
        <f t="shared" si="73"/>
        <v>53.498175251443129</v>
      </c>
      <c r="BB105" s="145">
        <f t="shared" si="74"/>
        <v>0.10776910575154482</v>
      </c>
      <c r="BC105" s="145">
        <f t="shared" si="75"/>
        <v>2.139927010057725</v>
      </c>
      <c r="BD105" s="145">
        <f t="shared" si="76"/>
        <v>81.793049799393117</v>
      </c>
      <c r="BE105" s="145">
        <f t="shared" si="77"/>
        <v>2.3247283975490802</v>
      </c>
      <c r="BF105" s="145">
        <f t="shared" si="78"/>
        <v>3.1</v>
      </c>
    </row>
    <row r="106" spans="1:58" s="145" customFormat="1">
      <c r="A106" s="569"/>
      <c r="B106" s="116">
        <f t="shared" si="54"/>
        <v>103</v>
      </c>
      <c r="C106" s="69">
        <f t="shared" si="79"/>
        <v>42107</v>
      </c>
      <c r="D106" s="257">
        <f>IF(ISERROR(VLOOKUP($C106,'NDVI real'!$T$8:$U$313,2,FALSE)),VLOOKUP(SWB!C106,'NDVI tipo'!$T$8:$U$193,2),VLOOKUP($C106,'NDVI real'!$T$8:$U$313,2,FALSE))</f>
        <v>0.72580548062330674</v>
      </c>
      <c r="E106" s="170">
        <f t="shared" si="44"/>
        <v>4</v>
      </c>
      <c r="F106" s="170">
        <f t="shared" si="45"/>
        <v>13</v>
      </c>
      <c r="G106" s="170">
        <f t="shared" si="46"/>
        <v>2015</v>
      </c>
      <c r="H106" s="170">
        <f t="shared" si="55"/>
        <v>103</v>
      </c>
      <c r="I106" s="190">
        <f>IF(ISERROR(VLOOKUP($C106,Clima!$U$8:$AH$900,3,FALSE)),VLOOKUP($C106,Clima!$D$8:$R$900,3),VLOOKUP($C106,Clima!$U$8:$AH$900,3,FALSE))</f>
        <v>11.3</v>
      </c>
      <c r="J106" s="191"/>
      <c r="K106" s="170"/>
      <c r="L106" s="192">
        <f>IF(ISERROR(VLOOKUP($C106,Clima!$U$8:$AH$900,14,FALSE)),VLOOKUP($C106,Clima!$D$8:$R$900,14),VLOOKUP($C106,Clima!$U$8:$AH$900,14,FALSE))</f>
        <v>3.2</v>
      </c>
      <c r="M106" s="190"/>
      <c r="N106" s="190"/>
      <c r="O106" s="191"/>
      <c r="P106" s="191">
        <f>IF(ISERROR(VLOOKUP($C106,Clima!$W$8:$AH$350,12,FALSE)),VLOOKUP($C106,Clima!$E$8:$P$350,12),VLOOKUP($C106,Clima!$W$8:$AH$350,12,FALSE))</f>
        <v>0</v>
      </c>
      <c r="Q106" s="170">
        <f t="shared" si="80"/>
        <v>90.912582364466218</v>
      </c>
      <c r="R106" s="254">
        <f>VLOOKUP(C106,Clima!$V$8:$AH$900,3,FALSE)+R105</f>
        <v>654.40000000000009</v>
      </c>
      <c r="S106" s="455">
        <f t="shared" si="56"/>
        <v>0.94515989209756179</v>
      </c>
      <c r="T106" s="449">
        <f t="shared" si="57"/>
        <v>3.0245116547121977</v>
      </c>
      <c r="U106" s="195"/>
      <c r="V106" s="445">
        <f t="shared" si="47"/>
        <v>1.1055562782912602</v>
      </c>
      <c r="W106" s="446">
        <f t="shared" si="58"/>
        <v>0</v>
      </c>
      <c r="X106" s="447">
        <f t="shared" si="81"/>
        <v>0.70370852194173494</v>
      </c>
      <c r="Y106" s="448">
        <f t="shared" si="59"/>
        <v>1</v>
      </c>
      <c r="Z106" s="449">
        <f t="shared" si="48"/>
        <v>0.29629147805826506</v>
      </c>
      <c r="AA106" s="449">
        <f t="shared" si="82"/>
        <v>1.7583683825655372</v>
      </c>
      <c r="AB106" s="451">
        <f t="shared" si="60"/>
        <v>1</v>
      </c>
      <c r="AC106" s="449">
        <f t="shared" si="49"/>
        <v>0.16039638619369845</v>
      </c>
      <c r="AD106" s="449">
        <f t="shared" si="50"/>
        <v>0.51326843581983506</v>
      </c>
      <c r="AE106" s="448">
        <f t="shared" si="83"/>
        <v>0</v>
      </c>
      <c r="AF106" s="449">
        <f t="shared" si="84"/>
        <v>3.4906775234950036</v>
      </c>
      <c r="AG106" s="449">
        <f t="shared" si="51"/>
        <v>1.1055562782912602</v>
      </c>
      <c r="AH106" s="449">
        <f t="shared" si="52"/>
        <v>3.5377800905320331</v>
      </c>
      <c r="AI106" s="448"/>
      <c r="AJ106" s="449">
        <f t="shared" si="61"/>
        <v>0.6</v>
      </c>
      <c r="AK106" s="450">
        <f t="shared" si="53"/>
        <v>39</v>
      </c>
      <c r="AL106" s="449">
        <f t="shared" si="85"/>
        <v>37.398460601060819</v>
      </c>
      <c r="AM106" s="451">
        <f>IF(ISERROR(VLOOKUP(C106,Riegos,2,FALSE)),VLOOKUP(C106,Riegos,2,FALSE),VLOOKUP($F$8,Nomen!$A$79:$B$80,2,FALSE)*IF(AND(H106&gt;120,D106&lt;0.45),0,IF(AQ105+AH106&gt;=AK106,MIN(AQ105,$AK$7),0)))</f>
        <v>0</v>
      </c>
      <c r="AN106" s="448">
        <f t="shared" si="62"/>
        <v>0</v>
      </c>
      <c r="AO106" s="448">
        <f t="shared" si="63"/>
        <v>1</v>
      </c>
      <c r="AP106" s="449">
        <f t="shared" si="64"/>
        <v>1.1055562782912602</v>
      </c>
      <c r="AQ106" s="449">
        <f t="shared" si="65"/>
        <v>37.398460601060819</v>
      </c>
      <c r="AR106" s="449">
        <f t="shared" si="86"/>
        <v>91.977673845739105</v>
      </c>
      <c r="AS106" s="449">
        <f t="shared" si="66"/>
        <v>3.5377800905320331</v>
      </c>
      <c r="AT106" s="449">
        <f t="shared" si="67"/>
        <v>138.72139488531027</v>
      </c>
      <c r="AU106" s="453">
        <f t="shared" si="68"/>
        <v>30</v>
      </c>
      <c r="AV106" s="145">
        <f t="shared" si="69"/>
        <v>90.2</v>
      </c>
      <c r="AW106" s="178">
        <f t="shared" si="70"/>
        <v>0</v>
      </c>
      <c r="AX106" s="179">
        <f t="shared" si="71"/>
        <v>0</v>
      </c>
      <c r="AY106" s="145">
        <f t="shared" si="87"/>
        <v>0.72580548062330674</v>
      </c>
      <c r="AZ106" s="145">
        <f t="shared" si="72"/>
        <v>2.8438663069918726</v>
      </c>
      <c r="BA106" s="145">
        <f t="shared" si="73"/>
        <v>56.342041558435</v>
      </c>
      <c r="BB106" s="145">
        <f t="shared" si="74"/>
        <v>0.11375465227967491</v>
      </c>
      <c r="BC106" s="145">
        <f t="shared" si="75"/>
        <v>2.2536816623373999</v>
      </c>
      <c r="BD106" s="145">
        <f t="shared" si="76"/>
        <v>84.191420403658213</v>
      </c>
      <c r="BE106" s="145">
        <f t="shared" si="77"/>
        <v>2.3983706042650965</v>
      </c>
      <c r="BF106" s="145">
        <f t="shared" si="78"/>
        <v>3.2</v>
      </c>
    </row>
    <row r="107" spans="1:58" s="145" customFormat="1">
      <c r="A107" s="569"/>
      <c r="B107" s="116">
        <f t="shared" si="54"/>
        <v>104</v>
      </c>
      <c r="C107" s="69">
        <f t="shared" si="79"/>
        <v>42108</v>
      </c>
      <c r="D107" s="257">
        <f>IF(ISERROR(VLOOKUP($C107,'NDVI real'!$T$8:$U$313,2,FALSE)),VLOOKUP(SWB!C107,'NDVI tipo'!$T$8:$U$193,2),VLOOKUP($C107,'NDVI real'!$T$8:$U$313,2,FALSE))</f>
        <v>0.73887383355013603</v>
      </c>
      <c r="E107" s="170">
        <f t="shared" si="44"/>
        <v>4</v>
      </c>
      <c r="F107" s="170">
        <f t="shared" si="45"/>
        <v>14</v>
      </c>
      <c r="G107" s="170">
        <f t="shared" si="46"/>
        <v>2015</v>
      </c>
      <c r="H107" s="170">
        <f t="shared" si="55"/>
        <v>104</v>
      </c>
      <c r="I107" s="190">
        <f>IF(ISERROR(VLOOKUP($C107,Clima!$U$8:$AH$900,3,FALSE)),VLOOKUP($C107,Clima!$D$8:$R$900,3),VLOOKUP($C107,Clima!$U$8:$AH$900,3,FALSE))</f>
        <v>10.5</v>
      </c>
      <c r="J107" s="191"/>
      <c r="K107" s="170"/>
      <c r="L107" s="192">
        <f>IF(ISERROR(VLOOKUP($C107,Clima!$U$8:$AH$900,14,FALSE)),VLOOKUP($C107,Clima!$D$8:$R$900,14),VLOOKUP($C107,Clima!$U$8:$AH$900,14,FALSE))</f>
        <v>2.8</v>
      </c>
      <c r="M107" s="190"/>
      <c r="N107" s="190"/>
      <c r="O107" s="191"/>
      <c r="P107" s="191">
        <f>IF(ISERROR(VLOOKUP($C107,Clima!$W$8:$AH$350,12,FALSE)),VLOOKUP($C107,Clima!$E$8:$P$350,12),VLOOKUP($C107,Clima!$W$8:$AH$350,12,FALSE))</f>
        <v>0</v>
      </c>
      <c r="Q107" s="170">
        <f t="shared" si="80"/>
        <v>93.418855338557876</v>
      </c>
      <c r="R107" s="254">
        <f>VLOOKUP(C107,Clima!$V$8:$AH$900,3,FALSE)+R106</f>
        <v>666.00000000000011</v>
      </c>
      <c r="S107" s="455">
        <f t="shared" si="56"/>
        <v>0.96397832031219577</v>
      </c>
      <c r="T107" s="449">
        <f t="shared" si="57"/>
        <v>2.6991392968741481</v>
      </c>
      <c r="U107" s="195"/>
      <c r="V107" s="445">
        <f t="shared" si="47"/>
        <v>1.1078889792886992</v>
      </c>
      <c r="W107" s="446">
        <f t="shared" si="58"/>
        <v>0</v>
      </c>
      <c r="X107" s="447">
        <f t="shared" si="81"/>
        <v>0.71925986192466185</v>
      </c>
      <c r="Y107" s="448">
        <f t="shared" si="59"/>
        <v>1</v>
      </c>
      <c r="Z107" s="449">
        <f t="shared" si="48"/>
        <v>0.28074013807533815</v>
      </c>
      <c r="AA107" s="449">
        <f t="shared" si="82"/>
        <v>3.4906775234950036</v>
      </c>
      <c r="AB107" s="451">
        <f t="shared" si="60"/>
        <v>1</v>
      </c>
      <c r="AC107" s="449">
        <f t="shared" si="49"/>
        <v>0.14391065897650346</v>
      </c>
      <c r="AD107" s="449">
        <f t="shared" si="50"/>
        <v>0.40294984513420967</v>
      </c>
      <c r="AE107" s="448">
        <f t="shared" si="83"/>
        <v>0</v>
      </c>
      <c r="AF107" s="449">
        <f t="shared" si="84"/>
        <v>4.925990079429118</v>
      </c>
      <c r="AG107" s="449">
        <f t="shared" si="51"/>
        <v>1.1078889792886992</v>
      </c>
      <c r="AH107" s="449">
        <f t="shared" si="52"/>
        <v>3.1020891420083578</v>
      </c>
      <c r="AI107" s="448"/>
      <c r="AJ107" s="449">
        <f t="shared" si="61"/>
        <v>0.6</v>
      </c>
      <c r="AK107" s="450">
        <f t="shared" si="53"/>
        <v>39</v>
      </c>
      <c r="AL107" s="449">
        <f t="shared" si="85"/>
        <v>40.500549743069179</v>
      </c>
      <c r="AM107" s="451">
        <f>IF(ISERROR(VLOOKUP(C107,Riegos,2,FALSE)),VLOOKUP(C107,Riegos,2,FALSE),VLOOKUP($F$8,Nomen!$A$79:$B$80,2,FALSE)*IF(AND(H107&gt;120,D107&lt;0.45),0,IF(AQ106+AH107&gt;=AK107,MIN(AQ106,$AK$7),0)))</f>
        <v>5</v>
      </c>
      <c r="AN107" s="448">
        <f t="shared" si="62"/>
        <v>0</v>
      </c>
      <c r="AO107" s="448">
        <f t="shared" si="63"/>
        <v>0.9285452503300391</v>
      </c>
      <c r="AP107" s="449">
        <f t="shared" si="64"/>
        <v>1.039008149723522</v>
      </c>
      <c r="AQ107" s="449">
        <f t="shared" si="65"/>
        <v>40.307683420286679</v>
      </c>
      <c r="AR107" s="449">
        <f t="shared" si="86"/>
        <v>92.906219096069151</v>
      </c>
      <c r="AS107" s="449">
        <f t="shared" si="66"/>
        <v>2.9092228192258611</v>
      </c>
      <c r="AT107" s="449">
        <f t="shared" si="67"/>
        <v>141.63061770453615</v>
      </c>
      <c r="AU107" s="453">
        <f t="shared" si="68"/>
        <v>35</v>
      </c>
      <c r="AV107" s="145">
        <f t="shared" si="69"/>
        <v>90.2</v>
      </c>
      <c r="AW107" s="178">
        <f t="shared" si="70"/>
        <v>0</v>
      </c>
      <c r="AX107" s="179">
        <f t="shared" si="71"/>
        <v>0</v>
      </c>
      <c r="AY107" s="145">
        <f t="shared" si="87"/>
        <v>0.73887383355013603</v>
      </c>
      <c r="AZ107" s="145">
        <f t="shared" si="72"/>
        <v>2.5432701009105716</v>
      </c>
      <c r="BA107" s="145">
        <f t="shared" si="73"/>
        <v>58.885311659345568</v>
      </c>
      <c r="BB107" s="145">
        <f t="shared" si="74"/>
        <v>0.10173080403642286</v>
      </c>
      <c r="BC107" s="145">
        <f t="shared" si="75"/>
        <v>2.3554124663738225</v>
      </c>
      <c r="BD107" s="145">
        <f t="shared" si="76"/>
        <v>86.291327636880979</v>
      </c>
      <c r="BE107" s="145">
        <f t="shared" si="77"/>
        <v>2.0999072332227655</v>
      </c>
      <c r="BF107" s="145">
        <f t="shared" si="78"/>
        <v>2.8</v>
      </c>
    </row>
    <row r="108" spans="1:58" s="145" customFormat="1">
      <c r="A108" s="569"/>
      <c r="B108" s="116">
        <f t="shared" si="54"/>
        <v>105</v>
      </c>
      <c r="C108" s="69">
        <f t="shared" si="79"/>
        <v>42109</v>
      </c>
      <c r="D108" s="257">
        <f>IF(ISERROR(VLOOKUP($C108,'NDVI real'!$T$8:$U$313,2,FALSE)),VLOOKUP(SWB!C108,'NDVI tipo'!$T$8:$U$193,2),VLOOKUP($C108,'NDVI real'!$T$8:$U$313,2,FALSE))</f>
        <v>0.75194218647696531</v>
      </c>
      <c r="E108" s="170">
        <f t="shared" si="44"/>
        <v>4</v>
      </c>
      <c r="F108" s="170">
        <f t="shared" si="45"/>
        <v>15</v>
      </c>
      <c r="G108" s="170">
        <f t="shared" si="46"/>
        <v>2015</v>
      </c>
      <c r="H108" s="170">
        <f t="shared" si="55"/>
        <v>105</v>
      </c>
      <c r="I108" s="190">
        <f>IF(ISERROR(VLOOKUP($C108,Clima!$U$8:$AH$900,3,FALSE)),VLOOKUP($C108,Clima!$D$8:$R$900,3),VLOOKUP($C108,Clima!$U$8:$AH$900,3,FALSE))</f>
        <v>12.3</v>
      </c>
      <c r="J108" s="191"/>
      <c r="K108" s="170"/>
      <c r="L108" s="192">
        <f>IF(ISERROR(VLOOKUP($C108,Clima!$U$8:$AH$900,14,FALSE)),VLOOKUP($C108,Clima!$D$8:$R$900,14),VLOOKUP($C108,Clima!$U$8:$AH$900,14,FALSE))</f>
        <v>4.0999999999999996</v>
      </c>
      <c r="M108" s="190"/>
      <c r="N108" s="190"/>
      <c r="O108" s="191"/>
      <c r="P108" s="191">
        <f>IF(ISERROR(VLOOKUP($C108,Clima!$W$8:$AH$350,12,FALSE)),VLOOKUP($C108,Clima!$E$8:$P$350,12),VLOOKUP($C108,Clima!$W$8:$AH$350,12,FALSE))</f>
        <v>6.5</v>
      </c>
      <c r="Q108" s="170">
        <f t="shared" si="80"/>
        <v>97.448322007517874</v>
      </c>
      <c r="R108" s="254">
        <f>VLOOKUP(C108,Clima!$V$8:$AH$900,3,FALSE)+R107</f>
        <v>677.70000000000016</v>
      </c>
      <c r="S108" s="455">
        <f t="shared" si="56"/>
        <v>0.98279674852682997</v>
      </c>
      <c r="T108" s="449">
        <f t="shared" si="57"/>
        <v>4.0294666689600023</v>
      </c>
      <c r="U108" s="195"/>
      <c r="V108" s="445">
        <f t="shared" si="47"/>
        <v>1.1102216802861382</v>
      </c>
      <c r="W108" s="446">
        <f t="shared" si="58"/>
        <v>5</v>
      </c>
      <c r="X108" s="447">
        <f t="shared" si="81"/>
        <v>0.73481120190758864</v>
      </c>
      <c r="Y108" s="448">
        <f t="shared" si="59"/>
        <v>1</v>
      </c>
      <c r="Z108" s="449">
        <f t="shared" si="48"/>
        <v>0.26518879809241136</v>
      </c>
      <c r="AA108" s="449">
        <f t="shared" si="82"/>
        <v>0</v>
      </c>
      <c r="AB108" s="451">
        <f t="shared" si="60"/>
        <v>0.97560975609756106</v>
      </c>
      <c r="AC108" s="449">
        <f t="shared" si="49"/>
        <v>0.12431700659444708</v>
      </c>
      <c r="AD108" s="449">
        <f t="shared" si="50"/>
        <v>0.50969972703723299</v>
      </c>
      <c r="AE108" s="448">
        <f t="shared" si="83"/>
        <v>6.574009920570882</v>
      </c>
      <c r="AF108" s="449">
        <f t="shared" si="84"/>
        <v>1.9220258574406905</v>
      </c>
      <c r="AG108" s="449">
        <f t="shared" si="51"/>
        <v>1.1071137551212771</v>
      </c>
      <c r="AH108" s="449">
        <f t="shared" si="52"/>
        <v>4.5391663959972357</v>
      </c>
      <c r="AI108" s="448"/>
      <c r="AJ108" s="449">
        <f t="shared" si="61"/>
        <v>0.6</v>
      </c>
      <c r="AK108" s="450">
        <f t="shared" si="53"/>
        <v>39</v>
      </c>
      <c r="AL108" s="449">
        <f t="shared" si="85"/>
        <v>33.346849816283914</v>
      </c>
      <c r="AM108" s="451">
        <f>IF(ISERROR(VLOOKUP(C108,Riegos,2,FALSE)),VLOOKUP(C108,Riegos,2,FALSE),VLOOKUP($F$8,Nomen!$A$79:$B$80,2,FALSE)*IF(AND(H108&gt;120,D108&lt;0.45),0,IF(AQ107+AH108&gt;=AK108,MIN(AQ107,$AK$7),0)))</f>
        <v>5</v>
      </c>
      <c r="AN108" s="448">
        <f t="shared" si="62"/>
        <v>0</v>
      </c>
      <c r="AO108" s="448">
        <f t="shared" si="63"/>
        <v>1</v>
      </c>
      <c r="AP108" s="449">
        <f t="shared" si="64"/>
        <v>1.1071137551212771</v>
      </c>
      <c r="AQ108" s="449">
        <f t="shared" si="65"/>
        <v>33.346849816283914</v>
      </c>
      <c r="AR108" s="449">
        <f t="shared" si="86"/>
        <v>93.906219096069151</v>
      </c>
      <c r="AS108" s="449">
        <f t="shared" si="66"/>
        <v>4.5391663959972357</v>
      </c>
      <c r="AT108" s="449">
        <f t="shared" si="67"/>
        <v>146.16978410053338</v>
      </c>
      <c r="AU108" s="453">
        <f t="shared" si="68"/>
        <v>40</v>
      </c>
      <c r="AV108" s="145">
        <f t="shared" si="69"/>
        <v>96.7</v>
      </c>
      <c r="AW108" s="178">
        <f t="shared" si="70"/>
        <v>0</v>
      </c>
      <c r="AX108" s="179">
        <f t="shared" si="71"/>
        <v>0</v>
      </c>
      <c r="AY108" s="145">
        <f t="shared" si="87"/>
        <v>0.75194218647696531</v>
      </c>
      <c r="AZ108" s="145">
        <f t="shared" si="72"/>
        <v>3.8044444468333372</v>
      </c>
      <c r="BA108" s="145">
        <f t="shared" si="73"/>
        <v>62.689756106178905</v>
      </c>
      <c r="BB108" s="145">
        <f t="shared" si="74"/>
        <v>0.15217777787333348</v>
      </c>
      <c r="BC108" s="145">
        <f t="shared" si="75"/>
        <v>2.5075902442471558</v>
      </c>
      <c r="BD108" s="145">
        <f t="shared" si="76"/>
        <v>89.359133520073883</v>
      </c>
      <c r="BE108" s="145">
        <f t="shared" si="77"/>
        <v>3.0678058831929036</v>
      </c>
      <c r="BF108" s="145">
        <f t="shared" si="78"/>
        <v>4.0999999999999996</v>
      </c>
    </row>
    <row r="109" spans="1:58" s="145" customFormat="1">
      <c r="A109" s="569"/>
      <c r="B109" s="116">
        <f t="shared" si="54"/>
        <v>106</v>
      </c>
      <c r="C109" s="69">
        <f t="shared" si="79"/>
        <v>42110</v>
      </c>
      <c r="D109" s="257">
        <f>IF(ISERROR(VLOOKUP($C109,'NDVI real'!$T$8:$U$313,2,FALSE)),VLOOKUP(SWB!C109,'NDVI tipo'!$T$8:$U$193,2),VLOOKUP($C109,'NDVI real'!$T$8:$U$313,2,FALSE))</f>
        <v>0.7650105394037946</v>
      </c>
      <c r="E109" s="170">
        <f t="shared" si="44"/>
        <v>4</v>
      </c>
      <c r="F109" s="170">
        <f t="shared" si="45"/>
        <v>16</v>
      </c>
      <c r="G109" s="170">
        <f t="shared" si="46"/>
        <v>2015</v>
      </c>
      <c r="H109" s="170">
        <f t="shared" si="55"/>
        <v>106</v>
      </c>
      <c r="I109" s="190">
        <f>IF(ISERROR(VLOOKUP($C109,Clima!$U$8:$AH$900,3,FALSE)),VLOOKUP($C109,Clima!$D$8:$R$900,3),VLOOKUP($C109,Clima!$U$8:$AH$900,3,FALSE))</f>
        <v>13.9</v>
      </c>
      <c r="J109" s="191"/>
      <c r="K109" s="170"/>
      <c r="L109" s="192">
        <f>IF(ISERROR(VLOOKUP($C109,Clima!$U$8:$AH$900,14,FALSE)),VLOOKUP($C109,Clima!$D$8:$R$900,14),VLOOKUP($C109,Clima!$U$8:$AH$900,14,FALSE))</f>
        <v>4.7</v>
      </c>
      <c r="M109" s="190"/>
      <c r="N109" s="190"/>
      <c r="O109" s="191"/>
      <c r="P109" s="191">
        <f>IF(ISERROR(VLOOKUP($C109,Clima!$W$8:$AH$350,12,FALSE)),VLOOKUP($C109,Clima!$E$8:$P$350,12),VLOOKUP($C109,Clima!$W$8:$AH$350,12,FALSE))</f>
        <v>4.7</v>
      </c>
      <c r="Q109" s="170">
        <f t="shared" si="80"/>
        <v>102.15591333820275</v>
      </c>
      <c r="R109" s="254">
        <f>VLOOKUP(C109,Clima!$V$8:$AH$900,3,FALSE)+R108</f>
        <v>689.00000000000011</v>
      </c>
      <c r="S109" s="455">
        <f t="shared" si="56"/>
        <v>1.0016151767414641</v>
      </c>
      <c r="T109" s="449">
        <f t="shared" si="57"/>
        <v>4.7075913306848811</v>
      </c>
      <c r="U109" s="195"/>
      <c r="V109" s="445">
        <f t="shared" si="47"/>
        <v>1.1125543812835774</v>
      </c>
      <c r="W109" s="446">
        <f t="shared" si="58"/>
        <v>5</v>
      </c>
      <c r="X109" s="447">
        <f t="shared" si="81"/>
        <v>0.75036254189051554</v>
      </c>
      <c r="Y109" s="448">
        <f t="shared" si="59"/>
        <v>1</v>
      </c>
      <c r="Z109" s="449">
        <f t="shared" si="48"/>
        <v>0.24963745810948446</v>
      </c>
      <c r="AA109" s="449">
        <f t="shared" si="82"/>
        <v>0</v>
      </c>
      <c r="AB109" s="451">
        <f t="shared" si="60"/>
        <v>0.85106382978723405</v>
      </c>
      <c r="AC109" s="449">
        <f t="shared" si="49"/>
        <v>9.4416344291160317E-2</v>
      </c>
      <c r="AD109" s="449">
        <f t="shared" si="50"/>
        <v>0.44375681816845353</v>
      </c>
      <c r="AE109" s="448">
        <f t="shared" si="83"/>
        <v>7.7779741425593087</v>
      </c>
      <c r="AF109" s="449">
        <f t="shared" si="84"/>
        <v>1.7776050979249804</v>
      </c>
      <c r="AG109" s="449">
        <f t="shared" si="51"/>
        <v>1.0960315210326244</v>
      </c>
      <c r="AH109" s="449">
        <f t="shared" si="52"/>
        <v>5.1513481488533346</v>
      </c>
      <c r="AI109" s="448"/>
      <c r="AJ109" s="449">
        <f t="shared" si="61"/>
        <v>0.6</v>
      </c>
      <c r="AK109" s="450">
        <f t="shared" si="53"/>
        <v>39</v>
      </c>
      <c r="AL109" s="449">
        <f t="shared" si="85"/>
        <v>28.798197965137248</v>
      </c>
      <c r="AM109" s="451">
        <f>IF(ISERROR(VLOOKUP(C109,Riegos,2,FALSE)),VLOOKUP(C109,Riegos,2,FALSE),VLOOKUP($F$8,Nomen!$A$79:$B$80,2,FALSE)*IF(AND(H109&gt;120,D109&lt;0.45),0,IF(AQ108+AH109&gt;=AK109,MIN(AQ108,$AK$7),0)))</f>
        <v>0</v>
      </c>
      <c r="AN109" s="448">
        <f t="shared" si="62"/>
        <v>0</v>
      </c>
      <c r="AO109" s="448">
        <f t="shared" si="63"/>
        <v>1</v>
      </c>
      <c r="AP109" s="449">
        <f t="shared" si="64"/>
        <v>1.0960315210326244</v>
      </c>
      <c r="AQ109" s="449">
        <f t="shared" si="65"/>
        <v>28.798197965137248</v>
      </c>
      <c r="AR109" s="449">
        <f t="shared" si="86"/>
        <v>94.906219096069151</v>
      </c>
      <c r="AS109" s="449">
        <f t="shared" si="66"/>
        <v>5.1513481488533346</v>
      </c>
      <c r="AT109" s="449">
        <f t="shared" si="67"/>
        <v>151.32113224938672</v>
      </c>
      <c r="AU109" s="453">
        <f t="shared" si="68"/>
        <v>40</v>
      </c>
      <c r="AV109" s="145">
        <f t="shared" si="69"/>
        <v>101.4</v>
      </c>
      <c r="AW109" s="178">
        <f t="shared" si="70"/>
        <v>0</v>
      </c>
      <c r="AX109" s="179">
        <f t="shared" si="71"/>
        <v>0</v>
      </c>
      <c r="AY109" s="145">
        <f t="shared" si="87"/>
        <v>0.7650105394037946</v>
      </c>
      <c r="AZ109" s="145">
        <f t="shared" si="72"/>
        <v>4.4533243027967524</v>
      </c>
      <c r="BA109" s="145">
        <f t="shared" si="73"/>
        <v>67.143080408975663</v>
      </c>
      <c r="BB109" s="145">
        <f t="shared" si="74"/>
        <v>0.1781329721118701</v>
      </c>
      <c r="BC109" s="145">
        <f t="shared" si="75"/>
        <v>2.6857232163590261</v>
      </c>
      <c r="BD109" s="145">
        <f t="shared" si="76"/>
        <v>92.847445896873381</v>
      </c>
      <c r="BE109" s="145">
        <f t="shared" si="77"/>
        <v>3.4883123767994988</v>
      </c>
      <c r="BF109" s="145">
        <f t="shared" si="78"/>
        <v>4.7</v>
      </c>
    </row>
    <row r="110" spans="1:58" s="145" customFormat="1">
      <c r="A110" s="569"/>
      <c r="B110" s="116">
        <f t="shared" si="54"/>
        <v>107</v>
      </c>
      <c r="C110" s="69">
        <f t="shared" si="79"/>
        <v>42111</v>
      </c>
      <c r="D110" s="257">
        <f>IF(ISERROR(VLOOKUP($C110,'NDVI real'!$T$8:$U$313,2,FALSE)),VLOOKUP(SWB!C110,'NDVI tipo'!$T$8:$U$193,2),VLOOKUP($C110,'NDVI real'!$T$8:$U$313,2,FALSE))</f>
        <v>0.77807889233062388</v>
      </c>
      <c r="E110" s="170">
        <f t="shared" si="44"/>
        <v>4</v>
      </c>
      <c r="F110" s="170">
        <f t="shared" si="45"/>
        <v>17</v>
      </c>
      <c r="G110" s="170">
        <f t="shared" si="46"/>
        <v>2015</v>
      </c>
      <c r="H110" s="170">
        <f t="shared" si="55"/>
        <v>107</v>
      </c>
      <c r="I110" s="190">
        <f>IF(ISERROR(VLOOKUP($C110,Clima!$U$8:$AH$900,3,FALSE)),VLOOKUP($C110,Clima!$D$8:$R$900,3),VLOOKUP($C110,Clima!$U$8:$AH$900,3,FALSE))</f>
        <v>14.4</v>
      </c>
      <c r="J110" s="191"/>
      <c r="K110" s="170"/>
      <c r="L110" s="192">
        <f>IF(ISERROR(VLOOKUP($C110,Clima!$U$8:$AH$900,14,FALSE)),VLOOKUP($C110,Clima!$D$8:$R$900,14),VLOOKUP($C110,Clima!$U$8:$AH$900,14,FALSE))</f>
        <v>4.3</v>
      </c>
      <c r="M110" s="190"/>
      <c r="N110" s="190"/>
      <c r="O110" s="191"/>
      <c r="P110" s="191">
        <f>IF(ISERROR(VLOOKUP($C110,Clima!$W$8:$AH$350,12,FALSE)),VLOOKUP($C110,Clima!$E$8:$P$350,12),VLOOKUP($C110,Clima!$W$8:$AH$350,12,FALSE))</f>
        <v>0</v>
      </c>
      <c r="Q110" s="170">
        <f t="shared" si="80"/>
        <v>106.54377783951398</v>
      </c>
      <c r="R110" s="254">
        <f>VLOOKUP(C110,Clima!$V$8:$AH$900,3,FALSE)+R109</f>
        <v>701.70000000000016</v>
      </c>
      <c r="S110" s="455">
        <f t="shared" si="56"/>
        <v>1.0204336049560983</v>
      </c>
      <c r="T110" s="449">
        <f t="shared" si="57"/>
        <v>4.3878645013112223</v>
      </c>
      <c r="U110" s="195"/>
      <c r="V110" s="445">
        <f t="shared" si="47"/>
        <v>1.1148870822810162</v>
      </c>
      <c r="W110" s="446">
        <f t="shared" si="58"/>
        <v>0</v>
      </c>
      <c r="X110" s="447">
        <f t="shared" si="81"/>
        <v>0.76591388187344234</v>
      </c>
      <c r="Y110" s="448">
        <f t="shared" si="59"/>
        <v>1</v>
      </c>
      <c r="Z110" s="449">
        <f t="shared" si="48"/>
        <v>0.23408611812655766</v>
      </c>
      <c r="AA110" s="449">
        <f t="shared" si="82"/>
        <v>1.7776050979249804</v>
      </c>
      <c r="AB110" s="451">
        <f t="shared" si="60"/>
        <v>0.93023255813953487</v>
      </c>
      <c r="AC110" s="449">
        <f t="shared" si="49"/>
        <v>8.7863699837132964E-2</v>
      </c>
      <c r="AD110" s="449">
        <f t="shared" si="50"/>
        <v>0.37781390929967174</v>
      </c>
      <c r="AE110" s="448">
        <f t="shared" si="83"/>
        <v>0</v>
      </c>
      <c r="AF110" s="449">
        <f t="shared" si="84"/>
        <v>3.3916004613553241</v>
      </c>
      <c r="AG110" s="449">
        <f t="shared" si="51"/>
        <v>1.1082973047932312</v>
      </c>
      <c r="AH110" s="449">
        <f t="shared" si="52"/>
        <v>4.765678410610894</v>
      </c>
      <c r="AI110" s="448"/>
      <c r="AJ110" s="449">
        <f t="shared" si="61"/>
        <v>0.6</v>
      </c>
      <c r="AK110" s="450">
        <f t="shared" si="53"/>
        <v>39</v>
      </c>
      <c r="AL110" s="449">
        <f t="shared" si="85"/>
        <v>33.563876375748144</v>
      </c>
      <c r="AM110" s="451">
        <f>IF(ISERROR(VLOOKUP(C110,Riegos,2,FALSE)),VLOOKUP(C110,Riegos,2,FALSE),VLOOKUP($F$8,Nomen!$A$79:$B$80,2,FALSE)*IF(AND(H110&gt;120,D110&lt;0.45),0,IF(AQ109+AH110&gt;=AK110,MIN(AQ109,$AK$7),0)))</f>
        <v>0</v>
      </c>
      <c r="AN110" s="448">
        <f t="shared" si="62"/>
        <v>0</v>
      </c>
      <c r="AO110" s="448">
        <f t="shared" si="63"/>
        <v>1</v>
      </c>
      <c r="AP110" s="449">
        <f t="shared" si="64"/>
        <v>1.1082973047932312</v>
      </c>
      <c r="AQ110" s="449">
        <f t="shared" si="65"/>
        <v>33.563876375748144</v>
      </c>
      <c r="AR110" s="449">
        <f t="shared" si="86"/>
        <v>95.906219096069151</v>
      </c>
      <c r="AS110" s="449">
        <f t="shared" si="66"/>
        <v>4.765678410610894</v>
      </c>
      <c r="AT110" s="449">
        <f t="shared" si="67"/>
        <v>156.08681065999761</v>
      </c>
      <c r="AU110" s="453">
        <f t="shared" si="68"/>
        <v>40</v>
      </c>
      <c r="AV110" s="145">
        <f t="shared" si="69"/>
        <v>101.4</v>
      </c>
      <c r="AW110" s="178">
        <f t="shared" si="70"/>
        <v>0</v>
      </c>
      <c r="AX110" s="179">
        <f t="shared" si="71"/>
        <v>0</v>
      </c>
      <c r="AY110" s="145">
        <f t="shared" si="87"/>
        <v>0.77807889233062388</v>
      </c>
      <c r="AZ110" s="145">
        <f t="shared" si="72"/>
        <v>4.158608855532524</v>
      </c>
      <c r="BA110" s="145">
        <f t="shared" si="73"/>
        <v>71.301689264508184</v>
      </c>
      <c r="BB110" s="145">
        <f t="shared" si="74"/>
        <v>0.16634435422130095</v>
      </c>
      <c r="BC110" s="145">
        <f t="shared" si="75"/>
        <v>2.8520675705803269</v>
      </c>
      <c r="BD110" s="145">
        <f t="shared" si="76"/>
        <v>96.013644780715254</v>
      </c>
      <c r="BE110" s="145">
        <f t="shared" si="77"/>
        <v>3.1661988838418722</v>
      </c>
      <c r="BF110" s="145">
        <f t="shared" si="78"/>
        <v>4.3</v>
      </c>
    </row>
    <row r="111" spans="1:58" s="145" customFormat="1">
      <c r="A111" s="569"/>
      <c r="B111" s="116">
        <f t="shared" si="54"/>
        <v>108</v>
      </c>
      <c r="C111" s="69">
        <f t="shared" si="79"/>
        <v>42112</v>
      </c>
      <c r="D111" s="257">
        <f>IF(ISERROR(VLOOKUP($C111,'NDVI real'!$T$8:$U$313,2,FALSE)),VLOOKUP(SWB!C111,'NDVI tipo'!$T$8:$U$193,2),VLOOKUP($C111,'NDVI real'!$T$8:$U$313,2,FALSE))</f>
        <v>0.79114724525745317</v>
      </c>
      <c r="E111" s="170">
        <f t="shared" si="44"/>
        <v>4</v>
      </c>
      <c r="F111" s="170">
        <f t="shared" si="45"/>
        <v>18</v>
      </c>
      <c r="G111" s="170">
        <f t="shared" si="46"/>
        <v>2015</v>
      </c>
      <c r="H111" s="170">
        <f t="shared" si="55"/>
        <v>108</v>
      </c>
      <c r="I111" s="190">
        <f>IF(ISERROR(VLOOKUP($C111,Clima!$U$8:$AH$900,3,FALSE)),VLOOKUP($C111,Clima!$D$8:$R$900,3),VLOOKUP($C111,Clima!$U$8:$AH$900,3,FALSE))</f>
        <v>12.4</v>
      </c>
      <c r="J111" s="191"/>
      <c r="K111" s="170"/>
      <c r="L111" s="192">
        <f>IF(ISERROR(VLOOKUP($C111,Clima!$U$8:$AH$900,14,FALSE)),VLOOKUP($C111,Clima!$D$8:$R$900,14),VLOOKUP($C111,Clima!$U$8:$AH$900,14,FALSE))</f>
        <v>2.8</v>
      </c>
      <c r="M111" s="190"/>
      <c r="N111" s="190"/>
      <c r="O111" s="191"/>
      <c r="P111" s="191">
        <f>IF(ISERROR(VLOOKUP($C111,Clima!$W$8:$AH$350,12,FALSE)),VLOOKUP($C111,Clima!$E$8:$P$350,12),VLOOKUP($C111,Clima!$W$8:$AH$350,12,FALSE))</f>
        <v>0</v>
      </c>
      <c r="Q111" s="170">
        <f t="shared" si="80"/>
        <v>109.45368353239203</v>
      </c>
      <c r="R111" s="254">
        <f>VLOOKUP(C111,Clima!$V$8:$AH$900,3,FALSE)+R110</f>
        <v>716.10000000000014</v>
      </c>
      <c r="S111" s="455">
        <f t="shared" si="56"/>
        <v>1.0392520331707324</v>
      </c>
      <c r="T111" s="449">
        <f t="shared" si="57"/>
        <v>2.9099056928780507</v>
      </c>
      <c r="U111" s="195"/>
      <c r="V111" s="445">
        <f t="shared" si="47"/>
        <v>1.1172197832784554</v>
      </c>
      <c r="W111" s="446">
        <f t="shared" si="58"/>
        <v>0</v>
      </c>
      <c r="X111" s="447">
        <f t="shared" si="81"/>
        <v>0.78146522185636924</v>
      </c>
      <c r="Y111" s="448">
        <f t="shared" si="59"/>
        <v>1</v>
      </c>
      <c r="Z111" s="449">
        <f t="shared" si="48"/>
        <v>0.21853477814363076</v>
      </c>
      <c r="AA111" s="449">
        <f t="shared" si="82"/>
        <v>3.3916004613553241</v>
      </c>
      <c r="AB111" s="451">
        <f t="shared" si="60"/>
        <v>1</v>
      </c>
      <c r="AC111" s="449">
        <f t="shared" si="49"/>
        <v>7.7967750107722944E-2</v>
      </c>
      <c r="AD111" s="449">
        <f t="shared" si="50"/>
        <v>0.21830970030162422</v>
      </c>
      <c r="AE111" s="448">
        <f t="shared" si="83"/>
        <v>0</v>
      </c>
      <c r="AF111" s="449">
        <f t="shared" si="84"/>
        <v>4.3905705207485317</v>
      </c>
      <c r="AG111" s="449">
        <f t="shared" si="51"/>
        <v>1.1172197832784554</v>
      </c>
      <c r="AH111" s="449">
        <f t="shared" si="52"/>
        <v>3.128215393179675</v>
      </c>
      <c r="AI111" s="448"/>
      <c r="AJ111" s="449">
        <f t="shared" si="61"/>
        <v>0.6</v>
      </c>
      <c r="AK111" s="450">
        <f t="shared" si="53"/>
        <v>39</v>
      </c>
      <c r="AL111" s="449">
        <f t="shared" si="85"/>
        <v>36.692091768927817</v>
      </c>
      <c r="AM111" s="451">
        <f>IF(ISERROR(VLOOKUP(C111,Riegos,2,FALSE)),VLOOKUP(C111,Riegos,2,FALSE),VLOOKUP($F$8,Nomen!$A$79:$B$80,2,FALSE)*IF(AND(H111&gt;120,D111&lt;0.45),0,IF(AQ110+AH111&gt;=AK111,MIN(AQ110,$AK$7),0)))</f>
        <v>0</v>
      </c>
      <c r="AN111" s="448">
        <f t="shared" si="62"/>
        <v>0</v>
      </c>
      <c r="AO111" s="448">
        <f t="shared" si="63"/>
        <v>1</v>
      </c>
      <c r="AP111" s="449">
        <f t="shared" si="64"/>
        <v>1.1172197832784554</v>
      </c>
      <c r="AQ111" s="449">
        <f t="shared" si="65"/>
        <v>36.692091768927817</v>
      </c>
      <c r="AR111" s="449">
        <f t="shared" si="86"/>
        <v>96.906219096069151</v>
      </c>
      <c r="AS111" s="449">
        <f t="shared" si="66"/>
        <v>3.128215393179675</v>
      </c>
      <c r="AT111" s="449">
        <f t="shared" si="67"/>
        <v>159.2150260531773</v>
      </c>
      <c r="AU111" s="453">
        <f t="shared" si="68"/>
        <v>40</v>
      </c>
      <c r="AV111" s="145">
        <f t="shared" si="69"/>
        <v>101.4</v>
      </c>
      <c r="AW111" s="178">
        <f t="shared" si="70"/>
        <v>0</v>
      </c>
      <c r="AX111" s="179">
        <f t="shared" si="71"/>
        <v>0</v>
      </c>
      <c r="AY111" s="145">
        <f t="shared" si="87"/>
        <v>0.79114724525745317</v>
      </c>
      <c r="AZ111" s="145">
        <f t="shared" si="72"/>
        <v>2.7628184300813032</v>
      </c>
      <c r="BA111" s="145">
        <f t="shared" si="73"/>
        <v>74.06450769458948</v>
      </c>
      <c r="BB111" s="145">
        <f t="shared" si="74"/>
        <v>0.11051273720325212</v>
      </c>
      <c r="BC111" s="145">
        <f t="shared" si="75"/>
        <v>2.9625803077835791</v>
      </c>
      <c r="BD111" s="145">
        <f t="shared" si="76"/>
        <v>98.072154349410425</v>
      </c>
      <c r="BE111" s="145">
        <f t="shared" si="77"/>
        <v>2.0585095686951718</v>
      </c>
      <c r="BF111" s="145">
        <f t="shared" si="78"/>
        <v>2.8</v>
      </c>
    </row>
    <row r="112" spans="1:58" s="145" customFormat="1">
      <c r="A112" s="569"/>
      <c r="B112" s="116">
        <f t="shared" si="54"/>
        <v>109</v>
      </c>
      <c r="C112" s="69">
        <f t="shared" si="79"/>
        <v>42113</v>
      </c>
      <c r="D112" s="257">
        <f>IF(ISERROR(VLOOKUP($C112,'NDVI real'!$T$8:$U$313,2,FALSE)),VLOOKUP(SWB!C112,'NDVI tipo'!$T$8:$U$193,2),VLOOKUP($C112,'NDVI real'!$T$8:$U$313,2,FALSE))</f>
        <v>0.80421559818428245</v>
      </c>
      <c r="E112" s="170">
        <f t="shared" si="44"/>
        <v>4</v>
      </c>
      <c r="F112" s="170">
        <f t="shared" si="45"/>
        <v>19</v>
      </c>
      <c r="G112" s="170">
        <f t="shared" si="46"/>
        <v>2015</v>
      </c>
      <c r="H112" s="170">
        <f t="shared" si="55"/>
        <v>109</v>
      </c>
      <c r="I112" s="190">
        <f>IF(ISERROR(VLOOKUP($C112,Clima!$U$8:$AH$900,3,FALSE)),VLOOKUP($C112,Clima!$D$8:$R$900,3),VLOOKUP($C112,Clima!$U$8:$AH$900,3,FALSE))</f>
        <v>13.2</v>
      </c>
      <c r="J112" s="191"/>
      <c r="K112" s="170"/>
      <c r="L112" s="192">
        <f>IF(ISERROR(VLOOKUP($C112,Clima!$U$8:$AH$900,14,FALSE)),VLOOKUP($C112,Clima!$D$8:$R$900,14),VLOOKUP($C112,Clima!$U$8:$AH$900,14,FALSE))</f>
        <v>4.2</v>
      </c>
      <c r="M112" s="190"/>
      <c r="N112" s="190"/>
      <c r="O112" s="191"/>
      <c r="P112" s="191">
        <f>IF(ISERROR(VLOOKUP($C112,Clima!$W$8:$AH$350,12,FALSE)),VLOOKUP($C112,Clima!$E$8:$P$350,12),VLOOKUP($C112,Clima!$W$8:$AH$350,12,FALSE))</f>
        <v>0</v>
      </c>
      <c r="Q112" s="170">
        <f t="shared" si="80"/>
        <v>113.43817811591758</v>
      </c>
      <c r="R112" s="254">
        <f>VLOOKUP(C112,Clima!$V$8:$AH$900,3,FALSE)+R111</f>
        <v>726.20000000000016</v>
      </c>
      <c r="S112" s="455">
        <f t="shared" si="56"/>
        <v>1.0580704613853666</v>
      </c>
      <c r="T112" s="449">
        <f t="shared" si="57"/>
        <v>4.4438959378185405</v>
      </c>
      <c r="U112" s="195"/>
      <c r="V112" s="445">
        <f t="shared" si="47"/>
        <v>1.1195524842758944</v>
      </c>
      <c r="W112" s="446">
        <f t="shared" si="58"/>
        <v>0</v>
      </c>
      <c r="X112" s="447">
        <f t="shared" si="81"/>
        <v>0.79701656183929603</v>
      </c>
      <c r="Y112" s="448">
        <f t="shared" si="59"/>
        <v>1</v>
      </c>
      <c r="Z112" s="449">
        <f t="shared" si="48"/>
        <v>0.20298343816070397</v>
      </c>
      <c r="AA112" s="449">
        <f t="shared" si="82"/>
        <v>4.3905705207485317</v>
      </c>
      <c r="AB112" s="451">
        <f t="shared" si="60"/>
        <v>0.13535360547193007</v>
      </c>
      <c r="AC112" s="449">
        <f t="shared" si="49"/>
        <v>8.3218134699406636E-3</v>
      </c>
      <c r="AD112" s="449">
        <f t="shared" si="50"/>
        <v>3.4951616573750788E-2</v>
      </c>
      <c r="AE112" s="448">
        <f t="shared" si="83"/>
        <v>0</v>
      </c>
      <c r="AF112" s="449">
        <f t="shared" si="84"/>
        <v>4.5627600200025507</v>
      </c>
      <c r="AG112" s="449">
        <f t="shared" si="51"/>
        <v>1.0663922748553074</v>
      </c>
      <c r="AH112" s="449">
        <f t="shared" si="52"/>
        <v>4.4788475543922912</v>
      </c>
      <c r="AI112" s="448"/>
      <c r="AJ112" s="449">
        <f t="shared" si="61"/>
        <v>0.6</v>
      </c>
      <c r="AK112" s="450">
        <f t="shared" si="53"/>
        <v>39</v>
      </c>
      <c r="AL112" s="449">
        <f t="shared" si="85"/>
        <v>41.170939323320106</v>
      </c>
      <c r="AM112" s="451">
        <f>IF(ISERROR(VLOOKUP(C112,Riegos,2,FALSE)),VLOOKUP(C112,Riegos,2,FALSE),VLOOKUP($F$8,Nomen!$A$79:$B$80,2,FALSE)*IF(AND(H112&gt;120,D112&lt;0.45),0,IF(AQ111+AH112&gt;=AK112,MIN(AQ111,$AK$7),0)))</f>
        <v>5</v>
      </c>
      <c r="AN112" s="448">
        <f t="shared" si="62"/>
        <v>0</v>
      </c>
      <c r="AO112" s="448">
        <f t="shared" si="63"/>
        <v>0.8966219369847569</v>
      </c>
      <c r="AP112" s="449">
        <f t="shared" si="64"/>
        <v>0.95701100002364348</v>
      </c>
      <c r="AQ112" s="449">
        <f t="shared" si="65"/>
        <v>40.71153796902712</v>
      </c>
      <c r="AR112" s="449">
        <f t="shared" si="86"/>
        <v>97.802841033053909</v>
      </c>
      <c r="AS112" s="449">
        <f t="shared" si="66"/>
        <v>4.0194462000993028</v>
      </c>
      <c r="AT112" s="449">
        <f t="shared" si="67"/>
        <v>163.23447225327661</v>
      </c>
      <c r="AU112" s="453">
        <f t="shared" si="68"/>
        <v>45</v>
      </c>
      <c r="AV112" s="145">
        <f t="shared" si="69"/>
        <v>101.4</v>
      </c>
      <c r="AW112" s="178">
        <f t="shared" si="70"/>
        <v>0</v>
      </c>
      <c r="AX112" s="179">
        <f t="shared" si="71"/>
        <v>0</v>
      </c>
      <c r="AY112" s="145">
        <f t="shared" si="87"/>
        <v>0.80421559818428245</v>
      </c>
      <c r="AZ112" s="145">
        <f t="shared" si="72"/>
        <v>4.2265582685609795</v>
      </c>
      <c r="BA112" s="145">
        <f t="shared" si="73"/>
        <v>78.291065963150459</v>
      </c>
      <c r="BB112" s="145">
        <f t="shared" si="74"/>
        <v>0.16906233074243918</v>
      </c>
      <c r="BC112" s="145">
        <f t="shared" si="75"/>
        <v>3.1316426385260181</v>
      </c>
      <c r="BD112" s="145">
        <f t="shared" si="76"/>
        <v>101.15670353403532</v>
      </c>
      <c r="BE112" s="145">
        <f t="shared" si="77"/>
        <v>3.0845491846248905</v>
      </c>
      <c r="BF112" s="145">
        <f t="shared" si="78"/>
        <v>4.2</v>
      </c>
    </row>
    <row r="113" spans="1:58" s="145" customFormat="1">
      <c r="A113" s="569"/>
      <c r="B113" s="116">
        <f t="shared" si="54"/>
        <v>110</v>
      </c>
      <c r="C113" s="69">
        <f t="shared" si="79"/>
        <v>42114</v>
      </c>
      <c r="D113" s="257">
        <f>IF(ISERROR(VLOOKUP($C113,'NDVI real'!$T$8:$U$313,2,FALSE)),VLOOKUP(SWB!C113,'NDVI tipo'!$T$8:$U$193,2),VLOOKUP($C113,'NDVI real'!$T$8:$U$313,2,FALSE))</f>
        <v>0.81728395111111107</v>
      </c>
      <c r="E113" s="170">
        <f t="shared" si="44"/>
        <v>4</v>
      </c>
      <c r="F113" s="170">
        <f t="shared" si="45"/>
        <v>20</v>
      </c>
      <c r="G113" s="170">
        <f t="shared" si="46"/>
        <v>2015</v>
      </c>
      <c r="H113" s="170">
        <f t="shared" si="55"/>
        <v>110</v>
      </c>
      <c r="I113" s="190">
        <f>IF(ISERROR(VLOOKUP($C113,Clima!$U$8:$AH$900,3,FALSE)),VLOOKUP($C113,Clima!$D$8:$R$900,3),VLOOKUP($C113,Clima!$U$8:$AH$900,3,FALSE))</f>
        <v>11.2</v>
      </c>
      <c r="J113" s="191"/>
      <c r="K113" s="170"/>
      <c r="L113" s="192">
        <f>IF(ISERROR(VLOOKUP($C113,Clima!$U$8:$AH$900,14,FALSE)),VLOOKUP($C113,Clima!$D$8:$R$900,14),VLOOKUP($C113,Clima!$U$8:$AH$900,14,FALSE))</f>
        <v>2.5</v>
      </c>
      <c r="M113" s="190"/>
      <c r="N113" s="190"/>
      <c r="O113" s="191"/>
      <c r="P113" s="191">
        <f>IF(ISERROR(VLOOKUP($C113,Clima!$W$8:$AH$350,12,FALSE)),VLOOKUP($C113,Clima!$E$8:$P$350,12),VLOOKUP($C113,Clima!$W$8:$AH$350,12,FALSE))</f>
        <v>0</v>
      </c>
      <c r="Q113" s="170">
        <f t="shared" si="80"/>
        <v>116.13040033991759</v>
      </c>
      <c r="R113" s="254">
        <f>VLOOKUP(C113,Clima!$V$8:$AH$900,3,FALSE)+R112</f>
        <v>738.30000000000018</v>
      </c>
      <c r="S113" s="455">
        <f t="shared" si="56"/>
        <v>1.0768888895999997</v>
      </c>
      <c r="T113" s="449">
        <f t="shared" si="57"/>
        <v>2.6922222239999991</v>
      </c>
      <c r="U113" s="195"/>
      <c r="V113" s="445">
        <f t="shared" si="47"/>
        <v>1.1218851852733334</v>
      </c>
      <c r="W113" s="446">
        <f t="shared" si="58"/>
        <v>5</v>
      </c>
      <c r="X113" s="447">
        <f t="shared" si="81"/>
        <v>0.81256790182222205</v>
      </c>
      <c r="Y113" s="448">
        <f t="shared" si="59"/>
        <v>1</v>
      </c>
      <c r="Z113" s="449">
        <f t="shared" si="48"/>
        <v>0.18743209817777795</v>
      </c>
      <c r="AA113" s="449">
        <f t="shared" si="82"/>
        <v>0</v>
      </c>
      <c r="AB113" s="451">
        <f t="shared" si="60"/>
        <v>1</v>
      </c>
      <c r="AC113" s="449">
        <f t="shared" si="49"/>
        <v>4.4996295673333631E-2</v>
      </c>
      <c r="AD113" s="449">
        <f t="shared" si="50"/>
        <v>0.11249073918333408</v>
      </c>
      <c r="AE113" s="448">
        <f t="shared" si="83"/>
        <v>0.43723997999744935</v>
      </c>
      <c r="AF113" s="449">
        <f t="shared" si="84"/>
        <v>0.60016795563285774</v>
      </c>
      <c r="AG113" s="449">
        <f t="shared" si="51"/>
        <v>1.1218851852733334</v>
      </c>
      <c r="AH113" s="449">
        <f t="shared" si="52"/>
        <v>2.8047129631833334</v>
      </c>
      <c r="AI113" s="448"/>
      <c r="AJ113" s="449">
        <f t="shared" si="61"/>
        <v>0.6</v>
      </c>
      <c r="AK113" s="450">
        <f t="shared" si="53"/>
        <v>39</v>
      </c>
      <c r="AL113" s="449">
        <f t="shared" si="85"/>
        <v>38.516250932210454</v>
      </c>
      <c r="AM113" s="451">
        <f>IF(ISERROR(VLOOKUP(C113,Riegos,2,FALSE)),VLOOKUP(C113,Riegos,2,FALSE),VLOOKUP($F$8,Nomen!$A$79:$B$80,2,FALSE)*IF(AND(H113&gt;120,D113&lt;0.45),0,IF(AQ112+AH113&gt;=AK113,MIN(AQ112,$AK$7),0)))</f>
        <v>5</v>
      </c>
      <c r="AN113" s="448">
        <f t="shared" si="62"/>
        <v>0</v>
      </c>
      <c r="AO113" s="448">
        <f t="shared" si="63"/>
        <v>1</v>
      </c>
      <c r="AP113" s="449">
        <f t="shared" si="64"/>
        <v>1.1218851852733334</v>
      </c>
      <c r="AQ113" s="449">
        <f t="shared" si="65"/>
        <v>38.516250932210454</v>
      </c>
      <c r="AR113" s="449">
        <f t="shared" si="86"/>
        <v>98.802841033053909</v>
      </c>
      <c r="AS113" s="449">
        <f t="shared" si="66"/>
        <v>2.8047129631833334</v>
      </c>
      <c r="AT113" s="449">
        <f t="shared" si="67"/>
        <v>166.03918521645994</v>
      </c>
      <c r="AU113" s="453">
        <f t="shared" si="68"/>
        <v>50</v>
      </c>
      <c r="AV113" s="145">
        <f t="shared" si="69"/>
        <v>101.4</v>
      </c>
      <c r="AW113" s="178">
        <f t="shared" si="70"/>
        <v>0</v>
      </c>
      <c r="AX113" s="179">
        <f t="shared" si="71"/>
        <v>0</v>
      </c>
      <c r="AY113" s="145">
        <f t="shared" si="87"/>
        <v>0.81728395111111107</v>
      </c>
      <c r="AZ113" s="145">
        <f t="shared" si="72"/>
        <v>2.5648148166666669</v>
      </c>
      <c r="BA113" s="145">
        <f t="shared" si="73"/>
        <v>80.855880779817127</v>
      </c>
      <c r="BB113" s="145">
        <f t="shared" si="74"/>
        <v>0.10259259266666668</v>
      </c>
      <c r="BC113" s="145">
        <f t="shared" si="75"/>
        <v>3.234235231192685</v>
      </c>
      <c r="BD113" s="145">
        <f t="shared" si="76"/>
        <v>102.99267470695702</v>
      </c>
      <c r="BE113" s="145">
        <f t="shared" si="77"/>
        <v>1.8359711729217025</v>
      </c>
      <c r="BF113" s="145">
        <f t="shared" si="78"/>
        <v>2.5</v>
      </c>
    </row>
    <row r="114" spans="1:58" s="145" customFormat="1">
      <c r="A114" s="569"/>
      <c r="B114" s="116">
        <f t="shared" si="54"/>
        <v>111</v>
      </c>
      <c r="C114" s="69">
        <f t="shared" si="79"/>
        <v>42115</v>
      </c>
      <c r="D114" s="257">
        <f>IF(ISERROR(VLOOKUP($C114,'NDVI real'!$T$8:$U$313,2,FALSE)),VLOOKUP(SWB!C114,'NDVI tipo'!$T$8:$U$193,2),VLOOKUP($C114,'NDVI real'!$T$8:$U$313,2,FALSE))</f>
        <v>0.82103395104166665</v>
      </c>
      <c r="E114" s="170">
        <f t="shared" si="44"/>
        <v>4</v>
      </c>
      <c r="F114" s="170">
        <f t="shared" si="45"/>
        <v>21</v>
      </c>
      <c r="G114" s="170">
        <f t="shared" si="46"/>
        <v>2015</v>
      </c>
      <c r="H114" s="170">
        <f t="shared" si="55"/>
        <v>111</v>
      </c>
      <c r="I114" s="190">
        <f>IF(ISERROR(VLOOKUP($C114,Clima!$U$8:$AH$900,3,FALSE)),VLOOKUP($C114,Clima!$D$8:$R$900,3),VLOOKUP($C114,Clima!$U$8:$AH$900,3,FALSE))</f>
        <v>9.1999999999999993</v>
      </c>
      <c r="J114" s="191"/>
      <c r="K114" s="170"/>
      <c r="L114" s="192">
        <f>IF(ISERROR(VLOOKUP($C114,Clima!$U$8:$AH$900,14,FALSE)),VLOOKUP($C114,Clima!$D$8:$R$900,14),VLOOKUP($C114,Clima!$U$8:$AH$900,14,FALSE))</f>
        <v>1.4</v>
      </c>
      <c r="M114" s="190"/>
      <c r="N114" s="190"/>
      <c r="O114" s="191"/>
      <c r="P114" s="191">
        <f>IF(ISERROR(VLOOKUP($C114,Clima!$W$8:$AH$350,12,FALSE)),VLOOKUP($C114,Clima!$E$8:$P$350,12),VLOOKUP($C114,Clima!$W$8:$AH$350,12,FALSE))</f>
        <v>0.2</v>
      </c>
      <c r="Q114" s="170">
        <f t="shared" si="80"/>
        <v>117.64560478521759</v>
      </c>
      <c r="R114" s="254">
        <f>VLOOKUP(C114,Clima!$V$8:$AH$900,3,FALSE)+R113</f>
        <v>750.80000000000018</v>
      </c>
      <c r="S114" s="455">
        <f t="shared" si="56"/>
        <v>1.0822888894999998</v>
      </c>
      <c r="T114" s="449">
        <f t="shared" si="57"/>
        <v>1.5152044452999995</v>
      </c>
      <c r="U114" s="195"/>
      <c r="V114" s="445">
        <f t="shared" si="47"/>
        <v>1.1225545602609373</v>
      </c>
      <c r="W114" s="446">
        <f t="shared" si="58"/>
        <v>5</v>
      </c>
      <c r="X114" s="447">
        <f t="shared" si="81"/>
        <v>0.81703040173958319</v>
      </c>
      <c r="Y114" s="448">
        <f t="shared" si="59"/>
        <v>1</v>
      </c>
      <c r="Z114" s="449">
        <f t="shared" si="48"/>
        <v>0.18296959826041681</v>
      </c>
      <c r="AA114" s="449">
        <f t="shared" si="82"/>
        <v>0</v>
      </c>
      <c r="AB114" s="451">
        <f t="shared" si="60"/>
        <v>1</v>
      </c>
      <c r="AC114" s="449">
        <f t="shared" si="49"/>
        <v>4.0265670760937455E-2</v>
      </c>
      <c r="AD114" s="449">
        <f t="shared" si="50"/>
        <v>5.6371939065312432E-2</v>
      </c>
      <c r="AE114" s="448">
        <f t="shared" si="83"/>
        <v>4.5998320443671421</v>
      </c>
      <c r="AF114" s="449">
        <f t="shared" si="84"/>
        <v>0.30809456653601774</v>
      </c>
      <c r="AG114" s="449">
        <f t="shared" si="51"/>
        <v>1.1225545602609373</v>
      </c>
      <c r="AH114" s="449">
        <f t="shared" si="52"/>
        <v>1.5715763843653121</v>
      </c>
      <c r="AI114" s="448"/>
      <c r="AJ114" s="449">
        <f t="shared" si="61"/>
        <v>0.6</v>
      </c>
      <c r="AK114" s="450">
        <f t="shared" si="53"/>
        <v>39</v>
      </c>
      <c r="AL114" s="449">
        <f t="shared" si="85"/>
        <v>34.887827316575766</v>
      </c>
      <c r="AM114" s="451">
        <f>IF(ISERROR(VLOOKUP(C114,Riegos,2,FALSE)),VLOOKUP(C114,Riegos,2,FALSE),VLOOKUP($F$8,Nomen!$A$79:$B$80,2,FALSE)*IF(AND(H114&gt;120,D114&lt;0.45),0,IF(AQ113+AH114&gt;=AK114,MIN(AQ113,$AK$7),0)))</f>
        <v>5</v>
      </c>
      <c r="AN114" s="448">
        <f t="shared" si="62"/>
        <v>0</v>
      </c>
      <c r="AO114" s="448">
        <f t="shared" si="63"/>
        <v>1</v>
      </c>
      <c r="AP114" s="449">
        <f t="shared" si="64"/>
        <v>1.1225545602609373</v>
      </c>
      <c r="AQ114" s="449">
        <f t="shared" si="65"/>
        <v>34.887827316575766</v>
      </c>
      <c r="AR114" s="449">
        <f t="shared" si="86"/>
        <v>99.802841033053909</v>
      </c>
      <c r="AS114" s="449">
        <f t="shared" si="66"/>
        <v>1.5715763843653121</v>
      </c>
      <c r="AT114" s="449">
        <f t="shared" si="67"/>
        <v>167.61076160082524</v>
      </c>
      <c r="AU114" s="453">
        <f t="shared" si="68"/>
        <v>55</v>
      </c>
      <c r="AV114" s="145">
        <f t="shared" si="69"/>
        <v>101.60000000000001</v>
      </c>
      <c r="AW114" s="178">
        <f t="shared" si="70"/>
        <v>0</v>
      </c>
      <c r="AX114" s="179">
        <f t="shared" si="71"/>
        <v>0</v>
      </c>
      <c r="AY114" s="145">
        <f t="shared" si="87"/>
        <v>0.82103395104166665</v>
      </c>
      <c r="AZ114" s="145">
        <f t="shared" si="72"/>
        <v>1.4441712971875</v>
      </c>
      <c r="BA114" s="145">
        <f t="shared" si="73"/>
        <v>82.300052077004622</v>
      </c>
      <c r="BB114" s="145">
        <f t="shared" si="74"/>
        <v>5.7766851887499998E-2</v>
      </c>
      <c r="BC114" s="145">
        <f t="shared" si="75"/>
        <v>3.292002083080185</v>
      </c>
      <c r="BD114" s="145">
        <f t="shared" si="76"/>
        <v>104.01513056886975</v>
      </c>
      <c r="BE114" s="145">
        <f t="shared" si="77"/>
        <v>1.0224558619127322</v>
      </c>
      <c r="BF114" s="145">
        <f t="shared" si="78"/>
        <v>1.4</v>
      </c>
    </row>
    <row r="115" spans="1:58" s="145" customFormat="1">
      <c r="A115" s="569"/>
      <c r="B115" s="116">
        <f t="shared" si="54"/>
        <v>112</v>
      </c>
      <c r="C115" s="69">
        <f t="shared" si="79"/>
        <v>42116</v>
      </c>
      <c r="D115" s="257">
        <f>IF(ISERROR(VLOOKUP($C115,'NDVI real'!$T$8:$U$313,2,FALSE)),VLOOKUP(SWB!C115,'NDVI tipo'!$T$8:$U$193,2),VLOOKUP($C115,'NDVI real'!$T$8:$U$313,2,FALSE))</f>
        <v>0.82478395097222224</v>
      </c>
      <c r="E115" s="170">
        <f t="shared" si="44"/>
        <v>4</v>
      </c>
      <c r="F115" s="170">
        <f t="shared" si="45"/>
        <v>22</v>
      </c>
      <c r="G115" s="170">
        <f t="shared" si="46"/>
        <v>2015</v>
      </c>
      <c r="H115" s="170">
        <f t="shared" si="55"/>
        <v>112</v>
      </c>
      <c r="I115" s="190">
        <f>IF(ISERROR(VLOOKUP($C115,Clima!$U$8:$AH$900,3,FALSE)),VLOOKUP($C115,Clima!$D$8:$R$900,3),VLOOKUP($C115,Clima!$U$8:$AH$900,3,FALSE))</f>
        <v>11</v>
      </c>
      <c r="J115" s="191"/>
      <c r="K115" s="170"/>
      <c r="L115" s="192">
        <f>IF(ISERROR(VLOOKUP($C115,Clima!$U$8:$AH$900,14,FALSE)),VLOOKUP($C115,Clima!$D$8:$R$900,14),VLOOKUP($C115,Clima!$U$8:$AH$900,14,FALSE))</f>
        <v>3.5</v>
      </c>
      <c r="M115" s="190"/>
      <c r="N115" s="190"/>
      <c r="O115" s="191"/>
      <c r="P115" s="191">
        <f>IF(ISERROR(VLOOKUP($C115,Clima!$W$8:$AH$350,12,FALSE)),VLOOKUP($C115,Clima!$E$8:$P$350,12),VLOOKUP($C115,Clima!$W$8:$AH$350,12,FALSE))</f>
        <v>2.2000000000000002</v>
      </c>
      <c r="Q115" s="170">
        <f t="shared" si="80"/>
        <v>121.45251589811758</v>
      </c>
      <c r="R115" s="254">
        <f>VLOOKUP(C115,Clima!$V$8:$AH$900,3,FALSE)+R114</f>
        <v>764.80000000000018</v>
      </c>
      <c r="S115" s="455">
        <f t="shared" si="56"/>
        <v>1.0876888893999999</v>
      </c>
      <c r="T115" s="449">
        <f t="shared" si="57"/>
        <v>3.8069111128999995</v>
      </c>
      <c r="U115" s="195"/>
      <c r="V115" s="445">
        <f t="shared" si="47"/>
        <v>1.1232239352485416</v>
      </c>
      <c r="W115" s="446">
        <f t="shared" si="58"/>
        <v>5</v>
      </c>
      <c r="X115" s="447">
        <f t="shared" si="81"/>
        <v>0.82149290165694433</v>
      </c>
      <c r="Y115" s="448">
        <f t="shared" si="59"/>
        <v>1</v>
      </c>
      <c r="Z115" s="449">
        <f t="shared" si="48"/>
        <v>0.17850709834305567</v>
      </c>
      <c r="AA115" s="449">
        <f t="shared" si="82"/>
        <v>0</v>
      </c>
      <c r="AB115" s="451">
        <f t="shared" si="60"/>
        <v>1</v>
      </c>
      <c r="AC115" s="449">
        <f t="shared" si="49"/>
        <v>3.5535045848541724E-2</v>
      </c>
      <c r="AD115" s="449">
        <f t="shared" si="50"/>
        <v>0.12437266046989603</v>
      </c>
      <c r="AE115" s="448">
        <f t="shared" si="83"/>
        <v>6.8919054334639824</v>
      </c>
      <c r="AF115" s="449">
        <f t="shared" si="84"/>
        <v>0.69673789795673091</v>
      </c>
      <c r="AG115" s="449">
        <f t="shared" si="51"/>
        <v>1.1232239352485416</v>
      </c>
      <c r="AH115" s="449">
        <f t="shared" si="52"/>
        <v>3.9312837733698958</v>
      </c>
      <c r="AI115" s="448"/>
      <c r="AJ115" s="449">
        <f t="shared" si="61"/>
        <v>0.6</v>
      </c>
      <c r="AK115" s="450">
        <f t="shared" si="53"/>
        <v>39</v>
      </c>
      <c r="AL115" s="449">
        <f t="shared" si="85"/>
        <v>31.619111089945658</v>
      </c>
      <c r="AM115" s="451">
        <f>IF(ISERROR(VLOOKUP(C115,Riegos,2,FALSE)),VLOOKUP(C115,Riegos,2,FALSE),VLOOKUP($F$8,Nomen!$A$79:$B$80,2,FALSE)*IF(AND(H115&gt;120,D115&lt;0.45),0,IF(AQ114+AH115&gt;=AK115,MIN(AQ114,$AK$7),0)))</f>
        <v>0</v>
      </c>
      <c r="AN115" s="448">
        <f t="shared" si="62"/>
        <v>0</v>
      </c>
      <c r="AO115" s="448">
        <f t="shared" si="63"/>
        <v>1</v>
      </c>
      <c r="AP115" s="449">
        <f t="shared" si="64"/>
        <v>1.1232239352485416</v>
      </c>
      <c r="AQ115" s="449">
        <f t="shared" si="65"/>
        <v>31.619111089945658</v>
      </c>
      <c r="AR115" s="449">
        <f t="shared" si="86"/>
        <v>100.80284103305391</v>
      </c>
      <c r="AS115" s="449">
        <f t="shared" si="66"/>
        <v>3.9312837733698958</v>
      </c>
      <c r="AT115" s="449">
        <f t="shared" si="67"/>
        <v>171.54204537419514</v>
      </c>
      <c r="AU115" s="453">
        <f t="shared" si="68"/>
        <v>55</v>
      </c>
      <c r="AV115" s="145">
        <f t="shared" si="69"/>
        <v>103.80000000000001</v>
      </c>
      <c r="AW115" s="178">
        <f t="shared" si="70"/>
        <v>0</v>
      </c>
      <c r="AX115" s="179">
        <f t="shared" si="71"/>
        <v>0</v>
      </c>
      <c r="AY115" s="145">
        <f t="shared" si="87"/>
        <v>0.82478395097222224</v>
      </c>
      <c r="AZ115" s="145">
        <f t="shared" si="72"/>
        <v>3.6301157426041666</v>
      </c>
      <c r="BA115" s="145">
        <f t="shared" si="73"/>
        <v>85.930167819608783</v>
      </c>
      <c r="BB115" s="145">
        <f t="shared" si="74"/>
        <v>0.14520462970416667</v>
      </c>
      <c r="BC115" s="145">
        <f t="shared" si="75"/>
        <v>3.4372067127843517</v>
      </c>
      <c r="BD115" s="145">
        <f t="shared" si="76"/>
        <v>106.55075599222722</v>
      </c>
      <c r="BE115" s="145">
        <f t="shared" si="77"/>
        <v>2.5356254233574731</v>
      </c>
      <c r="BF115" s="145">
        <f t="shared" si="78"/>
        <v>3.5</v>
      </c>
    </row>
    <row r="116" spans="1:58" s="145" customFormat="1">
      <c r="A116" s="569"/>
      <c r="B116" s="116">
        <f t="shared" si="54"/>
        <v>113</v>
      </c>
      <c r="C116" s="69">
        <f t="shared" si="79"/>
        <v>42117</v>
      </c>
      <c r="D116" s="257">
        <f>IF(ISERROR(VLOOKUP($C116,'NDVI real'!$T$8:$U$313,2,FALSE)),VLOOKUP(SWB!C116,'NDVI tipo'!$T$8:$U$193,2),VLOOKUP($C116,'NDVI real'!$T$8:$U$313,2,FALSE))</f>
        <v>0.82853395090277782</v>
      </c>
      <c r="E116" s="170">
        <f t="shared" si="44"/>
        <v>4</v>
      </c>
      <c r="F116" s="170">
        <f t="shared" si="45"/>
        <v>23</v>
      </c>
      <c r="G116" s="170">
        <f t="shared" si="46"/>
        <v>2015</v>
      </c>
      <c r="H116" s="170">
        <f t="shared" si="55"/>
        <v>113</v>
      </c>
      <c r="I116" s="190">
        <f>IF(ISERROR(VLOOKUP($C116,Clima!$U$8:$AH$900,3,FALSE)),VLOOKUP($C116,Clima!$D$8:$R$900,3),VLOOKUP($C116,Clima!$U$8:$AH$900,3,FALSE))</f>
        <v>11.3</v>
      </c>
      <c r="J116" s="191"/>
      <c r="K116" s="170"/>
      <c r="L116" s="192">
        <f>IF(ISERROR(VLOOKUP($C116,Clima!$U$8:$AH$900,14,FALSE)),VLOOKUP($C116,Clima!$D$8:$R$900,14),VLOOKUP($C116,Clima!$U$8:$AH$900,14,FALSE))</f>
        <v>2.2999999999999998</v>
      </c>
      <c r="M116" s="190"/>
      <c r="N116" s="190"/>
      <c r="O116" s="191"/>
      <c r="P116" s="191">
        <f>IF(ISERROR(VLOOKUP($C116,Clima!$W$8:$AH$350,12,FALSE)),VLOOKUP($C116,Clima!$E$8:$P$350,12),VLOOKUP($C116,Clima!$W$8:$AH$350,12,FALSE))</f>
        <v>0</v>
      </c>
      <c r="Q116" s="170">
        <f t="shared" si="80"/>
        <v>123.96662034350759</v>
      </c>
      <c r="R116" s="254">
        <f>VLOOKUP(C116,Clima!$V$8:$AH$900,3,FALSE)+R115</f>
        <v>779.10000000000014</v>
      </c>
      <c r="S116" s="455">
        <f t="shared" si="56"/>
        <v>1.0930888892999999</v>
      </c>
      <c r="T116" s="449">
        <f t="shared" si="57"/>
        <v>2.5141044453899997</v>
      </c>
      <c r="U116" s="195"/>
      <c r="V116" s="445">
        <f t="shared" si="47"/>
        <v>1.1238933102361459</v>
      </c>
      <c r="W116" s="446">
        <f t="shared" si="58"/>
        <v>0</v>
      </c>
      <c r="X116" s="447">
        <f t="shared" si="81"/>
        <v>0.82595540157430558</v>
      </c>
      <c r="Y116" s="448">
        <f t="shared" si="59"/>
        <v>1</v>
      </c>
      <c r="Z116" s="449">
        <f t="shared" si="48"/>
        <v>0.17404459842569442</v>
      </c>
      <c r="AA116" s="449">
        <f t="shared" si="82"/>
        <v>0.69673789795673091</v>
      </c>
      <c r="AB116" s="451">
        <f t="shared" si="60"/>
        <v>1</v>
      </c>
      <c r="AC116" s="449">
        <f t="shared" si="49"/>
        <v>3.0804420936145993E-2</v>
      </c>
      <c r="AD116" s="449">
        <f t="shared" si="50"/>
        <v>7.0850168153135773E-2</v>
      </c>
      <c r="AE116" s="448">
        <f t="shared" si="83"/>
        <v>0</v>
      </c>
      <c r="AF116" s="449">
        <f t="shared" si="84"/>
        <v>1.1038184324519404</v>
      </c>
      <c r="AG116" s="449">
        <f t="shared" si="51"/>
        <v>1.1238933102361459</v>
      </c>
      <c r="AH116" s="449">
        <f t="shared" si="52"/>
        <v>2.5849546135431356</v>
      </c>
      <c r="AI116" s="448"/>
      <c r="AJ116" s="449">
        <f t="shared" si="61"/>
        <v>0.6</v>
      </c>
      <c r="AK116" s="450">
        <f t="shared" si="53"/>
        <v>39</v>
      </c>
      <c r="AL116" s="449">
        <f t="shared" si="85"/>
        <v>34.204065703488794</v>
      </c>
      <c r="AM116" s="451">
        <f>IF(ISERROR(VLOOKUP(C116,Riegos,2,FALSE)),VLOOKUP(C116,Riegos,2,FALSE),VLOOKUP($F$8,Nomen!$A$79:$B$80,2,FALSE)*IF(AND(H116&gt;120,D116&lt;0.45),0,IF(AQ115+AH116&gt;=AK116,MIN(AQ115,$AK$7),0)))</f>
        <v>0</v>
      </c>
      <c r="AN116" s="448">
        <f t="shared" si="62"/>
        <v>0</v>
      </c>
      <c r="AO116" s="448">
        <f t="shared" si="63"/>
        <v>1</v>
      </c>
      <c r="AP116" s="449">
        <f t="shared" si="64"/>
        <v>1.1238933102361459</v>
      </c>
      <c r="AQ116" s="449">
        <f t="shared" si="65"/>
        <v>34.204065703488794</v>
      </c>
      <c r="AR116" s="449">
        <f t="shared" si="86"/>
        <v>101.80284103305391</v>
      </c>
      <c r="AS116" s="449">
        <f t="shared" si="66"/>
        <v>2.5849546135431356</v>
      </c>
      <c r="AT116" s="449">
        <f t="shared" si="67"/>
        <v>174.12699998773829</v>
      </c>
      <c r="AU116" s="453">
        <f t="shared" si="68"/>
        <v>55</v>
      </c>
      <c r="AV116" s="145">
        <f t="shared" si="69"/>
        <v>103.80000000000001</v>
      </c>
      <c r="AW116" s="178">
        <f t="shared" si="70"/>
        <v>0</v>
      </c>
      <c r="AX116" s="179">
        <f t="shared" si="71"/>
        <v>0</v>
      </c>
      <c r="AY116" s="145">
        <f t="shared" si="87"/>
        <v>0.82853395090277782</v>
      </c>
      <c r="AZ116" s="145">
        <f t="shared" si="72"/>
        <v>2.3984421306145833</v>
      </c>
      <c r="BA116" s="145">
        <f t="shared" si="73"/>
        <v>88.328609950223367</v>
      </c>
      <c r="BB116" s="145">
        <f t="shared" si="74"/>
        <v>9.5937685224583333E-2</v>
      </c>
      <c r="BC116" s="145">
        <f t="shared" si="75"/>
        <v>3.5331443980089352</v>
      </c>
      <c r="BD116" s="145">
        <f t="shared" si="76"/>
        <v>108.20014333446103</v>
      </c>
      <c r="BE116" s="145">
        <f t="shared" si="77"/>
        <v>1.6493873422338083</v>
      </c>
      <c r="BF116" s="145">
        <f t="shared" si="78"/>
        <v>2.2999999999999998</v>
      </c>
    </row>
    <row r="117" spans="1:58" s="145" customFormat="1">
      <c r="A117" s="559" t="s">
        <v>528</v>
      </c>
      <c r="B117" s="116">
        <f t="shared" si="54"/>
        <v>114</v>
      </c>
      <c r="C117" s="69">
        <f t="shared" si="79"/>
        <v>42118</v>
      </c>
      <c r="D117" s="257">
        <f>IF(ISERROR(VLOOKUP($C117,'NDVI real'!$T$8:$U$313,2,FALSE)),VLOOKUP(SWB!C117,'NDVI tipo'!$T$8:$U$193,2),VLOOKUP($C117,'NDVI real'!$T$8:$U$313,2,FALSE))</f>
        <v>0.8322839508333334</v>
      </c>
      <c r="E117" s="170">
        <f t="shared" si="44"/>
        <v>4</v>
      </c>
      <c r="F117" s="170">
        <f t="shared" si="45"/>
        <v>24</v>
      </c>
      <c r="G117" s="170">
        <f t="shared" si="46"/>
        <v>2015</v>
      </c>
      <c r="H117" s="170">
        <f t="shared" si="55"/>
        <v>114</v>
      </c>
      <c r="I117" s="190">
        <f>IF(ISERROR(VLOOKUP($C117,Clima!$U$8:$AH$900,3,FALSE)),VLOOKUP($C117,Clima!$D$8:$R$900,3),VLOOKUP($C117,Clima!$U$8:$AH$900,3,FALSE))</f>
        <v>11.4</v>
      </c>
      <c r="J117" s="191"/>
      <c r="K117" s="170"/>
      <c r="L117" s="192">
        <f>IF(ISERROR(VLOOKUP($C117,Clima!$U$8:$AH$900,14,FALSE)),VLOOKUP($C117,Clima!$D$8:$R$900,14),VLOOKUP($C117,Clima!$U$8:$AH$900,14,FALSE))</f>
        <v>3.6</v>
      </c>
      <c r="M117" s="190"/>
      <c r="N117" s="190"/>
      <c r="O117" s="191"/>
      <c r="P117" s="191">
        <f>IF(ISERROR(VLOOKUP($C117,Clima!$W$8:$AH$350,12,FALSE)),VLOOKUP($C117,Clima!$E$8:$P$350,12),VLOOKUP($C117,Clima!$W$8:$AH$350,12,FALSE))</f>
        <v>0</v>
      </c>
      <c r="Q117" s="170">
        <f t="shared" si="80"/>
        <v>127.92118034462759</v>
      </c>
      <c r="R117" s="254">
        <f>VLOOKUP(C117,Clima!$V$8:$AH$900,3,FALSE)+R116</f>
        <v>794.90000000000009</v>
      </c>
      <c r="S117" s="455">
        <f t="shared" si="56"/>
        <v>1.0984888892</v>
      </c>
      <c r="T117" s="449">
        <f t="shared" si="57"/>
        <v>3.9545600011199999</v>
      </c>
      <c r="U117" s="195"/>
      <c r="V117" s="445">
        <f t="shared" si="47"/>
        <v>1.1245626852237498</v>
      </c>
      <c r="W117" s="446">
        <f t="shared" si="58"/>
        <v>0</v>
      </c>
      <c r="X117" s="447">
        <f t="shared" si="81"/>
        <v>0.83041790149166672</v>
      </c>
      <c r="Y117" s="448">
        <f t="shared" si="59"/>
        <v>1</v>
      </c>
      <c r="Z117" s="449">
        <f t="shared" si="48"/>
        <v>0.16958209850833328</v>
      </c>
      <c r="AA117" s="449">
        <f t="shared" si="82"/>
        <v>1.1038184324519404</v>
      </c>
      <c r="AB117" s="451">
        <f t="shared" si="60"/>
        <v>1</v>
      </c>
      <c r="AC117" s="449">
        <f t="shared" si="49"/>
        <v>2.6073796023749818E-2</v>
      </c>
      <c r="AD117" s="449">
        <f t="shared" si="50"/>
        <v>9.3865665685499353E-2</v>
      </c>
      <c r="AE117" s="448">
        <f t="shared" si="83"/>
        <v>0</v>
      </c>
      <c r="AF117" s="449">
        <f t="shared" si="84"/>
        <v>1.6573300737817402</v>
      </c>
      <c r="AG117" s="449">
        <f t="shared" si="51"/>
        <v>1.1245626852237498</v>
      </c>
      <c r="AH117" s="449">
        <f t="shared" si="52"/>
        <v>4.0484256668054996</v>
      </c>
      <c r="AI117" s="448"/>
      <c r="AJ117" s="449">
        <f t="shared" si="61"/>
        <v>0.6</v>
      </c>
      <c r="AK117" s="450">
        <f t="shared" si="53"/>
        <v>39</v>
      </c>
      <c r="AL117" s="449">
        <f t="shared" si="85"/>
        <v>38.252491370294294</v>
      </c>
      <c r="AM117" s="451">
        <f>IF(ISERROR(VLOOKUP(C117,Riegos,2,FALSE)),VLOOKUP(C117,Riegos,2,FALSE),VLOOKUP($F$8,Nomen!$A$79:$B$80,2,FALSE)*IF(AND(H117&gt;120,D117&lt;0.45),0,IF(AQ116+AH117&gt;=AK117,MIN(AQ116,$AK$7),0)))</f>
        <v>0</v>
      </c>
      <c r="AN117" s="448">
        <f t="shared" si="62"/>
        <v>0</v>
      </c>
      <c r="AO117" s="448">
        <f t="shared" si="63"/>
        <v>1</v>
      </c>
      <c r="AP117" s="449">
        <f t="shared" si="64"/>
        <v>1.1245626852237498</v>
      </c>
      <c r="AQ117" s="449">
        <f t="shared" si="65"/>
        <v>38.252491370294294</v>
      </c>
      <c r="AR117" s="449">
        <f t="shared" si="86"/>
        <v>102.80284103305391</v>
      </c>
      <c r="AS117" s="449">
        <f t="shared" si="66"/>
        <v>4.0484256668054996</v>
      </c>
      <c r="AT117" s="449">
        <f t="shared" si="67"/>
        <v>178.1754256545438</v>
      </c>
      <c r="AU117" s="453">
        <f t="shared" si="68"/>
        <v>55</v>
      </c>
      <c r="AV117" s="145">
        <f t="shared" si="69"/>
        <v>103.80000000000001</v>
      </c>
      <c r="AW117" s="178">
        <f t="shared" si="70"/>
        <v>0</v>
      </c>
      <c r="AX117" s="179">
        <f t="shared" si="71"/>
        <v>0</v>
      </c>
      <c r="AY117" s="145">
        <f t="shared" si="87"/>
        <v>0.8322839508333334</v>
      </c>
      <c r="AZ117" s="145">
        <f t="shared" si="72"/>
        <v>3.774333334500001</v>
      </c>
      <c r="BA117" s="145">
        <f t="shared" si="73"/>
        <v>92.102943284723366</v>
      </c>
      <c r="BB117" s="145">
        <f t="shared" si="74"/>
        <v>0.15097333338000005</v>
      </c>
      <c r="BC117" s="145">
        <f t="shared" si="75"/>
        <v>3.6841177313889353</v>
      </c>
      <c r="BD117" s="145">
        <f t="shared" si="76"/>
        <v>110.75615621359864</v>
      </c>
      <c r="BE117" s="145">
        <f t="shared" si="77"/>
        <v>2.5560128791376115</v>
      </c>
      <c r="BF117" s="145">
        <f t="shared" si="78"/>
        <v>3.6</v>
      </c>
    </row>
    <row r="118" spans="1:58" s="145" customFormat="1">
      <c r="A118" s="559"/>
      <c r="B118" s="116">
        <f t="shared" si="54"/>
        <v>115</v>
      </c>
      <c r="C118" s="69">
        <f t="shared" si="79"/>
        <v>42119</v>
      </c>
      <c r="D118" s="257">
        <f>IF(ISERROR(VLOOKUP($C118,'NDVI real'!$T$8:$U$313,2,FALSE)),VLOOKUP(SWB!C118,'NDVI tipo'!$T$8:$U$193,2),VLOOKUP($C118,'NDVI real'!$T$8:$U$313,2,FALSE))</f>
        <v>0.83603395076388898</v>
      </c>
      <c r="E118" s="170">
        <f t="shared" si="44"/>
        <v>4</v>
      </c>
      <c r="F118" s="170">
        <f t="shared" si="45"/>
        <v>25</v>
      </c>
      <c r="G118" s="170">
        <f t="shared" si="46"/>
        <v>2015</v>
      </c>
      <c r="H118" s="170">
        <f t="shared" si="55"/>
        <v>115</v>
      </c>
      <c r="I118" s="190">
        <f>IF(ISERROR(VLOOKUP($C118,Clima!$U$8:$AH$900,3,FALSE)),VLOOKUP($C118,Clima!$D$8:$R$900,3),VLOOKUP($C118,Clima!$U$8:$AH$900,3,FALSE))</f>
        <v>11</v>
      </c>
      <c r="J118" s="191"/>
      <c r="K118" s="170"/>
      <c r="L118" s="192">
        <f>IF(ISERROR(VLOOKUP($C118,Clima!$U$8:$AH$900,14,FALSE)),VLOOKUP($C118,Clima!$D$8:$R$900,14),VLOOKUP($C118,Clima!$U$8:$AH$900,14,FALSE))</f>
        <v>4.3</v>
      </c>
      <c r="M118" s="190"/>
      <c r="N118" s="190"/>
      <c r="O118" s="191"/>
      <c r="P118" s="191">
        <f>IF(ISERROR(VLOOKUP($C118,Clima!$W$8:$AH$350,12,FALSE)),VLOOKUP($C118,Clima!$E$8:$P$350,12),VLOOKUP($C118,Clima!$W$8:$AH$350,12,FALSE))</f>
        <v>0.2</v>
      </c>
      <c r="Q118" s="170">
        <f t="shared" si="80"/>
        <v>131.78985247190855</v>
      </c>
      <c r="R118" s="254">
        <f>VLOOKUP(C118,Clima!$V$8:$AH$900,3,FALSE)+R117</f>
        <v>809.10000000000014</v>
      </c>
      <c r="S118" s="455">
        <f t="shared" si="56"/>
        <v>1.1038888891</v>
      </c>
      <c r="T118" s="449">
        <f t="shared" si="57"/>
        <v>4.7467222231299999</v>
      </c>
      <c r="U118" s="195"/>
      <c r="V118" s="445">
        <f t="shared" si="47"/>
        <v>1.1252320602113541</v>
      </c>
      <c r="W118" s="446">
        <f t="shared" si="58"/>
        <v>0</v>
      </c>
      <c r="X118" s="447">
        <f t="shared" si="81"/>
        <v>0.83488040140902786</v>
      </c>
      <c r="Y118" s="448">
        <f t="shared" si="59"/>
        <v>1</v>
      </c>
      <c r="Z118" s="449">
        <f t="shared" si="48"/>
        <v>0.16511959859097214</v>
      </c>
      <c r="AA118" s="449">
        <f t="shared" si="82"/>
        <v>1.4573300737817403</v>
      </c>
      <c r="AB118" s="451">
        <f t="shared" si="60"/>
        <v>0.93023255813953487</v>
      </c>
      <c r="AC118" s="449">
        <f t="shared" si="49"/>
        <v>1.9854112661724731E-2</v>
      </c>
      <c r="AD118" s="449">
        <f t="shared" si="50"/>
        <v>8.5372684445416333E-2</v>
      </c>
      <c r="AE118" s="448">
        <f t="shared" si="83"/>
        <v>0</v>
      </c>
      <c r="AF118" s="449">
        <f t="shared" si="84"/>
        <v>1.9743655146012049</v>
      </c>
      <c r="AG118" s="449">
        <f t="shared" si="51"/>
        <v>1.1237430017617247</v>
      </c>
      <c r="AH118" s="449">
        <f t="shared" si="52"/>
        <v>4.8320949075754163</v>
      </c>
      <c r="AI118" s="448"/>
      <c r="AJ118" s="449">
        <f t="shared" si="61"/>
        <v>0.6</v>
      </c>
      <c r="AK118" s="450">
        <f t="shared" si="53"/>
        <v>39</v>
      </c>
      <c r="AL118" s="449">
        <f t="shared" si="85"/>
        <v>42.884586277869708</v>
      </c>
      <c r="AM118" s="451">
        <f>IF(ISERROR(VLOOKUP(C118,Riegos,2,FALSE)),VLOOKUP(C118,Riegos,2,FALSE),VLOOKUP($F$8,Nomen!$A$79:$B$80,2,FALSE)*IF(AND(H118&gt;120,D118&lt;0.45),0,IF(AQ117+AH118&gt;=AK118,MIN(AQ117,$AK$7),0)))</f>
        <v>5</v>
      </c>
      <c r="AN118" s="448">
        <f t="shared" si="62"/>
        <v>0</v>
      </c>
      <c r="AO118" s="448">
        <f t="shared" si="63"/>
        <v>0.81501970105382338</v>
      </c>
      <c r="AP118" s="449">
        <f t="shared" si="64"/>
        <v>0.91954530505264398</v>
      </c>
      <c r="AQ118" s="449">
        <f t="shared" si="65"/>
        <v>42.00653618202066</v>
      </c>
      <c r="AR118" s="449">
        <f t="shared" si="86"/>
        <v>103.61786073410774</v>
      </c>
      <c r="AS118" s="449">
        <f t="shared" si="66"/>
        <v>3.9540448117263689</v>
      </c>
      <c r="AT118" s="449">
        <f t="shared" si="67"/>
        <v>182.12947046627016</v>
      </c>
      <c r="AU118" s="453">
        <f t="shared" si="68"/>
        <v>60</v>
      </c>
      <c r="AV118" s="145">
        <f t="shared" si="69"/>
        <v>104.00000000000001</v>
      </c>
      <c r="AW118" s="178">
        <f t="shared" si="70"/>
        <v>0</v>
      </c>
      <c r="AX118" s="179">
        <f t="shared" si="71"/>
        <v>0</v>
      </c>
      <c r="AY118" s="145">
        <f t="shared" si="87"/>
        <v>0.83603395076388898</v>
      </c>
      <c r="AZ118" s="145">
        <f t="shared" si="72"/>
        <v>4.5324189824270835</v>
      </c>
      <c r="BA118" s="145">
        <f t="shared" si="73"/>
        <v>96.635362267150455</v>
      </c>
      <c r="BB118" s="145">
        <f t="shared" si="74"/>
        <v>0.18129675929708333</v>
      </c>
      <c r="BC118" s="145">
        <f t="shared" si="75"/>
        <v>3.8654144906860184</v>
      </c>
      <c r="BD118" s="145">
        <f t="shared" si="76"/>
        <v>113.76513573193462</v>
      </c>
      <c r="BE118" s="145">
        <f t="shared" si="77"/>
        <v>3.0089795183359769</v>
      </c>
      <c r="BF118" s="145">
        <f t="shared" si="78"/>
        <v>4.3</v>
      </c>
    </row>
    <row r="119" spans="1:58" s="145" customFormat="1">
      <c r="A119" s="559"/>
      <c r="B119" s="116">
        <f t="shared" si="54"/>
        <v>116</v>
      </c>
      <c r="C119" s="69">
        <f t="shared" si="79"/>
        <v>42120</v>
      </c>
      <c r="D119" s="257">
        <f>IF(ISERROR(VLOOKUP($C119,'NDVI real'!$T$8:$U$313,2,FALSE)),VLOOKUP(SWB!C119,'NDVI tipo'!$T$8:$U$193,2),VLOOKUP($C119,'NDVI real'!$T$8:$U$313,2,FALSE))</f>
        <v>0.83978395069444456</v>
      </c>
      <c r="E119" s="170">
        <f t="shared" si="44"/>
        <v>4</v>
      </c>
      <c r="F119" s="170">
        <f t="shared" si="45"/>
        <v>26</v>
      </c>
      <c r="G119" s="170">
        <f t="shared" si="46"/>
        <v>2015</v>
      </c>
      <c r="H119" s="170">
        <f t="shared" si="55"/>
        <v>116</v>
      </c>
      <c r="I119" s="190">
        <f>IF(ISERROR(VLOOKUP($C119,Clima!$U$8:$AH$900,3,FALSE)),VLOOKUP($C119,Clima!$D$8:$R$900,3),VLOOKUP($C119,Clima!$U$8:$AH$900,3,FALSE))</f>
        <v>11</v>
      </c>
      <c r="J119" s="191"/>
      <c r="K119" s="170"/>
      <c r="L119" s="192">
        <f>IF(ISERROR(VLOOKUP($C119,Clima!$U$8:$AH$900,14,FALSE)),VLOOKUP($C119,Clima!$D$8:$R$900,14),VLOOKUP($C119,Clima!$U$8:$AH$900,14,FALSE))</f>
        <v>4.0999999999999996</v>
      </c>
      <c r="M119" s="190"/>
      <c r="N119" s="190"/>
      <c r="O119" s="191"/>
      <c r="P119" s="191">
        <f>IF(ISERROR(VLOOKUP($C119,Clima!$W$8:$AH$350,12,FALSE)),VLOOKUP($C119,Clima!$E$8:$P$350,12),VLOOKUP($C119,Clima!$W$8:$AH$350,12,FALSE))</f>
        <v>2.5</v>
      </c>
      <c r="Q119" s="170">
        <f t="shared" si="80"/>
        <v>136.31171595130857</v>
      </c>
      <c r="R119" s="254">
        <f>VLOOKUP(C119,Clima!$V$8:$AH$900,3,FALSE)+R118</f>
        <v>821.00000000000011</v>
      </c>
      <c r="S119" s="455">
        <f t="shared" si="56"/>
        <v>1.1092888890000001</v>
      </c>
      <c r="T119" s="449">
        <f t="shared" si="57"/>
        <v>4.5480844448999997</v>
      </c>
      <c r="U119" s="195"/>
      <c r="V119" s="445">
        <f t="shared" si="47"/>
        <v>1.1259014351989582</v>
      </c>
      <c r="W119" s="446">
        <f t="shared" si="58"/>
        <v>5</v>
      </c>
      <c r="X119" s="447">
        <f t="shared" si="81"/>
        <v>0.839342901326389</v>
      </c>
      <c r="Y119" s="448">
        <f t="shared" si="59"/>
        <v>1</v>
      </c>
      <c r="Z119" s="449">
        <f t="shared" si="48"/>
        <v>0.160657098673611</v>
      </c>
      <c r="AA119" s="449">
        <f t="shared" si="82"/>
        <v>0</v>
      </c>
      <c r="AB119" s="451">
        <f t="shared" si="60"/>
        <v>0.97560975609756106</v>
      </c>
      <c r="AC119" s="449">
        <f t="shared" si="49"/>
        <v>1.6207362145325008E-2</v>
      </c>
      <c r="AD119" s="449">
        <f t="shared" si="50"/>
        <v>6.6450184795832534E-2</v>
      </c>
      <c r="AE119" s="448">
        <f t="shared" si="83"/>
        <v>5.5256344853987951</v>
      </c>
      <c r="AF119" s="449">
        <f t="shared" si="84"/>
        <v>0.41361499332707297</v>
      </c>
      <c r="AG119" s="449">
        <f t="shared" si="51"/>
        <v>1.125496251145325</v>
      </c>
      <c r="AH119" s="449">
        <f t="shared" si="52"/>
        <v>4.6145346296958323</v>
      </c>
      <c r="AI119" s="448"/>
      <c r="AJ119" s="449">
        <f t="shared" si="61"/>
        <v>0.6</v>
      </c>
      <c r="AK119" s="450">
        <f t="shared" si="53"/>
        <v>39</v>
      </c>
      <c r="AL119" s="449">
        <f t="shared" si="85"/>
        <v>39.121070811716493</v>
      </c>
      <c r="AM119" s="451">
        <f>IF(ISERROR(VLOOKUP(C119,Riegos,2,FALSE)),VLOOKUP(C119,Riegos,2,FALSE),VLOOKUP($F$8,Nomen!$A$79:$B$80,2,FALSE)*IF(AND(H119&gt;120,D119&lt;0.45),0,IF(AQ118+AH119&gt;=AK119,MIN(AQ118,$AK$7),0)))</f>
        <v>5</v>
      </c>
      <c r="AN119" s="448">
        <f t="shared" si="62"/>
        <v>0</v>
      </c>
      <c r="AO119" s="448">
        <f t="shared" si="63"/>
        <v>0.99423472325159556</v>
      </c>
      <c r="AP119" s="449">
        <f t="shared" si="64"/>
        <v>1.1191008937063101</v>
      </c>
      <c r="AQ119" s="449">
        <f t="shared" si="65"/>
        <v>39.094849846216533</v>
      </c>
      <c r="AR119" s="449">
        <f t="shared" si="86"/>
        <v>104.61209545735933</v>
      </c>
      <c r="AS119" s="449">
        <f t="shared" si="66"/>
        <v>4.5883136641958711</v>
      </c>
      <c r="AT119" s="449">
        <f t="shared" si="67"/>
        <v>186.71778413046604</v>
      </c>
      <c r="AU119" s="453">
        <f t="shared" si="68"/>
        <v>65</v>
      </c>
      <c r="AV119" s="145">
        <f t="shared" si="69"/>
        <v>106.50000000000001</v>
      </c>
      <c r="AW119" s="178">
        <f t="shared" si="70"/>
        <v>0</v>
      </c>
      <c r="AX119" s="179">
        <f t="shared" si="71"/>
        <v>0</v>
      </c>
      <c r="AY119" s="145">
        <f t="shared" si="87"/>
        <v>0.83978395069444456</v>
      </c>
      <c r="AZ119" s="145">
        <f t="shared" si="72"/>
        <v>4.3446712967708336</v>
      </c>
      <c r="BA119" s="145">
        <f t="shared" si="73"/>
        <v>100.9800335639213</v>
      </c>
      <c r="BB119" s="145">
        <f t="shared" si="74"/>
        <v>0.17378685187083334</v>
      </c>
      <c r="BC119" s="145">
        <f t="shared" si="75"/>
        <v>4.0392013425568516</v>
      </c>
      <c r="BD119" s="145">
        <f t="shared" si="76"/>
        <v>116.59144159246452</v>
      </c>
      <c r="BE119" s="145">
        <f t="shared" si="77"/>
        <v>2.8263058605298994</v>
      </c>
      <c r="BF119" s="145">
        <f t="shared" si="78"/>
        <v>4.0999999999999996</v>
      </c>
    </row>
    <row r="120" spans="1:58" s="145" customFormat="1">
      <c r="A120" s="559"/>
      <c r="B120" s="116">
        <f t="shared" si="54"/>
        <v>117</v>
      </c>
      <c r="C120" s="69">
        <f t="shared" si="79"/>
        <v>42121</v>
      </c>
      <c r="D120" s="257">
        <f>IF(ISERROR(VLOOKUP($C120,'NDVI real'!$T$8:$U$313,2,FALSE)),VLOOKUP(SWB!C120,'NDVI tipo'!$T$8:$U$193,2),VLOOKUP($C120,'NDVI real'!$T$8:$U$313,2,FALSE))</f>
        <v>0.84353395062500014</v>
      </c>
      <c r="E120" s="170">
        <f t="shared" si="44"/>
        <v>4</v>
      </c>
      <c r="F120" s="170">
        <f t="shared" si="45"/>
        <v>27</v>
      </c>
      <c r="G120" s="170">
        <f t="shared" si="46"/>
        <v>2015</v>
      </c>
      <c r="H120" s="170">
        <f t="shared" si="55"/>
        <v>117</v>
      </c>
      <c r="I120" s="190">
        <f>IF(ISERROR(VLOOKUP($C120,Clima!$U$8:$AH$900,3,FALSE)),VLOOKUP($C120,Clima!$D$8:$R$900,3),VLOOKUP($C120,Clima!$U$8:$AH$900,3,FALSE))</f>
        <v>12.8</v>
      </c>
      <c r="J120" s="191"/>
      <c r="K120" s="170"/>
      <c r="L120" s="192">
        <f>IF(ISERROR(VLOOKUP($C120,Clima!$U$8:$AH$900,14,FALSE)),VLOOKUP($C120,Clima!$D$8:$R$900,14),VLOOKUP($C120,Clima!$U$8:$AH$900,14,FALSE))</f>
        <v>4.5</v>
      </c>
      <c r="M120" s="190"/>
      <c r="N120" s="190"/>
      <c r="O120" s="191"/>
      <c r="P120" s="191">
        <f>IF(ISERROR(VLOOKUP($C120,Clima!$W$8:$AH$350,12,FALSE)),VLOOKUP($C120,Clima!$E$8:$P$350,12),VLOOKUP($C120,Clima!$W$8:$AH$350,12,FALSE))</f>
        <v>0</v>
      </c>
      <c r="Q120" s="170">
        <f t="shared" si="80"/>
        <v>141.28996170634298</v>
      </c>
      <c r="R120" s="254">
        <f>VLOOKUP(C120,Clima!$V$8:$AH$900,3,FALSE)+R119</f>
        <v>831.90000000000009</v>
      </c>
      <c r="S120" s="455">
        <f t="shared" si="56"/>
        <v>1.1146888889000002</v>
      </c>
      <c r="T120" s="449">
        <f t="shared" si="57"/>
        <v>5.0161000000500007</v>
      </c>
      <c r="U120" s="195"/>
      <c r="V120" s="445">
        <f t="shared" si="47"/>
        <v>1.1265708101865624</v>
      </c>
      <c r="W120" s="446">
        <f t="shared" si="58"/>
        <v>5</v>
      </c>
      <c r="X120" s="447">
        <f t="shared" si="81"/>
        <v>0.84380540124375003</v>
      </c>
      <c r="Y120" s="448">
        <f t="shared" si="59"/>
        <v>1</v>
      </c>
      <c r="Z120" s="449">
        <f t="shared" si="48"/>
        <v>0.15619459875624997</v>
      </c>
      <c r="AA120" s="449">
        <f t="shared" si="82"/>
        <v>0</v>
      </c>
      <c r="AB120" s="451">
        <f t="shared" si="60"/>
        <v>0.88888888888888884</v>
      </c>
      <c r="AC120" s="449">
        <f t="shared" si="49"/>
        <v>1.0561707810277493E-2</v>
      </c>
      <c r="AD120" s="449">
        <f t="shared" si="50"/>
        <v>4.7527685146248715E-2</v>
      </c>
      <c r="AE120" s="448">
        <f t="shared" si="83"/>
        <v>4.586385006672927</v>
      </c>
      <c r="AF120" s="449">
        <f t="shared" si="84"/>
        <v>0.3042850746741772</v>
      </c>
      <c r="AG120" s="449">
        <f t="shared" si="51"/>
        <v>1.1252505967102777</v>
      </c>
      <c r="AH120" s="449">
        <f t="shared" si="52"/>
        <v>5.0636276851962494</v>
      </c>
      <c r="AI120" s="448"/>
      <c r="AJ120" s="449">
        <f t="shared" si="61"/>
        <v>0.6</v>
      </c>
      <c r="AK120" s="450">
        <f t="shared" si="53"/>
        <v>39</v>
      </c>
      <c r="AL120" s="449">
        <f t="shared" si="85"/>
        <v>39.158477531412785</v>
      </c>
      <c r="AM120" s="451">
        <f>IF(ISERROR(VLOOKUP(C120,Riegos,2,FALSE)),VLOOKUP(C120,Riegos,2,FALSE),VLOOKUP($F$8,Nomen!$A$79:$B$80,2,FALSE)*IF(AND(H120&gt;120,D120&lt;0.45),0,IF(AQ119+AH120&gt;=AK120,MIN(AQ119,$AK$7),0)))</f>
        <v>5</v>
      </c>
      <c r="AN120" s="448">
        <f t="shared" si="62"/>
        <v>0</v>
      </c>
      <c r="AO120" s="448">
        <f t="shared" si="63"/>
        <v>0.9924534508851055</v>
      </c>
      <c r="AP120" s="449">
        <f t="shared" si="64"/>
        <v>1.1168385422623668</v>
      </c>
      <c r="AQ120" s="449">
        <f t="shared" si="65"/>
        <v>39.120623286397183</v>
      </c>
      <c r="AR120" s="449">
        <f t="shared" si="86"/>
        <v>105.60454890824444</v>
      </c>
      <c r="AS120" s="449">
        <f t="shared" si="66"/>
        <v>5.0257734401806502</v>
      </c>
      <c r="AT120" s="449">
        <f t="shared" si="67"/>
        <v>191.74355757064669</v>
      </c>
      <c r="AU120" s="453">
        <f t="shared" si="68"/>
        <v>70</v>
      </c>
      <c r="AV120" s="145">
        <f t="shared" si="69"/>
        <v>106.50000000000001</v>
      </c>
      <c r="AW120" s="178">
        <f t="shared" si="70"/>
        <v>0</v>
      </c>
      <c r="AX120" s="179">
        <f t="shared" si="71"/>
        <v>0</v>
      </c>
      <c r="AY120" s="145">
        <f t="shared" si="87"/>
        <v>0.84353395062500014</v>
      </c>
      <c r="AZ120" s="145">
        <f t="shared" si="72"/>
        <v>4.7938541667187513</v>
      </c>
      <c r="BA120" s="145">
        <f t="shared" si="73"/>
        <v>105.77388773064004</v>
      </c>
      <c r="BB120" s="145">
        <f t="shared" si="74"/>
        <v>0.19175416666875006</v>
      </c>
      <c r="BC120" s="145">
        <f t="shared" si="75"/>
        <v>4.2309555092256019</v>
      </c>
      <c r="BD120" s="145">
        <f t="shared" si="76"/>
        <v>119.64827505880929</v>
      </c>
      <c r="BE120" s="145">
        <f t="shared" si="77"/>
        <v>3.05683346634477</v>
      </c>
      <c r="BF120" s="145">
        <f t="shared" si="78"/>
        <v>4.5</v>
      </c>
    </row>
    <row r="121" spans="1:58" s="145" customFormat="1">
      <c r="A121" s="559"/>
      <c r="B121" s="116">
        <f t="shared" si="54"/>
        <v>118</v>
      </c>
      <c r="C121" s="69">
        <f t="shared" si="79"/>
        <v>42122</v>
      </c>
      <c r="D121" s="257">
        <f>IF(ISERROR(VLOOKUP($C121,'NDVI real'!$T$8:$U$313,2,FALSE)),VLOOKUP(SWB!C121,'NDVI tipo'!$T$8:$U$193,2),VLOOKUP($C121,'NDVI real'!$T$8:$U$313,2,FALSE))</f>
        <v>0.84728395055555572</v>
      </c>
      <c r="E121" s="170">
        <f t="shared" si="44"/>
        <v>4</v>
      </c>
      <c r="F121" s="170">
        <f t="shared" si="45"/>
        <v>28</v>
      </c>
      <c r="G121" s="170">
        <f t="shared" si="46"/>
        <v>2015</v>
      </c>
      <c r="H121" s="170">
        <f t="shared" si="55"/>
        <v>118</v>
      </c>
      <c r="I121" s="190">
        <f>IF(ISERROR(VLOOKUP($C121,Clima!$U$8:$AH$900,3,FALSE)),VLOOKUP($C121,Clima!$D$8:$R$900,3),VLOOKUP($C121,Clima!$U$8:$AH$900,3,FALSE))</f>
        <v>14.7</v>
      </c>
      <c r="J121" s="191"/>
      <c r="K121" s="170"/>
      <c r="L121" s="192">
        <f>IF(ISERROR(VLOOKUP($C121,Clima!$U$8:$AH$900,14,FALSE)),VLOOKUP($C121,Clima!$D$8:$R$900,14),VLOOKUP($C121,Clima!$U$8:$AH$900,14,FALSE))</f>
        <v>3.5</v>
      </c>
      <c r="M121" s="190"/>
      <c r="N121" s="190"/>
      <c r="O121" s="191"/>
      <c r="P121" s="191">
        <f>IF(ISERROR(VLOOKUP($C121,Clima!$W$8:$AH$350,12,FALSE)),VLOOKUP($C121,Clima!$E$8:$P$350,12),VLOOKUP($C121,Clima!$W$8:$AH$350,12,FALSE))</f>
        <v>0</v>
      </c>
      <c r="Q121" s="170">
        <f t="shared" si="80"/>
        <v>145.21027281714299</v>
      </c>
      <c r="R121" s="254">
        <f>VLOOKUP(C121,Clima!$V$8:$AH$900,3,FALSE)+R120</f>
        <v>844.40000000000009</v>
      </c>
      <c r="S121" s="455">
        <f t="shared" si="56"/>
        <v>1.1200888888</v>
      </c>
      <c r="T121" s="449">
        <f t="shared" si="57"/>
        <v>3.9203111108000002</v>
      </c>
      <c r="U121" s="195"/>
      <c r="V121" s="445">
        <f t="shared" si="47"/>
        <v>1.1272401851741667</v>
      </c>
      <c r="W121" s="446">
        <f t="shared" si="58"/>
        <v>5</v>
      </c>
      <c r="X121" s="447">
        <f t="shared" si="81"/>
        <v>0.84826790116111128</v>
      </c>
      <c r="Y121" s="448">
        <f t="shared" si="59"/>
        <v>1</v>
      </c>
      <c r="Z121" s="449">
        <f t="shared" si="48"/>
        <v>0.15173209883888872</v>
      </c>
      <c r="AA121" s="449">
        <f t="shared" si="82"/>
        <v>0</v>
      </c>
      <c r="AB121" s="451">
        <f t="shared" si="60"/>
        <v>1</v>
      </c>
      <c r="AC121" s="449">
        <f t="shared" si="49"/>
        <v>7.1512963741666713E-3</v>
      </c>
      <c r="AD121" s="449">
        <f t="shared" si="50"/>
        <v>2.502953730958335E-2</v>
      </c>
      <c r="AE121" s="448">
        <f t="shared" si="83"/>
        <v>4.6957149253258228</v>
      </c>
      <c r="AF121" s="449">
        <f t="shared" si="84"/>
        <v>0.16495874967207858</v>
      </c>
      <c r="AG121" s="449">
        <f t="shared" si="51"/>
        <v>1.1272401851741667</v>
      </c>
      <c r="AH121" s="449">
        <f t="shared" si="52"/>
        <v>3.9453406481095836</v>
      </c>
      <c r="AI121" s="448"/>
      <c r="AJ121" s="449">
        <f t="shared" si="61"/>
        <v>0.6</v>
      </c>
      <c r="AK121" s="450">
        <f t="shared" si="53"/>
        <v>39</v>
      </c>
      <c r="AL121" s="449">
        <f t="shared" si="85"/>
        <v>38.065963934506769</v>
      </c>
      <c r="AM121" s="451">
        <f>IF(ISERROR(VLOOKUP(C121,Riegos,2,FALSE)),VLOOKUP(C121,Riegos,2,FALSE),VLOOKUP($F$8,Nomen!$A$79:$B$80,2,FALSE)*IF(AND(H121&gt;120,D121&lt;0.45),0,IF(AQ120+AH121&gt;=AK121,MIN(AQ120,$AK$7),0)))</f>
        <v>5</v>
      </c>
      <c r="AN121" s="448">
        <f t="shared" si="62"/>
        <v>0</v>
      </c>
      <c r="AO121" s="448">
        <f t="shared" si="63"/>
        <v>1</v>
      </c>
      <c r="AP121" s="449">
        <f t="shared" si="64"/>
        <v>1.1272401851741667</v>
      </c>
      <c r="AQ121" s="449">
        <f t="shared" si="65"/>
        <v>38.065963934506769</v>
      </c>
      <c r="AR121" s="449">
        <f t="shared" si="86"/>
        <v>106.60454890824444</v>
      </c>
      <c r="AS121" s="449">
        <f t="shared" si="66"/>
        <v>3.9453406481095836</v>
      </c>
      <c r="AT121" s="449">
        <f t="shared" si="67"/>
        <v>195.68889821875626</v>
      </c>
      <c r="AU121" s="453">
        <f t="shared" si="68"/>
        <v>75</v>
      </c>
      <c r="AV121" s="145">
        <f t="shared" si="69"/>
        <v>106.50000000000001</v>
      </c>
      <c r="AW121" s="178">
        <f t="shared" si="70"/>
        <v>0</v>
      </c>
      <c r="AX121" s="179">
        <f t="shared" si="71"/>
        <v>0</v>
      </c>
      <c r="AY121" s="145">
        <f t="shared" si="87"/>
        <v>0.84728395055555572</v>
      </c>
      <c r="AZ121" s="145">
        <f t="shared" si="72"/>
        <v>3.748240740416668</v>
      </c>
      <c r="BA121" s="145">
        <f t="shared" si="73"/>
        <v>109.5221284710567</v>
      </c>
      <c r="BB121" s="145">
        <f t="shared" si="74"/>
        <v>0.14992962961666673</v>
      </c>
      <c r="BC121" s="145">
        <f t="shared" si="75"/>
        <v>4.3808851388422685</v>
      </c>
      <c r="BD121" s="145">
        <f t="shared" si="76"/>
        <v>121.99591919854883</v>
      </c>
      <c r="BE121" s="145">
        <f t="shared" si="77"/>
        <v>2.3476441397395433</v>
      </c>
      <c r="BF121" s="145">
        <f t="shared" si="78"/>
        <v>3.5</v>
      </c>
    </row>
    <row r="122" spans="1:58" s="145" customFormat="1">
      <c r="A122" s="559"/>
      <c r="B122" s="116">
        <f t="shared" si="54"/>
        <v>119</v>
      </c>
      <c r="C122" s="69">
        <f t="shared" si="79"/>
        <v>42123</v>
      </c>
      <c r="D122" s="257">
        <f>IF(ISERROR(VLOOKUP($C122,'NDVI real'!$T$8:$U$313,2,FALSE)),VLOOKUP(SWB!C122,'NDVI tipo'!$T$8:$U$193,2),VLOOKUP($C122,'NDVI real'!$T$8:$U$313,2,FALSE))</f>
        <v>0.8510339504861113</v>
      </c>
      <c r="E122" s="170">
        <f t="shared" si="44"/>
        <v>4</v>
      </c>
      <c r="F122" s="170">
        <f t="shared" si="45"/>
        <v>29</v>
      </c>
      <c r="G122" s="170">
        <f t="shared" si="46"/>
        <v>2015</v>
      </c>
      <c r="H122" s="170">
        <f t="shared" si="55"/>
        <v>119</v>
      </c>
      <c r="I122" s="190">
        <f>IF(ISERROR(VLOOKUP($C122,Clima!$U$8:$AH$900,3,FALSE)),VLOOKUP($C122,Clima!$D$8:$R$900,3),VLOOKUP($C122,Clima!$U$8:$AH$900,3,FALSE))</f>
        <v>13.1</v>
      </c>
      <c r="J122" s="191"/>
      <c r="K122" s="170"/>
      <c r="L122" s="192">
        <f>IF(ISERROR(VLOOKUP($C122,Clima!$U$8:$AH$900,14,FALSE)),VLOOKUP($C122,Clima!$D$8:$R$900,14),VLOOKUP($C122,Clima!$U$8:$AH$900,14,FALSE))</f>
        <v>3.9</v>
      </c>
      <c r="M122" s="190"/>
      <c r="N122" s="190"/>
      <c r="O122" s="191"/>
      <c r="P122" s="191">
        <f>IF(ISERROR(VLOOKUP($C122,Clima!$W$8:$AH$350,12,FALSE)),VLOOKUP($C122,Clima!$E$8:$P$350,12),VLOOKUP($C122,Clima!$W$8:$AH$350,12,FALSE))</f>
        <v>0</v>
      </c>
      <c r="Q122" s="170">
        <f t="shared" si="80"/>
        <v>149.599679483073</v>
      </c>
      <c r="R122" s="254">
        <f>VLOOKUP(C122,Clima!$V$8:$AH$900,3,FALSE)+R121</f>
        <v>858.40000000000009</v>
      </c>
      <c r="S122" s="455">
        <f t="shared" si="56"/>
        <v>1.1254888887000001</v>
      </c>
      <c r="T122" s="449">
        <f t="shared" si="57"/>
        <v>4.3894066659300002</v>
      </c>
      <c r="U122" s="195"/>
      <c r="V122" s="445">
        <f t="shared" si="47"/>
        <v>1.1279095601617708</v>
      </c>
      <c r="W122" s="446">
        <f t="shared" si="58"/>
        <v>5</v>
      </c>
      <c r="X122" s="447">
        <f t="shared" si="81"/>
        <v>0.85273040107847231</v>
      </c>
      <c r="Y122" s="448">
        <f t="shared" si="59"/>
        <v>1</v>
      </c>
      <c r="Z122" s="449">
        <f t="shared" si="48"/>
        <v>0.14726959892152769</v>
      </c>
      <c r="AA122" s="449">
        <f t="shared" si="82"/>
        <v>0</v>
      </c>
      <c r="AB122" s="451">
        <f t="shared" si="60"/>
        <v>1</v>
      </c>
      <c r="AC122" s="449">
        <f t="shared" si="49"/>
        <v>2.4206714617707181E-3</v>
      </c>
      <c r="AD122" s="449">
        <f t="shared" si="50"/>
        <v>9.4406187009058E-3</v>
      </c>
      <c r="AE122" s="448">
        <f t="shared" si="83"/>
        <v>4.8350412503279214</v>
      </c>
      <c r="AF122" s="449">
        <f t="shared" si="84"/>
        <v>6.410432818477485E-2</v>
      </c>
      <c r="AG122" s="449">
        <f t="shared" si="51"/>
        <v>1.1279095601617708</v>
      </c>
      <c r="AH122" s="449">
        <f t="shared" si="52"/>
        <v>4.3988472846309064</v>
      </c>
      <c r="AI122" s="448"/>
      <c r="AJ122" s="449">
        <f t="shared" si="61"/>
        <v>0.6</v>
      </c>
      <c r="AK122" s="450">
        <f t="shared" si="53"/>
        <v>39</v>
      </c>
      <c r="AL122" s="449">
        <f t="shared" si="85"/>
        <v>37.464811219137673</v>
      </c>
      <c r="AM122" s="451">
        <f>IF(ISERROR(VLOOKUP(C122,Riegos,2,FALSE)),VLOOKUP(C122,Riegos,2,FALSE),VLOOKUP($F$8,Nomen!$A$79:$B$80,2,FALSE)*IF(AND(H122&gt;120,D122&lt;0.45),0,IF(AQ121+AH122&gt;=AK122,MIN(AQ121,$AK$7),0)))</f>
        <v>5</v>
      </c>
      <c r="AN122" s="448">
        <f t="shared" si="62"/>
        <v>0</v>
      </c>
      <c r="AO122" s="448">
        <f t="shared" si="63"/>
        <v>1</v>
      </c>
      <c r="AP122" s="449">
        <f t="shared" si="64"/>
        <v>1.1279095601617708</v>
      </c>
      <c r="AQ122" s="449">
        <f t="shared" si="65"/>
        <v>37.464811219137673</v>
      </c>
      <c r="AR122" s="449">
        <f t="shared" si="86"/>
        <v>107.60454890824444</v>
      </c>
      <c r="AS122" s="449">
        <f t="shared" si="66"/>
        <v>4.3988472846309064</v>
      </c>
      <c r="AT122" s="449">
        <f t="shared" si="67"/>
        <v>200.08774550338717</v>
      </c>
      <c r="AU122" s="453">
        <f t="shared" si="68"/>
        <v>80</v>
      </c>
      <c r="AV122" s="145">
        <f t="shared" si="69"/>
        <v>106.50000000000001</v>
      </c>
      <c r="AW122" s="178">
        <f t="shared" si="70"/>
        <v>0</v>
      </c>
      <c r="AX122" s="179">
        <f t="shared" si="71"/>
        <v>0</v>
      </c>
      <c r="AY122" s="145">
        <f t="shared" si="87"/>
        <v>0.8510339504861113</v>
      </c>
      <c r="AZ122" s="145">
        <f t="shared" si="72"/>
        <v>4.1985486103437513</v>
      </c>
      <c r="BA122" s="145">
        <f t="shared" si="73"/>
        <v>113.72067708140045</v>
      </c>
      <c r="BB122" s="145">
        <f t="shared" si="74"/>
        <v>0.16794194441375004</v>
      </c>
      <c r="BC122" s="145">
        <f t="shared" si="75"/>
        <v>4.5488270832560183</v>
      </c>
      <c r="BD122" s="145">
        <f t="shared" si="76"/>
        <v>124.58382567504779</v>
      </c>
      <c r="BE122" s="145">
        <f t="shared" si="77"/>
        <v>2.5879064764989579</v>
      </c>
      <c r="BF122" s="145">
        <f t="shared" si="78"/>
        <v>3.9</v>
      </c>
    </row>
    <row r="123" spans="1:58" s="145" customFormat="1">
      <c r="A123" s="559"/>
      <c r="B123" s="116">
        <f t="shared" si="54"/>
        <v>120</v>
      </c>
      <c r="C123" s="69">
        <f t="shared" si="79"/>
        <v>42124</v>
      </c>
      <c r="D123" s="257">
        <f>IF(ISERROR(VLOOKUP($C123,'NDVI real'!$T$8:$U$313,2,FALSE)),VLOOKUP(SWB!C123,'NDVI tipo'!$T$8:$U$193,2),VLOOKUP($C123,'NDVI real'!$T$8:$U$313,2,FALSE))</f>
        <v>0.85478395041666688</v>
      </c>
      <c r="E123" s="170">
        <f t="shared" si="44"/>
        <v>4</v>
      </c>
      <c r="F123" s="170">
        <f t="shared" si="45"/>
        <v>30</v>
      </c>
      <c r="G123" s="170">
        <f t="shared" si="46"/>
        <v>2015</v>
      </c>
      <c r="H123" s="170">
        <f t="shared" si="55"/>
        <v>120</v>
      </c>
      <c r="I123" s="190">
        <f>IF(ISERROR(VLOOKUP($C123,Clima!$U$8:$AH$900,3,FALSE)),VLOOKUP($C123,Clima!$D$8:$R$900,3),VLOOKUP($C123,Clima!$U$8:$AH$900,3,FALSE))</f>
        <v>11.9</v>
      </c>
      <c r="J123" s="191"/>
      <c r="K123" s="170"/>
      <c r="L123" s="192">
        <f>IF(ISERROR(VLOOKUP($C123,Clima!$U$8:$AH$900,14,FALSE)),VLOOKUP($C123,Clima!$D$8:$R$900,14),VLOOKUP($C123,Clima!$U$8:$AH$900,14,FALSE))</f>
        <v>2.1</v>
      </c>
      <c r="M123" s="190"/>
      <c r="N123" s="190"/>
      <c r="O123" s="191"/>
      <c r="P123" s="191">
        <f>IF(ISERROR(VLOOKUP($C123,Clima!$W$8:$AH$350,12,FALSE)),VLOOKUP($C123,Clima!$E$8:$P$350,12),VLOOKUP($C123,Clima!$W$8:$AH$350,12,FALSE))</f>
        <v>0</v>
      </c>
      <c r="Q123" s="170">
        <f t="shared" si="80"/>
        <v>151.974546149133</v>
      </c>
      <c r="R123" s="254">
        <f>VLOOKUP(C123,Clima!$V$8:$AH$900,3,FALSE)+R122</f>
        <v>872.80000000000007</v>
      </c>
      <c r="S123" s="455">
        <f t="shared" si="56"/>
        <v>1.1308888886000001</v>
      </c>
      <c r="T123" s="449">
        <f t="shared" si="57"/>
        <v>2.3748666660600004</v>
      </c>
      <c r="U123" s="195"/>
      <c r="V123" s="445">
        <f t="shared" si="47"/>
        <v>1.1285789351493749</v>
      </c>
      <c r="W123" s="446">
        <f t="shared" si="58"/>
        <v>5</v>
      </c>
      <c r="X123" s="447">
        <f t="shared" si="81"/>
        <v>0.85719290099583356</v>
      </c>
      <c r="Y123" s="448">
        <f t="shared" si="59"/>
        <v>1</v>
      </c>
      <c r="Z123" s="449">
        <f t="shared" si="48"/>
        <v>0.14280709900416644</v>
      </c>
      <c r="AA123" s="449">
        <f t="shared" si="82"/>
        <v>0</v>
      </c>
      <c r="AB123" s="451">
        <f t="shared" si="60"/>
        <v>1</v>
      </c>
      <c r="AC123" s="449">
        <f t="shared" si="49"/>
        <v>-2.309953450625235E-3</v>
      </c>
      <c r="AD123" s="449">
        <f t="shared" si="50"/>
        <v>-4.8509022463129941E-3</v>
      </c>
      <c r="AE123" s="448">
        <f t="shared" si="83"/>
        <v>4.9358956718152251</v>
      </c>
      <c r="AF123" s="449">
        <f t="shared" si="84"/>
        <v>-3.3968215026701998E-2</v>
      </c>
      <c r="AG123" s="449">
        <f t="shared" si="51"/>
        <v>1.1285789351493749</v>
      </c>
      <c r="AH123" s="449">
        <f t="shared" si="52"/>
        <v>2.3700157638136874</v>
      </c>
      <c r="AI123" s="448"/>
      <c r="AJ123" s="449">
        <f t="shared" si="61"/>
        <v>0.6</v>
      </c>
      <c r="AK123" s="450">
        <f t="shared" si="53"/>
        <v>39</v>
      </c>
      <c r="AL123" s="449">
        <f t="shared" si="85"/>
        <v>34.834826982951363</v>
      </c>
      <c r="AM123" s="451">
        <f>IF(ISERROR(VLOOKUP(C123,Riegos,2,FALSE)),VLOOKUP(C123,Riegos,2,FALSE),VLOOKUP($F$8,Nomen!$A$79:$B$80,2,FALSE)*IF(AND(H123&gt;120,D123&lt;0.45),0,IF(AQ122+AH123&gt;=AK123,MIN(AQ122,$AK$7),0)))</f>
        <v>5</v>
      </c>
      <c r="AN123" s="448">
        <f t="shared" si="62"/>
        <v>0</v>
      </c>
      <c r="AO123" s="448">
        <f t="shared" si="63"/>
        <v>1</v>
      </c>
      <c r="AP123" s="449">
        <f t="shared" si="64"/>
        <v>1.1285789351493749</v>
      </c>
      <c r="AQ123" s="449">
        <f t="shared" si="65"/>
        <v>34.834826982951363</v>
      </c>
      <c r="AR123" s="449">
        <f t="shared" si="86"/>
        <v>108.60454890824444</v>
      </c>
      <c r="AS123" s="449">
        <f t="shared" si="66"/>
        <v>2.3700157638136874</v>
      </c>
      <c r="AT123" s="449">
        <f t="shared" si="67"/>
        <v>202.45776126720085</v>
      </c>
      <c r="AU123" s="453">
        <f t="shared" si="68"/>
        <v>85</v>
      </c>
      <c r="AV123" s="145">
        <f t="shared" si="69"/>
        <v>106.50000000000001</v>
      </c>
      <c r="AW123" s="178">
        <f t="shared" si="70"/>
        <v>0</v>
      </c>
      <c r="AX123" s="179">
        <f t="shared" si="71"/>
        <v>0</v>
      </c>
      <c r="AY123" s="145">
        <f t="shared" si="87"/>
        <v>0.85478395041666688</v>
      </c>
      <c r="AZ123" s="145">
        <f t="shared" si="72"/>
        <v>2.2725694438125008</v>
      </c>
      <c r="BA123" s="145">
        <f t="shared" si="73"/>
        <v>115.99324652521295</v>
      </c>
      <c r="BB123" s="145">
        <f t="shared" si="74"/>
        <v>9.0902777752500039E-2</v>
      </c>
      <c r="BC123" s="145">
        <f t="shared" si="75"/>
        <v>4.6397298610085187</v>
      </c>
      <c r="BD123" s="145">
        <f t="shared" si="76"/>
        <v>125.96697668201159</v>
      </c>
      <c r="BE123" s="145">
        <f t="shared" si="77"/>
        <v>1.3831510069638</v>
      </c>
      <c r="BF123" s="145">
        <f t="shared" si="78"/>
        <v>2.1</v>
      </c>
    </row>
    <row r="124" spans="1:58" s="145" customFormat="1">
      <c r="A124" s="559"/>
      <c r="B124" s="116">
        <f t="shared" si="54"/>
        <v>121</v>
      </c>
      <c r="C124" s="69">
        <f t="shared" si="79"/>
        <v>42125</v>
      </c>
      <c r="D124" s="257">
        <f>IF(ISERROR(VLOOKUP($C124,'NDVI real'!$T$8:$U$313,2,FALSE)),VLOOKUP(SWB!C124,'NDVI tipo'!$T$8:$U$193,2),VLOOKUP($C124,'NDVI real'!$T$8:$U$313,2,FALSE))</f>
        <v>0.85853395034722246</v>
      </c>
      <c r="E124" s="170">
        <f t="shared" si="44"/>
        <v>5</v>
      </c>
      <c r="F124" s="170">
        <f t="shared" si="45"/>
        <v>1</v>
      </c>
      <c r="G124" s="170">
        <f t="shared" si="46"/>
        <v>2015</v>
      </c>
      <c r="H124" s="170">
        <f t="shared" si="55"/>
        <v>121</v>
      </c>
      <c r="I124" s="190">
        <f>IF(ISERROR(VLOOKUP($C124,Clima!$U$8:$AH$900,3,FALSE)),VLOOKUP($C124,Clima!$D$8:$R$900,3),VLOOKUP($C124,Clima!$U$8:$AH$900,3,FALSE))</f>
        <v>13.4</v>
      </c>
      <c r="J124" s="191"/>
      <c r="K124" s="170"/>
      <c r="L124" s="192">
        <f>IF(ISERROR(VLOOKUP($C124,Clima!$U$8:$AH$900,14,FALSE)),VLOOKUP($C124,Clima!$D$8:$R$900,14),VLOOKUP($C124,Clima!$U$8:$AH$900,14,FALSE))</f>
        <v>4.0999999999999996</v>
      </c>
      <c r="M124" s="190"/>
      <c r="N124" s="190"/>
      <c r="O124" s="191"/>
      <c r="P124" s="191">
        <f>IF(ISERROR(VLOOKUP($C124,Clima!$W$8:$AH$350,12,FALSE)),VLOOKUP($C124,Clima!$E$8:$P$350,12),VLOOKUP($C124,Clima!$W$8:$AH$350,12,FALSE))</f>
        <v>0</v>
      </c>
      <c r="Q124" s="170">
        <f t="shared" si="80"/>
        <v>156.633330591983</v>
      </c>
      <c r="R124" s="254">
        <f>VLOOKUP(C124,Clima!$V$8:$AH$900,3,FALSE)+R123</f>
        <v>889.7</v>
      </c>
      <c r="S124" s="455">
        <f t="shared" si="56"/>
        <v>1.1362888885000002</v>
      </c>
      <c r="T124" s="449">
        <f t="shared" si="57"/>
        <v>4.65878444285</v>
      </c>
      <c r="U124" s="195"/>
      <c r="V124" s="445">
        <f t="shared" si="47"/>
        <v>1.1292483101369792</v>
      </c>
      <c r="W124" s="446">
        <f t="shared" si="58"/>
        <v>5</v>
      </c>
      <c r="X124" s="447">
        <f t="shared" si="81"/>
        <v>0.86165540091319459</v>
      </c>
      <c r="Y124" s="448">
        <f t="shared" si="59"/>
        <v>1</v>
      </c>
      <c r="Z124" s="449">
        <f t="shared" si="48"/>
        <v>0.13834459908680541</v>
      </c>
      <c r="AA124" s="449">
        <f t="shared" si="82"/>
        <v>0</v>
      </c>
      <c r="AB124" s="451">
        <f t="shared" si="60"/>
        <v>0.97560975609756106</v>
      </c>
      <c r="AC124" s="449">
        <f t="shared" si="49"/>
        <v>-6.8688569395326509E-3</v>
      </c>
      <c r="AD124" s="449">
        <f t="shared" si="50"/>
        <v>-2.8162313452083865E-2</v>
      </c>
      <c r="AE124" s="448">
        <f t="shared" si="83"/>
        <v>5.033968215026702</v>
      </c>
      <c r="AF124" s="449">
        <f t="shared" si="84"/>
        <v>-0.20356641052834412</v>
      </c>
      <c r="AG124" s="449">
        <f t="shared" si="51"/>
        <v>1.1294200315604677</v>
      </c>
      <c r="AH124" s="449">
        <f t="shared" si="52"/>
        <v>4.6306221293979171</v>
      </c>
      <c r="AI124" s="448"/>
      <c r="AJ124" s="449">
        <f t="shared" si="61"/>
        <v>0.6</v>
      </c>
      <c r="AK124" s="450">
        <f t="shared" si="53"/>
        <v>39</v>
      </c>
      <c r="AL124" s="449">
        <f t="shared" si="85"/>
        <v>34.465449112349276</v>
      </c>
      <c r="AM124" s="451">
        <f>IF(ISERROR(VLOOKUP(C124,Riegos,2,FALSE)),VLOOKUP(C124,Riegos,2,FALSE),VLOOKUP($F$8,Nomen!$A$79:$B$80,2,FALSE)*IF(AND(H124&gt;120,D124&lt;0.45),0,IF(AQ123+AH124&gt;=AK124,MIN(AQ123,$AK$7),0)))</f>
        <v>5</v>
      </c>
      <c r="AN124" s="448">
        <f t="shared" si="62"/>
        <v>0</v>
      </c>
      <c r="AO124" s="448">
        <f t="shared" si="63"/>
        <v>1</v>
      </c>
      <c r="AP124" s="449">
        <f t="shared" si="64"/>
        <v>1.1294200315604677</v>
      </c>
      <c r="AQ124" s="449">
        <f t="shared" si="65"/>
        <v>34.465449112349276</v>
      </c>
      <c r="AR124" s="449">
        <f t="shared" si="86"/>
        <v>109.60454890824444</v>
      </c>
      <c r="AS124" s="449">
        <f t="shared" si="66"/>
        <v>4.6306221293979171</v>
      </c>
      <c r="AT124" s="449">
        <f t="shared" si="67"/>
        <v>207.08838339659877</v>
      </c>
      <c r="AU124" s="453">
        <f t="shared" si="68"/>
        <v>90</v>
      </c>
      <c r="AV124" s="145">
        <f t="shared" si="69"/>
        <v>106.50000000000001</v>
      </c>
      <c r="AW124" s="178">
        <f t="shared" si="70"/>
        <v>0</v>
      </c>
      <c r="AX124" s="179">
        <f t="shared" si="71"/>
        <v>0</v>
      </c>
      <c r="AY124" s="145">
        <f t="shared" si="87"/>
        <v>0.85853395034722246</v>
      </c>
      <c r="AZ124" s="145">
        <f t="shared" si="72"/>
        <v>4.4599837946354173</v>
      </c>
      <c r="BA124" s="145">
        <f t="shared" si="73"/>
        <v>120.45323031984837</v>
      </c>
      <c r="BB124" s="145">
        <f t="shared" si="74"/>
        <v>0.17839935178541669</v>
      </c>
      <c r="BC124" s="145">
        <f t="shared" si="75"/>
        <v>4.8181292127939352</v>
      </c>
      <c r="BD124" s="145">
        <f t="shared" si="76"/>
        <v>128.64708590236091</v>
      </c>
      <c r="BE124" s="145">
        <f t="shared" si="77"/>
        <v>2.6801092203493226</v>
      </c>
      <c r="BF124" s="145">
        <f t="shared" si="78"/>
        <v>4.0999999999999996</v>
      </c>
    </row>
    <row r="125" spans="1:58" s="145" customFormat="1">
      <c r="A125" s="559"/>
      <c r="B125" s="116">
        <f t="shared" si="54"/>
        <v>122</v>
      </c>
      <c r="C125" s="69">
        <f t="shared" si="79"/>
        <v>42126</v>
      </c>
      <c r="D125" s="257">
        <f>IF(ISERROR(VLOOKUP($C125,'NDVI real'!$T$8:$U$313,2,FALSE)),VLOOKUP(SWB!C125,'NDVI tipo'!$T$8:$U$193,2),VLOOKUP($C125,'NDVI real'!$T$8:$U$313,2,FALSE))</f>
        <v>0.86228395027777804</v>
      </c>
      <c r="E125" s="170">
        <f t="shared" si="44"/>
        <v>5</v>
      </c>
      <c r="F125" s="170">
        <f t="shared" si="45"/>
        <v>2</v>
      </c>
      <c r="G125" s="170">
        <f t="shared" si="46"/>
        <v>2015</v>
      </c>
      <c r="H125" s="170">
        <f t="shared" si="55"/>
        <v>122</v>
      </c>
      <c r="I125" s="190">
        <f>IF(ISERROR(VLOOKUP($C125,Clima!$U$8:$AH$900,3,FALSE)),VLOOKUP($C125,Clima!$D$8:$R$900,3),VLOOKUP($C125,Clima!$U$8:$AH$900,3,FALSE))</f>
        <v>9.1999999999999993</v>
      </c>
      <c r="J125" s="191"/>
      <c r="K125" s="170"/>
      <c r="L125" s="192">
        <f>IF(ISERROR(VLOOKUP($C125,Clima!$U$8:$AH$900,14,FALSE)),VLOOKUP($C125,Clima!$D$8:$R$900,14),VLOOKUP($C125,Clima!$U$8:$AH$900,14,FALSE))</f>
        <v>4.2</v>
      </c>
      <c r="M125" s="190"/>
      <c r="N125" s="190"/>
      <c r="O125" s="191"/>
      <c r="P125" s="191">
        <f>IF(ISERROR(VLOOKUP($C125,Clima!$W$8:$AH$350,12,FALSE)),VLOOKUP($C125,Clima!$E$8:$P$350,12),VLOOKUP($C125,Clima!$W$8:$AH$350,12,FALSE))</f>
        <v>0</v>
      </c>
      <c r="Q125" s="170">
        <f t="shared" si="80"/>
        <v>161.42842392326301</v>
      </c>
      <c r="R125" s="254">
        <f>VLOOKUP(C125,Clima!$V$8:$AH$900,3,FALSE)+R124</f>
        <v>909.40000000000009</v>
      </c>
      <c r="S125" s="455">
        <f t="shared" si="56"/>
        <v>1.1416888884000003</v>
      </c>
      <c r="T125" s="449">
        <f t="shared" si="57"/>
        <v>4.7950933312800013</v>
      </c>
      <c r="U125" s="195"/>
      <c r="V125" s="445">
        <f t="shared" si="47"/>
        <v>1.1299176851245833</v>
      </c>
      <c r="W125" s="446">
        <f t="shared" si="58"/>
        <v>5</v>
      </c>
      <c r="X125" s="447">
        <f t="shared" si="81"/>
        <v>0.86611790083055584</v>
      </c>
      <c r="Y125" s="448">
        <f t="shared" si="59"/>
        <v>1</v>
      </c>
      <c r="Z125" s="449">
        <f t="shared" si="48"/>
        <v>0.13388209916944416</v>
      </c>
      <c r="AA125" s="449">
        <f t="shared" si="82"/>
        <v>0</v>
      </c>
      <c r="AB125" s="451">
        <f t="shared" si="60"/>
        <v>0.95238095238095233</v>
      </c>
      <c r="AC125" s="449">
        <f t="shared" si="49"/>
        <v>-1.1210669786111351E-2</v>
      </c>
      <c r="AD125" s="449">
        <f t="shared" si="50"/>
        <v>-4.7084813101667677E-2</v>
      </c>
      <c r="AE125" s="448">
        <f t="shared" si="83"/>
        <v>5.2035664105283441</v>
      </c>
      <c r="AF125" s="449">
        <f t="shared" si="84"/>
        <v>-0.35168863794162686</v>
      </c>
      <c r="AG125" s="449">
        <f t="shared" si="51"/>
        <v>1.1304782186138889</v>
      </c>
      <c r="AH125" s="449">
        <f t="shared" si="52"/>
        <v>4.7480085181783336</v>
      </c>
      <c r="AI125" s="448"/>
      <c r="AJ125" s="449">
        <f t="shared" si="61"/>
        <v>0.6</v>
      </c>
      <c r="AK125" s="450">
        <f t="shared" si="53"/>
        <v>39</v>
      </c>
      <c r="AL125" s="449">
        <f t="shared" si="85"/>
        <v>34.213457630527607</v>
      </c>
      <c r="AM125" s="451">
        <f>IF(ISERROR(VLOOKUP(C125,Riegos,2,FALSE)),VLOOKUP(C125,Riegos,2,FALSE),VLOOKUP($F$8,Nomen!$A$79:$B$80,2,FALSE)*IF(AND(H125&gt;120,D125&lt;0.45),0,IF(AQ124+AH125&gt;=AK125,MIN(AQ124,$AK$7),0)))</f>
        <v>5</v>
      </c>
      <c r="AN125" s="448">
        <f t="shared" si="62"/>
        <v>0</v>
      </c>
      <c r="AO125" s="448">
        <f t="shared" si="63"/>
        <v>1</v>
      </c>
      <c r="AP125" s="449">
        <f t="shared" si="64"/>
        <v>1.1304782186138889</v>
      </c>
      <c r="AQ125" s="449">
        <f t="shared" si="65"/>
        <v>34.213457630527607</v>
      </c>
      <c r="AR125" s="449">
        <f t="shared" si="86"/>
        <v>110.60454890824444</v>
      </c>
      <c r="AS125" s="449">
        <f t="shared" si="66"/>
        <v>4.7480085181783336</v>
      </c>
      <c r="AT125" s="449">
        <f t="shared" si="67"/>
        <v>211.8363919147771</v>
      </c>
      <c r="AU125" s="453">
        <f t="shared" si="68"/>
        <v>95</v>
      </c>
      <c r="AV125" s="145">
        <f t="shared" si="69"/>
        <v>106.50000000000001</v>
      </c>
      <c r="AW125" s="178">
        <f t="shared" si="70"/>
        <v>0</v>
      </c>
      <c r="AX125" s="179">
        <f t="shared" si="71"/>
        <v>0</v>
      </c>
      <c r="AY125" s="145">
        <f t="shared" si="87"/>
        <v>0.86228395027777804</v>
      </c>
      <c r="AZ125" s="145">
        <f t="shared" si="72"/>
        <v>4.592388886750002</v>
      </c>
      <c r="BA125" s="145">
        <f t="shared" si="73"/>
        <v>125.04561920659837</v>
      </c>
      <c r="BB125" s="145">
        <f t="shared" si="74"/>
        <v>0.18369555547000008</v>
      </c>
      <c r="BC125" s="145">
        <f t="shared" si="75"/>
        <v>5.0018247682639352</v>
      </c>
      <c r="BD125" s="145">
        <f t="shared" si="76"/>
        <v>131.36130970816211</v>
      </c>
      <c r="BE125" s="145">
        <f t="shared" si="77"/>
        <v>2.7142238058011969</v>
      </c>
      <c r="BF125" s="145">
        <f t="shared" si="78"/>
        <v>4.2</v>
      </c>
    </row>
    <row r="126" spans="1:58" s="145" customFormat="1">
      <c r="A126" s="559"/>
      <c r="B126" s="116">
        <f t="shared" si="54"/>
        <v>123</v>
      </c>
      <c r="C126" s="69">
        <f t="shared" si="79"/>
        <v>42127</v>
      </c>
      <c r="D126" s="257">
        <f>IF(ISERROR(VLOOKUP($C126,'NDVI real'!$T$8:$U$313,2,FALSE)),VLOOKUP(SWB!C126,'NDVI tipo'!$T$8:$U$193,2),VLOOKUP($C126,'NDVI real'!$T$8:$U$313,2,FALSE))</f>
        <v>0.86603395020833362</v>
      </c>
      <c r="E126" s="170">
        <f t="shared" si="44"/>
        <v>5</v>
      </c>
      <c r="F126" s="170">
        <f t="shared" si="45"/>
        <v>3</v>
      </c>
      <c r="G126" s="170">
        <f t="shared" si="46"/>
        <v>2015</v>
      </c>
      <c r="H126" s="170">
        <f t="shared" si="55"/>
        <v>123</v>
      </c>
      <c r="I126" s="190">
        <f>IF(ISERROR(VLOOKUP($C126,Clima!$U$8:$AH$900,3,FALSE)),VLOOKUP($C126,Clima!$D$8:$R$900,3),VLOOKUP($C126,Clima!$U$8:$AH$900,3,FALSE))</f>
        <v>10.199999999999999</v>
      </c>
      <c r="J126" s="191"/>
      <c r="K126" s="170"/>
      <c r="L126" s="192">
        <f>IF(ISERROR(VLOOKUP($C126,Clima!$U$8:$AH$900,14,FALSE)),VLOOKUP($C126,Clima!$D$8:$R$900,14),VLOOKUP($C126,Clima!$U$8:$AH$900,14,FALSE))</f>
        <v>4.2</v>
      </c>
      <c r="M126" s="190"/>
      <c r="N126" s="190"/>
      <c r="O126" s="191"/>
      <c r="P126" s="191">
        <f>IF(ISERROR(VLOOKUP($C126,Clima!$W$8:$AH$350,12,FALSE)),VLOOKUP($C126,Clima!$E$8:$P$350,12),VLOOKUP($C126,Clima!$W$8:$AH$350,12,FALSE))</f>
        <v>0</v>
      </c>
      <c r="Q126" s="170">
        <f t="shared" si="80"/>
        <v>166.24619725412302</v>
      </c>
      <c r="R126" s="254">
        <f>VLOOKUP(C126,Clima!$V$8:$AH$900,3,FALSE)+R125</f>
        <v>929.2</v>
      </c>
      <c r="S126" s="455">
        <f t="shared" si="56"/>
        <v>1.1470888883000003</v>
      </c>
      <c r="T126" s="449">
        <f t="shared" si="57"/>
        <v>4.8177733308600015</v>
      </c>
      <c r="U126" s="195"/>
      <c r="V126" s="445">
        <f t="shared" si="47"/>
        <v>1.1305870601121875</v>
      </c>
      <c r="W126" s="446">
        <f t="shared" si="58"/>
        <v>5</v>
      </c>
      <c r="X126" s="447">
        <f t="shared" si="81"/>
        <v>0.87058040074791687</v>
      </c>
      <c r="Y126" s="448">
        <f t="shared" si="59"/>
        <v>1</v>
      </c>
      <c r="Z126" s="449">
        <f t="shared" si="48"/>
        <v>0.12941959925208313</v>
      </c>
      <c r="AA126" s="449">
        <f t="shared" si="82"/>
        <v>0</v>
      </c>
      <c r="AB126" s="451">
        <f t="shared" si="60"/>
        <v>0.95238095238095233</v>
      </c>
      <c r="AC126" s="449">
        <f t="shared" si="49"/>
        <v>-1.5716026845536069E-2</v>
      </c>
      <c r="AD126" s="449">
        <f t="shared" si="50"/>
        <v>-6.600731275125149E-2</v>
      </c>
      <c r="AE126" s="448">
        <f t="shared" si="83"/>
        <v>5.3516886379416269</v>
      </c>
      <c r="AF126" s="449">
        <f t="shared" si="84"/>
        <v>-0.51002563083727903</v>
      </c>
      <c r="AG126" s="449">
        <f t="shared" si="51"/>
        <v>1.1313728614544643</v>
      </c>
      <c r="AH126" s="449">
        <f t="shared" si="52"/>
        <v>4.75176601810875</v>
      </c>
      <c r="AI126" s="448"/>
      <c r="AJ126" s="449">
        <f t="shared" si="61"/>
        <v>0.6</v>
      </c>
      <c r="AK126" s="450">
        <f t="shared" si="53"/>
        <v>39</v>
      </c>
      <c r="AL126" s="449">
        <f t="shared" si="85"/>
        <v>33.965223648636353</v>
      </c>
      <c r="AM126" s="451">
        <f>IF(ISERROR(VLOOKUP(C126,Riegos,2,FALSE)),VLOOKUP(C126,Riegos,2,FALSE),VLOOKUP($F$8,Nomen!$A$79:$B$80,2,FALSE)*IF(AND(H126&gt;120,D126&lt;0.45),0,IF(AQ125+AH126&gt;=AK126,MIN(AQ125,$AK$7),0)))</f>
        <v>0</v>
      </c>
      <c r="AN126" s="448">
        <f t="shared" si="62"/>
        <v>0</v>
      </c>
      <c r="AO126" s="448">
        <f t="shared" si="63"/>
        <v>1</v>
      </c>
      <c r="AP126" s="449">
        <f t="shared" si="64"/>
        <v>1.1313728614544643</v>
      </c>
      <c r="AQ126" s="449">
        <f t="shared" si="65"/>
        <v>33.965223648636353</v>
      </c>
      <c r="AR126" s="449">
        <f t="shared" si="86"/>
        <v>111.60454890824444</v>
      </c>
      <c r="AS126" s="449">
        <f t="shared" si="66"/>
        <v>4.75176601810875</v>
      </c>
      <c r="AT126" s="449">
        <f t="shared" si="67"/>
        <v>216.58815793288585</v>
      </c>
      <c r="AU126" s="453">
        <f t="shared" si="68"/>
        <v>95</v>
      </c>
      <c r="AV126" s="145">
        <f t="shared" si="69"/>
        <v>106.50000000000001</v>
      </c>
      <c r="AW126" s="178">
        <f t="shared" si="70"/>
        <v>0</v>
      </c>
      <c r="AX126" s="179">
        <f t="shared" si="71"/>
        <v>0</v>
      </c>
      <c r="AY126" s="145">
        <f t="shared" si="87"/>
        <v>0.86603395020833362</v>
      </c>
      <c r="AZ126" s="145">
        <f t="shared" si="72"/>
        <v>4.6160138863125022</v>
      </c>
      <c r="BA126" s="145">
        <f t="shared" si="73"/>
        <v>129.66163309291088</v>
      </c>
      <c r="BB126" s="145">
        <f t="shared" si="74"/>
        <v>0.18464055545250008</v>
      </c>
      <c r="BC126" s="145">
        <f t="shared" si="75"/>
        <v>5.1864653237164351</v>
      </c>
      <c r="BD126" s="145">
        <f t="shared" si="76"/>
        <v>134.04544693455802</v>
      </c>
      <c r="BE126" s="145">
        <f t="shared" si="77"/>
        <v>2.6841372263959045</v>
      </c>
      <c r="BF126" s="145">
        <f t="shared" si="78"/>
        <v>4.2</v>
      </c>
    </row>
    <row r="127" spans="1:58" s="145" customFormat="1">
      <c r="A127" s="559"/>
      <c r="B127" s="116">
        <f t="shared" si="54"/>
        <v>124</v>
      </c>
      <c r="C127" s="69">
        <f t="shared" si="79"/>
        <v>42128</v>
      </c>
      <c r="D127" s="257">
        <f>IF(ISERROR(VLOOKUP($C127,'NDVI real'!$T$8:$U$313,2,FALSE)),VLOOKUP(SWB!C127,'NDVI tipo'!$T$8:$U$193,2),VLOOKUP($C127,'NDVI real'!$T$8:$U$313,2,FALSE))</f>
        <v>0.86978395013888921</v>
      </c>
      <c r="E127" s="170">
        <f t="shared" si="44"/>
        <v>5</v>
      </c>
      <c r="F127" s="170">
        <f t="shared" si="45"/>
        <v>4</v>
      </c>
      <c r="G127" s="170">
        <f t="shared" si="46"/>
        <v>2015</v>
      </c>
      <c r="H127" s="170">
        <f t="shared" si="55"/>
        <v>124</v>
      </c>
      <c r="I127" s="190">
        <f>IF(ISERROR(VLOOKUP($C127,Clima!$U$8:$AH$900,3,FALSE)),VLOOKUP($C127,Clima!$D$8:$R$900,3),VLOOKUP($C127,Clima!$U$8:$AH$900,3,FALSE))</f>
        <v>14.5</v>
      </c>
      <c r="J127" s="191"/>
      <c r="K127" s="170"/>
      <c r="L127" s="192">
        <f>IF(ISERROR(VLOOKUP($C127,Clima!$U$8:$AH$900,14,FALSE)),VLOOKUP($C127,Clima!$D$8:$R$900,14),VLOOKUP($C127,Clima!$U$8:$AH$900,14,FALSE))</f>
        <v>5.2</v>
      </c>
      <c r="M127" s="190"/>
      <c r="N127" s="190"/>
      <c r="O127" s="191"/>
      <c r="P127" s="191">
        <f>IF(ISERROR(VLOOKUP($C127,Clima!$W$8:$AH$350,12,FALSE)),VLOOKUP($C127,Clima!$E$8:$P$350,12),VLOOKUP($C127,Clima!$W$8:$AH$350,12,FALSE))</f>
        <v>0</v>
      </c>
      <c r="Q127" s="170">
        <f t="shared" si="80"/>
        <v>171.97838338048336</v>
      </c>
      <c r="R127" s="254">
        <f>VLOOKUP(C127,Clima!$V$8:$AH$900,3,FALSE)+R126</f>
        <v>949.90000000000009</v>
      </c>
      <c r="S127" s="455">
        <f t="shared" si="56"/>
        <v>1.1499999999999999</v>
      </c>
      <c r="T127" s="449">
        <f t="shared" si="57"/>
        <v>5.9799999999999995</v>
      </c>
      <c r="U127" s="195"/>
      <c r="V127" s="445">
        <f t="shared" si="47"/>
        <v>1.1312564350997918</v>
      </c>
      <c r="W127" s="446">
        <f t="shared" si="58"/>
        <v>0</v>
      </c>
      <c r="X127" s="447">
        <f t="shared" si="81"/>
        <v>0.87504290066527812</v>
      </c>
      <c r="Y127" s="448">
        <f t="shared" si="59"/>
        <v>1</v>
      </c>
      <c r="Z127" s="449">
        <f t="shared" si="48"/>
        <v>0.12495709933472188</v>
      </c>
      <c r="AA127" s="449">
        <f t="shared" si="82"/>
        <v>0</v>
      </c>
      <c r="AB127" s="451">
        <f t="shared" si="60"/>
        <v>0.76923076923076916</v>
      </c>
      <c r="AC127" s="449">
        <f t="shared" si="49"/>
        <v>-1.4418126846313937E-2</v>
      </c>
      <c r="AD127" s="449">
        <f t="shared" si="50"/>
        <v>-7.4974259600832482E-2</v>
      </c>
      <c r="AE127" s="448">
        <f t="shared" si="83"/>
        <v>0.51002563083727903</v>
      </c>
      <c r="AF127" s="449">
        <f t="shared" si="84"/>
        <v>-0.59999999999999476</v>
      </c>
      <c r="AG127" s="449">
        <f t="shared" si="51"/>
        <v>1.135581873153686</v>
      </c>
      <c r="AH127" s="449">
        <f t="shared" si="52"/>
        <v>5.9050257403991671</v>
      </c>
      <c r="AI127" s="448"/>
      <c r="AJ127" s="449">
        <f t="shared" si="61"/>
        <v>0.6</v>
      </c>
      <c r="AK127" s="450">
        <f t="shared" si="53"/>
        <v>39</v>
      </c>
      <c r="AL127" s="449">
        <f t="shared" si="85"/>
        <v>39.870249389035521</v>
      </c>
      <c r="AM127" s="451">
        <f>IF(ISERROR(VLOOKUP(C127,Riegos,2,FALSE)),VLOOKUP(C127,Riegos,2,FALSE),VLOOKUP($F$8,Nomen!$A$79:$B$80,2,FALSE)*IF(AND(H127&gt;120,D127&lt;0.45),0,IF(AQ126+AH127&gt;=AK127,MIN(AQ126,$AK$7),0)))</f>
        <v>5</v>
      </c>
      <c r="AN127" s="448">
        <f t="shared" si="62"/>
        <v>0</v>
      </c>
      <c r="AO127" s="448">
        <f t="shared" si="63"/>
        <v>0.95855955290307038</v>
      </c>
      <c r="AP127" s="449">
        <f t="shared" si="64"/>
        <v>1.0879253589922169</v>
      </c>
      <c r="AQ127" s="449">
        <f t="shared" si="65"/>
        <v>39.622435515395878</v>
      </c>
      <c r="AR127" s="449">
        <f t="shared" si="86"/>
        <v>112.56310846114751</v>
      </c>
      <c r="AS127" s="449">
        <f t="shared" si="66"/>
        <v>5.6572118667595284</v>
      </c>
      <c r="AT127" s="449">
        <f t="shared" si="67"/>
        <v>222.24536979964537</v>
      </c>
      <c r="AU127" s="453">
        <f t="shared" si="68"/>
        <v>100</v>
      </c>
      <c r="AV127" s="145">
        <f t="shared" si="69"/>
        <v>106.50000000000001</v>
      </c>
      <c r="AW127" s="178">
        <f t="shared" si="70"/>
        <v>0</v>
      </c>
      <c r="AX127" s="179">
        <f t="shared" si="71"/>
        <v>0</v>
      </c>
      <c r="AY127" s="145">
        <f t="shared" si="87"/>
        <v>0.86978395013888921</v>
      </c>
      <c r="AZ127" s="145">
        <f t="shared" si="72"/>
        <v>5.7443148110833357</v>
      </c>
      <c r="BA127" s="145">
        <f t="shared" si="73"/>
        <v>135.40594790399422</v>
      </c>
      <c r="BB127" s="145">
        <f t="shared" si="74"/>
        <v>0.22977259244333342</v>
      </c>
      <c r="BC127" s="145">
        <f t="shared" si="75"/>
        <v>5.4162379161597682</v>
      </c>
      <c r="BD127" s="145">
        <f t="shared" si="76"/>
        <v>137.3273745135364</v>
      </c>
      <c r="BE127" s="145">
        <f t="shared" si="77"/>
        <v>3.2819275789783831</v>
      </c>
      <c r="BF127" s="145">
        <f t="shared" si="78"/>
        <v>5.2</v>
      </c>
    </row>
    <row r="128" spans="1:58" s="145" customFormat="1">
      <c r="A128" s="559"/>
      <c r="B128" s="116">
        <f t="shared" si="54"/>
        <v>125</v>
      </c>
      <c r="C128" s="69">
        <f t="shared" si="79"/>
        <v>42129</v>
      </c>
      <c r="D128" s="257">
        <f>IF(ISERROR(VLOOKUP($C128,'NDVI real'!$T$8:$U$313,2,FALSE)),VLOOKUP(SWB!C128,'NDVI tipo'!$T$8:$U$193,2),VLOOKUP($C128,'NDVI real'!$T$8:$U$313,2,FALSE))</f>
        <v>0.87353395006944479</v>
      </c>
      <c r="E128" s="170">
        <f t="shared" si="44"/>
        <v>5</v>
      </c>
      <c r="F128" s="170">
        <f t="shared" si="45"/>
        <v>5</v>
      </c>
      <c r="G128" s="170">
        <f t="shared" si="46"/>
        <v>2015</v>
      </c>
      <c r="H128" s="170">
        <f t="shared" si="55"/>
        <v>125</v>
      </c>
      <c r="I128" s="190">
        <f>IF(ISERROR(VLOOKUP($C128,Clima!$U$8:$AH$900,3,FALSE)),VLOOKUP($C128,Clima!$D$8:$R$900,3),VLOOKUP($C128,Clima!$U$8:$AH$900,3,FALSE))</f>
        <v>14.5</v>
      </c>
      <c r="J128" s="191"/>
      <c r="K128" s="170"/>
      <c r="L128" s="192">
        <f>IF(ISERROR(VLOOKUP($C128,Clima!$U$8:$AH$900,14,FALSE)),VLOOKUP($C128,Clima!$D$8:$R$900,14),VLOOKUP($C128,Clima!$U$8:$AH$900,14,FALSE))</f>
        <v>5.3</v>
      </c>
      <c r="M128" s="190"/>
      <c r="N128" s="190"/>
      <c r="O128" s="191"/>
      <c r="P128" s="191">
        <f>IF(ISERROR(VLOOKUP($C128,Clima!$W$8:$AH$350,12,FALSE)),VLOOKUP($C128,Clima!$E$8:$P$350,12),VLOOKUP($C128,Clima!$W$8:$AH$350,12,FALSE))</f>
        <v>0</v>
      </c>
      <c r="Q128" s="170">
        <f t="shared" si="80"/>
        <v>177.59590144161342</v>
      </c>
      <c r="R128" s="254">
        <f>VLOOKUP(C128,Clima!$V$8:$AH$900,3,FALSE)+R127</f>
        <v>966.00000000000011</v>
      </c>
      <c r="S128" s="455">
        <f t="shared" si="56"/>
        <v>1.1499999999999999</v>
      </c>
      <c r="T128" s="449">
        <f t="shared" si="57"/>
        <v>6.0949999999999998</v>
      </c>
      <c r="U128" s="195"/>
      <c r="V128" s="445">
        <f t="shared" si="47"/>
        <v>1.1319258100873957</v>
      </c>
      <c r="W128" s="446">
        <f t="shared" si="58"/>
        <v>5</v>
      </c>
      <c r="X128" s="447">
        <f t="shared" si="81"/>
        <v>0.87950540058263915</v>
      </c>
      <c r="Y128" s="448">
        <f t="shared" si="59"/>
        <v>1</v>
      </c>
      <c r="Z128" s="449">
        <f t="shared" si="48"/>
        <v>0.12049459941736085</v>
      </c>
      <c r="AA128" s="449">
        <f t="shared" si="82"/>
        <v>0</v>
      </c>
      <c r="AB128" s="451">
        <f t="shared" si="60"/>
        <v>0.75471698113207553</v>
      </c>
      <c r="AC128" s="449">
        <f t="shared" si="49"/>
        <v>-1.3640898047248478E-2</v>
      </c>
      <c r="AD128" s="449">
        <f t="shared" si="50"/>
        <v>-7.2296759650416931E-2</v>
      </c>
      <c r="AE128" s="448">
        <f t="shared" si="83"/>
        <v>5.5999999999999943</v>
      </c>
      <c r="AF128" s="449">
        <f t="shared" si="84"/>
        <v>-0.6000000000000032</v>
      </c>
      <c r="AG128" s="449">
        <f t="shared" si="51"/>
        <v>1.1363591019527515</v>
      </c>
      <c r="AH128" s="449">
        <f t="shared" si="52"/>
        <v>6.0227032403495828</v>
      </c>
      <c r="AI128" s="448"/>
      <c r="AJ128" s="449">
        <f t="shared" si="61"/>
        <v>0.6</v>
      </c>
      <c r="AK128" s="450">
        <f t="shared" si="53"/>
        <v>39</v>
      </c>
      <c r="AL128" s="449">
        <f t="shared" si="85"/>
        <v>40.645138755745464</v>
      </c>
      <c r="AM128" s="451">
        <f>IF(ISERROR(VLOOKUP(C128,Riegos,2,FALSE)),VLOOKUP(C128,Riegos,2,FALSE),VLOOKUP($F$8,Nomen!$A$79:$B$80,2,FALSE)*IF(AND(H128&gt;120,D128&lt;0.45),0,IF(AQ127+AH128&gt;=AK128,MIN(AQ127,$AK$7),0)))</f>
        <v>5</v>
      </c>
      <c r="AN128" s="448">
        <f t="shared" si="62"/>
        <v>0</v>
      </c>
      <c r="AO128" s="448">
        <f t="shared" si="63"/>
        <v>0.92166005925021599</v>
      </c>
      <c r="AP128" s="449">
        <f t="shared" si="64"/>
        <v>1.0462681700904999</v>
      </c>
      <c r="AQ128" s="449">
        <f t="shared" si="65"/>
        <v>40.167656816875528</v>
      </c>
      <c r="AR128" s="449">
        <f t="shared" si="86"/>
        <v>113.48476852039772</v>
      </c>
      <c r="AS128" s="449">
        <f t="shared" si="66"/>
        <v>5.545221301479649</v>
      </c>
      <c r="AT128" s="449">
        <f t="shared" si="67"/>
        <v>227.79059110112502</v>
      </c>
      <c r="AU128" s="453">
        <f t="shared" si="68"/>
        <v>105</v>
      </c>
      <c r="AV128" s="145">
        <f t="shared" si="69"/>
        <v>106.50000000000001</v>
      </c>
      <c r="AW128" s="178">
        <f t="shared" si="70"/>
        <v>0</v>
      </c>
      <c r="AX128" s="179">
        <f t="shared" si="71"/>
        <v>0</v>
      </c>
      <c r="AY128" s="145">
        <f t="shared" si="87"/>
        <v>0.87353395006944479</v>
      </c>
      <c r="AZ128" s="145">
        <f t="shared" si="72"/>
        <v>5.8845949030520863</v>
      </c>
      <c r="BA128" s="145">
        <f t="shared" si="73"/>
        <v>141.29054280704631</v>
      </c>
      <c r="BB128" s="145">
        <f t="shared" si="74"/>
        <v>0.23538379612208346</v>
      </c>
      <c r="BC128" s="145">
        <f t="shared" si="75"/>
        <v>5.6516217122818517</v>
      </c>
      <c r="BD128" s="145">
        <f t="shared" si="76"/>
        <v>140.6262395005952</v>
      </c>
      <c r="BE128" s="145">
        <f t="shared" si="77"/>
        <v>3.2988649870588063</v>
      </c>
      <c r="BF128" s="145">
        <f t="shared" si="78"/>
        <v>5.3</v>
      </c>
    </row>
    <row r="129" spans="1:58" s="145" customFormat="1">
      <c r="A129" s="559"/>
      <c r="B129" s="116">
        <f t="shared" si="54"/>
        <v>126</v>
      </c>
      <c r="C129" s="69">
        <f t="shared" si="79"/>
        <v>42130</v>
      </c>
      <c r="D129" s="257">
        <f>IF(ISERROR(VLOOKUP($C129,'NDVI real'!$T$8:$U$313,2,FALSE)),VLOOKUP(SWB!C129,'NDVI tipo'!$T$8:$U$193,2),VLOOKUP($C129,'NDVI real'!$T$8:$U$313,2,FALSE))</f>
        <v>0.87728395000000015</v>
      </c>
      <c r="E129" s="170">
        <f t="shared" si="44"/>
        <v>5</v>
      </c>
      <c r="F129" s="170">
        <f t="shared" si="45"/>
        <v>6</v>
      </c>
      <c r="G129" s="170">
        <f t="shared" si="46"/>
        <v>2015</v>
      </c>
      <c r="H129" s="170">
        <f t="shared" si="55"/>
        <v>126</v>
      </c>
      <c r="I129" s="190">
        <f>IF(ISERROR(VLOOKUP($C129,Clima!$U$8:$AH$900,3,FALSE)),VLOOKUP($C129,Clima!$D$8:$R$900,3),VLOOKUP($C129,Clima!$U$8:$AH$900,3,FALSE))</f>
        <v>11.9</v>
      </c>
      <c r="J129" s="191"/>
      <c r="K129" s="170"/>
      <c r="L129" s="192">
        <f>IF(ISERROR(VLOOKUP($C129,Clima!$U$8:$AH$900,14,FALSE)),VLOOKUP($C129,Clima!$D$8:$R$900,14),VLOOKUP($C129,Clima!$U$8:$AH$900,14,FALSE))</f>
        <v>2.5</v>
      </c>
      <c r="M129" s="190"/>
      <c r="N129" s="190"/>
      <c r="O129" s="191"/>
      <c r="P129" s="191">
        <f>IF(ISERROR(VLOOKUP($C129,Clima!$W$8:$AH$350,12,FALSE)),VLOOKUP($C129,Clima!$E$8:$P$350,12),VLOOKUP($C129,Clima!$W$8:$AH$350,12,FALSE))</f>
        <v>0</v>
      </c>
      <c r="Q129" s="170">
        <f t="shared" si="80"/>
        <v>180.47090144161342</v>
      </c>
      <c r="R129" s="254">
        <f>VLOOKUP(C129,Clima!$V$8:$AH$900,3,FALSE)+R128</f>
        <v>980.70000000000016</v>
      </c>
      <c r="S129" s="455">
        <f t="shared" si="56"/>
        <v>1.1499999999999999</v>
      </c>
      <c r="T129" s="449">
        <f t="shared" si="57"/>
        <v>2.875</v>
      </c>
      <c r="U129" s="195"/>
      <c r="V129" s="445">
        <f t="shared" si="47"/>
        <v>1.132595185075</v>
      </c>
      <c r="W129" s="446">
        <f t="shared" si="58"/>
        <v>5</v>
      </c>
      <c r="X129" s="447">
        <f t="shared" si="81"/>
        <v>0.88396790050000018</v>
      </c>
      <c r="Y129" s="448">
        <f t="shared" si="59"/>
        <v>1</v>
      </c>
      <c r="Z129" s="449">
        <f t="shared" si="48"/>
        <v>0.11603209949999982</v>
      </c>
      <c r="AA129" s="449">
        <f t="shared" si="82"/>
        <v>0</v>
      </c>
      <c r="AB129" s="451">
        <f t="shared" si="60"/>
        <v>1</v>
      </c>
      <c r="AC129" s="449">
        <f t="shared" si="49"/>
        <v>-1.7404814924999901E-2</v>
      </c>
      <c r="AD129" s="449">
        <f t="shared" si="50"/>
        <v>-4.3512037312499752E-2</v>
      </c>
      <c r="AE129" s="448">
        <f t="shared" si="83"/>
        <v>5.6000000000000032</v>
      </c>
      <c r="AF129" s="449">
        <f t="shared" si="84"/>
        <v>-0.37499999999999822</v>
      </c>
      <c r="AG129" s="449">
        <f t="shared" si="51"/>
        <v>1.132595185075</v>
      </c>
      <c r="AH129" s="449">
        <f t="shared" si="52"/>
        <v>2.8314879626875</v>
      </c>
      <c r="AI129" s="448"/>
      <c r="AJ129" s="449">
        <f t="shared" si="61"/>
        <v>0.6</v>
      </c>
      <c r="AK129" s="450">
        <f t="shared" si="53"/>
        <v>39</v>
      </c>
      <c r="AL129" s="449">
        <f t="shared" si="85"/>
        <v>37.999144779563025</v>
      </c>
      <c r="AM129" s="451">
        <f>IF(ISERROR(VLOOKUP(C129,Riegos,2,FALSE)),VLOOKUP(C129,Riegos,2,FALSE),VLOOKUP($F$8,Nomen!$A$79:$B$80,2,FALSE)*IF(AND(H129&gt;120,D129&lt;0.45),0,IF(AQ128+AH129&gt;=AK129,MIN(AQ128,$AK$7),0)))</f>
        <v>5</v>
      </c>
      <c r="AN129" s="448">
        <f t="shared" si="62"/>
        <v>0</v>
      </c>
      <c r="AO129" s="448">
        <f t="shared" si="63"/>
        <v>1</v>
      </c>
      <c r="AP129" s="449">
        <f t="shared" si="64"/>
        <v>1.132595185075</v>
      </c>
      <c r="AQ129" s="449">
        <f t="shared" si="65"/>
        <v>37.999144779563025</v>
      </c>
      <c r="AR129" s="449">
        <f t="shared" si="86"/>
        <v>114.48476852039772</v>
      </c>
      <c r="AS129" s="449">
        <f t="shared" si="66"/>
        <v>2.8314879626875</v>
      </c>
      <c r="AT129" s="449">
        <f t="shared" si="67"/>
        <v>230.62207906381252</v>
      </c>
      <c r="AU129" s="453">
        <f t="shared" si="68"/>
        <v>110</v>
      </c>
      <c r="AV129" s="145">
        <f t="shared" si="69"/>
        <v>106.50000000000001</v>
      </c>
      <c r="AW129" s="178">
        <f t="shared" si="70"/>
        <v>0</v>
      </c>
      <c r="AX129" s="179">
        <f t="shared" si="71"/>
        <v>0</v>
      </c>
      <c r="AY129" s="145">
        <f t="shared" si="87"/>
        <v>0.87728395000000015</v>
      </c>
      <c r="AZ129" s="145">
        <f t="shared" si="72"/>
        <v>2.7898148125000004</v>
      </c>
      <c r="BA129" s="145">
        <f t="shared" si="73"/>
        <v>144.08035761954631</v>
      </c>
      <c r="BB129" s="145">
        <f t="shared" si="74"/>
        <v>0.11159259250000002</v>
      </c>
      <c r="BC129" s="145">
        <f t="shared" si="75"/>
        <v>5.7632143047818518</v>
      </c>
      <c r="BD129" s="145">
        <f t="shared" si="76"/>
        <v>142.16893928306263</v>
      </c>
      <c r="BE129" s="145">
        <f t="shared" si="77"/>
        <v>1.5426997824674231</v>
      </c>
      <c r="BF129" s="145">
        <f t="shared" si="78"/>
        <v>2.5</v>
      </c>
    </row>
    <row r="130" spans="1:58" s="145" customFormat="1">
      <c r="A130" s="559"/>
      <c r="B130" s="116">
        <f t="shared" si="54"/>
        <v>127</v>
      </c>
      <c r="C130" s="69">
        <f t="shared" si="79"/>
        <v>42131</v>
      </c>
      <c r="D130" s="257">
        <f>IF(ISERROR(VLOOKUP($C130,'NDVI real'!$T$8:$U$313,2,FALSE)),VLOOKUP(SWB!C130,'NDVI tipo'!$T$8:$U$193,2),VLOOKUP($C130,'NDVI real'!$T$8:$U$313,2,FALSE))</f>
        <v>0.87773148083333352</v>
      </c>
      <c r="E130" s="170">
        <f t="shared" si="44"/>
        <v>5</v>
      </c>
      <c r="F130" s="170">
        <f t="shared" si="45"/>
        <v>7</v>
      </c>
      <c r="G130" s="170">
        <f t="shared" si="46"/>
        <v>2015</v>
      </c>
      <c r="H130" s="170">
        <f t="shared" si="55"/>
        <v>127</v>
      </c>
      <c r="I130" s="190">
        <f>IF(ISERROR(VLOOKUP($C130,Clima!$U$8:$AH$900,3,FALSE)),VLOOKUP($C130,Clima!$D$8:$R$900,3),VLOOKUP($C130,Clima!$U$8:$AH$900,3,FALSE))</f>
        <v>11.9</v>
      </c>
      <c r="J130" s="191"/>
      <c r="K130" s="170"/>
      <c r="L130" s="192">
        <f>IF(ISERROR(VLOOKUP($C130,Clima!$U$8:$AH$900,14,FALSE)),VLOOKUP($C130,Clima!$D$8:$R$900,14),VLOOKUP($C130,Clima!$U$8:$AH$900,14,FALSE))</f>
        <v>2.5</v>
      </c>
      <c r="M130" s="190"/>
      <c r="N130" s="190"/>
      <c r="O130" s="191"/>
      <c r="P130" s="191">
        <f>IF(ISERROR(VLOOKUP($C130,Clima!$W$8:$AH$350,12,FALSE)),VLOOKUP($C130,Clima!$E$8:$P$350,12),VLOOKUP($C130,Clima!$W$8:$AH$350,12,FALSE))</f>
        <v>0</v>
      </c>
      <c r="Q130" s="170">
        <f t="shared" si="80"/>
        <v>183.34590144161342</v>
      </c>
      <c r="R130" s="254">
        <f>VLOOKUP(C130,Clima!$V$8:$AH$900,3,FALSE)+R129</f>
        <v>998.80000000000018</v>
      </c>
      <c r="S130" s="455">
        <f t="shared" si="56"/>
        <v>1.1499999999999999</v>
      </c>
      <c r="T130" s="449">
        <f t="shared" si="57"/>
        <v>2.875</v>
      </c>
      <c r="U130" s="195"/>
      <c r="V130" s="445">
        <f t="shared" si="47"/>
        <v>1.1326750693287502</v>
      </c>
      <c r="W130" s="446">
        <f t="shared" si="58"/>
        <v>5</v>
      </c>
      <c r="X130" s="447">
        <f t="shared" si="81"/>
        <v>0.88450046219166689</v>
      </c>
      <c r="Y130" s="448">
        <f t="shared" si="59"/>
        <v>1</v>
      </c>
      <c r="Z130" s="449">
        <f t="shared" si="48"/>
        <v>0.11549953780833311</v>
      </c>
      <c r="AA130" s="449">
        <f t="shared" si="82"/>
        <v>0</v>
      </c>
      <c r="AB130" s="451">
        <f t="shared" si="60"/>
        <v>1</v>
      </c>
      <c r="AC130" s="449">
        <f t="shared" si="49"/>
        <v>-1.7324930671249739E-2</v>
      </c>
      <c r="AD130" s="449">
        <f t="shared" si="50"/>
        <v>-4.3312326678124347E-2</v>
      </c>
      <c r="AE130" s="448">
        <f t="shared" si="83"/>
        <v>5.3749999999999982</v>
      </c>
      <c r="AF130" s="449">
        <f t="shared" si="84"/>
        <v>-0.37499999999999467</v>
      </c>
      <c r="AG130" s="449">
        <f t="shared" si="51"/>
        <v>1.1326750693287502</v>
      </c>
      <c r="AH130" s="449">
        <f t="shared" si="52"/>
        <v>2.8316876733218752</v>
      </c>
      <c r="AI130" s="448"/>
      <c r="AJ130" s="449">
        <f t="shared" si="61"/>
        <v>0.6</v>
      </c>
      <c r="AK130" s="450">
        <f t="shared" si="53"/>
        <v>39</v>
      </c>
      <c r="AL130" s="449">
        <f t="shared" si="85"/>
        <v>35.830832452884898</v>
      </c>
      <c r="AM130" s="451">
        <f>IF(ISERROR(VLOOKUP(C130,Riegos,2,FALSE)),VLOOKUP(C130,Riegos,2,FALSE),VLOOKUP($F$8,Nomen!$A$79:$B$80,2,FALSE)*IF(AND(H130&gt;120,D130&lt;0.45),0,IF(AQ129+AH130&gt;=AK130,MIN(AQ129,$AK$7),0)))</f>
        <v>5</v>
      </c>
      <c r="AN130" s="448">
        <f t="shared" si="62"/>
        <v>0</v>
      </c>
      <c r="AO130" s="448">
        <f t="shared" si="63"/>
        <v>1</v>
      </c>
      <c r="AP130" s="449">
        <f t="shared" si="64"/>
        <v>1.1326750693287502</v>
      </c>
      <c r="AQ130" s="449">
        <f t="shared" si="65"/>
        <v>35.830832452884898</v>
      </c>
      <c r="AR130" s="449">
        <f t="shared" si="86"/>
        <v>115.48476852039772</v>
      </c>
      <c r="AS130" s="449">
        <f t="shared" si="66"/>
        <v>2.8316876733218752</v>
      </c>
      <c r="AT130" s="449">
        <f t="shared" si="67"/>
        <v>233.4537667371344</v>
      </c>
      <c r="AU130" s="453">
        <f t="shared" si="68"/>
        <v>115</v>
      </c>
      <c r="AV130" s="145">
        <f t="shared" si="69"/>
        <v>106.50000000000001</v>
      </c>
      <c r="AW130" s="178">
        <f t="shared" si="70"/>
        <v>0</v>
      </c>
      <c r="AX130" s="179">
        <f t="shared" si="71"/>
        <v>0</v>
      </c>
      <c r="AY130" s="145">
        <f t="shared" si="87"/>
        <v>0.87773148083333352</v>
      </c>
      <c r="AZ130" s="145">
        <f t="shared" si="72"/>
        <v>2.7914930531250008</v>
      </c>
      <c r="BA130" s="145">
        <f t="shared" si="73"/>
        <v>146.87185067267131</v>
      </c>
      <c r="BB130" s="145">
        <f t="shared" si="74"/>
        <v>0.11165972212500003</v>
      </c>
      <c r="BC130" s="145">
        <f t="shared" si="75"/>
        <v>5.874874026906852</v>
      </c>
      <c r="BD130" s="145">
        <f t="shared" si="76"/>
        <v>143.69940758676222</v>
      </c>
      <c r="BE130" s="145">
        <f t="shared" si="77"/>
        <v>1.5304683036995925</v>
      </c>
      <c r="BF130" s="145">
        <f t="shared" si="78"/>
        <v>2.5</v>
      </c>
    </row>
    <row r="131" spans="1:58" s="145" customFormat="1">
      <c r="A131" s="559"/>
      <c r="B131" s="116">
        <f t="shared" si="54"/>
        <v>128</v>
      </c>
      <c r="C131" s="69">
        <f t="shared" si="79"/>
        <v>42132</v>
      </c>
      <c r="D131" s="257">
        <f>IF(ISERROR(VLOOKUP($C131,'NDVI real'!$T$8:$U$313,2,FALSE)),VLOOKUP(SWB!C131,'NDVI tipo'!$T$8:$U$193,2),VLOOKUP($C131,'NDVI real'!$T$8:$U$313,2,FALSE))</f>
        <v>0.8781790116666669</v>
      </c>
      <c r="E131" s="170">
        <f t="shared" si="44"/>
        <v>5</v>
      </c>
      <c r="F131" s="170">
        <f t="shared" si="45"/>
        <v>8</v>
      </c>
      <c r="G131" s="170">
        <f t="shared" si="46"/>
        <v>2015</v>
      </c>
      <c r="H131" s="170">
        <f t="shared" si="55"/>
        <v>128</v>
      </c>
      <c r="I131" s="190">
        <f>IF(ISERROR(VLOOKUP($C131,Clima!$U$8:$AH$900,3,FALSE)),VLOOKUP($C131,Clima!$D$8:$R$900,3),VLOOKUP($C131,Clima!$U$8:$AH$900,3,FALSE))</f>
        <v>12.6</v>
      </c>
      <c r="J131" s="191"/>
      <c r="K131" s="170"/>
      <c r="L131" s="192">
        <f>IF(ISERROR(VLOOKUP($C131,Clima!$U$8:$AH$900,14,FALSE)),VLOOKUP($C131,Clima!$D$8:$R$900,14),VLOOKUP($C131,Clima!$U$8:$AH$900,14,FALSE))</f>
        <v>1.8</v>
      </c>
      <c r="M131" s="190"/>
      <c r="N131" s="190"/>
      <c r="O131" s="191"/>
      <c r="P131" s="191">
        <f>IF(ISERROR(VLOOKUP($C131,Clima!$W$8:$AH$350,12,FALSE)),VLOOKUP($C131,Clima!$E$8:$P$350,12),VLOOKUP($C131,Clima!$W$8:$AH$350,12,FALSE))</f>
        <v>0</v>
      </c>
      <c r="Q131" s="170">
        <f t="shared" si="80"/>
        <v>185.41590144161341</v>
      </c>
      <c r="R131" s="254">
        <f>VLOOKUP(C131,Clima!$V$8:$AH$900,3,FALSE)+R130</f>
        <v>1015.6000000000001</v>
      </c>
      <c r="S131" s="455">
        <f t="shared" si="56"/>
        <v>1.1499999999999999</v>
      </c>
      <c r="T131" s="449">
        <f t="shared" si="57"/>
        <v>2.0699999999999998</v>
      </c>
      <c r="U131" s="195"/>
      <c r="V131" s="445">
        <f t="shared" si="47"/>
        <v>1.1327549535824999</v>
      </c>
      <c r="W131" s="446">
        <f t="shared" si="58"/>
        <v>5</v>
      </c>
      <c r="X131" s="447">
        <f t="shared" si="81"/>
        <v>0.8850330238833336</v>
      </c>
      <c r="Y131" s="448">
        <f t="shared" si="59"/>
        <v>1</v>
      </c>
      <c r="Z131" s="449">
        <f t="shared" si="48"/>
        <v>0.1149669761166664</v>
      </c>
      <c r="AA131" s="449">
        <f t="shared" si="82"/>
        <v>0</v>
      </c>
      <c r="AB131" s="451">
        <f t="shared" si="60"/>
        <v>1</v>
      </c>
      <c r="AC131" s="449">
        <f t="shared" si="49"/>
        <v>-1.7245046417500021E-2</v>
      </c>
      <c r="AD131" s="449">
        <f t="shared" si="50"/>
        <v>-3.1041083551500037E-2</v>
      </c>
      <c r="AE131" s="448">
        <f t="shared" si="83"/>
        <v>5.3749999999999947</v>
      </c>
      <c r="AF131" s="449">
        <f t="shared" si="84"/>
        <v>-0.27000000000000135</v>
      </c>
      <c r="AG131" s="449">
        <f t="shared" si="51"/>
        <v>1.1327549535824999</v>
      </c>
      <c r="AH131" s="449">
        <f t="shared" si="52"/>
        <v>2.0389589164484998</v>
      </c>
      <c r="AI131" s="448"/>
      <c r="AJ131" s="449">
        <f t="shared" si="61"/>
        <v>0.6</v>
      </c>
      <c r="AK131" s="450">
        <f t="shared" si="53"/>
        <v>39</v>
      </c>
      <c r="AL131" s="449">
        <f t="shared" si="85"/>
        <v>32.869791369333399</v>
      </c>
      <c r="AM131" s="451">
        <f>IF(ISERROR(VLOOKUP(C131,Riegos,2,FALSE)),VLOOKUP(C131,Riegos,2,FALSE),VLOOKUP($F$8,Nomen!$A$79:$B$80,2,FALSE)*IF(AND(H131&gt;120,D131&lt;0.45),0,IF(AQ130+AH131&gt;=AK131,MIN(AQ130,$AK$7),0)))</f>
        <v>0</v>
      </c>
      <c r="AN131" s="448">
        <f t="shared" si="62"/>
        <v>0</v>
      </c>
      <c r="AO131" s="448">
        <f t="shared" si="63"/>
        <v>1</v>
      </c>
      <c r="AP131" s="449">
        <f t="shared" si="64"/>
        <v>1.1327549535824999</v>
      </c>
      <c r="AQ131" s="449">
        <f t="shared" si="65"/>
        <v>32.869791369333399</v>
      </c>
      <c r="AR131" s="449">
        <f t="shared" si="86"/>
        <v>116.48476852039772</v>
      </c>
      <c r="AS131" s="449">
        <f t="shared" si="66"/>
        <v>2.0389589164484998</v>
      </c>
      <c r="AT131" s="449">
        <f t="shared" si="67"/>
        <v>235.49272565358291</v>
      </c>
      <c r="AU131" s="453">
        <f t="shared" si="68"/>
        <v>115</v>
      </c>
      <c r="AV131" s="145">
        <f t="shared" si="69"/>
        <v>106.50000000000001</v>
      </c>
      <c r="AW131" s="178">
        <f t="shared" si="70"/>
        <v>0</v>
      </c>
      <c r="AX131" s="179">
        <f t="shared" si="71"/>
        <v>0</v>
      </c>
      <c r="AY131" s="145">
        <f t="shared" si="87"/>
        <v>0.8781790116666669</v>
      </c>
      <c r="AZ131" s="145">
        <f t="shared" si="72"/>
        <v>2.0110833315000005</v>
      </c>
      <c r="BA131" s="145">
        <f t="shared" si="73"/>
        <v>148.88293400417132</v>
      </c>
      <c r="BB131" s="145">
        <f t="shared" si="74"/>
        <v>8.0443333260000027E-2</v>
      </c>
      <c r="BC131" s="145">
        <f t="shared" si="75"/>
        <v>5.9553173601668519</v>
      </c>
      <c r="BD131" s="145">
        <f t="shared" si="76"/>
        <v>144.7940520062489</v>
      </c>
      <c r="BE131" s="145">
        <f t="shared" si="77"/>
        <v>1.0946444194866842</v>
      </c>
      <c r="BF131" s="145">
        <f t="shared" si="78"/>
        <v>1.8</v>
      </c>
    </row>
    <row r="132" spans="1:58" s="145" customFormat="1">
      <c r="A132" s="559"/>
      <c r="B132" s="116">
        <f t="shared" si="54"/>
        <v>129</v>
      </c>
      <c r="C132" s="69">
        <f t="shared" si="79"/>
        <v>42133</v>
      </c>
      <c r="D132" s="257">
        <f>IF(ISERROR(VLOOKUP($C132,'NDVI real'!$T$8:$U$313,2,FALSE)),VLOOKUP(SWB!C132,'NDVI tipo'!$T$8:$U$193,2),VLOOKUP($C132,'NDVI real'!$T$8:$U$313,2,FALSE))</f>
        <v>0.87862654250000027</v>
      </c>
      <c r="E132" s="170">
        <f t="shared" si="44"/>
        <v>5</v>
      </c>
      <c r="F132" s="170">
        <f t="shared" si="45"/>
        <v>9</v>
      </c>
      <c r="G132" s="170">
        <f t="shared" si="46"/>
        <v>2015</v>
      </c>
      <c r="H132" s="170">
        <f t="shared" si="55"/>
        <v>129</v>
      </c>
      <c r="I132" s="190">
        <f>IF(ISERROR(VLOOKUP($C132,Clima!$U$8:$AH$900,3,FALSE)),VLOOKUP($C132,Clima!$D$8:$R$900,3),VLOOKUP($C132,Clima!$U$8:$AH$900,3,FALSE))</f>
        <v>12.7</v>
      </c>
      <c r="J132" s="191"/>
      <c r="K132" s="170"/>
      <c r="L132" s="192">
        <f>IF(ISERROR(VLOOKUP($C132,Clima!$U$8:$AH$900,14,FALSE)),VLOOKUP($C132,Clima!$D$8:$R$900,14),VLOOKUP($C132,Clima!$U$8:$AH$900,14,FALSE))</f>
        <v>2</v>
      </c>
      <c r="M132" s="190"/>
      <c r="N132" s="190"/>
      <c r="O132" s="191"/>
      <c r="P132" s="191">
        <f>IF(ISERROR(VLOOKUP($C132,Clima!$W$8:$AH$350,12,FALSE)),VLOOKUP($C132,Clima!$E$8:$P$350,12),VLOOKUP($C132,Clima!$W$8:$AH$350,12,FALSE))</f>
        <v>0</v>
      </c>
      <c r="Q132" s="170">
        <f t="shared" si="80"/>
        <v>187.71590144161343</v>
      </c>
      <c r="R132" s="254">
        <f>VLOOKUP(C132,Clima!$V$8:$AH$900,3,FALSE)+R131</f>
        <v>1034.2</v>
      </c>
      <c r="S132" s="455">
        <f t="shared" si="56"/>
        <v>1.1499999999999999</v>
      </c>
      <c r="T132" s="449">
        <f t="shared" si="57"/>
        <v>2.2999999999999998</v>
      </c>
      <c r="U132" s="195"/>
      <c r="V132" s="445">
        <f t="shared" si="47"/>
        <v>1.1328348378362501</v>
      </c>
      <c r="W132" s="446">
        <f t="shared" si="58"/>
        <v>0</v>
      </c>
      <c r="X132" s="447">
        <f t="shared" si="81"/>
        <v>0.88556558557500031</v>
      </c>
      <c r="Y132" s="448">
        <f t="shared" si="59"/>
        <v>1</v>
      </c>
      <c r="Z132" s="449">
        <f t="shared" si="48"/>
        <v>0.11443441442499969</v>
      </c>
      <c r="AA132" s="449">
        <f t="shared" si="82"/>
        <v>0</v>
      </c>
      <c r="AB132" s="451">
        <f t="shared" si="60"/>
        <v>1</v>
      </c>
      <c r="AC132" s="449">
        <f t="shared" si="49"/>
        <v>-1.7165162163749859E-2</v>
      </c>
      <c r="AD132" s="449">
        <f t="shared" si="50"/>
        <v>-3.4330324327499717E-2</v>
      </c>
      <c r="AE132" s="448">
        <f t="shared" si="83"/>
        <v>0.27000000000000135</v>
      </c>
      <c r="AF132" s="449">
        <f t="shared" si="84"/>
        <v>-0.29999999999999827</v>
      </c>
      <c r="AG132" s="449">
        <f t="shared" si="51"/>
        <v>1.1328348378362501</v>
      </c>
      <c r="AH132" s="449">
        <f t="shared" si="52"/>
        <v>2.2656696756725001</v>
      </c>
      <c r="AI132" s="448"/>
      <c r="AJ132" s="449">
        <f t="shared" si="61"/>
        <v>0.6</v>
      </c>
      <c r="AK132" s="450">
        <f t="shared" si="53"/>
        <v>39</v>
      </c>
      <c r="AL132" s="449">
        <f t="shared" si="85"/>
        <v>35.135461045005897</v>
      </c>
      <c r="AM132" s="451">
        <f>IF(ISERROR(VLOOKUP(C132,Riegos,2,FALSE)),VLOOKUP(C132,Riegos,2,FALSE),VLOOKUP($F$8,Nomen!$A$79:$B$80,2,FALSE)*IF(AND(H132&gt;120,D132&lt;0.45),0,IF(AQ131+AH132&gt;=AK132,MIN(AQ131,$AK$7),0)))</f>
        <v>0</v>
      </c>
      <c r="AN132" s="448">
        <f t="shared" si="62"/>
        <v>0</v>
      </c>
      <c r="AO132" s="448">
        <f t="shared" si="63"/>
        <v>1</v>
      </c>
      <c r="AP132" s="449">
        <f t="shared" si="64"/>
        <v>1.1328348378362501</v>
      </c>
      <c r="AQ132" s="449">
        <f t="shared" si="65"/>
        <v>35.135461045005897</v>
      </c>
      <c r="AR132" s="449">
        <f t="shared" si="86"/>
        <v>117.48476852039772</v>
      </c>
      <c r="AS132" s="449">
        <f t="shared" si="66"/>
        <v>2.2656696756725001</v>
      </c>
      <c r="AT132" s="449">
        <f t="shared" si="67"/>
        <v>237.75839532925542</v>
      </c>
      <c r="AU132" s="453">
        <f t="shared" si="68"/>
        <v>115</v>
      </c>
      <c r="AV132" s="145">
        <f t="shared" si="69"/>
        <v>106.50000000000001</v>
      </c>
      <c r="AW132" s="178">
        <f t="shared" si="70"/>
        <v>0</v>
      </c>
      <c r="AX132" s="179">
        <f t="shared" si="71"/>
        <v>0</v>
      </c>
      <c r="AY132" s="145">
        <f t="shared" si="87"/>
        <v>0.87862654250000027</v>
      </c>
      <c r="AZ132" s="145">
        <f t="shared" si="72"/>
        <v>2.235879627500001</v>
      </c>
      <c r="BA132" s="145">
        <f t="shared" si="73"/>
        <v>151.11881363167132</v>
      </c>
      <c r="BB132" s="145">
        <f t="shared" si="74"/>
        <v>8.9435185100000036E-2</v>
      </c>
      <c r="BC132" s="145">
        <f t="shared" si="75"/>
        <v>6.044752545266852</v>
      </c>
      <c r="BD132" s="145">
        <f t="shared" si="76"/>
        <v>146.00341028738413</v>
      </c>
      <c r="BE132" s="145">
        <f t="shared" si="77"/>
        <v>1.2093582811352235</v>
      </c>
      <c r="BF132" s="145">
        <f t="shared" si="78"/>
        <v>2</v>
      </c>
    </row>
    <row r="133" spans="1:58" s="145" customFormat="1">
      <c r="A133" s="559"/>
      <c r="B133" s="116">
        <f t="shared" si="54"/>
        <v>130</v>
      </c>
      <c r="C133" s="69">
        <f t="shared" si="79"/>
        <v>42134</v>
      </c>
      <c r="D133" s="257">
        <f>IF(ISERROR(VLOOKUP($C133,'NDVI real'!$T$8:$U$313,2,FALSE)),VLOOKUP(SWB!C133,'NDVI tipo'!$T$8:$U$193,2),VLOOKUP($C133,'NDVI real'!$T$8:$U$313,2,FALSE))</f>
        <v>0.87907407333333365</v>
      </c>
      <c r="E133" s="170">
        <f t="shared" si="44"/>
        <v>5</v>
      </c>
      <c r="F133" s="170">
        <f t="shared" si="45"/>
        <v>10</v>
      </c>
      <c r="G133" s="170">
        <f t="shared" si="46"/>
        <v>2015</v>
      </c>
      <c r="H133" s="170">
        <f t="shared" si="55"/>
        <v>130</v>
      </c>
      <c r="I133" s="190">
        <f>IF(ISERROR(VLOOKUP($C133,Clima!$U$8:$AH$900,3,FALSE)),VLOOKUP($C133,Clima!$D$8:$R$900,3),VLOOKUP($C133,Clima!$U$8:$AH$900,3,FALSE))</f>
        <v>11.6</v>
      </c>
      <c r="J133" s="191"/>
      <c r="K133" s="170"/>
      <c r="L133" s="192">
        <f>IF(ISERROR(VLOOKUP($C133,Clima!$U$8:$AH$900,14,FALSE)),VLOOKUP($C133,Clima!$D$8:$R$900,14),VLOOKUP($C133,Clima!$U$8:$AH$900,14,FALSE))</f>
        <v>2.2999999999999998</v>
      </c>
      <c r="M133" s="190"/>
      <c r="N133" s="190"/>
      <c r="O133" s="191"/>
      <c r="P133" s="191">
        <f>IF(ISERROR(VLOOKUP($C133,Clima!$W$8:$AH$350,12,FALSE)),VLOOKUP($C133,Clima!$E$8:$P$350,12),VLOOKUP($C133,Clima!$W$8:$AH$350,12,FALSE))</f>
        <v>0</v>
      </c>
      <c r="Q133" s="170">
        <f t="shared" si="80"/>
        <v>190.36090144161344</v>
      </c>
      <c r="R133" s="254">
        <f>VLOOKUP(C133,Clima!$V$8:$AH$900,3,FALSE)+R132</f>
        <v>1053.7</v>
      </c>
      <c r="S133" s="455">
        <f t="shared" si="56"/>
        <v>1.1499999999999999</v>
      </c>
      <c r="T133" s="449">
        <f t="shared" si="57"/>
        <v>2.6449999999999996</v>
      </c>
      <c r="U133" s="195"/>
      <c r="V133" s="445">
        <f t="shared" si="47"/>
        <v>1.1329147220899998</v>
      </c>
      <c r="W133" s="446">
        <f t="shared" si="58"/>
        <v>0</v>
      </c>
      <c r="X133" s="447">
        <f t="shared" si="81"/>
        <v>0.88609814726666702</v>
      </c>
      <c r="Y133" s="448">
        <f t="shared" si="59"/>
        <v>1</v>
      </c>
      <c r="Z133" s="449">
        <f t="shared" si="48"/>
        <v>0.11390185273333298</v>
      </c>
      <c r="AA133" s="449">
        <f t="shared" si="82"/>
        <v>0</v>
      </c>
      <c r="AB133" s="451">
        <f t="shared" si="60"/>
        <v>1</v>
      </c>
      <c r="AC133" s="449">
        <f t="shared" si="49"/>
        <v>-1.7085277910000141E-2</v>
      </c>
      <c r="AD133" s="449">
        <f t="shared" si="50"/>
        <v>-3.9296139193000318E-2</v>
      </c>
      <c r="AE133" s="448">
        <f t="shared" si="83"/>
        <v>0.29999999999999827</v>
      </c>
      <c r="AF133" s="449">
        <f t="shared" si="84"/>
        <v>-0.34500000000000386</v>
      </c>
      <c r="AG133" s="449">
        <f t="shared" si="51"/>
        <v>1.1329147220899998</v>
      </c>
      <c r="AH133" s="449">
        <f t="shared" si="52"/>
        <v>2.6057038608069991</v>
      </c>
      <c r="AI133" s="448"/>
      <c r="AJ133" s="449">
        <f t="shared" si="61"/>
        <v>0.6</v>
      </c>
      <c r="AK133" s="450">
        <f t="shared" si="53"/>
        <v>39</v>
      </c>
      <c r="AL133" s="449">
        <f t="shared" si="85"/>
        <v>37.741164905812894</v>
      </c>
      <c r="AM133" s="451">
        <f>IF(ISERROR(VLOOKUP(C133,Riegos,2,FALSE)),VLOOKUP(C133,Riegos,2,FALSE),VLOOKUP($F$8,Nomen!$A$79:$B$80,2,FALSE)*IF(AND(H133&gt;120,D133&lt;0.45),0,IF(AQ132+AH133&gt;=AK133,MIN(AQ132,$AK$7),0)))</f>
        <v>0</v>
      </c>
      <c r="AN133" s="448">
        <f t="shared" si="62"/>
        <v>0</v>
      </c>
      <c r="AO133" s="448">
        <f t="shared" si="63"/>
        <v>1</v>
      </c>
      <c r="AP133" s="449">
        <f t="shared" si="64"/>
        <v>1.1329147220899998</v>
      </c>
      <c r="AQ133" s="449">
        <f t="shared" si="65"/>
        <v>37.741164905812894</v>
      </c>
      <c r="AR133" s="449">
        <f t="shared" si="86"/>
        <v>118.48476852039772</v>
      </c>
      <c r="AS133" s="449">
        <f t="shared" si="66"/>
        <v>2.6057038608069991</v>
      </c>
      <c r="AT133" s="449">
        <f t="shared" si="67"/>
        <v>240.36409919006243</v>
      </c>
      <c r="AU133" s="453">
        <f t="shared" si="68"/>
        <v>115</v>
      </c>
      <c r="AV133" s="145">
        <f t="shared" si="69"/>
        <v>106.50000000000001</v>
      </c>
      <c r="AW133" s="178">
        <f t="shared" si="70"/>
        <v>0</v>
      </c>
      <c r="AX133" s="179">
        <f t="shared" si="71"/>
        <v>0</v>
      </c>
      <c r="AY133" s="145">
        <f t="shared" si="87"/>
        <v>0.87907407333333365</v>
      </c>
      <c r="AZ133" s="145">
        <f t="shared" si="72"/>
        <v>2.5728055530000007</v>
      </c>
      <c r="BA133" s="145">
        <f t="shared" si="73"/>
        <v>153.69161918467131</v>
      </c>
      <c r="BB133" s="145">
        <f t="shared" si="74"/>
        <v>0.10291222212000002</v>
      </c>
      <c r="BC133" s="145">
        <f t="shared" si="75"/>
        <v>6.1476647673868516</v>
      </c>
      <c r="BD133" s="145">
        <f t="shared" si="76"/>
        <v>147.38526308372613</v>
      </c>
      <c r="BE133" s="145">
        <f t="shared" si="77"/>
        <v>1.3818527963420024</v>
      </c>
      <c r="BF133" s="145">
        <f t="shared" si="78"/>
        <v>2.2999999999999998</v>
      </c>
    </row>
    <row r="134" spans="1:58" s="145" customFormat="1">
      <c r="A134" s="559"/>
      <c r="B134" s="116">
        <f t="shared" si="54"/>
        <v>131</v>
      </c>
      <c r="C134" s="69">
        <f t="shared" si="79"/>
        <v>42135</v>
      </c>
      <c r="D134" s="257">
        <f>IF(ISERROR(VLOOKUP($C134,'NDVI real'!$T$8:$U$313,2,FALSE)),VLOOKUP(SWB!C134,'NDVI tipo'!$T$8:$U$193,2),VLOOKUP($C134,'NDVI real'!$T$8:$U$313,2,FALSE))</f>
        <v>0.87952160416666703</v>
      </c>
      <c r="E134" s="170">
        <f t="shared" si="44"/>
        <v>5</v>
      </c>
      <c r="F134" s="170">
        <f t="shared" si="45"/>
        <v>11</v>
      </c>
      <c r="G134" s="170">
        <f t="shared" si="46"/>
        <v>2015</v>
      </c>
      <c r="H134" s="170">
        <f t="shared" si="55"/>
        <v>131</v>
      </c>
      <c r="I134" s="190">
        <f>IF(ISERROR(VLOOKUP($C134,Clima!$U$8:$AH$900,3,FALSE)),VLOOKUP($C134,Clima!$D$8:$R$900,3),VLOOKUP($C134,Clima!$U$8:$AH$900,3,FALSE))</f>
        <v>10.1</v>
      </c>
      <c r="J134" s="191"/>
      <c r="K134" s="170"/>
      <c r="L134" s="192">
        <f>IF(ISERROR(VLOOKUP($C134,Clima!$U$8:$AH$900,14,FALSE)),VLOOKUP($C134,Clima!$D$8:$R$900,14),VLOOKUP($C134,Clima!$U$8:$AH$900,14,FALSE))</f>
        <v>1.9</v>
      </c>
      <c r="M134" s="190"/>
      <c r="N134" s="190"/>
      <c r="O134" s="191"/>
      <c r="P134" s="191">
        <f>IF(ISERROR(VLOOKUP($C134,Clima!$W$8:$AH$350,12,FALSE)),VLOOKUP($C134,Clima!$E$8:$P$350,12),VLOOKUP($C134,Clima!$W$8:$AH$350,12,FALSE))</f>
        <v>0</v>
      </c>
      <c r="Q134" s="170">
        <f t="shared" si="80"/>
        <v>192.45289799268784</v>
      </c>
      <c r="R134" s="254">
        <f>VLOOKUP(C134,Clima!$V$8:$AH$900,3,FALSE)+R133</f>
        <v>1073</v>
      </c>
      <c r="S134" s="455">
        <f t="shared" si="56"/>
        <v>1.1499999999999999</v>
      </c>
      <c r="T134" s="449">
        <f t="shared" si="57"/>
        <v>2.1849999999999996</v>
      </c>
      <c r="U134" s="195"/>
      <c r="V134" s="445">
        <f t="shared" si="47"/>
        <v>1.1329946063437499</v>
      </c>
      <c r="W134" s="446">
        <f t="shared" si="58"/>
        <v>0</v>
      </c>
      <c r="X134" s="447">
        <f t="shared" si="81"/>
        <v>0.88663070895833374</v>
      </c>
      <c r="Y134" s="448">
        <f t="shared" si="59"/>
        <v>1</v>
      </c>
      <c r="Z134" s="449">
        <f t="shared" si="48"/>
        <v>0.11336929104166626</v>
      </c>
      <c r="AA134" s="449">
        <f t="shared" si="82"/>
        <v>0</v>
      </c>
      <c r="AB134" s="451">
        <f t="shared" si="60"/>
        <v>1</v>
      </c>
      <c r="AC134" s="449">
        <f t="shared" si="49"/>
        <v>-1.7005393656249979E-2</v>
      </c>
      <c r="AD134" s="449">
        <f t="shared" si="50"/>
        <v>-3.2310247946874961E-2</v>
      </c>
      <c r="AE134" s="448">
        <f t="shared" si="83"/>
        <v>0.34500000000000386</v>
      </c>
      <c r="AF134" s="449">
        <f t="shared" si="84"/>
        <v>-0.2850000000000007</v>
      </c>
      <c r="AG134" s="449">
        <f t="shared" si="51"/>
        <v>1.1329946063437499</v>
      </c>
      <c r="AH134" s="449">
        <f t="shared" si="52"/>
        <v>2.1526897520531247</v>
      </c>
      <c r="AI134" s="448"/>
      <c r="AJ134" s="449">
        <f t="shared" si="61"/>
        <v>0.6</v>
      </c>
      <c r="AK134" s="450">
        <f t="shared" si="53"/>
        <v>39</v>
      </c>
      <c r="AL134" s="449">
        <f t="shared" si="85"/>
        <v>39.893854657866022</v>
      </c>
      <c r="AM134" s="451">
        <f>IF(ISERROR(VLOOKUP(C134,Riegos,2,FALSE)),VLOOKUP(C134,Riegos,2,FALSE),VLOOKUP($F$8,Nomen!$A$79:$B$80,2,FALSE)*IF(AND(H134&gt;120,D134&lt;0.45),0,IF(AQ133+AH134&gt;=AK134,MIN(AQ133,$AK$7),0)))</f>
        <v>5</v>
      </c>
      <c r="AN134" s="448">
        <f t="shared" si="62"/>
        <v>0</v>
      </c>
      <c r="AO134" s="448">
        <f t="shared" si="63"/>
        <v>0.95743549248257032</v>
      </c>
      <c r="AP134" s="449">
        <f t="shared" si="64"/>
        <v>1.0840454226987057</v>
      </c>
      <c r="AQ134" s="449">
        <f t="shared" si="65"/>
        <v>39.800851208940436</v>
      </c>
      <c r="AR134" s="449">
        <f t="shared" si="86"/>
        <v>119.4422040128803</v>
      </c>
      <c r="AS134" s="449">
        <f t="shared" si="66"/>
        <v>2.059686303127541</v>
      </c>
      <c r="AT134" s="449">
        <f t="shared" si="67"/>
        <v>242.42378549318997</v>
      </c>
      <c r="AU134" s="453">
        <f t="shared" si="68"/>
        <v>120</v>
      </c>
      <c r="AV134" s="145">
        <f t="shared" si="69"/>
        <v>106.50000000000001</v>
      </c>
      <c r="AW134" s="178">
        <f t="shared" si="70"/>
        <v>0</v>
      </c>
      <c r="AX134" s="179">
        <f t="shared" si="71"/>
        <v>0</v>
      </c>
      <c r="AY134" s="145">
        <f t="shared" si="87"/>
        <v>0.87952160416666703</v>
      </c>
      <c r="AZ134" s="145">
        <f t="shared" si="72"/>
        <v>2.1266365718750011</v>
      </c>
      <c r="BA134" s="145">
        <f t="shared" si="73"/>
        <v>155.81825575654631</v>
      </c>
      <c r="BB134" s="145">
        <f t="shared" si="74"/>
        <v>8.5065462875000039E-2</v>
      </c>
      <c r="BC134" s="145">
        <f t="shared" si="75"/>
        <v>6.2327302302618515</v>
      </c>
      <c r="BD134" s="145">
        <f t="shared" si="76"/>
        <v>148.51977754773139</v>
      </c>
      <c r="BE134" s="145">
        <f t="shared" si="77"/>
        <v>1.1345144640052638</v>
      </c>
      <c r="BF134" s="145">
        <f t="shared" si="78"/>
        <v>1.9</v>
      </c>
    </row>
    <row r="135" spans="1:58" s="145" customFormat="1">
      <c r="A135" s="559"/>
      <c r="B135" s="116">
        <f t="shared" si="54"/>
        <v>132</v>
      </c>
      <c r="C135" s="69">
        <f t="shared" si="79"/>
        <v>42136</v>
      </c>
      <c r="D135" s="257">
        <f>IF(ISERROR(VLOOKUP($C135,'NDVI real'!$T$8:$U$313,2,FALSE)),VLOOKUP(SWB!C135,'NDVI tipo'!$T$8:$U$193,2),VLOOKUP($C135,'NDVI real'!$T$8:$U$313,2,FALSE))</f>
        <v>0.8799691350000004</v>
      </c>
      <c r="E135" s="170">
        <f t="shared" si="44"/>
        <v>5</v>
      </c>
      <c r="F135" s="170">
        <f t="shared" si="45"/>
        <v>12</v>
      </c>
      <c r="G135" s="170">
        <f t="shared" si="46"/>
        <v>2015</v>
      </c>
      <c r="H135" s="170">
        <f t="shared" si="55"/>
        <v>132</v>
      </c>
      <c r="I135" s="190">
        <f>IF(ISERROR(VLOOKUP($C135,Clima!$U$8:$AH$900,3,FALSE)),VLOOKUP($C135,Clima!$D$8:$R$900,3),VLOOKUP($C135,Clima!$U$8:$AH$900,3,FALSE))</f>
        <v>11.9</v>
      </c>
      <c r="J135" s="191"/>
      <c r="K135" s="170"/>
      <c r="L135" s="192">
        <f>IF(ISERROR(VLOOKUP($C135,Clima!$U$8:$AH$900,14,FALSE)),VLOOKUP($C135,Clima!$D$8:$R$900,14),VLOOKUP($C135,Clima!$U$8:$AH$900,14,FALSE))</f>
        <v>4</v>
      </c>
      <c r="M135" s="190"/>
      <c r="N135" s="190"/>
      <c r="O135" s="191"/>
      <c r="P135" s="191">
        <f>IF(ISERROR(VLOOKUP($C135,Clima!$W$8:$AH$350,12,FALSE)),VLOOKUP($C135,Clima!$E$8:$P$350,12),VLOOKUP($C135,Clima!$W$8:$AH$350,12,FALSE))</f>
        <v>0</v>
      </c>
      <c r="Q135" s="170">
        <f t="shared" si="80"/>
        <v>196.97992245992023</v>
      </c>
      <c r="R135" s="254">
        <f>VLOOKUP(C135,Clima!$V$8:$AH$900,3,FALSE)+R134</f>
        <v>1095.2</v>
      </c>
      <c r="S135" s="455">
        <f t="shared" si="56"/>
        <v>1.1499999999999999</v>
      </c>
      <c r="T135" s="449">
        <f t="shared" si="57"/>
        <v>4.5999999999999996</v>
      </c>
      <c r="U135" s="195"/>
      <c r="V135" s="445">
        <f t="shared" si="47"/>
        <v>1.1330744905975001</v>
      </c>
      <c r="W135" s="446">
        <f t="shared" si="58"/>
        <v>5</v>
      </c>
      <c r="X135" s="447">
        <f t="shared" si="81"/>
        <v>0.88716327065000045</v>
      </c>
      <c r="Y135" s="448">
        <f t="shared" si="59"/>
        <v>1</v>
      </c>
      <c r="Z135" s="449">
        <f t="shared" si="48"/>
        <v>0.11283672934999955</v>
      </c>
      <c r="AA135" s="449">
        <f t="shared" si="82"/>
        <v>0</v>
      </c>
      <c r="AB135" s="451">
        <f t="shared" si="60"/>
        <v>1</v>
      </c>
      <c r="AC135" s="449">
        <f t="shared" si="49"/>
        <v>-1.6925509402499817E-2</v>
      </c>
      <c r="AD135" s="449">
        <f t="shared" si="50"/>
        <v>-6.7702037609999266E-2</v>
      </c>
      <c r="AE135" s="448">
        <f t="shared" si="83"/>
        <v>5.285000000000001</v>
      </c>
      <c r="AF135" s="449">
        <f t="shared" si="84"/>
        <v>-0.59999999999999609</v>
      </c>
      <c r="AG135" s="449">
        <f t="shared" si="51"/>
        <v>1.1330744905975001</v>
      </c>
      <c r="AH135" s="449">
        <f t="shared" si="52"/>
        <v>4.5322979623900004</v>
      </c>
      <c r="AI135" s="448"/>
      <c r="AJ135" s="449">
        <f t="shared" si="61"/>
        <v>0.6</v>
      </c>
      <c r="AK135" s="450">
        <f t="shared" si="53"/>
        <v>39</v>
      </c>
      <c r="AL135" s="449">
        <f t="shared" si="85"/>
        <v>39.333149171330433</v>
      </c>
      <c r="AM135" s="451">
        <f>IF(ISERROR(VLOOKUP(C135,Riegos,2,FALSE)),VLOOKUP(C135,Riegos,2,FALSE),VLOOKUP($F$8,Nomen!$A$79:$B$80,2,FALSE)*IF(AND(H135&gt;120,D135&lt;0.45),0,IF(AQ134+AH135&gt;=AK135,MIN(AQ134,$AK$7),0)))</f>
        <v>5</v>
      </c>
      <c r="AN135" s="448">
        <f t="shared" si="62"/>
        <v>0</v>
      </c>
      <c r="AO135" s="448">
        <f t="shared" si="63"/>
        <v>0.98413575374616991</v>
      </c>
      <c r="AP135" s="449">
        <f t="shared" si="64"/>
        <v>1.1148306074055956</v>
      </c>
      <c r="AQ135" s="449">
        <f t="shared" si="65"/>
        <v>39.260173638562819</v>
      </c>
      <c r="AR135" s="449">
        <f t="shared" si="86"/>
        <v>120.42633976662647</v>
      </c>
      <c r="AS135" s="449">
        <f t="shared" si="66"/>
        <v>4.4593224296223823</v>
      </c>
      <c r="AT135" s="449">
        <f t="shared" si="67"/>
        <v>246.88310792281234</v>
      </c>
      <c r="AU135" s="453">
        <f t="shared" si="68"/>
        <v>125</v>
      </c>
      <c r="AV135" s="145">
        <f t="shared" si="69"/>
        <v>106.50000000000001</v>
      </c>
      <c r="AW135" s="178">
        <f t="shared" si="70"/>
        <v>0</v>
      </c>
      <c r="AX135" s="179">
        <f t="shared" si="71"/>
        <v>0</v>
      </c>
      <c r="AY135" s="145">
        <f t="shared" si="87"/>
        <v>0.8799691350000004</v>
      </c>
      <c r="AZ135" s="145">
        <f t="shared" si="72"/>
        <v>4.4798148100000024</v>
      </c>
      <c r="BA135" s="145">
        <f t="shared" si="73"/>
        <v>160.2980705665463</v>
      </c>
      <c r="BB135" s="145">
        <f t="shared" si="74"/>
        <v>0.1791925924000001</v>
      </c>
      <c r="BC135" s="145">
        <f t="shared" si="75"/>
        <v>6.4119228226618512</v>
      </c>
      <c r="BD135" s="145">
        <f t="shared" si="76"/>
        <v>150.88749404253855</v>
      </c>
      <c r="BE135" s="145">
        <f t="shared" si="77"/>
        <v>2.367716494807155</v>
      </c>
      <c r="BF135" s="145">
        <f t="shared" si="78"/>
        <v>4</v>
      </c>
    </row>
    <row r="136" spans="1:58" s="145" customFormat="1">
      <c r="A136" s="559"/>
      <c r="B136" s="116">
        <f t="shared" si="54"/>
        <v>133</v>
      </c>
      <c r="C136" s="69">
        <f t="shared" si="79"/>
        <v>42137</v>
      </c>
      <c r="D136" s="257">
        <f>IF(ISERROR(VLOOKUP($C136,'NDVI real'!$T$8:$U$313,2,FALSE)),VLOOKUP(SWB!C136,'NDVI tipo'!$T$8:$U$193,2),VLOOKUP($C136,'NDVI real'!$T$8:$U$313,2,FALSE))</f>
        <v>0.88041666583333378</v>
      </c>
      <c r="E136" s="170">
        <f t="shared" si="44"/>
        <v>5</v>
      </c>
      <c r="F136" s="170">
        <f t="shared" si="45"/>
        <v>13</v>
      </c>
      <c r="G136" s="170">
        <f t="shared" si="46"/>
        <v>2015</v>
      </c>
      <c r="H136" s="170">
        <f t="shared" si="55"/>
        <v>133</v>
      </c>
      <c r="I136" s="190">
        <f>IF(ISERROR(VLOOKUP($C136,Clima!$U$8:$AH$900,3,FALSE)),VLOOKUP($C136,Clima!$D$8:$R$900,3),VLOOKUP($C136,Clima!$U$8:$AH$900,3,FALSE))</f>
        <v>10.5</v>
      </c>
      <c r="J136" s="191"/>
      <c r="K136" s="170"/>
      <c r="L136" s="192">
        <f>IF(ISERROR(VLOOKUP($C136,Clima!$U$8:$AH$900,14,FALSE)),VLOOKUP($C136,Clima!$D$8:$R$900,14),VLOOKUP($C136,Clima!$U$8:$AH$900,14,FALSE))</f>
        <v>3</v>
      </c>
      <c r="M136" s="190"/>
      <c r="N136" s="190"/>
      <c r="O136" s="191"/>
      <c r="P136" s="191">
        <f>IF(ISERROR(VLOOKUP($C136,Clima!$W$8:$AH$350,12,FALSE)),VLOOKUP($C136,Clima!$E$8:$P$350,12),VLOOKUP($C136,Clima!$W$8:$AH$350,12,FALSE))</f>
        <v>0</v>
      </c>
      <c r="Q136" s="170">
        <f t="shared" si="80"/>
        <v>200.42992245992022</v>
      </c>
      <c r="R136" s="254">
        <f>VLOOKUP(C136,Clima!$V$8:$AH$900,3,FALSE)+R135</f>
        <v>1119.2</v>
      </c>
      <c r="S136" s="455">
        <f t="shared" si="56"/>
        <v>1.1499999999999999</v>
      </c>
      <c r="T136" s="449">
        <f t="shared" si="57"/>
        <v>3.4499999999999997</v>
      </c>
      <c r="U136" s="195"/>
      <c r="V136" s="445">
        <f t="shared" si="47"/>
        <v>1.1331543748512498</v>
      </c>
      <c r="W136" s="446">
        <f t="shared" si="58"/>
        <v>5</v>
      </c>
      <c r="X136" s="447">
        <f t="shared" si="81"/>
        <v>0.88769583234166716</v>
      </c>
      <c r="Y136" s="448">
        <f t="shared" si="59"/>
        <v>1</v>
      </c>
      <c r="Z136" s="449">
        <f t="shared" si="48"/>
        <v>0.11230416765833284</v>
      </c>
      <c r="AA136" s="449">
        <f t="shared" si="82"/>
        <v>0</v>
      </c>
      <c r="AB136" s="451">
        <f t="shared" si="60"/>
        <v>1</v>
      </c>
      <c r="AC136" s="449">
        <f t="shared" si="49"/>
        <v>-1.6845625148750099E-2</v>
      </c>
      <c r="AD136" s="449">
        <f t="shared" si="50"/>
        <v>-5.0536875446250296E-2</v>
      </c>
      <c r="AE136" s="448">
        <f t="shared" si="83"/>
        <v>5.5999999999999961</v>
      </c>
      <c r="AF136" s="449">
        <f t="shared" si="84"/>
        <v>-0.45000000000000462</v>
      </c>
      <c r="AG136" s="449">
        <f t="shared" si="51"/>
        <v>1.1331543748512498</v>
      </c>
      <c r="AH136" s="449">
        <f t="shared" si="52"/>
        <v>3.3994631245537494</v>
      </c>
      <c r="AI136" s="448"/>
      <c r="AJ136" s="449">
        <f t="shared" si="61"/>
        <v>0.6</v>
      </c>
      <c r="AK136" s="450">
        <f t="shared" si="53"/>
        <v>39</v>
      </c>
      <c r="AL136" s="449">
        <f t="shared" si="85"/>
        <v>37.659636763116566</v>
      </c>
      <c r="AM136" s="451">
        <f>IF(ISERROR(VLOOKUP(C136,Riegos,2,FALSE)),VLOOKUP(C136,Riegos,2,FALSE),VLOOKUP($F$8,Nomen!$A$79:$B$80,2,FALSE)*IF(AND(H136&gt;120,D136&lt;0.45),0,IF(AQ135+AH136&gt;=AK136,MIN(AQ135,$AK$7),0)))</f>
        <v>5</v>
      </c>
      <c r="AN136" s="448">
        <f t="shared" si="62"/>
        <v>0</v>
      </c>
      <c r="AO136" s="448">
        <f t="shared" si="63"/>
        <v>1</v>
      </c>
      <c r="AP136" s="449">
        <f t="shared" si="64"/>
        <v>1.1331543748512498</v>
      </c>
      <c r="AQ136" s="449">
        <f t="shared" si="65"/>
        <v>37.659636763116566</v>
      </c>
      <c r="AR136" s="449">
        <f t="shared" si="86"/>
        <v>121.42633976662647</v>
      </c>
      <c r="AS136" s="449">
        <f t="shared" si="66"/>
        <v>3.3994631245537494</v>
      </c>
      <c r="AT136" s="449">
        <f t="shared" si="67"/>
        <v>250.2825710473661</v>
      </c>
      <c r="AU136" s="453">
        <f t="shared" si="68"/>
        <v>130</v>
      </c>
      <c r="AV136" s="145">
        <f t="shared" si="69"/>
        <v>106.50000000000001</v>
      </c>
      <c r="AW136" s="178">
        <f t="shared" si="70"/>
        <v>0</v>
      </c>
      <c r="AX136" s="179">
        <f t="shared" si="71"/>
        <v>0</v>
      </c>
      <c r="AY136" s="145">
        <f t="shared" si="87"/>
        <v>0.88041666583333378</v>
      </c>
      <c r="AZ136" s="145">
        <f t="shared" si="72"/>
        <v>3.3618749962500023</v>
      </c>
      <c r="BA136" s="145">
        <f t="shared" si="73"/>
        <v>163.65994556279631</v>
      </c>
      <c r="BB136" s="145">
        <f t="shared" si="74"/>
        <v>0.13447499985000008</v>
      </c>
      <c r="BC136" s="145">
        <f t="shared" si="75"/>
        <v>6.5463978225118513</v>
      </c>
      <c r="BD136" s="145">
        <f t="shared" si="76"/>
        <v>152.64518785877408</v>
      </c>
      <c r="BE136" s="145">
        <f t="shared" si="77"/>
        <v>1.7576938162355304</v>
      </c>
      <c r="BF136" s="145">
        <f t="shared" si="78"/>
        <v>3</v>
      </c>
    </row>
    <row r="137" spans="1:58">
      <c r="B137" s="116">
        <f t="shared" si="54"/>
        <v>134</v>
      </c>
      <c r="C137" s="69">
        <f t="shared" si="79"/>
        <v>42138</v>
      </c>
      <c r="D137" s="257">
        <f>IF(ISERROR(VLOOKUP($C137,'NDVI real'!$T$8:$U$313,2,FALSE)),VLOOKUP(SWB!C137,'NDVI tipo'!$T$8:$U$193,2),VLOOKUP($C137,'NDVI real'!$T$8:$U$313,2,FALSE))</f>
        <v>0.88086419666666715</v>
      </c>
      <c r="E137" s="170">
        <f t="shared" si="44"/>
        <v>5</v>
      </c>
      <c r="F137" s="170">
        <f t="shared" si="45"/>
        <v>14</v>
      </c>
      <c r="G137" s="170">
        <f t="shared" si="46"/>
        <v>2015</v>
      </c>
      <c r="H137" s="170">
        <f t="shared" si="55"/>
        <v>134</v>
      </c>
      <c r="I137" s="190">
        <f>IF(ISERROR(VLOOKUP($C137,Clima!$U$8:$AH$900,3,FALSE)),VLOOKUP($C137,Clima!$D$8:$R$900,3),VLOOKUP($C137,Clima!$U$8:$AH$900,3,FALSE))</f>
        <v>10</v>
      </c>
      <c r="J137" s="191"/>
      <c r="K137" s="170"/>
      <c r="L137" s="192">
        <f>IF(ISERROR(VLOOKUP($C137,Clima!$U$8:$AH$900,14,FALSE)),VLOOKUP($C137,Clima!$D$8:$R$900,14),VLOOKUP($C137,Clima!$U$8:$AH$900,14,FALSE))</f>
        <v>2.7</v>
      </c>
      <c r="M137" s="190"/>
      <c r="N137" s="190"/>
      <c r="O137" s="191"/>
      <c r="P137" s="191">
        <f>IF(ISERROR(VLOOKUP($C137,Clima!$W$8:$AH$350,12,FALSE)),VLOOKUP($C137,Clima!$E$8:$P$350,12),VLOOKUP($C137,Clima!$W$8:$AH$350,12,FALSE))</f>
        <v>0</v>
      </c>
      <c r="Q137" s="170">
        <f t="shared" si="80"/>
        <v>203.53492245992021</v>
      </c>
      <c r="R137" s="254">
        <f>VLOOKUP(C137,Clima!$V$8:$AH$900,3,FALSE)+R136</f>
        <v>1144.5</v>
      </c>
      <c r="S137" s="455">
        <f t="shared" si="56"/>
        <v>1.1499999999999999</v>
      </c>
      <c r="T137" s="449">
        <f t="shared" si="57"/>
        <v>3.105</v>
      </c>
      <c r="U137" s="195"/>
      <c r="V137" s="445">
        <f t="shared" si="47"/>
        <v>1.133234259105</v>
      </c>
      <c r="W137" s="446">
        <f t="shared" si="58"/>
        <v>5</v>
      </c>
      <c r="X137" s="447">
        <f t="shared" si="81"/>
        <v>0.88822839403333387</v>
      </c>
      <c r="Y137" s="448">
        <f t="shared" si="59"/>
        <v>1</v>
      </c>
      <c r="Z137" s="449">
        <f t="shared" si="48"/>
        <v>0.11177160596666613</v>
      </c>
      <c r="AA137" s="449">
        <f t="shared" si="82"/>
        <v>0</v>
      </c>
      <c r="AB137" s="451">
        <f t="shared" si="60"/>
        <v>1</v>
      </c>
      <c r="AC137" s="449">
        <f t="shared" si="49"/>
        <v>-1.6765740894999936E-2</v>
      </c>
      <c r="AD137" s="449">
        <f t="shared" si="50"/>
        <v>-4.526750041649983E-2</v>
      </c>
      <c r="AE137" s="448">
        <f t="shared" si="83"/>
        <v>5.4500000000000046</v>
      </c>
      <c r="AF137" s="449">
        <f t="shared" si="84"/>
        <v>-0.40500000000000025</v>
      </c>
      <c r="AG137" s="449">
        <f t="shared" si="51"/>
        <v>1.133234259105</v>
      </c>
      <c r="AH137" s="449">
        <f t="shared" si="52"/>
        <v>3.0597324995835002</v>
      </c>
      <c r="AI137" s="448"/>
      <c r="AJ137" s="449">
        <f t="shared" si="61"/>
        <v>0.6</v>
      </c>
      <c r="AK137" s="450">
        <f t="shared" si="53"/>
        <v>39</v>
      </c>
      <c r="AL137" s="449">
        <f t="shared" si="85"/>
        <v>35.71936926270007</v>
      </c>
      <c r="AM137" s="451">
        <f>IF(ISERROR(VLOOKUP(C137,Riegos,2,FALSE)),VLOOKUP(C137,Riegos,2,FALSE),VLOOKUP($F$8,Nomen!$A$79:$B$80,2,FALSE)*IF(AND(H137&gt;120,D137&lt;0.45),0,IF(AQ136+AH137&gt;=AK137,MIN(AQ136,$AK$7),0)))</f>
        <v>5</v>
      </c>
      <c r="AN137" s="448">
        <f t="shared" si="62"/>
        <v>0</v>
      </c>
      <c r="AO137" s="448">
        <f t="shared" si="63"/>
        <v>1</v>
      </c>
      <c r="AP137" s="449">
        <f t="shared" si="64"/>
        <v>1.133234259105</v>
      </c>
      <c r="AQ137" s="449">
        <f t="shared" si="65"/>
        <v>35.71936926270007</v>
      </c>
      <c r="AR137" s="449">
        <f t="shared" si="86"/>
        <v>122.42633976662647</v>
      </c>
      <c r="AS137" s="449">
        <f t="shared" si="66"/>
        <v>3.0597324995835002</v>
      </c>
      <c r="AT137" s="449">
        <f t="shared" si="67"/>
        <v>253.34230354694961</v>
      </c>
      <c r="AU137" s="453">
        <f t="shared" si="68"/>
        <v>135</v>
      </c>
      <c r="AV137" s="145">
        <f t="shared" si="69"/>
        <v>106.50000000000001</v>
      </c>
      <c r="AW137" s="178">
        <f t="shared" si="70"/>
        <v>0</v>
      </c>
      <c r="AX137" s="179">
        <f t="shared" si="71"/>
        <v>0</v>
      </c>
      <c r="AY137" s="145">
        <f t="shared" si="87"/>
        <v>0.88086419666666715</v>
      </c>
      <c r="AZ137" s="145">
        <f t="shared" si="72"/>
        <v>3.0274999965000022</v>
      </c>
      <c r="BA137" s="145">
        <f t="shared" si="73"/>
        <v>166.68744555929632</v>
      </c>
      <c r="BB137" s="145">
        <f t="shared" si="74"/>
        <v>0.12109999986000008</v>
      </c>
      <c r="BC137" s="145">
        <f t="shared" si="75"/>
        <v>6.6674978223718515</v>
      </c>
      <c r="BD137" s="145">
        <f t="shared" si="76"/>
        <v>154.21445040983284</v>
      </c>
      <c r="BE137" s="145">
        <f t="shared" si="77"/>
        <v>1.5692625510587561</v>
      </c>
      <c r="BF137" s="145">
        <f t="shared" si="78"/>
        <v>2.7</v>
      </c>
    </row>
    <row r="138" spans="1:58">
      <c r="B138" s="116">
        <f t="shared" si="54"/>
        <v>135</v>
      </c>
      <c r="C138" s="69">
        <f t="shared" si="79"/>
        <v>42139</v>
      </c>
      <c r="D138" s="257">
        <f>IF(ISERROR(VLOOKUP($C138,'NDVI real'!$T$8:$U$313,2,FALSE)),VLOOKUP(SWB!C138,'NDVI tipo'!$T$8:$U$193,2),VLOOKUP($C138,'NDVI real'!$T$8:$U$313,2,FALSE))</f>
        <v>0.88131172750000053</v>
      </c>
      <c r="E138" s="170">
        <f t="shared" si="44"/>
        <v>5</v>
      </c>
      <c r="F138" s="170">
        <f t="shared" si="45"/>
        <v>15</v>
      </c>
      <c r="G138" s="170">
        <f t="shared" si="46"/>
        <v>2015</v>
      </c>
      <c r="H138" s="170">
        <f t="shared" si="55"/>
        <v>135</v>
      </c>
      <c r="I138" s="190">
        <f>IF(ISERROR(VLOOKUP($C138,Clima!$U$8:$AH$900,3,FALSE)),VLOOKUP($C138,Clima!$D$8:$R$900,3),VLOOKUP($C138,Clima!$U$8:$AH$900,3,FALSE))</f>
        <v>12.4</v>
      </c>
      <c r="J138" s="191"/>
      <c r="K138" s="170"/>
      <c r="L138" s="192">
        <f>IF(ISERROR(VLOOKUP($C138,Clima!$U$8:$AH$900,14,FALSE)),VLOOKUP($C138,Clima!$D$8:$R$900,14),VLOOKUP($C138,Clima!$U$8:$AH$900,14,FALSE))</f>
        <v>3.8</v>
      </c>
      <c r="M138" s="190"/>
      <c r="N138" s="190"/>
      <c r="O138" s="191"/>
      <c r="P138" s="191">
        <f>IF(ISERROR(VLOOKUP($C138,Clima!$W$8:$AH$350,12,FALSE)),VLOOKUP($C138,Clima!$E$8:$P$350,12),VLOOKUP($C138,Clima!$W$8:$AH$350,12,FALSE))</f>
        <v>0</v>
      </c>
      <c r="Q138" s="170">
        <f t="shared" si="80"/>
        <v>207.90492245992021</v>
      </c>
      <c r="R138" s="254">
        <f>VLOOKUP(C138,Clima!$V$8:$AH$900,3,FALSE)+R137</f>
        <v>1161.4000000000001</v>
      </c>
      <c r="S138" s="455">
        <f t="shared" si="56"/>
        <v>1.1499999999999999</v>
      </c>
      <c r="T138" s="449">
        <f t="shared" si="57"/>
        <v>4.3699999999999992</v>
      </c>
      <c r="U138" s="195"/>
      <c r="V138" s="445">
        <f t="shared" si="47"/>
        <v>1.1333141433587501</v>
      </c>
      <c r="W138" s="446">
        <f t="shared" si="58"/>
        <v>5</v>
      </c>
      <c r="X138" s="447">
        <f t="shared" si="81"/>
        <v>0.88876095572500058</v>
      </c>
      <c r="Y138" s="448">
        <f t="shared" si="59"/>
        <v>1</v>
      </c>
      <c r="Z138" s="449">
        <f t="shared" si="48"/>
        <v>0.11123904427499942</v>
      </c>
      <c r="AA138" s="449">
        <f t="shared" si="82"/>
        <v>0</v>
      </c>
      <c r="AB138" s="451">
        <f t="shared" si="60"/>
        <v>1</v>
      </c>
      <c r="AC138" s="449">
        <f t="shared" si="49"/>
        <v>-1.6685856641249774E-2</v>
      </c>
      <c r="AD138" s="449">
        <f t="shared" si="50"/>
        <v>-6.3406255236749143E-2</v>
      </c>
      <c r="AE138" s="448">
        <f t="shared" si="83"/>
        <v>5.4050000000000002</v>
      </c>
      <c r="AF138" s="449">
        <f t="shared" si="84"/>
        <v>-0.56999999999999496</v>
      </c>
      <c r="AG138" s="449">
        <f t="shared" si="51"/>
        <v>1.1333141433587501</v>
      </c>
      <c r="AH138" s="449">
        <f t="shared" si="52"/>
        <v>4.3065937447632505</v>
      </c>
      <c r="AI138" s="448"/>
      <c r="AJ138" s="449">
        <f t="shared" si="61"/>
        <v>0.6</v>
      </c>
      <c r="AK138" s="450">
        <f t="shared" si="53"/>
        <v>39</v>
      </c>
      <c r="AL138" s="449">
        <f t="shared" si="85"/>
        <v>35.025963007463318</v>
      </c>
      <c r="AM138" s="451">
        <f>IF(ISERROR(VLOOKUP(C138,Riegos,2,FALSE)),VLOOKUP(C138,Riegos,2,FALSE),VLOOKUP($F$8,Nomen!$A$79:$B$80,2,FALSE)*IF(AND(H138&gt;120,D138&lt;0.45),0,IF(AQ137+AH138&gt;=AK138,MIN(AQ137,$AK$7),0)))</f>
        <v>5</v>
      </c>
      <c r="AN138" s="448">
        <f t="shared" si="62"/>
        <v>0</v>
      </c>
      <c r="AO138" s="448">
        <f t="shared" si="63"/>
        <v>1</v>
      </c>
      <c r="AP138" s="449">
        <f t="shared" si="64"/>
        <v>1.1333141433587501</v>
      </c>
      <c r="AQ138" s="449">
        <f t="shared" si="65"/>
        <v>35.025963007463318</v>
      </c>
      <c r="AR138" s="449">
        <f t="shared" si="86"/>
        <v>123.42633976662647</v>
      </c>
      <c r="AS138" s="449">
        <f t="shared" si="66"/>
        <v>4.3065937447632505</v>
      </c>
      <c r="AT138" s="449">
        <f t="shared" si="67"/>
        <v>257.64889729171284</v>
      </c>
      <c r="AU138" s="453">
        <f t="shared" si="68"/>
        <v>140</v>
      </c>
      <c r="AV138" s="145">
        <f t="shared" si="69"/>
        <v>106.50000000000001</v>
      </c>
      <c r="AW138" s="178">
        <f t="shared" si="70"/>
        <v>0</v>
      </c>
      <c r="AX138" s="179">
        <f t="shared" si="71"/>
        <v>0</v>
      </c>
      <c r="AY138" s="145">
        <f t="shared" si="87"/>
        <v>0.88131172750000053</v>
      </c>
      <c r="AZ138" s="145">
        <f t="shared" si="72"/>
        <v>4.2634768467500033</v>
      </c>
      <c r="BA138" s="145">
        <f t="shared" si="73"/>
        <v>170.95092240604632</v>
      </c>
      <c r="BB138" s="145">
        <f t="shared" si="74"/>
        <v>0.17053907387000014</v>
      </c>
      <c r="BC138" s="145">
        <f t="shared" si="75"/>
        <v>6.8380368962418521</v>
      </c>
      <c r="BD138" s="145">
        <f t="shared" si="76"/>
        <v>156.40316073810371</v>
      </c>
      <c r="BE138" s="145">
        <f t="shared" si="77"/>
        <v>2.1887103282708722</v>
      </c>
      <c r="BF138" s="145">
        <f t="shared" si="78"/>
        <v>3.8</v>
      </c>
    </row>
    <row r="139" spans="1:58">
      <c r="B139" s="116">
        <f t="shared" si="54"/>
        <v>136</v>
      </c>
      <c r="C139" s="69">
        <f t="shared" si="79"/>
        <v>42140</v>
      </c>
      <c r="D139" s="257">
        <f>IF(ISERROR(VLOOKUP($C139,'NDVI real'!$T$8:$U$313,2,FALSE)),VLOOKUP(SWB!C139,'NDVI tipo'!$T$8:$U$193,2),VLOOKUP($C139,'NDVI real'!$T$8:$U$313,2,FALSE))</f>
        <v>0.88175925833333391</v>
      </c>
      <c r="E139" s="170">
        <f t="shared" si="44"/>
        <v>5</v>
      </c>
      <c r="F139" s="170">
        <f t="shared" si="45"/>
        <v>16</v>
      </c>
      <c r="G139" s="170">
        <f t="shared" si="46"/>
        <v>2015</v>
      </c>
      <c r="H139" s="170">
        <f t="shared" si="55"/>
        <v>136</v>
      </c>
      <c r="I139" s="190">
        <f>IF(ISERROR(VLOOKUP($C139,Clima!$U$8:$AH$900,3,FALSE)),VLOOKUP($C139,Clima!$D$8:$R$900,3),VLOOKUP($C139,Clima!$U$8:$AH$900,3,FALSE))</f>
        <v>14.4</v>
      </c>
      <c r="J139" s="191"/>
      <c r="K139" s="170"/>
      <c r="L139" s="192">
        <f>IF(ISERROR(VLOOKUP($C139,Clima!$U$8:$AH$900,14,FALSE)),VLOOKUP($C139,Clima!$D$8:$R$900,14),VLOOKUP($C139,Clima!$U$8:$AH$900,14,FALSE))</f>
        <v>4</v>
      </c>
      <c r="M139" s="190"/>
      <c r="N139" s="190"/>
      <c r="O139" s="191"/>
      <c r="P139" s="191">
        <f>IF(ISERROR(VLOOKUP($C139,Clima!$W$8:$AH$350,12,FALSE)),VLOOKUP($C139,Clima!$E$8:$P$350,12),VLOOKUP($C139,Clima!$W$8:$AH$350,12,FALSE))</f>
        <v>0</v>
      </c>
      <c r="Q139" s="170">
        <f t="shared" si="80"/>
        <v>212.50492245992021</v>
      </c>
      <c r="R139" s="254">
        <f>VLOOKUP(C139,Clima!$V$8:$AH$900,3,FALSE)+R138</f>
        <v>1177.8000000000002</v>
      </c>
      <c r="S139" s="455">
        <f t="shared" si="56"/>
        <v>1.1499999999999999</v>
      </c>
      <c r="T139" s="449">
        <f t="shared" si="57"/>
        <v>4.5999999999999996</v>
      </c>
      <c r="U139" s="195"/>
      <c r="V139" s="445">
        <f t="shared" si="47"/>
        <v>1.1333940276124999</v>
      </c>
      <c r="W139" s="446">
        <f t="shared" si="58"/>
        <v>5</v>
      </c>
      <c r="X139" s="447">
        <f t="shared" si="81"/>
        <v>0.88929351741666729</v>
      </c>
      <c r="Y139" s="448">
        <f t="shared" si="59"/>
        <v>1</v>
      </c>
      <c r="Z139" s="449">
        <f t="shared" si="48"/>
        <v>0.11070648258333271</v>
      </c>
      <c r="AA139" s="449">
        <f t="shared" si="82"/>
        <v>0</v>
      </c>
      <c r="AB139" s="451">
        <f t="shared" si="60"/>
        <v>1</v>
      </c>
      <c r="AC139" s="449">
        <f t="shared" si="49"/>
        <v>-1.6605972387500056E-2</v>
      </c>
      <c r="AD139" s="449">
        <f t="shared" si="50"/>
        <v>-6.6423889550000226E-2</v>
      </c>
      <c r="AE139" s="448">
        <f t="shared" si="83"/>
        <v>5.569999999999995</v>
      </c>
      <c r="AF139" s="449">
        <f t="shared" si="84"/>
        <v>-0.60000000000000497</v>
      </c>
      <c r="AG139" s="449">
        <f t="shared" si="51"/>
        <v>1.1333940276124999</v>
      </c>
      <c r="AH139" s="449">
        <f t="shared" si="52"/>
        <v>4.5335761104499994</v>
      </c>
      <c r="AI139" s="448"/>
      <c r="AJ139" s="449">
        <f t="shared" si="61"/>
        <v>0.6</v>
      </c>
      <c r="AK139" s="450">
        <f t="shared" si="53"/>
        <v>39</v>
      </c>
      <c r="AL139" s="449">
        <f t="shared" si="85"/>
        <v>34.559539117913317</v>
      </c>
      <c r="AM139" s="451">
        <f>IF(ISERROR(VLOOKUP(C139,Riegos,2,FALSE)),VLOOKUP(C139,Riegos,2,FALSE),VLOOKUP($F$8,Nomen!$A$79:$B$80,2,FALSE)*IF(AND(H139&gt;120,D139&lt;0.45),0,IF(AQ138+AH139&gt;=AK139,MIN(AQ138,$AK$7),0)))</f>
        <v>5</v>
      </c>
      <c r="AN139" s="448">
        <f t="shared" si="62"/>
        <v>0</v>
      </c>
      <c r="AO139" s="448">
        <f t="shared" si="63"/>
        <v>1</v>
      </c>
      <c r="AP139" s="449">
        <f t="shared" si="64"/>
        <v>1.1333940276124999</v>
      </c>
      <c r="AQ139" s="449">
        <f t="shared" si="65"/>
        <v>34.559539117913317</v>
      </c>
      <c r="AR139" s="449">
        <f t="shared" si="86"/>
        <v>124.42633976662647</v>
      </c>
      <c r="AS139" s="449">
        <f t="shared" si="66"/>
        <v>4.5335761104499994</v>
      </c>
      <c r="AT139" s="449">
        <f t="shared" si="67"/>
        <v>262.18247340216283</v>
      </c>
      <c r="AU139" s="453">
        <f t="shared" si="68"/>
        <v>145</v>
      </c>
      <c r="AV139" s="145">
        <f t="shared" si="69"/>
        <v>106.50000000000001</v>
      </c>
      <c r="AW139" s="178">
        <f t="shared" si="70"/>
        <v>0</v>
      </c>
      <c r="AX139" s="179">
        <f t="shared" si="71"/>
        <v>0</v>
      </c>
      <c r="AY139" s="145">
        <f t="shared" si="87"/>
        <v>0.88175925833333391</v>
      </c>
      <c r="AZ139" s="145">
        <f t="shared" si="72"/>
        <v>4.4905555500000034</v>
      </c>
      <c r="BA139" s="145">
        <f t="shared" si="73"/>
        <v>175.44147795604633</v>
      </c>
      <c r="BB139" s="145">
        <f t="shared" si="74"/>
        <v>0.17962222200000014</v>
      </c>
      <c r="BC139" s="145">
        <f t="shared" si="75"/>
        <v>7.017659118241852</v>
      </c>
      <c r="BD139" s="145">
        <f t="shared" si="76"/>
        <v>158.68251236893326</v>
      </c>
      <c r="BE139" s="145">
        <f t="shared" si="77"/>
        <v>2.2793516308295523</v>
      </c>
      <c r="BF139" s="145">
        <f t="shared" si="78"/>
        <v>4</v>
      </c>
    </row>
    <row r="140" spans="1:58">
      <c r="B140" s="116">
        <f t="shared" si="54"/>
        <v>137</v>
      </c>
      <c r="C140" s="69">
        <f t="shared" si="79"/>
        <v>42141</v>
      </c>
      <c r="D140" s="257">
        <f>IF(ISERROR(VLOOKUP($C140,'NDVI real'!$T$8:$U$313,2,FALSE)),VLOOKUP(SWB!C140,'NDVI tipo'!$T$8:$U$193,2),VLOOKUP($C140,'NDVI real'!$T$8:$U$313,2,FALSE))</f>
        <v>0.88220678916666728</v>
      </c>
      <c r="E140" s="170">
        <f t="shared" si="44"/>
        <v>5</v>
      </c>
      <c r="F140" s="170">
        <f t="shared" si="45"/>
        <v>17</v>
      </c>
      <c r="G140" s="170">
        <f t="shared" si="46"/>
        <v>2015</v>
      </c>
      <c r="H140" s="170">
        <f t="shared" si="55"/>
        <v>137</v>
      </c>
      <c r="I140" s="190">
        <f>IF(ISERROR(VLOOKUP($C140,Clima!$U$8:$AH$900,3,FALSE)),VLOOKUP($C140,Clima!$D$8:$R$900,3),VLOOKUP($C140,Clima!$U$8:$AH$900,3,FALSE))</f>
        <v>14.9</v>
      </c>
      <c r="J140" s="191"/>
      <c r="K140" s="170"/>
      <c r="L140" s="192">
        <f>IF(ISERROR(VLOOKUP($C140,Clima!$U$8:$AH$900,14,FALSE)),VLOOKUP($C140,Clima!$D$8:$R$900,14),VLOOKUP($C140,Clima!$U$8:$AH$900,14,FALSE))</f>
        <v>4.5</v>
      </c>
      <c r="M140" s="190"/>
      <c r="N140" s="190"/>
      <c r="O140" s="191"/>
      <c r="P140" s="191">
        <f>IF(ISERROR(VLOOKUP($C140,Clima!$W$8:$AH$350,12,FALSE)),VLOOKUP($C140,Clima!$E$8:$P$350,12),VLOOKUP($C140,Clima!$W$8:$AH$350,12,FALSE))</f>
        <v>0</v>
      </c>
      <c r="Q140" s="170">
        <f t="shared" si="80"/>
        <v>217.67992245992022</v>
      </c>
      <c r="R140" s="254">
        <f>VLOOKUP(C140,Clima!$V$8:$AH$900,3,FALSE)+R139</f>
        <v>1196.4000000000001</v>
      </c>
      <c r="S140" s="455">
        <f t="shared" si="56"/>
        <v>1.1499999999999999</v>
      </c>
      <c r="T140" s="449">
        <f t="shared" si="57"/>
        <v>5.1749999999999998</v>
      </c>
      <c r="U140" s="195"/>
      <c r="V140" s="445">
        <f t="shared" si="47"/>
        <v>1.13347391186625</v>
      </c>
      <c r="W140" s="446">
        <f t="shared" si="58"/>
        <v>5</v>
      </c>
      <c r="X140" s="447">
        <f t="shared" si="81"/>
        <v>0.889826079108334</v>
      </c>
      <c r="Y140" s="448">
        <f t="shared" si="59"/>
        <v>1</v>
      </c>
      <c r="Z140" s="449">
        <f t="shared" si="48"/>
        <v>0.110173920891666</v>
      </c>
      <c r="AA140" s="449">
        <f t="shared" si="82"/>
        <v>0</v>
      </c>
      <c r="AB140" s="451">
        <f t="shared" si="60"/>
        <v>0.88888888888888884</v>
      </c>
      <c r="AC140" s="449">
        <f t="shared" si="49"/>
        <v>-1.4689856118888794E-2</v>
      </c>
      <c r="AD140" s="449">
        <f t="shared" si="50"/>
        <v>-6.6104352534999578E-2</v>
      </c>
      <c r="AE140" s="448">
        <f t="shared" si="83"/>
        <v>5.600000000000005</v>
      </c>
      <c r="AF140" s="449">
        <f t="shared" si="84"/>
        <v>-0.59999999999999964</v>
      </c>
      <c r="AG140" s="449">
        <f t="shared" si="51"/>
        <v>1.1353101438811111</v>
      </c>
      <c r="AH140" s="449">
        <f t="shared" si="52"/>
        <v>5.1088956474649994</v>
      </c>
      <c r="AI140" s="448"/>
      <c r="AJ140" s="449">
        <f t="shared" si="61"/>
        <v>0.6</v>
      </c>
      <c r="AK140" s="450">
        <f t="shared" si="53"/>
        <v>39</v>
      </c>
      <c r="AL140" s="449">
        <f t="shared" si="85"/>
        <v>34.668434765378315</v>
      </c>
      <c r="AM140" s="451">
        <f>IF(ISERROR(VLOOKUP(C140,Riegos,2,FALSE)),VLOOKUP(C140,Riegos,2,FALSE),VLOOKUP($F$8,Nomen!$A$79:$B$80,2,FALSE)*IF(AND(H140&gt;120,D140&lt;0.45),0,IF(AQ139+AH140&gt;=AK140,MIN(AQ139,$AK$7),0)))</f>
        <v>5</v>
      </c>
      <c r="AN140" s="448">
        <f t="shared" si="62"/>
        <v>0</v>
      </c>
      <c r="AO140" s="448">
        <f t="shared" si="63"/>
        <v>1</v>
      </c>
      <c r="AP140" s="449">
        <f t="shared" si="64"/>
        <v>1.1353101438811111</v>
      </c>
      <c r="AQ140" s="449">
        <f t="shared" si="65"/>
        <v>34.668434765378315</v>
      </c>
      <c r="AR140" s="449">
        <f t="shared" si="86"/>
        <v>125.42633976662647</v>
      </c>
      <c r="AS140" s="449">
        <f t="shared" si="66"/>
        <v>5.1088956474649994</v>
      </c>
      <c r="AT140" s="449">
        <f t="shared" si="67"/>
        <v>267.2913690496278</v>
      </c>
      <c r="AU140" s="453">
        <f t="shared" si="68"/>
        <v>150</v>
      </c>
      <c r="AV140" s="145">
        <f t="shared" si="69"/>
        <v>106.50000000000001</v>
      </c>
      <c r="AW140" s="178">
        <f t="shared" si="70"/>
        <v>0</v>
      </c>
      <c r="AX140" s="179">
        <f t="shared" si="71"/>
        <v>0</v>
      </c>
      <c r="AY140" s="145">
        <f t="shared" si="87"/>
        <v>0.88220678916666728</v>
      </c>
      <c r="AZ140" s="145">
        <f t="shared" si="72"/>
        <v>5.0548958268750042</v>
      </c>
      <c r="BA140" s="145">
        <f t="shared" si="73"/>
        <v>180.49637378292132</v>
      </c>
      <c r="BB140" s="145">
        <f t="shared" si="74"/>
        <v>0.20219583307500016</v>
      </c>
      <c r="BC140" s="145">
        <f t="shared" si="75"/>
        <v>7.2198549513168517</v>
      </c>
      <c r="BD140" s="145">
        <f t="shared" si="76"/>
        <v>161.21768095098415</v>
      </c>
      <c r="BE140" s="145">
        <f t="shared" si="77"/>
        <v>2.5351685820508862</v>
      </c>
      <c r="BF140" s="145">
        <f t="shared" si="78"/>
        <v>4.5</v>
      </c>
    </row>
    <row r="141" spans="1:58">
      <c r="B141" s="116">
        <f t="shared" si="54"/>
        <v>138</v>
      </c>
      <c r="C141" s="69">
        <f t="shared" si="79"/>
        <v>42142</v>
      </c>
      <c r="D141" s="257">
        <f>IF(ISERROR(VLOOKUP($C141,'NDVI real'!$T$8:$U$313,2,FALSE)),VLOOKUP(SWB!C141,'NDVI tipo'!$T$8:$U$193,2),VLOOKUP($C141,'NDVI real'!$T$8:$U$313,2,FALSE))</f>
        <v>0.88265432000000066</v>
      </c>
      <c r="E141" s="170">
        <f t="shared" si="44"/>
        <v>5</v>
      </c>
      <c r="F141" s="170">
        <f t="shared" si="45"/>
        <v>18</v>
      </c>
      <c r="G141" s="170">
        <f t="shared" si="46"/>
        <v>2015</v>
      </c>
      <c r="H141" s="170">
        <f t="shared" si="55"/>
        <v>138</v>
      </c>
      <c r="I141" s="190">
        <f>IF(ISERROR(VLOOKUP($C141,Clima!$U$8:$AH$900,3,FALSE)),VLOOKUP($C141,Clima!$D$8:$R$900,3),VLOOKUP($C141,Clima!$U$8:$AH$900,3,FALSE))</f>
        <v>15.8</v>
      </c>
      <c r="J141" s="191"/>
      <c r="K141" s="170"/>
      <c r="L141" s="192">
        <f>IF(ISERROR(VLOOKUP($C141,Clima!$U$8:$AH$900,14,FALSE)),VLOOKUP($C141,Clima!$D$8:$R$900,14),VLOOKUP($C141,Clima!$U$8:$AH$900,14,FALSE))</f>
        <v>4.5</v>
      </c>
      <c r="M141" s="190"/>
      <c r="N141" s="190"/>
      <c r="O141" s="191"/>
      <c r="P141" s="191">
        <f>IF(ISERROR(VLOOKUP($C141,Clima!$W$8:$AH$350,12,FALSE)),VLOOKUP($C141,Clima!$E$8:$P$350,12),VLOOKUP($C141,Clima!$W$8:$AH$350,12,FALSE))</f>
        <v>0</v>
      </c>
      <c r="Q141" s="170">
        <f t="shared" si="80"/>
        <v>222.85492245992023</v>
      </c>
      <c r="R141" s="254">
        <f>VLOOKUP(C141,Clima!$V$8:$AH$900,3,FALSE)+R140</f>
        <v>1215.9000000000001</v>
      </c>
      <c r="S141" s="455">
        <f t="shared" si="56"/>
        <v>1.1499999999999999</v>
      </c>
      <c r="T141" s="449">
        <f t="shared" si="57"/>
        <v>5.1749999999999998</v>
      </c>
      <c r="U141" s="195"/>
      <c r="V141" s="445">
        <f t="shared" si="47"/>
        <v>1.1335537961200002</v>
      </c>
      <c r="W141" s="446">
        <f t="shared" si="58"/>
        <v>5</v>
      </c>
      <c r="X141" s="447">
        <f t="shared" si="81"/>
        <v>0.89035864080000071</v>
      </c>
      <c r="Y141" s="448">
        <f t="shared" si="59"/>
        <v>1</v>
      </c>
      <c r="Z141" s="449">
        <f t="shared" si="48"/>
        <v>0.10964135919999929</v>
      </c>
      <c r="AA141" s="449">
        <f t="shared" si="82"/>
        <v>0</v>
      </c>
      <c r="AB141" s="451">
        <f t="shared" si="60"/>
        <v>0.88888888888888884</v>
      </c>
      <c r="AC141" s="449">
        <f t="shared" si="49"/>
        <v>-1.4618847893333094E-2</v>
      </c>
      <c r="AD141" s="449">
        <f t="shared" si="50"/>
        <v>-6.5784815519998929E-2</v>
      </c>
      <c r="AE141" s="448">
        <f t="shared" si="83"/>
        <v>5.6</v>
      </c>
      <c r="AF141" s="449">
        <f t="shared" si="84"/>
        <v>-0.59999999999999432</v>
      </c>
      <c r="AG141" s="449">
        <f t="shared" si="51"/>
        <v>1.1353811521066668</v>
      </c>
      <c r="AH141" s="449">
        <f t="shared" si="52"/>
        <v>5.1092151844800009</v>
      </c>
      <c r="AI141" s="448"/>
      <c r="AJ141" s="449">
        <f t="shared" si="61"/>
        <v>0.6</v>
      </c>
      <c r="AK141" s="450">
        <f t="shared" si="53"/>
        <v>39</v>
      </c>
      <c r="AL141" s="449">
        <f t="shared" si="85"/>
        <v>34.777649949858315</v>
      </c>
      <c r="AM141" s="451">
        <f>IF(ISERROR(VLOOKUP(C141,Riegos,2,FALSE)),VLOOKUP(C141,Riegos,2,FALSE),VLOOKUP($F$8,Nomen!$A$79:$B$80,2,FALSE)*IF(AND(H141&gt;120,D141&lt;0.45),0,IF(AQ140+AH141&gt;=AK141,MIN(AQ140,$AK$7),0)))</f>
        <v>5</v>
      </c>
      <c r="AN141" s="448">
        <f t="shared" si="62"/>
        <v>0</v>
      </c>
      <c r="AO141" s="448">
        <f t="shared" si="63"/>
        <v>1</v>
      </c>
      <c r="AP141" s="449">
        <f t="shared" si="64"/>
        <v>1.1353811521066668</v>
      </c>
      <c r="AQ141" s="449">
        <f t="shared" si="65"/>
        <v>34.777649949858315</v>
      </c>
      <c r="AR141" s="449">
        <f t="shared" si="86"/>
        <v>126.42633976662647</v>
      </c>
      <c r="AS141" s="449">
        <f t="shared" si="66"/>
        <v>5.1092151844800009</v>
      </c>
      <c r="AT141" s="449">
        <f t="shared" si="67"/>
        <v>272.40058423410778</v>
      </c>
      <c r="AU141" s="453">
        <f t="shared" si="68"/>
        <v>155</v>
      </c>
      <c r="AV141" s="145">
        <f t="shared" si="69"/>
        <v>106.50000000000001</v>
      </c>
      <c r="AW141" s="178">
        <f t="shared" si="70"/>
        <v>0</v>
      </c>
      <c r="AX141" s="179">
        <f t="shared" si="71"/>
        <v>0</v>
      </c>
      <c r="AY141" s="145">
        <f t="shared" si="87"/>
        <v>0.88265432000000066</v>
      </c>
      <c r="AZ141" s="145">
        <f t="shared" si="72"/>
        <v>5.0579166600000045</v>
      </c>
      <c r="BA141" s="145">
        <f t="shared" si="73"/>
        <v>185.55429044292134</v>
      </c>
      <c r="BB141" s="145">
        <f t="shared" si="74"/>
        <v>0.20231666640000018</v>
      </c>
      <c r="BC141" s="145">
        <f t="shared" si="75"/>
        <v>7.4221716177168515</v>
      </c>
      <c r="BD141" s="145">
        <f t="shared" si="76"/>
        <v>163.72314388401861</v>
      </c>
      <c r="BE141" s="145">
        <f t="shared" si="77"/>
        <v>2.5054629330344653</v>
      </c>
      <c r="BF141" s="145">
        <f t="shared" si="78"/>
        <v>4.5</v>
      </c>
    </row>
    <row r="142" spans="1:58">
      <c r="B142" s="116">
        <f t="shared" si="54"/>
        <v>139</v>
      </c>
      <c r="C142" s="69">
        <f t="shared" si="79"/>
        <v>42143</v>
      </c>
      <c r="D142" s="257">
        <f>IF(ISERROR(VLOOKUP($C142,'NDVI real'!$T$8:$U$313,2,FALSE)),VLOOKUP(SWB!C142,'NDVI tipo'!$T$8:$U$193,2),VLOOKUP($C142,'NDVI real'!$T$8:$U$313,2,FALSE))</f>
        <v>0.88310185083333403</v>
      </c>
      <c r="E142" s="170">
        <f t="shared" si="44"/>
        <v>5</v>
      </c>
      <c r="F142" s="170">
        <f t="shared" si="45"/>
        <v>19</v>
      </c>
      <c r="G142" s="170">
        <f t="shared" si="46"/>
        <v>2015</v>
      </c>
      <c r="H142" s="170">
        <f t="shared" si="55"/>
        <v>139</v>
      </c>
      <c r="I142" s="190">
        <f>IF(ISERROR(VLOOKUP($C142,Clima!$U$8:$AH$900,3,FALSE)),VLOOKUP($C142,Clima!$D$8:$R$900,3),VLOOKUP($C142,Clima!$U$8:$AH$900,3,FALSE))</f>
        <v>16.399999999999999</v>
      </c>
      <c r="J142" s="191"/>
      <c r="K142" s="170"/>
      <c r="L142" s="192">
        <f>IF(ISERROR(VLOOKUP($C142,Clima!$U$8:$AH$900,14,FALSE)),VLOOKUP($C142,Clima!$D$8:$R$900,14),VLOOKUP($C142,Clima!$U$8:$AH$900,14,FALSE))</f>
        <v>4.8</v>
      </c>
      <c r="M142" s="190"/>
      <c r="N142" s="190"/>
      <c r="O142" s="191"/>
      <c r="P142" s="191">
        <f>IF(ISERROR(VLOOKUP($C142,Clima!$W$8:$AH$350,12,FALSE)),VLOOKUP($C142,Clima!$E$8:$P$350,12),VLOOKUP($C142,Clima!$W$8:$AH$350,12,FALSE))</f>
        <v>17.399999999999999</v>
      </c>
      <c r="Q142" s="170">
        <f t="shared" si="80"/>
        <v>228.37492245992024</v>
      </c>
      <c r="R142" s="254">
        <f>VLOOKUP(C142,Clima!$V$8:$AH$900,3,FALSE)+R141</f>
        <v>1232.8000000000002</v>
      </c>
      <c r="S142" s="455">
        <f t="shared" si="56"/>
        <v>1.1499999999999999</v>
      </c>
      <c r="T142" s="449">
        <f t="shared" si="57"/>
        <v>5.52</v>
      </c>
      <c r="U142" s="195"/>
      <c r="V142" s="445">
        <f t="shared" si="47"/>
        <v>1.1336336803737499</v>
      </c>
      <c r="W142" s="446">
        <f t="shared" si="58"/>
        <v>5</v>
      </c>
      <c r="X142" s="447">
        <f t="shared" si="81"/>
        <v>0.89089120249166742</v>
      </c>
      <c r="Y142" s="448">
        <f t="shared" si="59"/>
        <v>1</v>
      </c>
      <c r="Z142" s="449">
        <f t="shared" si="48"/>
        <v>0.10910879750833258</v>
      </c>
      <c r="AA142" s="449">
        <f t="shared" si="82"/>
        <v>0</v>
      </c>
      <c r="AB142" s="451">
        <f t="shared" si="60"/>
        <v>0.83333333333333337</v>
      </c>
      <c r="AC142" s="449">
        <f t="shared" si="49"/>
        <v>-1.363859968854168E-2</v>
      </c>
      <c r="AD142" s="449">
        <f t="shared" si="50"/>
        <v>-6.5465278505000057E-2</v>
      </c>
      <c r="AE142" s="448">
        <f t="shared" si="83"/>
        <v>22.999999999999993</v>
      </c>
      <c r="AF142" s="449">
        <f t="shared" si="84"/>
        <v>-0.60000000000000497</v>
      </c>
      <c r="AG142" s="449">
        <f t="shared" si="51"/>
        <v>1.1363614003114582</v>
      </c>
      <c r="AH142" s="449">
        <f t="shared" si="52"/>
        <v>5.4545347214949986</v>
      </c>
      <c r="AI142" s="448"/>
      <c r="AJ142" s="449">
        <f t="shared" si="61"/>
        <v>0.6</v>
      </c>
      <c r="AK142" s="450">
        <f t="shared" si="53"/>
        <v>39</v>
      </c>
      <c r="AL142" s="449">
        <f t="shared" si="85"/>
        <v>17.832184671353314</v>
      </c>
      <c r="AM142" s="451">
        <f>IF(ISERROR(VLOOKUP(C142,Riegos,2,FALSE)),VLOOKUP(C142,Riegos,2,FALSE),VLOOKUP($F$8,Nomen!$A$79:$B$80,2,FALSE)*IF(AND(H142&gt;120,D142&lt;0.45),0,IF(AQ141+AH142&gt;=AK142,MIN(AQ141,$AK$7),0)))</f>
        <v>5</v>
      </c>
      <c r="AN142" s="448">
        <f t="shared" si="62"/>
        <v>0</v>
      </c>
      <c r="AO142" s="448">
        <f t="shared" si="63"/>
        <v>1</v>
      </c>
      <c r="AP142" s="449">
        <f t="shared" si="64"/>
        <v>1.1363614003114582</v>
      </c>
      <c r="AQ142" s="449">
        <f t="shared" si="65"/>
        <v>17.832184671353314</v>
      </c>
      <c r="AR142" s="449">
        <f t="shared" si="86"/>
        <v>127.42633976662647</v>
      </c>
      <c r="AS142" s="449">
        <f t="shared" si="66"/>
        <v>5.4545347214949986</v>
      </c>
      <c r="AT142" s="449">
        <f t="shared" si="67"/>
        <v>277.85511895560279</v>
      </c>
      <c r="AU142" s="453">
        <f t="shared" si="68"/>
        <v>160</v>
      </c>
      <c r="AV142" s="145">
        <f t="shared" si="69"/>
        <v>123.9</v>
      </c>
      <c r="AW142" s="178">
        <f t="shared" si="70"/>
        <v>0</v>
      </c>
      <c r="AX142" s="179">
        <f t="shared" si="71"/>
        <v>0</v>
      </c>
      <c r="AY142" s="145">
        <f t="shared" si="87"/>
        <v>0.88310185083333403</v>
      </c>
      <c r="AZ142" s="145">
        <f t="shared" si="72"/>
        <v>5.3983333260000057</v>
      </c>
      <c r="BA142" s="145">
        <f t="shared" si="73"/>
        <v>190.95262376892134</v>
      </c>
      <c r="BB142" s="145">
        <f t="shared" si="74"/>
        <v>0.21593333304000023</v>
      </c>
      <c r="BC142" s="145">
        <f t="shared" si="75"/>
        <v>7.6381049507568521</v>
      </c>
      <c r="BD142" s="145">
        <f t="shared" si="76"/>
        <v>166.36415512339451</v>
      </c>
      <c r="BE142" s="145">
        <f t="shared" si="77"/>
        <v>2.6410112393758993</v>
      </c>
      <c r="BF142" s="145">
        <f t="shared" si="78"/>
        <v>4.8</v>
      </c>
    </row>
    <row r="143" spans="1:58">
      <c r="B143" s="116">
        <f t="shared" si="54"/>
        <v>140</v>
      </c>
      <c r="C143" s="69">
        <f t="shared" si="79"/>
        <v>42144</v>
      </c>
      <c r="D143" s="257">
        <f>IF(ISERROR(VLOOKUP($C143,'NDVI real'!$T$8:$U$313,2,FALSE)),VLOOKUP(SWB!C143,'NDVI tipo'!$T$8:$U$193,2),VLOOKUP($C143,'NDVI real'!$T$8:$U$313,2,FALSE))</f>
        <v>0.88354938166666741</v>
      </c>
      <c r="E143" s="170">
        <f t="shared" ref="E143:E202" si="88">MONTH(C143)</f>
        <v>5</v>
      </c>
      <c r="F143" s="170">
        <f t="shared" ref="F143:F202" si="89">DAY(C143)</f>
        <v>20</v>
      </c>
      <c r="G143" s="170">
        <f t="shared" ref="G143:G202" si="90">YEAR(C143)</f>
        <v>2015</v>
      </c>
      <c r="H143" s="170">
        <f t="shared" si="55"/>
        <v>140</v>
      </c>
      <c r="I143" s="190">
        <f>IF(ISERROR(VLOOKUP($C143,Clima!$U$8:$AH$900,3,FALSE)),VLOOKUP($C143,Clima!$D$8:$R$900,3),VLOOKUP($C143,Clima!$U$8:$AH$900,3,FALSE))</f>
        <v>17.100000000000001</v>
      </c>
      <c r="J143" s="191"/>
      <c r="K143" s="170"/>
      <c r="L143" s="192">
        <f>IF(ISERROR(VLOOKUP($C143,Clima!$U$8:$AH$900,14,FALSE)),VLOOKUP($C143,Clima!$D$8:$R$900,14),VLOOKUP($C143,Clima!$U$8:$AH$900,14,FALSE))</f>
        <v>5.5</v>
      </c>
      <c r="M143" s="190"/>
      <c r="N143" s="190"/>
      <c r="O143" s="191"/>
      <c r="P143" s="191">
        <f>IF(ISERROR(VLOOKUP($C143,Clima!$W$8:$AH$350,12,FALSE)),VLOOKUP($C143,Clima!$E$8:$P$350,12),VLOOKUP($C143,Clima!$W$8:$AH$350,12,FALSE))</f>
        <v>0</v>
      </c>
      <c r="Q143" s="170">
        <f t="shared" si="80"/>
        <v>234.69992245992023</v>
      </c>
      <c r="R143" s="254">
        <f>VLOOKUP(C143,Clima!$V$8:$AH$900,3,FALSE)+R142</f>
        <v>1246.7000000000003</v>
      </c>
      <c r="S143" s="455">
        <f t="shared" si="56"/>
        <v>1.1499999999999999</v>
      </c>
      <c r="T143" s="449">
        <f t="shared" si="57"/>
        <v>6.3249999999999993</v>
      </c>
      <c r="U143" s="195"/>
      <c r="V143" s="445">
        <f t="shared" ref="V143:V202" si="91">X143*$V$10+(1-X143)*$V$12</f>
        <v>1.1337135646275001</v>
      </c>
      <c r="W143" s="446">
        <f t="shared" si="58"/>
        <v>5</v>
      </c>
      <c r="X143" s="447">
        <f t="shared" si="81"/>
        <v>0.89142376418333413</v>
      </c>
      <c r="Y143" s="448">
        <f t="shared" si="59"/>
        <v>1</v>
      </c>
      <c r="Z143" s="449">
        <f t="shared" ref="Z143:Z202" si="92">MIN(1-X143,Y143)</f>
        <v>0.10857623581666587</v>
      </c>
      <c r="AA143" s="449">
        <f t="shared" si="82"/>
        <v>0</v>
      </c>
      <c r="AB143" s="451">
        <f t="shared" si="60"/>
        <v>0.72727272727272729</v>
      </c>
      <c r="AC143" s="449">
        <f t="shared" ref="AC143:AC202" si="93">MIN(+AB143*(V143-S143),Z143*V143)</f>
        <v>-1.1844680270908984E-2</v>
      </c>
      <c r="AD143" s="449">
        <f t="shared" ref="AD143:AD202" si="94">AC143*L143</f>
        <v>-6.5145741489999409E-2</v>
      </c>
      <c r="AE143" s="448">
        <f t="shared" si="83"/>
        <v>5.600000000000005</v>
      </c>
      <c r="AF143" s="449">
        <f t="shared" si="84"/>
        <v>-0.59999999999999876</v>
      </c>
      <c r="AG143" s="449">
        <f t="shared" ref="AG143:AG202" si="95">S143+AC143</f>
        <v>1.138155319729091</v>
      </c>
      <c r="AH143" s="449">
        <f t="shared" ref="AH143:AH202" si="96">AG143*L143</f>
        <v>6.2598542585100008</v>
      </c>
      <c r="AI143" s="448"/>
      <c r="AJ143" s="449">
        <f t="shared" si="61"/>
        <v>0.6</v>
      </c>
      <c r="AK143" s="450">
        <f t="shared" ref="AK143:AK202" si="97">MAX(IF(H143&lt;V$4,AP$3,AP$4)/100*AJ143*$AK$5,AK142)</f>
        <v>39</v>
      </c>
      <c r="AL143" s="449">
        <f t="shared" si="85"/>
        <v>19.092038929863314</v>
      </c>
      <c r="AM143" s="451">
        <f>IF(ISERROR(VLOOKUP(C143,Riegos,2,FALSE)),VLOOKUP(C143,Riegos,2,FALSE),VLOOKUP($F$8,Nomen!$A$79:$B$80,2,FALSE)*IF(AND(H143&gt;120,D143&lt;0.45),0,IF(AQ142+AH143&gt;=AK143,MIN(AQ142,$AK$7),0)))</f>
        <v>0</v>
      </c>
      <c r="AN143" s="448">
        <f t="shared" si="62"/>
        <v>0</v>
      </c>
      <c r="AO143" s="448">
        <f t="shared" si="63"/>
        <v>1</v>
      </c>
      <c r="AP143" s="449">
        <f t="shared" si="64"/>
        <v>1.138155319729091</v>
      </c>
      <c r="AQ143" s="449">
        <f t="shared" si="65"/>
        <v>19.092038929863314</v>
      </c>
      <c r="AR143" s="449">
        <f t="shared" si="86"/>
        <v>128.42633976662648</v>
      </c>
      <c r="AS143" s="449">
        <f t="shared" si="66"/>
        <v>6.2598542585100008</v>
      </c>
      <c r="AT143" s="449">
        <f t="shared" si="67"/>
        <v>284.11497321411281</v>
      </c>
      <c r="AU143" s="453">
        <f t="shared" si="68"/>
        <v>160</v>
      </c>
      <c r="AV143" s="145">
        <f t="shared" si="69"/>
        <v>123.9</v>
      </c>
      <c r="AW143" s="178">
        <f t="shared" si="70"/>
        <v>0</v>
      </c>
      <c r="AX143" s="179">
        <f t="shared" si="71"/>
        <v>0</v>
      </c>
      <c r="AY143" s="145">
        <f t="shared" si="87"/>
        <v>0.88354938166666741</v>
      </c>
      <c r="AZ143" s="145">
        <f t="shared" si="72"/>
        <v>6.1892823987500059</v>
      </c>
      <c r="BA143" s="145">
        <f t="shared" si="73"/>
        <v>197.14190616767135</v>
      </c>
      <c r="BB143" s="145">
        <f t="shared" si="74"/>
        <v>0.24757129595000024</v>
      </c>
      <c r="BC143" s="145">
        <f t="shared" si="75"/>
        <v>7.8856762467068524</v>
      </c>
      <c r="BD143" s="145">
        <f t="shared" si="76"/>
        <v>169.35183707092628</v>
      </c>
      <c r="BE143" s="145">
        <f t="shared" si="77"/>
        <v>2.9876819475317689</v>
      </c>
      <c r="BF143" s="145">
        <f t="shared" si="78"/>
        <v>5.5</v>
      </c>
    </row>
    <row r="144" spans="1:58">
      <c r="B144" s="116">
        <f t="shared" ref="B144:B202" si="98">INT(275*E144/9-30+F144)+IF(E144&gt;2,-2,0)+IF(MOD(G144,4)=0,IF(E144&gt;2,1,0),0)</f>
        <v>141</v>
      </c>
      <c r="C144" s="69">
        <f t="shared" si="79"/>
        <v>42145</v>
      </c>
      <c r="D144" s="257">
        <f>IF(ISERROR(VLOOKUP($C144,'NDVI real'!$T$8:$U$313,2,FALSE)),VLOOKUP(SWB!C144,'NDVI tipo'!$T$8:$U$193,2),VLOOKUP($C144,'NDVI real'!$T$8:$U$313,2,FALSE))</f>
        <v>0.88399691250000079</v>
      </c>
      <c r="E144" s="170">
        <f t="shared" si="88"/>
        <v>5</v>
      </c>
      <c r="F144" s="170">
        <f t="shared" si="89"/>
        <v>21</v>
      </c>
      <c r="G144" s="170">
        <f t="shared" si="90"/>
        <v>2015</v>
      </c>
      <c r="H144" s="170">
        <f t="shared" ref="H144:H202" si="99">INT(275*E144/9-30+F144)+IF(E144&gt;2,-2,0)+IF(MOD(G144,4)=0,IF(E144&gt;2,1,0),0)</f>
        <v>141</v>
      </c>
      <c r="I144" s="190">
        <f>IF(ISERROR(VLOOKUP($C144,Clima!$U$8:$AH$900,3,FALSE)),VLOOKUP($C144,Clima!$D$8:$R$900,3),VLOOKUP($C144,Clima!$U$8:$AH$900,3,FALSE))</f>
        <v>17.8</v>
      </c>
      <c r="J144" s="191"/>
      <c r="K144" s="170"/>
      <c r="L144" s="192">
        <f>IF(ISERROR(VLOOKUP($C144,Clima!$U$8:$AH$900,14,FALSE)),VLOOKUP($C144,Clima!$D$8:$R$900,14),VLOOKUP($C144,Clima!$U$8:$AH$900,14,FALSE))</f>
        <v>5.3</v>
      </c>
      <c r="M144" s="190"/>
      <c r="N144" s="190"/>
      <c r="O144" s="191"/>
      <c r="P144" s="191">
        <f>IF(ISERROR(VLOOKUP($C144,Clima!$W$8:$AH$350,12,FALSE)),VLOOKUP($C144,Clima!$E$8:$P$350,12),VLOOKUP($C144,Clima!$W$8:$AH$350,12,FALSE))</f>
        <v>0</v>
      </c>
      <c r="Q144" s="170">
        <f t="shared" si="80"/>
        <v>240.79492245992023</v>
      </c>
      <c r="R144" s="254">
        <f>VLOOKUP(C144,Clima!$V$8:$AH$900,3,FALSE)+R143</f>
        <v>1260.5000000000002</v>
      </c>
      <c r="S144" s="455">
        <f t="shared" ref="S144:S202" si="100">MIN($V$10,D144*1.44-0.1)</f>
        <v>1.1499999999999999</v>
      </c>
      <c r="T144" s="449">
        <f t="shared" ref="T144:T202" si="101">S144*L144</f>
        <v>6.0949999999999998</v>
      </c>
      <c r="U144" s="195"/>
      <c r="V144" s="445">
        <f t="shared" si="91"/>
        <v>1.1337934488812502</v>
      </c>
      <c r="W144" s="446">
        <f t="shared" ref="W144:W202" si="102">IF(AM143&gt;0,AM143/$AC$3,0)</f>
        <v>0</v>
      </c>
      <c r="X144" s="447">
        <f t="shared" si="81"/>
        <v>0.89195632587500084</v>
      </c>
      <c r="Y144" s="448">
        <f t="shared" ref="Y144:Y202" si="103">IF(W144&gt;0,AC$3,IF(P144&gt;0,1,Y143))</f>
        <v>1</v>
      </c>
      <c r="Z144" s="449">
        <f t="shared" si="92"/>
        <v>0.10804367412499916</v>
      </c>
      <c r="AA144" s="449">
        <f t="shared" si="82"/>
        <v>0</v>
      </c>
      <c r="AB144" s="451">
        <f t="shared" ref="AB144:AB202" si="104">MAX(IF(AA144&lt;$AC$4,IF(L144&gt;$AC$4,($AC$4)/L144,1),MIN(($AC$4)/L144,(($AC$5-AA144)*$AG$3)/($AC$5-$AC$4))),0)</f>
        <v>0.75471698113207553</v>
      </c>
      <c r="AC144" s="449">
        <f t="shared" si="93"/>
        <v>-1.2231359334905427E-2</v>
      </c>
      <c r="AD144" s="449">
        <f t="shared" si="94"/>
        <v>-6.4826204474998761E-2</v>
      </c>
      <c r="AE144" s="448">
        <f t="shared" si="83"/>
        <v>0.59999999999999876</v>
      </c>
      <c r="AF144" s="449">
        <f t="shared" si="84"/>
        <v>-0.59999999999999321</v>
      </c>
      <c r="AG144" s="449">
        <f t="shared" si="95"/>
        <v>1.1377686406650944</v>
      </c>
      <c r="AH144" s="449">
        <f t="shared" si="96"/>
        <v>6.0301737955250001</v>
      </c>
      <c r="AI144" s="448"/>
      <c r="AJ144" s="449">
        <f t="shared" ref="AJ144:AJ202" si="105">MIN($AK$4,MAX($AK$3,MAX((S144-$N$4)/($N$5-$N$4)*($AK$4-$AK$3)+$AK$3,AJ143)))</f>
        <v>0.6</v>
      </c>
      <c r="AK144" s="450">
        <f t="shared" si="97"/>
        <v>39</v>
      </c>
      <c r="AL144" s="449">
        <f t="shared" si="85"/>
        <v>25.122212725388316</v>
      </c>
      <c r="AM144" s="451">
        <f>IF(ISERROR(VLOOKUP(C144,Riegos,2,FALSE)),VLOOKUP(C144,Riegos,2,FALSE),VLOOKUP($F$8,Nomen!$A$79:$B$80,2,FALSE)*IF(AND(H144&gt;120,D144&lt;0.45),0,IF(AQ143+AH144&gt;=AK144,MIN(AQ143,$AK$7),0)))</f>
        <v>0</v>
      </c>
      <c r="AN144" s="448">
        <f t="shared" ref="AN144:AN202" si="106">MAX(+P144+AM143-AH144-AQ143,0)</f>
        <v>0</v>
      </c>
      <c r="AO144" s="448">
        <f t="shared" ref="AO144:AO202" si="107">MAX(0,IF(AL144&gt;AK144,(AJ144*AK$5-AL144)/(AJ144*AK$5-AK144),1))</f>
        <v>1</v>
      </c>
      <c r="AP144" s="449">
        <f t="shared" ref="AP144:AP202" si="108">AC144+S144*AO144</f>
        <v>1.1377686406650944</v>
      </c>
      <c r="AQ144" s="449">
        <f t="shared" ref="AQ144:AQ202" si="109">+AQ143-P144-AM143+AP144*L144+AN144</f>
        <v>25.122212725388316</v>
      </c>
      <c r="AR144" s="449">
        <f t="shared" si="86"/>
        <v>129.42633976662648</v>
      </c>
      <c r="AS144" s="449">
        <f t="shared" ref="AS144:AS202" si="110">AP144*L144</f>
        <v>6.0301737955250001</v>
      </c>
      <c r="AT144" s="449">
        <f t="shared" ref="AT144:AT202" si="111">AS144+AT143</f>
        <v>290.14514700963781</v>
      </c>
      <c r="AU144" s="453">
        <f t="shared" ref="AU144:AU202" si="112">AM144+AU143</f>
        <v>160</v>
      </c>
      <c r="AV144" s="145">
        <f t="shared" ref="AV144:AV202" si="113">P144+AV143</f>
        <v>123.9</v>
      </c>
      <c r="AW144" s="178">
        <f t="shared" ref="AW144:AW202" si="114">AW143+J144</f>
        <v>0</v>
      </c>
      <c r="AX144" s="179">
        <f t="shared" ref="AX144:AX202" si="115">AX143+O144</f>
        <v>0</v>
      </c>
      <c r="AY144" s="145">
        <f t="shared" si="87"/>
        <v>0.88399691250000079</v>
      </c>
      <c r="AZ144" s="145">
        <f t="shared" ref="AZ144:AZ202" si="116">IF($C144&gt;$BA$6,0,IF(AND(($D145-$D144)&gt;0,$D144&gt;$AZ$3,$D144&lt;$AZ$4),($D144*$BB$3+$BC$3)*L144,IF($D144&gt;$AZ$4,($D144*$BB$3+$BC$3)*L144,IF(AND(($D145-$D143)&gt;0,$D144&gt;$AZ$4),($D144*$BB$3+$BC$3)*L144,0))))</f>
        <v>5.9677754543750066</v>
      </c>
      <c r="BA144" s="145">
        <f t="shared" ref="BA144:BA202" si="117">IFERROR(AZ144+BA143,"")</f>
        <v>203.10968162204637</v>
      </c>
      <c r="BB144" s="145">
        <f t="shared" ref="BB144:BB202" si="118">(AZ144*$BB$4)/100</f>
        <v>0.23871101817500026</v>
      </c>
      <c r="BC144" s="145">
        <f t="shared" ref="BC144:BC202" si="119">IFERROR(BB144+BC143,"")</f>
        <v>8.124387264881852</v>
      </c>
      <c r="BD144" s="145">
        <f t="shared" ref="BD144:BD202" si="120">(IF(BC144&lt;13,((IF(BC144&lt;1,5.3,IFERROR(5.35*(BC144)^(-0.442),0)))/100),1.7/100))*BC144*1000</f>
        <v>172.19357635437385</v>
      </c>
      <c r="BE144" s="145">
        <f t="shared" ref="BE144:BE202" si="121">BD144-BD143</f>
        <v>2.8417392834475663</v>
      </c>
      <c r="BF144" s="145">
        <f t="shared" ref="BF144:BF202" si="122">IF(BB144&gt;0,L144,"")</f>
        <v>5.3</v>
      </c>
    </row>
    <row r="145" spans="2:58">
      <c r="B145" s="116">
        <f t="shared" si="98"/>
        <v>142</v>
      </c>
      <c r="C145" s="69">
        <f t="shared" ref="C145:C202" si="123">C144+1</f>
        <v>42146</v>
      </c>
      <c r="D145" s="257">
        <f>IF(ISERROR(VLOOKUP($C145,'NDVI real'!$T$8:$U$313,2,FALSE)),VLOOKUP(SWB!C145,'NDVI tipo'!$T$8:$U$193,2),VLOOKUP($C145,'NDVI real'!$T$8:$U$313,2,FALSE))</f>
        <v>0.88444444333333339</v>
      </c>
      <c r="E145" s="170">
        <f t="shared" si="88"/>
        <v>5</v>
      </c>
      <c r="F145" s="170">
        <f t="shared" si="89"/>
        <v>22</v>
      </c>
      <c r="G145" s="170">
        <f t="shared" si="90"/>
        <v>2015</v>
      </c>
      <c r="H145" s="170">
        <f t="shared" si="99"/>
        <v>142</v>
      </c>
      <c r="I145" s="190">
        <f>IF(ISERROR(VLOOKUP($C145,Clima!$U$8:$AH$900,3,FALSE)),VLOOKUP($C145,Clima!$D$8:$R$900,3),VLOOKUP($C145,Clima!$U$8:$AH$900,3,FALSE))</f>
        <v>18.8</v>
      </c>
      <c r="J145" s="191"/>
      <c r="K145" s="170"/>
      <c r="L145" s="192">
        <f>IF(ISERROR(VLOOKUP($C145,Clima!$U$8:$AH$900,14,FALSE)),VLOOKUP($C145,Clima!$D$8:$R$900,14),VLOOKUP($C145,Clima!$U$8:$AH$900,14,FALSE))</f>
        <v>5.8</v>
      </c>
      <c r="M145" s="190"/>
      <c r="N145" s="190"/>
      <c r="O145" s="191"/>
      <c r="P145" s="191">
        <f>IF(ISERROR(VLOOKUP($C145,Clima!$W$8:$AH$350,12,FALSE)),VLOOKUP($C145,Clima!$E$8:$P$350,12),VLOOKUP($C145,Clima!$W$8:$AH$350,12,FALSE))</f>
        <v>0</v>
      </c>
      <c r="Q145" s="170">
        <f t="shared" ref="Q145:Q202" si="124">S145*L145*AO145+Q144</f>
        <v>247.46492245992022</v>
      </c>
      <c r="R145" s="254">
        <f>VLOOKUP(C145,Clima!$V$8:$AH$900,3,FALSE)+R144</f>
        <v>1275.4000000000003</v>
      </c>
      <c r="S145" s="455">
        <f t="shared" si="100"/>
        <v>1.1499999999999999</v>
      </c>
      <c r="T145" s="449">
        <f t="shared" si="101"/>
        <v>6.669999999999999</v>
      </c>
      <c r="U145" s="195"/>
      <c r="V145" s="445">
        <f t="shared" si="91"/>
        <v>1.1338733331349999</v>
      </c>
      <c r="W145" s="446">
        <f t="shared" si="102"/>
        <v>0</v>
      </c>
      <c r="X145" s="447">
        <f t="shared" ref="X145:X202" si="125">MAX(X144,(1.19*D145)-0.16)</f>
        <v>0.89248888756666667</v>
      </c>
      <c r="Y145" s="448">
        <f t="shared" si="103"/>
        <v>1</v>
      </c>
      <c r="Z145" s="449">
        <f t="shared" si="92"/>
        <v>0.10751111243333333</v>
      </c>
      <c r="AA145" s="449">
        <f t="shared" ref="AA145:AA202" si="126">MAX(AF144-P145-W145,0)</f>
        <v>0</v>
      </c>
      <c r="AB145" s="451">
        <f t="shared" si="104"/>
        <v>0.68965517241379315</v>
      </c>
      <c r="AC145" s="449">
        <f t="shared" si="93"/>
        <v>-1.1121839217241362E-2</v>
      </c>
      <c r="AD145" s="449">
        <f t="shared" si="94"/>
        <v>-6.4506667459999903E-2</v>
      </c>
      <c r="AE145" s="448">
        <f t="shared" ref="AE145:AE202" si="127">MAX(P145+W145-AF144,0)</f>
        <v>0.59999999999999321</v>
      </c>
      <c r="AF145" s="449">
        <f t="shared" ref="AF145:AF202" si="128">AF144-P145-W145+AD145/Z145+AE145</f>
        <v>-0.59999999999999898</v>
      </c>
      <c r="AG145" s="449">
        <f t="shared" si="95"/>
        <v>1.1388781607827585</v>
      </c>
      <c r="AH145" s="449">
        <f t="shared" si="96"/>
        <v>6.6054933325399992</v>
      </c>
      <c r="AI145" s="448"/>
      <c r="AJ145" s="449">
        <f t="shared" si="105"/>
        <v>0.6</v>
      </c>
      <c r="AK145" s="450">
        <f t="shared" si="97"/>
        <v>39</v>
      </c>
      <c r="AL145" s="449">
        <f t="shared" ref="AL145:AL202" si="129">AQ144-P145-AM144+AH145</f>
        <v>31.727706057928316</v>
      </c>
      <c r="AM145" s="451">
        <f>IF(ISERROR(VLOOKUP(C145,Riegos,2,FALSE)),VLOOKUP(C145,Riegos,2,FALSE),VLOOKUP($F$8,Nomen!$A$79:$B$80,2,FALSE)*IF(AND(H145&gt;120,D145&lt;0.45),0,IF(AQ144+AH145&gt;=AK145,MIN(AQ144,$AK$7),0)))</f>
        <v>0</v>
      </c>
      <c r="AN145" s="448">
        <f t="shared" si="106"/>
        <v>0</v>
      </c>
      <c r="AO145" s="448">
        <f t="shared" si="107"/>
        <v>1</v>
      </c>
      <c r="AP145" s="449">
        <f t="shared" si="108"/>
        <v>1.1388781607827585</v>
      </c>
      <c r="AQ145" s="449">
        <f t="shared" si="109"/>
        <v>31.727706057928316</v>
      </c>
      <c r="AR145" s="449">
        <f t="shared" ref="AR145:AR202" si="130">AO145+AR144</f>
        <v>130.42633976662648</v>
      </c>
      <c r="AS145" s="449">
        <f t="shared" si="110"/>
        <v>6.6054933325399992</v>
      </c>
      <c r="AT145" s="449">
        <f t="shared" si="111"/>
        <v>296.7506403421778</v>
      </c>
      <c r="AU145" s="453">
        <f t="shared" si="112"/>
        <v>160</v>
      </c>
      <c r="AV145" s="145">
        <f t="shared" si="113"/>
        <v>123.9</v>
      </c>
      <c r="AW145" s="178">
        <f t="shared" si="114"/>
        <v>0</v>
      </c>
      <c r="AX145" s="179">
        <f t="shared" si="115"/>
        <v>0</v>
      </c>
      <c r="AY145" s="145">
        <f t="shared" ref="AY145:AY202" si="131">IF($C145&gt;$BA$6,"",IF(AND(($D146-$D145)&gt;0,$D145&gt;$AZ$3,$D145&lt;$AZ$4),$D145,IF($D145&gt;$AZ$4,$D145,IF(AND(($D146-$D144)&gt;0,$D145&gt;$AZ$4),$D145,""))))</f>
        <v>0.88444444333333339</v>
      </c>
      <c r="AZ145" s="145">
        <f t="shared" si="116"/>
        <v>6.5346666570000007</v>
      </c>
      <c r="BA145" s="145">
        <f t="shared" si="117"/>
        <v>209.64434827904637</v>
      </c>
      <c r="BB145" s="145">
        <f t="shared" si="118"/>
        <v>0.26138666628000001</v>
      </c>
      <c r="BC145" s="145">
        <f t="shared" si="119"/>
        <v>8.385773931161852</v>
      </c>
      <c r="BD145" s="145">
        <f t="shared" si="120"/>
        <v>175.26324962610545</v>
      </c>
      <c r="BE145" s="145">
        <f t="shared" si="121"/>
        <v>3.0696732717316024</v>
      </c>
      <c r="BF145" s="145">
        <f t="shared" si="122"/>
        <v>5.8</v>
      </c>
    </row>
    <row r="146" spans="2:58">
      <c r="B146" s="116">
        <f t="shared" si="98"/>
        <v>143</v>
      </c>
      <c r="C146" s="69">
        <f t="shared" si="123"/>
        <v>42147</v>
      </c>
      <c r="D146" s="257">
        <f>IF(ISERROR(VLOOKUP($C146,'NDVI real'!$T$8:$U$313,2,FALSE)),VLOOKUP(SWB!C146,'NDVI tipo'!$T$8:$U$193,2),VLOOKUP($C146,'NDVI real'!$T$8:$U$313,2,FALSE))</f>
        <v>0.8806867273611112</v>
      </c>
      <c r="E146" s="170">
        <f t="shared" si="88"/>
        <v>5</v>
      </c>
      <c r="F146" s="170">
        <f t="shared" si="89"/>
        <v>23</v>
      </c>
      <c r="G146" s="170">
        <f t="shared" si="90"/>
        <v>2015</v>
      </c>
      <c r="H146" s="170">
        <f t="shared" si="99"/>
        <v>143</v>
      </c>
      <c r="I146" s="190">
        <f>IF(ISERROR(VLOOKUP($C146,Clima!$U$8:$AH$900,3,FALSE)),VLOOKUP($C146,Clima!$D$8:$R$900,3),VLOOKUP($C146,Clima!$U$8:$AH$900,3,FALSE))</f>
        <v>16.899999999999999</v>
      </c>
      <c r="J146" s="191"/>
      <c r="K146" s="170"/>
      <c r="L146" s="192">
        <f>IF(ISERROR(VLOOKUP($C146,Clima!$U$8:$AH$900,14,FALSE)),VLOOKUP($C146,Clima!$D$8:$R$900,14),VLOOKUP($C146,Clima!$U$8:$AH$900,14,FALSE))</f>
        <v>5.2</v>
      </c>
      <c r="M146" s="190"/>
      <c r="N146" s="190"/>
      <c r="O146" s="191"/>
      <c r="P146" s="191">
        <f>IF(ISERROR(VLOOKUP($C146,Clima!$W$8:$AH$350,12,FALSE)),VLOOKUP($C146,Clima!$E$8:$P$350,12),VLOOKUP($C146,Clima!$W$8:$AH$350,12,FALSE))</f>
        <v>0</v>
      </c>
      <c r="Q146" s="170">
        <f t="shared" si="124"/>
        <v>253.44492245992021</v>
      </c>
      <c r="R146" s="254">
        <f>VLOOKUP(C146,Clima!$V$8:$AH$900,3,FALSE)+R145</f>
        <v>1290.8000000000004</v>
      </c>
      <c r="S146" s="455">
        <f t="shared" si="100"/>
        <v>1.1499999999999999</v>
      </c>
      <c r="T146" s="449">
        <f t="shared" si="101"/>
        <v>5.9799999999999995</v>
      </c>
      <c r="U146" s="195"/>
      <c r="V146" s="445">
        <f t="shared" si="91"/>
        <v>1.1338733331349999</v>
      </c>
      <c r="W146" s="446">
        <f t="shared" si="102"/>
        <v>0</v>
      </c>
      <c r="X146" s="447">
        <f t="shared" si="125"/>
        <v>0.89248888756666667</v>
      </c>
      <c r="Y146" s="448">
        <f t="shared" si="103"/>
        <v>1</v>
      </c>
      <c r="Z146" s="449">
        <f t="shared" si="92"/>
        <v>0.10751111243333333</v>
      </c>
      <c r="AA146" s="449">
        <f t="shared" si="126"/>
        <v>0</v>
      </c>
      <c r="AB146" s="451">
        <f t="shared" si="104"/>
        <v>0.76923076923076916</v>
      </c>
      <c r="AC146" s="449">
        <f t="shared" si="93"/>
        <v>-1.2405128357692285E-2</v>
      </c>
      <c r="AD146" s="449">
        <f t="shared" si="94"/>
        <v>-6.4506667459999889E-2</v>
      </c>
      <c r="AE146" s="448">
        <f t="shared" si="127"/>
        <v>0.59999999999999898</v>
      </c>
      <c r="AF146" s="449">
        <f t="shared" si="128"/>
        <v>-0.59999999999999898</v>
      </c>
      <c r="AG146" s="449">
        <f t="shared" si="95"/>
        <v>1.1375948716423077</v>
      </c>
      <c r="AH146" s="449">
        <f t="shared" si="96"/>
        <v>5.9154933325399996</v>
      </c>
      <c r="AI146" s="448"/>
      <c r="AJ146" s="449">
        <f t="shared" si="105"/>
        <v>0.6</v>
      </c>
      <c r="AK146" s="450">
        <f t="shared" si="97"/>
        <v>39</v>
      </c>
      <c r="AL146" s="449">
        <f t="shared" si="129"/>
        <v>37.643199390468318</v>
      </c>
      <c r="AM146" s="451">
        <f>IF(ISERROR(VLOOKUP(C146,Riegos,2,FALSE)),VLOOKUP(C146,Riegos,2,FALSE),VLOOKUP($F$8,Nomen!$A$79:$B$80,2,FALSE)*IF(AND(H146&gt;120,D146&lt;0.45),0,IF(AQ145+AH146&gt;=AK146,MIN(AQ145,$AK$7),0)))</f>
        <v>0</v>
      </c>
      <c r="AN146" s="448">
        <f t="shared" si="106"/>
        <v>0</v>
      </c>
      <c r="AO146" s="448">
        <f t="shared" si="107"/>
        <v>1</v>
      </c>
      <c r="AP146" s="449">
        <f t="shared" si="108"/>
        <v>1.1375948716423077</v>
      </c>
      <c r="AQ146" s="449">
        <f t="shared" si="109"/>
        <v>37.643199390468318</v>
      </c>
      <c r="AR146" s="449">
        <f t="shared" si="130"/>
        <v>131.42633976662648</v>
      </c>
      <c r="AS146" s="449">
        <f t="shared" si="110"/>
        <v>5.9154933325399996</v>
      </c>
      <c r="AT146" s="449">
        <f t="shared" si="111"/>
        <v>302.6661336747178</v>
      </c>
      <c r="AU146" s="453">
        <f t="shared" si="112"/>
        <v>160</v>
      </c>
      <c r="AV146" s="145">
        <f t="shared" si="113"/>
        <v>123.9</v>
      </c>
      <c r="AW146" s="178">
        <f t="shared" si="114"/>
        <v>0</v>
      </c>
      <c r="AX146" s="179">
        <f t="shared" si="115"/>
        <v>0</v>
      </c>
      <c r="AY146" s="145">
        <f t="shared" si="131"/>
        <v>0.8806867273611112</v>
      </c>
      <c r="AZ146" s="145">
        <f t="shared" si="116"/>
        <v>5.8293564734166674</v>
      </c>
      <c r="BA146" s="145">
        <f t="shared" si="117"/>
        <v>215.47370475246305</v>
      </c>
      <c r="BB146" s="145">
        <f t="shared" si="118"/>
        <v>0.23317425893666668</v>
      </c>
      <c r="BC146" s="145">
        <f t="shared" si="119"/>
        <v>8.6189481900985179</v>
      </c>
      <c r="BD146" s="145">
        <f t="shared" si="120"/>
        <v>177.96609239769447</v>
      </c>
      <c r="BE146" s="145">
        <f t="shared" si="121"/>
        <v>2.7028427715890189</v>
      </c>
      <c r="BF146" s="145">
        <f t="shared" si="122"/>
        <v>5.2</v>
      </c>
    </row>
    <row r="147" spans="2:58">
      <c r="B147" s="116">
        <f t="shared" si="98"/>
        <v>144</v>
      </c>
      <c r="C147" s="69">
        <f t="shared" si="123"/>
        <v>42148</v>
      </c>
      <c r="D147" s="257">
        <f>IF(ISERROR(VLOOKUP($C147,'NDVI real'!$T$8:$U$313,2,FALSE)),VLOOKUP(SWB!C147,'NDVI tipo'!$T$8:$U$193,2),VLOOKUP($C147,'NDVI real'!$T$8:$U$313,2,FALSE))</f>
        <v>0.87692901138888901</v>
      </c>
      <c r="E147" s="170">
        <f t="shared" si="88"/>
        <v>5</v>
      </c>
      <c r="F147" s="170">
        <f t="shared" si="89"/>
        <v>24</v>
      </c>
      <c r="G147" s="170">
        <f t="shared" si="90"/>
        <v>2015</v>
      </c>
      <c r="H147" s="170">
        <f t="shared" si="99"/>
        <v>144</v>
      </c>
      <c r="I147" s="190">
        <f>IF(ISERROR(VLOOKUP($C147,Clima!$U$8:$AH$900,3,FALSE)),VLOOKUP($C147,Clima!$D$8:$R$900,3),VLOOKUP($C147,Clima!$U$8:$AH$900,3,FALSE))</f>
        <v>15.3</v>
      </c>
      <c r="J147" s="191"/>
      <c r="K147" s="170"/>
      <c r="L147" s="192">
        <f>IF(ISERROR(VLOOKUP($C147,Clima!$U$8:$AH$900,14,FALSE)),VLOOKUP($C147,Clima!$D$8:$R$900,14),VLOOKUP($C147,Clima!$U$8:$AH$900,14,FALSE))</f>
        <v>5</v>
      </c>
      <c r="M147" s="190"/>
      <c r="N147" s="190"/>
      <c r="O147" s="191"/>
      <c r="P147" s="191">
        <f>IF(ISERROR(VLOOKUP($C147,Clima!$W$8:$AH$350,12,FALSE)),VLOOKUP($C147,Clima!$E$8:$P$350,12),VLOOKUP($C147,Clima!$W$8:$AH$350,12,FALSE))</f>
        <v>0</v>
      </c>
      <c r="Q147" s="170">
        <f t="shared" si="124"/>
        <v>258.00968516671554</v>
      </c>
      <c r="R147" s="254">
        <f>VLOOKUP(C147,Clima!$V$8:$AH$900,3,FALSE)+R146</f>
        <v>1306.2000000000005</v>
      </c>
      <c r="S147" s="455">
        <f t="shared" si="100"/>
        <v>1.1499999999999999</v>
      </c>
      <c r="T147" s="449">
        <f t="shared" si="101"/>
        <v>5.75</v>
      </c>
      <c r="U147" s="195"/>
      <c r="V147" s="445">
        <f t="shared" si="91"/>
        <v>1.1338733331349999</v>
      </c>
      <c r="W147" s="446">
        <f t="shared" si="102"/>
        <v>0</v>
      </c>
      <c r="X147" s="447">
        <f t="shared" si="125"/>
        <v>0.89248888756666667</v>
      </c>
      <c r="Y147" s="448">
        <f t="shared" si="103"/>
        <v>1</v>
      </c>
      <c r="Z147" s="449">
        <f t="shared" si="92"/>
        <v>0.10751111243333333</v>
      </c>
      <c r="AA147" s="449">
        <f t="shared" si="126"/>
        <v>0</v>
      </c>
      <c r="AB147" s="451">
        <f t="shared" si="104"/>
        <v>0.8</v>
      </c>
      <c r="AC147" s="449">
        <f t="shared" si="93"/>
        <v>-1.2901333491999978E-2</v>
      </c>
      <c r="AD147" s="449">
        <f t="shared" si="94"/>
        <v>-6.4506667459999889E-2</v>
      </c>
      <c r="AE147" s="448">
        <f t="shared" si="127"/>
        <v>0.59999999999999898</v>
      </c>
      <c r="AF147" s="449">
        <f t="shared" si="128"/>
        <v>-0.59999999999999898</v>
      </c>
      <c r="AG147" s="449">
        <f t="shared" si="95"/>
        <v>1.1370986665079998</v>
      </c>
      <c r="AH147" s="449">
        <f t="shared" si="96"/>
        <v>5.6854933325399992</v>
      </c>
      <c r="AI147" s="448"/>
      <c r="AJ147" s="449">
        <f t="shared" si="105"/>
        <v>0.6</v>
      </c>
      <c r="AK147" s="450">
        <f t="shared" si="97"/>
        <v>39</v>
      </c>
      <c r="AL147" s="449">
        <f t="shared" si="129"/>
        <v>43.328692723008317</v>
      </c>
      <c r="AM147" s="451">
        <f>IF(ISERROR(VLOOKUP(C147,Riegos,2,FALSE)),VLOOKUP(C147,Riegos,2,FALSE),VLOOKUP($F$8,Nomen!$A$79:$B$80,2,FALSE)*IF(AND(H147&gt;120,D147&lt;0.45),0,IF(AQ146+AH147&gt;=AK147,MIN(AQ146,$AK$7),0)))</f>
        <v>5</v>
      </c>
      <c r="AN147" s="448">
        <f t="shared" si="106"/>
        <v>0</v>
      </c>
      <c r="AO147" s="448">
        <f t="shared" si="107"/>
        <v>0.79387177509484208</v>
      </c>
      <c r="AP147" s="449">
        <f t="shared" si="108"/>
        <v>0.90005120786706838</v>
      </c>
      <c r="AQ147" s="449">
        <f t="shared" si="109"/>
        <v>42.143455429803659</v>
      </c>
      <c r="AR147" s="449">
        <f t="shared" si="130"/>
        <v>132.22021154172131</v>
      </c>
      <c r="AS147" s="449">
        <f t="shared" si="110"/>
        <v>4.5002560393353424</v>
      </c>
      <c r="AT147" s="449">
        <f t="shared" si="111"/>
        <v>307.16638971405314</v>
      </c>
      <c r="AU147" s="453">
        <f t="shared" si="112"/>
        <v>165</v>
      </c>
      <c r="AV147" s="145">
        <f t="shared" si="113"/>
        <v>123.9</v>
      </c>
      <c r="AW147" s="178">
        <f t="shared" si="114"/>
        <v>0</v>
      </c>
      <c r="AX147" s="179">
        <f t="shared" si="115"/>
        <v>0</v>
      </c>
      <c r="AY147" s="145">
        <f t="shared" si="131"/>
        <v>0.87692901138888901</v>
      </c>
      <c r="AZ147" s="145">
        <f t="shared" si="116"/>
        <v>5.5769675854166678</v>
      </c>
      <c r="BA147" s="145">
        <f t="shared" si="117"/>
        <v>221.05067233787972</v>
      </c>
      <c r="BB147" s="145">
        <f t="shared" si="118"/>
        <v>0.22307870341666672</v>
      </c>
      <c r="BC147" s="145">
        <f t="shared" si="119"/>
        <v>8.8420268935151842</v>
      </c>
      <c r="BD147" s="145">
        <f t="shared" si="120"/>
        <v>180.52182025897599</v>
      </c>
      <c r="BE147" s="145">
        <f t="shared" si="121"/>
        <v>2.5557278612815253</v>
      </c>
      <c r="BF147" s="145">
        <f t="shared" si="122"/>
        <v>5</v>
      </c>
    </row>
    <row r="148" spans="2:58">
      <c r="B148" s="116">
        <f t="shared" si="98"/>
        <v>145</v>
      </c>
      <c r="C148" s="69">
        <f t="shared" si="123"/>
        <v>42149</v>
      </c>
      <c r="D148" s="257">
        <f>IF(ISERROR(VLOOKUP($C148,'NDVI real'!$T$8:$U$313,2,FALSE)),VLOOKUP(SWB!C148,'NDVI tipo'!$T$8:$U$193,2),VLOOKUP($C148,'NDVI real'!$T$8:$U$313,2,FALSE))</f>
        <v>0.87317129541666683</v>
      </c>
      <c r="E148" s="170">
        <f t="shared" si="88"/>
        <v>5</v>
      </c>
      <c r="F148" s="170">
        <f t="shared" si="89"/>
        <v>25</v>
      </c>
      <c r="G148" s="170">
        <f t="shared" si="90"/>
        <v>2015</v>
      </c>
      <c r="H148" s="170">
        <f t="shared" si="99"/>
        <v>145</v>
      </c>
      <c r="I148" s="190">
        <f>IF(ISERROR(VLOOKUP($C148,Clima!$U$8:$AH$900,3,FALSE)),VLOOKUP($C148,Clima!$D$8:$R$900,3),VLOOKUP($C148,Clima!$U$8:$AH$900,3,FALSE))</f>
        <v>18.100000000000001</v>
      </c>
      <c r="J148" s="191"/>
      <c r="K148" s="170"/>
      <c r="L148" s="192">
        <f>IF(ISERROR(VLOOKUP($C148,Clima!$U$8:$AH$900,14,FALSE)),VLOOKUP($C148,Clima!$D$8:$R$900,14),VLOOKUP($C148,Clima!$U$8:$AH$900,14,FALSE))</f>
        <v>5.9</v>
      </c>
      <c r="M148" s="190"/>
      <c r="N148" s="190"/>
      <c r="O148" s="191"/>
      <c r="P148" s="191">
        <f>IF(ISERROR(VLOOKUP($C148,Clima!$W$8:$AH$350,12,FALSE)),VLOOKUP($C148,Clima!$E$8:$P$350,12),VLOOKUP($C148,Clima!$W$8:$AH$350,12,FALSE))</f>
        <v>0</v>
      </c>
      <c r="Q148" s="170">
        <f t="shared" si="124"/>
        <v>263.22316648326307</v>
      </c>
      <c r="R148" s="254">
        <f>VLOOKUP(C148,Clima!$V$8:$AH$900,3,FALSE)+R147</f>
        <v>1322.6000000000006</v>
      </c>
      <c r="S148" s="455">
        <f t="shared" si="100"/>
        <v>1.1499999999999999</v>
      </c>
      <c r="T148" s="449">
        <f t="shared" si="101"/>
        <v>6.7850000000000001</v>
      </c>
      <c r="U148" s="195"/>
      <c r="V148" s="445">
        <f t="shared" si="91"/>
        <v>1.1338733331349999</v>
      </c>
      <c r="W148" s="446">
        <f t="shared" si="102"/>
        <v>5</v>
      </c>
      <c r="X148" s="447">
        <f t="shared" si="125"/>
        <v>0.89248888756666667</v>
      </c>
      <c r="Y148" s="448">
        <f t="shared" si="103"/>
        <v>1</v>
      </c>
      <c r="Z148" s="449">
        <f t="shared" si="92"/>
        <v>0.10751111243333333</v>
      </c>
      <c r="AA148" s="449">
        <f t="shared" si="126"/>
        <v>0</v>
      </c>
      <c r="AB148" s="451">
        <f t="shared" si="104"/>
        <v>0.67796610169491522</v>
      </c>
      <c r="AC148" s="449">
        <f t="shared" si="93"/>
        <v>-1.0933333467796591E-2</v>
      </c>
      <c r="AD148" s="449">
        <f t="shared" si="94"/>
        <v>-6.4506667459999889E-2</v>
      </c>
      <c r="AE148" s="448">
        <f t="shared" si="127"/>
        <v>5.5999999999999988</v>
      </c>
      <c r="AF148" s="449">
        <f t="shared" si="128"/>
        <v>-0.59999999999999876</v>
      </c>
      <c r="AG148" s="449">
        <f t="shared" si="95"/>
        <v>1.1390666665322033</v>
      </c>
      <c r="AH148" s="449">
        <f t="shared" si="96"/>
        <v>6.7204933325400003</v>
      </c>
      <c r="AI148" s="448"/>
      <c r="AJ148" s="449">
        <f t="shared" si="105"/>
        <v>0.6</v>
      </c>
      <c r="AK148" s="450">
        <f t="shared" si="97"/>
        <v>39</v>
      </c>
      <c r="AL148" s="449">
        <f t="shared" si="129"/>
        <v>43.863948762343661</v>
      </c>
      <c r="AM148" s="451">
        <f>IF(ISERROR(VLOOKUP(C148,Riegos,2,FALSE)),VLOOKUP(C148,Riegos,2,FALSE),VLOOKUP($F$8,Nomen!$A$79:$B$80,2,FALSE)*IF(AND(H148&gt;120,D148&lt;0.45),0,IF(AQ147+AH148&gt;=AK148,MIN(AQ147,$AK$7),0)))</f>
        <v>5</v>
      </c>
      <c r="AN148" s="448">
        <f t="shared" si="106"/>
        <v>0</v>
      </c>
      <c r="AO148" s="448">
        <f t="shared" si="107"/>
        <v>0.76838339226934949</v>
      </c>
      <c r="AP148" s="449">
        <f t="shared" si="108"/>
        <v>0.87270756764195523</v>
      </c>
      <c r="AQ148" s="449">
        <f t="shared" si="109"/>
        <v>42.292430078891194</v>
      </c>
      <c r="AR148" s="449">
        <f t="shared" si="130"/>
        <v>132.98859493399067</v>
      </c>
      <c r="AS148" s="449">
        <f t="shared" si="110"/>
        <v>5.1489746490875365</v>
      </c>
      <c r="AT148" s="449">
        <f t="shared" si="111"/>
        <v>312.3153643631407</v>
      </c>
      <c r="AU148" s="453">
        <f t="shared" si="112"/>
        <v>170</v>
      </c>
      <c r="AV148" s="145">
        <f t="shared" si="113"/>
        <v>123.9</v>
      </c>
      <c r="AW148" s="178">
        <f t="shared" si="114"/>
        <v>0</v>
      </c>
      <c r="AX148" s="179">
        <f t="shared" si="115"/>
        <v>0</v>
      </c>
      <c r="AY148" s="145">
        <f t="shared" si="131"/>
        <v>0.87317129541666683</v>
      </c>
      <c r="AZ148" s="145">
        <f t="shared" si="116"/>
        <v>6.5475659644375019</v>
      </c>
      <c r="BA148" s="145">
        <f t="shared" si="117"/>
        <v>227.59823830231721</v>
      </c>
      <c r="BB148" s="145">
        <f t="shared" si="118"/>
        <v>0.26190263857750007</v>
      </c>
      <c r="BC148" s="145">
        <f t="shared" si="119"/>
        <v>9.1039295320926836</v>
      </c>
      <c r="BD148" s="145">
        <f t="shared" si="120"/>
        <v>183.48624001061884</v>
      </c>
      <c r="BE148" s="145">
        <f t="shared" si="121"/>
        <v>2.9644197516428505</v>
      </c>
      <c r="BF148" s="145">
        <f t="shared" si="122"/>
        <v>5.9</v>
      </c>
    </row>
    <row r="149" spans="2:58">
      <c r="B149" s="116">
        <f t="shared" si="98"/>
        <v>146</v>
      </c>
      <c r="C149" s="69">
        <f t="shared" si="123"/>
        <v>42150</v>
      </c>
      <c r="D149" s="257">
        <f>IF(ISERROR(VLOOKUP($C149,'NDVI real'!$T$8:$U$313,2,FALSE)),VLOOKUP(SWB!C149,'NDVI tipo'!$T$8:$U$193,2),VLOOKUP($C149,'NDVI real'!$T$8:$U$313,2,FALSE))</f>
        <v>0.86941357944444464</v>
      </c>
      <c r="E149" s="170">
        <f t="shared" si="88"/>
        <v>5</v>
      </c>
      <c r="F149" s="170">
        <f t="shared" si="89"/>
        <v>26</v>
      </c>
      <c r="G149" s="170">
        <f t="shared" si="90"/>
        <v>2015</v>
      </c>
      <c r="H149" s="170">
        <f t="shared" si="99"/>
        <v>146</v>
      </c>
      <c r="I149" s="190">
        <f>IF(ISERROR(VLOOKUP($C149,Clima!$U$8:$AH$900,3,FALSE)),VLOOKUP($C149,Clima!$D$8:$R$900,3),VLOOKUP($C149,Clima!$U$8:$AH$900,3,FALSE))</f>
        <v>17.600000000000001</v>
      </c>
      <c r="J149" s="191"/>
      <c r="K149" s="170"/>
      <c r="L149" s="192">
        <f>IF(ISERROR(VLOOKUP($C149,Clima!$U$8:$AH$900,14,FALSE)),VLOOKUP($C149,Clima!$D$8:$R$900,14),VLOOKUP($C149,Clima!$U$8:$AH$900,14,FALSE))</f>
        <v>5.5</v>
      </c>
      <c r="M149" s="190"/>
      <c r="N149" s="190"/>
      <c r="O149" s="191"/>
      <c r="P149" s="191">
        <f>IF(ISERROR(VLOOKUP($C149,Clima!$W$8:$AH$350,12,FALSE)),VLOOKUP($C149,Clima!$E$8:$P$350,12),VLOOKUP($C149,Clima!$W$8:$AH$350,12,FALSE))</f>
        <v>0</v>
      </c>
      <c r="Q149" s="170">
        <f t="shared" si="124"/>
        <v>268.17686931291536</v>
      </c>
      <c r="R149" s="254">
        <f>VLOOKUP(C149,Clima!$V$8:$AH$900,3,FALSE)+R148</f>
        <v>1340.5000000000007</v>
      </c>
      <c r="S149" s="455">
        <f t="shared" si="100"/>
        <v>1.1499999999999999</v>
      </c>
      <c r="T149" s="449">
        <f t="shared" si="101"/>
        <v>6.3249999999999993</v>
      </c>
      <c r="U149" s="195"/>
      <c r="V149" s="445">
        <f t="shared" si="91"/>
        <v>1.1338733331349999</v>
      </c>
      <c r="W149" s="446">
        <f t="shared" si="102"/>
        <v>5</v>
      </c>
      <c r="X149" s="447">
        <f t="shared" si="125"/>
        <v>0.89248888756666667</v>
      </c>
      <c r="Y149" s="448">
        <f t="shared" si="103"/>
        <v>1</v>
      </c>
      <c r="Z149" s="449">
        <f t="shared" si="92"/>
        <v>0.10751111243333333</v>
      </c>
      <c r="AA149" s="449">
        <f t="shared" si="126"/>
        <v>0</v>
      </c>
      <c r="AB149" s="451">
        <f t="shared" si="104"/>
        <v>0.72727272727272729</v>
      </c>
      <c r="AC149" s="449">
        <f t="shared" si="93"/>
        <v>-1.1728484992727254E-2</v>
      </c>
      <c r="AD149" s="449">
        <f t="shared" si="94"/>
        <v>-6.4506667459999889E-2</v>
      </c>
      <c r="AE149" s="448">
        <f t="shared" si="127"/>
        <v>5.5999999999999988</v>
      </c>
      <c r="AF149" s="449">
        <f t="shared" si="128"/>
        <v>-0.59999999999999876</v>
      </c>
      <c r="AG149" s="449">
        <f t="shared" si="95"/>
        <v>1.1382715150072726</v>
      </c>
      <c r="AH149" s="449">
        <f t="shared" si="96"/>
        <v>6.2604933325399994</v>
      </c>
      <c r="AI149" s="448"/>
      <c r="AJ149" s="449">
        <f t="shared" si="105"/>
        <v>0.6</v>
      </c>
      <c r="AK149" s="450">
        <f t="shared" si="97"/>
        <v>39</v>
      </c>
      <c r="AL149" s="449">
        <f t="shared" si="129"/>
        <v>43.552923411431195</v>
      </c>
      <c r="AM149" s="451">
        <f>IF(ISERROR(VLOOKUP(C149,Riegos,2,FALSE)),VLOOKUP(C149,Riegos,2,FALSE),VLOOKUP($F$8,Nomen!$A$79:$B$80,2,FALSE)*IF(AND(H149&gt;120,D149&lt;0.45),0,IF(AQ148+AH149&gt;=AK149,MIN(AQ148,$AK$7),0)))</f>
        <v>5</v>
      </c>
      <c r="AN149" s="448">
        <f t="shared" si="106"/>
        <v>0</v>
      </c>
      <c r="AO149" s="448">
        <f t="shared" si="107"/>
        <v>0.78319412326518123</v>
      </c>
      <c r="AP149" s="449">
        <f t="shared" si="108"/>
        <v>0.88894475676223106</v>
      </c>
      <c r="AQ149" s="449">
        <f t="shared" si="109"/>
        <v>42.181626241083464</v>
      </c>
      <c r="AR149" s="449">
        <f t="shared" si="130"/>
        <v>133.77178905725586</v>
      </c>
      <c r="AS149" s="449">
        <f t="shared" si="110"/>
        <v>4.8891961621922704</v>
      </c>
      <c r="AT149" s="449">
        <f t="shared" si="111"/>
        <v>317.20456052533297</v>
      </c>
      <c r="AU149" s="453">
        <f t="shared" si="112"/>
        <v>175</v>
      </c>
      <c r="AV149" s="145">
        <f t="shared" si="113"/>
        <v>123.9</v>
      </c>
      <c r="AW149" s="178">
        <f t="shared" si="114"/>
        <v>0</v>
      </c>
      <c r="AX149" s="179">
        <f t="shared" si="115"/>
        <v>0</v>
      </c>
      <c r="AY149" s="145">
        <f t="shared" si="131"/>
        <v>0.86941357944444464</v>
      </c>
      <c r="AZ149" s="145">
        <f t="shared" si="116"/>
        <v>6.0726620304166685</v>
      </c>
      <c r="BA149" s="145">
        <f t="shared" si="117"/>
        <v>233.67090033273388</v>
      </c>
      <c r="BB149" s="145">
        <f t="shared" si="118"/>
        <v>0.24290648121666675</v>
      </c>
      <c r="BC149" s="145">
        <f t="shared" si="119"/>
        <v>9.3468360133093498</v>
      </c>
      <c r="BD149" s="145">
        <f t="shared" si="120"/>
        <v>186.2021287709448</v>
      </c>
      <c r="BE149" s="145">
        <f t="shared" si="121"/>
        <v>2.7158887603259529</v>
      </c>
      <c r="BF149" s="145">
        <f t="shared" si="122"/>
        <v>5.5</v>
      </c>
    </row>
    <row r="150" spans="2:58">
      <c r="B150" s="116">
        <f t="shared" si="98"/>
        <v>147</v>
      </c>
      <c r="C150" s="69">
        <f t="shared" si="123"/>
        <v>42151</v>
      </c>
      <c r="D150" s="257">
        <f>IF(ISERROR(VLOOKUP($C150,'NDVI real'!$T$8:$U$313,2,FALSE)),VLOOKUP(SWB!C150,'NDVI tipo'!$T$8:$U$193,2),VLOOKUP($C150,'NDVI real'!$T$8:$U$313,2,FALSE))</f>
        <v>0.86565586347222245</v>
      </c>
      <c r="E150" s="170">
        <f t="shared" si="88"/>
        <v>5</v>
      </c>
      <c r="F150" s="170">
        <f t="shared" si="89"/>
        <v>27</v>
      </c>
      <c r="G150" s="170">
        <f t="shared" si="90"/>
        <v>2015</v>
      </c>
      <c r="H150" s="170">
        <f t="shared" si="99"/>
        <v>147</v>
      </c>
      <c r="I150" s="190">
        <f>IF(ISERROR(VLOOKUP($C150,Clima!$U$8:$AH$900,3,FALSE)),VLOOKUP($C150,Clima!$D$8:$R$900,3),VLOOKUP($C150,Clima!$U$8:$AH$900,3,FALSE))</f>
        <v>18.5</v>
      </c>
      <c r="J150" s="191"/>
      <c r="K150" s="170"/>
      <c r="L150" s="192">
        <f>IF(ISERROR(VLOOKUP($C150,Clima!$U$8:$AH$900,14,FALSE)),VLOOKUP($C150,Clima!$D$8:$R$900,14),VLOOKUP($C150,Clima!$U$8:$AH$900,14,FALSE))</f>
        <v>5.5</v>
      </c>
      <c r="M150" s="190"/>
      <c r="N150" s="190"/>
      <c r="O150" s="191"/>
      <c r="P150" s="191">
        <f>IF(ISERROR(VLOOKUP($C150,Clima!$W$8:$AH$350,12,FALSE)),VLOOKUP($C150,Clima!$E$8:$P$350,12),VLOOKUP($C150,Clima!$W$8:$AH$350,12,FALSE))</f>
        <v>0</v>
      </c>
      <c r="Q150" s="170">
        <f t="shared" si="124"/>
        <v>273.15051635893644</v>
      </c>
      <c r="R150" s="254">
        <f>VLOOKUP(C150,Clima!$V$8:$AH$900,3,FALSE)+R149</f>
        <v>1358.9000000000008</v>
      </c>
      <c r="S150" s="455">
        <f t="shared" si="100"/>
        <v>1.1465444434000003</v>
      </c>
      <c r="T150" s="449">
        <f t="shared" si="101"/>
        <v>6.3059944387000018</v>
      </c>
      <c r="U150" s="195"/>
      <c r="V150" s="445">
        <f t="shared" si="91"/>
        <v>1.1338733331349999</v>
      </c>
      <c r="W150" s="446">
        <f t="shared" si="102"/>
        <v>5</v>
      </c>
      <c r="X150" s="447">
        <f t="shared" si="125"/>
        <v>0.89248888756666667</v>
      </c>
      <c r="Y150" s="448">
        <f t="shared" si="103"/>
        <v>1</v>
      </c>
      <c r="Z150" s="449">
        <f t="shared" si="92"/>
        <v>0.10751111243333333</v>
      </c>
      <c r="AA150" s="449">
        <f t="shared" si="126"/>
        <v>0</v>
      </c>
      <c r="AB150" s="451">
        <f t="shared" si="104"/>
        <v>0.72727272727272729</v>
      </c>
      <c r="AC150" s="449">
        <f t="shared" si="93"/>
        <v>-9.2153529200002474E-3</v>
      </c>
      <c r="AD150" s="449">
        <f t="shared" si="94"/>
        <v>-5.0684441060001362E-2</v>
      </c>
      <c r="AE150" s="448">
        <f t="shared" si="127"/>
        <v>5.5999999999999988</v>
      </c>
      <c r="AF150" s="449">
        <f t="shared" si="128"/>
        <v>-0.47143443977877464</v>
      </c>
      <c r="AG150" s="449">
        <f t="shared" si="95"/>
        <v>1.13732909048</v>
      </c>
      <c r="AH150" s="449">
        <f t="shared" si="96"/>
        <v>6.2553099976399995</v>
      </c>
      <c r="AI150" s="448"/>
      <c r="AJ150" s="449">
        <f t="shared" si="105"/>
        <v>0.6</v>
      </c>
      <c r="AK150" s="450">
        <f t="shared" si="97"/>
        <v>39</v>
      </c>
      <c r="AL150" s="449">
        <f t="shared" si="129"/>
        <v>43.436936238723462</v>
      </c>
      <c r="AM150" s="451">
        <f>IF(ISERROR(VLOOKUP(C150,Riegos,2,FALSE)),VLOOKUP(C150,Riegos,2,FALSE),VLOOKUP($F$8,Nomen!$A$79:$B$80,2,FALSE)*IF(AND(H150&gt;120,D150&lt;0.45),0,IF(AQ149+AH150&gt;=AK150,MIN(AQ149,$AK$7),0)))</f>
        <v>5</v>
      </c>
      <c r="AN150" s="448">
        <f t="shared" si="106"/>
        <v>0</v>
      </c>
      <c r="AO150" s="448">
        <f t="shared" si="107"/>
        <v>0.78871732196554944</v>
      </c>
      <c r="AP150" s="449">
        <f t="shared" si="108"/>
        <v>0.89508410999292953</v>
      </c>
      <c r="AQ150" s="449">
        <f t="shared" si="109"/>
        <v>42.104588846044578</v>
      </c>
      <c r="AR150" s="449">
        <f t="shared" si="130"/>
        <v>134.56050637922141</v>
      </c>
      <c r="AS150" s="449">
        <f t="shared" si="110"/>
        <v>4.9229626049611124</v>
      </c>
      <c r="AT150" s="449">
        <f t="shared" si="111"/>
        <v>322.12752313029409</v>
      </c>
      <c r="AU150" s="453">
        <f t="shared" si="112"/>
        <v>180</v>
      </c>
      <c r="AV150" s="145">
        <f t="shared" si="113"/>
        <v>123.9</v>
      </c>
      <c r="AW150" s="178">
        <f t="shared" si="114"/>
        <v>0</v>
      </c>
      <c r="AX150" s="179">
        <f t="shared" si="115"/>
        <v>0</v>
      </c>
      <c r="AY150" s="145">
        <f t="shared" si="131"/>
        <v>0.86565586347222245</v>
      </c>
      <c r="AZ150" s="145">
        <f t="shared" si="116"/>
        <v>6.041660873645835</v>
      </c>
      <c r="BA150" s="145">
        <f t="shared" si="117"/>
        <v>239.71256120637972</v>
      </c>
      <c r="BB150" s="145">
        <f t="shared" si="118"/>
        <v>0.2416664349458334</v>
      </c>
      <c r="BC150" s="145">
        <f t="shared" si="119"/>
        <v>9.5885024482551824</v>
      </c>
      <c r="BD150" s="145">
        <f t="shared" si="120"/>
        <v>188.87336558607677</v>
      </c>
      <c r="BE150" s="145">
        <f t="shared" si="121"/>
        <v>2.6712368151319765</v>
      </c>
      <c r="BF150" s="145">
        <f t="shared" si="122"/>
        <v>5.5</v>
      </c>
    </row>
    <row r="151" spans="2:58">
      <c r="B151" s="116">
        <f t="shared" si="98"/>
        <v>148</v>
      </c>
      <c r="C151" s="69">
        <f t="shared" si="123"/>
        <v>42152</v>
      </c>
      <c r="D151" s="257">
        <f>IF(ISERROR(VLOOKUP($C151,'NDVI real'!$T$8:$U$313,2,FALSE)),VLOOKUP(SWB!C151,'NDVI tipo'!$T$8:$U$193,2),VLOOKUP($C151,'NDVI real'!$T$8:$U$313,2,FALSE))</f>
        <v>0.86189814750000027</v>
      </c>
      <c r="E151" s="170">
        <f t="shared" si="88"/>
        <v>5</v>
      </c>
      <c r="F151" s="170">
        <f t="shared" si="89"/>
        <v>28</v>
      </c>
      <c r="G151" s="170">
        <f t="shared" si="90"/>
        <v>2015</v>
      </c>
      <c r="H151" s="170">
        <f t="shared" si="99"/>
        <v>148</v>
      </c>
      <c r="I151" s="190">
        <f>IF(ISERROR(VLOOKUP($C151,Clima!$U$8:$AH$900,3,FALSE)),VLOOKUP($C151,Clima!$D$8:$R$900,3),VLOOKUP($C151,Clima!$U$8:$AH$900,3,FALSE))</f>
        <v>19.3</v>
      </c>
      <c r="J151" s="191"/>
      <c r="K151" s="170"/>
      <c r="L151" s="192">
        <f>IF(ISERROR(VLOOKUP($C151,Clima!$U$8:$AH$900,14,FALSE)),VLOOKUP($C151,Clima!$D$8:$R$900,14),VLOOKUP($C151,Clima!$U$8:$AH$900,14,FALSE))</f>
        <v>6.4</v>
      </c>
      <c r="M151" s="190"/>
      <c r="N151" s="190"/>
      <c r="O151" s="191"/>
      <c r="P151" s="191">
        <f>IF(ISERROR(VLOOKUP($C151,Clima!$W$8:$AH$350,12,FALSE)),VLOOKUP($C151,Clima!$E$8:$P$350,12),VLOOKUP($C151,Clima!$W$8:$AH$350,12,FALSE))</f>
        <v>0</v>
      </c>
      <c r="Q151" s="170">
        <f t="shared" si="124"/>
        <v>278.583162310506</v>
      </c>
      <c r="R151" s="254">
        <f>VLOOKUP(C151,Clima!$V$8:$AH$900,3,FALSE)+R150</f>
        <v>1377.7000000000007</v>
      </c>
      <c r="S151" s="455">
        <f t="shared" si="100"/>
        <v>1.1411333324000001</v>
      </c>
      <c r="T151" s="449">
        <f t="shared" si="101"/>
        <v>7.3032533273600011</v>
      </c>
      <c r="U151" s="195"/>
      <c r="V151" s="445">
        <f t="shared" si="91"/>
        <v>1.1338733331349999</v>
      </c>
      <c r="W151" s="446">
        <f t="shared" si="102"/>
        <v>5</v>
      </c>
      <c r="X151" s="447">
        <f t="shared" si="125"/>
        <v>0.89248888756666667</v>
      </c>
      <c r="Y151" s="448">
        <f t="shared" si="103"/>
        <v>1</v>
      </c>
      <c r="Z151" s="449">
        <f t="shared" si="92"/>
        <v>0.10751111243333333</v>
      </c>
      <c r="AA151" s="449">
        <f t="shared" si="126"/>
        <v>0</v>
      </c>
      <c r="AB151" s="451">
        <f t="shared" si="104"/>
        <v>0.625</v>
      </c>
      <c r="AC151" s="449">
        <f t="shared" si="93"/>
        <v>-4.5374995406251284E-3</v>
      </c>
      <c r="AD151" s="449">
        <f t="shared" si="94"/>
        <v>-2.9039997060000822E-2</v>
      </c>
      <c r="AE151" s="448">
        <f t="shared" si="127"/>
        <v>5.4714344397787746</v>
      </c>
      <c r="AF151" s="449">
        <f t="shared" si="128"/>
        <v>-0.27011158570243854</v>
      </c>
      <c r="AG151" s="449">
        <f t="shared" si="95"/>
        <v>1.136595832859375</v>
      </c>
      <c r="AH151" s="449">
        <f t="shared" si="96"/>
        <v>7.2742133303000003</v>
      </c>
      <c r="AI151" s="448"/>
      <c r="AJ151" s="449">
        <f t="shared" si="105"/>
        <v>0.6</v>
      </c>
      <c r="AK151" s="450">
        <f t="shared" si="97"/>
        <v>39</v>
      </c>
      <c r="AL151" s="449">
        <f t="shared" si="129"/>
        <v>44.378802176344578</v>
      </c>
      <c r="AM151" s="451">
        <f>IF(ISERROR(VLOOKUP(C151,Riegos,2,FALSE)),VLOOKUP(C151,Riegos,2,FALSE),VLOOKUP($F$8,Nomen!$A$79:$B$80,2,FALSE)*IF(AND(H151&gt;120,D151&lt;0.45),0,IF(AQ150+AH151&gt;=AK151,MIN(AQ150,$AK$7),0)))</f>
        <v>5</v>
      </c>
      <c r="AN151" s="448">
        <f t="shared" si="106"/>
        <v>0</v>
      </c>
      <c r="AO151" s="448">
        <f t="shared" si="107"/>
        <v>0.74386656303121057</v>
      </c>
      <c r="AP151" s="449">
        <f t="shared" si="108"/>
        <v>0.84431343039211493</v>
      </c>
      <c r="AQ151" s="449">
        <f t="shared" si="109"/>
        <v>42.508194800554115</v>
      </c>
      <c r="AR151" s="449">
        <f t="shared" si="130"/>
        <v>135.30437294225263</v>
      </c>
      <c r="AS151" s="449">
        <f t="shared" si="110"/>
        <v>5.4036059545095361</v>
      </c>
      <c r="AT151" s="449">
        <f t="shared" si="111"/>
        <v>327.53112908480364</v>
      </c>
      <c r="AU151" s="453">
        <f t="shared" si="112"/>
        <v>185</v>
      </c>
      <c r="AV151" s="145">
        <f t="shared" si="113"/>
        <v>123.9</v>
      </c>
      <c r="AW151" s="178">
        <f t="shared" si="114"/>
        <v>0</v>
      </c>
      <c r="AX151" s="179">
        <f t="shared" si="115"/>
        <v>0</v>
      </c>
      <c r="AY151" s="145">
        <f t="shared" si="131"/>
        <v>0.86189814750000027</v>
      </c>
      <c r="AZ151" s="145">
        <f t="shared" si="116"/>
        <v>6.9942222160000034</v>
      </c>
      <c r="BA151" s="145">
        <f t="shared" si="117"/>
        <v>246.70678342237971</v>
      </c>
      <c r="BB151" s="145">
        <f t="shared" si="118"/>
        <v>0.27976888864000016</v>
      </c>
      <c r="BC151" s="145">
        <f t="shared" si="119"/>
        <v>9.868271336895182</v>
      </c>
      <c r="BD151" s="145">
        <f t="shared" si="120"/>
        <v>191.92886981537023</v>
      </c>
      <c r="BE151" s="145">
        <f t="shared" si="121"/>
        <v>3.0555042292934615</v>
      </c>
      <c r="BF151" s="145">
        <f t="shared" si="122"/>
        <v>6.4</v>
      </c>
    </row>
    <row r="152" spans="2:58">
      <c r="B152" s="116">
        <f t="shared" si="98"/>
        <v>149</v>
      </c>
      <c r="C152" s="69">
        <f t="shared" si="123"/>
        <v>42153</v>
      </c>
      <c r="D152" s="257">
        <f>IF(ISERROR(VLOOKUP($C152,'NDVI real'!$T$8:$U$313,2,FALSE)),VLOOKUP(SWB!C152,'NDVI tipo'!$T$8:$U$193,2),VLOOKUP($C152,'NDVI real'!$T$8:$U$313,2,FALSE))</f>
        <v>0.85814043152777808</v>
      </c>
      <c r="E152" s="170">
        <f t="shared" si="88"/>
        <v>5</v>
      </c>
      <c r="F152" s="170">
        <f t="shared" si="89"/>
        <v>29</v>
      </c>
      <c r="G152" s="170">
        <f t="shared" si="90"/>
        <v>2015</v>
      </c>
      <c r="H152" s="170">
        <f t="shared" si="99"/>
        <v>149</v>
      </c>
      <c r="I152" s="190">
        <f>IF(ISERROR(VLOOKUP($C152,Clima!$U$8:$AH$900,3,FALSE)),VLOOKUP($C152,Clima!$D$8:$R$900,3),VLOOKUP($C152,Clima!$U$8:$AH$900,3,FALSE))</f>
        <v>15.8</v>
      </c>
      <c r="J152" s="191"/>
      <c r="K152" s="170"/>
      <c r="L152" s="192">
        <f>IF(ISERROR(VLOOKUP($C152,Clima!$U$8:$AH$900,14,FALSE)),VLOOKUP($C152,Clima!$D$8:$R$900,14),VLOOKUP($C152,Clima!$U$8:$AH$900,14,FALSE))</f>
        <v>5.7</v>
      </c>
      <c r="M152" s="190"/>
      <c r="N152" s="190"/>
      <c r="O152" s="191"/>
      <c r="P152" s="191">
        <f>IF(ISERROR(VLOOKUP($C152,Clima!$W$8:$AH$350,12,FALSE)),VLOOKUP($C152,Clima!$E$8:$P$350,12),VLOOKUP($C152,Clima!$W$8:$AH$350,12,FALSE))</f>
        <v>3.9</v>
      </c>
      <c r="Q152" s="170">
        <f t="shared" si="124"/>
        <v>284.72557150898751</v>
      </c>
      <c r="R152" s="254">
        <f>VLOOKUP(C152,Clima!$V$8:$AH$900,3,FALSE)+R151</f>
        <v>1397.2000000000007</v>
      </c>
      <c r="S152" s="455">
        <f t="shared" si="100"/>
        <v>1.1357222214000002</v>
      </c>
      <c r="T152" s="449">
        <f t="shared" si="101"/>
        <v>6.4736166619800013</v>
      </c>
      <c r="U152" s="195"/>
      <c r="V152" s="445">
        <f t="shared" si="91"/>
        <v>1.1338733331349999</v>
      </c>
      <c r="W152" s="446">
        <f t="shared" si="102"/>
        <v>5</v>
      </c>
      <c r="X152" s="447">
        <f t="shared" si="125"/>
        <v>0.89248888756666667</v>
      </c>
      <c r="Y152" s="448">
        <f t="shared" si="103"/>
        <v>1</v>
      </c>
      <c r="Z152" s="449">
        <f t="shared" si="92"/>
        <v>0.10751111243333333</v>
      </c>
      <c r="AA152" s="449">
        <f t="shared" si="126"/>
        <v>0</v>
      </c>
      <c r="AB152" s="451">
        <f t="shared" si="104"/>
        <v>0.70175438596491224</v>
      </c>
      <c r="AC152" s="449">
        <f t="shared" si="93"/>
        <v>-1.2974654491230123E-3</v>
      </c>
      <c r="AD152" s="449">
        <f t="shared" si="94"/>
        <v>-7.3955530600011699E-3</v>
      </c>
      <c r="AE152" s="448">
        <f t="shared" si="127"/>
        <v>9.1701115857024398</v>
      </c>
      <c r="AF152" s="449">
        <f t="shared" si="128"/>
        <v>-6.8788731626108657E-2</v>
      </c>
      <c r="AG152" s="449">
        <f t="shared" si="95"/>
        <v>1.1344247559508773</v>
      </c>
      <c r="AH152" s="449">
        <f t="shared" si="96"/>
        <v>6.466221108920001</v>
      </c>
      <c r="AI152" s="448"/>
      <c r="AJ152" s="449">
        <f t="shared" si="105"/>
        <v>0.6</v>
      </c>
      <c r="AK152" s="450">
        <f t="shared" si="97"/>
        <v>39</v>
      </c>
      <c r="AL152" s="449">
        <f t="shared" si="129"/>
        <v>40.074415909474119</v>
      </c>
      <c r="AM152" s="451">
        <f>IF(ISERROR(VLOOKUP(C152,Riegos,2,FALSE)),VLOOKUP(C152,Riegos,2,FALSE),VLOOKUP($F$8,Nomen!$A$79:$B$80,2,FALSE)*IF(AND(H152&gt;120,D152&lt;0.45),0,IF(AQ151+AH152&gt;=AK152,MIN(AQ151,$AK$7),0)))</f>
        <v>5</v>
      </c>
      <c r="AN152" s="448">
        <f t="shared" si="106"/>
        <v>0</v>
      </c>
      <c r="AO152" s="448">
        <f t="shared" si="107"/>
        <v>0.94883733764408951</v>
      </c>
      <c r="AP152" s="449">
        <f t="shared" si="108"/>
        <v>1.0763181834072846</v>
      </c>
      <c r="AQ152" s="449">
        <f t="shared" si="109"/>
        <v>39.74320844597564</v>
      </c>
      <c r="AR152" s="449">
        <f t="shared" si="130"/>
        <v>136.25321027989671</v>
      </c>
      <c r="AS152" s="449">
        <f t="shared" si="110"/>
        <v>6.1350136454215223</v>
      </c>
      <c r="AT152" s="449">
        <f t="shared" si="111"/>
        <v>333.66614273022515</v>
      </c>
      <c r="AU152" s="453">
        <f t="shared" si="112"/>
        <v>190</v>
      </c>
      <c r="AV152" s="145">
        <f t="shared" si="113"/>
        <v>127.80000000000001</v>
      </c>
      <c r="AW152" s="178">
        <f t="shared" si="114"/>
        <v>0</v>
      </c>
      <c r="AX152" s="179">
        <f t="shared" si="115"/>
        <v>0</v>
      </c>
      <c r="AY152" s="145">
        <f t="shared" si="131"/>
        <v>0.85814043152777808</v>
      </c>
      <c r="AZ152" s="145">
        <f t="shared" si="116"/>
        <v>6.1971006895625029</v>
      </c>
      <c r="BA152" s="145">
        <f t="shared" si="117"/>
        <v>252.9038841119422</v>
      </c>
      <c r="BB152" s="145">
        <f t="shared" si="118"/>
        <v>0.24788402758250011</v>
      </c>
      <c r="BC152" s="145">
        <f t="shared" si="119"/>
        <v>10.116155364477683</v>
      </c>
      <c r="BD152" s="145">
        <f t="shared" si="120"/>
        <v>194.60429710455227</v>
      </c>
      <c r="BE152" s="145">
        <f t="shared" si="121"/>
        <v>2.6754272891820392</v>
      </c>
      <c r="BF152" s="145">
        <f t="shared" si="122"/>
        <v>5.7</v>
      </c>
    </row>
    <row r="153" spans="2:58">
      <c r="B153" s="116">
        <f t="shared" si="98"/>
        <v>150</v>
      </c>
      <c r="C153" s="69">
        <f t="shared" si="123"/>
        <v>42154</v>
      </c>
      <c r="D153" s="257">
        <f>IF(ISERROR(VLOOKUP($C153,'NDVI real'!$T$8:$U$313,2,FALSE)),VLOOKUP(SWB!C153,'NDVI tipo'!$T$8:$U$193,2),VLOOKUP($C153,'NDVI real'!$T$8:$U$313,2,FALSE))</f>
        <v>0.85438271555555589</v>
      </c>
      <c r="E153" s="170">
        <f t="shared" si="88"/>
        <v>5</v>
      </c>
      <c r="F153" s="170">
        <f t="shared" si="89"/>
        <v>30</v>
      </c>
      <c r="G153" s="170">
        <f t="shared" si="90"/>
        <v>2015</v>
      </c>
      <c r="H153" s="170">
        <f t="shared" si="99"/>
        <v>150</v>
      </c>
      <c r="I153" s="190">
        <f>IF(ISERROR(VLOOKUP($C153,Clima!$U$8:$AH$900,3,FALSE)),VLOOKUP($C153,Clima!$D$8:$R$900,3),VLOOKUP($C153,Clima!$U$8:$AH$900,3,FALSE))</f>
        <v>14.6</v>
      </c>
      <c r="J153" s="191"/>
      <c r="K153" s="170"/>
      <c r="L153" s="192">
        <f>IF(ISERROR(VLOOKUP($C153,Clima!$U$8:$AH$900,14,FALSE)),VLOOKUP($C153,Clima!$D$8:$R$900,14),VLOOKUP($C153,Clima!$U$8:$AH$900,14,FALSE))</f>
        <v>4.8</v>
      </c>
      <c r="M153" s="190"/>
      <c r="N153" s="190"/>
      <c r="O153" s="191"/>
      <c r="P153" s="191">
        <f>IF(ISERROR(VLOOKUP($C153,Clima!$W$8:$AH$350,12,FALSE)),VLOOKUP($C153,Clima!$E$8:$P$350,12),VLOOKUP($C153,Clima!$W$8:$AH$350,12,FALSE))</f>
        <v>7.3</v>
      </c>
      <c r="Q153" s="170">
        <f t="shared" si="124"/>
        <v>290.15106483890753</v>
      </c>
      <c r="R153" s="254">
        <f>VLOOKUP(C153,Clima!$V$8:$AH$900,3,FALSE)+R152</f>
        <v>1415.8000000000006</v>
      </c>
      <c r="S153" s="455">
        <f t="shared" si="100"/>
        <v>1.1303111104000003</v>
      </c>
      <c r="T153" s="449">
        <f t="shared" si="101"/>
        <v>5.425493329920001</v>
      </c>
      <c r="U153" s="195"/>
      <c r="V153" s="445">
        <f t="shared" si="91"/>
        <v>1.1338733331349999</v>
      </c>
      <c r="W153" s="446">
        <f t="shared" si="102"/>
        <v>5</v>
      </c>
      <c r="X153" s="447">
        <f t="shared" si="125"/>
        <v>0.89248888756666667</v>
      </c>
      <c r="Y153" s="448">
        <f t="shared" si="103"/>
        <v>1</v>
      </c>
      <c r="Z153" s="449">
        <f t="shared" si="92"/>
        <v>0.10751111243333333</v>
      </c>
      <c r="AA153" s="449">
        <f t="shared" si="126"/>
        <v>0</v>
      </c>
      <c r="AB153" s="451">
        <f t="shared" si="104"/>
        <v>0.83333333333333337</v>
      </c>
      <c r="AC153" s="449">
        <f t="shared" si="93"/>
        <v>2.9685189458330172E-3</v>
      </c>
      <c r="AD153" s="449">
        <f t="shared" si="94"/>
        <v>1.4248890939998482E-2</v>
      </c>
      <c r="AE153" s="448">
        <f t="shared" si="127"/>
        <v>12.368788731626109</v>
      </c>
      <c r="AF153" s="449">
        <f t="shared" si="128"/>
        <v>0.13253412245021856</v>
      </c>
      <c r="AG153" s="449">
        <f t="shared" si="95"/>
        <v>1.1332796293458334</v>
      </c>
      <c r="AH153" s="449">
        <f t="shared" si="96"/>
        <v>5.4397422208600004</v>
      </c>
      <c r="AI153" s="448"/>
      <c r="AJ153" s="449">
        <f t="shared" si="105"/>
        <v>0.6</v>
      </c>
      <c r="AK153" s="450">
        <f t="shared" si="97"/>
        <v>39</v>
      </c>
      <c r="AL153" s="449">
        <f t="shared" si="129"/>
        <v>32.88295066683564</v>
      </c>
      <c r="AM153" s="451">
        <f>IF(ISERROR(VLOOKUP(C153,Riegos,2,FALSE)),VLOOKUP(C153,Riegos,2,FALSE),VLOOKUP($F$8,Nomen!$A$79:$B$80,2,FALSE)*IF(AND(H153&gt;120,D153&lt;0.45),0,IF(AQ152+AH153&gt;=AK153,MIN(AQ152,$AK$7),0)))</f>
        <v>5</v>
      </c>
      <c r="AN153" s="448">
        <f t="shared" si="106"/>
        <v>0</v>
      </c>
      <c r="AO153" s="448">
        <f t="shared" si="107"/>
        <v>1</v>
      </c>
      <c r="AP153" s="449">
        <f t="shared" si="108"/>
        <v>1.1332796293458334</v>
      </c>
      <c r="AQ153" s="449">
        <f t="shared" si="109"/>
        <v>32.88295066683564</v>
      </c>
      <c r="AR153" s="449">
        <f t="shared" si="130"/>
        <v>137.25321027989671</v>
      </c>
      <c r="AS153" s="449">
        <f t="shared" si="110"/>
        <v>5.4397422208600004</v>
      </c>
      <c r="AT153" s="449">
        <f t="shared" si="111"/>
        <v>339.10588495108516</v>
      </c>
      <c r="AU153" s="453">
        <f t="shared" si="112"/>
        <v>195</v>
      </c>
      <c r="AV153" s="145">
        <f t="shared" si="113"/>
        <v>135.10000000000002</v>
      </c>
      <c r="AW153" s="178">
        <f t="shared" si="114"/>
        <v>0</v>
      </c>
      <c r="AX153" s="179">
        <f t="shared" si="115"/>
        <v>0</v>
      </c>
      <c r="AY153" s="145">
        <f t="shared" si="131"/>
        <v>0.85438271555555589</v>
      </c>
      <c r="AZ153" s="145">
        <f t="shared" si="116"/>
        <v>5.1915555520000023</v>
      </c>
      <c r="BA153" s="145">
        <f t="shared" si="117"/>
        <v>258.09543966394222</v>
      </c>
      <c r="BB153" s="145">
        <f t="shared" si="118"/>
        <v>0.2076622220800001</v>
      </c>
      <c r="BC153" s="145">
        <f t="shared" si="119"/>
        <v>10.323817586557682</v>
      </c>
      <c r="BD153" s="145">
        <f t="shared" si="120"/>
        <v>196.8233783240118</v>
      </c>
      <c r="BE153" s="145">
        <f t="shared" si="121"/>
        <v>2.2190812194595253</v>
      </c>
      <c r="BF153" s="145">
        <f t="shared" si="122"/>
        <v>4.8</v>
      </c>
    </row>
    <row r="154" spans="2:58">
      <c r="B154" s="116">
        <f t="shared" si="98"/>
        <v>151</v>
      </c>
      <c r="C154" s="69">
        <f t="shared" si="123"/>
        <v>42155</v>
      </c>
      <c r="D154" s="257">
        <f>IF(ISERROR(VLOOKUP($C154,'NDVI real'!$T$8:$U$313,2,FALSE)),VLOOKUP(SWB!C154,'NDVI tipo'!$T$8:$U$193,2),VLOOKUP($C154,'NDVI real'!$T$8:$U$313,2,FALSE))</f>
        <v>0.85062499958333371</v>
      </c>
      <c r="E154" s="170">
        <f t="shared" si="88"/>
        <v>5</v>
      </c>
      <c r="F154" s="170">
        <f t="shared" si="89"/>
        <v>31</v>
      </c>
      <c r="G154" s="170">
        <f t="shared" si="90"/>
        <v>2015</v>
      </c>
      <c r="H154" s="170">
        <f t="shared" si="99"/>
        <v>151</v>
      </c>
      <c r="I154" s="190">
        <f>IF(ISERROR(VLOOKUP($C154,Clima!$U$8:$AH$900,3,FALSE)),VLOOKUP($C154,Clima!$D$8:$R$900,3),VLOOKUP($C154,Clima!$U$8:$AH$900,3,FALSE))</f>
        <v>14.8</v>
      </c>
      <c r="J154" s="191"/>
      <c r="K154" s="170"/>
      <c r="L154" s="192">
        <f>IF(ISERROR(VLOOKUP($C154,Clima!$U$8:$AH$900,14,FALSE)),VLOOKUP($C154,Clima!$D$8:$R$900,14),VLOOKUP($C154,Clima!$U$8:$AH$900,14,FALSE))</f>
        <v>5.2</v>
      </c>
      <c r="M154" s="190"/>
      <c r="N154" s="190"/>
      <c r="O154" s="191"/>
      <c r="P154" s="191">
        <f>IF(ISERROR(VLOOKUP($C154,Clima!$W$8:$AH$350,12,FALSE)),VLOOKUP($C154,Clima!$E$8:$P$350,12),VLOOKUP($C154,Clima!$W$8:$AH$350,12,FALSE))</f>
        <v>1.8</v>
      </c>
      <c r="Q154" s="170">
        <f t="shared" si="124"/>
        <v>296.00054483578754</v>
      </c>
      <c r="R154" s="254">
        <f>VLOOKUP(C154,Clima!$V$8:$AH$900,3,FALSE)+R153</f>
        <v>1433.3000000000006</v>
      </c>
      <c r="S154" s="455">
        <f t="shared" si="100"/>
        <v>1.1248999994000004</v>
      </c>
      <c r="T154" s="449">
        <f t="shared" si="101"/>
        <v>5.8494799968800022</v>
      </c>
      <c r="U154" s="195"/>
      <c r="V154" s="445">
        <f t="shared" si="91"/>
        <v>1.1338733331349999</v>
      </c>
      <c r="W154" s="446">
        <f t="shared" si="102"/>
        <v>5</v>
      </c>
      <c r="X154" s="447">
        <f t="shared" si="125"/>
        <v>0.89248888756666667</v>
      </c>
      <c r="Y154" s="448">
        <f t="shared" si="103"/>
        <v>1</v>
      </c>
      <c r="Z154" s="449">
        <f t="shared" si="92"/>
        <v>0.10751111243333333</v>
      </c>
      <c r="AA154" s="449">
        <f t="shared" si="126"/>
        <v>0</v>
      </c>
      <c r="AB154" s="451">
        <f t="shared" si="104"/>
        <v>0.76923076923076916</v>
      </c>
      <c r="AC154" s="449">
        <f t="shared" si="93"/>
        <v>6.9025644115381021E-3</v>
      </c>
      <c r="AD154" s="449">
        <f t="shared" si="94"/>
        <v>3.5893334939998134E-2</v>
      </c>
      <c r="AE154" s="448">
        <f t="shared" si="127"/>
        <v>6.6674658775497813</v>
      </c>
      <c r="AF154" s="449">
        <f t="shared" si="128"/>
        <v>0.33385697652654489</v>
      </c>
      <c r="AG154" s="449">
        <f t="shared" si="95"/>
        <v>1.1318025638115385</v>
      </c>
      <c r="AH154" s="449">
        <f t="shared" si="96"/>
        <v>5.8853733318200003</v>
      </c>
      <c r="AI154" s="448"/>
      <c r="AJ154" s="449">
        <f t="shared" si="105"/>
        <v>0.6</v>
      </c>
      <c r="AK154" s="450">
        <f t="shared" si="97"/>
        <v>39</v>
      </c>
      <c r="AL154" s="449">
        <f t="shared" si="129"/>
        <v>31.968323998655642</v>
      </c>
      <c r="AM154" s="451">
        <f>IF(ISERROR(VLOOKUP(C154,Riegos,2,FALSE)),VLOOKUP(C154,Riegos,2,FALSE),VLOOKUP($F$8,Nomen!$A$79:$B$80,2,FALSE)*IF(AND(H154&gt;120,D154&lt;0.45),0,IF(AQ153+AH154&gt;=AK154,MIN(AQ153,$AK$7),0)))</f>
        <v>0</v>
      </c>
      <c r="AN154" s="448">
        <f t="shared" si="106"/>
        <v>0</v>
      </c>
      <c r="AO154" s="448">
        <f t="shared" si="107"/>
        <v>1</v>
      </c>
      <c r="AP154" s="449">
        <f t="shared" si="108"/>
        <v>1.1318025638115385</v>
      </c>
      <c r="AQ154" s="449">
        <f t="shared" si="109"/>
        <v>31.968323998655642</v>
      </c>
      <c r="AR154" s="449">
        <f t="shared" si="130"/>
        <v>138.25321027989671</v>
      </c>
      <c r="AS154" s="449">
        <f t="shared" si="110"/>
        <v>5.8853733318200003</v>
      </c>
      <c r="AT154" s="449">
        <f t="shared" si="111"/>
        <v>344.99125828290516</v>
      </c>
      <c r="AU154" s="453">
        <f t="shared" si="112"/>
        <v>195</v>
      </c>
      <c r="AV154" s="145">
        <f t="shared" si="113"/>
        <v>136.90000000000003</v>
      </c>
      <c r="AW154" s="178">
        <f t="shared" si="114"/>
        <v>0</v>
      </c>
      <c r="AX154" s="179">
        <f t="shared" si="115"/>
        <v>0</v>
      </c>
      <c r="AY154" s="145">
        <f t="shared" si="131"/>
        <v>0.85062499958333371</v>
      </c>
      <c r="AZ154" s="145">
        <f t="shared" si="116"/>
        <v>5.5948749967500033</v>
      </c>
      <c r="BA154" s="145">
        <f t="shared" si="117"/>
        <v>263.6903146606922</v>
      </c>
      <c r="BB154" s="145">
        <f t="shared" si="118"/>
        <v>0.22379499987000012</v>
      </c>
      <c r="BC154" s="145">
        <f t="shared" si="119"/>
        <v>10.547612586427682</v>
      </c>
      <c r="BD154" s="145">
        <f t="shared" si="120"/>
        <v>199.19287904967538</v>
      </c>
      <c r="BE154" s="145">
        <f t="shared" si="121"/>
        <v>2.3695007256635847</v>
      </c>
      <c r="BF154" s="145">
        <f t="shared" si="122"/>
        <v>5.2</v>
      </c>
    </row>
    <row r="155" spans="2:58">
      <c r="B155" s="116">
        <f t="shared" si="98"/>
        <v>152</v>
      </c>
      <c r="C155" s="69">
        <f t="shared" si="123"/>
        <v>42156</v>
      </c>
      <c r="D155" s="257">
        <f>IF(ISERROR(VLOOKUP($C155,'NDVI real'!$T$8:$U$313,2,FALSE)),VLOOKUP(SWB!C155,'NDVI tipo'!$T$8:$U$193,2),VLOOKUP($C155,'NDVI real'!$T$8:$U$313,2,FALSE))</f>
        <v>0.84686728361111152</v>
      </c>
      <c r="E155" s="170">
        <f t="shared" si="88"/>
        <v>6</v>
      </c>
      <c r="F155" s="170">
        <f t="shared" si="89"/>
        <v>1</v>
      </c>
      <c r="G155" s="170">
        <f t="shared" si="90"/>
        <v>2015</v>
      </c>
      <c r="H155" s="170">
        <f t="shared" si="99"/>
        <v>152</v>
      </c>
      <c r="I155" s="190">
        <f>IF(ISERROR(VLOOKUP($C155,Clima!$U$8:$AH$900,3,FALSE)),VLOOKUP($C155,Clima!$D$8:$R$900,3),VLOOKUP($C155,Clima!$U$8:$AH$900,3,FALSE))</f>
        <v>16</v>
      </c>
      <c r="J155" s="191"/>
      <c r="K155" s="170"/>
      <c r="L155" s="192">
        <f>IF(ISERROR(VLOOKUP($C155,Clima!$U$8:$AH$900,14,FALSE)),VLOOKUP($C155,Clima!$D$8:$R$900,14),VLOOKUP($C155,Clima!$U$8:$AH$900,14,FALSE))</f>
        <v>5.5</v>
      </c>
      <c r="M155" s="190"/>
      <c r="N155" s="190"/>
      <c r="O155" s="191"/>
      <c r="P155" s="191">
        <f>IF(ISERROR(VLOOKUP($C155,Clima!$W$8:$AH$350,12,FALSE)),VLOOKUP($C155,Clima!$E$8:$P$350,12),VLOOKUP($C155,Clima!$W$8:$AH$350,12,FALSE))</f>
        <v>0</v>
      </c>
      <c r="Q155" s="170">
        <f t="shared" si="124"/>
        <v>302.15773372198754</v>
      </c>
      <c r="R155" s="254">
        <f>VLOOKUP(C155,Clima!$V$8:$AH$900,3,FALSE)+R154</f>
        <v>1452.8000000000006</v>
      </c>
      <c r="S155" s="455">
        <f t="shared" si="100"/>
        <v>1.1194888884000005</v>
      </c>
      <c r="T155" s="449">
        <f t="shared" si="101"/>
        <v>6.1571888862000028</v>
      </c>
      <c r="U155" s="195"/>
      <c r="V155" s="445">
        <f t="shared" si="91"/>
        <v>1.1338733331349999</v>
      </c>
      <c r="W155" s="446">
        <f t="shared" si="102"/>
        <v>0</v>
      </c>
      <c r="X155" s="447">
        <f t="shared" si="125"/>
        <v>0.89248888756666667</v>
      </c>
      <c r="Y155" s="448">
        <f t="shared" si="103"/>
        <v>1</v>
      </c>
      <c r="Z155" s="449">
        <f t="shared" si="92"/>
        <v>0.10751111243333333</v>
      </c>
      <c r="AA155" s="449">
        <f t="shared" si="126"/>
        <v>0.33385697652654489</v>
      </c>
      <c r="AB155" s="451">
        <f t="shared" si="104"/>
        <v>0.72727272727272729</v>
      </c>
      <c r="AC155" s="449">
        <f t="shared" si="93"/>
        <v>1.0461414352726871E-2</v>
      </c>
      <c r="AD155" s="449">
        <f t="shared" si="94"/>
        <v>5.7537778939997786E-2</v>
      </c>
      <c r="AE155" s="448">
        <f t="shared" si="127"/>
        <v>0</v>
      </c>
      <c r="AF155" s="449">
        <f t="shared" si="128"/>
        <v>0.86903680712941811</v>
      </c>
      <c r="AG155" s="449">
        <f t="shared" si="95"/>
        <v>1.1299503027527273</v>
      </c>
      <c r="AH155" s="449">
        <f t="shared" si="96"/>
        <v>6.2147266651400006</v>
      </c>
      <c r="AI155" s="448"/>
      <c r="AJ155" s="449">
        <f t="shared" si="105"/>
        <v>0.6</v>
      </c>
      <c r="AK155" s="450">
        <f t="shared" si="97"/>
        <v>39</v>
      </c>
      <c r="AL155" s="449">
        <f t="shared" si="129"/>
        <v>38.18305066379564</v>
      </c>
      <c r="AM155" s="451">
        <f>IF(ISERROR(VLOOKUP(C155,Riegos,2,FALSE)),VLOOKUP(C155,Riegos,2,FALSE),VLOOKUP($F$8,Nomen!$A$79:$B$80,2,FALSE)*IF(AND(H155&gt;120,D155&lt;0.45),0,IF(AQ154+AH155&gt;=AK155,MIN(AQ154,$AK$7),0)))</f>
        <v>0</v>
      </c>
      <c r="AN155" s="448">
        <f t="shared" si="106"/>
        <v>0</v>
      </c>
      <c r="AO155" s="448">
        <f t="shared" si="107"/>
        <v>1</v>
      </c>
      <c r="AP155" s="449">
        <f t="shared" si="108"/>
        <v>1.1299503027527273</v>
      </c>
      <c r="AQ155" s="449">
        <f t="shared" si="109"/>
        <v>38.18305066379564</v>
      </c>
      <c r="AR155" s="449">
        <f t="shared" si="130"/>
        <v>139.25321027989671</v>
      </c>
      <c r="AS155" s="449">
        <f t="shared" si="110"/>
        <v>6.2147266651400006</v>
      </c>
      <c r="AT155" s="449">
        <f t="shared" si="111"/>
        <v>351.20598494804517</v>
      </c>
      <c r="AU155" s="453">
        <f t="shared" si="112"/>
        <v>195</v>
      </c>
      <c r="AV155" s="145">
        <f t="shared" si="113"/>
        <v>136.90000000000003</v>
      </c>
      <c r="AW155" s="178">
        <f t="shared" si="114"/>
        <v>0</v>
      </c>
      <c r="AX155" s="179">
        <f t="shared" si="115"/>
        <v>0</v>
      </c>
      <c r="AY155" s="145">
        <f t="shared" si="131"/>
        <v>0.84686728361111152</v>
      </c>
      <c r="AZ155" s="145">
        <f t="shared" si="116"/>
        <v>5.8866550897916703</v>
      </c>
      <c r="BA155" s="145">
        <f t="shared" si="117"/>
        <v>269.57696975048384</v>
      </c>
      <c r="BB155" s="145">
        <f t="shared" si="118"/>
        <v>0.23546620359166681</v>
      </c>
      <c r="BC155" s="145">
        <f t="shared" si="119"/>
        <v>10.783078790019349</v>
      </c>
      <c r="BD155" s="145">
        <f t="shared" si="120"/>
        <v>201.66208470363321</v>
      </c>
      <c r="BE155" s="145">
        <f t="shared" si="121"/>
        <v>2.4692056539578289</v>
      </c>
      <c r="BF155" s="145">
        <f t="shared" si="122"/>
        <v>5.5</v>
      </c>
    </row>
    <row r="156" spans="2:58">
      <c r="B156" s="116">
        <f t="shared" si="98"/>
        <v>153</v>
      </c>
      <c r="C156" s="69">
        <f t="shared" si="123"/>
        <v>42157</v>
      </c>
      <c r="D156" s="257">
        <f>IF(ISERROR(VLOOKUP($C156,'NDVI real'!$T$8:$U$313,2,FALSE)),VLOOKUP(SWB!C156,'NDVI tipo'!$T$8:$U$193,2),VLOOKUP($C156,'NDVI real'!$T$8:$U$313,2,FALSE))</f>
        <v>0.84310956763888933</v>
      </c>
      <c r="E156" s="170">
        <f t="shared" si="88"/>
        <v>6</v>
      </c>
      <c r="F156" s="170">
        <f t="shared" si="89"/>
        <v>2</v>
      </c>
      <c r="G156" s="170">
        <f t="shared" si="90"/>
        <v>2015</v>
      </c>
      <c r="H156" s="170">
        <f t="shared" si="99"/>
        <v>153</v>
      </c>
      <c r="I156" s="190">
        <f>IF(ISERROR(VLOOKUP($C156,Clima!$U$8:$AH$900,3,FALSE)),VLOOKUP($C156,Clima!$D$8:$R$900,3),VLOOKUP($C156,Clima!$U$8:$AH$900,3,FALSE))</f>
        <v>17</v>
      </c>
      <c r="J156" s="191"/>
      <c r="K156" s="170"/>
      <c r="L156" s="192">
        <f>IF(ISERROR(VLOOKUP($C156,Clima!$U$8:$AH$900,14,FALSE)),VLOOKUP($C156,Clima!$D$8:$R$900,14),VLOOKUP($C156,Clima!$U$8:$AH$900,14,FALSE))</f>
        <v>5.9</v>
      </c>
      <c r="M156" s="190"/>
      <c r="N156" s="190"/>
      <c r="O156" s="191"/>
      <c r="P156" s="191">
        <f>IF(ISERROR(VLOOKUP($C156,Clima!$W$8:$AH$350,12,FALSE)),VLOOKUP($C156,Clima!$E$8:$P$350,12),VLOOKUP($C156,Clima!$W$8:$AH$350,12,FALSE))</f>
        <v>0</v>
      </c>
      <c r="Q156" s="170">
        <f t="shared" si="124"/>
        <v>306.90432992067741</v>
      </c>
      <c r="R156" s="254">
        <f>VLOOKUP(C156,Clima!$V$8:$AH$900,3,FALSE)+R155</f>
        <v>1473.5000000000007</v>
      </c>
      <c r="S156" s="455">
        <f t="shared" si="100"/>
        <v>1.1140777774000006</v>
      </c>
      <c r="T156" s="449">
        <f t="shared" si="101"/>
        <v>6.5730588866600037</v>
      </c>
      <c r="U156" s="195"/>
      <c r="V156" s="445">
        <f t="shared" si="91"/>
        <v>1.1338733331349999</v>
      </c>
      <c r="W156" s="446">
        <f t="shared" si="102"/>
        <v>0</v>
      </c>
      <c r="X156" s="447">
        <f t="shared" si="125"/>
        <v>0.89248888756666667</v>
      </c>
      <c r="Y156" s="448">
        <f t="shared" si="103"/>
        <v>1</v>
      </c>
      <c r="Z156" s="449">
        <f t="shared" si="92"/>
        <v>0.10751111243333333</v>
      </c>
      <c r="AA156" s="449">
        <f t="shared" si="126"/>
        <v>0.86903680712941811</v>
      </c>
      <c r="AB156" s="451">
        <f t="shared" si="104"/>
        <v>0.67796610169491522</v>
      </c>
      <c r="AC156" s="449">
        <f t="shared" si="93"/>
        <v>1.3420715752541938E-2</v>
      </c>
      <c r="AD156" s="449">
        <f t="shared" si="94"/>
        <v>7.9182222939997438E-2</v>
      </c>
      <c r="AE156" s="448">
        <f t="shared" si="127"/>
        <v>0</v>
      </c>
      <c r="AF156" s="449">
        <f t="shared" si="128"/>
        <v>1.6055394918086192</v>
      </c>
      <c r="AG156" s="449">
        <f t="shared" si="95"/>
        <v>1.1274984931525425</v>
      </c>
      <c r="AH156" s="449">
        <f t="shared" si="96"/>
        <v>6.6522411096000011</v>
      </c>
      <c r="AI156" s="448"/>
      <c r="AJ156" s="449">
        <f t="shared" si="105"/>
        <v>0.6</v>
      </c>
      <c r="AK156" s="450">
        <f t="shared" si="97"/>
        <v>39</v>
      </c>
      <c r="AL156" s="449">
        <f t="shared" si="129"/>
        <v>44.835291773395639</v>
      </c>
      <c r="AM156" s="451">
        <f>IF(ISERROR(VLOOKUP(C156,Riegos,2,FALSE)),VLOOKUP(C156,Riegos,2,FALSE),VLOOKUP($F$8,Nomen!$A$79:$B$80,2,FALSE)*IF(AND(H156&gt;120,D156&lt;0.45),0,IF(AQ155+AH156&gt;=AK156,MIN(AQ155,$AK$7),0)))</f>
        <v>5</v>
      </c>
      <c r="AN156" s="448">
        <f t="shared" si="106"/>
        <v>0</v>
      </c>
      <c r="AO156" s="448">
        <f t="shared" si="107"/>
        <v>0.72212896317163622</v>
      </c>
      <c r="AP156" s="449">
        <f t="shared" si="108"/>
        <v>0.81792854603896525</v>
      </c>
      <c r="AQ156" s="449">
        <f t="shared" si="109"/>
        <v>43.008829085425532</v>
      </c>
      <c r="AR156" s="449">
        <f t="shared" si="130"/>
        <v>139.97533924306833</v>
      </c>
      <c r="AS156" s="449">
        <f t="shared" si="110"/>
        <v>4.8257784216298951</v>
      </c>
      <c r="AT156" s="449">
        <f t="shared" si="111"/>
        <v>356.03176336967505</v>
      </c>
      <c r="AU156" s="453">
        <f t="shared" si="112"/>
        <v>200</v>
      </c>
      <c r="AV156" s="145">
        <f t="shared" si="113"/>
        <v>136.90000000000003</v>
      </c>
      <c r="AW156" s="178">
        <f t="shared" si="114"/>
        <v>0</v>
      </c>
      <c r="AX156" s="179">
        <f t="shared" si="115"/>
        <v>0</v>
      </c>
      <c r="AY156" s="145">
        <f t="shared" si="131"/>
        <v>0.84310956763888933</v>
      </c>
      <c r="AZ156" s="145">
        <f t="shared" si="116"/>
        <v>6.281519673604171</v>
      </c>
      <c r="BA156" s="145">
        <f t="shared" si="117"/>
        <v>275.85848942408802</v>
      </c>
      <c r="BB156" s="145">
        <f t="shared" si="118"/>
        <v>0.25126078694416681</v>
      </c>
      <c r="BC156" s="145">
        <f t="shared" si="119"/>
        <v>11.034339576963516</v>
      </c>
      <c r="BD156" s="145">
        <f t="shared" si="120"/>
        <v>204.2707777993478</v>
      </c>
      <c r="BE156" s="145">
        <f t="shared" si="121"/>
        <v>2.6086930957145853</v>
      </c>
      <c r="BF156" s="145">
        <f t="shared" si="122"/>
        <v>5.9</v>
      </c>
    </row>
    <row r="157" spans="2:58">
      <c r="B157" s="116">
        <f t="shared" si="98"/>
        <v>154</v>
      </c>
      <c r="C157" s="69">
        <f t="shared" si="123"/>
        <v>42158</v>
      </c>
      <c r="D157" s="257">
        <f>IF(ISERROR(VLOOKUP($C157,'NDVI real'!$T$8:$U$313,2,FALSE)),VLOOKUP(SWB!C157,'NDVI tipo'!$T$8:$U$193,2),VLOOKUP($C157,'NDVI real'!$T$8:$U$313,2,FALSE))</f>
        <v>0.83935185166666715</v>
      </c>
      <c r="E157" s="170">
        <f t="shared" si="88"/>
        <v>6</v>
      </c>
      <c r="F157" s="170">
        <f t="shared" si="89"/>
        <v>3</v>
      </c>
      <c r="G157" s="170">
        <f t="shared" si="90"/>
        <v>2015</v>
      </c>
      <c r="H157" s="170">
        <f t="shared" si="99"/>
        <v>154</v>
      </c>
      <c r="I157" s="190">
        <f>IF(ISERROR(VLOOKUP($C157,Clima!$U$8:$AH$900,3,FALSE)),VLOOKUP($C157,Clima!$D$8:$R$900,3),VLOOKUP($C157,Clima!$U$8:$AH$900,3,FALSE))</f>
        <v>18.899999999999999</v>
      </c>
      <c r="J157" s="191"/>
      <c r="K157" s="170"/>
      <c r="L157" s="192">
        <f>IF(ISERROR(VLOOKUP($C157,Clima!$U$8:$AH$900,14,FALSE)),VLOOKUP($C157,Clima!$D$8:$R$900,14),VLOOKUP($C157,Clima!$U$8:$AH$900,14,FALSE))</f>
        <v>5.8</v>
      </c>
      <c r="M157" s="190"/>
      <c r="N157" s="190"/>
      <c r="O157" s="191"/>
      <c r="P157" s="191">
        <f>IF(ISERROR(VLOOKUP($C157,Clima!$W$8:$AH$350,12,FALSE)),VLOOKUP($C157,Clima!$E$8:$P$350,12),VLOOKUP($C157,Clima!$W$8:$AH$350,12,FALSE))</f>
        <v>0</v>
      </c>
      <c r="Q157" s="170">
        <f t="shared" si="124"/>
        <v>311.63825475491609</v>
      </c>
      <c r="R157" s="254">
        <f>VLOOKUP(C157,Clima!$V$8:$AH$900,3,FALSE)+R156</f>
        <v>1494.8000000000006</v>
      </c>
      <c r="S157" s="455">
        <f t="shared" si="100"/>
        <v>1.1086666664000007</v>
      </c>
      <c r="T157" s="449">
        <f t="shared" si="101"/>
        <v>6.430266665120004</v>
      </c>
      <c r="U157" s="195"/>
      <c r="V157" s="445">
        <f t="shared" si="91"/>
        <v>1.1338733331349999</v>
      </c>
      <c r="W157" s="446">
        <f t="shared" si="102"/>
        <v>5</v>
      </c>
      <c r="X157" s="447">
        <f t="shared" si="125"/>
        <v>0.89248888756666667</v>
      </c>
      <c r="Y157" s="448">
        <f t="shared" si="103"/>
        <v>1</v>
      </c>
      <c r="Z157" s="449">
        <f t="shared" si="92"/>
        <v>0.10751111243333333</v>
      </c>
      <c r="AA157" s="449">
        <f t="shared" si="126"/>
        <v>0</v>
      </c>
      <c r="AB157" s="451">
        <f t="shared" si="104"/>
        <v>0.68965517241379315</v>
      </c>
      <c r="AC157" s="449">
        <f t="shared" si="93"/>
        <v>1.7383908093102949E-2</v>
      </c>
      <c r="AD157" s="449">
        <f t="shared" si="94"/>
        <v>0.1008266669399971</v>
      </c>
      <c r="AE157" s="448">
        <f t="shared" si="127"/>
        <v>3.394460508191381</v>
      </c>
      <c r="AF157" s="449">
        <f t="shared" si="128"/>
        <v>0.93782553875552921</v>
      </c>
      <c r="AG157" s="449">
        <f t="shared" si="95"/>
        <v>1.1260505744931035</v>
      </c>
      <c r="AH157" s="449">
        <f t="shared" si="96"/>
        <v>6.5310933320600002</v>
      </c>
      <c r="AI157" s="448"/>
      <c r="AJ157" s="449">
        <f t="shared" si="105"/>
        <v>0.6</v>
      </c>
      <c r="AK157" s="450">
        <f t="shared" si="97"/>
        <v>39</v>
      </c>
      <c r="AL157" s="449">
        <f t="shared" si="129"/>
        <v>44.539922417485535</v>
      </c>
      <c r="AM157" s="451">
        <f>IF(ISERROR(VLOOKUP(C157,Riegos,2,FALSE)),VLOOKUP(C157,Riegos,2,FALSE),VLOOKUP($F$8,Nomen!$A$79:$B$80,2,FALSE)*IF(AND(H157&gt;120,D157&lt;0.45),0,IF(AQ156+AH157&gt;=AK157,MIN(AQ156,$AK$7),0)))</f>
        <v>5</v>
      </c>
      <c r="AN157" s="448">
        <f t="shared" si="106"/>
        <v>0</v>
      </c>
      <c r="AO157" s="448">
        <f t="shared" si="107"/>
        <v>0.73619417059592696</v>
      </c>
      <c r="AP157" s="449">
        <f t="shared" si="108"/>
        <v>0.83357784503080268</v>
      </c>
      <c r="AQ157" s="449">
        <f t="shared" si="109"/>
        <v>42.84358058660419</v>
      </c>
      <c r="AR157" s="449">
        <f t="shared" si="130"/>
        <v>140.71153341366426</v>
      </c>
      <c r="AS157" s="449">
        <f t="shared" si="110"/>
        <v>4.8347515011786557</v>
      </c>
      <c r="AT157" s="449">
        <f t="shared" si="111"/>
        <v>360.86651487085368</v>
      </c>
      <c r="AU157" s="453">
        <f t="shared" si="112"/>
        <v>205</v>
      </c>
      <c r="AV157" s="145">
        <f t="shared" si="113"/>
        <v>136.90000000000003</v>
      </c>
      <c r="AW157" s="178">
        <f t="shared" si="114"/>
        <v>0</v>
      </c>
      <c r="AX157" s="179">
        <f t="shared" si="115"/>
        <v>0</v>
      </c>
      <c r="AY157" s="145">
        <f t="shared" si="131"/>
        <v>0.83935185166666715</v>
      </c>
      <c r="AZ157" s="145">
        <f t="shared" si="116"/>
        <v>6.1423611095000039</v>
      </c>
      <c r="BA157" s="145">
        <f t="shared" si="117"/>
        <v>282.00085053358805</v>
      </c>
      <c r="BB157" s="145">
        <f t="shared" si="118"/>
        <v>0.24569444438000015</v>
      </c>
      <c r="BC157" s="145">
        <f t="shared" si="119"/>
        <v>11.280034021343516</v>
      </c>
      <c r="BD157" s="145">
        <f t="shared" si="120"/>
        <v>206.79640782066582</v>
      </c>
      <c r="BE157" s="145">
        <f t="shared" si="121"/>
        <v>2.5256300213180225</v>
      </c>
      <c r="BF157" s="145">
        <f t="shared" si="122"/>
        <v>5.8</v>
      </c>
    </row>
    <row r="158" spans="2:58">
      <c r="B158" s="116">
        <f t="shared" si="98"/>
        <v>155</v>
      </c>
      <c r="C158" s="69">
        <f t="shared" si="123"/>
        <v>42159</v>
      </c>
      <c r="D158" s="257">
        <f>IF(ISERROR(VLOOKUP($C158,'NDVI real'!$T$8:$U$313,2,FALSE)),VLOOKUP(SWB!C158,'NDVI tipo'!$T$8:$U$193,2),VLOOKUP($C158,'NDVI real'!$T$8:$U$313,2,FALSE))</f>
        <v>0.83559413569444496</v>
      </c>
      <c r="E158" s="170">
        <f t="shared" si="88"/>
        <v>6</v>
      </c>
      <c r="F158" s="170">
        <f t="shared" si="89"/>
        <v>4</v>
      </c>
      <c r="G158" s="170">
        <f t="shared" si="90"/>
        <v>2015</v>
      </c>
      <c r="H158" s="170">
        <f t="shared" si="99"/>
        <v>155</v>
      </c>
      <c r="I158" s="190">
        <f>IF(ISERROR(VLOOKUP($C158,Clima!$U$8:$AH$900,3,FALSE)),VLOOKUP($C158,Clima!$D$8:$R$900,3),VLOOKUP($C158,Clima!$U$8:$AH$900,3,FALSE))</f>
        <v>20.399999999999999</v>
      </c>
      <c r="J158" s="191"/>
      <c r="K158" s="170"/>
      <c r="L158" s="192">
        <f>IF(ISERROR(VLOOKUP($C158,Clima!$U$8:$AH$900,14,FALSE)),VLOOKUP($C158,Clima!$D$8:$R$900,14),VLOOKUP($C158,Clima!$U$8:$AH$900,14,FALSE))</f>
        <v>5.7</v>
      </c>
      <c r="M158" s="190"/>
      <c r="N158" s="190"/>
      <c r="O158" s="191"/>
      <c r="P158" s="191">
        <f>IF(ISERROR(VLOOKUP($C158,Clima!$W$8:$AH$350,12,FALSE)),VLOOKUP($C158,Clima!$E$8:$P$350,12),VLOOKUP($C158,Clima!$W$8:$AH$350,12,FALSE))</f>
        <v>0</v>
      </c>
      <c r="Q158" s="170">
        <f t="shared" si="124"/>
        <v>316.35329225644631</v>
      </c>
      <c r="R158" s="254">
        <f>VLOOKUP(C158,Clima!$V$8:$AH$900,3,FALSE)+R157</f>
        <v>1514.4000000000005</v>
      </c>
      <c r="S158" s="455">
        <f t="shared" si="100"/>
        <v>1.1032555554000005</v>
      </c>
      <c r="T158" s="449">
        <f t="shared" si="101"/>
        <v>6.2885566657800034</v>
      </c>
      <c r="U158" s="195"/>
      <c r="V158" s="445">
        <f t="shared" si="91"/>
        <v>1.1338733331349999</v>
      </c>
      <c r="W158" s="446">
        <f t="shared" si="102"/>
        <v>5</v>
      </c>
      <c r="X158" s="447">
        <f t="shared" si="125"/>
        <v>0.89248888756666667</v>
      </c>
      <c r="Y158" s="448">
        <f t="shared" si="103"/>
        <v>1</v>
      </c>
      <c r="Z158" s="449">
        <f t="shared" si="92"/>
        <v>0.10751111243333333</v>
      </c>
      <c r="AA158" s="449">
        <f t="shared" si="126"/>
        <v>0</v>
      </c>
      <c r="AB158" s="451">
        <f t="shared" si="104"/>
        <v>0.70175438596491224</v>
      </c>
      <c r="AC158" s="449">
        <f t="shared" si="93"/>
        <v>2.1486159814034671E-2</v>
      </c>
      <c r="AD158" s="449">
        <f t="shared" si="94"/>
        <v>0.12247111093999763</v>
      </c>
      <c r="AE158" s="448">
        <f t="shared" si="127"/>
        <v>4.0621744612444708</v>
      </c>
      <c r="AF158" s="449">
        <f t="shared" si="128"/>
        <v>1.1391483928318653</v>
      </c>
      <c r="AG158" s="449">
        <f t="shared" si="95"/>
        <v>1.1247417152140351</v>
      </c>
      <c r="AH158" s="449">
        <f t="shared" si="96"/>
        <v>6.4110277767200001</v>
      </c>
      <c r="AI158" s="448"/>
      <c r="AJ158" s="449">
        <f t="shared" si="105"/>
        <v>0.6</v>
      </c>
      <c r="AK158" s="450">
        <f t="shared" si="97"/>
        <v>39</v>
      </c>
      <c r="AL158" s="449">
        <f t="shared" si="129"/>
        <v>44.254608363324188</v>
      </c>
      <c r="AM158" s="451">
        <f>IF(ISERROR(VLOOKUP(C158,Riegos,2,FALSE)),VLOOKUP(C158,Riegos,2,FALSE),VLOOKUP($F$8,Nomen!$A$79:$B$80,2,FALSE)*IF(AND(H158&gt;120,D158&lt;0.45),0,IF(AQ157+AH158&gt;=AK158,MIN(AQ157,$AK$7),0)))</f>
        <v>5</v>
      </c>
      <c r="AN158" s="448">
        <f t="shared" si="106"/>
        <v>0</v>
      </c>
      <c r="AO158" s="448">
        <f t="shared" si="107"/>
        <v>0.74978055412741962</v>
      </c>
      <c r="AP158" s="449">
        <f t="shared" si="108"/>
        <v>0.84868572148600119</v>
      </c>
      <c r="AQ158" s="449">
        <f t="shared" si="109"/>
        <v>42.6810891990744</v>
      </c>
      <c r="AR158" s="449">
        <f t="shared" si="130"/>
        <v>141.46131396779168</v>
      </c>
      <c r="AS158" s="449">
        <f t="shared" si="110"/>
        <v>4.8375086124702067</v>
      </c>
      <c r="AT158" s="449">
        <f t="shared" si="111"/>
        <v>365.70402348332391</v>
      </c>
      <c r="AU158" s="453">
        <f t="shared" si="112"/>
        <v>210</v>
      </c>
      <c r="AV158" s="145">
        <f t="shared" si="113"/>
        <v>136.90000000000003</v>
      </c>
      <c r="AW158" s="178">
        <f t="shared" si="114"/>
        <v>0</v>
      </c>
      <c r="AX158" s="179">
        <f t="shared" si="115"/>
        <v>0</v>
      </c>
      <c r="AY158" s="145">
        <f t="shared" si="131"/>
        <v>0.83559413569444496</v>
      </c>
      <c r="AZ158" s="145">
        <f t="shared" si="116"/>
        <v>6.0043298601875046</v>
      </c>
      <c r="BA158" s="145">
        <f t="shared" si="117"/>
        <v>288.00518039377556</v>
      </c>
      <c r="BB158" s="145">
        <f t="shared" si="118"/>
        <v>0.24017319440750018</v>
      </c>
      <c r="BC158" s="145">
        <f t="shared" si="119"/>
        <v>11.520207215751016</v>
      </c>
      <c r="BD158" s="145">
        <f t="shared" si="120"/>
        <v>209.24188525286297</v>
      </c>
      <c r="BE158" s="145">
        <f t="shared" si="121"/>
        <v>2.4454774321971513</v>
      </c>
      <c r="BF158" s="145">
        <f t="shared" si="122"/>
        <v>5.7</v>
      </c>
    </row>
    <row r="159" spans="2:58">
      <c r="B159" s="116">
        <f t="shared" si="98"/>
        <v>156</v>
      </c>
      <c r="C159" s="69">
        <f t="shared" si="123"/>
        <v>42160</v>
      </c>
      <c r="D159" s="257">
        <f>IF(ISERROR(VLOOKUP($C159,'NDVI real'!$T$8:$U$313,2,FALSE)),VLOOKUP(SWB!C159,'NDVI tipo'!$T$8:$U$193,2),VLOOKUP($C159,'NDVI real'!$T$8:$U$313,2,FALSE))</f>
        <v>0.83183641972222278</v>
      </c>
      <c r="E159" s="170">
        <f t="shared" si="88"/>
        <v>6</v>
      </c>
      <c r="F159" s="170">
        <f t="shared" si="89"/>
        <v>5</v>
      </c>
      <c r="G159" s="170">
        <f t="shared" si="90"/>
        <v>2015</v>
      </c>
      <c r="H159" s="170">
        <f t="shared" si="99"/>
        <v>156</v>
      </c>
      <c r="I159" s="190">
        <f>IF(ISERROR(VLOOKUP($C159,Clima!$U$8:$AH$900,3,FALSE)),VLOOKUP($C159,Clima!$D$8:$R$900,3),VLOOKUP($C159,Clima!$U$8:$AH$900,3,FALSE))</f>
        <v>19.399999999999999</v>
      </c>
      <c r="J159" s="191"/>
      <c r="K159" s="170"/>
      <c r="L159" s="192">
        <f>IF(ISERROR(VLOOKUP($C159,Clima!$U$8:$AH$900,14,FALSE)),VLOOKUP($C159,Clima!$D$8:$R$900,14),VLOOKUP($C159,Clima!$U$8:$AH$900,14,FALSE))</f>
        <v>5.4</v>
      </c>
      <c r="M159" s="190"/>
      <c r="N159" s="190"/>
      <c r="O159" s="191"/>
      <c r="P159" s="191">
        <f>IF(ISERROR(VLOOKUP($C159,Clima!$W$8:$AH$350,12,FALSE)),VLOOKUP($C159,Clima!$E$8:$P$350,12),VLOOKUP($C159,Clima!$W$8:$AH$350,12,FALSE))</f>
        <v>0</v>
      </c>
      <c r="Q159" s="170">
        <f t="shared" si="124"/>
        <v>320.93970734465654</v>
      </c>
      <c r="R159" s="254">
        <f>VLOOKUP(C159,Clima!$V$8:$AH$900,3,FALSE)+R158</f>
        <v>1534.1000000000006</v>
      </c>
      <c r="S159" s="455">
        <f t="shared" si="100"/>
        <v>1.0978444444000006</v>
      </c>
      <c r="T159" s="449">
        <f t="shared" si="101"/>
        <v>5.9283599997600041</v>
      </c>
      <c r="U159" s="195"/>
      <c r="V159" s="445">
        <f t="shared" si="91"/>
        <v>1.1338733331349999</v>
      </c>
      <c r="W159" s="446">
        <f t="shared" si="102"/>
        <v>5</v>
      </c>
      <c r="X159" s="447">
        <f t="shared" si="125"/>
        <v>0.89248888756666667</v>
      </c>
      <c r="Y159" s="448">
        <f t="shared" si="103"/>
        <v>1</v>
      </c>
      <c r="Z159" s="449">
        <f t="shared" si="92"/>
        <v>0.10751111243333333</v>
      </c>
      <c r="AA159" s="449">
        <f t="shared" si="126"/>
        <v>0</v>
      </c>
      <c r="AB159" s="451">
        <f t="shared" si="104"/>
        <v>0.7407407407407407</v>
      </c>
      <c r="AC159" s="449">
        <f t="shared" si="93"/>
        <v>2.6688065729629125E-2</v>
      </c>
      <c r="AD159" s="449">
        <f t="shared" si="94"/>
        <v>0.14411555493999728</v>
      </c>
      <c r="AE159" s="448">
        <f t="shared" si="127"/>
        <v>3.8608516071681347</v>
      </c>
      <c r="AF159" s="449">
        <f t="shared" si="128"/>
        <v>1.3404712469081934</v>
      </c>
      <c r="AG159" s="449">
        <f t="shared" si="95"/>
        <v>1.1245325101296297</v>
      </c>
      <c r="AH159" s="449">
        <f t="shared" si="96"/>
        <v>6.0724755547000013</v>
      </c>
      <c r="AI159" s="448"/>
      <c r="AJ159" s="449">
        <f t="shared" si="105"/>
        <v>0.6</v>
      </c>
      <c r="AK159" s="450">
        <f t="shared" si="97"/>
        <v>39</v>
      </c>
      <c r="AL159" s="449">
        <f t="shared" si="129"/>
        <v>43.753564753774398</v>
      </c>
      <c r="AM159" s="451">
        <f>IF(ISERROR(VLOOKUP(C159,Riegos,2,FALSE)),VLOOKUP(C159,Riegos,2,FALSE),VLOOKUP($F$8,Nomen!$A$79:$B$80,2,FALSE)*IF(AND(H159&gt;120,D159&lt;0.45),0,IF(AQ158+AH159&gt;=AK159,MIN(AQ158,$AK$7),0)))</f>
        <v>5</v>
      </c>
      <c r="AN159" s="448">
        <f t="shared" si="106"/>
        <v>0</v>
      </c>
      <c r="AO159" s="448">
        <f t="shared" si="107"/>
        <v>0.77363977362979053</v>
      </c>
      <c r="AP159" s="449">
        <f t="shared" si="108"/>
        <v>0.8760241931759688</v>
      </c>
      <c r="AQ159" s="449">
        <f t="shared" si="109"/>
        <v>42.411619842224631</v>
      </c>
      <c r="AR159" s="449">
        <f t="shared" si="130"/>
        <v>142.23495374142146</v>
      </c>
      <c r="AS159" s="449">
        <f t="shared" si="110"/>
        <v>4.7305306431502316</v>
      </c>
      <c r="AT159" s="449">
        <f t="shared" si="111"/>
        <v>370.43455412647415</v>
      </c>
      <c r="AU159" s="453">
        <f t="shared" si="112"/>
        <v>215</v>
      </c>
      <c r="AV159" s="145">
        <f t="shared" si="113"/>
        <v>136.90000000000003</v>
      </c>
      <c r="AW159" s="178">
        <f t="shared" si="114"/>
        <v>0</v>
      </c>
      <c r="AX159" s="179">
        <f t="shared" si="115"/>
        <v>0</v>
      </c>
      <c r="AY159" s="145">
        <f t="shared" si="131"/>
        <v>0.83183641972222278</v>
      </c>
      <c r="AZ159" s="145">
        <f t="shared" si="116"/>
        <v>5.6578749997500051</v>
      </c>
      <c r="BA159" s="145">
        <f t="shared" si="117"/>
        <v>293.66305539352555</v>
      </c>
      <c r="BB159" s="145">
        <f t="shared" si="118"/>
        <v>0.22631499999000021</v>
      </c>
      <c r="BC159" s="145">
        <f t="shared" si="119"/>
        <v>11.746522215741017</v>
      </c>
      <c r="BD159" s="145">
        <f t="shared" si="120"/>
        <v>211.52571604283577</v>
      </c>
      <c r="BE159" s="145">
        <f t="shared" si="121"/>
        <v>2.2838307899727965</v>
      </c>
      <c r="BF159" s="145">
        <f t="shared" si="122"/>
        <v>5.4</v>
      </c>
    </row>
    <row r="160" spans="2:58">
      <c r="B160" s="116">
        <f t="shared" si="98"/>
        <v>157</v>
      </c>
      <c r="C160" s="69">
        <f t="shared" si="123"/>
        <v>42161</v>
      </c>
      <c r="D160" s="257">
        <f>IF(ISERROR(VLOOKUP($C160,'NDVI real'!$T$8:$U$313,2,FALSE)),VLOOKUP(SWB!C160,'NDVI tipo'!$T$8:$U$193,2),VLOOKUP($C160,'NDVI real'!$T$8:$U$313,2,FALSE))</f>
        <v>0.82807870375000059</v>
      </c>
      <c r="E160" s="170">
        <f t="shared" si="88"/>
        <v>6</v>
      </c>
      <c r="F160" s="170">
        <f t="shared" si="89"/>
        <v>6</v>
      </c>
      <c r="G160" s="170">
        <f t="shared" si="90"/>
        <v>2015</v>
      </c>
      <c r="H160" s="170">
        <f t="shared" si="99"/>
        <v>157</v>
      </c>
      <c r="I160" s="190">
        <f>IF(ISERROR(VLOOKUP($C160,Clima!$U$8:$AH$900,3,FALSE)),VLOOKUP($C160,Clima!$D$8:$R$900,3),VLOOKUP($C160,Clima!$U$8:$AH$900,3,FALSE))</f>
        <v>20.2</v>
      </c>
      <c r="J160" s="191"/>
      <c r="K160" s="170"/>
      <c r="L160" s="192">
        <f>IF(ISERROR(VLOOKUP($C160,Clima!$U$8:$AH$900,14,FALSE)),VLOOKUP($C160,Clima!$D$8:$R$900,14),VLOOKUP($C160,Clima!$U$8:$AH$900,14,FALSE))</f>
        <v>5.6</v>
      </c>
      <c r="M160" s="190"/>
      <c r="N160" s="190"/>
      <c r="O160" s="191"/>
      <c r="P160" s="191">
        <f>IF(ISERROR(VLOOKUP($C160,Clima!$W$8:$AH$350,12,FALSE)),VLOOKUP($C160,Clima!$E$8:$P$350,12),VLOOKUP($C160,Clima!$W$8:$AH$350,12,FALSE))</f>
        <v>0</v>
      </c>
      <c r="Q160" s="170">
        <f t="shared" si="124"/>
        <v>325.68960558233852</v>
      </c>
      <c r="R160" s="254">
        <f>VLOOKUP(C160,Clima!$V$8:$AH$900,3,FALSE)+R159</f>
        <v>1554.8000000000006</v>
      </c>
      <c r="S160" s="455">
        <f t="shared" si="100"/>
        <v>1.0924333334000007</v>
      </c>
      <c r="T160" s="449">
        <f t="shared" si="101"/>
        <v>6.1176266670400032</v>
      </c>
      <c r="U160" s="195"/>
      <c r="V160" s="445">
        <f t="shared" si="91"/>
        <v>1.1338733331349999</v>
      </c>
      <c r="W160" s="446">
        <f t="shared" si="102"/>
        <v>5</v>
      </c>
      <c r="X160" s="447">
        <f t="shared" si="125"/>
        <v>0.89248888756666667</v>
      </c>
      <c r="Y160" s="448">
        <f t="shared" si="103"/>
        <v>1</v>
      </c>
      <c r="Z160" s="449">
        <f t="shared" si="92"/>
        <v>0.10751111243333333</v>
      </c>
      <c r="AA160" s="449">
        <f t="shared" si="126"/>
        <v>0</v>
      </c>
      <c r="AB160" s="451">
        <f t="shared" si="104"/>
        <v>0.7142857142857143</v>
      </c>
      <c r="AC160" s="449">
        <f t="shared" si="93"/>
        <v>2.9599999810713738E-2</v>
      </c>
      <c r="AD160" s="449">
        <f t="shared" si="94"/>
        <v>0.16575999893999693</v>
      </c>
      <c r="AE160" s="448">
        <f t="shared" si="127"/>
        <v>3.6595287530918066</v>
      </c>
      <c r="AF160" s="449">
        <f t="shared" si="128"/>
        <v>1.5417941009845211</v>
      </c>
      <c r="AG160" s="449">
        <f t="shared" si="95"/>
        <v>1.1220333332107144</v>
      </c>
      <c r="AH160" s="449">
        <f t="shared" si="96"/>
        <v>6.2833866659800002</v>
      </c>
      <c r="AI160" s="448"/>
      <c r="AJ160" s="449">
        <f t="shared" si="105"/>
        <v>0.6</v>
      </c>
      <c r="AK160" s="450">
        <f t="shared" si="97"/>
        <v>39</v>
      </c>
      <c r="AL160" s="449">
        <f t="shared" si="129"/>
        <v>43.695006508204628</v>
      </c>
      <c r="AM160" s="451">
        <f>IF(ISERROR(VLOOKUP(C160,Riegos,2,FALSE)),VLOOKUP(C160,Riegos,2,FALSE),VLOOKUP($F$8,Nomen!$A$79:$B$80,2,FALSE)*IF(AND(H160&gt;120,D160&lt;0.45),0,IF(AQ159+AH160&gt;=AK160,MIN(AQ159,$AK$7),0)))</f>
        <v>5</v>
      </c>
      <c r="AN160" s="448">
        <f t="shared" si="106"/>
        <v>0</v>
      </c>
      <c r="AO160" s="448">
        <f t="shared" si="107"/>
        <v>0.7764282615140653</v>
      </c>
      <c r="AP160" s="449">
        <f t="shared" si="108"/>
        <v>0.87779611368249155</v>
      </c>
      <c r="AQ160" s="449">
        <f t="shared" si="109"/>
        <v>42.327278078846582</v>
      </c>
      <c r="AR160" s="449">
        <f t="shared" si="130"/>
        <v>143.01138200293553</v>
      </c>
      <c r="AS160" s="449">
        <f t="shared" si="110"/>
        <v>4.9156582366219528</v>
      </c>
      <c r="AT160" s="449">
        <f t="shared" si="111"/>
        <v>375.35021236309609</v>
      </c>
      <c r="AU160" s="453">
        <f t="shared" si="112"/>
        <v>220</v>
      </c>
      <c r="AV160" s="145">
        <f t="shared" si="113"/>
        <v>136.90000000000003</v>
      </c>
      <c r="AW160" s="178">
        <f t="shared" si="114"/>
        <v>0</v>
      </c>
      <c r="AX160" s="179">
        <f t="shared" si="115"/>
        <v>0</v>
      </c>
      <c r="AY160" s="145">
        <f t="shared" si="131"/>
        <v>0.82807870375000059</v>
      </c>
      <c r="AZ160" s="145">
        <f t="shared" si="116"/>
        <v>5.8358611115000052</v>
      </c>
      <c r="BA160" s="145">
        <f t="shared" si="117"/>
        <v>299.49891650502553</v>
      </c>
      <c r="BB160" s="145">
        <f t="shared" si="118"/>
        <v>0.2334344444600002</v>
      </c>
      <c r="BC160" s="145">
        <f t="shared" si="119"/>
        <v>11.979956660201017</v>
      </c>
      <c r="BD160" s="145">
        <f t="shared" si="120"/>
        <v>213.86110664799878</v>
      </c>
      <c r="BE160" s="145">
        <f t="shared" si="121"/>
        <v>2.3353906051630133</v>
      </c>
      <c r="BF160" s="145">
        <f t="shared" si="122"/>
        <v>5.6</v>
      </c>
    </row>
    <row r="161" spans="2:58">
      <c r="B161" s="116">
        <f t="shared" si="98"/>
        <v>158</v>
      </c>
      <c r="C161" s="69">
        <f t="shared" si="123"/>
        <v>42162</v>
      </c>
      <c r="D161" s="257">
        <f>IF(ISERROR(VLOOKUP($C161,'NDVI real'!$T$8:$U$313,2,FALSE)),VLOOKUP(SWB!C161,'NDVI tipo'!$T$8:$U$193,2),VLOOKUP($C161,'NDVI real'!$T$8:$U$313,2,FALSE))</f>
        <v>0.82432098777777774</v>
      </c>
      <c r="E161" s="170">
        <f t="shared" si="88"/>
        <v>6</v>
      </c>
      <c r="F161" s="170">
        <f t="shared" si="89"/>
        <v>7</v>
      </c>
      <c r="G161" s="170">
        <f t="shared" si="90"/>
        <v>2015</v>
      </c>
      <c r="H161" s="170">
        <f t="shared" si="99"/>
        <v>158</v>
      </c>
      <c r="I161" s="190">
        <f>IF(ISERROR(VLOOKUP($C161,Clima!$U$8:$AH$900,3,FALSE)),VLOOKUP($C161,Clima!$D$8:$R$900,3),VLOOKUP($C161,Clima!$U$8:$AH$900,3,FALSE))</f>
        <v>22.5</v>
      </c>
      <c r="J161" s="191"/>
      <c r="K161" s="170"/>
      <c r="L161" s="192">
        <f>IF(ISERROR(VLOOKUP($C161,Clima!$U$8:$AH$900,14,FALSE)),VLOOKUP($C161,Clima!$D$8:$R$900,14),VLOOKUP($C161,Clima!$U$8:$AH$900,14,FALSE))</f>
        <v>6</v>
      </c>
      <c r="M161" s="190"/>
      <c r="N161" s="190"/>
      <c r="O161" s="191"/>
      <c r="P161" s="191">
        <f>IF(ISERROR(VLOOKUP($C161,Clima!$W$8:$AH$350,12,FALSE)),VLOOKUP($C161,Clima!$E$8:$P$350,12),VLOOKUP($C161,Clima!$W$8:$AH$350,12,FALSE))</f>
        <v>0</v>
      </c>
      <c r="Q161" s="170">
        <f t="shared" si="124"/>
        <v>330.64741584079235</v>
      </c>
      <c r="R161" s="254">
        <f>VLOOKUP(C161,Clima!$V$8:$AH$900,3,FALSE)+R160</f>
        <v>1574.9000000000005</v>
      </c>
      <c r="S161" s="455">
        <f t="shared" si="100"/>
        <v>1.0870222223999999</v>
      </c>
      <c r="T161" s="449">
        <f t="shared" si="101"/>
        <v>6.5221333343999994</v>
      </c>
      <c r="U161" s="195"/>
      <c r="V161" s="445">
        <f t="shared" si="91"/>
        <v>1.1338733331349999</v>
      </c>
      <c r="W161" s="446">
        <f t="shared" si="102"/>
        <v>5</v>
      </c>
      <c r="X161" s="447">
        <f t="shared" si="125"/>
        <v>0.89248888756666667</v>
      </c>
      <c r="Y161" s="448">
        <f t="shared" si="103"/>
        <v>1</v>
      </c>
      <c r="Z161" s="449">
        <f t="shared" si="92"/>
        <v>0.10751111243333333</v>
      </c>
      <c r="AA161" s="449">
        <f t="shared" si="126"/>
        <v>0</v>
      </c>
      <c r="AB161" s="451">
        <f t="shared" si="104"/>
        <v>0.66666666666666663</v>
      </c>
      <c r="AC161" s="449">
        <f t="shared" si="93"/>
        <v>3.1234073823333354E-2</v>
      </c>
      <c r="AD161" s="449">
        <f t="shared" si="94"/>
        <v>0.18740444294000014</v>
      </c>
      <c r="AE161" s="448">
        <f t="shared" si="127"/>
        <v>3.4582058990154789</v>
      </c>
      <c r="AF161" s="449">
        <f t="shared" si="128"/>
        <v>1.743116955060882</v>
      </c>
      <c r="AG161" s="449">
        <f t="shared" si="95"/>
        <v>1.1182562962233333</v>
      </c>
      <c r="AH161" s="449">
        <f t="shared" si="96"/>
        <v>6.7095377773399996</v>
      </c>
      <c r="AI161" s="448"/>
      <c r="AJ161" s="449">
        <f t="shared" si="105"/>
        <v>0.6</v>
      </c>
      <c r="AK161" s="450">
        <f t="shared" si="97"/>
        <v>39</v>
      </c>
      <c r="AL161" s="449">
        <f t="shared" si="129"/>
        <v>44.036815856186578</v>
      </c>
      <c r="AM161" s="451">
        <f>IF(ISERROR(VLOOKUP(C161,Riegos,2,FALSE)),VLOOKUP(C161,Riegos,2,FALSE),VLOOKUP($F$8,Nomen!$A$79:$B$80,2,FALSE)*IF(AND(H161&gt;120,D161&lt;0.45),0,IF(AQ160+AH161&gt;=AK161,MIN(AQ160,$AK$7),0)))</f>
        <v>5</v>
      </c>
      <c r="AN161" s="448">
        <f t="shared" si="106"/>
        <v>0</v>
      </c>
      <c r="AO161" s="448">
        <f t="shared" si="107"/>
        <v>0.76015162589587726</v>
      </c>
      <c r="AP161" s="449">
        <f t="shared" si="108"/>
        <v>0.85753578356564308</v>
      </c>
      <c r="AQ161" s="449">
        <f t="shared" si="109"/>
        <v>42.472492780240444</v>
      </c>
      <c r="AR161" s="449">
        <f t="shared" si="130"/>
        <v>143.77153362883141</v>
      </c>
      <c r="AS161" s="449">
        <f t="shared" si="110"/>
        <v>5.1452147013938587</v>
      </c>
      <c r="AT161" s="449">
        <f t="shared" si="111"/>
        <v>380.49542706448995</v>
      </c>
      <c r="AU161" s="453">
        <f t="shared" si="112"/>
        <v>225</v>
      </c>
      <c r="AV161" s="145">
        <f t="shared" si="113"/>
        <v>136.90000000000003</v>
      </c>
      <c r="AW161" s="178">
        <f t="shared" si="114"/>
        <v>0</v>
      </c>
      <c r="AX161" s="179">
        <f t="shared" si="115"/>
        <v>0</v>
      </c>
      <c r="AY161" s="145">
        <f t="shared" si="131"/>
        <v>0.82432098777777774</v>
      </c>
      <c r="AZ161" s="145">
        <f t="shared" si="116"/>
        <v>6.2188888899999988</v>
      </c>
      <c r="BA161" s="145">
        <f t="shared" si="117"/>
        <v>305.71780539502555</v>
      </c>
      <c r="BB161" s="145">
        <f t="shared" si="118"/>
        <v>0.24875555559999996</v>
      </c>
      <c r="BC161" s="145">
        <f t="shared" si="119"/>
        <v>12.228712215801018</v>
      </c>
      <c r="BD161" s="145">
        <f t="shared" si="120"/>
        <v>216.32774657383075</v>
      </c>
      <c r="BE161" s="145">
        <f t="shared" si="121"/>
        <v>2.46663992583197</v>
      </c>
      <c r="BF161" s="145">
        <f t="shared" si="122"/>
        <v>6</v>
      </c>
    </row>
    <row r="162" spans="2:58">
      <c r="B162" s="116">
        <f t="shared" si="98"/>
        <v>159</v>
      </c>
      <c r="C162" s="69">
        <f t="shared" si="123"/>
        <v>42163</v>
      </c>
      <c r="D162" s="257">
        <f>IF(ISERROR(VLOOKUP($C162,'NDVI real'!$T$8:$U$313,2,FALSE)),VLOOKUP(SWB!C162,'NDVI tipo'!$T$8:$U$193,2),VLOOKUP($C162,'NDVI real'!$T$8:$U$313,2,FALSE))</f>
        <v>0.79585648152777777</v>
      </c>
      <c r="E162" s="170">
        <f t="shared" si="88"/>
        <v>6</v>
      </c>
      <c r="F162" s="170">
        <f t="shared" si="89"/>
        <v>8</v>
      </c>
      <c r="G162" s="170">
        <f t="shared" si="90"/>
        <v>2015</v>
      </c>
      <c r="H162" s="170">
        <f t="shared" si="99"/>
        <v>159</v>
      </c>
      <c r="I162" s="190">
        <f>IF(ISERROR(VLOOKUP($C162,Clima!$U$8:$AH$900,3,FALSE)),VLOOKUP($C162,Clima!$D$8:$R$900,3),VLOOKUP($C162,Clima!$U$8:$AH$900,3,FALSE))</f>
        <v>22.4</v>
      </c>
      <c r="J162" s="191"/>
      <c r="K162" s="170"/>
      <c r="L162" s="192">
        <f>IF(ISERROR(VLOOKUP($C162,Clima!$U$8:$AH$900,14,FALSE)),VLOOKUP($C162,Clima!$D$8:$R$900,14),VLOOKUP($C162,Clima!$U$8:$AH$900,14,FALSE))</f>
        <v>6.6</v>
      </c>
      <c r="M162" s="190"/>
      <c r="N162" s="190"/>
      <c r="O162" s="191"/>
      <c r="P162" s="191">
        <f>IF(ISERROR(VLOOKUP($C162,Clima!$W$8:$AH$350,12,FALSE)),VLOOKUP($C162,Clima!$E$8:$P$350,12),VLOOKUP($C162,Clima!$W$8:$AH$350,12,FALSE))</f>
        <v>0</v>
      </c>
      <c r="Q162" s="170">
        <f t="shared" si="124"/>
        <v>335.66824432256954</v>
      </c>
      <c r="R162" s="254">
        <f>VLOOKUP(C162,Clima!$V$8:$AH$900,3,FALSE)+R161</f>
        <v>1595.4000000000005</v>
      </c>
      <c r="S162" s="455">
        <f t="shared" si="100"/>
        <v>1.0460333333999998</v>
      </c>
      <c r="T162" s="449">
        <f t="shared" si="101"/>
        <v>6.9038200004399988</v>
      </c>
      <c r="U162" s="195"/>
      <c r="V162" s="445">
        <f t="shared" si="91"/>
        <v>1.1338733331349999</v>
      </c>
      <c r="W162" s="446">
        <f t="shared" si="102"/>
        <v>5</v>
      </c>
      <c r="X162" s="447">
        <f t="shared" si="125"/>
        <v>0.89248888756666667</v>
      </c>
      <c r="Y162" s="448">
        <f t="shared" si="103"/>
        <v>1</v>
      </c>
      <c r="Z162" s="449">
        <f t="shared" si="92"/>
        <v>0.10751111243333333</v>
      </c>
      <c r="AA162" s="449">
        <f t="shared" si="126"/>
        <v>0</v>
      </c>
      <c r="AB162" s="451">
        <f t="shared" si="104"/>
        <v>0.60606060606060608</v>
      </c>
      <c r="AC162" s="449">
        <f t="shared" si="93"/>
        <v>5.323636347575765E-2</v>
      </c>
      <c r="AD162" s="449">
        <f t="shared" si="94"/>
        <v>0.35135999894000047</v>
      </c>
      <c r="AE162" s="448">
        <f t="shared" si="127"/>
        <v>3.256883044939118</v>
      </c>
      <c r="AF162" s="449">
        <f t="shared" si="128"/>
        <v>3.2681272752886419</v>
      </c>
      <c r="AG162" s="449">
        <f t="shared" si="95"/>
        <v>1.0992696968757574</v>
      </c>
      <c r="AH162" s="449">
        <f t="shared" si="96"/>
        <v>7.2551799993799984</v>
      </c>
      <c r="AI162" s="448"/>
      <c r="AJ162" s="449">
        <f t="shared" si="105"/>
        <v>0.6</v>
      </c>
      <c r="AK162" s="450">
        <f t="shared" si="97"/>
        <v>39</v>
      </c>
      <c r="AL162" s="449">
        <f t="shared" si="129"/>
        <v>44.727672779620441</v>
      </c>
      <c r="AM162" s="451">
        <f>IF(ISERROR(VLOOKUP(C162,Riegos,2,FALSE)),VLOOKUP(C162,Riegos,2,FALSE),VLOOKUP($F$8,Nomen!$A$79:$B$80,2,FALSE)*IF(AND(H162&gt;120,D162&lt;0.45),0,IF(AQ161+AH162&gt;=AK162,MIN(AQ161,$AK$7),0)))</f>
        <v>5</v>
      </c>
      <c r="AN162" s="448">
        <f t="shared" si="106"/>
        <v>0</v>
      </c>
      <c r="AO162" s="448">
        <f t="shared" si="107"/>
        <v>0.72725367716093137</v>
      </c>
      <c r="AP162" s="449">
        <f t="shared" si="108"/>
        <v>0.81396795162381397</v>
      </c>
      <c r="AQ162" s="449">
        <f t="shared" si="109"/>
        <v>42.844681260957614</v>
      </c>
      <c r="AR162" s="449">
        <f t="shared" si="130"/>
        <v>144.49878730599235</v>
      </c>
      <c r="AS162" s="449">
        <f t="shared" si="110"/>
        <v>5.3721884807171723</v>
      </c>
      <c r="AT162" s="449">
        <f t="shared" si="111"/>
        <v>385.86761554520712</v>
      </c>
      <c r="AU162" s="453">
        <f t="shared" si="112"/>
        <v>230</v>
      </c>
      <c r="AV162" s="145">
        <f t="shared" si="113"/>
        <v>136.90000000000003</v>
      </c>
      <c r="AW162" s="178">
        <f t="shared" si="114"/>
        <v>0</v>
      </c>
      <c r="AX162" s="179">
        <f t="shared" si="115"/>
        <v>0</v>
      </c>
      <c r="AY162" s="145">
        <f t="shared" si="131"/>
        <v>0.79585648152777777</v>
      </c>
      <c r="AZ162" s="145">
        <f t="shared" si="116"/>
        <v>6.558979167125</v>
      </c>
      <c r="BA162" s="145">
        <f t="shared" si="117"/>
        <v>312.27678456215057</v>
      </c>
      <c r="BB162" s="145">
        <f t="shared" si="118"/>
        <v>0.26235916668499998</v>
      </c>
      <c r="BC162" s="145">
        <f t="shared" si="119"/>
        <v>12.491071382486018</v>
      </c>
      <c r="BD162" s="145">
        <f t="shared" si="120"/>
        <v>218.90536683601565</v>
      </c>
      <c r="BE162" s="145">
        <f t="shared" si="121"/>
        <v>2.5776202621848938</v>
      </c>
      <c r="BF162" s="145">
        <f t="shared" si="122"/>
        <v>6.6</v>
      </c>
    </row>
    <row r="163" spans="2:58">
      <c r="B163" s="116">
        <f t="shared" si="98"/>
        <v>160</v>
      </c>
      <c r="C163" s="69">
        <f t="shared" si="123"/>
        <v>42164</v>
      </c>
      <c r="D163" s="257">
        <f>IF(ISERROR(VLOOKUP($C163,'NDVI real'!$T$8:$U$313,2,FALSE)),VLOOKUP(SWB!C163,'NDVI tipo'!$T$8:$U$193,2),VLOOKUP($C163,'NDVI real'!$T$8:$U$313,2,FALSE))</f>
        <v>0.7673919752777778</v>
      </c>
      <c r="E163" s="170">
        <f t="shared" si="88"/>
        <v>6</v>
      </c>
      <c r="F163" s="170">
        <f t="shared" si="89"/>
        <v>9</v>
      </c>
      <c r="G163" s="170">
        <f t="shared" si="90"/>
        <v>2015</v>
      </c>
      <c r="H163" s="170">
        <f t="shared" si="99"/>
        <v>160</v>
      </c>
      <c r="I163" s="190">
        <f>IF(ISERROR(VLOOKUP($C163,Clima!$U$8:$AH$900,3,FALSE)),VLOOKUP($C163,Clima!$D$8:$R$900,3),VLOOKUP($C163,Clima!$U$8:$AH$900,3,FALSE))</f>
        <v>23.6</v>
      </c>
      <c r="J163" s="191"/>
      <c r="K163" s="170"/>
      <c r="L163" s="192">
        <f>IF(ISERROR(VLOOKUP($C163,Clima!$U$8:$AH$900,14,FALSE)),VLOOKUP($C163,Clima!$D$8:$R$900,14),VLOOKUP($C163,Clima!$U$8:$AH$900,14,FALSE))</f>
        <v>7.1</v>
      </c>
      <c r="M163" s="190"/>
      <c r="N163" s="190"/>
      <c r="O163" s="191"/>
      <c r="P163" s="191">
        <f>IF(ISERROR(VLOOKUP($C163,Clima!$W$8:$AH$350,12,FALSE)),VLOOKUP($C163,Clima!$E$8:$P$350,12),VLOOKUP($C163,Clima!$W$8:$AH$350,12,FALSE))</f>
        <v>5.7</v>
      </c>
      <c r="Q163" s="170">
        <f t="shared" si="124"/>
        <v>342.53364224461831</v>
      </c>
      <c r="R163" s="254">
        <f>VLOOKUP(C163,Clima!$V$8:$AH$900,3,FALSE)+R162</f>
        <v>1616.8000000000006</v>
      </c>
      <c r="S163" s="455">
        <f t="shared" si="100"/>
        <v>1.0050444444</v>
      </c>
      <c r="T163" s="449">
        <f t="shared" si="101"/>
        <v>7.1358155552399998</v>
      </c>
      <c r="U163" s="195"/>
      <c r="V163" s="445">
        <f t="shared" si="91"/>
        <v>1.1338733331349999</v>
      </c>
      <c r="W163" s="446">
        <f t="shared" si="102"/>
        <v>5</v>
      </c>
      <c r="X163" s="447">
        <f t="shared" si="125"/>
        <v>0.89248888756666667</v>
      </c>
      <c r="Y163" s="448">
        <f t="shared" si="103"/>
        <v>1</v>
      </c>
      <c r="Z163" s="449">
        <f t="shared" si="92"/>
        <v>0.10751111243333333</v>
      </c>
      <c r="AA163" s="449">
        <f t="shared" si="126"/>
        <v>0</v>
      </c>
      <c r="AB163" s="451">
        <f t="shared" si="104"/>
        <v>0.56338028169014087</v>
      </c>
      <c r="AC163" s="449">
        <f t="shared" si="93"/>
        <v>7.257965562535211E-2</v>
      </c>
      <c r="AD163" s="449">
        <f t="shared" si="94"/>
        <v>0.51531555493999992</v>
      </c>
      <c r="AE163" s="448">
        <f t="shared" si="127"/>
        <v>7.4318727247113578</v>
      </c>
      <c r="AF163" s="449">
        <f t="shared" si="128"/>
        <v>4.7931375955163933</v>
      </c>
      <c r="AG163" s="449">
        <f t="shared" si="95"/>
        <v>1.0776241000253521</v>
      </c>
      <c r="AH163" s="449">
        <f t="shared" si="96"/>
        <v>7.6511311101799997</v>
      </c>
      <c r="AI163" s="448"/>
      <c r="AJ163" s="449">
        <f t="shared" si="105"/>
        <v>0.6</v>
      </c>
      <c r="AK163" s="450">
        <f t="shared" si="97"/>
        <v>39</v>
      </c>
      <c r="AL163" s="449">
        <f t="shared" si="129"/>
        <v>39.795812371137615</v>
      </c>
      <c r="AM163" s="451">
        <f>IF(ISERROR(VLOOKUP(C163,Riegos,2,FALSE)),VLOOKUP(C163,Riegos,2,FALSE),VLOOKUP($F$8,Nomen!$A$79:$B$80,2,FALSE)*IF(AND(H163&gt;120,D163&lt;0.45),0,IF(AQ162+AH163&gt;=AK163,MIN(AQ162,$AK$7),0)))</f>
        <v>5</v>
      </c>
      <c r="AN163" s="448">
        <f t="shared" si="106"/>
        <v>0</v>
      </c>
      <c r="AO163" s="448">
        <f t="shared" si="107"/>
        <v>0.96210417280297078</v>
      </c>
      <c r="AP163" s="449">
        <f t="shared" si="108"/>
        <v>1.0395371094350354</v>
      </c>
      <c r="AQ163" s="449">
        <f t="shared" si="109"/>
        <v>39.525394737946364</v>
      </c>
      <c r="AR163" s="449">
        <f t="shared" si="130"/>
        <v>145.46089147879533</v>
      </c>
      <c r="AS163" s="449">
        <f t="shared" si="110"/>
        <v>7.3807134769887508</v>
      </c>
      <c r="AT163" s="449">
        <f t="shared" si="111"/>
        <v>393.24832902219589</v>
      </c>
      <c r="AU163" s="453">
        <f t="shared" si="112"/>
        <v>235</v>
      </c>
      <c r="AV163" s="145">
        <f t="shared" si="113"/>
        <v>142.60000000000002</v>
      </c>
      <c r="AW163" s="178">
        <f t="shared" si="114"/>
        <v>0</v>
      </c>
      <c r="AX163" s="179">
        <f t="shared" si="115"/>
        <v>0</v>
      </c>
      <c r="AY163" s="145">
        <f t="shared" si="131"/>
        <v>0.7673919752777778</v>
      </c>
      <c r="AZ163" s="145">
        <f t="shared" si="116"/>
        <v>6.7527245367083344</v>
      </c>
      <c r="BA163" s="145">
        <f t="shared" si="117"/>
        <v>319.02950909885891</v>
      </c>
      <c r="BB163" s="145">
        <f t="shared" si="118"/>
        <v>0.2701089814683334</v>
      </c>
      <c r="BC163" s="145">
        <f t="shared" si="119"/>
        <v>12.761180363954351</v>
      </c>
      <c r="BD163" s="145">
        <f t="shared" si="120"/>
        <v>221.53424763352791</v>
      </c>
      <c r="BE163" s="145">
        <f t="shared" si="121"/>
        <v>2.6288807975122666</v>
      </c>
      <c r="BF163" s="145">
        <f t="shared" si="122"/>
        <v>7.1</v>
      </c>
    </row>
    <row r="164" spans="2:58">
      <c r="B164" s="116">
        <f t="shared" si="98"/>
        <v>161</v>
      </c>
      <c r="C164" s="69">
        <f t="shared" si="123"/>
        <v>42165</v>
      </c>
      <c r="D164" s="257">
        <f>IF(ISERROR(VLOOKUP($C164,'NDVI real'!$T$8:$U$313,2,FALSE)),VLOOKUP(SWB!C164,'NDVI tipo'!$T$8:$U$193,2),VLOOKUP($C164,'NDVI real'!$T$8:$U$313,2,FALSE))</f>
        <v>0.73892746902777784</v>
      </c>
      <c r="E164" s="170">
        <f t="shared" si="88"/>
        <v>6</v>
      </c>
      <c r="F164" s="170">
        <f t="shared" si="89"/>
        <v>10</v>
      </c>
      <c r="G164" s="170">
        <f t="shared" si="90"/>
        <v>2015</v>
      </c>
      <c r="H164" s="170">
        <f t="shared" si="99"/>
        <v>161</v>
      </c>
      <c r="I164" s="190">
        <f>IF(ISERROR(VLOOKUP($C164,Clima!$U$8:$AH$900,3,FALSE)),VLOOKUP($C164,Clima!$D$8:$R$900,3),VLOOKUP($C164,Clima!$U$8:$AH$900,3,FALSE))</f>
        <v>24.5</v>
      </c>
      <c r="J164" s="191"/>
      <c r="K164" s="170"/>
      <c r="L164" s="192">
        <f>IF(ISERROR(VLOOKUP($C164,Clima!$U$8:$AH$900,14,FALSE)),VLOOKUP($C164,Clima!$D$8:$R$900,14),VLOOKUP($C164,Clima!$U$8:$AH$900,14,FALSE))</f>
        <v>6.9</v>
      </c>
      <c r="M164" s="190"/>
      <c r="N164" s="190"/>
      <c r="O164" s="191"/>
      <c r="P164" s="191">
        <f>IF(ISERROR(VLOOKUP($C164,Clima!$W$8:$AH$350,12,FALSE)),VLOOKUP($C164,Clima!$E$8:$P$350,12),VLOOKUP($C164,Clima!$W$8:$AH$350,12,FALSE))</f>
        <v>1</v>
      </c>
      <c r="Q164" s="170">
        <f t="shared" si="124"/>
        <v>348.59751131940976</v>
      </c>
      <c r="R164" s="254">
        <f>VLOOKUP(C164,Clima!$V$8:$AH$900,3,FALSE)+R163</f>
        <v>1636.5000000000007</v>
      </c>
      <c r="S164" s="455">
        <f t="shared" si="100"/>
        <v>0.96405555539999999</v>
      </c>
      <c r="T164" s="449">
        <f t="shared" si="101"/>
        <v>6.6519833322600004</v>
      </c>
      <c r="U164" s="195"/>
      <c r="V164" s="445">
        <f t="shared" si="91"/>
        <v>1.1338733331349999</v>
      </c>
      <c r="W164" s="446">
        <f t="shared" si="102"/>
        <v>5</v>
      </c>
      <c r="X164" s="447">
        <f t="shared" si="125"/>
        <v>0.89248888756666667</v>
      </c>
      <c r="Y164" s="448">
        <f t="shared" si="103"/>
        <v>1</v>
      </c>
      <c r="Z164" s="449">
        <f t="shared" si="92"/>
        <v>0.10751111243333333</v>
      </c>
      <c r="AA164" s="449">
        <f t="shared" si="126"/>
        <v>0</v>
      </c>
      <c r="AB164" s="451">
        <f t="shared" si="104"/>
        <v>0.57971014492753625</v>
      </c>
      <c r="AC164" s="449">
        <f t="shared" si="93"/>
        <v>9.8445088542028963E-2</v>
      </c>
      <c r="AD164" s="449">
        <f t="shared" si="94"/>
        <v>0.67927111093999992</v>
      </c>
      <c r="AE164" s="448">
        <f t="shared" si="127"/>
        <v>1.2068624044836067</v>
      </c>
      <c r="AF164" s="449">
        <f t="shared" si="128"/>
        <v>6.3181479157441496</v>
      </c>
      <c r="AG164" s="449">
        <f t="shared" si="95"/>
        <v>1.062500643942029</v>
      </c>
      <c r="AH164" s="449">
        <f t="shared" si="96"/>
        <v>7.3312544432000006</v>
      </c>
      <c r="AI164" s="448"/>
      <c r="AJ164" s="449">
        <f t="shared" si="105"/>
        <v>0.6</v>
      </c>
      <c r="AK164" s="450">
        <f t="shared" si="97"/>
        <v>39</v>
      </c>
      <c r="AL164" s="449">
        <f t="shared" si="129"/>
        <v>40.856649181146366</v>
      </c>
      <c r="AM164" s="451">
        <f>IF(ISERROR(VLOOKUP(C164,Riegos,2,FALSE)),VLOOKUP(C164,Riegos,2,FALSE),VLOOKUP($F$8,Nomen!$A$79:$B$80,2,FALSE)*IF(AND(H164&gt;120,D164&lt;0.45),0,IF(AQ163+AH164&gt;=AK164,MIN(AQ163,$AK$7),0)))</f>
        <v>5</v>
      </c>
      <c r="AN164" s="448">
        <f t="shared" si="106"/>
        <v>0</v>
      </c>
      <c r="AO164" s="448">
        <f t="shared" si="107"/>
        <v>0.91158813423112539</v>
      </c>
      <c r="AP164" s="449">
        <f t="shared" si="108"/>
        <v>0.97726669358426621</v>
      </c>
      <c r="AQ164" s="449">
        <f t="shared" si="109"/>
        <v>40.268534923677798</v>
      </c>
      <c r="AR164" s="449">
        <f t="shared" si="130"/>
        <v>146.37247961302646</v>
      </c>
      <c r="AS164" s="449">
        <f t="shared" si="110"/>
        <v>6.7431401857314368</v>
      </c>
      <c r="AT164" s="449">
        <f t="shared" si="111"/>
        <v>399.99146920792731</v>
      </c>
      <c r="AU164" s="453">
        <f t="shared" si="112"/>
        <v>240</v>
      </c>
      <c r="AV164" s="145">
        <f t="shared" si="113"/>
        <v>143.60000000000002</v>
      </c>
      <c r="AW164" s="178">
        <f t="shared" si="114"/>
        <v>0</v>
      </c>
      <c r="AX164" s="179">
        <f t="shared" si="115"/>
        <v>0</v>
      </c>
      <c r="AY164" s="145">
        <f t="shared" si="131"/>
        <v>0.73892746902777784</v>
      </c>
      <c r="AZ164" s="145">
        <f t="shared" si="116"/>
        <v>6.2678993044375009</v>
      </c>
      <c r="BA164" s="145">
        <f t="shared" si="117"/>
        <v>325.2974084032964</v>
      </c>
      <c r="BB164" s="145">
        <f t="shared" si="118"/>
        <v>0.25071597217750002</v>
      </c>
      <c r="BC164" s="145">
        <f t="shared" si="119"/>
        <v>13.011896336131851</v>
      </c>
      <c r="BD164" s="145">
        <f t="shared" si="120"/>
        <v>221.20223771424151</v>
      </c>
      <c r="BE164" s="145">
        <f t="shared" si="121"/>
        <v>-0.33200991928640633</v>
      </c>
      <c r="BF164" s="145">
        <f t="shared" si="122"/>
        <v>6.9</v>
      </c>
    </row>
    <row r="165" spans="2:58">
      <c r="B165" s="116">
        <f t="shared" si="98"/>
        <v>162</v>
      </c>
      <c r="C165" s="69">
        <f t="shared" si="123"/>
        <v>42166</v>
      </c>
      <c r="D165" s="257">
        <f>IF(ISERROR(VLOOKUP($C165,'NDVI real'!$T$8:$U$313,2,FALSE)),VLOOKUP(SWB!C165,'NDVI tipo'!$T$8:$U$193,2),VLOOKUP($C165,'NDVI real'!$T$8:$U$313,2,FALSE))</f>
        <v>0.71046296277777787</v>
      </c>
      <c r="E165" s="170">
        <f t="shared" si="88"/>
        <v>6</v>
      </c>
      <c r="F165" s="170">
        <f t="shared" si="89"/>
        <v>11</v>
      </c>
      <c r="G165" s="170">
        <f t="shared" si="90"/>
        <v>2015</v>
      </c>
      <c r="H165" s="170">
        <f t="shared" si="99"/>
        <v>162</v>
      </c>
      <c r="I165" s="190">
        <f>IF(ISERROR(VLOOKUP($C165,Clima!$U$8:$AH$900,3,FALSE)),VLOOKUP($C165,Clima!$D$8:$R$900,3),VLOOKUP($C165,Clima!$U$8:$AH$900,3,FALSE))</f>
        <v>23.8</v>
      </c>
      <c r="J165" s="191"/>
      <c r="K165" s="170"/>
      <c r="L165" s="192">
        <f>IF(ISERROR(VLOOKUP($C165,Clima!$U$8:$AH$900,14,FALSE)),VLOOKUP($C165,Clima!$D$8:$R$900,14),VLOOKUP($C165,Clima!$U$8:$AH$900,14,FALSE))</f>
        <v>7.4</v>
      </c>
      <c r="M165" s="190"/>
      <c r="N165" s="190"/>
      <c r="O165" s="191"/>
      <c r="P165" s="191">
        <f>IF(ISERROR(VLOOKUP($C165,Clima!$W$8:$AH$350,12,FALSE)),VLOOKUP($C165,Clima!$E$8:$P$350,12),VLOOKUP($C165,Clima!$W$8:$AH$350,12,FALSE))</f>
        <v>23.3</v>
      </c>
      <c r="Q165" s="170">
        <f t="shared" si="124"/>
        <v>355.42820465076977</v>
      </c>
      <c r="R165" s="254">
        <f>VLOOKUP(C165,Clima!$V$8:$AH$900,3,FALSE)+R164</f>
        <v>1653.8000000000006</v>
      </c>
      <c r="S165" s="455">
        <f t="shared" si="100"/>
        <v>0.92306666640000012</v>
      </c>
      <c r="T165" s="449">
        <f t="shared" si="101"/>
        <v>6.8306933313600009</v>
      </c>
      <c r="U165" s="195"/>
      <c r="V165" s="445">
        <f t="shared" si="91"/>
        <v>1.1338733331349999</v>
      </c>
      <c r="W165" s="446">
        <f t="shared" si="102"/>
        <v>5</v>
      </c>
      <c r="X165" s="447">
        <f t="shared" si="125"/>
        <v>0.89248888756666667</v>
      </c>
      <c r="Y165" s="448">
        <f t="shared" si="103"/>
        <v>1</v>
      </c>
      <c r="Z165" s="449">
        <f t="shared" si="92"/>
        <v>0.10751111243333333</v>
      </c>
      <c r="AA165" s="449">
        <f t="shared" si="126"/>
        <v>0</v>
      </c>
      <c r="AB165" s="451">
        <f t="shared" si="104"/>
        <v>0.54054054054054046</v>
      </c>
      <c r="AC165" s="449">
        <f t="shared" si="93"/>
        <v>0.11394954958648637</v>
      </c>
      <c r="AD165" s="449">
        <f t="shared" si="94"/>
        <v>0.84322666693999915</v>
      </c>
      <c r="AE165" s="448">
        <f t="shared" si="127"/>
        <v>21.981852084255852</v>
      </c>
      <c r="AF165" s="449">
        <f t="shared" si="128"/>
        <v>7.8431582359718988</v>
      </c>
      <c r="AG165" s="449">
        <f t="shared" si="95"/>
        <v>1.0370162159864864</v>
      </c>
      <c r="AH165" s="449">
        <f t="shared" si="96"/>
        <v>7.6739199982999997</v>
      </c>
      <c r="AI165" s="448"/>
      <c r="AJ165" s="449">
        <f t="shared" si="105"/>
        <v>0.6</v>
      </c>
      <c r="AK165" s="450">
        <f t="shared" si="97"/>
        <v>39</v>
      </c>
      <c r="AL165" s="449">
        <f t="shared" si="129"/>
        <v>19.642454921977798</v>
      </c>
      <c r="AM165" s="451">
        <f>IF(ISERROR(VLOOKUP(C165,Riegos,2,FALSE)),VLOOKUP(C165,Riegos,2,FALSE),VLOOKUP($F$8,Nomen!$A$79:$B$80,2,FALSE)*IF(AND(H165&gt;120,D165&lt;0.45),0,IF(AQ164+AH165&gt;=AK165,MIN(AQ164,$AK$7),0)))</f>
        <v>5</v>
      </c>
      <c r="AN165" s="448">
        <f t="shared" si="106"/>
        <v>0</v>
      </c>
      <c r="AO165" s="448">
        <f t="shared" si="107"/>
        <v>1</v>
      </c>
      <c r="AP165" s="449">
        <f t="shared" si="108"/>
        <v>1.0370162159864864</v>
      </c>
      <c r="AQ165" s="449">
        <f t="shared" si="109"/>
        <v>19.642454921977798</v>
      </c>
      <c r="AR165" s="449">
        <f t="shared" si="130"/>
        <v>147.37247961302646</v>
      </c>
      <c r="AS165" s="449">
        <f t="shared" si="110"/>
        <v>7.6739199982999997</v>
      </c>
      <c r="AT165" s="449">
        <f t="shared" si="111"/>
        <v>407.6653892062273</v>
      </c>
      <c r="AU165" s="453">
        <f t="shared" si="112"/>
        <v>245</v>
      </c>
      <c r="AV165" s="145">
        <f t="shared" si="113"/>
        <v>166.90000000000003</v>
      </c>
      <c r="AW165" s="178">
        <f t="shared" si="114"/>
        <v>0</v>
      </c>
      <c r="AX165" s="179">
        <f t="shared" si="115"/>
        <v>0</v>
      </c>
      <c r="AY165" s="145">
        <f t="shared" si="131"/>
        <v>0.71046296277777787</v>
      </c>
      <c r="AZ165" s="145">
        <f t="shared" si="116"/>
        <v>6.4061388868333342</v>
      </c>
      <c r="BA165" s="145">
        <f t="shared" si="117"/>
        <v>331.70354729012973</v>
      </c>
      <c r="BB165" s="145">
        <f t="shared" si="118"/>
        <v>0.25624555547333339</v>
      </c>
      <c r="BC165" s="145">
        <f t="shared" si="119"/>
        <v>13.268141891605184</v>
      </c>
      <c r="BD165" s="145">
        <f t="shared" si="120"/>
        <v>225.55841215728813</v>
      </c>
      <c r="BE165" s="145">
        <f t="shared" si="121"/>
        <v>4.3561744430466263</v>
      </c>
      <c r="BF165" s="145">
        <f t="shared" si="122"/>
        <v>7.4</v>
      </c>
    </row>
    <row r="166" spans="2:58">
      <c r="B166" s="116">
        <f t="shared" si="98"/>
        <v>163</v>
      </c>
      <c r="C166" s="69">
        <f t="shared" si="123"/>
        <v>42167</v>
      </c>
      <c r="D166" s="257">
        <f>IF(ISERROR(VLOOKUP($C166,'NDVI real'!$T$8:$U$313,2,FALSE)),VLOOKUP(SWB!C166,'NDVI tipo'!$T$8:$U$193,2),VLOOKUP($C166,'NDVI real'!$T$8:$U$313,2,FALSE))</f>
        <v>0.68199845652777791</v>
      </c>
      <c r="E166" s="170">
        <f t="shared" si="88"/>
        <v>6</v>
      </c>
      <c r="F166" s="170">
        <f t="shared" si="89"/>
        <v>12</v>
      </c>
      <c r="G166" s="170">
        <f t="shared" si="90"/>
        <v>2015</v>
      </c>
      <c r="H166" s="170">
        <f t="shared" si="99"/>
        <v>163</v>
      </c>
      <c r="I166" s="190">
        <f>IF(ISERROR(VLOOKUP($C166,Clima!$U$8:$AH$900,3,FALSE)),VLOOKUP($C166,Clima!$D$8:$R$900,3),VLOOKUP($C166,Clima!$U$8:$AH$900,3,FALSE))</f>
        <v>22.1</v>
      </c>
      <c r="J166" s="191"/>
      <c r="K166" s="170"/>
      <c r="L166" s="192">
        <f>IF(ISERROR(VLOOKUP($C166,Clima!$U$8:$AH$900,14,FALSE)),VLOOKUP($C166,Clima!$D$8:$R$900,14),VLOOKUP($C166,Clima!$U$8:$AH$900,14,FALSE))</f>
        <v>6.2</v>
      </c>
      <c r="M166" s="190"/>
      <c r="N166" s="190"/>
      <c r="O166" s="191"/>
      <c r="P166" s="191">
        <f>IF(ISERROR(VLOOKUP($C166,Clima!$W$8:$AH$350,12,FALSE)),VLOOKUP($C166,Clima!$E$8:$P$350,12),VLOOKUP($C166,Clima!$W$8:$AH$350,12,FALSE))</f>
        <v>0</v>
      </c>
      <c r="Q166" s="170">
        <f t="shared" si="124"/>
        <v>360.89708687064979</v>
      </c>
      <c r="R166" s="254">
        <f>VLOOKUP(C166,Clima!$V$8:$AH$900,3,FALSE)+R165</f>
        <v>1671.4000000000005</v>
      </c>
      <c r="S166" s="455">
        <f t="shared" si="100"/>
        <v>0.88207777740000015</v>
      </c>
      <c r="T166" s="449">
        <f t="shared" si="101"/>
        <v>5.4688822198800011</v>
      </c>
      <c r="U166" s="195"/>
      <c r="V166" s="445">
        <f t="shared" si="91"/>
        <v>1.1338733331349999</v>
      </c>
      <c r="W166" s="446">
        <f t="shared" si="102"/>
        <v>5</v>
      </c>
      <c r="X166" s="447">
        <f t="shared" si="125"/>
        <v>0.89248888756666667</v>
      </c>
      <c r="Y166" s="448">
        <f t="shared" si="103"/>
        <v>1</v>
      </c>
      <c r="Z166" s="449">
        <f t="shared" si="92"/>
        <v>0.10751111243333333</v>
      </c>
      <c r="AA166" s="449">
        <f t="shared" si="126"/>
        <v>2.8431582359718988</v>
      </c>
      <c r="AB166" s="451">
        <f t="shared" si="104"/>
        <v>0.64516129032258063</v>
      </c>
      <c r="AC166" s="449">
        <f t="shared" si="93"/>
        <v>0.1219039834038354</v>
      </c>
      <c r="AD166" s="449">
        <f t="shared" si="94"/>
        <v>0.75580469710377951</v>
      </c>
      <c r="AE166" s="448">
        <f t="shared" si="127"/>
        <v>0</v>
      </c>
      <c r="AF166" s="449">
        <f t="shared" si="128"/>
        <v>9.8731729014088998</v>
      </c>
      <c r="AG166" s="449">
        <f t="shared" si="95"/>
        <v>1.0039817608038355</v>
      </c>
      <c r="AH166" s="449">
        <f t="shared" si="96"/>
        <v>6.2246869169837806</v>
      </c>
      <c r="AI166" s="448"/>
      <c r="AJ166" s="449">
        <f t="shared" si="105"/>
        <v>0.6</v>
      </c>
      <c r="AK166" s="450">
        <f t="shared" si="97"/>
        <v>39</v>
      </c>
      <c r="AL166" s="449">
        <f t="shared" si="129"/>
        <v>20.867141838961579</v>
      </c>
      <c r="AM166" s="451">
        <f>IF(ISERROR(VLOOKUP(C166,Riegos,2,FALSE)),VLOOKUP(C166,Riegos,2,FALSE),VLOOKUP($F$8,Nomen!$A$79:$B$80,2,FALSE)*IF(AND(H166&gt;120,D166&lt;0.45),0,IF(AQ165+AH166&gt;=AK166,MIN(AQ165,$AK$7),0)))</f>
        <v>0</v>
      </c>
      <c r="AN166" s="448">
        <f t="shared" si="106"/>
        <v>0</v>
      </c>
      <c r="AO166" s="448">
        <f t="shared" si="107"/>
        <v>1</v>
      </c>
      <c r="AP166" s="449">
        <f t="shared" si="108"/>
        <v>1.0039817608038355</v>
      </c>
      <c r="AQ166" s="449">
        <f t="shared" si="109"/>
        <v>20.867141838961579</v>
      </c>
      <c r="AR166" s="449">
        <f t="shared" si="130"/>
        <v>148.37247961302646</v>
      </c>
      <c r="AS166" s="449">
        <f t="shared" si="110"/>
        <v>6.2246869169837806</v>
      </c>
      <c r="AT166" s="449">
        <f t="shared" si="111"/>
        <v>413.89007612321109</v>
      </c>
      <c r="AU166" s="453">
        <f t="shared" si="112"/>
        <v>245</v>
      </c>
      <c r="AV166" s="145">
        <f t="shared" si="113"/>
        <v>166.90000000000003</v>
      </c>
      <c r="AW166" s="178">
        <f t="shared" si="114"/>
        <v>0</v>
      </c>
      <c r="AX166" s="179">
        <f t="shared" si="115"/>
        <v>0</v>
      </c>
      <c r="AY166" s="145">
        <f t="shared" si="131"/>
        <v>0.68199845652777791</v>
      </c>
      <c r="AZ166" s="145">
        <f t="shared" si="116"/>
        <v>5.1025856457083352</v>
      </c>
      <c r="BA166" s="145">
        <f t="shared" si="117"/>
        <v>336.80613293583809</v>
      </c>
      <c r="BB166" s="145">
        <f t="shared" si="118"/>
        <v>0.20410342582833341</v>
      </c>
      <c r="BC166" s="145">
        <f t="shared" si="119"/>
        <v>13.472245317433519</v>
      </c>
      <c r="BD166" s="145">
        <f t="shared" si="120"/>
        <v>229.02817039636983</v>
      </c>
      <c r="BE166" s="145">
        <f t="shared" si="121"/>
        <v>3.469758239081699</v>
      </c>
      <c r="BF166" s="145">
        <f t="shared" si="122"/>
        <v>6.2</v>
      </c>
    </row>
    <row r="167" spans="2:58">
      <c r="B167" s="116">
        <f t="shared" si="98"/>
        <v>164</v>
      </c>
      <c r="C167" s="69">
        <f t="shared" si="123"/>
        <v>42168</v>
      </c>
      <c r="D167" s="257">
        <f>IF(ISERROR(VLOOKUP($C167,'NDVI real'!$T$8:$U$313,2,FALSE)),VLOOKUP(SWB!C167,'NDVI tipo'!$T$8:$U$193,2),VLOOKUP($C167,'NDVI real'!$T$8:$U$313,2,FALSE))</f>
        <v>0.65353395027777794</v>
      </c>
      <c r="E167" s="170">
        <f t="shared" si="88"/>
        <v>6</v>
      </c>
      <c r="F167" s="170">
        <f t="shared" si="89"/>
        <v>13</v>
      </c>
      <c r="G167" s="170">
        <f t="shared" si="90"/>
        <v>2015</v>
      </c>
      <c r="H167" s="170">
        <f t="shared" si="99"/>
        <v>164</v>
      </c>
      <c r="I167" s="190">
        <f>IF(ISERROR(VLOOKUP($C167,Clima!$U$8:$AH$900,3,FALSE)),VLOOKUP($C167,Clima!$D$8:$R$900,3),VLOOKUP($C167,Clima!$U$8:$AH$900,3,FALSE))</f>
        <v>21.9</v>
      </c>
      <c r="J167" s="191"/>
      <c r="K167" s="170"/>
      <c r="L167" s="192">
        <f>IF(ISERROR(VLOOKUP($C167,Clima!$U$8:$AH$900,14,FALSE)),VLOOKUP($C167,Clima!$D$8:$R$900,14),VLOOKUP($C167,Clima!$U$8:$AH$900,14,FALSE))</f>
        <v>6.4</v>
      </c>
      <c r="M167" s="190"/>
      <c r="N167" s="190"/>
      <c r="O167" s="191"/>
      <c r="P167" s="191">
        <f>IF(ISERROR(VLOOKUP($C167,Clima!$W$8:$AH$350,12,FALSE)),VLOOKUP($C167,Clima!$E$8:$P$350,12),VLOOKUP($C167,Clima!$W$8:$AH$350,12,FALSE))</f>
        <v>0</v>
      </c>
      <c r="Q167" s="170">
        <f t="shared" si="124"/>
        <v>366.28005575640981</v>
      </c>
      <c r="R167" s="254">
        <f>VLOOKUP(C167,Clima!$V$8:$AH$900,3,FALSE)+R166</f>
        <v>1688.9000000000005</v>
      </c>
      <c r="S167" s="455">
        <f t="shared" si="100"/>
        <v>0.84108888840000018</v>
      </c>
      <c r="T167" s="449">
        <f t="shared" si="101"/>
        <v>5.3829688857600013</v>
      </c>
      <c r="U167" s="195"/>
      <c r="V167" s="445">
        <f t="shared" si="91"/>
        <v>1.1338733331349999</v>
      </c>
      <c r="W167" s="446">
        <f t="shared" si="102"/>
        <v>0</v>
      </c>
      <c r="X167" s="447">
        <f t="shared" si="125"/>
        <v>0.89248888756666667</v>
      </c>
      <c r="Y167" s="448">
        <f t="shared" si="103"/>
        <v>1</v>
      </c>
      <c r="Z167" s="449">
        <f t="shared" si="92"/>
        <v>0.10751111243333333</v>
      </c>
      <c r="AA167" s="449">
        <f t="shared" si="126"/>
        <v>9.8731729014088998</v>
      </c>
      <c r="AB167" s="451">
        <f t="shared" si="104"/>
        <v>0</v>
      </c>
      <c r="AC167" s="449">
        <f t="shared" si="93"/>
        <v>0</v>
      </c>
      <c r="AD167" s="449">
        <f t="shared" si="94"/>
        <v>0</v>
      </c>
      <c r="AE167" s="448">
        <f t="shared" si="127"/>
        <v>0</v>
      </c>
      <c r="AF167" s="449">
        <f t="shared" si="128"/>
        <v>9.8731729014088998</v>
      </c>
      <c r="AG167" s="449">
        <f t="shared" si="95"/>
        <v>0.84108888840000018</v>
      </c>
      <c r="AH167" s="449">
        <f t="shared" si="96"/>
        <v>5.3829688857600013</v>
      </c>
      <c r="AI167" s="448"/>
      <c r="AJ167" s="449">
        <f t="shared" si="105"/>
        <v>0.6</v>
      </c>
      <c r="AK167" s="450">
        <f t="shared" si="97"/>
        <v>39</v>
      </c>
      <c r="AL167" s="449">
        <f t="shared" si="129"/>
        <v>26.25011072472158</v>
      </c>
      <c r="AM167" s="451">
        <f>IF(ISERROR(VLOOKUP(C167,Riegos,2,FALSE)),VLOOKUP(C167,Riegos,2,FALSE),VLOOKUP($F$8,Nomen!$A$79:$B$80,2,FALSE)*IF(AND(H167&gt;120,D167&lt;0.45),0,IF(AQ166+AH167&gt;=AK167,MIN(AQ166,$AK$7),0)))</f>
        <v>0</v>
      </c>
      <c r="AN167" s="448">
        <f t="shared" si="106"/>
        <v>0</v>
      </c>
      <c r="AO167" s="448">
        <f t="shared" si="107"/>
        <v>1</v>
      </c>
      <c r="AP167" s="449">
        <f t="shared" si="108"/>
        <v>0.84108888840000018</v>
      </c>
      <c r="AQ167" s="449">
        <f t="shared" si="109"/>
        <v>26.25011072472158</v>
      </c>
      <c r="AR167" s="449">
        <f t="shared" si="130"/>
        <v>149.37247961302646</v>
      </c>
      <c r="AS167" s="449">
        <f t="shared" si="110"/>
        <v>5.3829688857600013</v>
      </c>
      <c r="AT167" s="449">
        <f t="shared" si="111"/>
        <v>419.27304500897111</v>
      </c>
      <c r="AU167" s="453">
        <f t="shared" si="112"/>
        <v>245</v>
      </c>
      <c r="AV167" s="145">
        <f t="shared" si="113"/>
        <v>166.90000000000003</v>
      </c>
      <c r="AW167" s="178">
        <f t="shared" si="114"/>
        <v>0</v>
      </c>
      <c r="AX167" s="179">
        <f t="shared" si="115"/>
        <v>0</v>
      </c>
      <c r="AY167" s="145">
        <f t="shared" si="131"/>
        <v>0.65353395027777794</v>
      </c>
      <c r="AZ167" s="145">
        <f t="shared" si="116"/>
        <v>4.9939259226666683</v>
      </c>
      <c r="BA167" s="145">
        <f t="shared" si="117"/>
        <v>341.80005885850477</v>
      </c>
      <c r="BB167" s="145">
        <f t="shared" si="118"/>
        <v>0.19975703690666674</v>
      </c>
      <c r="BC167" s="145">
        <f t="shared" si="119"/>
        <v>13.672002354340185</v>
      </c>
      <c r="BD167" s="145">
        <f t="shared" si="120"/>
        <v>232.42404002378316</v>
      </c>
      <c r="BE167" s="145">
        <f t="shared" si="121"/>
        <v>3.3958696274133331</v>
      </c>
      <c r="BF167" s="145">
        <f t="shared" si="122"/>
        <v>6.4</v>
      </c>
    </row>
    <row r="168" spans="2:58">
      <c r="B168" s="116">
        <f t="shared" si="98"/>
        <v>165</v>
      </c>
      <c r="C168" s="69">
        <f t="shared" si="123"/>
        <v>42169</v>
      </c>
      <c r="D168" s="257">
        <f>IF(ISERROR(VLOOKUP($C168,'NDVI real'!$T$8:$U$313,2,FALSE)),VLOOKUP(SWB!C168,'NDVI tipo'!$T$8:$U$193,2),VLOOKUP($C168,'NDVI real'!$T$8:$U$313,2,FALSE))</f>
        <v>0.62506944402777798</v>
      </c>
      <c r="E168" s="170">
        <f t="shared" si="88"/>
        <v>6</v>
      </c>
      <c r="F168" s="170">
        <f t="shared" si="89"/>
        <v>14</v>
      </c>
      <c r="G168" s="170">
        <f t="shared" si="90"/>
        <v>2015</v>
      </c>
      <c r="H168" s="170">
        <f t="shared" si="99"/>
        <v>165</v>
      </c>
      <c r="I168" s="190">
        <f>IF(ISERROR(VLOOKUP($C168,Clima!$U$8:$AH$900,3,FALSE)),VLOOKUP($C168,Clima!$D$8:$R$900,3),VLOOKUP($C168,Clima!$U$8:$AH$900,3,FALSE))</f>
        <v>24.2</v>
      </c>
      <c r="J168" s="191"/>
      <c r="K168" s="170"/>
      <c r="L168" s="192">
        <f>IF(ISERROR(VLOOKUP($C168,Clima!$U$8:$AH$900,14,FALSE)),VLOOKUP($C168,Clima!$D$8:$R$900,14),VLOOKUP($C168,Clima!$U$8:$AH$900,14,FALSE))</f>
        <v>8.1999999999999993</v>
      </c>
      <c r="M168" s="190"/>
      <c r="N168" s="190"/>
      <c r="O168" s="191"/>
      <c r="P168" s="191">
        <f>IF(ISERROR(VLOOKUP($C168,Clima!$W$8:$AH$350,12,FALSE)),VLOOKUP($C168,Clima!$E$8:$P$350,12),VLOOKUP($C168,Clima!$W$8:$AH$350,12,FALSE))</f>
        <v>0</v>
      </c>
      <c r="Q168" s="170">
        <f t="shared" si="124"/>
        <v>372.84087575148982</v>
      </c>
      <c r="R168" s="254">
        <f>VLOOKUP(C168,Clima!$V$8:$AH$900,3,FALSE)+R167</f>
        <v>1704.9000000000005</v>
      </c>
      <c r="S168" s="455">
        <f t="shared" si="100"/>
        <v>0.80009999940000032</v>
      </c>
      <c r="T168" s="449">
        <f t="shared" si="101"/>
        <v>6.5608199950800019</v>
      </c>
      <c r="U168" s="195"/>
      <c r="V168" s="445">
        <f t="shared" si="91"/>
        <v>1.1338733331349999</v>
      </c>
      <c r="W168" s="446">
        <f t="shared" si="102"/>
        <v>0</v>
      </c>
      <c r="X168" s="447">
        <f t="shared" si="125"/>
        <v>0.89248888756666667</v>
      </c>
      <c r="Y168" s="448">
        <f t="shared" si="103"/>
        <v>1</v>
      </c>
      <c r="Z168" s="449">
        <f t="shared" si="92"/>
        <v>0.10751111243333333</v>
      </c>
      <c r="AA168" s="449">
        <f t="shared" si="126"/>
        <v>9.8731729014088998</v>
      </c>
      <c r="AB168" s="451">
        <f t="shared" si="104"/>
        <v>0</v>
      </c>
      <c r="AC168" s="449">
        <f t="shared" si="93"/>
        <v>0</v>
      </c>
      <c r="AD168" s="449">
        <f t="shared" si="94"/>
        <v>0</v>
      </c>
      <c r="AE168" s="448">
        <f t="shared" si="127"/>
        <v>0</v>
      </c>
      <c r="AF168" s="449">
        <f t="shared" si="128"/>
        <v>9.8731729014088998</v>
      </c>
      <c r="AG168" s="449">
        <f t="shared" si="95"/>
        <v>0.80009999940000032</v>
      </c>
      <c r="AH168" s="449">
        <f t="shared" si="96"/>
        <v>6.5608199950800019</v>
      </c>
      <c r="AI168" s="448"/>
      <c r="AJ168" s="449">
        <f t="shared" si="105"/>
        <v>0.6</v>
      </c>
      <c r="AK168" s="450">
        <f t="shared" si="97"/>
        <v>39</v>
      </c>
      <c r="AL168" s="449">
        <f t="shared" si="129"/>
        <v>32.810930719801583</v>
      </c>
      <c r="AM168" s="451">
        <f>IF(ISERROR(VLOOKUP(C168,Riegos,2,FALSE)),VLOOKUP(C168,Riegos,2,FALSE),VLOOKUP($F$8,Nomen!$A$79:$B$80,2,FALSE)*IF(AND(H168&gt;120,D168&lt;0.45),0,IF(AQ167+AH168&gt;=AK168,MIN(AQ167,$AK$7),0)))</f>
        <v>0</v>
      </c>
      <c r="AN168" s="448">
        <f t="shared" si="106"/>
        <v>0</v>
      </c>
      <c r="AO168" s="448">
        <f t="shared" si="107"/>
        <v>1</v>
      </c>
      <c r="AP168" s="449">
        <f t="shared" si="108"/>
        <v>0.80009999940000032</v>
      </c>
      <c r="AQ168" s="449">
        <f t="shared" si="109"/>
        <v>32.810930719801583</v>
      </c>
      <c r="AR168" s="449">
        <f t="shared" si="130"/>
        <v>150.37247961302646</v>
      </c>
      <c r="AS168" s="449">
        <f t="shared" si="110"/>
        <v>6.5608199950800019</v>
      </c>
      <c r="AT168" s="449">
        <f t="shared" si="111"/>
        <v>425.83386500405112</v>
      </c>
      <c r="AU168" s="453">
        <f t="shared" si="112"/>
        <v>245</v>
      </c>
      <c r="AV168" s="145">
        <f t="shared" si="113"/>
        <v>166.90000000000003</v>
      </c>
      <c r="AW168" s="178">
        <f t="shared" si="114"/>
        <v>0</v>
      </c>
      <c r="AX168" s="179">
        <f t="shared" si="115"/>
        <v>0</v>
      </c>
      <c r="AY168" s="145">
        <f t="shared" si="131"/>
        <v>0.62506944402777798</v>
      </c>
      <c r="AZ168" s="145">
        <f t="shared" si="116"/>
        <v>6.0483541615416687</v>
      </c>
      <c r="BA168" s="145">
        <f t="shared" si="117"/>
        <v>347.84841302004645</v>
      </c>
      <c r="BB168" s="145">
        <f t="shared" si="118"/>
        <v>0.24193416646166674</v>
      </c>
      <c r="BC168" s="145">
        <f t="shared" si="119"/>
        <v>13.913936520801851</v>
      </c>
      <c r="BD168" s="145">
        <f t="shared" si="120"/>
        <v>236.53692085363147</v>
      </c>
      <c r="BE168" s="145">
        <f t="shared" si="121"/>
        <v>4.1128808298483079</v>
      </c>
      <c r="BF168" s="145">
        <f t="shared" si="122"/>
        <v>8.1999999999999993</v>
      </c>
    </row>
    <row r="169" spans="2:58">
      <c r="B169" s="116">
        <f t="shared" si="98"/>
        <v>166</v>
      </c>
      <c r="C169" s="69">
        <f t="shared" si="123"/>
        <v>42170</v>
      </c>
      <c r="D169" s="257">
        <f>IF(ISERROR(VLOOKUP($C169,'NDVI real'!$T$8:$U$313,2,FALSE)),VLOOKUP(SWB!C169,'NDVI tipo'!$T$8:$U$193,2),VLOOKUP($C169,'NDVI real'!$T$8:$U$313,2,FALSE))</f>
        <v>0.59660493777777801</v>
      </c>
      <c r="E169" s="170">
        <f t="shared" si="88"/>
        <v>6</v>
      </c>
      <c r="F169" s="170">
        <f t="shared" si="89"/>
        <v>15</v>
      </c>
      <c r="G169" s="170">
        <f t="shared" si="90"/>
        <v>2015</v>
      </c>
      <c r="H169" s="170">
        <f t="shared" si="99"/>
        <v>166</v>
      </c>
      <c r="I169" s="190">
        <f>IF(ISERROR(VLOOKUP($C169,Clima!$U$8:$AH$900,3,FALSE)),VLOOKUP($C169,Clima!$D$8:$R$900,3),VLOOKUP($C169,Clima!$U$8:$AH$900,3,FALSE))</f>
        <v>23.2</v>
      </c>
      <c r="J169" s="191"/>
      <c r="K169" s="170"/>
      <c r="L169" s="192">
        <f>IF(ISERROR(VLOOKUP($C169,Clima!$U$8:$AH$900,14,FALSE)),VLOOKUP($C169,Clima!$D$8:$R$900,14),VLOOKUP($C169,Clima!$U$8:$AH$900,14,FALSE))</f>
        <v>8.3000000000000007</v>
      </c>
      <c r="M169" s="190"/>
      <c r="N169" s="190"/>
      <c r="O169" s="191"/>
      <c r="P169" s="191">
        <f>IF(ISERROR(VLOOKUP($C169,Clima!$W$8:$AH$350,12,FALSE)),VLOOKUP($C169,Clima!$E$8:$P$350,12),VLOOKUP($C169,Clima!$W$8:$AH$350,12,FALSE))</f>
        <v>3.3</v>
      </c>
      <c r="Q169" s="170">
        <f t="shared" si="124"/>
        <v>379.14149796780981</v>
      </c>
      <c r="R169" s="254">
        <f>VLOOKUP(C169,Clima!$V$8:$AH$900,3,FALSE)+R168</f>
        <v>1718.9000000000005</v>
      </c>
      <c r="S169" s="455">
        <f t="shared" si="100"/>
        <v>0.75911111040000034</v>
      </c>
      <c r="T169" s="449">
        <f t="shared" si="101"/>
        <v>6.3006222163200034</v>
      </c>
      <c r="U169" s="195"/>
      <c r="V169" s="445">
        <f t="shared" si="91"/>
        <v>1.1338733331349999</v>
      </c>
      <c r="W169" s="446">
        <f t="shared" si="102"/>
        <v>0</v>
      </c>
      <c r="X169" s="447">
        <f t="shared" si="125"/>
        <v>0.89248888756666667</v>
      </c>
      <c r="Y169" s="448">
        <f t="shared" si="103"/>
        <v>1</v>
      </c>
      <c r="Z169" s="449">
        <f t="shared" si="92"/>
        <v>0.10751111243333333</v>
      </c>
      <c r="AA169" s="449">
        <f t="shared" si="126"/>
        <v>6.5731729014089</v>
      </c>
      <c r="AB169" s="451">
        <f t="shared" si="104"/>
        <v>5.3506016197166252E-2</v>
      </c>
      <c r="AC169" s="449">
        <f t="shared" si="93"/>
        <v>2.0052033559744914E-2</v>
      </c>
      <c r="AD169" s="449">
        <f t="shared" si="94"/>
        <v>0.16643187854588279</v>
      </c>
      <c r="AE169" s="448">
        <f t="shared" si="127"/>
        <v>0</v>
      </c>
      <c r="AF169" s="449">
        <f t="shared" si="128"/>
        <v>8.1212163992295157</v>
      </c>
      <c r="AG169" s="449">
        <f t="shared" si="95"/>
        <v>0.77916314395974529</v>
      </c>
      <c r="AH169" s="449">
        <f t="shared" si="96"/>
        <v>6.4670540948658868</v>
      </c>
      <c r="AI169" s="448"/>
      <c r="AJ169" s="449">
        <f t="shared" si="105"/>
        <v>0.6</v>
      </c>
      <c r="AK169" s="450">
        <f t="shared" si="97"/>
        <v>39</v>
      </c>
      <c r="AL169" s="449">
        <f t="shared" si="129"/>
        <v>35.977984814667465</v>
      </c>
      <c r="AM169" s="451">
        <f>IF(ISERROR(VLOOKUP(C169,Riegos,2,FALSE)),VLOOKUP(C169,Riegos,2,FALSE),VLOOKUP($F$8,Nomen!$A$79:$B$80,2,FALSE)*IF(AND(H169&gt;120,D169&lt;0.45),0,IF(AQ168+AH169&gt;=AK169,MIN(AQ168,$AK$7),0)))</f>
        <v>5</v>
      </c>
      <c r="AN169" s="448">
        <f t="shared" si="106"/>
        <v>0</v>
      </c>
      <c r="AO169" s="448">
        <f t="shared" si="107"/>
        <v>1</v>
      </c>
      <c r="AP169" s="449">
        <f t="shared" si="108"/>
        <v>0.77916314395974529</v>
      </c>
      <c r="AQ169" s="449">
        <f t="shared" si="109"/>
        <v>35.977984814667465</v>
      </c>
      <c r="AR169" s="449">
        <f t="shared" si="130"/>
        <v>151.37247961302646</v>
      </c>
      <c r="AS169" s="449">
        <f t="shared" si="110"/>
        <v>6.4670540948658868</v>
      </c>
      <c r="AT169" s="449">
        <f t="shared" si="111"/>
        <v>432.30091909891701</v>
      </c>
      <c r="AU169" s="453">
        <f t="shared" si="112"/>
        <v>250</v>
      </c>
      <c r="AV169" s="145">
        <f t="shared" si="113"/>
        <v>170.20000000000005</v>
      </c>
      <c r="AW169" s="178">
        <f t="shared" si="114"/>
        <v>0</v>
      </c>
      <c r="AX169" s="179">
        <f t="shared" si="115"/>
        <v>0</v>
      </c>
      <c r="AY169" s="145">
        <f t="shared" si="131"/>
        <v>0.59660493777777801</v>
      </c>
      <c r="AZ169" s="145">
        <f t="shared" si="116"/>
        <v>5.7677314753333357</v>
      </c>
      <c r="BA169" s="145">
        <f t="shared" si="117"/>
        <v>353.61614449537979</v>
      </c>
      <c r="BB169" s="145">
        <f t="shared" si="118"/>
        <v>0.23070925901333342</v>
      </c>
      <c r="BC169" s="145">
        <f t="shared" si="119"/>
        <v>14.144645779815184</v>
      </c>
      <c r="BD169" s="145">
        <f t="shared" si="120"/>
        <v>240.45897825685813</v>
      </c>
      <c r="BE169" s="145">
        <f t="shared" si="121"/>
        <v>3.9220574032266597</v>
      </c>
      <c r="BF169" s="145">
        <f t="shared" si="122"/>
        <v>8.3000000000000007</v>
      </c>
    </row>
    <row r="170" spans="2:58">
      <c r="B170" s="116">
        <f t="shared" si="98"/>
        <v>167</v>
      </c>
      <c r="C170" s="69">
        <f t="shared" si="123"/>
        <v>42171</v>
      </c>
      <c r="D170" s="257">
        <f>IF(ISERROR(VLOOKUP($C170,'NDVI real'!$T$8:$U$313,2,FALSE)),VLOOKUP(SWB!C170,'NDVI tipo'!$T$8:$U$193,2),VLOOKUP($C170,'NDVI real'!$T$8:$U$313,2,FALSE))</f>
        <v>0.56814043152777804</v>
      </c>
      <c r="E170" s="170">
        <f t="shared" si="88"/>
        <v>6</v>
      </c>
      <c r="F170" s="170">
        <f t="shared" si="89"/>
        <v>16</v>
      </c>
      <c r="G170" s="170">
        <f t="shared" si="90"/>
        <v>2015</v>
      </c>
      <c r="H170" s="170">
        <f t="shared" si="99"/>
        <v>167</v>
      </c>
      <c r="I170" s="190">
        <f>IF(ISERROR(VLOOKUP($C170,Clima!$U$8:$AH$900,3,FALSE)),VLOOKUP($C170,Clima!$D$8:$R$900,3),VLOOKUP($C170,Clima!$U$8:$AH$900,3,FALSE))</f>
        <v>19.600000000000001</v>
      </c>
      <c r="J170" s="191"/>
      <c r="K170" s="170"/>
      <c r="L170" s="192">
        <f>IF(ISERROR(VLOOKUP($C170,Clima!$U$8:$AH$900,14,FALSE)),VLOOKUP($C170,Clima!$D$8:$R$900,14),VLOOKUP($C170,Clima!$U$8:$AH$900,14,FALSE))</f>
        <v>7.2</v>
      </c>
      <c r="M170" s="190"/>
      <c r="N170" s="190"/>
      <c r="O170" s="191"/>
      <c r="P170" s="191">
        <f>IF(ISERROR(VLOOKUP($C170,Clima!$W$8:$AH$350,12,FALSE)),VLOOKUP($C170,Clima!$E$8:$P$350,12),VLOOKUP($C170,Clima!$W$8:$AH$350,12,FALSE))</f>
        <v>0</v>
      </c>
      <c r="Q170" s="170">
        <f t="shared" si="124"/>
        <v>384.3119779618898</v>
      </c>
      <c r="R170" s="254">
        <f>VLOOKUP(C170,Clima!$V$8:$AH$900,3,FALSE)+R169</f>
        <v>1735.3000000000006</v>
      </c>
      <c r="S170" s="455">
        <f t="shared" si="100"/>
        <v>0.71812222140000037</v>
      </c>
      <c r="T170" s="449">
        <f t="shared" si="101"/>
        <v>5.1704799940800026</v>
      </c>
      <c r="U170" s="195"/>
      <c r="V170" s="445">
        <f t="shared" si="91"/>
        <v>1.1338733331349999</v>
      </c>
      <c r="W170" s="446">
        <f t="shared" si="102"/>
        <v>5</v>
      </c>
      <c r="X170" s="447">
        <f t="shared" si="125"/>
        <v>0.89248888756666667</v>
      </c>
      <c r="Y170" s="448">
        <f t="shared" si="103"/>
        <v>1</v>
      </c>
      <c r="Z170" s="449">
        <f t="shared" si="92"/>
        <v>0.10751111243333333</v>
      </c>
      <c r="AA170" s="449">
        <f t="shared" si="126"/>
        <v>3.1212163992295157</v>
      </c>
      <c r="AB170" s="451">
        <f t="shared" si="104"/>
        <v>0.55555555555555558</v>
      </c>
      <c r="AC170" s="449">
        <f t="shared" si="93"/>
        <v>0.1219039834038354</v>
      </c>
      <c r="AD170" s="449">
        <f t="shared" si="94"/>
        <v>0.87770868050761497</v>
      </c>
      <c r="AE170" s="448">
        <f t="shared" si="127"/>
        <v>0</v>
      </c>
      <c r="AF170" s="449">
        <f t="shared" si="128"/>
        <v>11.285104397801517</v>
      </c>
      <c r="AG170" s="449">
        <f t="shared" si="95"/>
        <v>0.84002620480383583</v>
      </c>
      <c r="AH170" s="449">
        <f t="shared" si="96"/>
        <v>6.0481886745876183</v>
      </c>
      <c r="AI170" s="448"/>
      <c r="AJ170" s="449">
        <f t="shared" si="105"/>
        <v>0.6</v>
      </c>
      <c r="AK170" s="450">
        <f t="shared" si="97"/>
        <v>39</v>
      </c>
      <c r="AL170" s="449">
        <f t="shared" si="129"/>
        <v>37.026173489255086</v>
      </c>
      <c r="AM170" s="451">
        <f>IF(ISERROR(VLOOKUP(C170,Riegos,2,FALSE)),VLOOKUP(C170,Riegos,2,FALSE),VLOOKUP($F$8,Nomen!$A$79:$B$80,2,FALSE)*IF(AND(H170&gt;120,D170&lt;0.45),0,IF(AQ169+AH170&gt;=AK170,MIN(AQ169,$AK$7),0)))</f>
        <v>5</v>
      </c>
      <c r="AN170" s="448">
        <f t="shared" si="106"/>
        <v>0</v>
      </c>
      <c r="AO170" s="448">
        <f t="shared" si="107"/>
        <v>1</v>
      </c>
      <c r="AP170" s="449">
        <f t="shared" si="108"/>
        <v>0.84002620480383583</v>
      </c>
      <c r="AQ170" s="449">
        <f t="shared" si="109"/>
        <v>37.026173489255086</v>
      </c>
      <c r="AR170" s="449">
        <f t="shared" si="130"/>
        <v>152.37247961302646</v>
      </c>
      <c r="AS170" s="449">
        <f t="shared" si="110"/>
        <v>6.0481886745876183</v>
      </c>
      <c r="AT170" s="449">
        <f t="shared" si="111"/>
        <v>438.34910777350461</v>
      </c>
      <c r="AU170" s="453">
        <f t="shared" si="112"/>
        <v>255</v>
      </c>
      <c r="AV170" s="145">
        <f t="shared" si="113"/>
        <v>170.20000000000005</v>
      </c>
      <c r="AW170" s="178">
        <f t="shared" si="114"/>
        <v>0</v>
      </c>
      <c r="AX170" s="179">
        <f t="shared" si="115"/>
        <v>0</v>
      </c>
      <c r="AY170" s="145">
        <f t="shared" si="131"/>
        <v>0.56814043152777804</v>
      </c>
      <c r="AZ170" s="145">
        <f t="shared" si="116"/>
        <v>4.6959166605000036</v>
      </c>
      <c r="BA170" s="145">
        <f t="shared" si="117"/>
        <v>358.3120611558798</v>
      </c>
      <c r="BB170" s="145">
        <f t="shared" si="118"/>
        <v>0.18783666642000013</v>
      </c>
      <c r="BC170" s="145">
        <f t="shared" si="119"/>
        <v>14.332482446235185</v>
      </c>
      <c r="BD170" s="145">
        <f t="shared" si="120"/>
        <v>243.65220158599814</v>
      </c>
      <c r="BE170" s="145">
        <f t="shared" si="121"/>
        <v>3.1932233291400109</v>
      </c>
      <c r="BF170" s="145">
        <f t="shared" si="122"/>
        <v>7.2</v>
      </c>
    </row>
    <row r="171" spans="2:58">
      <c r="B171" s="116">
        <f t="shared" si="98"/>
        <v>168</v>
      </c>
      <c r="C171" s="69">
        <f t="shared" si="123"/>
        <v>42172</v>
      </c>
      <c r="D171" s="257">
        <f>IF(ISERROR(VLOOKUP($C171,'NDVI real'!$T$8:$U$313,2,FALSE)),VLOOKUP(SWB!C171,'NDVI tipo'!$T$8:$U$193,2),VLOOKUP($C171,'NDVI real'!$T$8:$U$313,2,FALSE))</f>
        <v>0.53967592527777808</v>
      </c>
      <c r="E171" s="170">
        <f t="shared" si="88"/>
        <v>6</v>
      </c>
      <c r="F171" s="170">
        <f t="shared" si="89"/>
        <v>17</v>
      </c>
      <c r="G171" s="170">
        <f t="shared" si="90"/>
        <v>2015</v>
      </c>
      <c r="H171" s="170">
        <f t="shared" si="99"/>
        <v>168</v>
      </c>
      <c r="I171" s="190">
        <f>IF(ISERROR(VLOOKUP($C171,Clima!$U$8:$AH$900,3,FALSE)),VLOOKUP($C171,Clima!$D$8:$R$900,3),VLOOKUP($C171,Clima!$U$8:$AH$900,3,FALSE))</f>
        <v>15.1</v>
      </c>
      <c r="J171" s="191"/>
      <c r="K171" s="170"/>
      <c r="L171" s="192">
        <f>IF(ISERROR(VLOOKUP($C171,Clima!$U$8:$AH$900,14,FALSE)),VLOOKUP($C171,Clima!$D$8:$R$900,14),VLOOKUP($C171,Clima!$U$8:$AH$900,14,FALSE))</f>
        <v>5.5</v>
      </c>
      <c r="M171" s="190"/>
      <c r="N171" s="190"/>
      <c r="O171" s="191"/>
      <c r="P171" s="191">
        <f>IF(ISERROR(VLOOKUP($C171,Clima!$W$8:$AH$350,12,FALSE)),VLOOKUP($C171,Clima!$E$8:$P$350,12),VLOOKUP($C171,Clima!$W$8:$AH$350,12,FALSE))</f>
        <v>0</v>
      </c>
      <c r="Q171" s="170">
        <f t="shared" si="124"/>
        <v>388.0362112900898</v>
      </c>
      <c r="R171" s="254">
        <f>VLOOKUP(C171,Clima!$V$8:$AH$900,3,FALSE)+R170</f>
        <v>1754.7000000000007</v>
      </c>
      <c r="S171" s="455">
        <f t="shared" si="100"/>
        <v>0.6771333324000004</v>
      </c>
      <c r="T171" s="449">
        <f t="shared" si="101"/>
        <v>3.7242333282000022</v>
      </c>
      <c r="U171" s="195"/>
      <c r="V171" s="445">
        <f t="shared" si="91"/>
        <v>1.1338733331349999</v>
      </c>
      <c r="W171" s="446">
        <f t="shared" si="102"/>
        <v>5</v>
      </c>
      <c r="X171" s="447">
        <f t="shared" si="125"/>
        <v>0.89248888756666667</v>
      </c>
      <c r="Y171" s="448">
        <f t="shared" si="103"/>
        <v>1</v>
      </c>
      <c r="Z171" s="449">
        <f t="shared" si="92"/>
        <v>0.10751111243333333</v>
      </c>
      <c r="AA171" s="449">
        <f t="shared" si="126"/>
        <v>6.2851043978015166</v>
      </c>
      <c r="AB171" s="451">
        <f t="shared" si="104"/>
        <v>6.4308585082443123E-2</v>
      </c>
      <c r="AC171" s="449">
        <f t="shared" si="93"/>
        <v>2.9372303197821852E-2</v>
      </c>
      <c r="AD171" s="449">
        <f t="shared" si="94"/>
        <v>0.16154766758802019</v>
      </c>
      <c r="AE171" s="448">
        <f t="shared" si="127"/>
        <v>0</v>
      </c>
      <c r="AF171" s="449">
        <f t="shared" si="128"/>
        <v>7.7877180712317351</v>
      </c>
      <c r="AG171" s="449">
        <f t="shared" si="95"/>
        <v>0.7065056355978222</v>
      </c>
      <c r="AH171" s="449">
        <f t="shared" si="96"/>
        <v>3.8857809957880223</v>
      </c>
      <c r="AI171" s="448"/>
      <c r="AJ171" s="449">
        <f t="shared" si="105"/>
        <v>0.6</v>
      </c>
      <c r="AK171" s="450">
        <f t="shared" si="97"/>
        <v>39</v>
      </c>
      <c r="AL171" s="449">
        <f t="shared" si="129"/>
        <v>35.911954485043111</v>
      </c>
      <c r="AM171" s="451">
        <f>IF(ISERROR(VLOOKUP(C171,Riegos,2,FALSE)),VLOOKUP(C171,Riegos,2,FALSE),VLOOKUP($F$8,Nomen!$A$79:$B$80,2,FALSE)*IF(AND(H171&gt;120,D171&lt;0.45),0,IF(AQ170+AH171&gt;=AK171,MIN(AQ170,$AK$7),0)))</f>
        <v>5</v>
      </c>
      <c r="AN171" s="448">
        <f t="shared" si="106"/>
        <v>0</v>
      </c>
      <c r="AO171" s="448">
        <f t="shared" si="107"/>
        <v>1</v>
      </c>
      <c r="AP171" s="449">
        <f t="shared" si="108"/>
        <v>0.7065056355978222</v>
      </c>
      <c r="AQ171" s="449">
        <f t="shared" si="109"/>
        <v>35.911954485043111</v>
      </c>
      <c r="AR171" s="449">
        <f t="shared" si="130"/>
        <v>153.37247961302646</v>
      </c>
      <c r="AS171" s="449">
        <f t="shared" si="110"/>
        <v>3.8857809957880223</v>
      </c>
      <c r="AT171" s="449">
        <f t="shared" si="111"/>
        <v>442.23488876929264</v>
      </c>
      <c r="AU171" s="453">
        <f t="shared" si="112"/>
        <v>260</v>
      </c>
      <c r="AV171" s="145">
        <f t="shared" si="113"/>
        <v>170.20000000000005</v>
      </c>
      <c r="AW171" s="178">
        <f t="shared" si="114"/>
        <v>0</v>
      </c>
      <c r="AX171" s="179">
        <f t="shared" si="115"/>
        <v>0</v>
      </c>
      <c r="AY171" s="145">
        <f t="shared" si="131"/>
        <v>0.53967592527777808</v>
      </c>
      <c r="AZ171" s="145">
        <f t="shared" si="116"/>
        <v>3.3523263835416688</v>
      </c>
      <c r="BA171" s="145">
        <f t="shared" si="117"/>
        <v>361.66438753942145</v>
      </c>
      <c r="BB171" s="145">
        <f t="shared" si="118"/>
        <v>0.13409305534166674</v>
      </c>
      <c r="BC171" s="145">
        <f t="shared" si="119"/>
        <v>14.466575501576852</v>
      </c>
      <c r="BD171" s="145">
        <f t="shared" si="120"/>
        <v>245.9317835268065</v>
      </c>
      <c r="BE171" s="145">
        <f t="shared" si="121"/>
        <v>2.279581940808356</v>
      </c>
      <c r="BF171" s="145">
        <f t="shared" si="122"/>
        <v>5.5</v>
      </c>
    </row>
    <row r="172" spans="2:58">
      <c r="B172" s="116">
        <f t="shared" si="98"/>
        <v>169</v>
      </c>
      <c r="C172" s="69">
        <f t="shared" si="123"/>
        <v>42173</v>
      </c>
      <c r="D172" s="257">
        <f>IF(ISERROR(VLOOKUP($C172,'NDVI real'!$T$8:$U$313,2,FALSE)),VLOOKUP(SWB!C172,'NDVI tipo'!$T$8:$U$193,2),VLOOKUP($C172,'NDVI real'!$T$8:$U$313,2,FALSE))</f>
        <v>0.51121141902777811</v>
      </c>
      <c r="E172" s="170">
        <f t="shared" si="88"/>
        <v>6</v>
      </c>
      <c r="F172" s="170">
        <f t="shared" si="89"/>
        <v>18</v>
      </c>
      <c r="G172" s="170">
        <f t="shared" si="90"/>
        <v>2015</v>
      </c>
      <c r="H172" s="170">
        <f t="shared" si="99"/>
        <v>169</v>
      </c>
      <c r="I172" s="190">
        <f>IF(ISERROR(VLOOKUP($C172,Clima!$U$8:$AH$900,3,FALSE)),VLOOKUP($C172,Clima!$D$8:$R$900,3),VLOOKUP($C172,Clima!$U$8:$AH$900,3,FALSE))</f>
        <v>16.600000000000001</v>
      </c>
      <c r="J172" s="191"/>
      <c r="K172" s="170"/>
      <c r="L172" s="192">
        <f>IF(ISERROR(VLOOKUP($C172,Clima!$U$8:$AH$900,14,FALSE)),VLOOKUP($C172,Clima!$D$8:$R$900,14),VLOOKUP($C172,Clima!$U$8:$AH$900,14,FALSE))</f>
        <v>5.5</v>
      </c>
      <c r="M172" s="190"/>
      <c r="N172" s="190"/>
      <c r="O172" s="191"/>
      <c r="P172" s="191">
        <f>IF(ISERROR(VLOOKUP($C172,Clima!$W$8:$AH$350,12,FALSE)),VLOOKUP($C172,Clima!$E$8:$P$350,12),VLOOKUP($C172,Clima!$W$8:$AH$350,12,FALSE))</f>
        <v>0</v>
      </c>
      <c r="Q172" s="170">
        <f t="shared" si="124"/>
        <v>391.53500572878977</v>
      </c>
      <c r="R172" s="254">
        <f>VLOOKUP(C172,Clima!$V$8:$AH$900,3,FALSE)+R171</f>
        <v>1775.2000000000007</v>
      </c>
      <c r="S172" s="455">
        <f t="shared" si="100"/>
        <v>0.63614444340000043</v>
      </c>
      <c r="T172" s="449">
        <f t="shared" si="101"/>
        <v>3.4987944387000023</v>
      </c>
      <c r="U172" s="195"/>
      <c r="V172" s="445">
        <f t="shared" si="91"/>
        <v>1.1338733331349999</v>
      </c>
      <c r="W172" s="446">
        <f t="shared" si="102"/>
        <v>5</v>
      </c>
      <c r="X172" s="447">
        <f t="shared" si="125"/>
        <v>0.89248888756666667</v>
      </c>
      <c r="Y172" s="448">
        <f t="shared" si="103"/>
        <v>1</v>
      </c>
      <c r="Z172" s="449">
        <f t="shared" si="92"/>
        <v>0.10751111243333333</v>
      </c>
      <c r="AA172" s="449">
        <f t="shared" si="126"/>
        <v>2.7877180712317351</v>
      </c>
      <c r="AB172" s="451">
        <f t="shared" si="104"/>
        <v>0.72727272727272729</v>
      </c>
      <c r="AC172" s="449">
        <f t="shared" si="93"/>
        <v>0.1219039834038354</v>
      </c>
      <c r="AD172" s="449">
        <f t="shared" si="94"/>
        <v>0.67047190872109474</v>
      </c>
      <c r="AE172" s="448">
        <f t="shared" si="127"/>
        <v>0</v>
      </c>
      <c r="AF172" s="449">
        <f t="shared" si="128"/>
        <v>9.0240214034742348</v>
      </c>
      <c r="AG172" s="449">
        <f t="shared" si="95"/>
        <v>0.75804842680383588</v>
      </c>
      <c r="AH172" s="449">
        <f t="shared" si="96"/>
        <v>4.1692663474210976</v>
      </c>
      <c r="AI172" s="448"/>
      <c r="AJ172" s="449">
        <f t="shared" si="105"/>
        <v>0.6</v>
      </c>
      <c r="AK172" s="450">
        <f t="shared" si="97"/>
        <v>39</v>
      </c>
      <c r="AL172" s="449">
        <f t="shared" si="129"/>
        <v>35.081220832464211</v>
      </c>
      <c r="AM172" s="451">
        <f>IF(ISERROR(VLOOKUP(C172,Riegos,2,FALSE)),VLOOKUP(C172,Riegos,2,FALSE),VLOOKUP($F$8,Nomen!$A$79:$B$80,2,FALSE)*IF(AND(H172&gt;120,D172&lt;0.45),0,IF(AQ171+AH172&gt;=AK172,MIN(AQ171,$AK$7),0)))</f>
        <v>5</v>
      </c>
      <c r="AN172" s="448">
        <f t="shared" si="106"/>
        <v>0</v>
      </c>
      <c r="AO172" s="448">
        <f t="shared" si="107"/>
        <v>1</v>
      </c>
      <c r="AP172" s="449">
        <f t="shared" si="108"/>
        <v>0.75804842680383588</v>
      </c>
      <c r="AQ172" s="449">
        <f t="shared" si="109"/>
        <v>35.081220832464211</v>
      </c>
      <c r="AR172" s="449">
        <f t="shared" si="130"/>
        <v>154.37247961302646</v>
      </c>
      <c r="AS172" s="449">
        <f t="shared" si="110"/>
        <v>4.1692663474210976</v>
      </c>
      <c r="AT172" s="449">
        <f t="shared" si="111"/>
        <v>446.40415511671375</v>
      </c>
      <c r="AU172" s="453">
        <f t="shared" si="112"/>
        <v>265</v>
      </c>
      <c r="AV172" s="145">
        <f t="shared" si="113"/>
        <v>170.20000000000005</v>
      </c>
      <c r="AW172" s="178">
        <f t="shared" si="114"/>
        <v>0</v>
      </c>
      <c r="AX172" s="179">
        <f t="shared" si="115"/>
        <v>0</v>
      </c>
      <c r="AY172" s="145">
        <f t="shared" si="131"/>
        <v>0.51121141902777811</v>
      </c>
      <c r="AZ172" s="145">
        <f t="shared" si="116"/>
        <v>3.1174942069791696</v>
      </c>
      <c r="BA172" s="145">
        <f t="shared" si="117"/>
        <v>364.78188174640064</v>
      </c>
      <c r="BB172" s="145">
        <f t="shared" si="118"/>
        <v>0.12469976827916679</v>
      </c>
      <c r="BC172" s="145">
        <f t="shared" si="119"/>
        <v>14.591275269856018</v>
      </c>
      <c r="BD172" s="145">
        <f t="shared" si="120"/>
        <v>248.05167958755231</v>
      </c>
      <c r="BE172" s="145">
        <f t="shared" si="121"/>
        <v>2.1198960607458162</v>
      </c>
      <c r="BF172" s="145">
        <f t="shared" si="122"/>
        <v>5.5</v>
      </c>
    </row>
    <row r="173" spans="2:58">
      <c r="B173" s="116">
        <f t="shared" si="98"/>
        <v>170</v>
      </c>
      <c r="C173" s="69">
        <f t="shared" si="123"/>
        <v>42174</v>
      </c>
      <c r="D173" s="257">
        <f>IF(ISERROR(VLOOKUP($C173,'NDVI real'!$T$8:$U$313,2,FALSE)),VLOOKUP(SWB!C173,'NDVI tipo'!$T$8:$U$193,2),VLOOKUP($C173,'NDVI real'!$T$8:$U$313,2,FALSE))</f>
        <v>0.48274691277777809</v>
      </c>
      <c r="E173" s="170">
        <f t="shared" si="88"/>
        <v>6</v>
      </c>
      <c r="F173" s="170">
        <f t="shared" si="89"/>
        <v>19</v>
      </c>
      <c r="G173" s="170">
        <f t="shared" si="90"/>
        <v>2015</v>
      </c>
      <c r="H173" s="170">
        <f t="shared" si="99"/>
        <v>170</v>
      </c>
      <c r="I173" s="190">
        <f>IF(ISERROR(VLOOKUP($C173,Clima!$U$8:$AH$900,3,FALSE)),VLOOKUP($C173,Clima!$D$8:$R$900,3),VLOOKUP($C173,Clima!$U$8:$AH$900,3,FALSE))</f>
        <v>17.399999999999999</v>
      </c>
      <c r="J173" s="191"/>
      <c r="K173" s="170"/>
      <c r="L173" s="192">
        <f>IF(ISERROR(VLOOKUP($C173,Clima!$U$8:$AH$900,14,FALSE)),VLOOKUP($C173,Clima!$D$8:$R$900,14),VLOOKUP($C173,Clima!$U$8:$AH$900,14,FALSE))</f>
        <v>6</v>
      </c>
      <c r="M173" s="190"/>
      <c r="N173" s="190"/>
      <c r="O173" s="191"/>
      <c r="P173" s="191">
        <f>IF(ISERROR(VLOOKUP($C173,Clima!$W$8:$AH$350,12,FALSE)),VLOOKUP($C173,Clima!$E$8:$P$350,12),VLOOKUP($C173,Clima!$W$8:$AH$350,12,FALSE))</f>
        <v>0</v>
      </c>
      <c r="Q173" s="170">
        <f t="shared" si="124"/>
        <v>395.10593905518976</v>
      </c>
      <c r="R173" s="254">
        <f>VLOOKUP(C173,Clima!$V$8:$AH$900,3,FALSE)+R172</f>
        <v>1797.6000000000008</v>
      </c>
      <c r="S173" s="455">
        <f t="shared" si="100"/>
        <v>0.59515555440000045</v>
      </c>
      <c r="T173" s="449">
        <f t="shared" si="101"/>
        <v>3.5709333264000027</v>
      </c>
      <c r="U173" s="195"/>
      <c r="V173" s="445">
        <f t="shared" si="91"/>
        <v>1.1338733331349999</v>
      </c>
      <c r="W173" s="446">
        <f t="shared" si="102"/>
        <v>5</v>
      </c>
      <c r="X173" s="447">
        <f t="shared" si="125"/>
        <v>0.89248888756666667</v>
      </c>
      <c r="Y173" s="448">
        <f t="shared" si="103"/>
        <v>1</v>
      </c>
      <c r="Z173" s="449">
        <f t="shared" si="92"/>
        <v>0.10751111243333333</v>
      </c>
      <c r="AA173" s="449">
        <f t="shared" si="126"/>
        <v>4.0240214034742348</v>
      </c>
      <c r="AB173" s="451">
        <f t="shared" si="104"/>
        <v>0.14909919736971619</v>
      </c>
      <c r="AC173" s="449">
        <f t="shared" si="93"/>
        <v>8.0322388418184787E-2</v>
      </c>
      <c r="AD173" s="449">
        <f t="shared" si="94"/>
        <v>0.48193433050910872</v>
      </c>
      <c r="AE173" s="448">
        <f t="shared" si="127"/>
        <v>0</v>
      </c>
      <c r="AF173" s="449">
        <f t="shared" si="128"/>
        <v>8.5066680769327743</v>
      </c>
      <c r="AG173" s="449">
        <f t="shared" si="95"/>
        <v>0.67547794281818518</v>
      </c>
      <c r="AH173" s="449">
        <f t="shared" si="96"/>
        <v>4.0528676569091111</v>
      </c>
      <c r="AI173" s="448"/>
      <c r="AJ173" s="449">
        <f t="shared" si="105"/>
        <v>0.6</v>
      </c>
      <c r="AK173" s="450">
        <f t="shared" si="97"/>
        <v>39</v>
      </c>
      <c r="AL173" s="449">
        <f t="shared" si="129"/>
        <v>34.134088489373326</v>
      </c>
      <c r="AM173" s="451">
        <f>IF(ISERROR(VLOOKUP(C173,Riegos,2,FALSE)),VLOOKUP(C173,Riegos,2,FALSE),VLOOKUP($F$8,Nomen!$A$79:$B$80,2,FALSE)*IF(AND(H173&gt;120,D173&lt;0.45),0,IF(AQ172+AH173&gt;=AK173,MIN(AQ172,$AK$7),0)))</f>
        <v>5</v>
      </c>
      <c r="AN173" s="448">
        <f t="shared" si="106"/>
        <v>0</v>
      </c>
      <c r="AO173" s="448">
        <f t="shared" si="107"/>
        <v>1</v>
      </c>
      <c r="AP173" s="449">
        <f t="shared" si="108"/>
        <v>0.67547794281818518</v>
      </c>
      <c r="AQ173" s="449">
        <f t="shared" si="109"/>
        <v>34.134088489373326</v>
      </c>
      <c r="AR173" s="449">
        <f t="shared" si="130"/>
        <v>155.37247961302646</v>
      </c>
      <c r="AS173" s="449">
        <f t="shared" si="110"/>
        <v>4.0528676569091111</v>
      </c>
      <c r="AT173" s="449">
        <f t="shared" si="111"/>
        <v>450.45702277362284</v>
      </c>
      <c r="AU173" s="453">
        <f t="shared" si="112"/>
        <v>270</v>
      </c>
      <c r="AV173" s="145">
        <f t="shared" si="113"/>
        <v>170.20000000000005</v>
      </c>
      <c r="AW173" s="178">
        <f t="shared" si="114"/>
        <v>0</v>
      </c>
      <c r="AX173" s="179">
        <f t="shared" si="115"/>
        <v>0</v>
      </c>
      <c r="AY173" s="145">
        <f t="shared" si="131"/>
        <v>0.48274691277777809</v>
      </c>
      <c r="AZ173" s="145">
        <f t="shared" si="116"/>
        <v>3.1447222150000029</v>
      </c>
      <c r="BA173" s="145">
        <f t="shared" si="117"/>
        <v>367.92660396140064</v>
      </c>
      <c r="BB173" s="145">
        <f t="shared" si="118"/>
        <v>0.12578888860000012</v>
      </c>
      <c r="BC173" s="145">
        <f t="shared" si="119"/>
        <v>14.717064158456019</v>
      </c>
      <c r="BD173" s="145">
        <f t="shared" si="120"/>
        <v>250.1900906937523</v>
      </c>
      <c r="BE173" s="145">
        <f t="shared" si="121"/>
        <v>2.1384111061999818</v>
      </c>
      <c r="BF173" s="145">
        <f t="shared" si="122"/>
        <v>6</v>
      </c>
    </row>
    <row r="174" spans="2:58">
      <c r="B174" s="116">
        <f t="shared" si="98"/>
        <v>171</v>
      </c>
      <c r="C174" s="69">
        <f t="shared" si="123"/>
        <v>42175</v>
      </c>
      <c r="D174" s="257">
        <f>IF(ISERROR(VLOOKUP($C174,'NDVI real'!$T$8:$U$313,2,FALSE)),VLOOKUP(SWB!C174,'NDVI tipo'!$T$8:$U$193,2),VLOOKUP($C174,'NDVI real'!$T$8:$U$313,2,FALSE))</f>
        <v>0.45428240652777807</v>
      </c>
      <c r="E174" s="170">
        <f t="shared" si="88"/>
        <v>6</v>
      </c>
      <c r="F174" s="170">
        <f t="shared" si="89"/>
        <v>20</v>
      </c>
      <c r="G174" s="170">
        <f t="shared" si="90"/>
        <v>2015</v>
      </c>
      <c r="H174" s="170">
        <f t="shared" si="99"/>
        <v>171</v>
      </c>
      <c r="I174" s="190">
        <f>IF(ISERROR(VLOOKUP($C174,Clima!$U$8:$AH$900,3,FALSE)),VLOOKUP($C174,Clima!$D$8:$R$900,3),VLOOKUP($C174,Clima!$U$8:$AH$900,3,FALSE))</f>
        <v>18.3</v>
      </c>
      <c r="J174" s="191"/>
      <c r="K174" s="170"/>
      <c r="L174" s="192">
        <f>IF(ISERROR(VLOOKUP($C174,Clima!$U$8:$AH$900,14,FALSE)),VLOOKUP($C174,Clima!$D$8:$R$900,14),VLOOKUP($C174,Clima!$U$8:$AH$900,14,FALSE))</f>
        <v>6.5</v>
      </c>
      <c r="M174" s="190"/>
      <c r="N174" s="190"/>
      <c r="O174" s="191"/>
      <c r="P174" s="191">
        <f>IF(ISERROR(VLOOKUP($C174,Clima!$W$8:$AH$350,12,FALSE)),VLOOKUP($C174,Clima!$E$8:$P$350,12),VLOOKUP($C174,Clima!$W$8:$AH$350,12,FALSE))</f>
        <v>0</v>
      </c>
      <c r="Q174" s="170">
        <f t="shared" si="124"/>
        <v>398.70802238028978</v>
      </c>
      <c r="R174" s="254">
        <f>VLOOKUP(C174,Clima!$V$8:$AH$900,3,FALSE)+R173</f>
        <v>1820.7000000000007</v>
      </c>
      <c r="S174" s="455">
        <f t="shared" si="100"/>
        <v>0.55416666540000037</v>
      </c>
      <c r="T174" s="449">
        <f t="shared" si="101"/>
        <v>3.6020833251000024</v>
      </c>
      <c r="U174" s="195"/>
      <c r="V174" s="445">
        <f t="shared" si="91"/>
        <v>1.1338733331349999</v>
      </c>
      <c r="W174" s="446">
        <f t="shared" si="102"/>
        <v>5</v>
      </c>
      <c r="X174" s="447">
        <f t="shared" si="125"/>
        <v>0.89248888756666667</v>
      </c>
      <c r="Y174" s="448">
        <f t="shared" si="103"/>
        <v>1</v>
      </c>
      <c r="Z174" s="449">
        <f t="shared" si="92"/>
        <v>0.10751111243333333</v>
      </c>
      <c r="AA174" s="449">
        <f t="shared" si="126"/>
        <v>3.5066680769327743</v>
      </c>
      <c r="AB174" s="451">
        <f t="shared" si="104"/>
        <v>0.61538461538461542</v>
      </c>
      <c r="AC174" s="449">
        <f t="shared" si="93"/>
        <v>0.1219039834038354</v>
      </c>
      <c r="AD174" s="449">
        <f t="shared" si="94"/>
        <v>0.79237589212493009</v>
      </c>
      <c r="AE174" s="448">
        <f t="shared" si="127"/>
        <v>0</v>
      </c>
      <c r="AF174" s="449">
        <f t="shared" si="128"/>
        <v>10.876844742310274</v>
      </c>
      <c r="AG174" s="449">
        <f t="shared" si="95"/>
        <v>0.67607064880383572</v>
      </c>
      <c r="AH174" s="449">
        <f t="shared" si="96"/>
        <v>4.3944592172249326</v>
      </c>
      <c r="AI174" s="448"/>
      <c r="AJ174" s="449">
        <f t="shared" si="105"/>
        <v>0.6</v>
      </c>
      <c r="AK174" s="450">
        <f t="shared" si="97"/>
        <v>39</v>
      </c>
      <c r="AL174" s="449">
        <f t="shared" si="129"/>
        <v>33.52854770659826</v>
      </c>
      <c r="AM174" s="451">
        <f>IF(ISERROR(VLOOKUP(C174,Riegos,2,FALSE)),VLOOKUP(C174,Riegos,2,FALSE),VLOOKUP($F$8,Nomen!$A$79:$B$80,2,FALSE)*IF(AND(H174&gt;120,D174&lt;0.45),0,IF(AQ173+AH174&gt;=AK174,MIN(AQ173,$AK$7),0)))</f>
        <v>0</v>
      </c>
      <c r="AN174" s="448">
        <f t="shared" si="106"/>
        <v>0</v>
      </c>
      <c r="AO174" s="448">
        <f t="shared" si="107"/>
        <v>1</v>
      </c>
      <c r="AP174" s="449">
        <f t="shared" si="108"/>
        <v>0.67607064880383572</v>
      </c>
      <c r="AQ174" s="449">
        <f t="shared" si="109"/>
        <v>33.52854770659826</v>
      </c>
      <c r="AR174" s="449">
        <f t="shared" si="130"/>
        <v>156.37247961302646</v>
      </c>
      <c r="AS174" s="449">
        <f t="shared" si="110"/>
        <v>4.3944592172249326</v>
      </c>
      <c r="AT174" s="449">
        <f t="shared" si="111"/>
        <v>454.85148199084779</v>
      </c>
      <c r="AU174" s="453">
        <f t="shared" si="112"/>
        <v>270</v>
      </c>
      <c r="AV174" s="145">
        <f t="shared" si="113"/>
        <v>170.20000000000005</v>
      </c>
      <c r="AW174" s="178">
        <f t="shared" si="114"/>
        <v>0</v>
      </c>
      <c r="AX174" s="179">
        <f t="shared" si="115"/>
        <v>0</v>
      </c>
      <c r="AY174" s="145">
        <f t="shared" si="131"/>
        <v>0.45428240652777807</v>
      </c>
      <c r="AZ174" s="145">
        <f t="shared" si="116"/>
        <v>3.1292534636458358</v>
      </c>
      <c r="BA174" s="145">
        <f t="shared" si="117"/>
        <v>371.0558574250465</v>
      </c>
      <c r="BB174" s="145">
        <f t="shared" si="118"/>
        <v>0.12517013854583342</v>
      </c>
      <c r="BC174" s="145">
        <f t="shared" si="119"/>
        <v>14.842234297001852</v>
      </c>
      <c r="BD174" s="145">
        <f t="shared" si="120"/>
        <v>252.31798304903151</v>
      </c>
      <c r="BE174" s="145">
        <f t="shared" si="121"/>
        <v>2.1278923552792151</v>
      </c>
      <c r="BF174" s="145">
        <f t="shared" si="122"/>
        <v>6.5</v>
      </c>
    </row>
    <row r="175" spans="2:58">
      <c r="B175" s="116">
        <f t="shared" si="98"/>
        <v>172</v>
      </c>
      <c r="C175" s="69">
        <f t="shared" si="123"/>
        <v>42176</v>
      </c>
      <c r="D175" s="257">
        <f>IF(ISERROR(VLOOKUP($C175,'NDVI real'!$T$8:$U$313,2,FALSE)),VLOOKUP(SWB!C175,'NDVI tipo'!$T$8:$U$193,2),VLOOKUP($C175,'NDVI real'!$T$8:$U$313,2,FALSE))</f>
        <v>0.42581790027777805</v>
      </c>
      <c r="E175" s="170">
        <f t="shared" si="88"/>
        <v>6</v>
      </c>
      <c r="F175" s="170">
        <f t="shared" si="89"/>
        <v>21</v>
      </c>
      <c r="G175" s="170">
        <f t="shared" si="90"/>
        <v>2015</v>
      </c>
      <c r="H175" s="170">
        <f t="shared" si="99"/>
        <v>172</v>
      </c>
      <c r="I175" s="190">
        <f>IF(ISERROR(VLOOKUP($C175,Clima!$U$8:$AH$900,3,FALSE)),VLOOKUP($C175,Clima!$D$8:$R$900,3),VLOOKUP($C175,Clima!$U$8:$AH$900,3,FALSE))</f>
        <v>20</v>
      </c>
      <c r="J175" s="191"/>
      <c r="K175" s="170"/>
      <c r="L175" s="192">
        <f>IF(ISERROR(VLOOKUP($C175,Clima!$U$8:$AH$900,14,FALSE)),VLOOKUP($C175,Clima!$D$8:$R$900,14),VLOOKUP($C175,Clima!$U$8:$AH$900,14,FALSE))</f>
        <v>6.2</v>
      </c>
      <c r="M175" s="190"/>
      <c r="N175" s="190"/>
      <c r="O175" s="191"/>
      <c r="P175" s="191">
        <f>IF(ISERROR(VLOOKUP($C175,Clima!$W$8:$AH$350,12,FALSE)),VLOOKUP($C175,Clima!$E$8:$P$350,12),VLOOKUP($C175,Clima!$W$8:$AH$350,12,FALSE))</f>
        <v>0</v>
      </c>
      <c r="Q175" s="170">
        <f t="shared" si="124"/>
        <v>401.88972459396979</v>
      </c>
      <c r="R175" s="254">
        <f>VLOOKUP(C175,Clima!$V$8:$AH$900,3,FALSE)+R174</f>
        <v>1844.4000000000008</v>
      </c>
      <c r="S175" s="455">
        <f t="shared" si="100"/>
        <v>0.5131777764000004</v>
      </c>
      <c r="T175" s="449">
        <f t="shared" si="101"/>
        <v>3.1817022136800026</v>
      </c>
      <c r="U175" s="195"/>
      <c r="V175" s="445">
        <f t="shared" si="91"/>
        <v>1.1338733331349999</v>
      </c>
      <c r="W175" s="446">
        <f t="shared" si="102"/>
        <v>0</v>
      </c>
      <c r="X175" s="447">
        <f t="shared" si="125"/>
        <v>0.89248888756666667</v>
      </c>
      <c r="Y175" s="448">
        <f t="shared" si="103"/>
        <v>1</v>
      </c>
      <c r="Z175" s="449">
        <f t="shared" si="92"/>
        <v>0.10751111243333333</v>
      </c>
      <c r="AA175" s="449">
        <f t="shared" si="126"/>
        <v>10.876844742310274</v>
      </c>
      <c r="AB175" s="451">
        <f t="shared" si="104"/>
        <v>0</v>
      </c>
      <c r="AC175" s="449">
        <f t="shared" si="93"/>
        <v>0</v>
      </c>
      <c r="AD175" s="449">
        <f t="shared" si="94"/>
        <v>0</v>
      </c>
      <c r="AE175" s="448">
        <f t="shared" si="127"/>
        <v>0</v>
      </c>
      <c r="AF175" s="449">
        <f t="shared" si="128"/>
        <v>10.876844742310274</v>
      </c>
      <c r="AG175" s="449">
        <f t="shared" si="95"/>
        <v>0.5131777764000004</v>
      </c>
      <c r="AH175" s="449">
        <f t="shared" si="96"/>
        <v>3.1817022136800026</v>
      </c>
      <c r="AI175" s="448"/>
      <c r="AJ175" s="449">
        <f t="shared" si="105"/>
        <v>0.6</v>
      </c>
      <c r="AK175" s="450">
        <f t="shared" si="97"/>
        <v>39</v>
      </c>
      <c r="AL175" s="449">
        <f t="shared" si="129"/>
        <v>36.710249920278265</v>
      </c>
      <c r="AM175" s="451">
        <f>IF(ISERROR(VLOOKUP(C175,Riegos,2,FALSE)),VLOOKUP(C175,Riegos,2,FALSE),VLOOKUP($F$8,Nomen!$A$79:$B$80,2,FALSE)*IF(AND(H175&gt;120,D175&lt;0.45),0,IF(AQ174+AH175&gt;=AK175,MIN(AQ174,$AK$7),0)))</f>
        <v>0</v>
      </c>
      <c r="AN175" s="448">
        <f t="shared" si="106"/>
        <v>0</v>
      </c>
      <c r="AO175" s="448">
        <f t="shared" si="107"/>
        <v>1</v>
      </c>
      <c r="AP175" s="449">
        <f t="shared" si="108"/>
        <v>0.5131777764000004</v>
      </c>
      <c r="AQ175" s="449">
        <f t="shared" si="109"/>
        <v>36.710249920278265</v>
      </c>
      <c r="AR175" s="449">
        <f t="shared" si="130"/>
        <v>157.37247961302646</v>
      </c>
      <c r="AS175" s="449">
        <f t="shared" si="110"/>
        <v>3.1817022136800026</v>
      </c>
      <c r="AT175" s="449">
        <f t="shared" si="111"/>
        <v>458.0331842045278</v>
      </c>
      <c r="AU175" s="453">
        <f t="shared" si="112"/>
        <v>270</v>
      </c>
      <c r="AV175" s="145">
        <f t="shared" si="113"/>
        <v>170.20000000000005</v>
      </c>
      <c r="AW175" s="178">
        <f t="shared" si="114"/>
        <v>0</v>
      </c>
      <c r="AX175" s="179">
        <f t="shared" si="115"/>
        <v>0</v>
      </c>
      <c r="AY175" s="145" t="str">
        <f t="shared" si="131"/>
        <v/>
      </c>
      <c r="AZ175" s="145">
        <f t="shared" si="116"/>
        <v>0</v>
      </c>
      <c r="BA175" s="145">
        <f t="shared" si="117"/>
        <v>371.0558574250465</v>
      </c>
      <c r="BB175" s="145">
        <f t="shared" si="118"/>
        <v>0</v>
      </c>
      <c r="BC175" s="145">
        <f t="shared" si="119"/>
        <v>14.842234297001852</v>
      </c>
      <c r="BD175" s="145">
        <f t="shared" si="120"/>
        <v>252.31798304903151</v>
      </c>
      <c r="BE175" s="145">
        <f t="shared" si="121"/>
        <v>0</v>
      </c>
      <c r="BF175" s="145" t="str">
        <f t="shared" si="122"/>
        <v/>
      </c>
    </row>
    <row r="176" spans="2:58">
      <c r="B176" s="116">
        <f t="shared" si="98"/>
        <v>173</v>
      </c>
      <c r="C176" s="69">
        <f t="shared" si="123"/>
        <v>42177</v>
      </c>
      <c r="D176" s="257">
        <f>IF(ISERROR(VLOOKUP($C176,'NDVI real'!$T$8:$U$313,2,FALSE)),VLOOKUP(SWB!C176,'NDVI tipo'!$T$8:$U$193,2),VLOOKUP($C176,'NDVI real'!$T$8:$U$313,2,FALSE))</f>
        <v>0.39735339402777803</v>
      </c>
      <c r="E176" s="170">
        <f t="shared" si="88"/>
        <v>6</v>
      </c>
      <c r="F176" s="170">
        <f t="shared" si="89"/>
        <v>22</v>
      </c>
      <c r="G176" s="170">
        <f t="shared" si="90"/>
        <v>2015</v>
      </c>
      <c r="H176" s="170">
        <f t="shared" si="99"/>
        <v>173</v>
      </c>
      <c r="I176" s="190">
        <f>IF(ISERROR(VLOOKUP($C176,Clima!$U$8:$AH$900,3,FALSE)),VLOOKUP($C176,Clima!$D$8:$R$900,3),VLOOKUP($C176,Clima!$U$8:$AH$900,3,FALSE))</f>
        <v>21.9</v>
      </c>
      <c r="J176" s="191"/>
      <c r="K176" s="170"/>
      <c r="L176" s="192">
        <f>IF(ISERROR(VLOOKUP($C176,Clima!$U$8:$AH$900,14,FALSE)),VLOOKUP($C176,Clima!$D$8:$R$900,14),VLOOKUP($C176,Clima!$U$8:$AH$900,14,FALSE))</f>
        <v>7.2</v>
      </c>
      <c r="M176" s="190"/>
      <c r="N176" s="190"/>
      <c r="O176" s="191"/>
      <c r="P176" s="191">
        <f>IF(ISERROR(VLOOKUP($C176,Clima!$W$8:$AH$350,12,FALSE)),VLOOKUP($C176,Clima!$E$8:$P$350,12),VLOOKUP($C176,Clima!$W$8:$AH$350,12,FALSE))</f>
        <v>2.9</v>
      </c>
      <c r="Q176" s="170">
        <f t="shared" si="124"/>
        <v>405.28948458324982</v>
      </c>
      <c r="R176" s="254">
        <f>VLOOKUP(C176,Clima!$V$8:$AH$900,3,FALSE)+R175</f>
        <v>1868.0000000000007</v>
      </c>
      <c r="S176" s="455">
        <f t="shared" si="100"/>
        <v>0.47218888740000031</v>
      </c>
      <c r="T176" s="449">
        <f t="shared" si="101"/>
        <v>3.3997599892800023</v>
      </c>
      <c r="U176" s="195"/>
      <c r="V176" s="445">
        <f t="shared" si="91"/>
        <v>1.1338733331349999</v>
      </c>
      <c r="W176" s="446">
        <f t="shared" si="102"/>
        <v>0</v>
      </c>
      <c r="X176" s="447">
        <f t="shared" si="125"/>
        <v>0.89248888756666667</v>
      </c>
      <c r="Y176" s="448">
        <f t="shared" si="103"/>
        <v>1</v>
      </c>
      <c r="Z176" s="449">
        <f t="shared" si="92"/>
        <v>0.10751111243333333</v>
      </c>
      <c r="AA176" s="449">
        <f t="shared" si="126"/>
        <v>7.9768447423102735</v>
      </c>
      <c r="AB176" s="451">
        <f t="shared" si="104"/>
        <v>8.683221633647431E-4</v>
      </c>
      <c r="AC176" s="449">
        <f t="shared" si="93"/>
        <v>5.7455526938541581E-4</v>
      </c>
      <c r="AD176" s="449">
        <f t="shared" si="94"/>
        <v>4.1367979395749935E-3</v>
      </c>
      <c r="AE176" s="448">
        <f t="shared" si="127"/>
        <v>0</v>
      </c>
      <c r="AF176" s="449">
        <f t="shared" si="128"/>
        <v>8.015322606095193</v>
      </c>
      <c r="AG176" s="449">
        <f t="shared" si="95"/>
        <v>0.47276344266938575</v>
      </c>
      <c r="AH176" s="449">
        <f t="shared" si="96"/>
        <v>3.4038967872195776</v>
      </c>
      <c r="AI176" s="448"/>
      <c r="AJ176" s="449">
        <f t="shared" si="105"/>
        <v>0.6</v>
      </c>
      <c r="AK176" s="450">
        <f t="shared" si="97"/>
        <v>39</v>
      </c>
      <c r="AL176" s="449">
        <f t="shared" si="129"/>
        <v>37.214146707497846</v>
      </c>
      <c r="AM176" s="451">
        <f>IF(ISERROR(VLOOKUP(C176,Riegos,2,FALSE)),VLOOKUP(C176,Riegos,2,FALSE),VLOOKUP($F$8,Nomen!$A$79:$B$80,2,FALSE)*IF(AND(H176&gt;120,D176&lt;0.45),0,IF(AQ175+AH176&gt;=AK176,MIN(AQ175,$AK$7),0)))</f>
        <v>0</v>
      </c>
      <c r="AN176" s="448">
        <f t="shared" si="106"/>
        <v>0</v>
      </c>
      <c r="AO176" s="448">
        <f t="shared" si="107"/>
        <v>1</v>
      </c>
      <c r="AP176" s="449">
        <f t="shared" si="108"/>
        <v>0.47276344266938575</v>
      </c>
      <c r="AQ176" s="449">
        <f t="shared" si="109"/>
        <v>37.214146707497846</v>
      </c>
      <c r="AR176" s="449">
        <f t="shared" si="130"/>
        <v>158.37247961302646</v>
      </c>
      <c r="AS176" s="449">
        <f t="shared" si="110"/>
        <v>3.4038967872195776</v>
      </c>
      <c r="AT176" s="449">
        <f t="shared" si="111"/>
        <v>461.43708099174739</v>
      </c>
      <c r="AU176" s="453">
        <f t="shared" si="112"/>
        <v>270</v>
      </c>
      <c r="AV176" s="145">
        <f t="shared" si="113"/>
        <v>173.10000000000005</v>
      </c>
      <c r="AW176" s="178">
        <f t="shared" si="114"/>
        <v>0</v>
      </c>
      <c r="AX176" s="179">
        <f t="shared" si="115"/>
        <v>0</v>
      </c>
      <c r="AY176" s="145" t="str">
        <f t="shared" si="131"/>
        <v/>
      </c>
      <c r="AZ176" s="145">
        <f t="shared" si="116"/>
        <v>0</v>
      </c>
      <c r="BA176" s="145">
        <f t="shared" si="117"/>
        <v>371.0558574250465</v>
      </c>
      <c r="BB176" s="145">
        <f t="shared" si="118"/>
        <v>0</v>
      </c>
      <c r="BC176" s="145">
        <f t="shared" si="119"/>
        <v>14.842234297001852</v>
      </c>
      <c r="BD176" s="145">
        <f t="shared" si="120"/>
        <v>252.31798304903151</v>
      </c>
      <c r="BE176" s="145">
        <f t="shared" si="121"/>
        <v>0</v>
      </c>
      <c r="BF176" s="145" t="str">
        <f t="shared" si="122"/>
        <v/>
      </c>
    </row>
    <row r="177" spans="2:58">
      <c r="B177" s="116">
        <f t="shared" si="98"/>
        <v>174</v>
      </c>
      <c r="C177" s="69">
        <f t="shared" si="123"/>
        <v>42178</v>
      </c>
      <c r="D177" s="257">
        <f>IF(ISERROR(VLOOKUP($C177,'NDVI real'!$T$8:$U$313,2,FALSE)),VLOOKUP(SWB!C177,'NDVI tipo'!$T$8:$U$193,2),VLOOKUP($C177,'NDVI real'!$T$8:$U$313,2,FALSE))</f>
        <v>0.36888888777777779</v>
      </c>
      <c r="E177" s="170">
        <f t="shared" si="88"/>
        <v>6</v>
      </c>
      <c r="F177" s="170">
        <f t="shared" si="89"/>
        <v>23</v>
      </c>
      <c r="G177" s="170">
        <f t="shared" si="90"/>
        <v>2015</v>
      </c>
      <c r="H177" s="170">
        <f t="shared" si="99"/>
        <v>174</v>
      </c>
      <c r="I177" s="190">
        <f>IF(ISERROR(VLOOKUP($C177,Clima!$U$8:$AH$900,3,FALSE)),VLOOKUP($C177,Clima!$D$8:$R$900,3),VLOOKUP($C177,Clima!$U$8:$AH$900,3,FALSE))</f>
        <v>21.6</v>
      </c>
      <c r="J177" s="191"/>
      <c r="K177" s="170"/>
      <c r="L177" s="192">
        <f>IF(ISERROR(VLOOKUP($C177,Clima!$U$8:$AH$900,14,FALSE)),VLOOKUP($C177,Clima!$D$8:$R$900,14),VLOOKUP($C177,Clima!$U$8:$AH$900,14,FALSE))</f>
        <v>7.6</v>
      </c>
      <c r="M177" s="190"/>
      <c r="N177" s="190"/>
      <c r="O177" s="191"/>
      <c r="P177" s="191">
        <f>IF(ISERROR(VLOOKUP($C177,Clima!$W$8:$AH$350,12,FALSE)),VLOOKUP($C177,Clima!$E$8:$P$350,12),VLOOKUP($C177,Clima!$W$8:$AH$350,12,FALSE))</f>
        <v>0</v>
      </c>
      <c r="Q177" s="170">
        <f t="shared" si="124"/>
        <v>408.33388743325685</v>
      </c>
      <c r="R177" s="254">
        <f>VLOOKUP(C177,Clima!$V$8:$AH$900,3,FALSE)+R176</f>
        <v>1890.3000000000006</v>
      </c>
      <c r="S177" s="455">
        <f t="shared" si="100"/>
        <v>0.43119999840000001</v>
      </c>
      <c r="T177" s="449">
        <f t="shared" si="101"/>
        <v>3.2771199878399999</v>
      </c>
      <c r="U177" s="195"/>
      <c r="V177" s="445">
        <f t="shared" si="91"/>
        <v>1.1338733331349999</v>
      </c>
      <c r="W177" s="446">
        <f t="shared" si="102"/>
        <v>0</v>
      </c>
      <c r="X177" s="447">
        <f t="shared" si="125"/>
        <v>0.89248888756666667</v>
      </c>
      <c r="Y177" s="448">
        <f t="shared" si="103"/>
        <v>1</v>
      </c>
      <c r="Z177" s="449">
        <f t="shared" si="92"/>
        <v>0.10751111243333333</v>
      </c>
      <c r="AA177" s="449">
        <f t="shared" si="126"/>
        <v>8.015322606095193</v>
      </c>
      <c r="AB177" s="451">
        <f t="shared" si="104"/>
        <v>0</v>
      </c>
      <c r="AC177" s="449">
        <f t="shared" si="93"/>
        <v>0</v>
      </c>
      <c r="AD177" s="449">
        <f t="shared" si="94"/>
        <v>0</v>
      </c>
      <c r="AE177" s="448">
        <f t="shared" si="127"/>
        <v>0</v>
      </c>
      <c r="AF177" s="449">
        <f t="shared" si="128"/>
        <v>8.015322606095193</v>
      </c>
      <c r="AG177" s="449">
        <f t="shared" si="95"/>
        <v>0.43119999840000001</v>
      </c>
      <c r="AH177" s="449">
        <f t="shared" si="96"/>
        <v>3.2771199878399999</v>
      </c>
      <c r="AI177" s="448"/>
      <c r="AJ177" s="449">
        <f t="shared" si="105"/>
        <v>0.6</v>
      </c>
      <c r="AK177" s="450">
        <f t="shared" si="97"/>
        <v>39</v>
      </c>
      <c r="AL177" s="449">
        <f t="shared" si="129"/>
        <v>40.491266695337849</v>
      </c>
      <c r="AM177" s="451">
        <f>IF(ISERROR(VLOOKUP(C177,Riegos,2,FALSE)),VLOOKUP(C177,Riegos,2,FALSE),VLOOKUP($F$8,Nomen!$A$79:$B$80,2,FALSE)*IF(AND(H177&gt;120,D177&lt;0.45),0,IF(AQ176+AH177&gt;=AK177,MIN(AQ176,$AK$7),0)))</f>
        <v>0</v>
      </c>
      <c r="AN177" s="448">
        <f t="shared" si="106"/>
        <v>0</v>
      </c>
      <c r="AO177" s="448">
        <f t="shared" si="107"/>
        <v>0.92898730022200715</v>
      </c>
      <c r="AP177" s="449">
        <f t="shared" si="108"/>
        <v>0.40057932236934979</v>
      </c>
      <c r="AQ177" s="449">
        <f t="shared" si="109"/>
        <v>40.258549557504907</v>
      </c>
      <c r="AR177" s="449">
        <f t="shared" si="130"/>
        <v>159.30146691324848</v>
      </c>
      <c r="AS177" s="449">
        <f t="shared" si="110"/>
        <v>3.0444028500070583</v>
      </c>
      <c r="AT177" s="449">
        <f t="shared" si="111"/>
        <v>464.48148384175443</v>
      </c>
      <c r="AU177" s="453">
        <f t="shared" si="112"/>
        <v>270</v>
      </c>
      <c r="AV177" s="145">
        <f t="shared" si="113"/>
        <v>173.10000000000005</v>
      </c>
      <c r="AW177" s="178">
        <f t="shared" si="114"/>
        <v>0</v>
      </c>
      <c r="AX177" s="179">
        <f t="shared" si="115"/>
        <v>0</v>
      </c>
      <c r="AY177" s="145" t="str">
        <f t="shared" si="131"/>
        <v/>
      </c>
      <c r="AZ177" s="145">
        <f t="shared" si="116"/>
        <v>0</v>
      </c>
      <c r="BA177" s="145">
        <f t="shared" si="117"/>
        <v>371.0558574250465</v>
      </c>
      <c r="BB177" s="145">
        <f t="shared" si="118"/>
        <v>0</v>
      </c>
      <c r="BC177" s="145">
        <f t="shared" si="119"/>
        <v>14.842234297001852</v>
      </c>
      <c r="BD177" s="145">
        <f t="shared" si="120"/>
        <v>252.31798304903151</v>
      </c>
      <c r="BE177" s="145">
        <f t="shared" si="121"/>
        <v>0</v>
      </c>
      <c r="BF177" s="145" t="str">
        <f t="shared" si="122"/>
        <v/>
      </c>
    </row>
    <row r="178" spans="2:58">
      <c r="B178" s="116">
        <f t="shared" si="98"/>
        <v>175</v>
      </c>
      <c r="C178" s="69">
        <f t="shared" si="123"/>
        <v>42179</v>
      </c>
      <c r="D178" s="257">
        <f>IF(ISERROR(VLOOKUP($C178,'NDVI real'!$T$8:$U$313,2,FALSE)),VLOOKUP(SWB!C178,'NDVI tipo'!$T$8:$U$193,2),VLOOKUP($C178,'NDVI real'!$T$8:$U$313,2,FALSE))</f>
        <v>0.36488536063492066</v>
      </c>
      <c r="E178" s="170">
        <f t="shared" si="88"/>
        <v>6</v>
      </c>
      <c r="F178" s="170">
        <f t="shared" si="89"/>
        <v>24</v>
      </c>
      <c r="G178" s="170">
        <f t="shared" si="90"/>
        <v>2015</v>
      </c>
      <c r="H178" s="170">
        <f t="shared" si="99"/>
        <v>175</v>
      </c>
      <c r="I178" s="190">
        <f>IF(ISERROR(VLOOKUP($C178,Clima!$U$8:$AH$900,3,FALSE)),VLOOKUP($C178,Clima!$D$8:$R$900,3),VLOOKUP($C178,Clima!$U$8:$AH$900,3,FALSE))</f>
        <v>23.3</v>
      </c>
      <c r="J178" s="191"/>
      <c r="K178" s="170"/>
      <c r="L178" s="192">
        <f>IF(ISERROR(VLOOKUP($C178,Clima!$U$8:$AH$900,14,FALSE)),VLOOKUP($C178,Clima!$D$8:$R$900,14),VLOOKUP($C178,Clima!$U$8:$AH$900,14,FALSE))</f>
        <v>7.4</v>
      </c>
      <c r="M178" s="190"/>
      <c r="N178" s="190"/>
      <c r="O178" s="191"/>
      <c r="P178" s="191">
        <f>IF(ISERROR(VLOOKUP($C178,Clima!$W$8:$AH$350,12,FALSE)),VLOOKUP($C178,Clima!$E$8:$P$350,12),VLOOKUP($C178,Clima!$W$8:$AH$350,12,FALSE))</f>
        <v>1.4</v>
      </c>
      <c r="Q178" s="170">
        <f t="shared" si="124"/>
        <v>410.99053642033635</v>
      </c>
      <c r="R178" s="254">
        <f>VLOOKUP(C178,Clima!$V$8:$AH$900,3,FALSE)+R177</f>
        <v>1910.5000000000007</v>
      </c>
      <c r="S178" s="455">
        <f t="shared" si="100"/>
        <v>0.42543491931428579</v>
      </c>
      <c r="T178" s="449">
        <f t="shared" si="101"/>
        <v>3.148218402925715</v>
      </c>
      <c r="U178" s="195"/>
      <c r="V178" s="445">
        <f t="shared" si="91"/>
        <v>1.1338733331349999</v>
      </c>
      <c r="W178" s="446">
        <f t="shared" si="102"/>
        <v>0</v>
      </c>
      <c r="X178" s="447">
        <f t="shared" si="125"/>
        <v>0.89248888756666667</v>
      </c>
      <c r="Y178" s="448">
        <f t="shared" si="103"/>
        <v>1</v>
      </c>
      <c r="Z178" s="449">
        <f t="shared" si="92"/>
        <v>0.10751111243333333</v>
      </c>
      <c r="AA178" s="449">
        <f t="shared" si="126"/>
        <v>6.6153226060951926</v>
      </c>
      <c r="AB178" s="451">
        <f t="shared" si="104"/>
        <v>5.1925402271430277E-2</v>
      </c>
      <c r="AC178" s="449">
        <f t="shared" si="93"/>
        <v>3.6785949622174574E-2</v>
      </c>
      <c r="AD178" s="449">
        <f t="shared" si="94"/>
        <v>0.27221602720409188</v>
      </c>
      <c r="AE178" s="448">
        <f t="shared" si="127"/>
        <v>0</v>
      </c>
      <c r="AF178" s="449">
        <f t="shared" si="128"/>
        <v>9.1473029850805787</v>
      </c>
      <c r="AG178" s="449">
        <f t="shared" si="95"/>
        <v>0.46222086893646036</v>
      </c>
      <c r="AH178" s="449">
        <f t="shared" si="96"/>
        <v>3.4204344301298066</v>
      </c>
      <c r="AI178" s="448"/>
      <c r="AJ178" s="449">
        <f t="shared" si="105"/>
        <v>0.6</v>
      </c>
      <c r="AK178" s="450">
        <f t="shared" si="97"/>
        <v>39</v>
      </c>
      <c r="AL178" s="449">
        <f t="shared" si="129"/>
        <v>42.278983987634717</v>
      </c>
      <c r="AM178" s="451">
        <f>IF(ISERROR(VLOOKUP(C178,Riegos,2,FALSE)),VLOOKUP(C178,Riegos,2,FALSE),VLOOKUP($F$8,Nomen!$A$79:$B$80,2,FALSE)*IF(AND(H178&gt;120,D178&lt;0.45),0,IF(AQ177+AH178&gt;=AK178,MIN(AQ177,$AK$7),0)))</f>
        <v>0</v>
      </c>
      <c r="AN178" s="448">
        <f t="shared" si="106"/>
        <v>0</v>
      </c>
      <c r="AO178" s="448">
        <f t="shared" si="107"/>
        <v>0.8438579053507278</v>
      </c>
      <c r="AP178" s="449">
        <f t="shared" si="108"/>
        <v>0.39579256949778369</v>
      </c>
      <c r="AQ178" s="449">
        <f t="shared" si="109"/>
        <v>41.78741457178851</v>
      </c>
      <c r="AR178" s="449">
        <f t="shared" si="130"/>
        <v>160.14532481859919</v>
      </c>
      <c r="AS178" s="449">
        <f t="shared" si="110"/>
        <v>2.9288650142835992</v>
      </c>
      <c r="AT178" s="449">
        <f t="shared" si="111"/>
        <v>467.41034885603801</v>
      </c>
      <c r="AU178" s="453">
        <f t="shared" si="112"/>
        <v>270</v>
      </c>
      <c r="AV178" s="145">
        <f t="shared" si="113"/>
        <v>174.50000000000006</v>
      </c>
      <c r="AW178" s="178">
        <f t="shared" si="114"/>
        <v>0</v>
      </c>
      <c r="AX178" s="179">
        <f t="shared" si="115"/>
        <v>0</v>
      </c>
      <c r="AY178" s="145" t="str">
        <f t="shared" si="131"/>
        <v/>
      </c>
      <c r="AZ178" s="145">
        <f t="shared" si="116"/>
        <v>0</v>
      </c>
      <c r="BA178" s="145">
        <f t="shared" si="117"/>
        <v>371.0558574250465</v>
      </c>
      <c r="BB178" s="145">
        <f t="shared" si="118"/>
        <v>0</v>
      </c>
      <c r="BC178" s="145">
        <f t="shared" si="119"/>
        <v>14.842234297001852</v>
      </c>
      <c r="BD178" s="145">
        <f t="shared" si="120"/>
        <v>252.31798304903151</v>
      </c>
      <c r="BE178" s="145">
        <f t="shared" si="121"/>
        <v>0</v>
      </c>
      <c r="BF178" s="145" t="str">
        <f t="shared" si="122"/>
        <v/>
      </c>
    </row>
    <row r="179" spans="2:58">
      <c r="B179" s="116">
        <f t="shared" si="98"/>
        <v>176</v>
      </c>
      <c r="C179" s="69">
        <f t="shared" si="123"/>
        <v>42180</v>
      </c>
      <c r="D179" s="257">
        <f>IF(ISERROR(VLOOKUP($C179,'NDVI real'!$T$8:$U$313,2,FALSE)),VLOOKUP(SWB!C179,'NDVI tipo'!$T$8:$U$193,2),VLOOKUP($C179,'NDVI real'!$T$8:$U$313,2,FALSE))</f>
        <v>0.36088183349206354</v>
      </c>
      <c r="E179" s="170">
        <f t="shared" si="88"/>
        <v>6</v>
      </c>
      <c r="F179" s="170">
        <f t="shared" si="89"/>
        <v>25</v>
      </c>
      <c r="G179" s="170">
        <f t="shared" si="90"/>
        <v>2015</v>
      </c>
      <c r="H179" s="170">
        <f t="shared" si="99"/>
        <v>176</v>
      </c>
      <c r="I179" s="190">
        <f>IF(ISERROR(VLOOKUP($C179,Clima!$U$8:$AH$900,3,FALSE)),VLOOKUP($C179,Clima!$D$8:$R$900,3),VLOOKUP($C179,Clima!$U$8:$AH$900,3,FALSE))</f>
        <v>25.3</v>
      </c>
      <c r="J179" s="191"/>
      <c r="K179" s="170"/>
      <c r="L179" s="192">
        <f>IF(ISERROR(VLOOKUP($C179,Clima!$U$8:$AH$900,14,FALSE)),VLOOKUP($C179,Clima!$D$8:$R$900,14),VLOOKUP($C179,Clima!$U$8:$AH$900,14,FALSE))</f>
        <v>7.4</v>
      </c>
      <c r="M179" s="190"/>
      <c r="N179" s="190"/>
      <c r="O179" s="191"/>
      <c r="P179" s="191">
        <f>IF(ISERROR(VLOOKUP($C179,Clima!$W$8:$AH$350,12,FALSE)),VLOOKUP($C179,Clima!$E$8:$P$350,12),VLOOKUP($C179,Clima!$W$8:$AH$350,12,FALSE))</f>
        <v>0</v>
      </c>
      <c r="Q179" s="170">
        <f t="shared" si="124"/>
        <v>413.22461907254876</v>
      </c>
      <c r="R179" s="254">
        <f>VLOOKUP(C179,Clima!$V$8:$AH$900,3,FALSE)+R178</f>
        <v>1932.9000000000008</v>
      </c>
      <c r="S179" s="455">
        <f t="shared" si="100"/>
        <v>0.41966984022857146</v>
      </c>
      <c r="T179" s="449">
        <f t="shared" si="101"/>
        <v>3.1055568176914288</v>
      </c>
      <c r="U179" s="195"/>
      <c r="V179" s="445">
        <f t="shared" si="91"/>
        <v>1.1338733331349999</v>
      </c>
      <c r="W179" s="446">
        <f t="shared" si="102"/>
        <v>0</v>
      </c>
      <c r="X179" s="447">
        <f t="shared" si="125"/>
        <v>0.89248888756666667</v>
      </c>
      <c r="Y179" s="448">
        <f t="shared" si="103"/>
        <v>1</v>
      </c>
      <c r="Z179" s="449">
        <f t="shared" si="92"/>
        <v>0.10751111243333333</v>
      </c>
      <c r="AA179" s="449">
        <f t="shared" si="126"/>
        <v>9.1473029850805787</v>
      </c>
      <c r="AB179" s="451">
        <f t="shared" si="104"/>
        <v>0</v>
      </c>
      <c r="AC179" s="449">
        <f t="shared" si="93"/>
        <v>0</v>
      </c>
      <c r="AD179" s="449">
        <f t="shared" si="94"/>
        <v>0</v>
      </c>
      <c r="AE179" s="448">
        <f t="shared" si="127"/>
        <v>0</v>
      </c>
      <c r="AF179" s="449">
        <f t="shared" si="128"/>
        <v>9.1473029850805787</v>
      </c>
      <c r="AG179" s="449">
        <f t="shared" si="95"/>
        <v>0.41966984022857146</v>
      </c>
      <c r="AH179" s="449">
        <f t="shared" si="96"/>
        <v>3.1055568176914288</v>
      </c>
      <c r="AI179" s="448"/>
      <c r="AJ179" s="449">
        <f t="shared" si="105"/>
        <v>0.6</v>
      </c>
      <c r="AK179" s="450">
        <f t="shared" si="97"/>
        <v>39</v>
      </c>
      <c r="AL179" s="449">
        <f t="shared" si="129"/>
        <v>44.892971389479939</v>
      </c>
      <c r="AM179" s="451">
        <f>IF(ISERROR(VLOOKUP(C179,Riegos,2,FALSE)),VLOOKUP(C179,Riegos,2,FALSE),VLOOKUP($F$8,Nomen!$A$79:$B$80,2,FALSE)*IF(AND(H179&gt;120,D179&lt;0.45),0,IF(AQ178+AH179&gt;=AK179,MIN(AQ178,$AK$7),0)))</f>
        <v>0</v>
      </c>
      <c r="AN179" s="448">
        <f t="shared" si="106"/>
        <v>0</v>
      </c>
      <c r="AO179" s="448">
        <f t="shared" si="107"/>
        <v>0.71938231478666959</v>
      </c>
      <c r="AP179" s="449">
        <f t="shared" si="108"/>
        <v>0.30190306110978155</v>
      </c>
      <c r="AQ179" s="449">
        <f t="shared" si="109"/>
        <v>44.021497224000896</v>
      </c>
      <c r="AR179" s="449">
        <f t="shared" si="130"/>
        <v>160.86470713338585</v>
      </c>
      <c r="AS179" s="449">
        <f t="shared" si="110"/>
        <v>2.2340826522123836</v>
      </c>
      <c r="AT179" s="449">
        <f t="shared" si="111"/>
        <v>469.64443150825042</v>
      </c>
      <c r="AU179" s="453">
        <f t="shared" si="112"/>
        <v>270</v>
      </c>
      <c r="AV179" s="145">
        <f t="shared" si="113"/>
        <v>174.50000000000006</v>
      </c>
      <c r="AW179" s="178">
        <f t="shared" si="114"/>
        <v>0</v>
      </c>
      <c r="AX179" s="179">
        <f t="shared" si="115"/>
        <v>0</v>
      </c>
      <c r="AY179" s="145" t="str">
        <f t="shared" si="131"/>
        <v/>
      </c>
      <c r="AZ179" s="145">
        <f t="shared" si="116"/>
        <v>0</v>
      </c>
      <c r="BA179" s="145">
        <f t="shared" si="117"/>
        <v>371.0558574250465</v>
      </c>
      <c r="BB179" s="145">
        <f t="shared" si="118"/>
        <v>0</v>
      </c>
      <c r="BC179" s="145">
        <f t="shared" si="119"/>
        <v>14.842234297001852</v>
      </c>
      <c r="BD179" s="145">
        <f t="shared" si="120"/>
        <v>252.31798304903151</v>
      </c>
      <c r="BE179" s="145">
        <f t="shared" si="121"/>
        <v>0</v>
      </c>
      <c r="BF179" s="145" t="str">
        <f t="shared" si="122"/>
        <v/>
      </c>
    </row>
    <row r="180" spans="2:58">
      <c r="B180" s="116">
        <f t="shared" si="98"/>
        <v>177</v>
      </c>
      <c r="C180" s="69">
        <f t="shared" si="123"/>
        <v>42181</v>
      </c>
      <c r="D180" s="257">
        <f>IF(ISERROR(VLOOKUP($C180,'NDVI real'!$T$8:$U$313,2,FALSE)),VLOOKUP(SWB!C180,'NDVI tipo'!$T$8:$U$193,2),VLOOKUP($C180,'NDVI real'!$T$8:$U$313,2,FALSE))</f>
        <v>0.35687830634920642</v>
      </c>
      <c r="E180" s="170">
        <f t="shared" si="88"/>
        <v>6</v>
      </c>
      <c r="F180" s="170">
        <f t="shared" si="89"/>
        <v>26</v>
      </c>
      <c r="G180" s="170">
        <f t="shared" si="90"/>
        <v>2015</v>
      </c>
      <c r="H180" s="170">
        <f t="shared" si="99"/>
        <v>177</v>
      </c>
      <c r="I180" s="190">
        <f>IF(ISERROR(VLOOKUP($C180,Clima!$U$8:$AH$900,3,FALSE)),VLOOKUP($C180,Clima!$D$8:$R$900,3),VLOOKUP($C180,Clima!$U$8:$AH$900,3,FALSE))</f>
        <v>24.3</v>
      </c>
      <c r="J180" s="191"/>
      <c r="K180" s="170"/>
      <c r="L180" s="192">
        <f>IF(ISERROR(VLOOKUP($C180,Clima!$U$8:$AH$900,14,FALSE)),VLOOKUP($C180,Clima!$D$8:$R$900,14),VLOOKUP($C180,Clima!$U$8:$AH$900,14,FALSE))</f>
        <v>7</v>
      </c>
      <c r="M180" s="190"/>
      <c r="N180" s="190"/>
      <c r="O180" s="191"/>
      <c r="P180" s="191">
        <f>IF(ISERROR(VLOOKUP($C180,Clima!$W$8:$AH$350,12,FALSE)),VLOOKUP($C180,Clima!$E$8:$P$350,12),VLOOKUP($C180,Clima!$W$8:$AH$350,12,FALSE))</f>
        <v>0</v>
      </c>
      <c r="Q180" s="170">
        <f t="shared" si="124"/>
        <v>415.02940517782986</v>
      </c>
      <c r="R180" s="254">
        <f>VLOOKUP(C180,Clima!$V$8:$AH$900,3,FALSE)+R179</f>
        <v>1957.6000000000008</v>
      </c>
      <c r="S180" s="455">
        <f t="shared" si="100"/>
        <v>0.41390476114285724</v>
      </c>
      <c r="T180" s="449">
        <f t="shared" si="101"/>
        <v>2.8973333280000007</v>
      </c>
      <c r="U180" s="195"/>
      <c r="V180" s="445">
        <f t="shared" si="91"/>
        <v>1.1338733331349999</v>
      </c>
      <c r="W180" s="446">
        <f t="shared" si="102"/>
        <v>0</v>
      </c>
      <c r="X180" s="447">
        <f t="shared" si="125"/>
        <v>0.89248888756666667</v>
      </c>
      <c r="Y180" s="448">
        <f t="shared" si="103"/>
        <v>1</v>
      </c>
      <c r="Z180" s="449">
        <f t="shared" si="92"/>
        <v>0.10751111243333333</v>
      </c>
      <c r="AA180" s="449">
        <f t="shared" si="126"/>
        <v>9.1473029850805787</v>
      </c>
      <c r="AB180" s="451">
        <f t="shared" si="104"/>
        <v>0</v>
      </c>
      <c r="AC180" s="449">
        <f t="shared" si="93"/>
        <v>0</v>
      </c>
      <c r="AD180" s="449">
        <f t="shared" si="94"/>
        <v>0</v>
      </c>
      <c r="AE180" s="448">
        <f t="shared" si="127"/>
        <v>0</v>
      </c>
      <c r="AF180" s="449">
        <f t="shared" si="128"/>
        <v>9.1473029850805787</v>
      </c>
      <c r="AG180" s="449">
        <f t="shared" si="95"/>
        <v>0.41390476114285724</v>
      </c>
      <c r="AH180" s="449">
        <f t="shared" si="96"/>
        <v>2.8973333280000007</v>
      </c>
      <c r="AI180" s="448"/>
      <c r="AJ180" s="449">
        <f t="shared" si="105"/>
        <v>0.6</v>
      </c>
      <c r="AK180" s="450">
        <f t="shared" si="97"/>
        <v>39</v>
      </c>
      <c r="AL180" s="449">
        <f t="shared" si="129"/>
        <v>46.918830552000898</v>
      </c>
      <c r="AM180" s="451">
        <f>IF(ISERROR(VLOOKUP(C180,Riegos,2,FALSE)),VLOOKUP(C180,Riegos,2,FALSE),VLOOKUP($F$8,Nomen!$A$79:$B$80,2,FALSE)*IF(AND(H180&gt;120,D180&lt;0.45),0,IF(AQ179+AH180&gt;=AK180,MIN(AQ179,$AK$7),0)))</f>
        <v>0</v>
      </c>
      <c r="AN180" s="448">
        <f t="shared" si="106"/>
        <v>0</v>
      </c>
      <c r="AO180" s="448">
        <f t="shared" si="107"/>
        <v>0.62291283085710014</v>
      </c>
      <c r="AP180" s="449">
        <f t="shared" si="108"/>
        <v>0.25782658646872908</v>
      </c>
      <c r="AQ180" s="449">
        <f t="shared" si="109"/>
        <v>45.826283329281999</v>
      </c>
      <c r="AR180" s="449">
        <f t="shared" si="130"/>
        <v>161.48761996424295</v>
      </c>
      <c r="AS180" s="449">
        <f t="shared" si="110"/>
        <v>1.8047861052811036</v>
      </c>
      <c r="AT180" s="449">
        <f t="shared" si="111"/>
        <v>471.44921761353152</v>
      </c>
      <c r="AU180" s="453">
        <f t="shared" si="112"/>
        <v>270</v>
      </c>
      <c r="AV180" s="145">
        <f t="shared" si="113"/>
        <v>174.50000000000006</v>
      </c>
      <c r="AW180" s="178">
        <f t="shared" si="114"/>
        <v>0</v>
      </c>
      <c r="AX180" s="179">
        <f t="shared" si="115"/>
        <v>0</v>
      </c>
      <c r="AY180" s="145" t="str">
        <f t="shared" si="131"/>
        <v/>
      </c>
      <c r="AZ180" s="145">
        <f t="shared" si="116"/>
        <v>0</v>
      </c>
      <c r="BA180" s="145">
        <f t="shared" si="117"/>
        <v>371.0558574250465</v>
      </c>
      <c r="BB180" s="145">
        <f t="shared" si="118"/>
        <v>0</v>
      </c>
      <c r="BC180" s="145">
        <f t="shared" si="119"/>
        <v>14.842234297001852</v>
      </c>
      <c r="BD180" s="145">
        <f t="shared" si="120"/>
        <v>252.31798304903151</v>
      </c>
      <c r="BE180" s="145">
        <f t="shared" si="121"/>
        <v>0</v>
      </c>
      <c r="BF180" s="145" t="str">
        <f t="shared" si="122"/>
        <v/>
      </c>
    </row>
    <row r="181" spans="2:58">
      <c r="B181" s="116">
        <f t="shared" si="98"/>
        <v>178</v>
      </c>
      <c r="C181" s="69">
        <f t="shared" si="123"/>
        <v>42182</v>
      </c>
      <c r="D181" s="257">
        <f>IF(ISERROR(VLOOKUP($C181,'NDVI real'!$T$8:$U$313,2,FALSE)),VLOOKUP(SWB!C181,'NDVI tipo'!$T$8:$U$193,2),VLOOKUP($C181,'NDVI real'!$T$8:$U$313,2,FALSE))</f>
        <v>0.3528747792063493</v>
      </c>
      <c r="E181" s="170">
        <f t="shared" si="88"/>
        <v>6</v>
      </c>
      <c r="F181" s="170">
        <f t="shared" si="89"/>
        <v>27</v>
      </c>
      <c r="G181" s="170">
        <f t="shared" si="90"/>
        <v>2015</v>
      </c>
      <c r="H181" s="170">
        <f t="shared" si="99"/>
        <v>178</v>
      </c>
      <c r="I181" s="190">
        <f>IF(ISERROR(VLOOKUP($C181,Clima!$U$8:$AH$900,3,FALSE)),VLOOKUP($C181,Clima!$D$8:$R$900,3),VLOOKUP($C181,Clima!$U$8:$AH$900,3,FALSE))</f>
        <v>21.7</v>
      </c>
      <c r="J181" s="191"/>
      <c r="K181" s="170"/>
      <c r="L181" s="192">
        <f>IF(ISERROR(VLOOKUP($C181,Clima!$U$8:$AH$900,14,FALSE)),VLOOKUP($C181,Clima!$D$8:$R$900,14),VLOOKUP($C181,Clima!$U$8:$AH$900,14,FALSE))</f>
        <v>7.3</v>
      </c>
      <c r="M181" s="190"/>
      <c r="N181" s="190"/>
      <c r="O181" s="191"/>
      <c r="P181" s="191">
        <f>IF(ISERROR(VLOOKUP($C181,Clima!$W$8:$AH$350,12,FALSE)),VLOOKUP($C181,Clima!$E$8:$P$350,12),VLOOKUP($C181,Clima!$W$8:$AH$350,12,FALSE))</f>
        <v>0</v>
      </c>
      <c r="Q181" s="170">
        <f t="shared" si="124"/>
        <v>416.61761988020299</v>
      </c>
      <c r="R181" s="254">
        <f>VLOOKUP(C181,Clima!$V$8:$AH$900,3,FALSE)+R180</f>
        <v>1983.9000000000008</v>
      </c>
      <c r="S181" s="455">
        <f t="shared" si="100"/>
        <v>0.40813968205714302</v>
      </c>
      <c r="T181" s="449">
        <f t="shared" si="101"/>
        <v>2.9794196790171439</v>
      </c>
      <c r="U181" s="195"/>
      <c r="V181" s="445">
        <f t="shared" si="91"/>
        <v>1.1338733331349999</v>
      </c>
      <c r="W181" s="446">
        <f t="shared" si="102"/>
        <v>0</v>
      </c>
      <c r="X181" s="447">
        <f t="shared" si="125"/>
        <v>0.89248888756666667</v>
      </c>
      <c r="Y181" s="448">
        <f t="shared" si="103"/>
        <v>1</v>
      </c>
      <c r="Z181" s="449">
        <f t="shared" si="92"/>
        <v>0.10751111243333333</v>
      </c>
      <c r="AA181" s="449">
        <f t="shared" si="126"/>
        <v>9.1473029850805787</v>
      </c>
      <c r="AB181" s="451">
        <f t="shared" si="104"/>
        <v>0</v>
      </c>
      <c r="AC181" s="449">
        <f t="shared" si="93"/>
        <v>0</v>
      </c>
      <c r="AD181" s="449">
        <f t="shared" si="94"/>
        <v>0</v>
      </c>
      <c r="AE181" s="448">
        <f t="shared" si="127"/>
        <v>0</v>
      </c>
      <c r="AF181" s="449">
        <f t="shared" si="128"/>
        <v>9.1473029850805787</v>
      </c>
      <c r="AG181" s="449">
        <f t="shared" si="95"/>
        <v>0.40813968205714302</v>
      </c>
      <c r="AH181" s="449">
        <f t="shared" si="96"/>
        <v>2.9794196790171439</v>
      </c>
      <c r="AI181" s="448"/>
      <c r="AJ181" s="449">
        <f t="shared" si="105"/>
        <v>0.6</v>
      </c>
      <c r="AK181" s="450">
        <f t="shared" si="97"/>
        <v>39</v>
      </c>
      <c r="AL181" s="449">
        <f t="shared" si="129"/>
        <v>48.80570300829914</v>
      </c>
      <c r="AM181" s="451">
        <f>IF(ISERROR(VLOOKUP(C181,Riegos,2,FALSE)),VLOOKUP(C181,Riegos,2,FALSE),VLOOKUP($F$8,Nomen!$A$79:$B$80,2,FALSE)*IF(AND(H181&gt;120,D181&lt;0.45),0,IF(AQ180+AH181&gt;=AK181,MIN(AQ180,$AK$7),0)))</f>
        <v>0</v>
      </c>
      <c r="AN181" s="448">
        <f t="shared" si="106"/>
        <v>0</v>
      </c>
      <c r="AO181" s="448">
        <f t="shared" si="107"/>
        <v>0.53306176150956475</v>
      </c>
      <c r="AP181" s="449">
        <f t="shared" si="108"/>
        <v>0.21756365785933435</v>
      </c>
      <c r="AQ181" s="449">
        <f t="shared" si="109"/>
        <v>47.414498031655143</v>
      </c>
      <c r="AR181" s="449">
        <f t="shared" si="130"/>
        <v>162.02068172575252</v>
      </c>
      <c r="AS181" s="449">
        <f t="shared" si="110"/>
        <v>1.5882147023731408</v>
      </c>
      <c r="AT181" s="449">
        <f t="shared" si="111"/>
        <v>473.03743231590465</v>
      </c>
      <c r="AU181" s="453">
        <f t="shared" si="112"/>
        <v>270</v>
      </c>
      <c r="AV181" s="145">
        <f t="shared" si="113"/>
        <v>174.50000000000006</v>
      </c>
      <c r="AW181" s="178">
        <f t="shared" si="114"/>
        <v>0</v>
      </c>
      <c r="AX181" s="179">
        <f t="shared" si="115"/>
        <v>0</v>
      </c>
      <c r="AY181" s="145" t="str">
        <f t="shared" si="131"/>
        <v/>
      </c>
      <c r="AZ181" s="145">
        <f t="shared" si="116"/>
        <v>0</v>
      </c>
      <c r="BA181" s="145">
        <f t="shared" si="117"/>
        <v>371.0558574250465</v>
      </c>
      <c r="BB181" s="145">
        <f t="shared" si="118"/>
        <v>0</v>
      </c>
      <c r="BC181" s="145">
        <f t="shared" si="119"/>
        <v>14.842234297001852</v>
      </c>
      <c r="BD181" s="145">
        <f t="shared" si="120"/>
        <v>252.31798304903151</v>
      </c>
      <c r="BE181" s="145">
        <f t="shared" si="121"/>
        <v>0</v>
      </c>
      <c r="BF181" s="145" t="str">
        <f t="shared" si="122"/>
        <v/>
      </c>
    </row>
    <row r="182" spans="2:58">
      <c r="B182" s="116">
        <f t="shared" si="98"/>
        <v>179</v>
      </c>
      <c r="C182" s="69">
        <f t="shared" si="123"/>
        <v>42183</v>
      </c>
      <c r="D182" s="257">
        <f>IF(ISERROR(VLOOKUP($C182,'NDVI real'!$T$8:$U$313,2,FALSE)),VLOOKUP(SWB!C182,'NDVI tipo'!$T$8:$U$193,2),VLOOKUP($C182,'NDVI real'!$T$8:$U$313,2,FALSE))</f>
        <v>0.34887125206349218</v>
      </c>
      <c r="E182" s="170">
        <f t="shared" si="88"/>
        <v>6</v>
      </c>
      <c r="F182" s="170">
        <f t="shared" si="89"/>
        <v>28</v>
      </c>
      <c r="G182" s="170">
        <f t="shared" si="90"/>
        <v>2015</v>
      </c>
      <c r="H182" s="170">
        <f t="shared" si="99"/>
        <v>179</v>
      </c>
      <c r="I182" s="190">
        <f>IF(ISERROR(VLOOKUP($C182,Clima!$U$8:$AH$900,3,FALSE)),VLOOKUP($C182,Clima!$D$8:$R$900,3),VLOOKUP($C182,Clima!$U$8:$AH$900,3,FALSE))</f>
        <v>23.3</v>
      </c>
      <c r="J182" s="191"/>
      <c r="K182" s="170"/>
      <c r="L182" s="192">
        <f>IF(ISERROR(VLOOKUP($C182,Clima!$U$8:$AH$900,14,FALSE)),VLOOKUP($C182,Clima!$D$8:$R$900,14),VLOOKUP($C182,Clima!$U$8:$AH$900,14,FALSE))</f>
        <v>7</v>
      </c>
      <c r="M182" s="190"/>
      <c r="N182" s="190"/>
      <c r="O182" s="191"/>
      <c r="P182" s="191">
        <f>IF(ISERROR(VLOOKUP($C182,Clima!$W$8:$AH$350,12,FALSE)),VLOOKUP($C182,Clima!$E$8:$P$350,12),VLOOKUP($C182,Clima!$W$8:$AH$350,12,FALSE))</f>
        <v>0</v>
      </c>
      <c r="Q182" s="170">
        <f t="shared" si="124"/>
        <v>417.92786958350098</v>
      </c>
      <c r="R182" s="254">
        <f>VLOOKUP(C182,Clima!$V$8:$AH$900,3,FALSE)+R181</f>
        <v>2011.8000000000009</v>
      </c>
      <c r="S182" s="455">
        <f t="shared" si="100"/>
        <v>0.40237460297142869</v>
      </c>
      <c r="T182" s="449">
        <f t="shared" si="101"/>
        <v>2.8166222208000007</v>
      </c>
      <c r="U182" s="195"/>
      <c r="V182" s="445">
        <f t="shared" si="91"/>
        <v>1.1338733331349999</v>
      </c>
      <c r="W182" s="446">
        <f t="shared" si="102"/>
        <v>0</v>
      </c>
      <c r="X182" s="447">
        <f t="shared" si="125"/>
        <v>0.89248888756666667</v>
      </c>
      <c r="Y182" s="448">
        <f t="shared" si="103"/>
        <v>1</v>
      </c>
      <c r="Z182" s="449">
        <f t="shared" si="92"/>
        <v>0.10751111243333333</v>
      </c>
      <c r="AA182" s="449">
        <f t="shared" si="126"/>
        <v>9.1473029850805787</v>
      </c>
      <c r="AB182" s="451">
        <f t="shared" si="104"/>
        <v>0</v>
      </c>
      <c r="AC182" s="449">
        <f t="shared" si="93"/>
        <v>0</v>
      </c>
      <c r="AD182" s="449">
        <f t="shared" si="94"/>
        <v>0</v>
      </c>
      <c r="AE182" s="448">
        <f t="shared" si="127"/>
        <v>0</v>
      </c>
      <c r="AF182" s="449">
        <f t="shared" si="128"/>
        <v>9.1473029850805787</v>
      </c>
      <c r="AG182" s="449">
        <f t="shared" si="95"/>
        <v>0.40237460297142869</v>
      </c>
      <c r="AH182" s="449">
        <f t="shared" si="96"/>
        <v>2.8166222208000007</v>
      </c>
      <c r="AI182" s="448"/>
      <c r="AJ182" s="449">
        <f t="shared" si="105"/>
        <v>0.6</v>
      </c>
      <c r="AK182" s="450">
        <f t="shared" si="97"/>
        <v>39</v>
      </c>
      <c r="AL182" s="449">
        <f t="shared" si="129"/>
        <v>50.231120252455142</v>
      </c>
      <c r="AM182" s="451">
        <f>IF(ISERROR(VLOOKUP(C182,Riegos,2,FALSE)),VLOOKUP(C182,Riegos,2,FALSE),VLOOKUP($F$8,Nomen!$A$79:$B$80,2,FALSE)*IF(AND(H182&gt;120,D182&lt;0.45),0,IF(AQ181+AH182&gt;=AK182,MIN(AQ181,$AK$7),0)))</f>
        <v>0</v>
      </c>
      <c r="AN182" s="448">
        <f t="shared" si="106"/>
        <v>0</v>
      </c>
      <c r="AO182" s="448">
        <f t="shared" si="107"/>
        <v>0.4651847498830885</v>
      </c>
      <c r="AP182" s="449">
        <f t="shared" si="108"/>
        <v>0.1871785290425711</v>
      </c>
      <c r="AQ182" s="449">
        <f t="shared" si="109"/>
        <v>48.724747734953141</v>
      </c>
      <c r="AR182" s="449">
        <f t="shared" si="130"/>
        <v>162.48586647563562</v>
      </c>
      <c r="AS182" s="449">
        <f t="shared" si="110"/>
        <v>1.3102497032979976</v>
      </c>
      <c r="AT182" s="449">
        <f t="shared" si="111"/>
        <v>474.34768201920264</v>
      </c>
      <c r="AU182" s="453">
        <f t="shared" si="112"/>
        <v>270</v>
      </c>
      <c r="AV182" s="145">
        <f t="shared" si="113"/>
        <v>174.50000000000006</v>
      </c>
      <c r="AW182" s="178">
        <f t="shared" si="114"/>
        <v>0</v>
      </c>
      <c r="AX182" s="179">
        <f t="shared" si="115"/>
        <v>0</v>
      </c>
      <c r="AY182" s="145" t="str">
        <f t="shared" si="131"/>
        <v/>
      </c>
      <c r="AZ182" s="145">
        <f t="shared" si="116"/>
        <v>0</v>
      </c>
      <c r="BA182" s="145">
        <f t="shared" si="117"/>
        <v>371.0558574250465</v>
      </c>
      <c r="BB182" s="145">
        <f t="shared" si="118"/>
        <v>0</v>
      </c>
      <c r="BC182" s="145">
        <f t="shared" si="119"/>
        <v>14.842234297001852</v>
      </c>
      <c r="BD182" s="145">
        <f t="shared" si="120"/>
        <v>252.31798304903151</v>
      </c>
      <c r="BE182" s="145">
        <f t="shared" si="121"/>
        <v>0</v>
      </c>
      <c r="BF182" s="145" t="str">
        <f t="shared" si="122"/>
        <v/>
      </c>
    </row>
    <row r="183" spans="2:58">
      <c r="B183" s="116">
        <f t="shared" si="98"/>
        <v>180</v>
      </c>
      <c r="C183" s="69">
        <f t="shared" si="123"/>
        <v>42184</v>
      </c>
      <c r="D183" s="257">
        <f>IF(ISERROR(VLOOKUP($C183,'NDVI real'!$T$8:$U$313,2,FALSE)),VLOOKUP(SWB!C183,'NDVI tipo'!$T$8:$U$193,2),VLOOKUP($C183,'NDVI real'!$T$8:$U$313,2,FALSE))</f>
        <v>0.34486772492063505</v>
      </c>
      <c r="E183" s="170">
        <f t="shared" si="88"/>
        <v>6</v>
      </c>
      <c r="F183" s="170">
        <f t="shared" si="89"/>
        <v>29</v>
      </c>
      <c r="G183" s="170">
        <f t="shared" si="90"/>
        <v>2015</v>
      </c>
      <c r="H183" s="170">
        <f t="shared" si="99"/>
        <v>180</v>
      </c>
      <c r="I183" s="190">
        <f>IF(ISERROR(VLOOKUP($C183,Clima!$U$8:$AH$900,3,FALSE)),VLOOKUP($C183,Clima!$D$8:$R$900,3),VLOOKUP($C183,Clima!$U$8:$AH$900,3,FALSE))</f>
        <v>23.1</v>
      </c>
      <c r="J183" s="191"/>
      <c r="K183" s="170"/>
      <c r="L183" s="192">
        <f>IF(ISERROR(VLOOKUP($C183,Clima!$U$8:$AH$900,14,FALSE)),VLOOKUP($C183,Clima!$D$8:$R$900,14),VLOOKUP($C183,Clima!$U$8:$AH$900,14,FALSE))</f>
        <v>5.6</v>
      </c>
      <c r="M183" s="190"/>
      <c r="N183" s="190"/>
      <c r="O183" s="191"/>
      <c r="P183" s="191">
        <f>IF(ISERROR(VLOOKUP($C183,Clima!$W$8:$AH$350,12,FALSE)),VLOOKUP($C183,Clima!$E$8:$P$350,12),VLOOKUP($C183,Clima!$W$8:$AH$350,12,FALSE))</f>
        <v>0</v>
      </c>
      <c r="Q183" s="170">
        <f t="shared" si="124"/>
        <v>418.88546888795037</v>
      </c>
      <c r="R183" s="254">
        <f>VLOOKUP(C183,Clima!$V$8:$AH$900,3,FALSE)+R182</f>
        <v>2038.9000000000008</v>
      </c>
      <c r="S183" s="455">
        <f t="shared" si="100"/>
        <v>0.39660952388571447</v>
      </c>
      <c r="T183" s="449">
        <f t="shared" si="101"/>
        <v>2.2210133337600007</v>
      </c>
      <c r="U183" s="195"/>
      <c r="V183" s="445">
        <f t="shared" si="91"/>
        <v>1.1338733331349999</v>
      </c>
      <c r="W183" s="446">
        <f t="shared" si="102"/>
        <v>0</v>
      </c>
      <c r="X183" s="447">
        <f t="shared" si="125"/>
        <v>0.89248888756666667</v>
      </c>
      <c r="Y183" s="448">
        <f t="shared" si="103"/>
        <v>1</v>
      </c>
      <c r="Z183" s="449">
        <f t="shared" si="92"/>
        <v>0.10751111243333333</v>
      </c>
      <c r="AA183" s="449">
        <f t="shared" si="126"/>
        <v>9.1473029850805787</v>
      </c>
      <c r="AB183" s="451">
        <f t="shared" si="104"/>
        <v>0</v>
      </c>
      <c r="AC183" s="449">
        <f t="shared" si="93"/>
        <v>0</v>
      </c>
      <c r="AD183" s="449">
        <f t="shared" si="94"/>
        <v>0</v>
      </c>
      <c r="AE183" s="448">
        <f t="shared" si="127"/>
        <v>0</v>
      </c>
      <c r="AF183" s="449">
        <f t="shared" si="128"/>
        <v>9.1473029850805787</v>
      </c>
      <c r="AG183" s="449">
        <f t="shared" si="95"/>
        <v>0.39660952388571447</v>
      </c>
      <c r="AH183" s="449">
        <f t="shared" si="96"/>
        <v>2.2210133337600007</v>
      </c>
      <c r="AI183" s="448"/>
      <c r="AJ183" s="449">
        <f t="shared" si="105"/>
        <v>0.6</v>
      </c>
      <c r="AK183" s="450">
        <f t="shared" si="97"/>
        <v>39</v>
      </c>
      <c r="AL183" s="449">
        <f t="shared" si="129"/>
        <v>50.945761068713139</v>
      </c>
      <c r="AM183" s="451">
        <f>IF(ISERROR(VLOOKUP(C183,Riegos,2,FALSE)),VLOOKUP(C183,Riegos,2,FALSE),VLOOKUP($F$8,Nomen!$A$79:$B$80,2,FALSE)*IF(AND(H183&gt;120,D183&lt;0.45),0,IF(AQ182+AH183&gt;=AK183,MIN(AQ182,$AK$7),0)))</f>
        <v>0</v>
      </c>
      <c r="AN183" s="448">
        <f t="shared" si="106"/>
        <v>0</v>
      </c>
      <c r="AO183" s="448">
        <f t="shared" si="107"/>
        <v>0.43115423482318382</v>
      </c>
      <c r="AP183" s="449">
        <f t="shared" si="108"/>
        <v>0.17099987579453246</v>
      </c>
      <c r="AQ183" s="449">
        <f t="shared" si="109"/>
        <v>49.682347039402522</v>
      </c>
      <c r="AR183" s="449">
        <f t="shared" si="130"/>
        <v>162.91702071045881</v>
      </c>
      <c r="AS183" s="449">
        <f t="shared" si="110"/>
        <v>0.95759930444938168</v>
      </c>
      <c r="AT183" s="449">
        <f t="shared" si="111"/>
        <v>475.30528132365203</v>
      </c>
      <c r="AU183" s="453">
        <f t="shared" si="112"/>
        <v>270</v>
      </c>
      <c r="AV183" s="145">
        <f t="shared" si="113"/>
        <v>174.50000000000006</v>
      </c>
      <c r="AW183" s="178">
        <f t="shared" si="114"/>
        <v>0</v>
      </c>
      <c r="AX183" s="179">
        <f t="shared" si="115"/>
        <v>0</v>
      </c>
      <c r="AY183" s="145" t="str">
        <f t="shared" si="131"/>
        <v/>
      </c>
      <c r="AZ183" s="145">
        <f t="shared" si="116"/>
        <v>0</v>
      </c>
      <c r="BA183" s="145">
        <f t="shared" si="117"/>
        <v>371.0558574250465</v>
      </c>
      <c r="BB183" s="145">
        <f t="shared" si="118"/>
        <v>0</v>
      </c>
      <c r="BC183" s="145">
        <f t="shared" si="119"/>
        <v>14.842234297001852</v>
      </c>
      <c r="BD183" s="145">
        <f t="shared" si="120"/>
        <v>252.31798304903151</v>
      </c>
      <c r="BE183" s="145">
        <f t="shared" si="121"/>
        <v>0</v>
      </c>
      <c r="BF183" s="145" t="str">
        <f t="shared" si="122"/>
        <v/>
      </c>
    </row>
    <row r="184" spans="2:58">
      <c r="B184" s="116">
        <f t="shared" si="98"/>
        <v>181</v>
      </c>
      <c r="C184" s="69">
        <f t="shared" si="123"/>
        <v>42185</v>
      </c>
      <c r="D184" s="257">
        <f>IF(ISERROR(VLOOKUP($C184,'NDVI real'!$T$8:$U$313,2,FALSE)),VLOOKUP(SWB!C184,'NDVI tipo'!$T$8:$U$193,2),VLOOKUP($C184,'NDVI real'!$T$8:$U$313,2,FALSE))</f>
        <v>0.34086419777777777</v>
      </c>
      <c r="E184" s="170">
        <f t="shared" si="88"/>
        <v>6</v>
      </c>
      <c r="F184" s="170">
        <f t="shared" si="89"/>
        <v>30</v>
      </c>
      <c r="G184" s="170">
        <f t="shared" si="90"/>
        <v>2015</v>
      </c>
      <c r="H184" s="170">
        <f t="shared" si="99"/>
        <v>181</v>
      </c>
      <c r="I184" s="190">
        <f>IF(ISERROR(VLOOKUP($C184,Clima!$U$8:$AH$900,3,FALSE)),VLOOKUP($C184,Clima!$D$8:$R$900,3),VLOOKUP($C184,Clima!$U$8:$AH$900,3,FALSE))</f>
        <v>23.2</v>
      </c>
      <c r="J184" s="191"/>
      <c r="K184" s="170"/>
      <c r="L184" s="192">
        <f>IF(ISERROR(VLOOKUP($C184,Clima!$U$8:$AH$900,14,FALSE)),VLOOKUP($C184,Clima!$D$8:$R$900,14),VLOOKUP($C184,Clima!$U$8:$AH$900,14,FALSE))</f>
        <v>5.5</v>
      </c>
      <c r="M184" s="190"/>
      <c r="N184" s="190"/>
      <c r="O184" s="191"/>
      <c r="P184" s="191">
        <f>IF(ISERROR(VLOOKUP($C184,Clima!$W$8:$AH$350,12,FALSE)),VLOOKUP($C184,Clima!$E$8:$P$350,12),VLOOKUP($C184,Clima!$W$8:$AH$350,12,FALSE))</f>
        <v>0</v>
      </c>
      <c r="Q184" s="170">
        <f t="shared" si="124"/>
        <v>419.72157908512622</v>
      </c>
      <c r="R184" s="254">
        <f>VLOOKUP(C184,Clima!$V$8:$AH$900,3,FALSE)+R183</f>
        <v>2065.8000000000006</v>
      </c>
      <c r="S184" s="455">
        <f t="shared" si="100"/>
        <v>0.39084444479999991</v>
      </c>
      <c r="T184" s="449">
        <f t="shared" si="101"/>
        <v>2.1496444463999995</v>
      </c>
      <c r="U184" s="195"/>
      <c r="V184" s="445">
        <f t="shared" si="91"/>
        <v>1.1338733331349999</v>
      </c>
      <c r="W184" s="446">
        <f t="shared" si="102"/>
        <v>0</v>
      </c>
      <c r="X184" s="447">
        <f t="shared" si="125"/>
        <v>0.89248888756666667</v>
      </c>
      <c r="Y184" s="448">
        <f t="shared" si="103"/>
        <v>1</v>
      </c>
      <c r="Z184" s="449">
        <f t="shared" si="92"/>
        <v>0.10751111243333333</v>
      </c>
      <c r="AA184" s="449">
        <f t="shared" si="126"/>
        <v>9.1473029850805787</v>
      </c>
      <c r="AB184" s="451">
        <f t="shared" si="104"/>
        <v>0</v>
      </c>
      <c r="AC184" s="449">
        <f t="shared" si="93"/>
        <v>0</v>
      </c>
      <c r="AD184" s="449">
        <f t="shared" si="94"/>
        <v>0</v>
      </c>
      <c r="AE184" s="448">
        <f t="shared" si="127"/>
        <v>0</v>
      </c>
      <c r="AF184" s="449">
        <f t="shared" si="128"/>
        <v>9.1473029850805787</v>
      </c>
      <c r="AG184" s="449">
        <f t="shared" si="95"/>
        <v>0.39084444479999991</v>
      </c>
      <c r="AH184" s="449">
        <f t="shared" si="96"/>
        <v>2.1496444463999995</v>
      </c>
      <c r="AI184" s="448"/>
      <c r="AJ184" s="449">
        <f t="shared" si="105"/>
        <v>0.6</v>
      </c>
      <c r="AK184" s="450">
        <f t="shared" si="97"/>
        <v>39</v>
      </c>
      <c r="AL184" s="449">
        <f t="shared" si="129"/>
        <v>51.831991485802519</v>
      </c>
      <c r="AM184" s="451">
        <f>IF(ISERROR(VLOOKUP(C184,Riegos,2,FALSE)),VLOOKUP(C184,Riegos,2,FALSE),VLOOKUP($F$8,Nomen!$A$79:$B$80,2,FALSE)*IF(AND(H184&gt;120,D184&lt;0.45),0,IF(AQ183+AH184&gt;=AK184,MIN(AQ183,$AK$7),0)))</f>
        <v>0</v>
      </c>
      <c r="AN184" s="448">
        <f t="shared" si="106"/>
        <v>0</v>
      </c>
      <c r="AO184" s="448">
        <f t="shared" si="107"/>
        <v>0.38895278639035624</v>
      </c>
      <c r="AP184" s="449">
        <f t="shared" si="108"/>
        <v>0.15202003585015175</v>
      </c>
      <c r="AQ184" s="449">
        <f t="shared" si="109"/>
        <v>50.518457236578357</v>
      </c>
      <c r="AR184" s="449">
        <f t="shared" si="130"/>
        <v>163.30597349684916</v>
      </c>
      <c r="AS184" s="449">
        <f t="shared" si="110"/>
        <v>0.83611019717583468</v>
      </c>
      <c r="AT184" s="449">
        <f t="shared" si="111"/>
        <v>476.14139152082788</v>
      </c>
      <c r="AU184" s="453">
        <f t="shared" si="112"/>
        <v>270</v>
      </c>
      <c r="AV184" s="145">
        <f t="shared" si="113"/>
        <v>174.50000000000006</v>
      </c>
      <c r="AW184" s="178">
        <f t="shared" si="114"/>
        <v>0</v>
      </c>
      <c r="AX184" s="179">
        <f t="shared" si="115"/>
        <v>0</v>
      </c>
      <c r="AY184" s="145" t="str">
        <f t="shared" si="131"/>
        <v/>
      </c>
      <c r="AZ184" s="145">
        <f t="shared" si="116"/>
        <v>0</v>
      </c>
      <c r="BA184" s="145">
        <f t="shared" si="117"/>
        <v>371.0558574250465</v>
      </c>
      <c r="BB184" s="145">
        <f t="shared" si="118"/>
        <v>0</v>
      </c>
      <c r="BC184" s="145">
        <f t="shared" si="119"/>
        <v>14.842234297001852</v>
      </c>
      <c r="BD184" s="145">
        <f t="shared" si="120"/>
        <v>252.31798304903151</v>
      </c>
      <c r="BE184" s="145">
        <f t="shared" si="121"/>
        <v>0</v>
      </c>
      <c r="BF184" s="145" t="str">
        <f t="shared" si="122"/>
        <v/>
      </c>
    </row>
    <row r="185" spans="2:58">
      <c r="B185" s="116">
        <f t="shared" si="98"/>
        <v>182</v>
      </c>
      <c r="C185" s="69">
        <f t="shared" si="123"/>
        <v>42186</v>
      </c>
      <c r="D185" s="257">
        <f>IF(ISERROR(VLOOKUP($C185,'NDVI real'!$T$8:$U$313,2,FALSE)),VLOOKUP(SWB!C185,'NDVI tipo'!$T$8:$U$193,2),VLOOKUP($C185,'NDVI real'!$T$8:$U$313,2,FALSE))</f>
        <v>0.33662551456790124</v>
      </c>
      <c r="E185" s="170">
        <f t="shared" si="88"/>
        <v>7</v>
      </c>
      <c r="F185" s="170">
        <f t="shared" si="89"/>
        <v>1</v>
      </c>
      <c r="G185" s="170">
        <f t="shared" si="90"/>
        <v>2015</v>
      </c>
      <c r="H185" s="170">
        <f t="shared" si="99"/>
        <v>182</v>
      </c>
      <c r="I185" s="190">
        <f>IF(ISERROR(VLOOKUP($C185,Clima!$U$8:$AH$900,3,FALSE)),VLOOKUP($C185,Clima!$D$8:$R$900,3),VLOOKUP($C185,Clima!$U$8:$AH$900,3,FALSE))</f>
        <v>25.1</v>
      </c>
      <c r="J185" s="191"/>
      <c r="K185" s="170"/>
      <c r="L185" s="192">
        <f>IF(ISERROR(VLOOKUP($C185,Clima!$U$8:$AH$900,14,FALSE)),VLOOKUP($C185,Clima!$D$8:$R$900,14),VLOOKUP($C185,Clima!$U$8:$AH$900,14,FALSE))</f>
        <v>7.4</v>
      </c>
      <c r="M185" s="190"/>
      <c r="N185" s="190"/>
      <c r="O185" s="191"/>
      <c r="P185" s="191">
        <f>IF(ISERROR(VLOOKUP($C185,Clima!$W$8:$AH$350,12,FALSE)),VLOOKUP($C185,Clima!$E$8:$P$350,12),VLOOKUP($C185,Clima!$W$8:$AH$350,12,FALSE))</f>
        <v>0</v>
      </c>
      <c r="Q185" s="170">
        <f t="shared" si="124"/>
        <v>420.62104822141487</v>
      </c>
      <c r="R185" s="254">
        <f>VLOOKUP(C185,Clima!$V$8:$AH$900,3,FALSE)+R184</f>
        <v>2091.5000000000005</v>
      </c>
      <c r="S185" s="455">
        <f t="shared" si="100"/>
        <v>0.38474074097777777</v>
      </c>
      <c r="T185" s="449">
        <f t="shared" si="101"/>
        <v>2.8470814832355558</v>
      </c>
      <c r="U185" s="195"/>
      <c r="V185" s="445">
        <f t="shared" si="91"/>
        <v>1.1338733331349999</v>
      </c>
      <c r="W185" s="446">
        <f t="shared" si="102"/>
        <v>0</v>
      </c>
      <c r="X185" s="447">
        <f t="shared" si="125"/>
        <v>0.89248888756666667</v>
      </c>
      <c r="Y185" s="448">
        <f t="shared" si="103"/>
        <v>1</v>
      </c>
      <c r="Z185" s="449">
        <f t="shared" si="92"/>
        <v>0.10751111243333333</v>
      </c>
      <c r="AA185" s="449">
        <f t="shared" si="126"/>
        <v>9.1473029850805787</v>
      </c>
      <c r="AB185" s="451">
        <f t="shared" si="104"/>
        <v>0</v>
      </c>
      <c r="AC185" s="449">
        <f t="shared" si="93"/>
        <v>0</v>
      </c>
      <c r="AD185" s="449">
        <f t="shared" si="94"/>
        <v>0</v>
      </c>
      <c r="AE185" s="448">
        <f t="shared" si="127"/>
        <v>0</v>
      </c>
      <c r="AF185" s="449">
        <f t="shared" si="128"/>
        <v>9.1473029850805787</v>
      </c>
      <c r="AG185" s="449">
        <f t="shared" si="95"/>
        <v>0.38474074097777777</v>
      </c>
      <c r="AH185" s="449">
        <f t="shared" si="96"/>
        <v>2.8470814832355558</v>
      </c>
      <c r="AI185" s="448"/>
      <c r="AJ185" s="449">
        <f t="shared" si="105"/>
        <v>0.6</v>
      </c>
      <c r="AK185" s="450">
        <f t="shared" si="97"/>
        <v>39</v>
      </c>
      <c r="AL185" s="449">
        <f t="shared" si="129"/>
        <v>53.365538719813912</v>
      </c>
      <c r="AM185" s="451">
        <f>IF(ISERROR(VLOOKUP(C185,Riegos,2,FALSE)),VLOOKUP(C185,Riegos,2,FALSE),VLOOKUP($F$8,Nomen!$A$79:$B$80,2,FALSE)*IF(AND(H185&gt;120,D185&lt;0.45),0,IF(AQ184+AH185&gt;=AK185,MIN(AQ184,$AK$7),0)))</f>
        <v>0</v>
      </c>
      <c r="AN185" s="448">
        <f t="shared" si="106"/>
        <v>0</v>
      </c>
      <c r="AO185" s="448">
        <f t="shared" si="107"/>
        <v>0.31592672762790891</v>
      </c>
      <c r="AP185" s="449">
        <f t="shared" si="108"/>
        <v>0.12154988328224625</v>
      </c>
      <c r="AQ185" s="449">
        <f t="shared" si="109"/>
        <v>51.41792637286698</v>
      </c>
      <c r="AR185" s="449">
        <f t="shared" si="130"/>
        <v>163.62190022447706</v>
      </c>
      <c r="AS185" s="449">
        <f t="shared" si="110"/>
        <v>0.89946913628862235</v>
      </c>
      <c r="AT185" s="449">
        <f t="shared" si="111"/>
        <v>477.04086065711653</v>
      </c>
      <c r="AU185" s="453">
        <f t="shared" si="112"/>
        <v>270</v>
      </c>
      <c r="AV185" s="145">
        <f t="shared" si="113"/>
        <v>174.50000000000006</v>
      </c>
      <c r="AW185" s="178">
        <f t="shared" si="114"/>
        <v>0</v>
      </c>
      <c r="AX185" s="179">
        <f t="shared" si="115"/>
        <v>0</v>
      </c>
      <c r="AY185" s="145" t="str">
        <f t="shared" si="131"/>
        <v/>
      </c>
      <c r="AZ185" s="145">
        <f t="shared" si="116"/>
        <v>0</v>
      </c>
      <c r="BA185" s="145">
        <f t="shared" si="117"/>
        <v>371.0558574250465</v>
      </c>
      <c r="BB185" s="145">
        <f t="shared" si="118"/>
        <v>0</v>
      </c>
      <c r="BC185" s="145">
        <f t="shared" si="119"/>
        <v>14.842234297001852</v>
      </c>
      <c r="BD185" s="145">
        <f t="shared" si="120"/>
        <v>252.31798304903151</v>
      </c>
      <c r="BE185" s="145">
        <f t="shared" si="121"/>
        <v>0</v>
      </c>
      <c r="BF185" s="145" t="str">
        <f t="shared" si="122"/>
        <v/>
      </c>
    </row>
    <row r="186" spans="2:58">
      <c r="B186" s="116">
        <f t="shared" si="98"/>
        <v>183</v>
      </c>
      <c r="C186" s="69">
        <f t="shared" si="123"/>
        <v>42187</v>
      </c>
      <c r="D186" s="257">
        <f>IF(ISERROR(VLOOKUP($C186,'NDVI real'!$T$8:$U$313,2,FALSE)),VLOOKUP(SWB!C186,'NDVI tipo'!$T$8:$U$193,2),VLOOKUP($C186,'NDVI real'!$T$8:$U$313,2,FALSE))</f>
        <v>0.33238683135802471</v>
      </c>
      <c r="E186" s="170">
        <f t="shared" si="88"/>
        <v>7</v>
      </c>
      <c r="F186" s="170">
        <f t="shared" si="89"/>
        <v>2</v>
      </c>
      <c r="G186" s="170">
        <f t="shared" si="90"/>
        <v>2015</v>
      </c>
      <c r="H186" s="170">
        <f t="shared" si="99"/>
        <v>183</v>
      </c>
      <c r="I186" s="190">
        <f>IF(ISERROR(VLOOKUP($C186,Clima!$U$8:$AH$900,3,FALSE)),VLOOKUP($C186,Clima!$D$8:$R$900,3),VLOOKUP($C186,Clima!$U$8:$AH$900,3,FALSE))</f>
        <v>25.1</v>
      </c>
      <c r="J186" s="191"/>
      <c r="K186" s="170"/>
      <c r="L186" s="192">
        <f>IF(ISERROR(VLOOKUP($C186,Clima!$U$8:$AH$900,14,FALSE)),VLOOKUP($C186,Clima!$D$8:$R$900,14),VLOOKUP($C186,Clima!$U$8:$AH$900,14,FALSE))</f>
        <v>6</v>
      </c>
      <c r="M186" s="190"/>
      <c r="N186" s="190"/>
      <c r="O186" s="191"/>
      <c r="P186" s="191">
        <f>IF(ISERROR(VLOOKUP($C186,Clima!$W$8:$AH$350,12,FALSE)),VLOOKUP($C186,Clima!$E$8:$P$350,12),VLOOKUP($C186,Clima!$W$8:$AH$350,12,FALSE))</f>
        <v>0</v>
      </c>
      <c r="Q186" s="170">
        <f t="shared" si="124"/>
        <v>421.30370390581282</v>
      </c>
      <c r="R186" s="254">
        <f>VLOOKUP(C186,Clima!$V$8:$AH$900,3,FALSE)+R185</f>
        <v>2115.8000000000006</v>
      </c>
      <c r="S186" s="455">
        <f t="shared" si="100"/>
        <v>0.37863703715555552</v>
      </c>
      <c r="T186" s="449">
        <f t="shared" si="101"/>
        <v>2.2718222229333334</v>
      </c>
      <c r="U186" s="195"/>
      <c r="V186" s="445">
        <f t="shared" si="91"/>
        <v>1.1338733331349999</v>
      </c>
      <c r="W186" s="446">
        <f t="shared" si="102"/>
        <v>0</v>
      </c>
      <c r="X186" s="447">
        <f t="shared" si="125"/>
        <v>0.89248888756666667</v>
      </c>
      <c r="Y186" s="448">
        <f t="shared" si="103"/>
        <v>1</v>
      </c>
      <c r="Z186" s="449">
        <f t="shared" si="92"/>
        <v>0.10751111243333333</v>
      </c>
      <c r="AA186" s="449">
        <f t="shared" si="126"/>
        <v>9.1473029850805787</v>
      </c>
      <c r="AB186" s="451">
        <f t="shared" si="104"/>
        <v>0</v>
      </c>
      <c r="AC186" s="449">
        <f t="shared" si="93"/>
        <v>0</v>
      </c>
      <c r="AD186" s="449">
        <f t="shared" si="94"/>
        <v>0</v>
      </c>
      <c r="AE186" s="448">
        <f t="shared" si="127"/>
        <v>0</v>
      </c>
      <c r="AF186" s="449">
        <f t="shared" si="128"/>
        <v>9.1473029850805787</v>
      </c>
      <c r="AG186" s="449">
        <f t="shared" si="95"/>
        <v>0.37863703715555552</v>
      </c>
      <c r="AH186" s="449">
        <f t="shared" si="96"/>
        <v>2.2718222229333334</v>
      </c>
      <c r="AI186" s="448"/>
      <c r="AJ186" s="449">
        <f t="shared" si="105"/>
        <v>0.6</v>
      </c>
      <c r="AK186" s="450">
        <f t="shared" si="97"/>
        <v>39</v>
      </c>
      <c r="AL186" s="449">
        <f t="shared" si="129"/>
        <v>53.68974859580031</v>
      </c>
      <c r="AM186" s="451">
        <f>IF(ISERROR(VLOOKUP(C186,Riegos,2,FALSE)),VLOOKUP(C186,Riegos,2,FALSE),VLOOKUP($F$8,Nomen!$A$79:$B$80,2,FALSE)*IF(AND(H186&gt;120,D186&lt;0.45),0,IF(AQ185+AH186&gt;=AK186,MIN(AQ185,$AK$7),0)))</f>
        <v>0</v>
      </c>
      <c r="AN186" s="448">
        <f t="shared" si="106"/>
        <v>0</v>
      </c>
      <c r="AO186" s="448">
        <f t="shared" si="107"/>
        <v>0.30048816210474716</v>
      </c>
      <c r="AP186" s="449">
        <f t="shared" si="108"/>
        <v>0.11377594739965974</v>
      </c>
      <c r="AQ186" s="449">
        <f t="shared" si="109"/>
        <v>52.100582057264937</v>
      </c>
      <c r="AR186" s="449">
        <f t="shared" si="130"/>
        <v>163.92238838658182</v>
      </c>
      <c r="AS186" s="449">
        <f t="shared" si="110"/>
        <v>0.68265568439795843</v>
      </c>
      <c r="AT186" s="449">
        <f t="shared" si="111"/>
        <v>477.72351634151448</v>
      </c>
      <c r="AU186" s="453">
        <f t="shared" si="112"/>
        <v>270</v>
      </c>
      <c r="AV186" s="145">
        <f t="shared" si="113"/>
        <v>174.50000000000006</v>
      </c>
      <c r="AW186" s="178">
        <f t="shared" si="114"/>
        <v>0</v>
      </c>
      <c r="AX186" s="179">
        <f t="shared" si="115"/>
        <v>0</v>
      </c>
      <c r="AY186" s="145" t="str">
        <f t="shared" si="131"/>
        <v/>
      </c>
      <c r="AZ186" s="145">
        <f t="shared" si="116"/>
        <v>0</v>
      </c>
      <c r="BA186" s="145">
        <f t="shared" si="117"/>
        <v>371.0558574250465</v>
      </c>
      <c r="BB186" s="145">
        <f t="shared" si="118"/>
        <v>0</v>
      </c>
      <c r="BC186" s="145">
        <f t="shared" si="119"/>
        <v>14.842234297001852</v>
      </c>
      <c r="BD186" s="145">
        <f t="shared" si="120"/>
        <v>252.31798304903151</v>
      </c>
      <c r="BE186" s="145">
        <f t="shared" si="121"/>
        <v>0</v>
      </c>
      <c r="BF186" s="145" t="str">
        <f t="shared" si="122"/>
        <v/>
      </c>
    </row>
    <row r="187" spans="2:58">
      <c r="B187" s="116">
        <f t="shared" si="98"/>
        <v>184</v>
      </c>
      <c r="C187" s="69">
        <f t="shared" si="123"/>
        <v>42188</v>
      </c>
      <c r="D187" s="257">
        <f>IF(ISERROR(VLOOKUP($C187,'NDVI real'!$T$8:$U$313,2,FALSE)),VLOOKUP(SWB!C187,'NDVI tipo'!$T$8:$U$193,2),VLOOKUP($C187,'NDVI real'!$T$8:$U$313,2,FALSE))</f>
        <v>0.32814814814814819</v>
      </c>
      <c r="E187" s="170">
        <f t="shared" si="88"/>
        <v>7</v>
      </c>
      <c r="F187" s="170">
        <f t="shared" si="89"/>
        <v>3</v>
      </c>
      <c r="G187" s="170">
        <f t="shared" si="90"/>
        <v>2015</v>
      </c>
      <c r="H187" s="170">
        <f t="shared" si="99"/>
        <v>184</v>
      </c>
      <c r="I187" s="190">
        <f>IF(ISERROR(VLOOKUP($C187,Clima!$U$8:$AH$900,3,FALSE)),VLOOKUP($C187,Clima!$D$8:$R$900,3),VLOOKUP($C187,Clima!$U$8:$AH$900,3,FALSE))</f>
        <v>25.6</v>
      </c>
      <c r="J187" s="191"/>
      <c r="K187" s="170"/>
      <c r="L187" s="192">
        <f>IF(ISERROR(VLOOKUP($C187,Clima!$U$8:$AH$900,14,FALSE)),VLOOKUP($C187,Clima!$D$8:$R$900,14),VLOOKUP($C187,Clima!$U$8:$AH$900,14,FALSE))</f>
        <v>6.9</v>
      </c>
      <c r="M187" s="190"/>
      <c r="N187" s="190"/>
      <c r="O187" s="191"/>
      <c r="P187" s="191">
        <f>IF(ISERROR(VLOOKUP($C187,Clima!$W$8:$AH$350,12,FALSE)),VLOOKUP($C187,Clima!$E$8:$P$350,12),VLOOKUP($C187,Clima!$W$8:$AH$350,12,FALSE))</f>
        <v>0</v>
      </c>
      <c r="Q187" s="170">
        <f t="shared" si="124"/>
        <v>421.95598621071957</v>
      </c>
      <c r="R187" s="254">
        <f>VLOOKUP(C187,Clima!$V$8:$AH$900,3,FALSE)+R186</f>
        <v>2140.8000000000006</v>
      </c>
      <c r="S187" s="455">
        <f t="shared" si="100"/>
        <v>0.37253333333333338</v>
      </c>
      <c r="T187" s="449">
        <f t="shared" si="101"/>
        <v>2.5704800000000003</v>
      </c>
      <c r="U187" s="195"/>
      <c r="V187" s="445">
        <f t="shared" si="91"/>
        <v>1.1338733331349999</v>
      </c>
      <c r="W187" s="446">
        <f t="shared" si="102"/>
        <v>0</v>
      </c>
      <c r="X187" s="447">
        <f t="shared" si="125"/>
        <v>0.89248888756666667</v>
      </c>
      <c r="Y187" s="448">
        <f t="shared" si="103"/>
        <v>1</v>
      </c>
      <c r="Z187" s="449">
        <f t="shared" si="92"/>
        <v>0.10751111243333333</v>
      </c>
      <c r="AA187" s="449">
        <f t="shared" si="126"/>
        <v>9.1473029850805787</v>
      </c>
      <c r="AB187" s="451">
        <f t="shared" si="104"/>
        <v>0</v>
      </c>
      <c r="AC187" s="449">
        <f t="shared" si="93"/>
        <v>0</v>
      </c>
      <c r="AD187" s="449">
        <f t="shared" si="94"/>
        <v>0</v>
      </c>
      <c r="AE187" s="448">
        <f t="shared" si="127"/>
        <v>0</v>
      </c>
      <c r="AF187" s="449">
        <f t="shared" si="128"/>
        <v>9.1473029850805787</v>
      </c>
      <c r="AG187" s="449">
        <f t="shared" si="95"/>
        <v>0.37253333333333338</v>
      </c>
      <c r="AH187" s="449">
        <f t="shared" si="96"/>
        <v>2.5704800000000003</v>
      </c>
      <c r="AI187" s="448"/>
      <c r="AJ187" s="449">
        <f t="shared" si="105"/>
        <v>0.6</v>
      </c>
      <c r="AK187" s="450">
        <f t="shared" si="97"/>
        <v>39</v>
      </c>
      <c r="AL187" s="449">
        <f t="shared" si="129"/>
        <v>54.67106205726494</v>
      </c>
      <c r="AM187" s="451">
        <f>IF(ISERROR(VLOOKUP(C187,Riegos,2,FALSE)),VLOOKUP(C187,Riegos,2,FALSE),VLOOKUP($F$8,Nomen!$A$79:$B$80,2,FALSE)*IF(AND(H187&gt;120,D187&lt;0.45),0,IF(AQ186+AH187&gt;=AK187,MIN(AQ186,$AK$7),0)))</f>
        <v>0</v>
      </c>
      <c r="AN187" s="448">
        <f t="shared" si="106"/>
        <v>0</v>
      </c>
      <c r="AO187" s="448">
        <f t="shared" si="107"/>
        <v>0.25375894965405044</v>
      </c>
      <c r="AP187" s="449">
        <f t="shared" si="108"/>
        <v>9.4533667377788941E-2</v>
      </c>
      <c r="AQ187" s="449">
        <f t="shared" si="109"/>
        <v>52.752864362171678</v>
      </c>
      <c r="AR187" s="449">
        <f t="shared" si="130"/>
        <v>164.17614733623586</v>
      </c>
      <c r="AS187" s="449">
        <f t="shared" si="110"/>
        <v>0.65228230490674377</v>
      </c>
      <c r="AT187" s="449">
        <f t="shared" si="111"/>
        <v>478.37579864642123</v>
      </c>
      <c r="AU187" s="453">
        <f t="shared" si="112"/>
        <v>270</v>
      </c>
      <c r="AV187" s="145">
        <f t="shared" si="113"/>
        <v>174.50000000000006</v>
      </c>
      <c r="AW187" s="178">
        <f t="shared" si="114"/>
        <v>0</v>
      </c>
      <c r="AX187" s="179">
        <f t="shared" si="115"/>
        <v>0</v>
      </c>
      <c r="AY187" s="145" t="str">
        <f t="shared" si="131"/>
        <v/>
      </c>
      <c r="AZ187" s="145">
        <f t="shared" si="116"/>
        <v>0</v>
      </c>
      <c r="BA187" s="145">
        <f t="shared" si="117"/>
        <v>371.0558574250465</v>
      </c>
      <c r="BB187" s="145">
        <f t="shared" si="118"/>
        <v>0</v>
      </c>
      <c r="BC187" s="145">
        <f t="shared" si="119"/>
        <v>14.842234297001852</v>
      </c>
      <c r="BD187" s="145">
        <f t="shared" si="120"/>
        <v>252.31798304903151</v>
      </c>
      <c r="BE187" s="145">
        <f t="shared" si="121"/>
        <v>0</v>
      </c>
      <c r="BF187" s="145" t="str">
        <f t="shared" si="122"/>
        <v/>
      </c>
    </row>
    <row r="188" spans="2:58">
      <c r="B188" s="116">
        <f t="shared" si="98"/>
        <v>185</v>
      </c>
      <c r="C188" s="69">
        <f t="shared" si="123"/>
        <v>42189</v>
      </c>
      <c r="D188" s="257">
        <f>IF(ISERROR(VLOOKUP($C188,'NDVI real'!$T$8:$U$313,2,FALSE)),VLOOKUP(SWB!C188,'NDVI tipo'!$T$8:$U$193,2),VLOOKUP($C188,'NDVI real'!$T$8:$U$313,2,FALSE))</f>
        <v>0.32390946493827166</v>
      </c>
      <c r="E188" s="170">
        <f t="shared" si="88"/>
        <v>7</v>
      </c>
      <c r="F188" s="170">
        <f t="shared" si="89"/>
        <v>4</v>
      </c>
      <c r="G188" s="170">
        <f t="shared" si="90"/>
        <v>2015</v>
      </c>
      <c r="H188" s="170">
        <f t="shared" si="99"/>
        <v>185</v>
      </c>
      <c r="I188" s="190">
        <f>IF(ISERROR(VLOOKUP($C188,Clima!$U$8:$AH$900,3,FALSE)),VLOOKUP($C188,Clima!$D$8:$R$900,3),VLOOKUP($C188,Clima!$U$8:$AH$900,3,FALSE))</f>
        <v>24.5</v>
      </c>
      <c r="J188" s="191"/>
      <c r="K188" s="170"/>
      <c r="L188" s="192">
        <f>IF(ISERROR(VLOOKUP($C188,Clima!$U$8:$AH$900,14,FALSE)),VLOOKUP($C188,Clima!$D$8:$R$900,14),VLOOKUP($C188,Clima!$U$8:$AH$900,14,FALSE))</f>
        <v>8.1</v>
      </c>
      <c r="M188" s="190"/>
      <c r="N188" s="190"/>
      <c r="O188" s="191"/>
      <c r="P188" s="191">
        <f>IF(ISERROR(VLOOKUP($C188,Clima!$W$8:$AH$350,12,FALSE)),VLOOKUP($C188,Clima!$E$8:$P$350,12),VLOOKUP($C188,Clima!$W$8:$AH$350,12,FALSE))</f>
        <v>0</v>
      </c>
      <c r="Q188" s="170">
        <f t="shared" si="124"/>
        <v>422.56077570863704</v>
      </c>
      <c r="R188" s="254">
        <f>VLOOKUP(C188,Clima!$V$8:$AH$900,3,FALSE)+R187</f>
        <v>2166.8000000000006</v>
      </c>
      <c r="S188" s="455">
        <f t="shared" si="100"/>
        <v>0.36642962951111113</v>
      </c>
      <c r="T188" s="449">
        <f t="shared" si="101"/>
        <v>2.96807999904</v>
      </c>
      <c r="U188" s="195"/>
      <c r="V188" s="445">
        <f t="shared" si="91"/>
        <v>1.1338733331349999</v>
      </c>
      <c r="W188" s="446">
        <f t="shared" si="102"/>
        <v>0</v>
      </c>
      <c r="X188" s="447">
        <f t="shared" si="125"/>
        <v>0.89248888756666667</v>
      </c>
      <c r="Y188" s="448">
        <f t="shared" si="103"/>
        <v>1</v>
      </c>
      <c r="Z188" s="449">
        <f t="shared" si="92"/>
        <v>0.10751111243333333</v>
      </c>
      <c r="AA188" s="449">
        <f t="shared" si="126"/>
        <v>9.1473029850805787</v>
      </c>
      <c r="AB188" s="451">
        <f t="shared" si="104"/>
        <v>0</v>
      </c>
      <c r="AC188" s="449">
        <f t="shared" si="93"/>
        <v>0</v>
      </c>
      <c r="AD188" s="449">
        <f t="shared" si="94"/>
        <v>0</v>
      </c>
      <c r="AE188" s="448">
        <f t="shared" si="127"/>
        <v>0</v>
      </c>
      <c r="AF188" s="449">
        <f t="shared" si="128"/>
        <v>9.1473029850805787</v>
      </c>
      <c r="AG188" s="449">
        <f t="shared" si="95"/>
        <v>0.36642962951111113</v>
      </c>
      <c r="AH188" s="449">
        <f t="shared" si="96"/>
        <v>2.96807999904</v>
      </c>
      <c r="AI188" s="448"/>
      <c r="AJ188" s="449">
        <f t="shared" si="105"/>
        <v>0.6</v>
      </c>
      <c r="AK188" s="450">
        <f t="shared" si="97"/>
        <v>39</v>
      </c>
      <c r="AL188" s="449">
        <f t="shared" si="129"/>
        <v>55.720944361211679</v>
      </c>
      <c r="AM188" s="451">
        <f>IF(ISERROR(VLOOKUP(C188,Riegos,2,FALSE)),VLOOKUP(C188,Riegos,2,FALSE),VLOOKUP($F$8,Nomen!$A$79:$B$80,2,FALSE)*IF(AND(H188&gt;120,D188&lt;0.45),0,IF(AQ187+AH188&gt;=AK188,MIN(AQ187,$AK$7),0)))</f>
        <v>0</v>
      </c>
      <c r="AN188" s="448">
        <f t="shared" si="106"/>
        <v>0</v>
      </c>
      <c r="AO188" s="448">
        <f t="shared" si="107"/>
        <v>0.20376455422801532</v>
      </c>
      <c r="AP188" s="449">
        <f t="shared" si="108"/>
        <v>7.4665370113268362E-2</v>
      </c>
      <c r="AQ188" s="449">
        <f t="shared" si="109"/>
        <v>53.357653860089151</v>
      </c>
      <c r="AR188" s="449">
        <f t="shared" si="130"/>
        <v>164.37991189046386</v>
      </c>
      <c r="AS188" s="449">
        <f t="shared" si="110"/>
        <v>0.60478949791747372</v>
      </c>
      <c r="AT188" s="449">
        <f t="shared" si="111"/>
        <v>478.9805881443387</v>
      </c>
      <c r="AU188" s="453">
        <f t="shared" si="112"/>
        <v>270</v>
      </c>
      <c r="AV188" s="145">
        <f t="shared" si="113"/>
        <v>174.50000000000006</v>
      </c>
      <c r="AW188" s="178">
        <f t="shared" si="114"/>
        <v>0</v>
      </c>
      <c r="AX188" s="179">
        <f t="shared" si="115"/>
        <v>0</v>
      </c>
      <c r="AY188" s="145" t="str">
        <f t="shared" si="131"/>
        <v/>
      </c>
      <c r="AZ188" s="145">
        <f t="shared" si="116"/>
        <v>0</v>
      </c>
      <c r="BA188" s="145">
        <f t="shared" si="117"/>
        <v>371.0558574250465</v>
      </c>
      <c r="BB188" s="145">
        <f t="shared" si="118"/>
        <v>0</v>
      </c>
      <c r="BC188" s="145">
        <f t="shared" si="119"/>
        <v>14.842234297001852</v>
      </c>
      <c r="BD188" s="145">
        <f t="shared" si="120"/>
        <v>252.31798304903151</v>
      </c>
      <c r="BE188" s="145">
        <f t="shared" si="121"/>
        <v>0</v>
      </c>
      <c r="BF188" s="145" t="str">
        <f t="shared" si="122"/>
        <v/>
      </c>
    </row>
    <row r="189" spans="2:58">
      <c r="B189" s="116">
        <f t="shared" si="98"/>
        <v>186</v>
      </c>
      <c r="C189" s="69">
        <f t="shared" si="123"/>
        <v>42190</v>
      </c>
      <c r="D189" s="257">
        <f>IF(ISERROR(VLOOKUP($C189,'NDVI real'!$T$8:$U$313,2,FALSE)),VLOOKUP(SWB!C189,'NDVI tipo'!$T$8:$U$193,2),VLOOKUP($C189,'NDVI real'!$T$8:$U$313,2,FALSE))</f>
        <v>0.31967078172839514</v>
      </c>
      <c r="E189" s="170">
        <f t="shared" si="88"/>
        <v>7</v>
      </c>
      <c r="F189" s="170">
        <f t="shared" si="89"/>
        <v>5</v>
      </c>
      <c r="G189" s="170">
        <f t="shared" si="90"/>
        <v>2015</v>
      </c>
      <c r="H189" s="170">
        <f t="shared" si="99"/>
        <v>186</v>
      </c>
      <c r="I189" s="190">
        <f>IF(ISERROR(VLOOKUP($C189,Clima!$U$8:$AH$900,3,FALSE)),VLOOKUP($C189,Clima!$D$8:$R$900,3),VLOOKUP($C189,Clima!$U$8:$AH$900,3,FALSE))</f>
        <v>22.9</v>
      </c>
      <c r="J189" s="191"/>
      <c r="K189" s="170"/>
      <c r="L189" s="192">
        <f>IF(ISERROR(VLOOKUP($C189,Clima!$U$8:$AH$900,14,FALSE)),VLOOKUP($C189,Clima!$D$8:$R$900,14),VLOOKUP($C189,Clima!$U$8:$AH$900,14,FALSE))</f>
        <v>6.6</v>
      </c>
      <c r="M189" s="190"/>
      <c r="N189" s="190"/>
      <c r="O189" s="191"/>
      <c r="P189" s="191">
        <f>IF(ISERROR(VLOOKUP($C189,Clima!$W$8:$AH$350,12,FALSE)),VLOOKUP($C189,Clima!$E$8:$P$350,12),VLOOKUP($C189,Clima!$W$8:$AH$350,12,FALSE))</f>
        <v>0</v>
      </c>
      <c r="Q189" s="170">
        <f t="shared" si="124"/>
        <v>423.04367571543628</v>
      </c>
      <c r="R189" s="254">
        <f>VLOOKUP(C189,Clima!$V$8:$AH$900,3,FALSE)+R188</f>
        <v>2194.6000000000008</v>
      </c>
      <c r="S189" s="455">
        <f t="shared" si="100"/>
        <v>0.36032592568888899</v>
      </c>
      <c r="T189" s="449">
        <f t="shared" si="101"/>
        <v>2.3781511095466672</v>
      </c>
      <c r="U189" s="195"/>
      <c r="V189" s="445">
        <f t="shared" si="91"/>
        <v>1.1338733331349999</v>
      </c>
      <c r="W189" s="446">
        <f t="shared" si="102"/>
        <v>0</v>
      </c>
      <c r="X189" s="447">
        <f t="shared" si="125"/>
        <v>0.89248888756666667</v>
      </c>
      <c r="Y189" s="448">
        <f t="shared" si="103"/>
        <v>1</v>
      </c>
      <c r="Z189" s="449">
        <f t="shared" si="92"/>
        <v>0.10751111243333333</v>
      </c>
      <c r="AA189" s="449">
        <f t="shared" si="126"/>
        <v>9.1473029850805787</v>
      </c>
      <c r="AB189" s="451">
        <f t="shared" si="104"/>
        <v>0</v>
      </c>
      <c r="AC189" s="449">
        <f t="shared" si="93"/>
        <v>0</v>
      </c>
      <c r="AD189" s="449">
        <f t="shared" si="94"/>
        <v>0</v>
      </c>
      <c r="AE189" s="448">
        <f t="shared" si="127"/>
        <v>0</v>
      </c>
      <c r="AF189" s="449">
        <f t="shared" si="128"/>
        <v>9.1473029850805787</v>
      </c>
      <c r="AG189" s="449">
        <f t="shared" si="95"/>
        <v>0.36032592568888899</v>
      </c>
      <c r="AH189" s="449">
        <f t="shared" si="96"/>
        <v>2.3781511095466672</v>
      </c>
      <c r="AI189" s="448"/>
      <c r="AJ189" s="449">
        <f t="shared" si="105"/>
        <v>0.6</v>
      </c>
      <c r="AK189" s="450">
        <f t="shared" si="97"/>
        <v>39</v>
      </c>
      <c r="AL189" s="449">
        <f t="shared" si="129"/>
        <v>55.735804969635815</v>
      </c>
      <c r="AM189" s="451">
        <f>IF(ISERROR(VLOOKUP(C189,Riegos,2,FALSE)),VLOOKUP(C189,Riegos,2,FALSE),VLOOKUP($F$8,Nomen!$A$79:$B$80,2,FALSE)*IF(AND(H189&gt;120,D189&lt;0.45),0,IF(AQ188+AH189&gt;=AK189,MIN(AQ188,$AK$7),0)))</f>
        <v>0</v>
      </c>
      <c r="AN189" s="448">
        <f t="shared" si="106"/>
        <v>0</v>
      </c>
      <c r="AO189" s="448">
        <f t="shared" si="107"/>
        <v>0.20305690620781833</v>
      </c>
      <c r="AP189" s="449">
        <f t="shared" si="108"/>
        <v>7.3166667696854051E-2</v>
      </c>
      <c r="AQ189" s="449">
        <f t="shared" si="109"/>
        <v>53.840553866888385</v>
      </c>
      <c r="AR189" s="449">
        <f t="shared" si="130"/>
        <v>164.58296879667168</v>
      </c>
      <c r="AS189" s="449">
        <f t="shared" si="110"/>
        <v>0.48290000679923673</v>
      </c>
      <c r="AT189" s="449">
        <f t="shared" si="111"/>
        <v>479.46348815113794</v>
      </c>
      <c r="AU189" s="453">
        <f t="shared" si="112"/>
        <v>270</v>
      </c>
      <c r="AV189" s="145">
        <f t="shared" si="113"/>
        <v>174.50000000000006</v>
      </c>
      <c r="AW189" s="178">
        <f t="shared" si="114"/>
        <v>0</v>
      </c>
      <c r="AX189" s="179">
        <f t="shared" si="115"/>
        <v>0</v>
      </c>
      <c r="AY189" s="145" t="str">
        <f t="shared" si="131"/>
        <v/>
      </c>
      <c r="AZ189" s="145">
        <f t="shared" si="116"/>
        <v>0</v>
      </c>
      <c r="BA189" s="145">
        <f t="shared" si="117"/>
        <v>371.0558574250465</v>
      </c>
      <c r="BB189" s="145">
        <f t="shared" si="118"/>
        <v>0</v>
      </c>
      <c r="BC189" s="145">
        <f t="shared" si="119"/>
        <v>14.842234297001852</v>
      </c>
      <c r="BD189" s="145">
        <f t="shared" si="120"/>
        <v>252.31798304903151</v>
      </c>
      <c r="BE189" s="145">
        <f t="shared" si="121"/>
        <v>0</v>
      </c>
      <c r="BF189" s="145" t="str">
        <f t="shared" si="122"/>
        <v/>
      </c>
    </row>
    <row r="190" spans="2:58">
      <c r="B190" s="116">
        <f t="shared" si="98"/>
        <v>187</v>
      </c>
      <c r="C190" s="69">
        <f t="shared" si="123"/>
        <v>42191</v>
      </c>
      <c r="D190" s="257">
        <f>IF(ISERROR(VLOOKUP($C190,'NDVI real'!$T$8:$U$313,2,FALSE)),VLOOKUP(SWB!C190,'NDVI tipo'!$T$8:$U$193,2),VLOOKUP($C190,'NDVI real'!$T$8:$U$313,2,FALSE))</f>
        <v>0.31543209851851861</v>
      </c>
      <c r="E190" s="170">
        <f t="shared" si="88"/>
        <v>7</v>
      </c>
      <c r="F190" s="170">
        <f t="shared" si="89"/>
        <v>6</v>
      </c>
      <c r="G190" s="170">
        <f t="shared" si="90"/>
        <v>2015</v>
      </c>
      <c r="H190" s="170">
        <f t="shared" si="99"/>
        <v>187</v>
      </c>
      <c r="I190" s="190">
        <f>IF(ISERROR(VLOOKUP($C190,Clima!$U$8:$AH$900,3,FALSE)),VLOOKUP($C190,Clima!$D$8:$R$900,3),VLOOKUP($C190,Clima!$U$8:$AH$900,3,FALSE))</f>
        <v>25</v>
      </c>
      <c r="J190" s="191"/>
      <c r="K190" s="170"/>
      <c r="L190" s="192">
        <f>IF(ISERROR(VLOOKUP($C190,Clima!$U$8:$AH$900,14,FALSE)),VLOOKUP($C190,Clima!$D$8:$R$900,14),VLOOKUP($C190,Clima!$U$8:$AH$900,14,FALSE))</f>
        <v>6.8</v>
      </c>
      <c r="M190" s="190"/>
      <c r="N190" s="190"/>
      <c r="O190" s="191"/>
      <c r="P190" s="191">
        <f>IF(ISERROR(VLOOKUP($C190,Clima!$W$8:$AH$350,12,FALSE)),VLOOKUP($C190,Clima!$E$8:$P$350,12),VLOOKUP($C190,Clima!$W$8:$AH$350,12,FALSE))</f>
        <v>0</v>
      </c>
      <c r="Q190" s="170">
        <f t="shared" si="124"/>
        <v>423.47388700682109</v>
      </c>
      <c r="R190" s="254">
        <f>VLOOKUP(C190,Clima!$V$8:$AH$900,3,FALSE)+R189</f>
        <v>2223.3000000000006</v>
      </c>
      <c r="S190" s="455">
        <f t="shared" si="100"/>
        <v>0.35422222186666674</v>
      </c>
      <c r="T190" s="449">
        <f t="shared" si="101"/>
        <v>2.4087111086933337</v>
      </c>
      <c r="U190" s="195"/>
      <c r="V190" s="445">
        <f t="shared" si="91"/>
        <v>1.1338733331349999</v>
      </c>
      <c r="W190" s="446">
        <f t="shared" si="102"/>
        <v>0</v>
      </c>
      <c r="X190" s="447">
        <f t="shared" si="125"/>
        <v>0.89248888756666667</v>
      </c>
      <c r="Y190" s="448">
        <f t="shared" si="103"/>
        <v>1</v>
      </c>
      <c r="Z190" s="449">
        <f t="shared" si="92"/>
        <v>0.10751111243333333</v>
      </c>
      <c r="AA190" s="449">
        <f t="shared" si="126"/>
        <v>9.1473029850805787</v>
      </c>
      <c r="AB190" s="451">
        <f t="shared" si="104"/>
        <v>0</v>
      </c>
      <c r="AC190" s="449">
        <f t="shared" si="93"/>
        <v>0</v>
      </c>
      <c r="AD190" s="449">
        <f t="shared" si="94"/>
        <v>0</v>
      </c>
      <c r="AE190" s="448">
        <f t="shared" si="127"/>
        <v>0</v>
      </c>
      <c r="AF190" s="449">
        <f t="shared" si="128"/>
        <v>9.1473029850805787</v>
      </c>
      <c r="AG190" s="449">
        <f t="shared" si="95"/>
        <v>0.35422222186666674</v>
      </c>
      <c r="AH190" s="449">
        <f t="shared" si="96"/>
        <v>2.4087111086933337</v>
      </c>
      <c r="AI190" s="448"/>
      <c r="AJ190" s="449">
        <f t="shared" si="105"/>
        <v>0.6</v>
      </c>
      <c r="AK190" s="450">
        <f t="shared" si="97"/>
        <v>39</v>
      </c>
      <c r="AL190" s="449">
        <f t="shared" si="129"/>
        <v>56.249264975581717</v>
      </c>
      <c r="AM190" s="451">
        <f>IF(ISERROR(VLOOKUP(C190,Riegos,2,FALSE)),VLOOKUP(C190,Riegos,2,FALSE),VLOOKUP($F$8,Nomen!$A$79:$B$80,2,FALSE)*IF(AND(H190&gt;120,D190&lt;0.45),0,IF(AQ189+AH190&gt;=AK190,MIN(AQ189,$AK$7),0)))</f>
        <v>0</v>
      </c>
      <c r="AN190" s="448">
        <f t="shared" si="106"/>
        <v>0</v>
      </c>
      <c r="AO190" s="448">
        <f t="shared" si="107"/>
        <v>0.17860642973420396</v>
      </c>
      <c r="AP190" s="449">
        <f t="shared" si="108"/>
        <v>6.3266366380122424E-2</v>
      </c>
      <c r="AQ190" s="449">
        <f t="shared" si="109"/>
        <v>54.270765158273214</v>
      </c>
      <c r="AR190" s="449">
        <f t="shared" si="130"/>
        <v>164.76157522640588</v>
      </c>
      <c r="AS190" s="449">
        <f t="shared" si="110"/>
        <v>0.43021129138483249</v>
      </c>
      <c r="AT190" s="449">
        <f t="shared" si="111"/>
        <v>479.89369944252275</v>
      </c>
      <c r="AU190" s="453">
        <f t="shared" si="112"/>
        <v>270</v>
      </c>
      <c r="AV190" s="145">
        <f t="shared" si="113"/>
        <v>174.50000000000006</v>
      </c>
      <c r="AW190" s="178">
        <f t="shared" si="114"/>
        <v>0</v>
      </c>
      <c r="AX190" s="179">
        <f t="shared" si="115"/>
        <v>0</v>
      </c>
      <c r="AY190" s="145" t="str">
        <f t="shared" si="131"/>
        <v/>
      </c>
      <c r="AZ190" s="145">
        <f t="shared" si="116"/>
        <v>0</v>
      </c>
      <c r="BA190" s="145">
        <f t="shared" si="117"/>
        <v>371.0558574250465</v>
      </c>
      <c r="BB190" s="145">
        <f t="shared" si="118"/>
        <v>0</v>
      </c>
      <c r="BC190" s="145">
        <f t="shared" si="119"/>
        <v>14.842234297001852</v>
      </c>
      <c r="BD190" s="145">
        <f t="shared" si="120"/>
        <v>252.31798304903151</v>
      </c>
      <c r="BE190" s="145">
        <f t="shared" si="121"/>
        <v>0</v>
      </c>
      <c r="BF190" s="145" t="str">
        <f t="shared" si="122"/>
        <v/>
      </c>
    </row>
    <row r="191" spans="2:58">
      <c r="B191" s="116">
        <f t="shared" si="98"/>
        <v>188</v>
      </c>
      <c r="C191" s="69">
        <f t="shared" si="123"/>
        <v>42192</v>
      </c>
      <c r="D191" s="257">
        <f>IF(ISERROR(VLOOKUP($C191,'NDVI real'!$T$8:$U$313,2,FALSE)),VLOOKUP(SWB!C191,'NDVI tipo'!$T$8:$U$193,2),VLOOKUP($C191,'NDVI real'!$T$8:$U$313,2,FALSE))</f>
        <v>0.31119341530864209</v>
      </c>
      <c r="E191" s="170">
        <f t="shared" si="88"/>
        <v>7</v>
      </c>
      <c r="F191" s="170">
        <f t="shared" si="89"/>
        <v>7</v>
      </c>
      <c r="G191" s="170">
        <f t="shared" si="90"/>
        <v>2015</v>
      </c>
      <c r="H191" s="170">
        <f t="shared" si="99"/>
        <v>188</v>
      </c>
      <c r="I191" s="190">
        <f>IF(ISERROR(VLOOKUP($C191,Clima!$U$8:$AH$900,3,FALSE)),VLOOKUP($C191,Clima!$D$8:$R$900,3),VLOOKUP($C191,Clima!$U$8:$AH$900,3,FALSE))</f>
        <v>25.8</v>
      </c>
      <c r="J191" s="191"/>
      <c r="K191" s="170"/>
      <c r="L191" s="192">
        <f>IF(ISERROR(VLOOKUP($C191,Clima!$U$8:$AH$900,14,FALSE)),VLOOKUP($C191,Clima!$D$8:$R$900,14),VLOOKUP($C191,Clima!$U$8:$AH$900,14,FALSE))</f>
        <v>8.1</v>
      </c>
      <c r="M191" s="190"/>
      <c r="N191" s="190"/>
      <c r="O191" s="191"/>
      <c r="P191" s="191">
        <f>IF(ISERROR(VLOOKUP($C191,Clima!$W$8:$AH$350,12,FALSE)),VLOOKUP($C191,Clima!$E$8:$P$350,12),VLOOKUP($C191,Clima!$W$8:$AH$350,12,FALSE))</f>
        <v>0</v>
      </c>
      <c r="Q191" s="170">
        <f t="shared" si="124"/>
        <v>423.86455466298122</v>
      </c>
      <c r="R191" s="254">
        <f>VLOOKUP(C191,Clima!$V$8:$AH$900,3,FALSE)+R190</f>
        <v>2252.8000000000006</v>
      </c>
      <c r="S191" s="455">
        <f t="shared" si="100"/>
        <v>0.3481185180444446</v>
      </c>
      <c r="T191" s="449">
        <f t="shared" si="101"/>
        <v>2.8197599961600011</v>
      </c>
      <c r="U191" s="195"/>
      <c r="V191" s="445">
        <f t="shared" si="91"/>
        <v>1.1338733331349999</v>
      </c>
      <c r="W191" s="446">
        <f t="shared" si="102"/>
        <v>0</v>
      </c>
      <c r="X191" s="447">
        <f t="shared" si="125"/>
        <v>0.89248888756666667</v>
      </c>
      <c r="Y191" s="448">
        <f t="shared" si="103"/>
        <v>1</v>
      </c>
      <c r="Z191" s="449">
        <f t="shared" si="92"/>
        <v>0.10751111243333333</v>
      </c>
      <c r="AA191" s="449">
        <f t="shared" si="126"/>
        <v>9.1473029850805787</v>
      </c>
      <c r="AB191" s="451">
        <f t="shared" si="104"/>
        <v>0</v>
      </c>
      <c r="AC191" s="449">
        <f t="shared" si="93"/>
        <v>0</v>
      </c>
      <c r="AD191" s="449">
        <f t="shared" si="94"/>
        <v>0</v>
      </c>
      <c r="AE191" s="448">
        <f t="shared" si="127"/>
        <v>0</v>
      </c>
      <c r="AF191" s="449">
        <f t="shared" si="128"/>
        <v>9.1473029850805787</v>
      </c>
      <c r="AG191" s="449">
        <f t="shared" si="95"/>
        <v>0.3481185180444446</v>
      </c>
      <c r="AH191" s="449">
        <f t="shared" si="96"/>
        <v>2.8197599961600011</v>
      </c>
      <c r="AI191" s="448"/>
      <c r="AJ191" s="449">
        <f t="shared" si="105"/>
        <v>0.6</v>
      </c>
      <c r="AK191" s="450">
        <f t="shared" si="97"/>
        <v>39</v>
      </c>
      <c r="AL191" s="449">
        <f t="shared" si="129"/>
        <v>57.090525154433216</v>
      </c>
      <c r="AM191" s="451">
        <f>IF(ISERROR(VLOOKUP(C191,Riegos,2,FALSE)),VLOOKUP(C191,Riegos,2,FALSE),VLOOKUP($F$8,Nomen!$A$79:$B$80,2,FALSE)*IF(AND(H191&gt;120,D191&lt;0.45),0,IF(AQ190+AH191&gt;=AK191,MIN(AQ190,$AK$7),0)))</f>
        <v>0</v>
      </c>
      <c r="AN191" s="448">
        <f t="shared" si="106"/>
        <v>0</v>
      </c>
      <c r="AO191" s="448">
        <f t="shared" si="107"/>
        <v>0.13854642121746591</v>
      </c>
      <c r="AP191" s="449">
        <f t="shared" si="108"/>
        <v>4.8230574834585628E-2</v>
      </c>
      <c r="AQ191" s="449">
        <f t="shared" si="109"/>
        <v>54.661432814433354</v>
      </c>
      <c r="AR191" s="449">
        <f t="shared" si="130"/>
        <v>164.90012164762334</v>
      </c>
      <c r="AS191" s="449">
        <f t="shared" si="110"/>
        <v>0.39066765616014359</v>
      </c>
      <c r="AT191" s="449">
        <f t="shared" si="111"/>
        <v>480.28436709868288</v>
      </c>
      <c r="AU191" s="453">
        <f t="shared" si="112"/>
        <v>270</v>
      </c>
      <c r="AV191" s="145">
        <f t="shared" si="113"/>
        <v>174.50000000000006</v>
      </c>
      <c r="AW191" s="178">
        <f t="shared" si="114"/>
        <v>0</v>
      </c>
      <c r="AX191" s="179">
        <f t="shared" si="115"/>
        <v>0</v>
      </c>
      <c r="AY191" s="145" t="str">
        <f t="shared" si="131"/>
        <v/>
      </c>
      <c r="AZ191" s="145">
        <f t="shared" si="116"/>
        <v>0</v>
      </c>
      <c r="BA191" s="145">
        <f t="shared" si="117"/>
        <v>371.0558574250465</v>
      </c>
      <c r="BB191" s="145">
        <f t="shared" si="118"/>
        <v>0</v>
      </c>
      <c r="BC191" s="145">
        <f t="shared" si="119"/>
        <v>14.842234297001852</v>
      </c>
      <c r="BD191" s="145">
        <f t="shared" si="120"/>
        <v>252.31798304903151</v>
      </c>
      <c r="BE191" s="145">
        <f t="shared" si="121"/>
        <v>0</v>
      </c>
      <c r="BF191" s="145" t="str">
        <f t="shared" si="122"/>
        <v/>
      </c>
    </row>
    <row r="192" spans="2:58">
      <c r="B192" s="116">
        <f t="shared" si="98"/>
        <v>189</v>
      </c>
      <c r="C192" s="69">
        <f t="shared" si="123"/>
        <v>42193</v>
      </c>
      <c r="D192" s="257">
        <f>IF(ISERROR(VLOOKUP($C192,'NDVI real'!$T$8:$U$313,2,FALSE)),VLOOKUP(SWB!C192,'NDVI tipo'!$T$8:$U$193,2),VLOOKUP($C192,'NDVI real'!$T$8:$U$313,2,FALSE))</f>
        <v>0.30695473209876556</v>
      </c>
      <c r="E192" s="170">
        <f t="shared" si="88"/>
        <v>7</v>
      </c>
      <c r="F192" s="170">
        <f t="shared" si="89"/>
        <v>8</v>
      </c>
      <c r="G192" s="170">
        <f t="shared" si="90"/>
        <v>2015</v>
      </c>
      <c r="H192" s="170">
        <f t="shared" si="99"/>
        <v>189</v>
      </c>
      <c r="I192" s="190">
        <f>IF(ISERROR(VLOOKUP($C192,Clima!$U$8:$AH$900,3,FALSE)),VLOOKUP($C192,Clima!$D$8:$R$900,3),VLOOKUP($C192,Clima!$U$8:$AH$900,3,FALSE))</f>
        <v>22.8</v>
      </c>
      <c r="J192" s="191"/>
      <c r="K192" s="170"/>
      <c r="L192" s="192">
        <f>IF(ISERROR(VLOOKUP($C192,Clima!$U$8:$AH$900,14,FALSE)),VLOOKUP($C192,Clima!$D$8:$R$900,14),VLOOKUP($C192,Clima!$U$8:$AH$900,14,FALSE))</f>
        <v>4.7</v>
      </c>
      <c r="M192" s="190"/>
      <c r="N192" s="190"/>
      <c r="O192" s="191"/>
      <c r="P192" s="191">
        <f>IF(ISERROR(VLOOKUP($C192,Clima!$W$8:$AH$350,12,FALSE)),VLOOKUP($C192,Clima!$E$8:$P$350,12),VLOOKUP($C192,Clima!$W$8:$AH$350,12,FALSE))</f>
        <v>0</v>
      </c>
      <c r="Q192" s="170">
        <f t="shared" si="124"/>
        <v>424.15015590109738</v>
      </c>
      <c r="R192" s="254">
        <f>VLOOKUP(C192,Clima!$V$8:$AH$900,3,FALSE)+R191</f>
        <v>2282.4000000000005</v>
      </c>
      <c r="S192" s="455">
        <f t="shared" si="100"/>
        <v>0.34201481422222235</v>
      </c>
      <c r="T192" s="449">
        <f t="shared" si="101"/>
        <v>1.6074696268444451</v>
      </c>
      <c r="U192" s="195"/>
      <c r="V192" s="445">
        <f t="shared" si="91"/>
        <v>1.1338733331349999</v>
      </c>
      <c r="W192" s="446">
        <f t="shared" si="102"/>
        <v>0</v>
      </c>
      <c r="X192" s="447">
        <f t="shared" si="125"/>
        <v>0.89248888756666667</v>
      </c>
      <c r="Y192" s="448">
        <f t="shared" si="103"/>
        <v>1</v>
      </c>
      <c r="Z192" s="449">
        <f t="shared" si="92"/>
        <v>0.10751111243333333</v>
      </c>
      <c r="AA192" s="449">
        <f t="shared" si="126"/>
        <v>9.1473029850805787</v>
      </c>
      <c r="AB192" s="451">
        <f t="shared" si="104"/>
        <v>0</v>
      </c>
      <c r="AC192" s="449">
        <f t="shared" si="93"/>
        <v>0</v>
      </c>
      <c r="AD192" s="449">
        <f t="shared" si="94"/>
        <v>0</v>
      </c>
      <c r="AE192" s="448">
        <f t="shared" si="127"/>
        <v>0</v>
      </c>
      <c r="AF192" s="449">
        <f t="shared" si="128"/>
        <v>9.1473029850805787</v>
      </c>
      <c r="AG192" s="449">
        <f t="shared" si="95"/>
        <v>0.34201481422222235</v>
      </c>
      <c r="AH192" s="449">
        <f t="shared" si="96"/>
        <v>1.6074696268444451</v>
      </c>
      <c r="AI192" s="448"/>
      <c r="AJ192" s="449">
        <f t="shared" si="105"/>
        <v>0.6</v>
      </c>
      <c r="AK192" s="450">
        <f t="shared" si="97"/>
        <v>39</v>
      </c>
      <c r="AL192" s="449">
        <f t="shared" si="129"/>
        <v>56.268902441277802</v>
      </c>
      <c r="AM192" s="451">
        <f>IF(ISERROR(VLOOKUP(C192,Riegos,2,FALSE)),VLOOKUP(C192,Riegos,2,FALSE),VLOOKUP($F$8,Nomen!$A$79:$B$80,2,FALSE)*IF(AND(H192&gt;120,D192&lt;0.45),0,IF(AQ191+AH192&gt;=AK192,MIN(AQ191,$AK$7),0)))</f>
        <v>0</v>
      </c>
      <c r="AN192" s="448">
        <f t="shared" si="106"/>
        <v>0</v>
      </c>
      <c r="AO192" s="448">
        <f t="shared" si="107"/>
        <v>0.17767131232010464</v>
      </c>
      <c r="AP192" s="449">
        <f t="shared" si="108"/>
        <v>6.0766220875779035E-2</v>
      </c>
      <c r="AQ192" s="449">
        <f t="shared" si="109"/>
        <v>54.947034052549519</v>
      </c>
      <c r="AR192" s="449">
        <f t="shared" si="130"/>
        <v>165.07779295994345</v>
      </c>
      <c r="AS192" s="449">
        <f t="shared" si="110"/>
        <v>0.2856012381161615</v>
      </c>
      <c r="AT192" s="449">
        <f t="shared" si="111"/>
        <v>480.56996833679904</v>
      </c>
      <c r="AU192" s="453">
        <f t="shared" si="112"/>
        <v>270</v>
      </c>
      <c r="AV192" s="145">
        <f t="shared" si="113"/>
        <v>174.50000000000006</v>
      </c>
      <c r="AW192" s="178">
        <f t="shared" si="114"/>
        <v>0</v>
      </c>
      <c r="AX192" s="179">
        <f t="shared" si="115"/>
        <v>0</v>
      </c>
      <c r="AY192" s="145" t="str">
        <f t="shared" si="131"/>
        <v/>
      </c>
      <c r="AZ192" s="145">
        <f t="shared" si="116"/>
        <v>0</v>
      </c>
      <c r="BA192" s="145">
        <f t="shared" si="117"/>
        <v>371.0558574250465</v>
      </c>
      <c r="BB192" s="145">
        <f t="shared" si="118"/>
        <v>0</v>
      </c>
      <c r="BC192" s="145">
        <f t="shared" si="119"/>
        <v>14.842234297001852</v>
      </c>
      <c r="BD192" s="145">
        <f t="shared" si="120"/>
        <v>252.31798304903151</v>
      </c>
      <c r="BE192" s="145">
        <f t="shared" si="121"/>
        <v>0</v>
      </c>
      <c r="BF192" s="145" t="str">
        <f t="shared" si="122"/>
        <v/>
      </c>
    </row>
    <row r="193" spans="2:59">
      <c r="B193" s="116">
        <f t="shared" si="98"/>
        <v>190</v>
      </c>
      <c r="C193" s="69">
        <f t="shared" si="123"/>
        <v>42194</v>
      </c>
      <c r="D193" s="257">
        <f>IF(ISERROR(VLOOKUP($C193,'NDVI real'!$T$8:$U$313,2,FALSE)),VLOOKUP(SWB!C193,'NDVI tipo'!$T$8:$U$193,2),VLOOKUP($C193,'NDVI real'!$T$8:$U$313,2,FALSE))</f>
        <v>0.30271604888888887</v>
      </c>
      <c r="E193" s="170">
        <f t="shared" si="88"/>
        <v>7</v>
      </c>
      <c r="F193" s="170">
        <f t="shared" si="89"/>
        <v>9</v>
      </c>
      <c r="G193" s="170">
        <f t="shared" si="90"/>
        <v>2015</v>
      </c>
      <c r="H193" s="170">
        <f t="shared" si="99"/>
        <v>190</v>
      </c>
      <c r="I193" s="190">
        <f>IF(ISERROR(VLOOKUP($C193,Clima!$U$8:$AH$900,3,FALSE)),VLOOKUP($C193,Clima!$D$8:$R$900,3),VLOOKUP($C193,Clima!$U$8:$AH$900,3,FALSE))</f>
        <v>24.6</v>
      </c>
      <c r="J193" s="191"/>
      <c r="K193" s="170"/>
      <c r="L193" s="192">
        <f>IF(ISERROR(VLOOKUP($C193,Clima!$U$8:$AH$900,14,FALSE)),VLOOKUP($C193,Clima!$D$8:$R$900,14),VLOOKUP($C193,Clima!$U$8:$AH$900,14,FALSE))</f>
        <v>6.2</v>
      </c>
      <c r="M193" s="190"/>
      <c r="N193" s="190"/>
      <c r="O193" s="191"/>
      <c r="P193" s="191">
        <f>IF(ISERROR(VLOOKUP($C193,Clima!$W$8:$AH$350,12,FALSE)),VLOOKUP($C193,Clima!$E$8:$P$350,12),VLOOKUP($C193,Clima!$W$8:$AH$350,12,FALSE))</f>
        <v>0</v>
      </c>
      <c r="Q193" s="170">
        <f t="shared" si="124"/>
        <v>424.44473340194247</v>
      </c>
      <c r="R193" s="254">
        <f>VLOOKUP(C193,Clima!$V$8:$AH$900,3,FALSE)+R192</f>
        <v>2309.4000000000005</v>
      </c>
      <c r="S193" s="455">
        <f t="shared" si="100"/>
        <v>0.33591111039999999</v>
      </c>
      <c r="T193" s="449">
        <f t="shared" si="101"/>
        <v>2.0826488844800002</v>
      </c>
      <c r="U193" s="195"/>
      <c r="V193" s="445">
        <f t="shared" si="91"/>
        <v>1.1338733331349999</v>
      </c>
      <c r="W193" s="446">
        <f t="shared" si="102"/>
        <v>0</v>
      </c>
      <c r="X193" s="447">
        <f t="shared" si="125"/>
        <v>0.89248888756666667</v>
      </c>
      <c r="Y193" s="448">
        <f t="shared" si="103"/>
        <v>1</v>
      </c>
      <c r="Z193" s="449">
        <f t="shared" si="92"/>
        <v>0.10751111243333333</v>
      </c>
      <c r="AA193" s="449">
        <f t="shared" si="126"/>
        <v>9.1473029850805787</v>
      </c>
      <c r="AB193" s="451">
        <f t="shared" si="104"/>
        <v>0</v>
      </c>
      <c r="AC193" s="449">
        <f t="shared" si="93"/>
        <v>0</v>
      </c>
      <c r="AD193" s="449">
        <f t="shared" si="94"/>
        <v>0</v>
      </c>
      <c r="AE193" s="448">
        <f t="shared" si="127"/>
        <v>0</v>
      </c>
      <c r="AF193" s="449">
        <f t="shared" si="128"/>
        <v>9.1473029850805787</v>
      </c>
      <c r="AG193" s="449">
        <f t="shared" si="95"/>
        <v>0.33591111039999999</v>
      </c>
      <c r="AH193" s="449">
        <f t="shared" si="96"/>
        <v>2.0826488844800002</v>
      </c>
      <c r="AI193" s="448"/>
      <c r="AJ193" s="449">
        <f t="shared" si="105"/>
        <v>0.6</v>
      </c>
      <c r="AK193" s="450">
        <f t="shared" si="97"/>
        <v>39</v>
      </c>
      <c r="AL193" s="449">
        <f t="shared" si="129"/>
        <v>57.02968293702952</v>
      </c>
      <c r="AM193" s="451">
        <f>IF(ISERROR(VLOOKUP(C193,Riegos,2,FALSE)),VLOOKUP(C193,Riegos,2,FALSE),VLOOKUP($F$8,Nomen!$A$79:$B$80,2,FALSE)*IF(AND(H193&gt;120,D193&lt;0.45),0,IF(AQ192+AH193&gt;=AK193,MIN(AQ192,$AK$7),0)))</f>
        <v>0</v>
      </c>
      <c r="AN193" s="448">
        <f t="shared" si="106"/>
        <v>0</v>
      </c>
      <c r="AO193" s="448">
        <f t="shared" si="107"/>
        <v>0.14144366966526095</v>
      </c>
      <c r="AP193" s="449">
        <f t="shared" si="108"/>
        <v>4.7512500136308602E-2</v>
      </c>
      <c r="AQ193" s="449">
        <f t="shared" si="109"/>
        <v>55.241611553394634</v>
      </c>
      <c r="AR193" s="449">
        <f t="shared" si="130"/>
        <v>165.2192366296087</v>
      </c>
      <c r="AS193" s="449">
        <f t="shared" si="110"/>
        <v>0.29457750084511336</v>
      </c>
      <c r="AT193" s="449">
        <f t="shared" si="111"/>
        <v>480.86454583764413</v>
      </c>
      <c r="AU193" s="453">
        <f t="shared" si="112"/>
        <v>270</v>
      </c>
      <c r="AV193" s="145">
        <f t="shared" si="113"/>
        <v>174.50000000000006</v>
      </c>
      <c r="AW193" s="178">
        <f t="shared" si="114"/>
        <v>0</v>
      </c>
      <c r="AX193" s="179">
        <f t="shared" si="115"/>
        <v>0</v>
      </c>
      <c r="AY193" s="145" t="str">
        <f t="shared" si="131"/>
        <v/>
      </c>
      <c r="AZ193" s="145">
        <f t="shared" si="116"/>
        <v>0</v>
      </c>
      <c r="BA193" s="145">
        <f t="shared" si="117"/>
        <v>371.0558574250465</v>
      </c>
      <c r="BB193" s="145">
        <f t="shared" si="118"/>
        <v>0</v>
      </c>
      <c r="BC193" s="145">
        <f t="shared" si="119"/>
        <v>14.842234297001852</v>
      </c>
      <c r="BD193" s="145">
        <f t="shared" si="120"/>
        <v>252.31798304903151</v>
      </c>
      <c r="BE193" s="145">
        <f t="shared" si="121"/>
        <v>0</v>
      </c>
      <c r="BF193" s="145" t="str">
        <f t="shared" si="122"/>
        <v/>
      </c>
    </row>
    <row r="194" spans="2:59">
      <c r="B194" s="116">
        <f t="shared" si="98"/>
        <v>191</v>
      </c>
      <c r="C194" s="69">
        <f t="shared" si="123"/>
        <v>42195</v>
      </c>
      <c r="D194" s="257">
        <f>IF(ISERROR(VLOOKUP($C194,'NDVI real'!$T$8:$U$313,2,FALSE)),VLOOKUP(SWB!C194,'NDVI tipo'!$T$8:$U$193,2),VLOOKUP($C194,'NDVI real'!$T$8:$U$313,2,FALSE))</f>
        <v>0.30289241587301585</v>
      </c>
      <c r="E194" s="170">
        <f t="shared" si="88"/>
        <v>7</v>
      </c>
      <c r="F194" s="170">
        <f t="shared" si="89"/>
        <v>10</v>
      </c>
      <c r="G194" s="170">
        <f t="shared" si="90"/>
        <v>2015</v>
      </c>
      <c r="H194" s="170">
        <f t="shared" si="99"/>
        <v>191</v>
      </c>
      <c r="I194" s="190">
        <f>IF(ISERROR(VLOOKUP($C194,Clima!$U$8:$AH$900,3,FALSE)),VLOOKUP($C194,Clima!$D$8:$R$900,3),VLOOKUP($C194,Clima!$U$8:$AH$900,3,FALSE))</f>
        <v>25.8</v>
      </c>
      <c r="J194" s="191"/>
      <c r="K194" s="170"/>
      <c r="L194" s="192">
        <f>IF(ISERROR(VLOOKUP($C194,Clima!$U$8:$AH$900,14,FALSE)),VLOOKUP($C194,Clima!$D$8:$R$900,14),VLOOKUP($C194,Clima!$U$8:$AH$900,14,FALSE))</f>
        <v>7</v>
      </c>
      <c r="M194" s="190"/>
      <c r="N194" s="190"/>
      <c r="O194" s="191"/>
      <c r="P194" s="191">
        <f>IF(ISERROR(VLOOKUP($C194,Clima!$W$8:$AH$350,12,FALSE)),VLOOKUP($C194,Clima!$E$8:$P$350,12),VLOOKUP($C194,Clima!$W$8:$AH$350,12,FALSE))</f>
        <v>0</v>
      </c>
      <c r="Q194" s="170">
        <f t="shared" si="124"/>
        <v>424.71425183717076</v>
      </c>
      <c r="R194" s="254">
        <f>VLOOKUP(C194,Clima!$V$8:$AH$900,3,FALSE)+R193</f>
        <v>2336.9000000000005</v>
      </c>
      <c r="S194" s="455">
        <f t="shared" si="100"/>
        <v>0.33616507885714275</v>
      </c>
      <c r="T194" s="449">
        <f t="shared" si="101"/>
        <v>2.3531555519999992</v>
      </c>
      <c r="U194" s="195"/>
      <c r="V194" s="445">
        <f t="shared" si="91"/>
        <v>1.1338733331349999</v>
      </c>
      <c r="W194" s="446">
        <f t="shared" si="102"/>
        <v>0</v>
      </c>
      <c r="X194" s="447">
        <f t="shared" si="125"/>
        <v>0.89248888756666667</v>
      </c>
      <c r="Y194" s="448">
        <f t="shared" si="103"/>
        <v>1</v>
      </c>
      <c r="Z194" s="449">
        <f t="shared" si="92"/>
        <v>0.10751111243333333</v>
      </c>
      <c r="AA194" s="449">
        <f t="shared" si="126"/>
        <v>9.1473029850805787</v>
      </c>
      <c r="AB194" s="451">
        <f t="shared" si="104"/>
        <v>0</v>
      </c>
      <c r="AC194" s="449">
        <f t="shared" si="93"/>
        <v>0</v>
      </c>
      <c r="AD194" s="449">
        <f t="shared" si="94"/>
        <v>0</v>
      </c>
      <c r="AE194" s="448">
        <f t="shared" si="127"/>
        <v>0</v>
      </c>
      <c r="AF194" s="449">
        <f t="shared" si="128"/>
        <v>9.1473029850805787</v>
      </c>
      <c r="AG194" s="449">
        <f t="shared" si="95"/>
        <v>0.33616507885714275</v>
      </c>
      <c r="AH194" s="449">
        <f t="shared" si="96"/>
        <v>2.3531555519999992</v>
      </c>
      <c r="AI194" s="448"/>
      <c r="AJ194" s="449">
        <f t="shared" si="105"/>
        <v>0.6</v>
      </c>
      <c r="AK194" s="450">
        <f t="shared" si="97"/>
        <v>39</v>
      </c>
      <c r="AL194" s="449">
        <f t="shared" si="129"/>
        <v>57.594767105394631</v>
      </c>
      <c r="AM194" s="451">
        <f>IF(ISERROR(VLOOKUP(C194,Riegos,2,FALSE)),VLOOKUP(C194,Riegos,2,FALSE),VLOOKUP($F$8,Nomen!$A$79:$B$80,2,FALSE)*IF(AND(H194&gt;120,D194&lt;0.45),0,IF(AQ193+AH194&gt;=AK194,MIN(AQ193,$AK$7),0)))</f>
        <v>0</v>
      </c>
      <c r="AN194" s="448">
        <f t="shared" si="106"/>
        <v>0</v>
      </c>
      <c r="AO194" s="448">
        <f t="shared" si="107"/>
        <v>0.11453489974311282</v>
      </c>
      <c r="AP194" s="449">
        <f t="shared" si="108"/>
        <v>3.850263360403846E-2</v>
      </c>
      <c r="AQ194" s="449">
        <f t="shared" si="109"/>
        <v>55.511129988622905</v>
      </c>
      <c r="AR194" s="449">
        <f t="shared" si="130"/>
        <v>165.33377152935182</v>
      </c>
      <c r="AS194" s="449">
        <f t="shared" si="110"/>
        <v>0.26951843522826924</v>
      </c>
      <c r="AT194" s="449">
        <f t="shared" si="111"/>
        <v>481.13406427287242</v>
      </c>
      <c r="AU194" s="453">
        <f t="shared" si="112"/>
        <v>270</v>
      </c>
      <c r="AV194" s="145">
        <f t="shared" si="113"/>
        <v>174.50000000000006</v>
      </c>
      <c r="AW194" s="178">
        <f t="shared" si="114"/>
        <v>0</v>
      </c>
      <c r="AX194" s="179">
        <f t="shared" si="115"/>
        <v>0</v>
      </c>
      <c r="AY194" s="145" t="str">
        <f t="shared" si="131"/>
        <v/>
      </c>
      <c r="AZ194" s="145">
        <f t="shared" si="116"/>
        <v>0</v>
      </c>
      <c r="BA194" s="145">
        <f t="shared" si="117"/>
        <v>371.0558574250465</v>
      </c>
      <c r="BB194" s="145">
        <f t="shared" si="118"/>
        <v>0</v>
      </c>
      <c r="BC194" s="145">
        <f t="shared" si="119"/>
        <v>14.842234297001852</v>
      </c>
      <c r="BD194" s="145">
        <f t="shared" si="120"/>
        <v>252.31798304903151</v>
      </c>
      <c r="BE194" s="145">
        <f t="shared" si="121"/>
        <v>0</v>
      </c>
      <c r="BF194" s="145" t="str">
        <f t="shared" si="122"/>
        <v/>
      </c>
    </row>
    <row r="195" spans="2:59">
      <c r="B195" s="116">
        <f t="shared" si="98"/>
        <v>192</v>
      </c>
      <c r="C195" s="69">
        <f t="shared" si="123"/>
        <v>42196</v>
      </c>
      <c r="D195" s="257">
        <f>IF(ISERROR(VLOOKUP($C195,'NDVI real'!$T$8:$U$313,2,FALSE)),VLOOKUP(SWB!C195,'NDVI tipo'!$T$8:$U$193,2),VLOOKUP($C195,'NDVI real'!$T$8:$U$313,2,FALSE))</f>
        <v>0.30306878285714284</v>
      </c>
      <c r="E195" s="170">
        <f t="shared" si="88"/>
        <v>7</v>
      </c>
      <c r="F195" s="170">
        <f t="shared" si="89"/>
        <v>11</v>
      </c>
      <c r="G195" s="170">
        <f t="shared" si="90"/>
        <v>2015</v>
      </c>
      <c r="H195" s="170">
        <f t="shared" si="99"/>
        <v>192</v>
      </c>
      <c r="I195" s="190">
        <f>IF(ISERROR(VLOOKUP($C195,Clima!$U$8:$AH$900,3,FALSE)),VLOOKUP($C195,Clima!$D$8:$R$900,3),VLOOKUP($C195,Clima!$U$8:$AH$900,3,FALSE))</f>
        <v>27.4</v>
      </c>
      <c r="J195" s="191"/>
      <c r="K195" s="170"/>
      <c r="L195" s="192">
        <f>IF(ISERROR(VLOOKUP($C195,Clima!$U$8:$AH$900,14,FALSE)),VLOOKUP($C195,Clima!$D$8:$R$900,14),VLOOKUP($C195,Clima!$U$8:$AH$900,14,FALSE))</f>
        <v>7.1</v>
      </c>
      <c r="M195" s="190"/>
      <c r="N195" s="190"/>
      <c r="O195" s="191"/>
      <c r="P195" s="191">
        <f>IF(ISERROR(VLOOKUP($C195,Clima!$W$8:$AH$350,12,FALSE)),VLOOKUP($C195,Clima!$E$8:$P$350,12),VLOOKUP($C195,Clima!$W$8:$AH$350,12,FALSE))</f>
        <v>0</v>
      </c>
      <c r="Q195" s="170">
        <f t="shared" si="124"/>
        <v>424.95314288901773</v>
      </c>
      <c r="R195" s="254">
        <f>VLOOKUP(C195,Clima!$V$8:$AH$900,3,FALSE)+R194</f>
        <v>2363.1000000000004</v>
      </c>
      <c r="S195" s="455">
        <f t="shared" si="100"/>
        <v>0.33641904731428562</v>
      </c>
      <c r="T195" s="449">
        <f t="shared" si="101"/>
        <v>2.3885752359314276</v>
      </c>
      <c r="U195" s="195"/>
      <c r="V195" s="445">
        <f t="shared" si="91"/>
        <v>1.1338733331349999</v>
      </c>
      <c r="W195" s="446">
        <f t="shared" si="102"/>
        <v>0</v>
      </c>
      <c r="X195" s="447">
        <f t="shared" si="125"/>
        <v>0.89248888756666667</v>
      </c>
      <c r="Y195" s="448">
        <f t="shared" si="103"/>
        <v>1</v>
      </c>
      <c r="Z195" s="449">
        <f t="shared" si="92"/>
        <v>0.10751111243333333</v>
      </c>
      <c r="AA195" s="449">
        <f t="shared" si="126"/>
        <v>9.1473029850805787</v>
      </c>
      <c r="AB195" s="451">
        <f t="shared" si="104"/>
        <v>0</v>
      </c>
      <c r="AC195" s="449">
        <f t="shared" si="93"/>
        <v>0</v>
      </c>
      <c r="AD195" s="449">
        <f t="shared" si="94"/>
        <v>0</v>
      </c>
      <c r="AE195" s="448">
        <f t="shared" si="127"/>
        <v>0</v>
      </c>
      <c r="AF195" s="449">
        <f t="shared" si="128"/>
        <v>9.1473029850805787</v>
      </c>
      <c r="AG195" s="449">
        <f t="shared" si="95"/>
        <v>0.33641904731428562</v>
      </c>
      <c r="AH195" s="449">
        <f t="shared" si="96"/>
        <v>2.3885752359314276</v>
      </c>
      <c r="AI195" s="448"/>
      <c r="AJ195" s="449">
        <f t="shared" si="105"/>
        <v>0.6</v>
      </c>
      <c r="AK195" s="450">
        <f t="shared" si="97"/>
        <v>39</v>
      </c>
      <c r="AL195" s="449">
        <f t="shared" si="129"/>
        <v>57.899705224554332</v>
      </c>
      <c r="AM195" s="451">
        <f>IF(ISERROR(VLOOKUP(C195,Riegos,2,FALSE)),VLOOKUP(C195,Riegos,2,FALSE),VLOOKUP($F$8,Nomen!$A$79:$B$80,2,FALSE)*IF(AND(H195&gt;120,D195&lt;0.45),0,IF(AQ194+AH195&gt;=AK195,MIN(AQ194,$AK$7),0)))</f>
        <v>0</v>
      </c>
      <c r="AN195" s="448">
        <f t="shared" si="106"/>
        <v>0</v>
      </c>
      <c r="AO195" s="448">
        <f t="shared" si="107"/>
        <v>0.10001403692598421</v>
      </c>
      <c r="AP195" s="449">
        <f t="shared" si="108"/>
        <v>3.3646627020695388E-2</v>
      </c>
      <c r="AQ195" s="449">
        <f t="shared" si="109"/>
        <v>55.750021040469839</v>
      </c>
      <c r="AR195" s="449">
        <f t="shared" si="130"/>
        <v>165.43378556627781</v>
      </c>
      <c r="AS195" s="449">
        <f t="shared" si="110"/>
        <v>0.23889105184693724</v>
      </c>
      <c r="AT195" s="449">
        <f t="shared" si="111"/>
        <v>481.37295532471938</v>
      </c>
      <c r="AU195" s="453">
        <f t="shared" si="112"/>
        <v>270</v>
      </c>
      <c r="AV195" s="145">
        <f t="shared" si="113"/>
        <v>174.50000000000006</v>
      </c>
      <c r="AW195" s="178">
        <f t="shared" si="114"/>
        <v>0</v>
      </c>
      <c r="AX195" s="179">
        <f t="shared" si="115"/>
        <v>0</v>
      </c>
      <c r="AY195" s="145" t="str">
        <f t="shared" si="131"/>
        <v/>
      </c>
      <c r="AZ195" s="145">
        <f t="shared" si="116"/>
        <v>0</v>
      </c>
      <c r="BA195" s="145">
        <f t="shared" si="117"/>
        <v>371.0558574250465</v>
      </c>
      <c r="BB195" s="145">
        <f t="shared" si="118"/>
        <v>0</v>
      </c>
      <c r="BC195" s="145">
        <f t="shared" si="119"/>
        <v>14.842234297001852</v>
      </c>
      <c r="BD195" s="145">
        <f t="shared" si="120"/>
        <v>252.31798304903151</v>
      </c>
      <c r="BE195" s="145">
        <f t="shared" si="121"/>
        <v>0</v>
      </c>
      <c r="BF195" s="145" t="str">
        <f t="shared" si="122"/>
        <v/>
      </c>
    </row>
    <row r="196" spans="2:59">
      <c r="B196" s="116">
        <f t="shared" si="98"/>
        <v>193</v>
      </c>
      <c r="C196" s="69">
        <f t="shared" si="123"/>
        <v>42197</v>
      </c>
      <c r="D196" s="257">
        <f>IF(ISERROR(VLOOKUP($C196,'NDVI real'!$T$8:$U$313,2,FALSE)),VLOOKUP(SWB!C196,'NDVI tipo'!$T$8:$U$193,2),VLOOKUP($C196,'NDVI real'!$T$8:$U$313,2,FALSE))</f>
        <v>0.30324514984126982</v>
      </c>
      <c r="E196" s="170">
        <f t="shared" si="88"/>
        <v>7</v>
      </c>
      <c r="F196" s="170">
        <f t="shared" si="89"/>
        <v>12</v>
      </c>
      <c r="G196" s="170">
        <f t="shared" si="90"/>
        <v>2015</v>
      </c>
      <c r="H196" s="170">
        <f t="shared" si="99"/>
        <v>193</v>
      </c>
      <c r="I196" s="190">
        <f>IF(ISERROR(VLOOKUP($C196,Clima!$U$8:$AH$900,3,FALSE)),VLOOKUP($C196,Clima!$D$8:$R$900,3),VLOOKUP($C196,Clima!$U$8:$AH$900,3,FALSE))</f>
        <v>28.8</v>
      </c>
      <c r="J196" s="191"/>
      <c r="K196" s="170"/>
      <c r="L196" s="192">
        <f>IF(ISERROR(VLOOKUP($C196,Clima!$U$8:$AH$900,14,FALSE)),VLOOKUP($C196,Clima!$D$8:$R$900,14),VLOOKUP($C196,Clima!$U$8:$AH$900,14,FALSE))</f>
        <v>7.5</v>
      </c>
      <c r="M196" s="190"/>
      <c r="N196" s="190"/>
      <c r="O196" s="191"/>
      <c r="P196" s="191">
        <f>IF(ISERROR(VLOOKUP($C196,Clima!$W$8:$AH$350,12,FALSE)),VLOOKUP($C196,Clima!$E$8:$P$350,12),VLOOKUP($C196,Clima!$W$8:$AH$350,12,FALSE))</f>
        <v>0</v>
      </c>
      <c r="Q196" s="170">
        <f t="shared" si="124"/>
        <v>425.16054925925181</v>
      </c>
      <c r="R196" s="254">
        <f>VLOOKUP(C196,Clima!$V$8:$AH$900,3,FALSE)+R195</f>
        <v>2389.9000000000005</v>
      </c>
      <c r="S196" s="455">
        <f t="shared" si="100"/>
        <v>0.3366730157714285</v>
      </c>
      <c r="T196" s="449">
        <f t="shared" si="101"/>
        <v>2.5250476182857136</v>
      </c>
      <c r="U196" s="195"/>
      <c r="V196" s="445">
        <f t="shared" si="91"/>
        <v>1.1338733331349999</v>
      </c>
      <c r="W196" s="446">
        <f t="shared" si="102"/>
        <v>0</v>
      </c>
      <c r="X196" s="447">
        <f t="shared" si="125"/>
        <v>0.89248888756666667</v>
      </c>
      <c r="Y196" s="448">
        <f t="shared" si="103"/>
        <v>1</v>
      </c>
      <c r="Z196" s="449">
        <f t="shared" si="92"/>
        <v>0.10751111243333333</v>
      </c>
      <c r="AA196" s="449">
        <f t="shared" si="126"/>
        <v>9.1473029850805787</v>
      </c>
      <c r="AB196" s="451">
        <f t="shared" si="104"/>
        <v>0</v>
      </c>
      <c r="AC196" s="449">
        <f t="shared" si="93"/>
        <v>0</v>
      </c>
      <c r="AD196" s="449">
        <f t="shared" si="94"/>
        <v>0</v>
      </c>
      <c r="AE196" s="448">
        <f t="shared" si="127"/>
        <v>0</v>
      </c>
      <c r="AF196" s="449">
        <f t="shared" si="128"/>
        <v>9.1473029850805787</v>
      </c>
      <c r="AG196" s="449">
        <f t="shared" si="95"/>
        <v>0.3366730157714285</v>
      </c>
      <c r="AH196" s="449">
        <f t="shared" si="96"/>
        <v>2.5250476182857136</v>
      </c>
      <c r="AI196" s="448"/>
      <c r="AJ196" s="449">
        <f t="shared" si="105"/>
        <v>0.6</v>
      </c>
      <c r="AK196" s="450">
        <f t="shared" si="97"/>
        <v>39</v>
      </c>
      <c r="AL196" s="449">
        <f t="shared" si="129"/>
        <v>58.275068658755551</v>
      </c>
      <c r="AM196" s="451">
        <f>IF(ISERROR(VLOOKUP(C196,Riegos,2,FALSE)),VLOOKUP(C196,Riegos,2,FALSE),VLOOKUP($F$8,Nomen!$A$79:$B$80,2,FALSE)*IF(AND(H196&gt;120,D196&lt;0.45),0,IF(AQ195+AH196&gt;=AK196,MIN(AQ195,$AK$7),0)))</f>
        <v>0</v>
      </c>
      <c r="AN196" s="448">
        <f t="shared" si="106"/>
        <v>0</v>
      </c>
      <c r="AO196" s="448">
        <f t="shared" si="107"/>
        <v>8.2139587678307119E-2</v>
      </c>
      <c r="AP196" s="449">
        <f t="shared" si="108"/>
        <v>2.7654182697877325E-2</v>
      </c>
      <c r="AQ196" s="449">
        <f t="shared" si="109"/>
        <v>55.957427410703922</v>
      </c>
      <c r="AR196" s="449">
        <f t="shared" si="130"/>
        <v>165.51592515395612</v>
      </c>
      <c r="AS196" s="449">
        <f t="shared" si="110"/>
        <v>0.20740637023407993</v>
      </c>
      <c r="AT196" s="449">
        <f t="shared" si="111"/>
        <v>481.58036169495347</v>
      </c>
      <c r="AU196" s="453">
        <f t="shared" si="112"/>
        <v>270</v>
      </c>
      <c r="AV196" s="145">
        <f t="shared" si="113"/>
        <v>174.50000000000006</v>
      </c>
      <c r="AW196" s="178">
        <f t="shared" si="114"/>
        <v>0</v>
      </c>
      <c r="AX196" s="179">
        <f t="shared" si="115"/>
        <v>0</v>
      </c>
      <c r="AY196" s="145" t="str">
        <f t="shared" si="131"/>
        <v/>
      </c>
      <c r="AZ196" s="145">
        <f t="shared" si="116"/>
        <v>0</v>
      </c>
      <c r="BA196" s="145">
        <f t="shared" si="117"/>
        <v>371.0558574250465</v>
      </c>
      <c r="BB196" s="145">
        <f t="shared" si="118"/>
        <v>0</v>
      </c>
      <c r="BC196" s="145">
        <f t="shared" si="119"/>
        <v>14.842234297001852</v>
      </c>
      <c r="BD196" s="145">
        <f t="shared" si="120"/>
        <v>252.31798304903151</v>
      </c>
      <c r="BE196" s="145">
        <f t="shared" si="121"/>
        <v>0</v>
      </c>
      <c r="BF196" s="145" t="str">
        <f t="shared" si="122"/>
        <v/>
      </c>
    </row>
    <row r="197" spans="2:59">
      <c r="B197" s="116">
        <f t="shared" si="98"/>
        <v>194</v>
      </c>
      <c r="C197" s="69">
        <f t="shared" si="123"/>
        <v>42198</v>
      </c>
      <c r="D197" s="257">
        <f>IF(ISERROR(VLOOKUP($C197,'NDVI real'!$T$8:$U$313,2,FALSE)),VLOOKUP(SWB!C197,'NDVI tipo'!$T$8:$U$193,2),VLOOKUP($C197,'NDVI real'!$T$8:$U$313,2,FALSE))</f>
        <v>0.30342151682539681</v>
      </c>
      <c r="E197" s="170">
        <f t="shared" si="88"/>
        <v>7</v>
      </c>
      <c r="F197" s="170">
        <f t="shared" si="89"/>
        <v>13</v>
      </c>
      <c r="G197" s="170">
        <f t="shared" si="90"/>
        <v>2015</v>
      </c>
      <c r="H197" s="170">
        <f t="shared" si="99"/>
        <v>194</v>
      </c>
      <c r="I197" s="190">
        <f>IF(ISERROR(VLOOKUP($C197,Clima!$U$8:$AH$900,3,FALSE)),VLOOKUP($C197,Clima!$D$8:$R$900,3),VLOOKUP($C197,Clima!$U$8:$AH$900,3,FALSE))</f>
        <v>26.6</v>
      </c>
      <c r="J197" s="191"/>
      <c r="K197" s="170"/>
      <c r="L197" s="192">
        <f>IF(ISERROR(VLOOKUP($C197,Clima!$U$8:$AH$900,14,FALSE)),VLOOKUP($C197,Clima!$D$8:$R$900,14),VLOOKUP($C197,Clima!$U$8:$AH$900,14,FALSE))</f>
        <v>8.5</v>
      </c>
      <c r="M197" s="190"/>
      <c r="N197" s="190"/>
      <c r="O197" s="191"/>
      <c r="P197" s="191">
        <f>IF(ISERROR(VLOOKUP($C197,Clima!$W$8:$AH$350,12,FALSE)),VLOOKUP($C197,Clima!$E$8:$P$350,12),VLOOKUP($C197,Clima!$W$8:$AH$350,12,FALSE))</f>
        <v>0</v>
      </c>
      <c r="Q197" s="170">
        <f t="shared" si="124"/>
        <v>425.32129379263932</v>
      </c>
      <c r="R197" s="254">
        <f>VLOOKUP(C197,Clima!$V$8:$AH$900,3,FALSE)+R196</f>
        <v>2417.4000000000005</v>
      </c>
      <c r="S197" s="455">
        <f t="shared" si="100"/>
        <v>0.33692698422857137</v>
      </c>
      <c r="T197" s="449">
        <f t="shared" si="101"/>
        <v>2.8638793659428567</v>
      </c>
      <c r="U197" s="195"/>
      <c r="V197" s="445">
        <f t="shared" si="91"/>
        <v>1.1338733331349999</v>
      </c>
      <c r="W197" s="446">
        <f t="shared" si="102"/>
        <v>0</v>
      </c>
      <c r="X197" s="447">
        <f t="shared" si="125"/>
        <v>0.89248888756666667</v>
      </c>
      <c r="Y197" s="448">
        <f t="shared" si="103"/>
        <v>1</v>
      </c>
      <c r="Z197" s="449">
        <f t="shared" si="92"/>
        <v>0.10751111243333333</v>
      </c>
      <c r="AA197" s="449">
        <f t="shared" si="126"/>
        <v>9.1473029850805787</v>
      </c>
      <c r="AB197" s="451">
        <f t="shared" si="104"/>
        <v>0</v>
      </c>
      <c r="AC197" s="449">
        <f t="shared" si="93"/>
        <v>0</v>
      </c>
      <c r="AD197" s="449">
        <f t="shared" si="94"/>
        <v>0</v>
      </c>
      <c r="AE197" s="448">
        <f t="shared" si="127"/>
        <v>0</v>
      </c>
      <c r="AF197" s="449">
        <f t="shared" si="128"/>
        <v>9.1473029850805787</v>
      </c>
      <c r="AG197" s="449">
        <f t="shared" si="95"/>
        <v>0.33692698422857137</v>
      </c>
      <c r="AH197" s="449">
        <f t="shared" si="96"/>
        <v>2.8638793659428567</v>
      </c>
      <c r="AI197" s="448"/>
      <c r="AJ197" s="449">
        <f t="shared" si="105"/>
        <v>0.6</v>
      </c>
      <c r="AK197" s="450">
        <f t="shared" si="97"/>
        <v>39</v>
      </c>
      <c r="AL197" s="449">
        <f t="shared" si="129"/>
        <v>58.821306776646779</v>
      </c>
      <c r="AM197" s="451">
        <f>IF(ISERROR(VLOOKUP(C197,Riegos,2,FALSE)),VLOOKUP(C197,Riegos,2,FALSE),VLOOKUP($F$8,Nomen!$A$79:$B$80,2,FALSE)*IF(AND(H197&gt;120,D197&lt;0.45),0,IF(AQ196+AH197&gt;=AK197,MIN(AQ196,$AK$7),0)))</f>
        <v>0</v>
      </c>
      <c r="AN197" s="448">
        <f t="shared" si="106"/>
        <v>0</v>
      </c>
      <c r="AO197" s="448">
        <f t="shared" si="107"/>
        <v>5.6128248731105772E-2</v>
      </c>
      <c r="AP197" s="449">
        <f t="shared" si="108"/>
        <v>1.8911121575002604E-2</v>
      </c>
      <c r="AQ197" s="449">
        <f t="shared" si="109"/>
        <v>56.118171944091443</v>
      </c>
      <c r="AR197" s="449">
        <f t="shared" si="130"/>
        <v>165.57205340268723</v>
      </c>
      <c r="AS197" s="449">
        <f t="shared" si="110"/>
        <v>0.16074453338752215</v>
      </c>
      <c r="AT197" s="449">
        <f t="shared" si="111"/>
        <v>481.74110622834098</v>
      </c>
      <c r="AU197" s="453">
        <f t="shared" si="112"/>
        <v>270</v>
      </c>
      <c r="AV197" s="145">
        <f t="shared" si="113"/>
        <v>174.50000000000006</v>
      </c>
      <c r="AW197" s="178">
        <f t="shared" si="114"/>
        <v>0</v>
      </c>
      <c r="AX197" s="179">
        <f t="shared" si="115"/>
        <v>0</v>
      </c>
      <c r="AY197" s="145" t="str">
        <f t="shared" si="131"/>
        <v/>
      </c>
      <c r="AZ197" s="145">
        <f t="shared" si="116"/>
        <v>0</v>
      </c>
      <c r="BA197" s="145">
        <f t="shared" si="117"/>
        <v>371.0558574250465</v>
      </c>
      <c r="BB197" s="145">
        <f t="shared" si="118"/>
        <v>0</v>
      </c>
      <c r="BC197" s="145">
        <f t="shared" si="119"/>
        <v>14.842234297001852</v>
      </c>
      <c r="BD197" s="145">
        <f t="shared" si="120"/>
        <v>252.31798304903151</v>
      </c>
      <c r="BE197" s="145">
        <f t="shared" si="121"/>
        <v>0</v>
      </c>
      <c r="BF197" s="145" t="str">
        <f t="shared" si="122"/>
        <v/>
      </c>
    </row>
    <row r="198" spans="2:59">
      <c r="B198" s="116">
        <f t="shared" si="98"/>
        <v>195</v>
      </c>
      <c r="C198" s="69">
        <f t="shared" si="123"/>
        <v>42199</v>
      </c>
      <c r="D198" s="257">
        <f>IF(ISERROR(VLOOKUP($C198,'NDVI real'!$T$8:$U$313,2,FALSE)),VLOOKUP(SWB!C198,'NDVI tipo'!$T$8:$U$193,2),VLOOKUP($C198,'NDVI real'!$T$8:$U$313,2,FALSE))</f>
        <v>0.30359788380952379</v>
      </c>
      <c r="E198" s="170">
        <f t="shared" si="88"/>
        <v>7</v>
      </c>
      <c r="F198" s="170">
        <f t="shared" si="89"/>
        <v>14</v>
      </c>
      <c r="G198" s="170">
        <f t="shared" si="90"/>
        <v>2015</v>
      </c>
      <c r="H198" s="170">
        <f t="shared" si="99"/>
        <v>195</v>
      </c>
      <c r="I198" s="190">
        <f>IF(ISERROR(VLOOKUP($C198,Clima!$U$8:$AH$900,3,FALSE)),VLOOKUP($C198,Clima!$D$8:$R$900,3),VLOOKUP($C198,Clima!$U$8:$AH$900,3,FALSE))</f>
        <v>23.4</v>
      </c>
      <c r="J198" s="191"/>
      <c r="K198" s="170"/>
      <c r="L198" s="192">
        <f>IF(ISERROR(VLOOKUP($C198,Clima!$U$8:$AH$900,14,FALSE)),VLOOKUP($C198,Clima!$D$8:$R$900,14),VLOOKUP($C198,Clima!$U$8:$AH$900,14,FALSE))</f>
        <v>6.1</v>
      </c>
      <c r="M198" s="190"/>
      <c r="N198" s="190"/>
      <c r="O198" s="191"/>
      <c r="P198" s="191">
        <f>IF(ISERROR(VLOOKUP($C198,Clima!$W$8:$AH$350,12,FALSE)),VLOOKUP($C198,Clima!$E$8:$P$350,12),VLOOKUP($C198,Clima!$W$8:$AH$350,12,FALSE))</f>
        <v>0</v>
      </c>
      <c r="Q198" s="170">
        <f t="shared" si="124"/>
        <v>425.50004221273485</v>
      </c>
      <c r="R198" s="254">
        <f>VLOOKUP(C198,Clima!$V$8:$AH$900,3,FALSE)+R197</f>
        <v>2445.2000000000007</v>
      </c>
      <c r="S198" s="455">
        <f t="shared" si="100"/>
        <v>0.33718095268571424</v>
      </c>
      <c r="T198" s="449">
        <f t="shared" si="101"/>
        <v>2.0568038113828568</v>
      </c>
      <c r="U198" s="195"/>
      <c r="V198" s="445">
        <f t="shared" si="91"/>
        <v>1.1338733331349999</v>
      </c>
      <c r="W198" s="446">
        <f t="shared" si="102"/>
        <v>0</v>
      </c>
      <c r="X198" s="447">
        <f t="shared" si="125"/>
        <v>0.89248888756666667</v>
      </c>
      <c r="Y198" s="448">
        <f t="shared" si="103"/>
        <v>1</v>
      </c>
      <c r="Z198" s="449">
        <f t="shared" si="92"/>
        <v>0.10751111243333333</v>
      </c>
      <c r="AA198" s="449">
        <f t="shared" si="126"/>
        <v>9.1473029850805787</v>
      </c>
      <c r="AB198" s="451">
        <f t="shared" si="104"/>
        <v>0</v>
      </c>
      <c r="AC198" s="449">
        <f t="shared" si="93"/>
        <v>0</v>
      </c>
      <c r="AD198" s="449">
        <f t="shared" si="94"/>
        <v>0</v>
      </c>
      <c r="AE198" s="448">
        <f t="shared" si="127"/>
        <v>0</v>
      </c>
      <c r="AF198" s="449">
        <f t="shared" si="128"/>
        <v>9.1473029850805787</v>
      </c>
      <c r="AG198" s="449">
        <f t="shared" si="95"/>
        <v>0.33718095268571424</v>
      </c>
      <c r="AH198" s="449">
        <f t="shared" si="96"/>
        <v>2.0568038113828568</v>
      </c>
      <c r="AI198" s="448"/>
      <c r="AJ198" s="449">
        <f t="shared" si="105"/>
        <v>0.6</v>
      </c>
      <c r="AK198" s="450">
        <f t="shared" si="97"/>
        <v>39</v>
      </c>
      <c r="AL198" s="449">
        <f t="shared" si="129"/>
        <v>58.1749757554743</v>
      </c>
      <c r="AM198" s="451">
        <f>IF(ISERROR(VLOOKUP(C198,Riegos,2,FALSE)),VLOOKUP(C198,Riegos,2,FALSE),VLOOKUP($F$8,Nomen!$A$79:$B$80,2,FALSE)*IF(AND(H198&gt;120,D198&lt;0.45),0,IF(AQ197+AH198&gt;=AK198,MIN(AQ197,$AK$7),0)))</f>
        <v>0</v>
      </c>
      <c r="AN198" s="448">
        <f t="shared" si="106"/>
        <v>0</v>
      </c>
      <c r="AO198" s="448">
        <f t="shared" si="107"/>
        <v>8.6905916405985717E-2</v>
      </c>
      <c r="AP198" s="449">
        <f t="shared" si="108"/>
        <v>2.9303019687795306E-2</v>
      </c>
      <c r="AQ198" s="449">
        <f t="shared" si="109"/>
        <v>56.296920364186995</v>
      </c>
      <c r="AR198" s="449">
        <f t="shared" si="130"/>
        <v>165.65895931909321</v>
      </c>
      <c r="AS198" s="449">
        <f t="shared" si="110"/>
        <v>0.17874842009555136</v>
      </c>
      <c r="AT198" s="449">
        <f t="shared" si="111"/>
        <v>481.91985464843651</v>
      </c>
      <c r="AU198" s="453">
        <f t="shared" si="112"/>
        <v>270</v>
      </c>
      <c r="AV198" s="145">
        <f t="shared" si="113"/>
        <v>174.50000000000006</v>
      </c>
      <c r="AW198" s="178">
        <f t="shared" si="114"/>
        <v>0</v>
      </c>
      <c r="AX198" s="179">
        <f t="shared" si="115"/>
        <v>0</v>
      </c>
      <c r="AY198" s="145" t="str">
        <f t="shared" si="131"/>
        <v/>
      </c>
      <c r="AZ198" s="145">
        <f t="shared" si="116"/>
        <v>0</v>
      </c>
      <c r="BA198" s="145">
        <f t="shared" si="117"/>
        <v>371.0558574250465</v>
      </c>
      <c r="BB198" s="145">
        <f t="shared" si="118"/>
        <v>0</v>
      </c>
      <c r="BC198" s="145">
        <f t="shared" si="119"/>
        <v>14.842234297001852</v>
      </c>
      <c r="BD198" s="145">
        <f t="shared" si="120"/>
        <v>252.31798304903151</v>
      </c>
      <c r="BE198" s="145">
        <f t="shared" si="121"/>
        <v>0</v>
      </c>
      <c r="BF198" s="145" t="str">
        <f t="shared" si="122"/>
        <v/>
      </c>
    </row>
    <row r="199" spans="2:59">
      <c r="B199" s="116">
        <f t="shared" si="98"/>
        <v>196</v>
      </c>
      <c r="C199" s="69">
        <f t="shared" si="123"/>
        <v>42200</v>
      </c>
      <c r="D199" s="257">
        <f>IF(ISERROR(VLOOKUP($C199,'NDVI real'!$T$8:$U$313,2,FALSE)),VLOOKUP(SWB!C199,'NDVI tipo'!$T$8:$U$193,2),VLOOKUP($C199,'NDVI real'!$T$8:$U$313,2,FALSE))</f>
        <v>0.30377425079365078</v>
      </c>
      <c r="E199" s="170">
        <f t="shared" si="88"/>
        <v>7</v>
      </c>
      <c r="F199" s="170">
        <f t="shared" si="89"/>
        <v>15</v>
      </c>
      <c r="G199" s="170">
        <f t="shared" si="90"/>
        <v>2015</v>
      </c>
      <c r="H199" s="170">
        <f t="shared" si="99"/>
        <v>196</v>
      </c>
      <c r="I199" s="190">
        <f>IF(ISERROR(VLOOKUP($C199,Clima!$U$8:$AH$900,3,FALSE)),VLOOKUP($C199,Clima!$D$8:$R$900,3),VLOOKUP($C199,Clima!$U$8:$AH$900,3,FALSE))</f>
        <v>23.3</v>
      </c>
      <c r="J199" s="191"/>
      <c r="K199" s="170"/>
      <c r="L199" s="192">
        <f>IF(ISERROR(VLOOKUP($C199,Clima!$U$8:$AH$900,14,FALSE)),VLOOKUP($C199,Clima!$D$8:$R$900,14),VLOOKUP($C199,Clima!$U$8:$AH$900,14,FALSE))</f>
        <v>7.1</v>
      </c>
      <c r="M199" s="190"/>
      <c r="N199" s="190"/>
      <c r="O199" s="191"/>
      <c r="P199" s="191">
        <f>IF(ISERROR(VLOOKUP($C199,Clima!$W$8:$AH$350,12,FALSE)),VLOOKUP($C199,Clima!$E$8:$P$350,12),VLOOKUP($C199,Clima!$W$8:$AH$350,12,FALSE))</f>
        <v>0</v>
      </c>
      <c r="Q199" s="170">
        <f t="shared" si="124"/>
        <v>425.64918476886658</v>
      </c>
      <c r="R199" s="254">
        <f>VLOOKUP(C199,Clima!$V$8:$AH$900,3,FALSE)+R198</f>
        <v>2472.4000000000005</v>
      </c>
      <c r="S199" s="455">
        <f t="shared" si="100"/>
        <v>0.33743492114285711</v>
      </c>
      <c r="T199" s="449">
        <f t="shared" si="101"/>
        <v>2.3957879401142854</v>
      </c>
      <c r="U199" s="195"/>
      <c r="V199" s="445">
        <f t="shared" si="91"/>
        <v>1.1338733331349999</v>
      </c>
      <c r="W199" s="446">
        <f t="shared" si="102"/>
        <v>0</v>
      </c>
      <c r="X199" s="447">
        <f t="shared" si="125"/>
        <v>0.89248888756666667</v>
      </c>
      <c r="Y199" s="448">
        <f t="shared" si="103"/>
        <v>1</v>
      </c>
      <c r="Z199" s="449">
        <f t="shared" si="92"/>
        <v>0.10751111243333333</v>
      </c>
      <c r="AA199" s="449">
        <f t="shared" si="126"/>
        <v>9.1473029850805787</v>
      </c>
      <c r="AB199" s="451">
        <f t="shared" si="104"/>
        <v>0</v>
      </c>
      <c r="AC199" s="449">
        <f t="shared" si="93"/>
        <v>0</v>
      </c>
      <c r="AD199" s="449">
        <f t="shared" si="94"/>
        <v>0</v>
      </c>
      <c r="AE199" s="448">
        <f t="shared" si="127"/>
        <v>0</v>
      </c>
      <c r="AF199" s="449">
        <f t="shared" si="128"/>
        <v>9.1473029850805787</v>
      </c>
      <c r="AG199" s="449">
        <f t="shared" si="95"/>
        <v>0.33743492114285711</v>
      </c>
      <c r="AH199" s="449">
        <f t="shared" si="96"/>
        <v>2.3957879401142854</v>
      </c>
      <c r="AI199" s="448"/>
      <c r="AJ199" s="449">
        <f t="shared" si="105"/>
        <v>0.6</v>
      </c>
      <c r="AK199" s="450">
        <f t="shared" si="97"/>
        <v>39</v>
      </c>
      <c r="AL199" s="449">
        <f t="shared" si="129"/>
        <v>58.692708304301277</v>
      </c>
      <c r="AM199" s="451">
        <f>IF(ISERROR(VLOOKUP(C199,Riegos,2,FALSE)),VLOOKUP(C199,Riegos,2,FALSE),VLOOKUP($F$8,Nomen!$A$79:$B$80,2,FALSE)*IF(AND(H199&gt;120,D199&lt;0.45),0,IF(AQ198+AH199&gt;=AK199,MIN(AQ198,$AK$7),0)))</f>
        <v>0</v>
      </c>
      <c r="AN199" s="448">
        <f t="shared" si="106"/>
        <v>0</v>
      </c>
      <c r="AO199" s="448">
        <f t="shared" si="107"/>
        <v>6.2251985509462995E-2</v>
      </c>
      <c r="AP199" s="449">
        <f t="shared" si="108"/>
        <v>2.1005993821371929E-2</v>
      </c>
      <c r="AQ199" s="449">
        <f t="shared" si="109"/>
        <v>56.446062920318738</v>
      </c>
      <c r="AR199" s="449">
        <f t="shared" si="130"/>
        <v>165.72121130460269</v>
      </c>
      <c r="AS199" s="449">
        <f t="shared" si="110"/>
        <v>0.14914255613174068</v>
      </c>
      <c r="AT199" s="449">
        <f t="shared" si="111"/>
        <v>482.06899720456823</v>
      </c>
      <c r="AU199" s="453">
        <f t="shared" si="112"/>
        <v>270</v>
      </c>
      <c r="AV199" s="145">
        <f t="shared" si="113"/>
        <v>174.50000000000006</v>
      </c>
      <c r="AW199" s="178">
        <f t="shared" si="114"/>
        <v>0</v>
      </c>
      <c r="AX199" s="179">
        <f t="shared" si="115"/>
        <v>0</v>
      </c>
      <c r="AY199" s="145" t="str">
        <f t="shared" si="131"/>
        <v/>
      </c>
      <c r="AZ199" s="145">
        <f t="shared" si="116"/>
        <v>0</v>
      </c>
      <c r="BA199" s="145">
        <f t="shared" si="117"/>
        <v>371.0558574250465</v>
      </c>
      <c r="BB199" s="145">
        <f t="shared" si="118"/>
        <v>0</v>
      </c>
      <c r="BC199" s="145">
        <f t="shared" si="119"/>
        <v>14.842234297001852</v>
      </c>
      <c r="BD199" s="145">
        <f t="shared" si="120"/>
        <v>252.31798304903151</v>
      </c>
      <c r="BE199" s="145">
        <f t="shared" si="121"/>
        <v>0</v>
      </c>
      <c r="BF199" s="145" t="str">
        <f t="shared" si="122"/>
        <v/>
      </c>
    </row>
    <row r="200" spans="2:59">
      <c r="B200" s="116">
        <f t="shared" si="98"/>
        <v>197</v>
      </c>
      <c r="C200" s="69">
        <f t="shared" si="123"/>
        <v>42201</v>
      </c>
      <c r="D200" s="257">
        <f>IF(ISERROR(VLOOKUP($C200,'NDVI real'!$T$8:$U$313,2,FALSE)),VLOOKUP(SWB!C200,'NDVI tipo'!$T$8:$U$193,2),VLOOKUP($C200,'NDVI real'!$T$8:$U$313,2,FALSE))</f>
        <v>0.30395061777777777</v>
      </c>
      <c r="E200" s="170">
        <f t="shared" si="88"/>
        <v>7</v>
      </c>
      <c r="F200" s="170">
        <f t="shared" si="89"/>
        <v>16</v>
      </c>
      <c r="G200" s="170">
        <f t="shared" si="90"/>
        <v>2015</v>
      </c>
      <c r="H200" s="170">
        <f t="shared" si="99"/>
        <v>197</v>
      </c>
      <c r="I200" s="190">
        <f>IF(ISERROR(VLOOKUP($C200,Clima!$U$8:$AH$900,3,FALSE)),VLOOKUP($C200,Clima!$D$8:$R$900,3),VLOOKUP($C200,Clima!$U$8:$AH$900,3,FALSE))</f>
        <v>22.2</v>
      </c>
      <c r="J200" s="191"/>
      <c r="K200" s="170"/>
      <c r="L200" s="192">
        <f>IF(ISERROR(VLOOKUP($C200,Clima!$U$8:$AH$900,14,FALSE)),VLOOKUP($C200,Clima!$D$8:$R$900,14),VLOOKUP($C200,Clima!$U$8:$AH$900,14,FALSE))</f>
        <v>6.5</v>
      </c>
      <c r="M200" s="190"/>
      <c r="N200" s="190"/>
      <c r="O200" s="191"/>
      <c r="P200" s="191">
        <f>IF(ISERROR(VLOOKUP($C200,Clima!$W$8:$AH$350,12,FALSE)),VLOOKUP($C200,Clima!$E$8:$P$350,12),VLOOKUP($C200,Clima!$W$8:$AH$350,12,FALSE))</f>
        <v>0</v>
      </c>
      <c r="Q200" s="170">
        <f t="shared" si="124"/>
        <v>425.79122693385318</v>
      </c>
      <c r="R200" s="254">
        <f>VLOOKUP(C200,Clima!$V$8:$AH$900,3,FALSE)+R199</f>
        <v>2500.1000000000004</v>
      </c>
      <c r="S200" s="455">
        <f t="shared" si="100"/>
        <v>0.33768888959999999</v>
      </c>
      <c r="T200" s="449">
        <f t="shared" si="101"/>
        <v>2.1949777824000001</v>
      </c>
      <c r="U200" s="195"/>
      <c r="V200" s="445">
        <f t="shared" si="91"/>
        <v>1.1338733331349999</v>
      </c>
      <c r="W200" s="446">
        <f t="shared" si="102"/>
        <v>0</v>
      </c>
      <c r="X200" s="447">
        <f t="shared" si="125"/>
        <v>0.89248888756666667</v>
      </c>
      <c r="Y200" s="448">
        <f t="shared" si="103"/>
        <v>1</v>
      </c>
      <c r="Z200" s="449">
        <f t="shared" si="92"/>
        <v>0.10751111243333333</v>
      </c>
      <c r="AA200" s="449">
        <f t="shared" si="126"/>
        <v>9.1473029850805787</v>
      </c>
      <c r="AB200" s="451">
        <f t="shared" si="104"/>
        <v>0</v>
      </c>
      <c r="AC200" s="449">
        <f t="shared" si="93"/>
        <v>0</v>
      </c>
      <c r="AD200" s="449">
        <f t="shared" si="94"/>
        <v>0</v>
      </c>
      <c r="AE200" s="448">
        <f t="shared" si="127"/>
        <v>0</v>
      </c>
      <c r="AF200" s="449">
        <f t="shared" si="128"/>
        <v>9.1473029850805787</v>
      </c>
      <c r="AG200" s="449">
        <f t="shared" si="95"/>
        <v>0.33768888959999999</v>
      </c>
      <c r="AH200" s="449">
        <f t="shared" si="96"/>
        <v>2.1949777824000001</v>
      </c>
      <c r="AI200" s="448"/>
      <c r="AJ200" s="449">
        <f t="shared" si="105"/>
        <v>0.6</v>
      </c>
      <c r="AK200" s="450">
        <f t="shared" si="97"/>
        <v>39</v>
      </c>
      <c r="AL200" s="449">
        <f t="shared" si="129"/>
        <v>58.64104070271874</v>
      </c>
      <c r="AM200" s="451">
        <f>IF(ISERROR(VLOOKUP(C200,Riegos,2,FALSE)),VLOOKUP(C200,Riegos,2,FALSE),VLOOKUP($F$8,Nomen!$A$79:$B$80,2,FALSE)*IF(AND(H200&gt;120,D200&lt;0.45),0,IF(AQ199+AH200&gt;=AK200,MIN(AQ199,$AK$7),0)))</f>
        <v>0</v>
      </c>
      <c r="AN200" s="448">
        <f t="shared" si="106"/>
        <v>0</v>
      </c>
      <c r="AO200" s="448">
        <f t="shared" si="107"/>
        <v>6.4712347489583794E-2</v>
      </c>
      <c r="AP200" s="449">
        <f t="shared" si="108"/>
        <v>2.1852640767166899E-2</v>
      </c>
      <c r="AQ200" s="449">
        <f t="shared" si="109"/>
        <v>56.588105085305322</v>
      </c>
      <c r="AR200" s="449">
        <f t="shared" si="130"/>
        <v>165.78592365209227</v>
      </c>
      <c r="AS200" s="449">
        <f t="shared" si="110"/>
        <v>0.14204216498658484</v>
      </c>
      <c r="AT200" s="449">
        <f t="shared" si="111"/>
        <v>482.21103936955484</v>
      </c>
      <c r="AU200" s="453">
        <f t="shared" si="112"/>
        <v>270</v>
      </c>
      <c r="AV200" s="145">
        <f t="shared" si="113"/>
        <v>174.50000000000006</v>
      </c>
      <c r="AW200" s="178">
        <f t="shared" si="114"/>
        <v>0</v>
      </c>
      <c r="AX200" s="179">
        <f t="shared" si="115"/>
        <v>0</v>
      </c>
      <c r="AY200" s="145" t="str">
        <f t="shared" si="131"/>
        <v/>
      </c>
      <c r="AZ200" s="145">
        <f t="shared" si="116"/>
        <v>0</v>
      </c>
      <c r="BA200" s="145">
        <f t="shared" si="117"/>
        <v>371.0558574250465</v>
      </c>
      <c r="BB200" s="145">
        <f t="shared" si="118"/>
        <v>0</v>
      </c>
      <c r="BC200" s="145">
        <f t="shared" si="119"/>
        <v>14.842234297001852</v>
      </c>
      <c r="BD200" s="145">
        <f t="shared" si="120"/>
        <v>252.31798304903151</v>
      </c>
      <c r="BE200" s="145">
        <f t="shared" si="121"/>
        <v>0</v>
      </c>
      <c r="BF200" s="145" t="str">
        <f t="shared" si="122"/>
        <v/>
      </c>
    </row>
    <row r="201" spans="2:59">
      <c r="B201" s="116">
        <f t="shared" si="98"/>
        <v>198</v>
      </c>
      <c r="C201" s="69">
        <f t="shared" si="123"/>
        <v>42202</v>
      </c>
      <c r="D201" s="257">
        <f>IF(ISERROR(VLOOKUP($C201,'NDVI real'!$T$8:$U$313,2,FALSE)),VLOOKUP(SWB!C201,'NDVI tipo'!$T$8:$U$193,2),VLOOKUP($C201,'NDVI real'!$T$8:$U$313,2,FALSE))</f>
        <v>0.30300411567901231</v>
      </c>
      <c r="E201" s="170">
        <f t="shared" si="88"/>
        <v>7</v>
      </c>
      <c r="F201" s="170">
        <f t="shared" si="89"/>
        <v>17</v>
      </c>
      <c r="G201" s="170">
        <f t="shared" si="90"/>
        <v>2015</v>
      </c>
      <c r="H201" s="170">
        <f t="shared" si="99"/>
        <v>198</v>
      </c>
      <c r="I201" s="190">
        <f>IF(ISERROR(VLOOKUP($C201,Clima!$U$8:$AH$900,3,FALSE)),VLOOKUP($C201,Clima!$D$8:$R$900,3),VLOOKUP($C201,Clima!$U$8:$AH$900,3,FALSE))</f>
        <v>22</v>
      </c>
      <c r="J201" s="191"/>
      <c r="K201" s="170"/>
      <c r="L201" s="192">
        <f>IF(ISERROR(VLOOKUP($C201,Clima!$U$8:$AH$900,14,FALSE)),VLOOKUP($C201,Clima!$D$8:$R$900,14),VLOOKUP($C201,Clima!$U$8:$AH$900,14,FALSE))</f>
        <v>6.8</v>
      </c>
      <c r="M201" s="190"/>
      <c r="N201" s="190"/>
      <c r="O201" s="191"/>
      <c r="P201" s="191">
        <f>IF(ISERROR(VLOOKUP($C201,Clima!$W$8:$AH$350,12,FALSE)),VLOOKUP($C201,Clima!$E$8:$P$350,12),VLOOKUP($C201,Clima!$W$8:$AH$350,12,FALSE))</f>
        <v>0</v>
      </c>
      <c r="Q201" s="170">
        <f t="shared" si="124"/>
        <v>425.91373244463801</v>
      </c>
      <c r="R201" s="254">
        <f>VLOOKUP(C201,Clima!$V$8:$AH$900,3,FALSE)+R200</f>
        <v>2528.2000000000003</v>
      </c>
      <c r="S201" s="455">
        <f t="shared" si="100"/>
        <v>0.33632592657777771</v>
      </c>
      <c r="T201" s="449">
        <f t="shared" si="101"/>
        <v>2.2870163007288884</v>
      </c>
      <c r="U201" s="195"/>
      <c r="V201" s="445">
        <f t="shared" si="91"/>
        <v>1.1338733331349999</v>
      </c>
      <c r="W201" s="446">
        <f t="shared" si="102"/>
        <v>0</v>
      </c>
      <c r="X201" s="447">
        <f t="shared" si="125"/>
        <v>0.89248888756666667</v>
      </c>
      <c r="Y201" s="448">
        <f t="shared" si="103"/>
        <v>1</v>
      </c>
      <c r="Z201" s="449">
        <f t="shared" si="92"/>
        <v>0.10751111243333333</v>
      </c>
      <c r="AA201" s="449">
        <f t="shared" si="126"/>
        <v>9.1473029850805787</v>
      </c>
      <c r="AB201" s="451">
        <f t="shared" si="104"/>
        <v>0</v>
      </c>
      <c r="AC201" s="449">
        <f t="shared" si="93"/>
        <v>0</v>
      </c>
      <c r="AD201" s="449">
        <f t="shared" si="94"/>
        <v>0</v>
      </c>
      <c r="AE201" s="448">
        <f t="shared" si="127"/>
        <v>0</v>
      </c>
      <c r="AF201" s="449">
        <f t="shared" si="128"/>
        <v>9.1473029850805787</v>
      </c>
      <c r="AG201" s="449">
        <f t="shared" si="95"/>
        <v>0.33632592657777771</v>
      </c>
      <c r="AH201" s="449">
        <f t="shared" si="96"/>
        <v>2.2870163007288884</v>
      </c>
      <c r="AI201" s="448"/>
      <c r="AJ201" s="449">
        <f t="shared" si="105"/>
        <v>0.6</v>
      </c>
      <c r="AK201" s="450">
        <f t="shared" si="97"/>
        <v>39</v>
      </c>
      <c r="AL201" s="449">
        <f t="shared" si="129"/>
        <v>58.875121386034209</v>
      </c>
      <c r="AM201" s="451">
        <f>IF(ISERROR(VLOOKUP(C201,Riegos,2,FALSE)),VLOOKUP(C201,Riegos,2,FALSE),VLOOKUP($F$8,Nomen!$A$79:$B$80,2,FALSE)*IF(AND(H201&gt;120,D201&lt;0.45),0,IF(AQ200+AH201&gt;=AK201,MIN(AQ200,$AK$7),0)))</f>
        <v>0</v>
      </c>
      <c r="AN201" s="448">
        <f t="shared" si="106"/>
        <v>0</v>
      </c>
      <c r="AO201" s="448">
        <f t="shared" si="107"/>
        <v>5.3565648284085284E-2</v>
      </c>
      <c r="AP201" s="449">
        <f t="shared" si="108"/>
        <v>1.8015516291884331E-2</v>
      </c>
      <c r="AQ201" s="449">
        <f t="shared" si="109"/>
        <v>56.710610596090135</v>
      </c>
      <c r="AR201" s="449">
        <f t="shared" si="130"/>
        <v>165.83948930037636</v>
      </c>
      <c r="AS201" s="449">
        <f t="shared" si="110"/>
        <v>0.12250551078481345</v>
      </c>
      <c r="AT201" s="449">
        <f t="shared" si="111"/>
        <v>482.33354488033967</v>
      </c>
      <c r="AU201" s="453">
        <f t="shared" si="112"/>
        <v>270</v>
      </c>
      <c r="AV201" s="145">
        <f t="shared" si="113"/>
        <v>174.50000000000006</v>
      </c>
      <c r="AW201" s="178">
        <f t="shared" si="114"/>
        <v>0</v>
      </c>
      <c r="AX201" s="179">
        <f t="shared" si="115"/>
        <v>0</v>
      </c>
      <c r="AY201" s="145" t="str">
        <f t="shared" si="131"/>
        <v/>
      </c>
      <c r="AZ201" s="145">
        <f t="shared" si="116"/>
        <v>0</v>
      </c>
      <c r="BA201" s="145">
        <f t="shared" si="117"/>
        <v>371.0558574250465</v>
      </c>
      <c r="BB201" s="145">
        <f t="shared" si="118"/>
        <v>0</v>
      </c>
      <c r="BC201" s="145">
        <f t="shared" si="119"/>
        <v>14.842234297001852</v>
      </c>
      <c r="BD201" s="145">
        <f t="shared" si="120"/>
        <v>252.31798304903151</v>
      </c>
      <c r="BE201" s="145">
        <f t="shared" si="121"/>
        <v>0</v>
      </c>
      <c r="BF201" s="145" t="str">
        <f t="shared" si="122"/>
        <v/>
      </c>
    </row>
    <row r="202" spans="2:59">
      <c r="B202" s="116">
        <f t="shared" si="98"/>
        <v>199</v>
      </c>
      <c r="C202" s="69">
        <f t="shared" si="123"/>
        <v>42203</v>
      </c>
      <c r="D202" s="257">
        <f>IF(ISERROR(VLOOKUP($C202,'NDVI real'!$T$8:$U$313,2,FALSE)),VLOOKUP(SWB!C202,'NDVI tipo'!$T$8:$U$193,2),VLOOKUP($C202,'NDVI real'!$T$8:$U$313,2,FALSE))</f>
        <v>0.30205761358024685</v>
      </c>
      <c r="E202" s="170">
        <f t="shared" si="88"/>
        <v>7</v>
      </c>
      <c r="F202" s="170">
        <f t="shared" si="89"/>
        <v>18</v>
      </c>
      <c r="G202" s="170">
        <f t="shared" si="90"/>
        <v>2015</v>
      </c>
      <c r="H202" s="170">
        <f t="shared" si="99"/>
        <v>199</v>
      </c>
      <c r="I202" s="190">
        <f>IF(ISERROR(VLOOKUP($C202,Clima!$U$8:$AH$900,3,FALSE)),VLOOKUP($C202,Clima!$D$8:$R$900,3),VLOOKUP($C202,Clima!$U$8:$AH$900,3,FALSE))</f>
        <v>23.3</v>
      </c>
      <c r="J202" s="191"/>
      <c r="K202" s="170"/>
      <c r="L202" s="192">
        <f>IF(ISERROR(VLOOKUP($C202,Clima!$U$8:$AH$900,14,FALSE)),VLOOKUP($C202,Clima!$D$8:$R$900,14),VLOOKUP($C202,Clima!$U$8:$AH$900,14,FALSE))</f>
        <v>7.8</v>
      </c>
      <c r="M202" s="190"/>
      <c r="N202" s="190"/>
      <c r="O202" s="191"/>
      <c r="P202" s="191">
        <f>IF(ISERROR(VLOOKUP($C202,Clima!$W$8:$AH$350,12,FALSE)),VLOOKUP($C202,Clima!$E$8:$P$350,12),VLOOKUP($C202,Clima!$W$8:$AH$350,12,FALSE))</f>
        <v>0</v>
      </c>
      <c r="Q202" s="170">
        <f t="shared" si="124"/>
        <v>425.99792124869964</v>
      </c>
      <c r="R202" s="254">
        <f>VLOOKUP(C202,Clima!$V$8:$AH$900,3,FALSE)+R201</f>
        <v>2554.4</v>
      </c>
      <c r="S202" s="455">
        <f t="shared" si="100"/>
        <v>0.33496296355555544</v>
      </c>
      <c r="T202" s="449">
        <f t="shared" si="101"/>
        <v>2.6127111157333323</v>
      </c>
      <c r="U202" s="195"/>
      <c r="V202" s="445">
        <f t="shared" si="91"/>
        <v>1.1338733331349999</v>
      </c>
      <c r="W202" s="446">
        <f t="shared" si="102"/>
        <v>0</v>
      </c>
      <c r="X202" s="447">
        <f t="shared" si="125"/>
        <v>0.89248888756666667</v>
      </c>
      <c r="Y202" s="448">
        <f t="shared" si="103"/>
        <v>1</v>
      </c>
      <c r="Z202" s="449">
        <f t="shared" si="92"/>
        <v>0.10751111243333333</v>
      </c>
      <c r="AA202" s="449">
        <f t="shared" si="126"/>
        <v>9.1473029850805787</v>
      </c>
      <c r="AB202" s="451">
        <f t="shared" si="104"/>
        <v>0</v>
      </c>
      <c r="AC202" s="449">
        <f t="shared" si="93"/>
        <v>0</v>
      </c>
      <c r="AD202" s="449">
        <f t="shared" si="94"/>
        <v>0</v>
      </c>
      <c r="AE202" s="448">
        <f t="shared" si="127"/>
        <v>0</v>
      </c>
      <c r="AF202" s="449">
        <f t="shared" si="128"/>
        <v>9.1473029850805787</v>
      </c>
      <c r="AG202" s="449">
        <f t="shared" si="95"/>
        <v>0.33496296355555544</v>
      </c>
      <c r="AH202" s="449">
        <f t="shared" si="96"/>
        <v>2.6127111157333323</v>
      </c>
      <c r="AI202" s="448"/>
      <c r="AJ202" s="449">
        <f t="shared" si="105"/>
        <v>0.6</v>
      </c>
      <c r="AK202" s="450">
        <f t="shared" si="97"/>
        <v>39</v>
      </c>
      <c r="AL202" s="449">
        <f t="shared" si="129"/>
        <v>59.323321711823468</v>
      </c>
      <c r="AM202" s="451">
        <f>IF(ISERROR(VLOOKUP(C202,Riegos,2,FALSE)),VLOOKUP(C202,Riegos,2,FALSE),VLOOKUP($F$8,Nomen!$A$79:$B$80,2,FALSE)*IF(AND(H202&gt;120,D202&lt;0.45),0,IF(AQ201+AH202&gt;=AK202,MIN(AQ201,$AK$7),0)))</f>
        <v>0</v>
      </c>
      <c r="AN202" s="448">
        <f t="shared" si="106"/>
        <v>0</v>
      </c>
      <c r="AO202" s="448">
        <f t="shared" si="107"/>
        <v>3.2222775627453917E-2</v>
      </c>
      <c r="AP202" s="449">
        <f t="shared" si="108"/>
        <v>1.0793436418157687E-2</v>
      </c>
      <c r="AQ202" s="449">
        <f t="shared" si="109"/>
        <v>56.794799400151767</v>
      </c>
      <c r="AR202" s="449">
        <f t="shared" si="130"/>
        <v>165.8717120760038</v>
      </c>
      <c r="AS202" s="449">
        <f t="shared" si="110"/>
        <v>8.4188804061629957E-2</v>
      </c>
      <c r="AT202" s="449">
        <f t="shared" si="111"/>
        <v>482.4177336844013</v>
      </c>
      <c r="AU202" s="453">
        <f t="shared" si="112"/>
        <v>270</v>
      </c>
      <c r="AV202" s="145">
        <f t="shared" si="113"/>
        <v>174.50000000000006</v>
      </c>
      <c r="AW202" s="178">
        <f t="shared" si="114"/>
        <v>0</v>
      </c>
      <c r="AX202" s="179">
        <f t="shared" si="115"/>
        <v>0</v>
      </c>
      <c r="AY202" s="145" t="str">
        <f t="shared" si="131"/>
        <v/>
      </c>
      <c r="AZ202" s="145">
        <f t="shared" si="116"/>
        <v>0</v>
      </c>
      <c r="BA202" s="145">
        <f t="shared" si="117"/>
        <v>371.0558574250465</v>
      </c>
      <c r="BB202" s="145">
        <f t="shared" si="118"/>
        <v>0</v>
      </c>
      <c r="BC202" s="145">
        <f t="shared" si="119"/>
        <v>14.842234297001852</v>
      </c>
      <c r="BD202" s="145">
        <f t="shared" si="120"/>
        <v>252.31798304903151</v>
      </c>
      <c r="BE202" s="145">
        <f t="shared" si="121"/>
        <v>0</v>
      </c>
      <c r="BF202" s="145" t="str">
        <f t="shared" si="122"/>
        <v/>
      </c>
    </row>
    <row r="203" spans="2:59">
      <c r="C203" s="223"/>
      <c r="D203" s="126"/>
      <c r="E203" s="194"/>
      <c r="F203" s="194"/>
      <c r="G203" s="194"/>
      <c r="H203" s="194"/>
      <c r="I203" s="194"/>
      <c r="J203" s="224"/>
      <c r="K203" s="194"/>
      <c r="L203" s="224"/>
      <c r="M203" s="194"/>
      <c r="N203" s="194"/>
      <c r="O203" s="224"/>
      <c r="P203" s="224"/>
      <c r="Q203" s="194"/>
      <c r="R203" s="194"/>
      <c r="S203" s="225"/>
      <c r="T203" s="194"/>
      <c r="U203" s="194"/>
      <c r="V203" s="194"/>
      <c r="W203" s="194"/>
      <c r="X203" s="194"/>
      <c r="Y203" s="194"/>
      <c r="Z203" s="194"/>
      <c r="AA203" s="194"/>
      <c r="AB203" s="194"/>
      <c r="AC203" s="194"/>
      <c r="AD203" s="194"/>
      <c r="AE203" s="194"/>
      <c r="AF203" s="194"/>
      <c r="AG203" s="194"/>
      <c r="AH203" s="194"/>
      <c r="AI203" s="194"/>
      <c r="AJ203" s="194"/>
      <c r="AK203" s="194"/>
      <c r="AL203" s="194"/>
      <c r="AM203" s="194"/>
      <c r="AN203" s="194"/>
      <c r="AO203" s="194"/>
      <c r="AP203" s="226"/>
      <c r="AQ203" s="194"/>
      <c r="AR203" s="194"/>
      <c r="AS203" s="194"/>
      <c r="AT203" s="194"/>
      <c r="AU203" s="194"/>
      <c r="AV203" s="156"/>
      <c r="AW203" s="227"/>
      <c r="AX203" s="227"/>
      <c r="AY203" s="156"/>
      <c r="AZ203" s="156"/>
      <c r="BA203" s="156"/>
      <c r="BB203" s="156"/>
      <c r="BC203" s="156"/>
      <c r="BD203" s="156"/>
      <c r="BE203" s="156"/>
      <c r="BF203" s="156"/>
      <c r="BG203" s="156"/>
    </row>
    <row r="204" spans="2:59">
      <c r="C204" s="223"/>
      <c r="D204" s="126"/>
      <c r="E204" s="194"/>
      <c r="F204" s="194"/>
      <c r="G204" s="194"/>
      <c r="H204" s="194"/>
      <c r="I204" s="194"/>
      <c r="J204" s="224"/>
      <c r="K204" s="194"/>
      <c r="L204" s="224"/>
      <c r="M204" s="194"/>
      <c r="N204" s="194"/>
      <c r="O204" s="224"/>
      <c r="P204" s="224"/>
      <c r="Q204" s="194"/>
      <c r="R204" s="194"/>
      <c r="S204" s="225"/>
      <c r="T204" s="194"/>
      <c r="U204" s="194"/>
      <c r="V204" s="194"/>
      <c r="W204" s="194"/>
      <c r="X204" s="194"/>
      <c r="Y204" s="194"/>
      <c r="Z204" s="194"/>
      <c r="AA204" s="194"/>
      <c r="AB204" s="194"/>
      <c r="AC204" s="194"/>
      <c r="AD204" s="194"/>
      <c r="AE204" s="194"/>
      <c r="AF204" s="194"/>
      <c r="AG204" s="194"/>
      <c r="AH204" s="194"/>
      <c r="AI204" s="194"/>
      <c r="AJ204" s="194"/>
      <c r="AK204" s="194"/>
      <c r="AL204" s="194"/>
      <c r="AM204" s="194"/>
      <c r="AN204" s="194"/>
      <c r="AO204" s="194"/>
      <c r="AP204" s="226"/>
      <c r="AQ204" s="194"/>
      <c r="AR204" s="194"/>
      <c r="AS204" s="194"/>
      <c r="AT204" s="194"/>
      <c r="AU204" s="194"/>
      <c r="AV204" s="156"/>
      <c r="AW204" s="227"/>
      <c r="AX204" s="227"/>
      <c r="AY204" s="156"/>
      <c r="AZ204" s="156"/>
      <c r="BA204" s="156"/>
      <c r="BB204" s="156"/>
      <c r="BC204" s="156"/>
      <c r="BD204" s="156"/>
      <c r="BE204" s="156"/>
      <c r="BF204" s="156"/>
      <c r="BG204" s="156"/>
    </row>
    <row r="205" spans="2:59">
      <c r="C205" s="223"/>
      <c r="D205" s="126"/>
      <c r="E205" s="194"/>
      <c r="F205" s="194"/>
      <c r="G205" s="194"/>
      <c r="H205" s="194"/>
      <c r="I205" s="194"/>
      <c r="J205" s="224"/>
      <c r="K205" s="194"/>
      <c r="L205" s="224"/>
      <c r="M205" s="194"/>
      <c r="N205" s="194"/>
      <c r="O205" s="224"/>
      <c r="P205" s="224"/>
      <c r="Q205" s="194"/>
      <c r="R205" s="194"/>
      <c r="S205" s="225"/>
      <c r="T205" s="194"/>
      <c r="U205" s="194"/>
      <c r="V205" s="194"/>
      <c r="W205" s="194"/>
      <c r="X205" s="194"/>
      <c r="Y205" s="194"/>
      <c r="Z205" s="194"/>
      <c r="AA205" s="194"/>
      <c r="AB205" s="194"/>
      <c r="AC205" s="194"/>
      <c r="AD205" s="194"/>
      <c r="AE205" s="194"/>
      <c r="AF205" s="194"/>
      <c r="AG205" s="194"/>
      <c r="AH205" s="194"/>
      <c r="AI205" s="194"/>
      <c r="AJ205" s="194"/>
      <c r="AK205" s="194"/>
      <c r="AL205" s="194"/>
      <c r="AM205" s="194"/>
      <c r="AN205" s="194"/>
      <c r="AO205" s="194"/>
      <c r="AP205" s="226"/>
      <c r="AQ205" s="194"/>
      <c r="AR205" s="194"/>
      <c r="AS205" s="194"/>
      <c r="AT205" s="194"/>
      <c r="AU205" s="194"/>
      <c r="AV205" s="156"/>
      <c r="AW205" s="227"/>
      <c r="AX205" s="227"/>
      <c r="AY205" s="156"/>
      <c r="AZ205" s="156"/>
      <c r="BA205" s="156"/>
      <c r="BB205" s="156"/>
      <c r="BC205" s="156"/>
      <c r="BD205" s="156"/>
      <c r="BE205" s="156"/>
      <c r="BF205" s="156"/>
      <c r="BG205" s="156"/>
    </row>
    <row r="206" spans="2:59">
      <c r="C206" s="223"/>
      <c r="D206" s="126"/>
      <c r="E206" s="194"/>
      <c r="F206" s="194"/>
      <c r="G206" s="194"/>
      <c r="H206" s="194"/>
      <c r="I206" s="194"/>
      <c r="J206" s="224"/>
      <c r="K206" s="194"/>
      <c r="L206" s="224"/>
      <c r="M206" s="194"/>
      <c r="N206" s="194"/>
      <c r="O206" s="224"/>
      <c r="P206" s="224"/>
      <c r="Q206" s="194"/>
      <c r="R206" s="194"/>
      <c r="S206" s="225"/>
      <c r="T206" s="194"/>
      <c r="U206" s="194"/>
      <c r="V206" s="194"/>
      <c r="W206" s="194"/>
      <c r="X206" s="194"/>
      <c r="Y206" s="194"/>
      <c r="Z206" s="194"/>
      <c r="AA206" s="194"/>
      <c r="AB206" s="194"/>
      <c r="AC206" s="194"/>
      <c r="AD206" s="194"/>
      <c r="AE206" s="194"/>
      <c r="AF206" s="194"/>
      <c r="AG206" s="194"/>
      <c r="AH206" s="194"/>
      <c r="AI206" s="194"/>
      <c r="AJ206" s="194"/>
      <c r="AK206" s="194"/>
      <c r="AL206" s="194"/>
      <c r="AM206" s="194"/>
      <c r="AN206" s="194"/>
      <c r="AO206" s="194"/>
      <c r="AP206" s="226"/>
      <c r="AQ206" s="194"/>
      <c r="AR206" s="194"/>
      <c r="AS206" s="194"/>
      <c r="AT206" s="194"/>
      <c r="AU206" s="194"/>
      <c r="AV206" s="156"/>
      <c r="AW206" s="227"/>
      <c r="AX206" s="227"/>
      <c r="AY206" s="156"/>
      <c r="AZ206" s="156"/>
      <c r="BA206" s="156"/>
      <c r="BB206" s="156"/>
      <c r="BC206" s="156"/>
      <c r="BD206" s="156"/>
      <c r="BE206" s="156"/>
      <c r="BF206" s="156"/>
      <c r="BG206" s="156"/>
    </row>
    <row r="207" spans="2:59">
      <c r="C207" s="223"/>
      <c r="D207" s="126"/>
      <c r="E207" s="194"/>
      <c r="F207" s="194"/>
      <c r="G207" s="194"/>
      <c r="H207" s="194"/>
      <c r="I207" s="194"/>
      <c r="J207" s="224"/>
      <c r="K207" s="194"/>
      <c r="L207" s="224"/>
      <c r="M207" s="194"/>
      <c r="N207" s="194"/>
      <c r="O207" s="224"/>
      <c r="P207" s="224"/>
      <c r="Q207" s="194"/>
      <c r="R207" s="194"/>
      <c r="S207" s="225"/>
      <c r="T207" s="194"/>
      <c r="U207" s="194"/>
      <c r="V207" s="194"/>
      <c r="W207" s="194"/>
      <c r="X207" s="194"/>
      <c r="Y207" s="194"/>
      <c r="Z207" s="194"/>
      <c r="AA207" s="194"/>
      <c r="AB207" s="194"/>
      <c r="AC207" s="194"/>
      <c r="AD207" s="194"/>
      <c r="AE207" s="194"/>
      <c r="AF207" s="194"/>
      <c r="AG207" s="194"/>
      <c r="AH207" s="194"/>
      <c r="AI207" s="194"/>
      <c r="AJ207" s="194"/>
      <c r="AK207" s="194"/>
      <c r="AL207" s="194"/>
      <c r="AM207" s="194"/>
      <c r="AN207" s="194"/>
      <c r="AO207" s="194"/>
      <c r="AP207" s="226"/>
      <c r="AQ207" s="194"/>
      <c r="AR207" s="194"/>
      <c r="AS207" s="194"/>
      <c r="AT207" s="194"/>
      <c r="AU207" s="194"/>
      <c r="AV207" s="156"/>
      <c r="AW207" s="227"/>
      <c r="AX207" s="227"/>
      <c r="AY207" s="156"/>
      <c r="AZ207" s="156"/>
      <c r="BA207" s="156"/>
      <c r="BB207" s="156"/>
      <c r="BC207" s="156"/>
      <c r="BD207" s="156"/>
      <c r="BE207" s="156"/>
      <c r="BF207" s="156"/>
      <c r="BG207" s="156"/>
    </row>
    <row r="208" spans="2:59">
      <c r="C208" s="223"/>
      <c r="D208" s="126"/>
      <c r="E208" s="194"/>
      <c r="F208" s="194"/>
      <c r="G208" s="194"/>
      <c r="H208" s="194"/>
      <c r="I208" s="194"/>
      <c r="J208" s="224"/>
      <c r="K208" s="194"/>
      <c r="L208" s="224"/>
      <c r="M208" s="194"/>
      <c r="N208" s="194"/>
      <c r="O208" s="224"/>
      <c r="P208" s="224"/>
      <c r="Q208" s="194"/>
      <c r="R208" s="194"/>
      <c r="S208" s="225"/>
      <c r="T208" s="194"/>
      <c r="U208" s="194"/>
      <c r="V208" s="194"/>
      <c r="W208" s="194"/>
      <c r="X208" s="194"/>
      <c r="Y208" s="194"/>
      <c r="Z208" s="194"/>
      <c r="AA208" s="194"/>
      <c r="AB208" s="194"/>
      <c r="AC208" s="194"/>
      <c r="AD208" s="194"/>
      <c r="AE208" s="194"/>
      <c r="AF208" s="194"/>
      <c r="AG208" s="194"/>
      <c r="AH208" s="194"/>
      <c r="AI208" s="194"/>
      <c r="AJ208" s="194"/>
      <c r="AK208" s="194"/>
      <c r="AL208" s="194"/>
      <c r="AM208" s="194"/>
      <c r="AN208" s="194"/>
      <c r="AO208" s="194"/>
      <c r="AP208" s="226"/>
      <c r="AQ208" s="194"/>
      <c r="AR208" s="194"/>
      <c r="AS208" s="194"/>
      <c r="AT208" s="194"/>
      <c r="AU208" s="194"/>
      <c r="AV208" s="156"/>
      <c r="AW208" s="227"/>
      <c r="AX208" s="227"/>
      <c r="AY208" s="156"/>
      <c r="AZ208" s="156"/>
      <c r="BA208" s="156"/>
      <c r="BB208" s="156"/>
      <c r="BC208" s="156"/>
      <c r="BD208" s="156"/>
      <c r="BE208" s="156"/>
      <c r="BF208" s="156"/>
      <c r="BG208" s="156"/>
    </row>
    <row r="209" spans="3:59">
      <c r="C209" s="223"/>
      <c r="D209" s="126"/>
      <c r="E209" s="194"/>
      <c r="F209" s="194"/>
      <c r="G209" s="194"/>
      <c r="H209" s="194"/>
      <c r="I209" s="194"/>
      <c r="J209" s="224"/>
      <c r="K209" s="194"/>
      <c r="L209" s="224"/>
      <c r="M209" s="194"/>
      <c r="N209" s="194"/>
      <c r="O209" s="224"/>
      <c r="P209" s="224"/>
      <c r="Q209" s="194"/>
      <c r="R209" s="194"/>
      <c r="S209" s="225"/>
      <c r="T209" s="194"/>
      <c r="U209" s="194"/>
      <c r="V209" s="194"/>
      <c r="W209" s="194"/>
      <c r="X209" s="194"/>
      <c r="Y209" s="194"/>
      <c r="Z209" s="194"/>
      <c r="AA209" s="194"/>
      <c r="AB209" s="194"/>
      <c r="AC209" s="194"/>
      <c r="AD209" s="194"/>
      <c r="AE209" s="194"/>
      <c r="AF209" s="194"/>
      <c r="AG209" s="194"/>
      <c r="AH209" s="194"/>
      <c r="AI209" s="194"/>
      <c r="AJ209" s="194"/>
      <c r="AK209" s="194"/>
      <c r="AL209" s="194"/>
      <c r="AM209" s="194"/>
      <c r="AN209" s="194"/>
      <c r="AO209" s="194"/>
      <c r="AP209" s="226"/>
      <c r="AQ209" s="194"/>
      <c r="AR209" s="194"/>
      <c r="AS209" s="194"/>
      <c r="AT209" s="194"/>
      <c r="AU209" s="194"/>
      <c r="AV209" s="156"/>
      <c r="AW209" s="227"/>
      <c r="AX209" s="227"/>
      <c r="AY209" s="156"/>
      <c r="AZ209" s="156"/>
      <c r="BA209" s="156"/>
      <c r="BB209" s="156"/>
      <c r="BC209" s="156"/>
      <c r="BD209" s="156"/>
      <c r="BE209" s="156"/>
      <c r="BF209" s="156"/>
      <c r="BG209" s="156"/>
    </row>
    <row r="210" spans="3:59">
      <c r="C210" s="223"/>
      <c r="D210" s="126"/>
      <c r="E210" s="194"/>
      <c r="F210" s="194"/>
      <c r="G210" s="194"/>
      <c r="H210" s="194"/>
      <c r="I210" s="194"/>
      <c r="J210" s="224"/>
      <c r="K210" s="194"/>
      <c r="L210" s="224"/>
      <c r="M210" s="194"/>
      <c r="N210" s="194"/>
      <c r="O210" s="224"/>
      <c r="P210" s="224"/>
      <c r="Q210" s="194"/>
      <c r="R210" s="194"/>
      <c r="S210" s="225"/>
      <c r="T210" s="194"/>
      <c r="U210" s="194"/>
      <c r="V210" s="194"/>
      <c r="W210" s="194"/>
      <c r="X210" s="194"/>
      <c r="Y210" s="194"/>
      <c r="Z210" s="194"/>
      <c r="AA210" s="194"/>
      <c r="AB210" s="194"/>
      <c r="AC210" s="194"/>
      <c r="AD210" s="194"/>
      <c r="AE210" s="194"/>
      <c r="AF210" s="194"/>
      <c r="AG210" s="194"/>
      <c r="AH210" s="194"/>
      <c r="AI210" s="194"/>
      <c r="AJ210" s="194"/>
      <c r="AK210" s="194"/>
      <c r="AL210" s="194"/>
      <c r="AM210" s="194"/>
      <c r="AN210" s="194"/>
      <c r="AO210" s="194"/>
      <c r="AP210" s="226"/>
      <c r="AQ210" s="194"/>
      <c r="AR210" s="194"/>
      <c r="AS210" s="194"/>
      <c r="AT210" s="194"/>
      <c r="AU210" s="194"/>
      <c r="AV210" s="156"/>
      <c r="AW210" s="227"/>
      <c r="AX210" s="227"/>
      <c r="AY210" s="156"/>
      <c r="AZ210" s="156"/>
      <c r="BA210" s="156"/>
      <c r="BB210" s="156"/>
      <c r="BC210" s="156"/>
      <c r="BD210" s="156"/>
      <c r="BE210" s="156"/>
      <c r="BF210" s="156"/>
      <c r="BG210" s="156"/>
    </row>
    <row r="211" spans="3:59">
      <c r="C211" s="223"/>
      <c r="D211" s="126"/>
      <c r="E211" s="194"/>
      <c r="F211" s="194"/>
      <c r="G211" s="194"/>
      <c r="H211" s="194"/>
      <c r="I211" s="194"/>
      <c r="J211" s="224"/>
      <c r="K211" s="194"/>
      <c r="L211" s="224"/>
      <c r="M211" s="194"/>
      <c r="N211" s="194"/>
      <c r="O211" s="224"/>
      <c r="P211" s="224"/>
      <c r="Q211" s="194"/>
      <c r="R211" s="194"/>
      <c r="S211" s="225"/>
      <c r="T211" s="194"/>
      <c r="U211" s="194"/>
      <c r="V211" s="194"/>
      <c r="W211" s="194"/>
      <c r="X211" s="194"/>
      <c r="Y211" s="194"/>
      <c r="Z211" s="194"/>
      <c r="AA211" s="194"/>
      <c r="AB211" s="194"/>
      <c r="AC211" s="194"/>
      <c r="AD211" s="194"/>
      <c r="AE211" s="194"/>
      <c r="AF211" s="194"/>
      <c r="AG211" s="194"/>
      <c r="AH211" s="194"/>
      <c r="AI211" s="194"/>
      <c r="AJ211" s="194"/>
      <c r="AK211" s="194"/>
      <c r="AL211" s="194"/>
      <c r="AM211" s="194"/>
      <c r="AN211" s="194"/>
      <c r="AO211" s="194"/>
      <c r="AP211" s="226"/>
      <c r="AQ211" s="194"/>
      <c r="AR211" s="194"/>
      <c r="AS211" s="194"/>
      <c r="AT211" s="194"/>
      <c r="AU211" s="194"/>
      <c r="AV211" s="156"/>
      <c r="AW211" s="227"/>
      <c r="AX211" s="227"/>
      <c r="AY211" s="156"/>
      <c r="AZ211" s="156"/>
      <c r="BA211" s="156"/>
      <c r="BB211" s="156"/>
      <c r="BC211" s="156"/>
      <c r="BD211" s="156"/>
      <c r="BE211" s="156"/>
      <c r="BF211" s="156"/>
      <c r="BG211" s="156"/>
    </row>
    <row r="212" spans="3:59">
      <c r="C212" s="223"/>
      <c r="D212" s="126"/>
      <c r="E212" s="194"/>
      <c r="F212" s="194"/>
      <c r="G212" s="194"/>
      <c r="H212" s="194"/>
      <c r="I212" s="194"/>
      <c r="J212" s="224"/>
      <c r="K212" s="194"/>
      <c r="L212" s="224"/>
      <c r="M212" s="194"/>
      <c r="N212" s="194"/>
      <c r="O212" s="224"/>
      <c r="P212" s="224"/>
      <c r="Q212" s="194"/>
      <c r="R212" s="194"/>
      <c r="S212" s="225"/>
      <c r="T212" s="194"/>
      <c r="U212" s="194"/>
      <c r="V212" s="194"/>
      <c r="W212" s="194"/>
      <c r="X212" s="194"/>
      <c r="Y212" s="194"/>
      <c r="Z212" s="194"/>
      <c r="AA212" s="194"/>
      <c r="AB212" s="194"/>
      <c r="AC212" s="194"/>
      <c r="AD212" s="194"/>
      <c r="AE212" s="194"/>
      <c r="AF212" s="194"/>
      <c r="AG212" s="194"/>
      <c r="AH212" s="194"/>
      <c r="AI212" s="194"/>
      <c r="AJ212" s="194"/>
      <c r="AK212" s="194"/>
      <c r="AL212" s="194"/>
      <c r="AM212" s="194"/>
      <c r="AN212" s="194"/>
      <c r="AO212" s="194"/>
      <c r="AP212" s="226"/>
      <c r="AQ212" s="194"/>
      <c r="AR212" s="194"/>
      <c r="AS212" s="194"/>
      <c r="AT212" s="194"/>
      <c r="AU212" s="194"/>
      <c r="AV212" s="156"/>
      <c r="AW212" s="227"/>
      <c r="AX212" s="227"/>
      <c r="AY212" s="156"/>
      <c r="AZ212" s="156"/>
      <c r="BA212" s="156"/>
      <c r="BB212" s="156"/>
      <c r="BC212" s="156"/>
      <c r="BD212" s="156"/>
      <c r="BE212" s="156"/>
      <c r="BF212" s="156"/>
      <c r="BG212" s="156"/>
    </row>
    <row r="213" spans="3:59">
      <c r="C213" s="223"/>
      <c r="D213" s="126"/>
      <c r="E213" s="194"/>
      <c r="F213" s="194"/>
      <c r="G213" s="194"/>
      <c r="H213" s="194"/>
      <c r="I213" s="194"/>
      <c r="J213" s="224"/>
      <c r="K213" s="194"/>
      <c r="L213" s="224"/>
      <c r="M213" s="194"/>
      <c r="N213" s="194"/>
      <c r="O213" s="224"/>
      <c r="P213" s="224"/>
      <c r="Q213" s="194"/>
      <c r="R213" s="194"/>
      <c r="S213" s="225"/>
      <c r="T213" s="194"/>
      <c r="U213" s="194"/>
      <c r="V213" s="194"/>
      <c r="W213" s="194"/>
      <c r="X213" s="194"/>
      <c r="Y213" s="194"/>
      <c r="Z213" s="194"/>
      <c r="AA213" s="194"/>
      <c r="AB213" s="194"/>
      <c r="AC213" s="194"/>
      <c r="AD213" s="194"/>
      <c r="AE213" s="194"/>
      <c r="AF213" s="194"/>
      <c r="AG213" s="194"/>
      <c r="AH213" s="194"/>
      <c r="AI213" s="194"/>
      <c r="AJ213" s="194"/>
      <c r="AK213" s="194"/>
      <c r="AL213" s="194"/>
      <c r="AM213" s="194"/>
      <c r="AN213" s="194"/>
      <c r="AO213" s="194"/>
      <c r="AP213" s="226"/>
      <c r="AQ213" s="194"/>
      <c r="AR213" s="194"/>
      <c r="AS213" s="194"/>
      <c r="AT213" s="194"/>
      <c r="AU213" s="194"/>
      <c r="AV213" s="156"/>
      <c r="AW213" s="227"/>
      <c r="AX213" s="227"/>
      <c r="AY213" s="156"/>
      <c r="AZ213" s="156"/>
      <c r="BA213" s="156"/>
      <c r="BB213" s="156"/>
      <c r="BC213" s="156"/>
      <c r="BD213" s="156"/>
      <c r="BE213" s="156"/>
      <c r="BF213" s="156"/>
      <c r="BG213" s="156"/>
    </row>
    <row r="214" spans="3:59">
      <c r="C214" s="223"/>
      <c r="D214" s="126"/>
      <c r="E214" s="194"/>
      <c r="F214" s="194"/>
      <c r="G214" s="194"/>
      <c r="H214" s="194"/>
      <c r="I214" s="194"/>
      <c r="J214" s="224"/>
      <c r="K214" s="194"/>
      <c r="L214" s="224"/>
      <c r="M214" s="194"/>
      <c r="N214" s="194"/>
      <c r="O214" s="224"/>
      <c r="P214" s="224"/>
      <c r="Q214" s="194"/>
      <c r="R214" s="194"/>
      <c r="S214" s="225"/>
      <c r="T214" s="194"/>
      <c r="U214" s="194"/>
      <c r="V214" s="194"/>
      <c r="W214" s="194"/>
      <c r="X214" s="194"/>
      <c r="Y214" s="194"/>
      <c r="Z214" s="194"/>
      <c r="AA214" s="194"/>
      <c r="AB214" s="194"/>
      <c r="AC214" s="194"/>
      <c r="AD214" s="194"/>
      <c r="AE214" s="194"/>
      <c r="AF214" s="194"/>
      <c r="AG214" s="194"/>
      <c r="AH214" s="194"/>
      <c r="AI214" s="194"/>
      <c r="AJ214" s="194"/>
      <c r="AK214" s="194"/>
      <c r="AL214" s="194"/>
      <c r="AM214" s="194"/>
      <c r="AN214" s="194"/>
      <c r="AO214" s="194"/>
      <c r="AP214" s="226"/>
      <c r="AQ214" s="194"/>
      <c r="AR214" s="194"/>
      <c r="AS214" s="194"/>
      <c r="AT214" s="194"/>
      <c r="AU214" s="194"/>
      <c r="AV214" s="156"/>
      <c r="AW214" s="227"/>
      <c r="AX214" s="227"/>
      <c r="AY214" s="156"/>
      <c r="AZ214" s="156"/>
      <c r="BA214" s="156"/>
      <c r="BB214" s="156"/>
      <c r="BC214" s="156"/>
      <c r="BD214" s="156"/>
      <c r="BE214" s="156"/>
      <c r="BF214" s="156"/>
      <c r="BG214" s="156"/>
    </row>
    <row r="215" spans="3:59">
      <c r="C215" s="223"/>
      <c r="D215" s="126"/>
      <c r="E215" s="194"/>
      <c r="F215" s="194"/>
      <c r="G215" s="194"/>
      <c r="H215" s="194"/>
      <c r="I215" s="194"/>
      <c r="J215" s="224"/>
      <c r="K215" s="194"/>
      <c r="L215" s="224"/>
      <c r="M215" s="194"/>
      <c r="N215" s="194"/>
      <c r="O215" s="224"/>
      <c r="P215" s="224"/>
      <c r="Q215" s="194"/>
      <c r="R215" s="194"/>
      <c r="S215" s="225"/>
      <c r="T215" s="194"/>
      <c r="U215" s="194"/>
      <c r="V215" s="194"/>
      <c r="W215" s="194"/>
      <c r="X215" s="194"/>
      <c r="Y215" s="194"/>
      <c r="Z215" s="194"/>
      <c r="AA215" s="194"/>
      <c r="AB215" s="194"/>
      <c r="AC215" s="194"/>
      <c r="AD215" s="194"/>
      <c r="AE215" s="194"/>
      <c r="AF215" s="194"/>
      <c r="AG215" s="194"/>
      <c r="AH215" s="194"/>
      <c r="AI215" s="194"/>
      <c r="AJ215" s="194"/>
      <c r="AK215" s="194"/>
      <c r="AL215" s="194"/>
      <c r="AM215" s="194"/>
      <c r="AN215" s="194"/>
      <c r="AO215" s="194"/>
      <c r="AP215" s="226"/>
      <c r="AQ215" s="194"/>
      <c r="AR215" s="194"/>
      <c r="AS215" s="194"/>
      <c r="AT215" s="194"/>
      <c r="AU215" s="194"/>
      <c r="AV215" s="156"/>
      <c r="AW215" s="227"/>
      <c r="AX215" s="227"/>
      <c r="AY215" s="156"/>
      <c r="AZ215" s="156"/>
      <c r="BA215" s="156"/>
      <c r="BB215" s="156"/>
      <c r="BC215" s="156"/>
      <c r="BD215" s="156"/>
      <c r="BE215" s="156"/>
      <c r="BF215" s="156"/>
      <c r="BG215" s="156"/>
    </row>
    <row r="216" spans="3:59">
      <c r="C216" s="223"/>
      <c r="D216" s="126"/>
      <c r="E216" s="194"/>
      <c r="F216" s="194"/>
      <c r="G216" s="194"/>
      <c r="H216" s="194"/>
      <c r="I216" s="194"/>
      <c r="J216" s="224"/>
      <c r="K216" s="194"/>
      <c r="L216" s="224"/>
      <c r="M216" s="194"/>
      <c r="N216" s="194"/>
      <c r="O216" s="224"/>
      <c r="P216" s="224"/>
      <c r="Q216" s="194"/>
      <c r="R216" s="194"/>
      <c r="S216" s="225"/>
      <c r="T216" s="194"/>
      <c r="U216" s="194"/>
      <c r="V216" s="194"/>
      <c r="W216" s="194"/>
      <c r="X216" s="194"/>
      <c r="Y216" s="194"/>
      <c r="Z216" s="194"/>
      <c r="AA216" s="194"/>
      <c r="AB216" s="194"/>
      <c r="AC216" s="194"/>
      <c r="AD216" s="194"/>
      <c r="AE216" s="194"/>
      <c r="AF216" s="194"/>
      <c r="AG216" s="194"/>
      <c r="AH216" s="194"/>
      <c r="AI216" s="194"/>
      <c r="AJ216" s="194"/>
      <c r="AK216" s="194"/>
      <c r="AL216" s="194"/>
      <c r="AM216" s="194"/>
      <c r="AN216" s="194"/>
      <c r="AO216" s="194"/>
      <c r="AP216" s="226"/>
      <c r="AQ216" s="194"/>
      <c r="AR216" s="194"/>
      <c r="AS216" s="194"/>
      <c r="AT216" s="194"/>
      <c r="AU216" s="194"/>
      <c r="AV216" s="156"/>
      <c r="AW216" s="227"/>
      <c r="AX216" s="227"/>
      <c r="AY216" s="156"/>
      <c r="AZ216" s="156"/>
      <c r="BA216" s="156"/>
      <c r="BB216" s="156"/>
      <c r="BC216" s="156"/>
      <c r="BD216" s="156"/>
      <c r="BE216" s="156"/>
      <c r="BF216" s="156"/>
      <c r="BG216" s="156"/>
    </row>
    <row r="217" spans="3:59">
      <c r="C217" s="223"/>
      <c r="D217" s="126"/>
      <c r="E217" s="194"/>
      <c r="F217" s="194"/>
      <c r="G217" s="194"/>
      <c r="H217" s="194"/>
      <c r="I217" s="194"/>
      <c r="J217" s="224"/>
      <c r="K217" s="194"/>
      <c r="L217" s="224"/>
      <c r="M217" s="194"/>
      <c r="N217" s="194"/>
      <c r="O217" s="224"/>
      <c r="P217" s="224"/>
      <c r="Q217" s="194"/>
      <c r="R217" s="194"/>
      <c r="S217" s="225"/>
      <c r="T217" s="194"/>
      <c r="U217" s="194"/>
      <c r="V217" s="194"/>
      <c r="W217" s="194"/>
      <c r="X217" s="194"/>
      <c r="Y217" s="194"/>
      <c r="Z217" s="194"/>
      <c r="AA217" s="194"/>
      <c r="AB217" s="194"/>
      <c r="AC217" s="194"/>
      <c r="AD217" s="194"/>
      <c r="AE217" s="194"/>
      <c r="AF217" s="194"/>
      <c r="AG217" s="194"/>
      <c r="AH217" s="194"/>
      <c r="AI217" s="194"/>
      <c r="AJ217" s="194"/>
      <c r="AK217" s="194"/>
      <c r="AL217" s="194"/>
      <c r="AM217" s="194"/>
      <c r="AN217" s="194"/>
      <c r="AO217" s="194"/>
      <c r="AP217" s="226"/>
      <c r="AQ217" s="194"/>
      <c r="AR217" s="194"/>
      <c r="AS217" s="194"/>
      <c r="AT217" s="194"/>
      <c r="AU217" s="194"/>
      <c r="AV217" s="156"/>
      <c r="AW217" s="227"/>
      <c r="AX217" s="227"/>
      <c r="AY217" s="156"/>
      <c r="AZ217" s="156"/>
      <c r="BA217" s="156"/>
      <c r="BB217" s="156"/>
      <c r="BC217" s="156"/>
      <c r="BD217" s="156"/>
      <c r="BE217" s="156"/>
      <c r="BF217" s="156"/>
      <c r="BG217" s="156"/>
    </row>
    <row r="218" spans="3:59">
      <c r="C218" s="223"/>
      <c r="D218" s="126"/>
      <c r="E218" s="194"/>
      <c r="F218" s="194"/>
      <c r="G218" s="194"/>
      <c r="H218" s="194"/>
      <c r="I218" s="194"/>
      <c r="J218" s="224"/>
      <c r="K218" s="194"/>
      <c r="L218" s="224"/>
      <c r="M218" s="194"/>
      <c r="N218" s="194"/>
      <c r="O218" s="224"/>
      <c r="P218" s="224"/>
      <c r="Q218" s="194"/>
      <c r="R218" s="194"/>
      <c r="S218" s="225"/>
      <c r="T218" s="194"/>
      <c r="U218" s="194"/>
      <c r="V218" s="194"/>
      <c r="W218" s="194"/>
      <c r="X218" s="194"/>
      <c r="Y218" s="194"/>
      <c r="Z218" s="194"/>
      <c r="AA218" s="194"/>
      <c r="AB218" s="194"/>
      <c r="AC218" s="194"/>
      <c r="AD218" s="194"/>
      <c r="AE218" s="194"/>
      <c r="AF218" s="194"/>
      <c r="AG218" s="194"/>
      <c r="AH218" s="194"/>
      <c r="AI218" s="194"/>
      <c r="AJ218" s="194"/>
      <c r="AK218" s="194"/>
      <c r="AL218" s="194"/>
      <c r="AM218" s="194"/>
      <c r="AN218" s="194"/>
      <c r="AO218" s="194"/>
      <c r="AP218" s="226"/>
      <c r="AQ218" s="194"/>
      <c r="AR218" s="194"/>
      <c r="AS218" s="194"/>
      <c r="AT218" s="194"/>
      <c r="AU218" s="194"/>
      <c r="AV218" s="156"/>
      <c r="AW218" s="227"/>
      <c r="AX218" s="227"/>
      <c r="AY218" s="156"/>
      <c r="AZ218" s="156"/>
      <c r="BA218" s="156"/>
      <c r="BB218" s="156"/>
      <c r="BC218" s="156"/>
      <c r="BD218" s="156"/>
      <c r="BE218" s="156"/>
      <c r="BF218" s="156"/>
      <c r="BG218" s="156"/>
    </row>
    <row r="219" spans="3:59">
      <c r="C219" s="223"/>
      <c r="D219" s="126"/>
      <c r="E219" s="194"/>
      <c r="F219" s="194"/>
      <c r="G219" s="194"/>
      <c r="H219" s="194"/>
      <c r="I219" s="194"/>
      <c r="J219" s="224"/>
      <c r="K219" s="194"/>
      <c r="L219" s="224"/>
      <c r="M219" s="194"/>
      <c r="N219" s="194"/>
      <c r="O219" s="224"/>
      <c r="P219" s="224"/>
      <c r="Q219" s="194"/>
      <c r="R219" s="194"/>
      <c r="S219" s="225"/>
      <c r="T219" s="194"/>
      <c r="U219" s="194"/>
      <c r="V219" s="194"/>
      <c r="W219" s="194"/>
      <c r="X219" s="194"/>
      <c r="Y219" s="194"/>
      <c r="Z219" s="194"/>
      <c r="AA219" s="194"/>
      <c r="AB219" s="194"/>
      <c r="AC219" s="194"/>
      <c r="AD219" s="194"/>
      <c r="AE219" s="194"/>
      <c r="AF219" s="194"/>
      <c r="AG219" s="194"/>
      <c r="AH219" s="194"/>
      <c r="AI219" s="194"/>
      <c r="AJ219" s="194"/>
      <c r="AK219" s="194"/>
      <c r="AL219" s="194"/>
      <c r="AM219" s="194"/>
      <c r="AN219" s="194"/>
      <c r="AO219" s="194"/>
      <c r="AP219" s="226"/>
      <c r="AQ219" s="194"/>
      <c r="AR219" s="194"/>
      <c r="AS219" s="194"/>
      <c r="AT219" s="194"/>
      <c r="AU219" s="194"/>
      <c r="AV219" s="156"/>
      <c r="AW219" s="227"/>
      <c r="AX219" s="227"/>
      <c r="AY219" s="156"/>
      <c r="AZ219" s="156"/>
      <c r="BA219" s="156"/>
      <c r="BB219" s="156"/>
      <c r="BC219" s="156"/>
      <c r="BD219" s="156"/>
      <c r="BE219" s="156"/>
      <c r="BF219" s="156"/>
      <c r="BG219" s="156"/>
    </row>
    <row r="220" spans="3:59">
      <c r="C220" s="223"/>
      <c r="D220" s="126"/>
      <c r="E220" s="194"/>
      <c r="F220" s="194"/>
      <c r="G220" s="194"/>
      <c r="H220" s="194"/>
      <c r="I220" s="194"/>
      <c r="J220" s="224"/>
      <c r="K220" s="194"/>
      <c r="L220" s="224"/>
      <c r="M220" s="194"/>
      <c r="N220" s="194"/>
      <c r="O220" s="224"/>
      <c r="P220" s="224"/>
      <c r="Q220" s="194"/>
      <c r="R220" s="194"/>
      <c r="S220" s="225"/>
      <c r="T220" s="194"/>
      <c r="U220" s="194"/>
      <c r="V220" s="194"/>
      <c r="W220" s="194"/>
      <c r="X220" s="194"/>
      <c r="Y220" s="194"/>
      <c r="Z220" s="194"/>
      <c r="AA220" s="194"/>
      <c r="AB220" s="194"/>
      <c r="AC220" s="194"/>
      <c r="AD220" s="194"/>
      <c r="AE220" s="194"/>
      <c r="AF220" s="194"/>
      <c r="AG220" s="194"/>
      <c r="AH220" s="194"/>
      <c r="AI220" s="194"/>
      <c r="AJ220" s="194"/>
      <c r="AK220" s="194"/>
      <c r="AL220" s="194"/>
      <c r="AM220" s="194"/>
      <c r="AN220" s="194"/>
      <c r="AO220" s="194"/>
      <c r="AP220" s="226"/>
      <c r="AQ220" s="194"/>
      <c r="AR220" s="194"/>
      <c r="AS220" s="194"/>
      <c r="AT220" s="194"/>
      <c r="AU220" s="194"/>
      <c r="AV220" s="156"/>
      <c r="AW220" s="227"/>
      <c r="AX220" s="227"/>
      <c r="AY220" s="156"/>
      <c r="AZ220" s="156"/>
      <c r="BA220" s="156"/>
      <c r="BB220" s="156"/>
      <c r="BC220" s="156"/>
      <c r="BD220" s="156"/>
      <c r="BE220" s="156"/>
      <c r="BF220" s="156"/>
      <c r="BG220" s="156"/>
    </row>
    <row r="221" spans="3:59">
      <c r="C221" s="223"/>
      <c r="D221" s="126"/>
      <c r="E221" s="194"/>
      <c r="F221" s="194"/>
      <c r="G221" s="194"/>
      <c r="H221" s="194"/>
      <c r="I221" s="194"/>
      <c r="J221" s="224"/>
      <c r="K221" s="194"/>
      <c r="L221" s="224"/>
      <c r="M221" s="194"/>
      <c r="N221" s="194"/>
      <c r="O221" s="224"/>
      <c r="P221" s="224"/>
      <c r="Q221" s="194"/>
      <c r="R221" s="194"/>
      <c r="S221" s="225"/>
      <c r="T221" s="194"/>
      <c r="U221" s="194"/>
      <c r="V221" s="194"/>
      <c r="W221" s="194"/>
      <c r="X221" s="194"/>
      <c r="Y221" s="194"/>
      <c r="Z221" s="194"/>
      <c r="AA221" s="194"/>
      <c r="AB221" s="194"/>
      <c r="AC221" s="194"/>
      <c r="AD221" s="194"/>
      <c r="AE221" s="194"/>
      <c r="AF221" s="194"/>
      <c r="AG221" s="194"/>
      <c r="AH221" s="194"/>
      <c r="AI221" s="194"/>
      <c r="AJ221" s="194"/>
      <c r="AK221" s="194"/>
      <c r="AL221" s="194"/>
      <c r="AM221" s="194"/>
      <c r="AN221" s="194"/>
      <c r="AO221" s="194"/>
      <c r="AP221" s="226"/>
      <c r="AQ221" s="194"/>
      <c r="AR221" s="194"/>
      <c r="AS221" s="194"/>
      <c r="AT221" s="194"/>
      <c r="AU221" s="194"/>
      <c r="AV221" s="156"/>
      <c r="AW221" s="227"/>
      <c r="AX221" s="227"/>
      <c r="AY221" s="156"/>
      <c r="AZ221" s="156"/>
      <c r="BA221" s="156"/>
      <c r="BB221" s="156"/>
      <c r="BC221" s="156"/>
      <c r="BD221" s="156"/>
      <c r="BE221" s="156"/>
      <c r="BF221" s="156"/>
      <c r="BG221" s="156"/>
    </row>
    <row r="222" spans="3:59">
      <c r="C222" s="223"/>
      <c r="D222" s="126"/>
      <c r="E222" s="194"/>
      <c r="F222" s="194"/>
      <c r="G222" s="194"/>
      <c r="H222" s="194"/>
      <c r="I222" s="194"/>
      <c r="J222" s="224"/>
      <c r="K222" s="194"/>
      <c r="L222" s="224"/>
      <c r="M222" s="194"/>
      <c r="N222" s="194"/>
      <c r="O222" s="224"/>
      <c r="P222" s="224"/>
      <c r="Q222" s="194"/>
      <c r="R222" s="194"/>
      <c r="S222" s="225"/>
      <c r="T222" s="194"/>
      <c r="U222" s="194"/>
      <c r="V222" s="194"/>
      <c r="W222" s="194"/>
      <c r="X222" s="194"/>
      <c r="Y222" s="194"/>
      <c r="Z222" s="194"/>
      <c r="AA222" s="194"/>
      <c r="AB222" s="194"/>
      <c r="AC222" s="194"/>
      <c r="AD222" s="194"/>
      <c r="AE222" s="194"/>
      <c r="AF222" s="194"/>
      <c r="AG222" s="194"/>
      <c r="AH222" s="194"/>
      <c r="AI222" s="194"/>
      <c r="AJ222" s="194"/>
      <c r="AK222" s="194"/>
      <c r="AL222" s="194"/>
      <c r="AM222" s="194"/>
      <c r="AN222" s="194"/>
      <c r="AO222" s="194"/>
      <c r="AP222" s="226"/>
      <c r="AQ222" s="194"/>
      <c r="AR222" s="194"/>
      <c r="AS222" s="194"/>
      <c r="AT222" s="194"/>
      <c r="AU222" s="194"/>
      <c r="AV222" s="156"/>
      <c r="AW222" s="227"/>
      <c r="AX222" s="227"/>
      <c r="AY222" s="156"/>
      <c r="AZ222" s="156"/>
      <c r="BA222" s="156"/>
      <c r="BB222" s="156"/>
      <c r="BC222" s="156"/>
      <c r="BD222" s="156"/>
      <c r="BE222" s="156"/>
      <c r="BF222" s="156"/>
      <c r="BG222" s="156"/>
    </row>
    <row r="223" spans="3:59">
      <c r="C223" s="223"/>
      <c r="D223" s="126"/>
      <c r="E223" s="194"/>
      <c r="F223" s="194"/>
      <c r="G223" s="194"/>
      <c r="H223" s="194"/>
      <c r="I223" s="194"/>
      <c r="J223" s="224"/>
      <c r="K223" s="194"/>
      <c r="L223" s="224"/>
      <c r="M223" s="194"/>
      <c r="N223" s="194"/>
      <c r="O223" s="224"/>
      <c r="P223" s="224"/>
      <c r="Q223" s="194"/>
      <c r="R223" s="194"/>
      <c r="S223" s="225"/>
      <c r="T223" s="194"/>
      <c r="U223" s="194"/>
      <c r="V223" s="194"/>
      <c r="W223" s="194"/>
      <c r="X223" s="194"/>
      <c r="Y223" s="194"/>
      <c r="Z223" s="194"/>
      <c r="AA223" s="194"/>
      <c r="AB223" s="194"/>
      <c r="AC223" s="194"/>
      <c r="AD223" s="194"/>
      <c r="AE223" s="194"/>
      <c r="AF223" s="194"/>
      <c r="AG223" s="194"/>
      <c r="AH223" s="194"/>
      <c r="AI223" s="194"/>
      <c r="AJ223" s="194"/>
      <c r="AK223" s="194"/>
      <c r="AL223" s="194"/>
      <c r="AM223" s="194"/>
      <c r="AN223" s="194"/>
      <c r="AO223" s="194"/>
      <c r="AP223" s="226"/>
      <c r="AQ223" s="194"/>
      <c r="AR223" s="194"/>
      <c r="AS223" s="194"/>
      <c r="AT223" s="194"/>
      <c r="AU223" s="194"/>
      <c r="AV223" s="156"/>
      <c r="AW223" s="227"/>
      <c r="AX223" s="227"/>
      <c r="AY223" s="156"/>
      <c r="AZ223" s="156"/>
      <c r="BA223" s="156"/>
      <c r="BB223" s="156"/>
      <c r="BC223" s="156"/>
      <c r="BD223" s="156"/>
      <c r="BE223" s="156"/>
      <c r="BF223" s="156"/>
      <c r="BG223" s="156"/>
    </row>
    <row r="224" spans="3:59">
      <c r="C224" s="223"/>
      <c r="D224" s="126"/>
      <c r="E224" s="194"/>
      <c r="F224" s="194"/>
      <c r="G224" s="194"/>
      <c r="H224" s="194"/>
      <c r="I224" s="194"/>
      <c r="J224" s="224"/>
      <c r="K224" s="194"/>
      <c r="L224" s="224"/>
      <c r="M224" s="194"/>
      <c r="N224" s="194"/>
      <c r="O224" s="224"/>
      <c r="P224" s="224"/>
      <c r="Q224" s="194"/>
      <c r="R224" s="194"/>
      <c r="S224" s="225"/>
      <c r="T224" s="194"/>
      <c r="U224" s="194"/>
      <c r="V224" s="194"/>
      <c r="W224" s="194"/>
      <c r="X224" s="194"/>
      <c r="Y224" s="194"/>
      <c r="Z224" s="194"/>
      <c r="AA224" s="194"/>
      <c r="AB224" s="194"/>
      <c r="AC224" s="194"/>
      <c r="AD224" s="194"/>
      <c r="AE224" s="194"/>
      <c r="AF224" s="194"/>
      <c r="AG224" s="194"/>
      <c r="AH224" s="194"/>
      <c r="AI224" s="194"/>
      <c r="AJ224" s="194"/>
      <c r="AK224" s="194"/>
      <c r="AL224" s="194"/>
      <c r="AM224" s="194"/>
      <c r="AN224" s="194"/>
      <c r="AO224" s="194"/>
      <c r="AP224" s="226"/>
      <c r="AQ224" s="194"/>
      <c r="AR224" s="194"/>
      <c r="AS224" s="194"/>
      <c r="AT224" s="194"/>
      <c r="AU224" s="194"/>
      <c r="AV224" s="156"/>
      <c r="AW224" s="227"/>
      <c r="AX224" s="227"/>
      <c r="AY224" s="156"/>
      <c r="AZ224" s="156"/>
      <c r="BA224" s="156"/>
      <c r="BB224" s="156"/>
      <c r="BC224" s="156"/>
      <c r="BD224" s="156"/>
      <c r="BE224" s="156"/>
      <c r="BF224" s="156"/>
      <c r="BG224" s="156"/>
    </row>
    <row r="225" spans="3:59">
      <c r="C225" s="223"/>
      <c r="D225" s="126"/>
      <c r="E225" s="194"/>
      <c r="F225" s="194"/>
      <c r="G225" s="194"/>
      <c r="H225" s="194"/>
      <c r="I225" s="194"/>
      <c r="J225" s="224"/>
      <c r="K225" s="194"/>
      <c r="L225" s="224"/>
      <c r="M225" s="194"/>
      <c r="N225" s="194"/>
      <c r="O225" s="224"/>
      <c r="P225" s="224"/>
      <c r="Q225" s="194"/>
      <c r="R225" s="194"/>
      <c r="S225" s="225"/>
      <c r="T225" s="194"/>
      <c r="U225" s="194"/>
      <c r="V225" s="194"/>
      <c r="W225" s="194"/>
      <c r="X225" s="194"/>
      <c r="Y225" s="194"/>
      <c r="Z225" s="194"/>
      <c r="AA225" s="194"/>
      <c r="AB225" s="194"/>
      <c r="AC225" s="194"/>
      <c r="AD225" s="194"/>
      <c r="AE225" s="194"/>
      <c r="AF225" s="194"/>
      <c r="AG225" s="194"/>
      <c r="AH225" s="194"/>
      <c r="AI225" s="194"/>
      <c r="AJ225" s="194"/>
      <c r="AK225" s="194"/>
      <c r="AL225" s="194"/>
      <c r="AM225" s="194"/>
      <c r="AN225" s="194"/>
      <c r="AO225" s="194"/>
      <c r="AP225" s="226"/>
      <c r="AQ225" s="194"/>
      <c r="AR225" s="194"/>
      <c r="AS225" s="194"/>
      <c r="AT225" s="194"/>
      <c r="AU225" s="194"/>
      <c r="AV225" s="156"/>
      <c r="AW225" s="227"/>
      <c r="AX225" s="227"/>
      <c r="AY225" s="156"/>
      <c r="AZ225" s="156"/>
      <c r="BA225" s="156"/>
      <c r="BB225" s="156"/>
      <c r="BC225" s="156"/>
      <c r="BD225" s="156"/>
      <c r="BE225" s="156"/>
      <c r="BF225" s="156"/>
      <c r="BG225" s="156"/>
    </row>
    <row r="226" spans="3:59">
      <c r="C226" s="223"/>
      <c r="D226" s="126"/>
      <c r="E226" s="194"/>
      <c r="F226" s="194"/>
      <c r="G226" s="194"/>
      <c r="H226" s="194"/>
      <c r="I226" s="194"/>
      <c r="J226" s="224"/>
      <c r="K226" s="194"/>
      <c r="L226" s="224"/>
      <c r="M226" s="194"/>
      <c r="N226" s="194"/>
      <c r="O226" s="224"/>
      <c r="P226" s="224"/>
      <c r="Q226" s="194"/>
      <c r="R226" s="194"/>
      <c r="S226" s="225"/>
      <c r="T226" s="194"/>
      <c r="U226" s="194"/>
      <c r="V226" s="194"/>
      <c r="W226" s="194"/>
      <c r="X226" s="194"/>
      <c r="Y226" s="194"/>
      <c r="Z226" s="194"/>
      <c r="AA226" s="194"/>
      <c r="AB226" s="194"/>
      <c r="AC226" s="194"/>
      <c r="AD226" s="194"/>
      <c r="AE226" s="194"/>
      <c r="AF226" s="194"/>
      <c r="AG226" s="194"/>
      <c r="AH226" s="194"/>
      <c r="AI226" s="194"/>
      <c r="AJ226" s="194"/>
      <c r="AK226" s="194"/>
      <c r="AL226" s="194"/>
      <c r="AM226" s="194"/>
      <c r="AN226" s="194"/>
      <c r="AO226" s="194"/>
      <c r="AP226" s="226"/>
      <c r="AQ226" s="194"/>
      <c r="AR226" s="194"/>
      <c r="AS226" s="194"/>
      <c r="AT226" s="194"/>
      <c r="AU226" s="194"/>
      <c r="AV226" s="156"/>
      <c r="AW226" s="227"/>
      <c r="AX226" s="227"/>
      <c r="AY226" s="156"/>
      <c r="AZ226" s="156"/>
      <c r="BA226" s="156"/>
      <c r="BB226" s="156"/>
      <c r="BC226" s="156"/>
      <c r="BD226" s="156"/>
      <c r="BE226" s="156"/>
      <c r="BF226" s="156"/>
      <c r="BG226" s="156"/>
    </row>
    <row r="227" spans="3:59">
      <c r="C227" s="223"/>
      <c r="D227" s="126"/>
      <c r="E227" s="194"/>
      <c r="F227" s="194"/>
      <c r="G227" s="194"/>
      <c r="H227" s="194"/>
      <c r="I227" s="194"/>
      <c r="J227" s="224"/>
      <c r="K227" s="194"/>
      <c r="L227" s="224"/>
      <c r="M227" s="194"/>
      <c r="N227" s="194"/>
      <c r="O227" s="224"/>
      <c r="P227" s="224"/>
      <c r="Q227" s="194"/>
      <c r="R227" s="194"/>
      <c r="S227" s="225"/>
      <c r="T227" s="194"/>
      <c r="U227" s="194"/>
      <c r="V227" s="194"/>
      <c r="W227" s="194"/>
      <c r="X227" s="194"/>
      <c r="Y227" s="194"/>
      <c r="Z227" s="194"/>
      <c r="AA227" s="194"/>
      <c r="AB227" s="194"/>
      <c r="AC227" s="194"/>
      <c r="AD227" s="194"/>
      <c r="AE227" s="194"/>
      <c r="AF227" s="194"/>
      <c r="AG227" s="194"/>
      <c r="AH227" s="194"/>
      <c r="AI227" s="194"/>
      <c r="AJ227" s="194"/>
      <c r="AK227" s="194"/>
      <c r="AL227" s="194"/>
      <c r="AM227" s="194"/>
      <c r="AN227" s="194"/>
      <c r="AO227" s="194"/>
      <c r="AP227" s="226"/>
      <c r="AQ227" s="194"/>
      <c r="AR227" s="194"/>
      <c r="AS227" s="194"/>
      <c r="AT227" s="194"/>
      <c r="AU227" s="194"/>
      <c r="AV227" s="156"/>
      <c r="AW227" s="227"/>
      <c r="AX227" s="227"/>
      <c r="AY227" s="156"/>
      <c r="AZ227" s="156"/>
      <c r="BA227" s="156"/>
      <c r="BB227" s="156"/>
      <c r="BC227" s="156"/>
      <c r="BD227" s="156"/>
      <c r="BE227" s="156"/>
      <c r="BF227" s="156"/>
      <c r="BG227" s="156"/>
    </row>
    <row r="228" spans="3:59">
      <c r="C228" s="223"/>
      <c r="D228" s="126"/>
      <c r="E228" s="194"/>
      <c r="F228" s="194"/>
      <c r="G228" s="194"/>
      <c r="H228" s="194"/>
      <c r="I228" s="194"/>
      <c r="J228" s="224"/>
      <c r="K228" s="194"/>
      <c r="L228" s="224"/>
      <c r="M228" s="194"/>
      <c r="N228" s="194"/>
      <c r="O228" s="224"/>
      <c r="P228" s="224"/>
      <c r="Q228" s="194"/>
      <c r="R228" s="194"/>
      <c r="S228" s="225"/>
      <c r="T228" s="194"/>
      <c r="U228" s="194"/>
      <c r="V228" s="194"/>
      <c r="W228" s="194"/>
      <c r="X228" s="194"/>
      <c r="Y228" s="194"/>
      <c r="Z228" s="194"/>
      <c r="AA228" s="194"/>
      <c r="AB228" s="194"/>
      <c r="AC228" s="194"/>
      <c r="AD228" s="194"/>
      <c r="AE228" s="194"/>
      <c r="AF228" s="194"/>
      <c r="AG228" s="194"/>
      <c r="AH228" s="194"/>
      <c r="AI228" s="194"/>
      <c r="AJ228" s="194"/>
      <c r="AK228" s="194"/>
      <c r="AL228" s="194"/>
      <c r="AM228" s="194"/>
      <c r="AN228" s="194"/>
      <c r="AO228" s="194"/>
      <c r="AP228" s="226"/>
      <c r="AQ228" s="194"/>
      <c r="AR228" s="194"/>
      <c r="AS228" s="194"/>
      <c r="AT228" s="194"/>
      <c r="AU228" s="194"/>
      <c r="AV228" s="156"/>
      <c r="AW228" s="227"/>
      <c r="AX228" s="227"/>
      <c r="AY228" s="156"/>
      <c r="AZ228" s="156"/>
      <c r="BA228" s="156"/>
      <c r="BB228" s="156"/>
      <c r="BC228" s="156"/>
      <c r="BD228" s="156"/>
      <c r="BE228" s="156"/>
      <c r="BF228" s="156"/>
      <c r="BG228" s="156"/>
    </row>
    <row r="229" spans="3:59">
      <c r="C229" s="223"/>
      <c r="D229" s="126"/>
      <c r="E229" s="194"/>
      <c r="F229" s="194"/>
      <c r="G229" s="194"/>
      <c r="H229" s="194"/>
      <c r="I229" s="194"/>
      <c r="J229" s="224"/>
      <c r="K229" s="194"/>
      <c r="L229" s="224"/>
      <c r="M229" s="194"/>
      <c r="N229" s="194"/>
      <c r="O229" s="224"/>
      <c r="P229" s="224"/>
      <c r="Q229" s="194"/>
      <c r="R229" s="194"/>
      <c r="S229" s="225"/>
      <c r="T229" s="194"/>
      <c r="U229" s="194"/>
      <c r="V229" s="194"/>
      <c r="W229" s="194"/>
      <c r="X229" s="194"/>
      <c r="Y229" s="194"/>
      <c r="Z229" s="194"/>
      <c r="AA229" s="194"/>
      <c r="AB229" s="194"/>
      <c r="AC229" s="194"/>
      <c r="AD229" s="194"/>
      <c r="AE229" s="194"/>
      <c r="AF229" s="194"/>
      <c r="AG229" s="194"/>
      <c r="AH229" s="194"/>
      <c r="AI229" s="194"/>
      <c r="AJ229" s="194"/>
      <c r="AK229" s="194"/>
      <c r="AL229" s="194"/>
      <c r="AM229" s="194"/>
      <c r="AN229" s="194"/>
      <c r="AO229" s="194"/>
      <c r="AP229" s="226"/>
      <c r="AQ229" s="194"/>
      <c r="AR229" s="194"/>
      <c r="AS229" s="194"/>
      <c r="AT229" s="194"/>
      <c r="AU229" s="194"/>
      <c r="AV229" s="156"/>
      <c r="AW229" s="227"/>
      <c r="AX229" s="227"/>
      <c r="AY229" s="156"/>
      <c r="AZ229" s="156"/>
      <c r="BA229" s="156"/>
      <c r="BB229" s="156"/>
      <c r="BC229" s="156"/>
      <c r="BD229" s="156"/>
      <c r="BE229" s="156"/>
      <c r="BF229" s="156"/>
      <c r="BG229" s="156"/>
    </row>
    <row r="230" spans="3:59">
      <c r="C230" s="223"/>
      <c r="D230" s="126"/>
      <c r="E230" s="194"/>
      <c r="F230" s="194"/>
      <c r="G230" s="194"/>
      <c r="H230" s="194"/>
      <c r="I230" s="194"/>
      <c r="J230" s="224"/>
      <c r="K230" s="194"/>
      <c r="L230" s="224"/>
      <c r="M230" s="194"/>
      <c r="N230" s="194"/>
      <c r="O230" s="224"/>
      <c r="P230" s="224"/>
      <c r="Q230" s="194"/>
      <c r="R230" s="194"/>
      <c r="S230" s="225"/>
      <c r="T230" s="194"/>
      <c r="U230" s="194"/>
      <c r="V230" s="194"/>
      <c r="W230" s="194"/>
      <c r="X230" s="194"/>
      <c r="Y230" s="194"/>
      <c r="Z230" s="194"/>
      <c r="AA230" s="194"/>
      <c r="AB230" s="194"/>
      <c r="AC230" s="194"/>
      <c r="AD230" s="194"/>
      <c r="AE230" s="194"/>
      <c r="AF230" s="194"/>
      <c r="AG230" s="194"/>
      <c r="AH230" s="194"/>
      <c r="AI230" s="194"/>
      <c r="AJ230" s="194"/>
      <c r="AK230" s="194"/>
      <c r="AL230" s="194"/>
      <c r="AM230" s="194"/>
      <c r="AN230" s="194"/>
      <c r="AO230" s="194"/>
      <c r="AP230" s="226"/>
      <c r="AQ230" s="194"/>
      <c r="AR230" s="194"/>
      <c r="AS230" s="194"/>
      <c r="AT230" s="194"/>
      <c r="AU230" s="194"/>
      <c r="AV230" s="156"/>
      <c r="AW230" s="227"/>
      <c r="AX230" s="227"/>
      <c r="AY230" s="156"/>
      <c r="AZ230" s="156"/>
      <c r="BA230" s="156"/>
      <c r="BB230" s="156"/>
      <c r="BC230" s="156"/>
      <c r="BD230" s="156"/>
      <c r="BE230" s="156"/>
      <c r="BF230" s="156"/>
      <c r="BG230" s="156"/>
    </row>
    <row r="231" spans="3:59">
      <c r="C231" s="223"/>
      <c r="D231" s="126"/>
      <c r="E231" s="194"/>
      <c r="F231" s="194"/>
      <c r="G231" s="194"/>
      <c r="H231" s="194"/>
      <c r="I231" s="194"/>
      <c r="J231" s="224"/>
      <c r="K231" s="194"/>
      <c r="L231" s="224"/>
      <c r="M231" s="194"/>
      <c r="N231" s="194"/>
      <c r="O231" s="224"/>
      <c r="P231" s="224"/>
      <c r="Q231" s="194"/>
      <c r="R231" s="194"/>
      <c r="S231" s="225"/>
      <c r="T231" s="194"/>
      <c r="U231" s="194"/>
      <c r="V231" s="194"/>
      <c r="W231" s="194"/>
      <c r="X231" s="194"/>
      <c r="Y231" s="194"/>
      <c r="Z231" s="194"/>
      <c r="AA231" s="194"/>
      <c r="AB231" s="194"/>
      <c r="AC231" s="194"/>
      <c r="AD231" s="194"/>
      <c r="AE231" s="194"/>
      <c r="AF231" s="194"/>
      <c r="AG231" s="194"/>
      <c r="AH231" s="194"/>
      <c r="AI231" s="194"/>
      <c r="AJ231" s="194"/>
      <c r="AK231" s="194"/>
      <c r="AL231" s="194"/>
      <c r="AM231" s="194"/>
      <c r="AN231" s="194"/>
      <c r="AO231" s="194"/>
      <c r="AP231" s="226"/>
      <c r="AQ231" s="194"/>
      <c r="AR231" s="194"/>
      <c r="AS231" s="194"/>
      <c r="AT231" s="194"/>
      <c r="AU231" s="194"/>
      <c r="AV231" s="156"/>
      <c r="AW231" s="227"/>
      <c r="AX231" s="227"/>
      <c r="AY231" s="156"/>
      <c r="AZ231" s="156"/>
      <c r="BA231" s="156"/>
      <c r="BB231" s="156"/>
      <c r="BC231" s="156"/>
      <c r="BD231" s="156"/>
      <c r="BE231" s="156"/>
      <c r="BF231" s="156"/>
      <c r="BG231" s="156"/>
    </row>
    <row r="232" spans="3:59">
      <c r="C232" s="223"/>
      <c r="D232" s="126"/>
      <c r="E232" s="194"/>
      <c r="F232" s="194"/>
      <c r="G232" s="194"/>
      <c r="H232" s="194"/>
      <c r="I232" s="194"/>
      <c r="J232" s="224"/>
      <c r="K232" s="194"/>
      <c r="L232" s="224"/>
      <c r="M232" s="194"/>
      <c r="N232" s="194"/>
      <c r="O232" s="224"/>
      <c r="P232" s="224"/>
      <c r="Q232" s="194"/>
      <c r="R232" s="194"/>
      <c r="S232" s="225"/>
      <c r="T232" s="194"/>
      <c r="U232" s="194"/>
      <c r="V232" s="194"/>
      <c r="W232" s="194"/>
      <c r="X232" s="194"/>
      <c r="Y232" s="194"/>
      <c r="Z232" s="194"/>
      <c r="AA232" s="194"/>
      <c r="AB232" s="194"/>
      <c r="AC232" s="194"/>
      <c r="AD232" s="194"/>
      <c r="AE232" s="194"/>
      <c r="AF232" s="194"/>
      <c r="AG232" s="194"/>
      <c r="AH232" s="194"/>
      <c r="AI232" s="194"/>
      <c r="AJ232" s="194"/>
      <c r="AK232" s="194"/>
      <c r="AL232" s="194"/>
      <c r="AM232" s="194"/>
      <c r="AN232" s="194"/>
      <c r="AO232" s="194"/>
      <c r="AP232" s="226"/>
      <c r="AQ232" s="194"/>
      <c r="AR232" s="194"/>
      <c r="AS232" s="194"/>
      <c r="AT232" s="194"/>
      <c r="AU232" s="194"/>
      <c r="AV232" s="156"/>
      <c r="AW232" s="227"/>
      <c r="AX232" s="227"/>
      <c r="AY232" s="156"/>
      <c r="AZ232" s="156"/>
      <c r="BA232" s="156"/>
      <c r="BB232" s="156"/>
      <c r="BC232" s="156"/>
      <c r="BD232" s="156"/>
      <c r="BE232" s="156"/>
      <c r="BF232" s="156"/>
      <c r="BG232" s="156"/>
    </row>
    <row r="233" spans="3:59">
      <c r="C233" s="223"/>
      <c r="D233" s="126"/>
      <c r="E233" s="194"/>
      <c r="F233" s="194"/>
      <c r="G233" s="194"/>
      <c r="H233" s="194"/>
      <c r="I233" s="194"/>
      <c r="J233" s="224"/>
      <c r="K233" s="194"/>
      <c r="L233" s="224"/>
      <c r="M233" s="194"/>
      <c r="N233" s="194"/>
      <c r="O233" s="224"/>
      <c r="P233" s="224"/>
      <c r="Q233" s="194"/>
      <c r="R233" s="194"/>
      <c r="S233" s="225"/>
      <c r="T233" s="194"/>
      <c r="U233" s="194"/>
      <c r="V233" s="194"/>
      <c r="W233" s="194"/>
      <c r="X233" s="194"/>
      <c r="Y233" s="194"/>
      <c r="Z233" s="194"/>
      <c r="AA233" s="194"/>
      <c r="AB233" s="194"/>
      <c r="AC233" s="194"/>
      <c r="AD233" s="194"/>
      <c r="AE233" s="194"/>
      <c r="AF233" s="194"/>
      <c r="AG233" s="194"/>
      <c r="AH233" s="194"/>
      <c r="AI233" s="194"/>
      <c r="AJ233" s="194"/>
      <c r="AK233" s="194"/>
      <c r="AL233" s="194"/>
      <c r="AM233" s="194"/>
      <c r="AN233" s="194"/>
      <c r="AO233" s="194"/>
      <c r="AP233" s="226"/>
      <c r="AQ233" s="194"/>
      <c r="AR233" s="194"/>
      <c r="AS233" s="194"/>
      <c r="AT233" s="194"/>
      <c r="AU233" s="194"/>
      <c r="AV233" s="156"/>
      <c r="AW233" s="227"/>
      <c r="AX233" s="227"/>
      <c r="AY233" s="156"/>
      <c r="AZ233" s="156"/>
      <c r="BA233" s="156"/>
      <c r="BB233" s="156"/>
      <c r="BC233" s="156"/>
      <c r="BD233" s="156"/>
      <c r="BE233" s="156"/>
      <c r="BF233" s="156"/>
      <c r="BG233" s="156"/>
    </row>
    <row r="234" spans="3:59">
      <c r="C234" s="223"/>
      <c r="D234" s="126"/>
      <c r="E234" s="194"/>
      <c r="F234" s="194"/>
      <c r="G234" s="194"/>
      <c r="H234" s="194"/>
      <c r="I234" s="194"/>
      <c r="J234" s="224"/>
      <c r="K234" s="194"/>
      <c r="L234" s="224"/>
      <c r="M234" s="194"/>
      <c r="N234" s="194"/>
      <c r="O234" s="224"/>
      <c r="P234" s="224"/>
      <c r="Q234" s="194"/>
      <c r="R234" s="194"/>
      <c r="S234" s="225"/>
      <c r="T234" s="194"/>
      <c r="U234" s="194"/>
      <c r="V234" s="194"/>
      <c r="W234" s="194"/>
      <c r="X234" s="194"/>
      <c r="Y234" s="194"/>
      <c r="Z234" s="194"/>
      <c r="AA234" s="194"/>
      <c r="AB234" s="194"/>
      <c r="AC234" s="194"/>
      <c r="AD234" s="194"/>
      <c r="AE234" s="194"/>
      <c r="AF234" s="194"/>
      <c r="AG234" s="194"/>
      <c r="AH234" s="194"/>
      <c r="AI234" s="194"/>
      <c r="AJ234" s="194"/>
      <c r="AK234" s="194"/>
      <c r="AL234" s="194"/>
      <c r="AM234" s="194"/>
      <c r="AN234" s="194"/>
      <c r="AO234" s="194"/>
      <c r="AP234" s="226"/>
      <c r="AQ234" s="194"/>
      <c r="AR234" s="194"/>
      <c r="AS234" s="194"/>
      <c r="AT234" s="194"/>
      <c r="AU234" s="194"/>
      <c r="AV234" s="156"/>
      <c r="AW234" s="227"/>
      <c r="AX234" s="227"/>
      <c r="AY234" s="156"/>
      <c r="AZ234" s="156"/>
      <c r="BA234" s="156"/>
      <c r="BB234" s="156"/>
      <c r="BC234" s="156"/>
      <c r="BD234" s="156"/>
      <c r="BE234" s="156"/>
      <c r="BF234" s="156"/>
      <c r="BG234" s="156"/>
    </row>
    <row r="235" spans="3:59">
      <c r="C235" s="223"/>
      <c r="D235" s="126"/>
      <c r="E235" s="194"/>
      <c r="F235" s="194"/>
      <c r="G235" s="194"/>
      <c r="H235" s="194"/>
      <c r="I235" s="194"/>
      <c r="J235" s="224"/>
      <c r="K235" s="194"/>
      <c r="L235" s="224"/>
      <c r="M235" s="194"/>
      <c r="N235" s="194"/>
      <c r="O235" s="224"/>
      <c r="P235" s="224"/>
      <c r="Q235" s="194"/>
      <c r="R235" s="194"/>
      <c r="S235" s="225"/>
      <c r="T235" s="194"/>
      <c r="U235" s="194"/>
      <c r="V235" s="194"/>
      <c r="W235" s="194"/>
      <c r="X235" s="194"/>
      <c r="Y235" s="194"/>
      <c r="Z235" s="194"/>
      <c r="AA235" s="194"/>
      <c r="AB235" s="194"/>
      <c r="AC235" s="194"/>
      <c r="AD235" s="194"/>
      <c r="AE235" s="194"/>
      <c r="AF235" s="194"/>
      <c r="AG235" s="194"/>
      <c r="AH235" s="194"/>
      <c r="AI235" s="194"/>
      <c r="AJ235" s="194"/>
      <c r="AK235" s="194"/>
      <c r="AL235" s="194"/>
      <c r="AM235" s="194"/>
      <c r="AN235" s="194"/>
      <c r="AO235" s="194"/>
      <c r="AP235" s="226"/>
      <c r="AQ235" s="194"/>
      <c r="AR235" s="194"/>
      <c r="AS235" s="194"/>
      <c r="AT235" s="194"/>
      <c r="AU235" s="194"/>
      <c r="AV235" s="156"/>
      <c r="AW235" s="227"/>
      <c r="AX235" s="227"/>
      <c r="AY235" s="156"/>
      <c r="AZ235" s="156"/>
      <c r="BA235" s="156"/>
      <c r="BB235" s="156"/>
      <c r="BC235" s="156"/>
      <c r="BD235" s="156"/>
      <c r="BE235" s="156"/>
      <c r="BF235" s="156"/>
      <c r="BG235" s="156"/>
    </row>
    <row r="236" spans="3:59">
      <c r="C236" s="223"/>
      <c r="D236" s="126"/>
      <c r="E236" s="194"/>
      <c r="F236" s="194"/>
      <c r="G236" s="194"/>
      <c r="H236" s="194"/>
      <c r="I236" s="194"/>
      <c r="J236" s="224"/>
      <c r="K236" s="194"/>
      <c r="L236" s="224"/>
      <c r="M236" s="194"/>
      <c r="N236" s="194"/>
      <c r="O236" s="224"/>
      <c r="P236" s="224"/>
      <c r="Q236" s="194"/>
      <c r="R236" s="194"/>
      <c r="S236" s="225"/>
      <c r="T236" s="194"/>
      <c r="U236" s="194"/>
      <c r="V236" s="194"/>
      <c r="W236" s="194"/>
      <c r="X236" s="194"/>
      <c r="Y236" s="194"/>
      <c r="Z236" s="194"/>
      <c r="AA236" s="194"/>
      <c r="AB236" s="194"/>
      <c r="AC236" s="194"/>
      <c r="AD236" s="194"/>
      <c r="AE236" s="194"/>
      <c r="AF236" s="194"/>
      <c r="AG236" s="194"/>
      <c r="AH236" s="194"/>
      <c r="AI236" s="194"/>
      <c r="AJ236" s="194"/>
      <c r="AK236" s="194"/>
      <c r="AL236" s="194"/>
      <c r="AM236" s="194"/>
      <c r="AN236" s="194"/>
      <c r="AO236" s="194"/>
      <c r="AP236" s="226"/>
      <c r="AQ236" s="194"/>
      <c r="AR236" s="194"/>
      <c r="AS236" s="194"/>
      <c r="AT236" s="194"/>
      <c r="AU236" s="194"/>
      <c r="AV236" s="156"/>
      <c r="AW236" s="227"/>
      <c r="AX236" s="227"/>
      <c r="AY236" s="156"/>
      <c r="AZ236" s="156"/>
      <c r="BA236" s="156"/>
      <c r="BB236" s="156"/>
      <c r="BC236" s="156"/>
      <c r="BD236" s="156"/>
      <c r="BE236" s="156"/>
      <c r="BF236" s="156"/>
      <c r="BG236" s="156"/>
    </row>
    <row r="237" spans="3:59">
      <c r="C237" s="223"/>
      <c r="D237" s="126"/>
      <c r="E237" s="194"/>
      <c r="F237" s="194"/>
      <c r="G237" s="194"/>
      <c r="H237" s="194"/>
      <c r="I237" s="194"/>
      <c r="J237" s="224"/>
      <c r="K237" s="194"/>
      <c r="L237" s="224"/>
      <c r="M237" s="194"/>
      <c r="N237" s="194"/>
      <c r="O237" s="224"/>
      <c r="P237" s="224"/>
      <c r="Q237" s="194"/>
      <c r="R237" s="194"/>
      <c r="S237" s="225"/>
      <c r="T237" s="194"/>
      <c r="U237" s="194"/>
      <c r="V237" s="194"/>
      <c r="W237" s="194"/>
      <c r="X237" s="194"/>
      <c r="Y237" s="194"/>
      <c r="Z237" s="194"/>
      <c r="AA237" s="194"/>
      <c r="AB237" s="194"/>
      <c r="AC237" s="194"/>
      <c r="AD237" s="194"/>
      <c r="AE237" s="194"/>
      <c r="AF237" s="194"/>
      <c r="AG237" s="194"/>
      <c r="AH237" s="194"/>
      <c r="AI237" s="194"/>
      <c r="AJ237" s="194"/>
      <c r="AK237" s="194"/>
      <c r="AL237" s="194"/>
      <c r="AM237" s="194"/>
      <c r="AN237" s="194"/>
      <c r="AO237" s="194"/>
      <c r="AP237" s="226"/>
      <c r="AQ237" s="194"/>
      <c r="AR237" s="194"/>
      <c r="AS237" s="194"/>
      <c r="AT237" s="194"/>
      <c r="AU237" s="194"/>
      <c r="AV237" s="156"/>
      <c r="AW237" s="227"/>
      <c r="AX237" s="227"/>
      <c r="AY237" s="156"/>
      <c r="AZ237" s="156"/>
      <c r="BA237" s="156"/>
      <c r="BB237" s="156"/>
      <c r="BC237" s="156"/>
      <c r="BD237" s="156"/>
      <c r="BE237" s="156"/>
      <c r="BF237" s="156"/>
      <c r="BG237" s="156"/>
    </row>
    <row r="238" spans="3:59">
      <c r="C238" s="223"/>
      <c r="D238" s="126"/>
      <c r="E238" s="194"/>
      <c r="F238" s="194"/>
      <c r="G238" s="194"/>
      <c r="H238" s="194"/>
      <c r="I238" s="194"/>
      <c r="J238" s="224"/>
      <c r="K238" s="194"/>
      <c r="L238" s="224"/>
      <c r="M238" s="194"/>
      <c r="N238" s="194"/>
      <c r="O238" s="224"/>
      <c r="P238" s="224"/>
      <c r="Q238" s="194"/>
      <c r="R238" s="194"/>
      <c r="S238" s="225"/>
      <c r="T238" s="194"/>
      <c r="U238" s="194"/>
      <c r="V238" s="194"/>
      <c r="W238" s="194"/>
      <c r="X238" s="194"/>
      <c r="Y238" s="194"/>
      <c r="Z238" s="194"/>
      <c r="AA238" s="194"/>
      <c r="AB238" s="194"/>
      <c r="AC238" s="194"/>
      <c r="AD238" s="194"/>
      <c r="AE238" s="194"/>
      <c r="AF238" s="194"/>
      <c r="AG238" s="194"/>
      <c r="AH238" s="194"/>
      <c r="AI238" s="194"/>
      <c r="AJ238" s="194"/>
      <c r="AK238" s="194"/>
      <c r="AL238" s="194"/>
      <c r="AM238" s="194"/>
      <c r="AN238" s="194"/>
      <c r="AO238" s="194"/>
      <c r="AP238" s="226"/>
      <c r="AQ238" s="194"/>
      <c r="AR238" s="194"/>
      <c r="AS238" s="194"/>
      <c r="AT238" s="194"/>
      <c r="AU238" s="194"/>
      <c r="AV238" s="156"/>
      <c r="AW238" s="227"/>
      <c r="AX238" s="227"/>
      <c r="AY238" s="156"/>
      <c r="AZ238" s="156"/>
      <c r="BA238" s="156"/>
      <c r="BB238" s="156"/>
      <c r="BC238" s="156"/>
      <c r="BD238" s="156"/>
      <c r="BE238" s="156"/>
      <c r="BF238" s="156"/>
      <c r="BG238" s="156"/>
    </row>
    <row r="239" spans="3:59">
      <c r="C239" s="223"/>
      <c r="D239" s="126"/>
      <c r="E239" s="194"/>
      <c r="F239" s="194"/>
      <c r="G239" s="194"/>
      <c r="H239" s="194"/>
      <c r="I239" s="194"/>
      <c r="J239" s="224"/>
      <c r="K239" s="194"/>
      <c r="L239" s="224"/>
      <c r="M239" s="194"/>
      <c r="N239" s="194"/>
      <c r="O239" s="224"/>
      <c r="P239" s="224"/>
      <c r="Q239" s="194"/>
      <c r="R239" s="194"/>
      <c r="S239" s="225"/>
      <c r="T239" s="194"/>
      <c r="U239" s="194"/>
      <c r="V239" s="194"/>
      <c r="W239" s="194"/>
      <c r="X239" s="194"/>
      <c r="Y239" s="194"/>
      <c r="Z239" s="194"/>
      <c r="AA239" s="194"/>
      <c r="AB239" s="194"/>
      <c r="AC239" s="194"/>
      <c r="AD239" s="194"/>
      <c r="AE239" s="194"/>
      <c r="AF239" s="194"/>
      <c r="AG239" s="194"/>
      <c r="AH239" s="194"/>
      <c r="AI239" s="194"/>
      <c r="AJ239" s="194"/>
      <c r="AK239" s="194"/>
      <c r="AL239" s="194"/>
      <c r="AM239" s="194"/>
      <c r="AN239" s="194"/>
      <c r="AO239" s="194"/>
      <c r="AP239" s="226"/>
      <c r="AQ239" s="194"/>
      <c r="AR239" s="194"/>
      <c r="AS239" s="194"/>
      <c r="AT239" s="194"/>
      <c r="AU239" s="194"/>
      <c r="AV239" s="156"/>
      <c r="AW239" s="227"/>
      <c r="AX239" s="227"/>
      <c r="AY239" s="156"/>
      <c r="AZ239" s="156"/>
      <c r="BA239" s="156"/>
      <c r="BB239" s="156"/>
      <c r="BC239" s="156"/>
      <c r="BD239" s="156"/>
      <c r="BE239" s="156"/>
      <c r="BF239" s="156"/>
      <c r="BG239" s="156"/>
    </row>
    <row r="240" spans="3:59">
      <c r="C240" s="223"/>
      <c r="D240" s="126"/>
      <c r="E240" s="194"/>
      <c r="F240" s="194"/>
      <c r="G240" s="194"/>
      <c r="H240" s="194"/>
      <c r="I240" s="194"/>
      <c r="J240" s="224"/>
      <c r="K240" s="194"/>
      <c r="L240" s="224"/>
      <c r="M240" s="194"/>
      <c r="N240" s="194"/>
      <c r="O240" s="224"/>
      <c r="P240" s="224"/>
      <c r="Q240" s="194"/>
      <c r="R240" s="194"/>
      <c r="S240" s="225"/>
      <c r="T240" s="194"/>
      <c r="U240" s="194"/>
      <c r="V240" s="194"/>
      <c r="W240" s="194"/>
      <c r="X240" s="194"/>
      <c r="Y240" s="194"/>
      <c r="Z240" s="194"/>
      <c r="AA240" s="194"/>
      <c r="AB240" s="194"/>
      <c r="AC240" s="194"/>
      <c r="AD240" s="194"/>
      <c r="AE240" s="194"/>
      <c r="AF240" s="194"/>
      <c r="AG240" s="194"/>
      <c r="AH240" s="194"/>
      <c r="AI240" s="194"/>
      <c r="AJ240" s="194"/>
      <c r="AK240" s="194"/>
      <c r="AL240" s="194"/>
      <c r="AM240" s="194"/>
      <c r="AN240" s="194"/>
      <c r="AO240" s="194"/>
      <c r="AP240" s="226"/>
      <c r="AQ240" s="194"/>
      <c r="AR240" s="194"/>
      <c r="AS240" s="194"/>
      <c r="AT240" s="194"/>
      <c r="AU240" s="194"/>
      <c r="AV240" s="156"/>
      <c r="AW240" s="227"/>
      <c r="AX240" s="227"/>
      <c r="AY240" s="156"/>
      <c r="AZ240" s="156"/>
      <c r="BA240" s="156"/>
      <c r="BB240" s="156"/>
      <c r="BC240" s="156"/>
      <c r="BD240" s="156"/>
      <c r="BE240" s="156"/>
      <c r="BF240" s="156"/>
      <c r="BG240" s="156"/>
    </row>
    <row r="241" spans="3:59">
      <c r="C241" s="223"/>
      <c r="D241" s="126"/>
      <c r="E241" s="194"/>
      <c r="F241" s="194"/>
      <c r="G241" s="194"/>
      <c r="H241" s="194"/>
      <c r="I241" s="194"/>
      <c r="J241" s="224"/>
      <c r="K241" s="194"/>
      <c r="L241" s="224"/>
      <c r="M241" s="194"/>
      <c r="N241" s="194"/>
      <c r="O241" s="224"/>
      <c r="P241" s="224"/>
      <c r="Q241" s="194"/>
      <c r="R241" s="194"/>
      <c r="S241" s="225"/>
      <c r="T241" s="194"/>
      <c r="U241" s="194"/>
      <c r="V241" s="194"/>
      <c r="W241" s="194"/>
      <c r="X241" s="194"/>
      <c r="Y241" s="194"/>
      <c r="Z241" s="194"/>
      <c r="AA241" s="194"/>
      <c r="AB241" s="194"/>
      <c r="AC241" s="194"/>
      <c r="AD241" s="194"/>
      <c r="AE241" s="194"/>
      <c r="AF241" s="194"/>
      <c r="AG241" s="194"/>
      <c r="AH241" s="194"/>
      <c r="AI241" s="194"/>
      <c r="AJ241" s="194"/>
      <c r="AK241" s="194"/>
      <c r="AL241" s="194"/>
      <c r="AM241" s="194"/>
      <c r="AN241" s="194"/>
      <c r="AO241" s="194"/>
      <c r="AP241" s="226"/>
      <c r="AQ241" s="194"/>
      <c r="AR241" s="194"/>
      <c r="AS241" s="194"/>
      <c r="AT241" s="194"/>
      <c r="AU241" s="194"/>
      <c r="AV241" s="156"/>
      <c r="AW241" s="227"/>
      <c r="AX241" s="227"/>
      <c r="AY241" s="156"/>
      <c r="AZ241" s="156"/>
      <c r="BA241" s="156"/>
      <c r="BB241" s="156"/>
      <c r="BC241" s="156"/>
      <c r="BD241" s="156"/>
      <c r="BE241" s="156"/>
      <c r="BF241" s="156"/>
      <c r="BG241" s="156"/>
    </row>
    <row r="242" spans="3:59">
      <c r="C242" s="223"/>
      <c r="D242" s="126"/>
      <c r="E242" s="194"/>
      <c r="F242" s="194"/>
      <c r="G242" s="194"/>
      <c r="H242" s="194"/>
      <c r="I242" s="194"/>
      <c r="J242" s="224"/>
      <c r="K242" s="194"/>
      <c r="L242" s="224"/>
      <c r="M242" s="194"/>
      <c r="N242" s="194"/>
      <c r="O242" s="224"/>
      <c r="P242" s="224"/>
      <c r="Q242" s="194"/>
      <c r="R242" s="194"/>
      <c r="S242" s="225"/>
      <c r="T242" s="194"/>
      <c r="U242" s="194"/>
      <c r="V242" s="194"/>
      <c r="W242" s="194"/>
      <c r="X242" s="194"/>
      <c r="Y242" s="194"/>
      <c r="Z242" s="194"/>
      <c r="AA242" s="194"/>
      <c r="AB242" s="194"/>
      <c r="AC242" s="194"/>
      <c r="AD242" s="194"/>
      <c r="AE242" s="194"/>
      <c r="AF242" s="194"/>
      <c r="AG242" s="194"/>
      <c r="AH242" s="194"/>
      <c r="AI242" s="194"/>
      <c r="AJ242" s="194"/>
      <c r="AK242" s="194"/>
      <c r="AL242" s="194"/>
      <c r="AM242" s="194"/>
      <c r="AN242" s="194"/>
      <c r="AO242" s="194"/>
      <c r="AP242" s="226"/>
      <c r="AQ242" s="194"/>
      <c r="AR242" s="194"/>
      <c r="AS242" s="194"/>
      <c r="AT242" s="194"/>
      <c r="AU242" s="194"/>
      <c r="AV242" s="156"/>
      <c r="AW242" s="227"/>
      <c r="AX242" s="227"/>
      <c r="AY242" s="156"/>
      <c r="AZ242" s="156"/>
      <c r="BA242" s="156"/>
      <c r="BB242" s="156"/>
      <c r="BC242" s="156"/>
      <c r="BD242" s="156"/>
      <c r="BE242" s="156"/>
      <c r="BF242" s="156"/>
      <c r="BG242" s="156"/>
    </row>
    <row r="243" spans="3:59">
      <c r="C243" s="223"/>
      <c r="D243" s="126"/>
      <c r="E243" s="194"/>
      <c r="F243" s="194"/>
      <c r="G243" s="194"/>
      <c r="H243" s="194"/>
      <c r="I243" s="194"/>
      <c r="J243" s="224"/>
      <c r="K243" s="194"/>
      <c r="L243" s="224"/>
      <c r="M243" s="194"/>
      <c r="N243" s="194"/>
      <c r="O243" s="224"/>
      <c r="P243" s="224"/>
      <c r="Q243" s="194"/>
      <c r="R243" s="194"/>
      <c r="S243" s="225"/>
      <c r="T243" s="194"/>
      <c r="U243" s="194"/>
      <c r="V243" s="194"/>
      <c r="W243" s="194"/>
      <c r="X243" s="194"/>
      <c r="Y243" s="194"/>
      <c r="Z243" s="194"/>
      <c r="AA243" s="194"/>
      <c r="AB243" s="194"/>
      <c r="AC243" s="194"/>
      <c r="AD243" s="194"/>
      <c r="AE243" s="194"/>
      <c r="AF243" s="194"/>
      <c r="AG243" s="194"/>
      <c r="AH243" s="194"/>
      <c r="AI243" s="194"/>
      <c r="AJ243" s="194"/>
      <c r="AK243" s="194"/>
      <c r="AL243" s="194"/>
      <c r="AM243" s="194"/>
      <c r="AN243" s="194"/>
      <c r="AO243" s="194"/>
      <c r="AP243" s="226"/>
      <c r="AQ243" s="194"/>
      <c r="AR243" s="194"/>
      <c r="AS243" s="194"/>
      <c r="AT243" s="194"/>
      <c r="AU243" s="194"/>
      <c r="AV243" s="156"/>
      <c r="AW243" s="227"/>
      <c r="AX243" s="227"/>
      <c r="AY243" s="156"/>
      <c r="AZ243" s="156"/>
      <c r="BA243" s="156"/>
      <c r="BB243" s="156"/>
      <c r="BC243" s="156"/>
      <c r="BD243" s="156"/>
      <c r="BE243" s="156"/>
      <c r="BF243" s="156"/>
      <c r="BG243" s="156"/>
    </row>
    <row r="244" spans="3:59">
      <c r="C244" s="223"/>
      <c r="D244" s="126"/>
      <c r="E244" s="194"/>
      <c r="F244" s="194"/>
      <c r="G244" s="194"/>
      <c r="H244" s="194"/>
      <c r="I244" s="194"/>
      <c r="J244" s="224"/>
      <c r="K244" s="194"/>
      <c r="L244" s="224"/>
      <c r="M244" s="194"/>
      <c r="N244" s="194"/>
      <c r="O244" s="224"/>
      <c r="P244" s="224"/>
      <c r="Q244" s="194"/>
      <c r="R244" s="194"/>
      <c r="S244" s="225"/>
      <c r="T244" s="194"/>
      <c r="U244" s="194"/>
      <c r="V244" s="194"/>
      <c r="W244" s="194"/>
      <c r="X244" s="194"/>
      <c r="Y244" s="194"/>
      <c r="Z244" s="194"/>
      <c r="AA244" s="194"/>
      <c r="AB244" s="194"/>
      <c r="AC244" s="194"/>
      <c r="AD244" s="194"/>
      <c r="AE244" s="194"/>
      <c r="AF244" s="194"/>
      <c r="AG244" s="194"/>
      <c r="AH244" s="194"/>
      <c r="AI244" s="194"/>
      <c r="AJ244" s="194"/>
      <c r="AK244" s="194"/>
      <c r="AL244" s="194"/>
      <c r="AM244" s="194"/>
      <c r="AN244" s="194"/>
      <c r="AO244" s="194"/>
      <c r="AP244" s="226"/>
      <c r="AQ244" s="194"/>
      <c r="AR244" s="194"/>
      <c r="AS244" s="194"/>
      <c r="AT244" s="194"/>
      <c r="AU244" s="194"/>
      <c r="AV244" s="156"/>
      <c r="AW244" s="227"/>
      <c r="AX244" s="227"/>
      <c r="AY244" s="156"/>
      <c r="AZ244" s="156"/>
      <c r="BA244" s="156"/>
      <c r="BB244" s="156"/>
      <c r="BC244" s="156"/>
      <c r="BD244" s="156"/>
      <c r="BE244" s="156"/>
      <c r="BF244" s="156"/>
      <c r="BG244" s="156"/>
    </row>
    <row r="245" spans="3:59">
      <c r="C245" s="69"/>
      <c r="D245" s="116"/>
      <c r="E245" s="170"/>
      <c r="F245" s="170"/>
      <c r="G245" s="170"/>
      <c r="H245" s="170"/>
      <c r="I245" s="190"/>
      <c r="J245" s="191"/>
      <c r="K245" s="170"/>
      <c r="L245" s="191"/>
      <c r="M245" s="190"/>
      <c r="N245" s="190"/>
      <c r="O245" s="191"/>
      <c r="P245" s="191"/>
      <c r="Q245" s="170"/>
      <c r="R245" s="170"/>
      <c r="S245" s="193"/>
      <c r="T245" s="194"/>
      <c r="U245" s="195"/>
      <c r="V245" s="196"/>
      <c r="W245" s="195"/>
      <c r="X245" s="170"/>
      <c r="Y245" s="170"/>
      <c r="Z245" s="170"/>
      <c r="AA245" s="170"/>
      <c r="AB245" s="197"/>
      <c r="AC245" s="170"/>
      <c r="AD245" s="170"/>
      <c r="AE245" s="170"/>
      <c r="AF245" s="198"/>
      <c r="AG245" s="170"/>
      <c r="AH245" s="198"/>
      <c r="AI245" s="170"/>
      <c r="AJ245" s="190"/>
      <c r="AK245" s="170"/>
      <c r="AL245" s="170"/>
      <c r="AM245" s="170"/>
      <c r="AN245" s="170"/>
      <c r="AO245" s="170"/>
      <c r="AP245" s="199"/>
      <c r="AQ245" s="170"/>
      <c r="AR245" s="198"/>
      <c r="AS245" s="195"/>
      <c r="AT245" s="195"/>
      <c r="AU245" s="195"/>
      <c r="AV245" s="145"/>
      <c r="AW245" s="178"/>
      <c r="AX245" s="179"/>
      <c r="AY245" s="145"/>
      <c r="BC245" s="144">
        <f>((IF(BB245&lt;1.5,4.5,IFERROR(5.35*(BB245)^(-0.442),0)))/100)*BB245*1000</f>
        <v>0</v>
      </c>
      <c r="BE245" s="145">
        <f>BD245-BD244</f>
        <v>0</v>
      </c>
      <c r="BF245" s="145" t="str">
        <f>IF(BB245&gt;0,L245,"")</f>
        <v/>
      </c>
    </row>
    <row r="246" spans="3:59">
      <c r="C246" s="69"/>
      <c r="D246" s="116"/>
      <c r="E246" s="170"/>
      <c r="F246" s="170"/>
      <c r="G246" s="170"/>
      <c r="H246" s="170"/>
      <c r="I246" s="190"/>
      <c r="J246" s="191"/>
      <c r="K246" s="170"/>
      <c r="L246" s="191"/>
      <c r="M246" s="190"/>
      <c r="N246" s="190"/>
      <c r="O246" s="191"/>
      <c r="P246" s="191"/>
      <c r="Q246" s="170"/>
      <c r="R246" s="170"/>
      <c r="S246" s="193"/>
      <c r="T246" s="194"/>
      <c r="U246" s="195"/>
      <c r="V246" s="196"/>
      <c r="W246" s="195"/>
      <c r="X246" s="170"/>
      <c r="Y246" s="170"/>
      <c r="Z246" s="170"/>
      <c r="AA246" s="170"/>
      <c r="AB246" s="197"/>
      <c r="AC246" s="170"/>
      <c r="AD246" s="170"/>
      <c r="AE246" s="170"/>
      <c r="AF246" s="198"/>
      <c r="AG246" s="170"/>
      <c r="AH246" s="198"/>
      <c r="AI246" s="170"/>
      <c r="AJ246" s="190"/>
      <c r="AK246" s="170"/>
      <c r="AL246" s="170"/>
      <c r="AM246" s="170"/>
      <c r="AN246" s="170"/>
      <c r="AO246" s="170"/>
      <c r="AP246" s="199"/>
      <c r="AQ246" s="170"/>
      <c r="AR246" s="198"/>
      <c r="AS246" s="195"/>
      <c r="AT246" s="195"/>
      <c r="AU246" s="195"/>
      <c r="AV246" s="145"/>
      <c r="AW246" s="178"/>
      <c r="AX246" s="179"/>
      <c r="AY246" s="145"/>
    </row>
    <row r="247" spans="3:59">
      <c r="C247" s="69"/>
      <c r="D247" s="116"/>
      <c r="E247" s="170"/>
      <c r="F247" s="170"/>
      <c r="G247" s="170"/>
      <c r="H247" s="170"/>
      <c r="I247" s="190"/>
      <c r="J247" s="191"/>
      <c r="K247" s="170"/>
      <c r="L247" s="191"/>
      <c r="M247" s="190"/>
      <c r="N247" s="190"/>
      <c r="O247" s="191"/>
      <c r="P247" s="191"/>
      <c r="Q247" s="170"/>
      <c r="R247" s="170"/>
      <c r="S247" s="193"/>
      <c r="T247" s="194"/>
      <c r="U247" s="195"/>
      <c r="V247" s="196"/>
      <c r="W247" s="195"/>
      <c r="X247" s="170"/>
      <c r="Y247" s="170"/>
      <c r="Z247" s="170"/>
      <c r="AA247" s="170"/>
      <c r="AB247" s="197"/>
      <c r="AC247" s="170"/>
      <c r="AD247" s="170"/>
      <c r="AE247" s="170"/>
      <c r="AF247" s="198"/>
      <c r="AG247" s="170"/>
      <c r="AH247" s="198"/>
      <c r="AI247" s="170"/>
      <c r="AJ247" s="190"/>
      <c r="AK247" s="170"/>
      <c r="AL247" s="170"/>
      <c r="AM247" s="170"/>
      <c r="AN247" s="170"/>
      <c r="AO247" s="170"/>
      <c r="AP247" s="199"/>
      <c r="AQ247" s="170"/>
      <c r="AR247" s="198"/>
      <c r="AS247" s="195"/>
      <c r="AT247" s="195"/>
      <c r="AU247" s="195"/>
      <c r="AV247" s="145"/>
      <c r="AW247" s="178"/>
      <c r="AX247" s="179"/>
      <c r="AY247" s="145"/>
    </row>
    <row r="248" spans="3:59">
      <c r="C248" s="69"/>
      <c r="D248" s="116"/>
      <c r="E248" s="170"/>
      <c r="F248" s="170"/>
      <c r="G248" s="170"/>
      <c r="H248" s="170"/>
      <c r="I248" s="190"/>
      <c r="J248" s="191"/>
      <c r="K248" s="170"/>
      <c r="L248" s="191"/>
      <c r="M248" s="190"/>
      <c r="N248" s="190"/>
      <c r="O248" s="191"/>
      <c r="P248" s="191"/>
      <c r="Q248" s="170"/>
      <c r="R248" s="170"/>
      <c r="S248" s="193"/>
      <c r="T248" s="194"/>
      <c r="U248" s="195"/>
      <c r="V248" s="196"/>
      <c r="W248" s="195"/>
      <c r="X248" s="170"/>
      <c r="Y248" s="170"/>
      <c r="Z248" s="170"/>
      <c r="AA248" s="170"/>
      <c r="AB248" s="197"/>
      <c r="AC248" s="170"/>
      <c r="AD248" s="170"/>
      <c r="AE248" s="170"/>
      <c r="AF248" s="198"/>
      <c r="AG248" s="170"/>
      <c r="AH248" s="198"/>
      <c r="AI248" s="170"/>
      <c r="AJ248" s="190"/>
      <c r="AK248" s="170"/>
      <c r="AL248" s="170"/>
      <c r="AM248" s="170"/>
      <c r="AN248" s="170"/>
      <c r="AO248" s="170"/>
      <c r="AP248" s="199"/>
      <c r="AQ248" s="170"/>
      <c r="AR248" s="198"/>
      <c r="AS248" s="195"/>
      <c r="AT248" s="195"/>
      <c r="AU248" s="195"/>
      <c r="AV248" s="145"/>
      <c r="AW248" s="178"/>
      <c r="AX248" s="179"/>
      <c r="AY248" s="145"/>
    </row>
    <row r="249" spans="3:59">
      <c r="C249" s="69"/>
      <c r="D249" s="116"/>
      <c r="E249" s="170"/>
      <c r="F249" s="170"/>
      <c r="G249" s="170"/>
      <c r="H249" s="170"/>
      <c r="I249" s="190"/>
      <c r="J249" s="191"/>
      <c r="K249" s="170"/>
      <c r="L249" s="191"/>
      <c r="M249" s="190"/>
      <c r="N249" s="190"/>
      <c r="O249" s="191"/>
      <c r="P249" s="191"/>
      <c r="Q249" s="170"/>
      <c r="R249" s="170"/>
      <c r="S249" s="193"/>
      <c r="T249" s="194"/>
      <c r="U249" s="195"/>
      <c r="V249" s="196"/>
      <c r="W249" s="195"/>
      <c r="X249" s="170"/>
      <c r="Y249" s="170"/>
      <c r="Z249" s="170"/>
      <c r="AA249" s="170"/>
      <c r="AB249" s="197"/>
      <c r="AC249" s="170"/>
      <c r="AD249" s="170"/>
      <c r="AE249" s="170"/>
      <c r="AF249" s="198"/>
      <c r="AG249" s="170"/>
      <c r="AH249" s="198"/>
      <c r="AI249" s="170"/>
      <c r="AJ249" s="190"/>
      <c r="AK249" s="170"/>
      <c r="AL249" s="170"/>
      <c r="AM249" s="170"/>
      <c r="AN249" s="170"/>
      <c r="AO249" s="170"/>
      <c r="AP249" s="199"/>
      <c r="AQ249" s="170"/>
      <c r="AR249" s="198"/>
      <c r="AS249" s="195"/>
      <c r="AT249" s="195"/>
      <c r="AU249" s="195"/>
      <c r="AV249" s="145"/>
      <c r="AW249" s="178"/>
      <c r="AX249" s="179"/>
      <c r="AY249" s="145"/>
    </row>
    <row r="250" spans="3:59">
      <c r="C250" s="69"/>
      <c r="D250" s="116"/>
      <c r="E250" s="170"/>
      <c r="F250" s="170"/>
      <c r="G250" s="170"/>
      <c r="H250" s="170"/>
      <c r="I250" s="190"/>
      <c r="J250" s="191"/>
      <c r="K250" s="170"/>
      <c r="L250" s="191"/>
      <c r="M250" s="190"/>
      <c r="N250" s="190"/>
      <c r="O250" s="191"/>
      <c r="P250" s="191"/>
      <c r="Q250" s="170"/>
      <c r="R250" s="170"/>
      <c r="S250" s="193"/>
      <c r="T250" s="194"/>
      <c r="U250" s="195"/>
      <c r="V250" s="196"/>
      <c r="W250" s="195"/>
      <c r="X250" s="170"/>
      <c r="Y250" s="170"/>
      <c r="Z250" s="170"/>
      <c r="AA250" s="170"/>
      <c r="AB250" s="197"/>
      <c r="AC250" s="170"/>
      <c r="AD250" s="170"/>
      <c r="AE250" s="170"/>
      <c r="AF250" s="198"/>
      <c r="AG250" s="170"/>
      <c r="AH250" s="198"/>
      <c r="AI250" s="170"/>
      <c r="AJ250" s="190"/>
      <c r="AK250" s="170"/>
      <c r="AL250" s="170"/>
      <c r="AM250" s="170"/>
      <c r="AN250" s="170"/>
      <c r="AO250" s="170"/>
      <c r="AP250" s="199"/>
      <c r="AQ250" s="170"/>
      <c r="AR250" s="198"/>
      <c r="AS250" s="195"/>
      <c r="AT250" s="195"/>
      <c r="AU250" s="195"/>
      <c r="AV250" s="145"/>
      <c r="AW250" s="178"/>
      <c r="AX250" s="179"/>
      <c r="AY250" s="145"/>
    </row>
    <row r="251" spans="3:59">
      <c r="C251" s="69"/>
      <c r="D251" s="116"/>
      <c r="E251" s="170"/>
      <c r="F251" s="170"/>
      <c r="G251" s="170"/>
      <c r="H251" s="170"/>
      <c r="I251" s="190"/>
      <c r="J251" s="191"/>
      <c r="K251" s="170"/>
      <c r="L251" s="191"/>
      <c r="M251" s="190"/>
      <c r="N251" s="190"/>
      <c r="O251" s="191"/>
      <c r="P251" s="191"/>
      <c r="Q251" s="170"/>
      <c r="R251" s="170"/>
      <c r="S251" s="193"/>
      <c r="T251" s="194"/>
      <c r="U251" s="195"/>
      <c r="V251" s="196"/>
      <c r="W251" s="195"/>
      <c r="X251" s="170"/>
      <c r="Y251" s="170"/>
      <c r="Z251" s="170"/>
      <c r="AA251" s="170"/>
      <c r="AB251" s="197"/>
      <c r="AC251" s="170"/>
      <c r="AD251" s="170"/>
      <c r="AE251" s="170"/>
      <c r="AF251" s="198"/>
      <c r="AG251" s="170"/>
      <c r="AH251" s="198"/>
      <c r="AI251" s="170"/>
      <c r="AJ251" s="190"/>
      <c r="AK251" s="170"/>
      <c r="AL251" s="170"/>
      <c r="AM251" s="170"/>
      <c r="AN251" s="170"/>
      <c r="AO251" s="170"/>
      <c r="AP251" s="199"/>
      <c r="AQ251" s="170"/>
      <c r="AR251" s="198"/>
      <c r="AS251" s="195"/>
      <c r="AT251" s="195"/>
      <c r="AU251" s="195"/>
      <c r="AV251" s="145"/>
      <c r="AW251" s="178"/>
      <c r="AX251" s="179"/>
      <c r="AY251" s="145"/>
    </row>
    <row r="252" spans="3:59">
      <c r="C252" s="69"/>
      <c r="D252" s="116"/>
      <c r="E252" s="170"/>
      <c r="F252" s="170"/>
      <c r="G252" s="170"/>
      <c r="H252" s="170"/>
      <c r="I252" s="190"/>
      <c r="J252" s="191"/>
      <c r="K252" s="170"/>
      <c r="L252" s="191"/>
      <c r="M252" s="190"/>
      <c r="N252" s="190"/>
      <c r="O252" s="191"/>
      <c r="P252" s="191"/>
      <c r="Q252" s="170"/>
      <c r="R252" s="170"/>
      <c r="S252" s="193"/>
      <c r="T252" s="194"/>
      <c r="U252" s="195"/>
      <c r="V252" s="196"/>
      <c r="W252" s="195"/>
      <c r="X252" s="170"/>
      <c r="Y252" s="170"/>
      <c r="Z252" s="170"/>
      <c r="AA252" s="170"/>
      <c r="AB252" s="197"/>
      <c r="AC252" s="170"/>
      <c r="AD252" s="170"/>
      <c r="AE252" s="170"/>
      <c r="AF252" s="198"/>
      <c r="AG252" s="170"/>
      <c r="AH252" s="198"/>
      <c r="AI252" s="170"/>
      <c r="AJ252" s="190"/>
      <c r="AK252" s="170"/>
      <c r="AL252" s="170"/>
      <c r="AM252" s="170"/>
      <c r="AN252" s="170"/>
      <c r="AO252" s="170"/>
      <c r="AP252" s="199"/>
      <c r="AQ252" s="170"/>
      <c r="AR252" s="198"/>
      <c r="AS252" s="195"/>
      <c r="AT252" s="195"/>
      <c r="AU252" s="195"/>
      <c r="AV252" s="145"/>
      <c r="AW252" s="178"/>
      <c r="AX252" s="179"/>
      <c r="AY252" s="145"/>
    </row>
    <row r="253" spans="3:59">
      <c r="C253" s="69"/>
      <c r="D253" s="116"/>
      <c r="E253" s="170"/>
      <c r="F253" s="170"/>
      <c r="G253" s="170"/>
      <c r="H253" s="170"/>
      <c r="I253" s="190"/>
      <c r="J253" s="191"/>
      <c r="K253" s="170"/>
      <c r="L253" s="191"/>
      <c r="M253" s="190"/>
      <c r="N253" s="190"/>
      <c r="O253" s="191"/>
      <c r="P253" s="191"/>
      <c r="Q253" s="170"/>
      <c r="R253" s="170"/>
      <c r="S253" s="193"/>
      <c r="T253" s="194"/>
      <c r="U253" s="195"/>
      <c r="V253" s="196"/>
      <c r="W253" s="195"/>
      <c r="X253" s="170"/>
      <c r="Y253" s="170"/>
      <c r="Z253" s="170"/>
      <c r="AA253" s="170"/>
      <c r="AB253" s="197"/>
      <c r="AC253" s="170"/>
      <c r="AD253" s="170"/>
      <c r="AE253" s="170"/>
      <c r="AF253" s="198"/>
      <c r="AG253" s="170"/>
      <c r="AH253" s="198"/>
      <c r="AI253" s="170"/>
      <c r="AJ253" s="190"/>
      <c r="AK253" s="170"/>
      <c r="AL253" s="170"/>
      <c r="AM253" s="170"/>
      <c r="AN253" s="170"/>
      <c r="AO253" s="170"/>
      <c r="AP253" s="199"/>
      <c r="AQ253" s="170"/>
      <c r="AR253" s="198"/>
      <c r="AS253" s="195"/>
      <c r="AT253" s="195"/>
      <c r="AU253" s="195"/>
      <c r="AV253" s="145"/>
      <c r="AW253" s="178"/>
      <c r="AX253" s="179"/>
      <c r="AY253" s="145"/>
    </row>
    <row r="254" spans="3:59">
      <c r="C254" s="69"/>
      <c r="D254" s="116"/>
      <c r="E254" s="170"/>
      <c r="F254" s="170"/>
      <c r="G254" s="170"/>
      <c r="H254" s="170"/>
      <c r="I254" s="190"/>
      <c r="J254" s="191"/>
      <c r="K254" s="170"/>
      <c r="L254" s="191"/>
      <c r="M254" s="190"/>
      <c r="N254" s="190"/>
      <c r="O254" s="191"/>
      <c r="P254" s="191"/>
      <c r="Q254" s="170"/>
      <c r="R254" s="170"/>
      <c r="S254" s="193"/>
      <c r="T254" s="194"/>
      <c r="U254" s="195"/>
      <c r="V254" s="196"/>
      <c r="W254" s="195"/>
      <c r="X254" s="170"/>
      <c r="Y254" s="170"/>
      <c r="Z254" s="170"/>
      <c r="AA254" s="170"/>
      <c r="AB254" s="197"/>
      <c r="AC254" s="170"/>
      <c r="AD254" s="170"/>
      <c r="AE254" s="170"/>
      <c r="AF254" s="198"/>
      <c r="AG254" s="170"/>
      <c r="AH254" s="198"/>
      <c r="AI254" s="170"/>
      <c r="AJ254" s="190"/>
      <c r="AK254" s="170"/>
      <c r="AL254" s="170"/>
      <c r="AM254" s="170"/>
      <c r="AN254" s="170"/>
      <c r="AO254" s="170"/>
      <c r="AP254" s="199"/>
      <c r="AQ254" s="170"/>
      <c r="AR254" s="198"/>
      <c r="AS254" s="195"/>
      <c r="AT254" s="195"/>
      <c r="AU254" s="195"/>
      <c r="AV254" s="145"/>
      <c r="AW254" s="178"/>
      <c r="AX254" s="179"/>
      <c r="AY254" s="145"/>
    </row>
    <row r="255" spans="3:59">
      <c r="C255" s="69"/>
      <c r="D255" s="116"/>
      <c r="E255" s="170"/>
      <c r="F255" s="170"/>
      <c r="G255" s="170"/>
      <c r="H255" s="170"/>
      <c r="I255" s="190"/>
      <c r="J255" s="191"/>
      <c r="K255" s="170"/>
      <c r="L255" s="191"/>
      <c r="M255" s="190"/>
      <c r="N255" s="190"/>
      <c r="O255" s="191"/>
      <c r="P255" s="191"/>
      <c r="Q255" s="170"/>
      <c r="R255" s="170"/>
      <c r="S255" s="193"/>
      <c r="T255" s="194"/>
      <c r="U255" s="195"/>
      <c r="V255" s="196"/>
      <c r="W255" s="195"/>
      <c r="X255" s="170"/>
      <c r="Y255" s="170"/>
      <c r="Z255" s="170"/>
      <c r="AA255" s="170"/>
      <c r="AB255" s="197"/>
      <c r="AC255" s="170"/>
      <c r="AD255" s="170"/>
      <c r="AE255" s="170"/>
      <c r="AF255" s="198"/>
      <c r="AG255" s="170"/>
      <c r="AH255" s="198"/>
      <c r="AI255" s="170"/>
      <c r="AJ255" s="190"/>
      <c r="AK255" s="170"/>
      <c r="AL255" s="170"/>
      <c r="AM255" s="170"/>
      <c r="AN255" s="170"/>
      <c r="AO255" s="170"/>
      <c r="AP255" s="199"/>
      <c r="AQ255" s="170"/>
      <c r="AR255" s="198"/>
      <c r="AS255" s="195"/>
      <c r="AT255" s="195"/>
      <c r="AU255" s="195"/>
      <c r="AV255" s="145"/>
      <c r="AW255" s="178"/>
      <c r="AX255" s="179"/>
      <c r="AY255" s="145"/>
    </row>
    <row r="256" spans="3:59">
      <c r="C256" s="69"/>
      <c r="D256" s="116"/>
      <c r="E256" s="170"/>
      <c r="F256" s="170"/>
      <c r="G256" s="170"/>
      <c r="H256" s="170"/>
      <c r="I256" s="190"/>
      <c r="J256" s="191"/>
      <c r="K256" s="170"/>
      <c r="L256" s="191"/>
      <c r="M256" s="190"/>
      <c r="N256" s="190"/>
      <c r="O256" s="191"/>
      <c r="P256" s="191"/>
      <c r="Q256" s="170"/>
      <c r="R256" s="170"/>
      <c r="S256" s="193"/>
      <c r="T256" s="194"/>
      <c r="U256" s="195"/>
      <c r="V256" s="196"/>
      <c r="W256" s="195"/>
      <c r="X256" s="170"/>
      <c r="Y256" s="170"/>
      <c r="Z256" s="170"/>
      <c r="AA256" s="170"/>
      <c r="AB256" s="197"/>
      <c r="AC256" s="170"/>
      <c r="AD256" s="170"/>
      <c r="AE256" s="170"/>
      <c r="AF256" s="198"/>
      <c r="AG256" s="170"/>
      <c r="AH256" s="198"/>
      <c r="AI256" s="170"/>
      <c r="AJ256" s="190"/>
      <c r="AK256" s="170"/>
      <c r="AL256" s="170"/>
      <c r="AM256" s="170"/>
      <c r="AN256" s="170"/>
      <c r="AO256" s="170"/>
      <c r="AP256" s="199"/>
      <c r="AQ256" s="170"/>
      <c r="AR256" s="198"/>
      <c r="AS256" s="195"/>
      <c r="AT256" s="195"/>
      <c r="AU256" s="195"/>
      <c r="AV256" s="145"/>
      <c r="AW256" s="178"/>
      <c r="AX256" s="179"/>
      <c r="AY256" s="145"/>
    </row>
    <row r="257" spans="3:51">
      <c r="C257" s="69"/>
      <c r="D257" s="116"/>
      <c r="E257" s="170"/>
      <c r="F257" s="170"/>
      <c r="G257" s="170"/>
      <c r="H257" s="170"/>
      <c r="I257" s="190"/>
      <c r="J257" s="191"/>
      <c r="K257" s="170"/>
      <c r="L257" s="191"/>
      <c r="M257" s="190"/>
      <c r="N257" s="190"/>
      <c r="O257" s="191"/>
      <c r="P257" s="191"/>
      <c r="Q257" s="170"/>
      <c r="R257" s="170"/>
      <c r="S257" s="193"/>
      <c r="T257" s="194"/>
      <c r="U257" s="195"/>
      <c r="V257" s="196"/>
      <c r="W257" s="195"/>
      <c r="X257" s="170"/>
      <c r="Y257" s="170"/>
      <c r="Z257" s="170"/>
      <c r="AA257" s="170"/>
      <c r="AB257" s="197"/>
      <c r="AC257" s="170"/>
      <c r="AD257" s="170"/>
      <c r="AE257" s="170"/>
      <c r="AF257" s="198"/>
      <c r="AG257" s="170"/>
      <c r="AH257" s="198"/>
      <c r="AI257" s="170"/>
      <c r="AJ257" s="190"/>
      <c r="AK257" s="170"/>
      <c r="AL257" s="170"/>
      <c r="AM257" s="170"/>
      <c r="AN257" s="170"/>
      <c r="AO257" s="170"/>
      <c r="AP257" s="199"/>
      <c r="AQ257" s="170"/>
      <c r="AR257" s="198"/>
      <c r="AS257" s="195"/>
      <c r="AT257" s="195"/>
      <c r="AU257" s="195"/>
      <c r="AV257" s="145"/>
      <c r="AW257" s="178"/>
      <c r="AX257" s="179"/>
      <c r="AY257" s="145"/>
    </row>
    <row r="258" spans="3:51">
      <c r="C258" s="69"/>
      <c r="D258" s="116"/>
      <c r="E258" s="170"/>
      <c r="F258" s="170"/>
      <c r="G258" s="170"/>
      <c r="H258" s="170"/>
      <c r="I258" s="190"/>
      <c r="J258" s="191"/>
      <c r="K258" s="170"/>
      <c r="L258" s="191"/>
      <c r="M258" s="190"/>
      <c r="N258" s="190"/>
      <c r="O258" s="191"/>
      <c r="P258" s="191"/>
      <c r="Q258" s="170"/>
      <c r="R258" s="170"/>
      <c r="S258" s="193"/>
      <c r="T258" s="194"/>
      <c r="U258" s="195"/>
      <c r="V258" s="196"/>
      <c r="W258" s="195"/>
      <c r="X258" s="170"/>
      <c r="Y258" s="170"/>
      <c r="Z258" s="170"/>
      <c r="AA258" s="170"/>
      <c r="AB258" s="197"/>
      <c r="AC258" s="170"/>
      <c r="AD258" s="170"/>
      <c r="AE258" s="170"/>
      <c r="AF258" s="198"/>
      <c r="AG258" s="170"/>
      <c r="AH258" s="198"/>
      <c r="AI258" s="170"/>
      <c r="AJ258" s="190"/>
      <c r="AK258" s="170"/>
      <c r="AL258" s="170"/>
      <c r="AM258" s="170"/>
      <c r="AN258" s="170"/>
      <c r="AO258" s="170"/>
      <c r="AP258" s="199"/>
      <c r="AQ258" s="170"/>
      <c r="AR258" s="198"/>
      <c r="AS258" s="195"/>
      <c r="AT258" s="195"/>
      <c r="AU258" s="195"/>
      <c r="AV258" s="145"/>
      <c r="AW258" s="178"/>
      <c r="AX258" s="179"/>
      <c r="AY258" s="145"/>
    </row>
    <row r="259" spans="3:51">
      <c r="C259" s="69"/>
      <c r="D259" s="116"/>
      <c r="E259" s="170"/>
      <c r="F259" s="170"/>
      <c r="G259" s="170"/>
      <c r="H259" s="170"/>
      <c r="I259" s="190"/>
      <c r="J259" s="191"/>
      <c r="K259" s="170"/>
      <c r="L259" s="191"/>
      <c r="M259" s="190"/>
      <c r="N259" s="190"/>
      <c r="O259" s="191"/>
      <c r="P259" s="191"/>
      <c r="Q259" s="170"/>
      <c r="R259" s="170"/>
      <c r="S259" s="193"/>
      <c r="T259" s="194"/>
      <c r="U259" s="195"/>
      <c r="V259" s="196"/>
      <c r="W259" s="195"/>
      <c r="X259" s="170"/>
      <c r="Y259" s="170"/>
      <c r="Z259" s="170"/>
      <c r="AA259" s="170"/>
      <c r="AB259" s="197"/>
      <c r="AC259" s="170"/>
      <c r="AD259" s="170"/>
      <c r="AE259" s="170"/>
      <c r="AF259" s="198"/>
      <c r="AG259" s="170"/>
      <c r="AH259" s="198"/>
      <c r="AI259" s="170"/>
      <c r="AJ259" s="190"/>
      <c r="AK259" s="170"/>
      <c r="AL259" s="170"/>
      <c r="AM259" s="170"/>
      <c r="AN259" s="170"/>
      <c r="AO259" s="170"/>
      <c r="AP259" s="199"/>
      <c r="AQ259" s="170"/>
      <c r="AR259" s="198"/>
      <c r="AS259" s="195"/>
      <c r="AT259" s="195"/>
      <c r="AU259" s="195"/>
      <c r="AV259" s="145"/>
      <c r="AW259" s="178"/>
      <c r="AX259" s="179"/>
      <c r="AY259" s="145"/>
    </row>
    <row r="260" spans="3:51">
      <c r="C260" s="69"/>
      <c r="D260" s="116"/>
      <c r="E260" s="170"/>
      <c r="F260" s="170"/>
      <c r="G260" s="170"/>
      <c r="H260" s="170"/>
      <c r="I260" s="190"/>
      <c r="J260" s="191"/>
      <c r="K260" s="170"/>
      <c r="L260" s="191"/>
      <c r="M260" s="190"/>
      <c r="N260" s="190"/>
      <c r="O260" s="191"/>
      <c r="P260" s="191"/>
      <c r="Q260" s="170"/>
      <c r="R260" s="170"/>
      <c r="S260" s="193"/>
      <c r="T260" s="194"/>
      <c r="U260" s="195"/>
      <c r="V260" s="196"/>
      <c r="W260" s="195"/>
      <c r="X260" s="170"/>
      <c r="Y260" s="170"/>
      <c r="Z260" s="170"/>
      <c r="AA260" s="170"/>
      <c r="AB260" s="197"/>
      <c r="AC260" s="170"/>
      <c r="AD260" s="170"/>
      <c r="AE260" s="170"/>
      <c r="AF260" s="198"/>
      <c r="AG260" s="170"/>
      <c r="AH260" s="198"/>
      <c r="AI260" s="170"/>
      <c r="AJ260" s="190"/>
      <c r="AK260" s="170"/>
      <c r="AL260" s="170"/>
      <c r="AM260" s="170"/>
      <c r="AN260" s="170"/>
      <c r="AO260" s="170"/>
      <c r="AP260" s="199"/>
      <c r="AQ260" s="170"/>
      <c r="AR260" s="198"/>
      <c r="AS260" s="195"/>
      <c r="AT260" s="195"/>
      <c r="AU260" s="195"/>
      <c r="AV260" s="145"/>
      <c r="AW260" s="178"/>
      <c r="AX260" s="179"/>
      <c r="AY260" s="145"/>
    </row>
    <row r="261" spans="3:51">
      <c r="C261" s="69"/>
      <c r="D261" s="116"/>
      <c r="E261" s="170"/>
      <c r="F261" s="170"/>
      <c r="G261" s="170"/>
      <c r="H261" s="170"/>
      <c r="I261" s="190"/>
      <c r="J261" s="191"/>
      <c r="K261" s="170"/>
      <c r="L261" s="191"/>
      <c r="M261" s="190"/>
      <c r="N261" s="190"/>
      <c r="O261" s="191"/>
      <c r="P261" s="191"/>
      <c r="Q261" s="170"/>
      <c r="R261" s="170"/>
      <c r="S261" s="193"/>
      <c r="T261" s="194"/>
      <c r="U261" s="195"/>
      <c r="V261" s="196"/>
      <c r="W261" s="195"/>
      <c r="X261" s="170"/>
      <c r="Y261" s="170"/>
      <c r="Z261" s="170"/>
      <c r="AA261" s="170"/>
      <c r="AB261" s="197"/>
      <c r="AC261" s="170"/>
      <c r="AD261" s="170"/>
      <c r="AE261" s="170"/>
      <c r="AF261" s="198"/>
      <c r="AG261" s="170"/>
      <c r="AH261" s="198"/>
      <c r="AI261" s="170"/>
      <c r="AJ261" s="190"/>
      <c r="AK261" s="170"/>
      <c r="AL261" s="170"/>
      <c r="AM261" s="170"/>
      <c r="AN261" s="170"/>
      <c r="AO261" s="170"/>
      <c r="AP261" s="199"/>
      <c r="AQ261" s="170"/>
      <c r="AR261" s="198"/>
      <c r="AS261" s="195"/>
      <c r="AT261" s="195"/>
      <c r="AU261" s="195"/>
      <c r="AV261" s="145"/>
      <c r="AW261" s="178"/>
      <c r="AX261" s="179"/>
      <c r="AY261" s="145"/>
    </row>
    <row r="262" spans="3:51">
      <c r="C262" s="69"/>
      <c r="D262" s="116"/>
      <c r="E262" s="170"/>
      <c r="F262" s="170"/>
      <c r="G262" s="170"/>
      <c r="H262" s="170"/>
      <c r="I262" s="190"/>
      <c r="J262" s="191"/>
      <c r="K262" s="170"/>
      <c r="L262" s="191"/>
      <c r="M262" s="190"/>
      <c r="N262" s="190"/>
      <c r="O262" s="191"/>
      <c r="P262" s="191"/>
      <c r="Q262" s="170"/>
      <c r="R262" s="170"/>
      <c r="S262" s="193"/>
      <c r="T262" s="194"/>
      <c r="U262" s="195"/>
      <c r="V262" s="196"/>
      <c r="W262" s="195"/>
      <c r="X262" s="170"/>
      <c r="Y262" s="170"/>
      <c r="Z262" s="170"/>
      <c r="AA262" s="170"/>
      <c r="AB262" s="197"/>
      <c r="AC262" s="170"/>
      <c r="AD262" s="170"/>
      <c r="AE262" s="170"/>
      <c r="AF262" s="198"/>
      <c r="AG262" s="170"/>
      <c r="AH262" s="198"/>
      <c r="AI262" s="170"/>
      <c r="AJ262" s="190"/>
      <c r="AK262" s="170"/>
      <c r="AL262" s="170"/>
      <c r="AM262" s="170"/>
      <c r="AN262" s="170"/>
      <c r="AO262" s="170"/>
      <c r="AP262" s="199"/>
      <c r="AQ262" s="170"/>
      <c r="AR262" s="198"/>
      <c r="AS262" s="195"/>
      <c r="AT262" s="195"/>
      <c r="AU262" s="195"/>
      <c r="AV262" s="145"/>
      <c r="AW262" s="178"/>
      <c r="AX262" s="179"/>
      <c r="AY262" s="145"/>
    </row>
    <row r="263" spans="3:51">
      <c r="C263" s="69"/>
      <c r="D263" s="116"/>
      <c r="E263" s="170"/>
      <c r="F263" s="170"/>
      <c r="G263" s="170"/>
      <c r="H263" s="170"/>
      <c r="I263" s="190"/>
      <c r="J263" s="191"/>
      <c r="K263" s="170"/>
      <c r="L263" s="191"/>
      <c r="M263" s="190"/>
      <c r="N263" s="190"/>
      <c r="O263" s="191"/>
      <c r="P263" s="191"/>
      <c r="Q263" s="170"/>
      <c r="R263" s="170"/>
      <c r="S263" s="193"/>
      <c r="T263" s="194"/>
      <c r="U263" s="195"/>
      <c r="V263" s="196"/>
      <c r="W263" s="195"/>
      <c r="X263" s="170"/>
      <c r="Y263" s="170"/>
      <c r="Z263" s="170"/>
      <c r="AA263" s="170"/>
      <c r="AB263" s="197"/>
      <c r="AC263" s="170"/>
      <c r="AD263" s="170"/>
      <c r="AE263" s="170"/>
      <c r="AF263" s="198"/>
      <c r="AG263" s="170"/>
      <c r="AH263" s="198"/>
      <c r="AI263" s="170"/>
      <c r="AJ263" s="190"/>
      <c r="AK263" s="170"/>
      <c r="AL263" s="170"/>
      <c r="AM263" s="170"/>
      <c r="AN263" s="170"/>
      <c r="AO263" s="170"/>
      <c r="AP263" s="199"/>
      <c r="AQ263" s="170"/>
      <c r="AR263" s="198"/>
      <c r="AS263" s="195"/>
      <c r="AT263" s="195"/>
      <c r="AU263" s="195"/>
      <c r="AV263" s="145"/>
      <c r="AW263" s="178"/>
      <c r="AX263" s="179"/>
      <c r="AY263" s="145"/>
    </row>
    <row r="264" spans="3:51">
      <c r="C264" s="69"/>
      <c r="D264" s="116"/>
      <c r="E264" s="170"/>
      <c r="F264" s="170"/>
      <c r="G264" s="170"/>
      <c r="H264" s="170"/>
      <c r="I264" s="190"/>
      <c r="J264" s="191"/>
      <c r="K264" s="170"/>
      <c r="L264" s="191"/>
      <c r="M264" s="190"/>
      <c r="N264" s="190"/>
      <c r="O264" s="191"/>
      <c r="P264" s="191"/>
      <c r="Q264" s="170"/>
      <c r="R264" s="170"/>
      <c r="S264" s="193"/>
      <c r="T264" s="194"/>
      <c r="U264" s="195"/>
      <c r="V264" s="196"/>
      <c r="W264" s="195"/>
      <c r="X264" s="170"/>
      <c r="Y264" s="170"/>
      <c r="Z264" s="170"/>
      <c r="AA264" s="170"/>
      <c r="AB264" s="197"/>
      <c r="AC264" s="170"/>
      <c r="AD264" s="170"/>
      <c r="AE264" s="170"/>
      <c r="AF264" s="198"/>
      <c r="AG264" s="170"/>
      <c r="AH264" s="198"/>
      <c r="AI264" s="170"/>
      <c r="AJ264" s="190"/>
      <c r="AK264" s="170"/>
      <c r="AL264" s="170"/>
      <c r="AM264" s="170"/>
      <c r="AN264" s="170"/>
      <c r="AO264" s="170"/>
      <c r="AP264" s="199"/>
      <c r="AQ264" s="170"/>
      <c r="AR264" s="198"/>
      <c r="AS264" s="195"/>
      <c r="AT264" s="195"/>
      <c r="AU264" s="195"/>
      <c r="AV264" s="145"/>
      <c r="AW264" s="178"/>
      <c r="AX264" s="179"/>
      <c r="AY264" s="145"/>
    </row>
    <row r="265" spans="3:51">
      <c r="C265" s="69"/>
      <c r="D265" s="116"/>
      <c r="E265" s="170"/>
      <c r="F265" s="170"/>
      <c r="G265" s="170"/>
      <c r="H265" s="170"/>
      <c r="I265" s="190"/>
      <c r="J265" s="191"/>
      <c r="K265" s="170"/>
      <c r="L265" s="191"/>
      <c r="M265" s="190"/>
      <c r="N265" s="190"/>
      <c r="O265" s="191"/>
      <c r="P265" s="191"/>
      <c r="Q265" s="170"/>
      <c r="R265" s="170"/>
      <c r="S265" s="193"/>
      <c r="T265" s="194"/>
      <c r="U265" s="195"/>
      <c r="V265" s="196"/>
      <c r="W265" s="195"/>
      <c r="X265" s="170"/>
      <c r="Y265" s="170"/>
      <c r="Z265" s="170"/>
      <c r="AA265" s="170"/>
      <c r="AB265" s="197"/>
      <c r="AC265" s="170"/>
      <c r="AD265" s="170"/>
      <c r="AE265" s="170"/>
      <c r="AF265" s="198"/>
      <c r="AG265" s="170"/>
      <c r="AH265" s="198"/>
      <c r="AI265" s="170"/>
      <c r="AJ265" s="190"/>
      <c r="AK265" s="170"/>
      <c r="AL265" s="170"/>
      <c r="AM265" s="170"/>
      <c r="AN265" s="170"/>
      <c r="AO265" s="170"/>
      <c r="AP265" s="199"/>
      <c r="AQ265" s="170"/>
      <c r="AR265" s="198"/>
      <c r="AS265" s="195"/>
      <c r="AT265" s="195"/>
      <c r="AU265" s="195"/>
      <c r="AV265" s="145"/>
      <c r="AW265" s="178"/>
      <c r="AX265" s="179"/>
      <c r="AY265" s="145"/>
    </row>
    <row r="266" spans="3:51">
      <c r="C266" s="69"/>
      <c r="D266" s="116"/>
      <c r="E266" s="170"/>
      <c r="F266" s="170"/>
      <c r="G266" s="170"/>
      <c r="H266" s="170"/>
      <c r="I266" s="190"/>
      <c r="J266" s="191"/>
      <c r="K266" s="170"/>
      <c r="L266" s="191"/>
      <c r="M266" s="190"/>
      <c r="N266" s="190"/>
      <c r="O266" s="191"/>
      <c r="P266" s="191"/>
      <c r="Q266" s="170"/>
      <c r="R266" s="170"/>
      <c r="S266" s="193"/>
      <c r="T266" s="194"/>
      <c r="U266" s="195"/>
      <c r="V266" s="196"/>
      <c r="W266" s="195"/>
      <c r="X266" s="170"/>
      <c r="Y266" s="170"/>
      <c r="Z266" s="170"/>
      <c r="AA266" s="170"/>
      <c r="AB266" s="197"/>
      <c r="AC266" s="170"/>
      <c r="AD266" s="170"/>
      <c r="AE266" s="170"/>
      <c r="AF266" s="198"/>
      <c r="AG266" s="170"/>
      <c r="AH266" s="198"/>
      <c r="AI266" s="170"/>
      <c r="AJ266" s="190"/>
      <c r="AK266" s="170"/>
      <c r="AL266" s="170"/>
      <c r="AM266" s="170"/>
      <c r="AN266" s="170"/>
      <c r="AO266" s="170"/>
      <c r="AP266" s="199"/>
      <c r="AQ266" s="170"/>
      <c r="AR266" s="198"/>
      <c r="AS266" s="195"/>
      <c r="AT266" s="195"/>
      <c r="AU266" s="195"/>
      <c r="AV266" s="145"/>
      <c r="AW266" s="178"/>
      <c r="AX266" s="179"/>
      <c r="AY266" s="145"/>
    </row>
    <row r="267" spans="3:51">
      <c r="C267" s="69"/>
      <c r="D267" s="116"/>
      <c r="E267" s="170"/>
      <c r="F267" s="170"/>
      <c r="G267" s="170"/>
      <c r="H267" s="170"/>
      <c r="I267" s="190"/>
      <c r="J267" s="191"/>
      <c r="K267" s="170"/>
      <c r="L267" s="191"/>
      <c r="M267" s="190"/>
      <c r="N267" s="190"/>
      <c r="O267" s="191"/>
      <c r="P267" s="191"/>
      <c r="Q267" s="170"/>
      <c r="R267" s="170"/>
      <c r="S267" s="193"/>
      <c r="T267" s="194"/>
      <c r="U267" s="195"/>
      <c r="V267" s="196"/>
      <c r="W267" s="195"/>
      <c r="X267" s="170"/>
      <c r="Y267" s="170"/>
      <c r="Z267" s="170"/>
      <c r="AA267" s="170"/>
      <c r="AB267" s="197"/>
      <c r="AC267" s="170"/>
      <c r="AD267" s="170"/>
      <c r="AE267" s="170"/>
      <c r="AF267" s="198"/>
      <c r="AG267" s="170"/>
      <c r="AH267" s="198"/>
      <c r="AI267" s="170"/>
      <c r="AJ267" s="190"/>
      <c r="AK267" s="170"/>
      <c r="AL267" s="170"/>
      <c r="AM267" s="170"/>
      <c r="AN267" s="170"/>
      <c r="AO267" s="170"/>
      <c r="AP267" s="199"/>
      <c r="AQ267" s="170"/>
      <c r="AR267" s="198"/>
      <c r="AS267" s="195"/>
      <c r="AT267" s="195"/>
      <c r="AU267" s="195"/>
      <c r="AV267" s="145"/>
      <c r="AW267" s="178"/>
      <c r="AX267" s="179"/>
      <c r="AY267" s="145"/>
    </row>
    <row r="268" spans="3:51">
      <c r="C268" s="69"/>
      <c r="D268" s="116"/>
      <c r="E268" s="170"/>
      <c r="F268" s="170"/>
      <c r="G268" s="170"/>
      <c r="H268" s="170"/>
      <c r="I268" s="190"/>
      <c r="J268" s="191"/>
      <c r="K268" s="170"/>
      <c r="L268" s="191"/>
      <c r="M268" s="190"/>
      <c r="N268" s="190"/>
      <c r="O268" s="191"/>
      <c r="P268" s="191"/>
      <c r="Q268" s="170"/>
      <c r="R268" s="170"/>
      <c r="S268" s="193"/>
      <c r="T268" s="194"/>
      <c r="U268" s="195"/>
      <c r="V268" s="196"/>
      <c r="W268" s="195"/>
      <c r="X268" s="170"/>
      <c r="Y268" s="170"/>
      <c r="Z268" s="170"/>
      <c r="AA268" s="170"/>
      <c r="AB268" s="197"/>
      <c r="AC268" s="170"/>
      <c r="AD268" s="170"/>
      <c r="AE268" s="170"/>
      <c r="AF268" s="198"/>
      <c r="AG268" s="170"/>
      <c r="AH268" s="198"/>
      <c r="AI268" s="170"/>
      <c r="AJ268" s="190"/>
      <c r="AK268" s="170"/>
      <c r="AL268" s="170"/>
      <c r="AM268" s="170"/>
      <c r="AN268" s="170"/>
      <c r="AO268" s="170"/>
      <c r="AP268" s="199"/>
      <c r="AQ268" s="170"/>
      <c r="AR268" s="198"/>
      <c r="AS268" s="195"/>
      <c r="AT268" s="195"/>
      <c r="AU268" s="195"/>
      <c r="AV268" s="145"/>
      <c r="AW268" s="178"/>
      <c r="AX268" s="179"/>
      <c r="AY268" s="145"/>
    </row>
    <row r="269" spans="3:51">
      <c r="C269" s="69"/>
      <c r="D269" s="116"/>
      <c r="E269" s="170"/>
      <c r="F269" s="170"/>
      <c r="G269" s="170"/>
      <c r="H269" s="170"/>
      <c r="I269" s="190"/>
      <c r="J269" s="191"/>
      <c r="K269" s="170"/>
      <c r="L269" s="191"/>
      <c r="M269" s="190"/>
      <c r="N269" s="190"/>
      <c r="O269" s="191"/>
      <c r="P269" s="191"/>
      <c r="Q269" s="170"/>
      <c r="R269" s="170"/>
      <c r="S269" s="193"/>
      <c r="T269" s="194"/>
      <c r="U269" s="195"/>
      <c r="V269" s="196"/>
      <c r="W269" s="195"/>
      <c r="X269" s="170"/>
      <c r="Y269" s="170"/>
      <c r="Z269" s="170"/>
      <c r="AA269" s="170"/>
      <c r="AB269" s="197"/>
      <c r="AC269" s="170"/>
      <c r="AD269" s="170"/>
      <c r="AE269" s="170"/>
      <c r="AF269" s="198"/>
      <c r="AG269" s="170"/>
      <c r="AH269" s="198"/>
      <c r="AI269" s="170"/>
      <c r="AJ269" s="190"/>
      <c r="AK269" s="170"/>
      <c r="AL269" s="170"/>
      <c r="AM269" s="170"/>
      <c r="AN269" s="170"/>
      <c r="AO269" s="170"/>
      <c r="AP269" s="199"/>
      <c r="AQ269" s="170"/>
      <c r="AR269" s="198"/>
      <c r="AS269" s="195"/>
      <c r="AT269" s="195"/>
      <c r="AU269" s="195"/>
      <c r="AV269" s="145"/>
      <c r="AW269" s="178"/>
      <c r="AX269" s="179"/>
      <c r="AY269" s="145"/>
    </row>
    <row r="270" spans="3:51">
      <c r="C270" s="69"/>
      <c r="D270" s="116"/>
      <c r="E270" s="170"/>
      <c r="F270" s="170"/>
      <c r="G270" s="170"/>
      <c r="H270" s="170"/>
      <c r="I270" s="190"/>
      <c r="J270" s="191"/>
      <c r="K270" s="170"/>
      <c r="L270" s="191"/>
      <c r="M270" s="190"/>
      <c r="N270" s="190"/>
      <c r="O270" s="191"/>
      <c r="P270" s="191"/>
      <c r="Q270" s="170"/>
      <c r="R270" s="170"/>
      <c r="S270" s="193"/>
      <c r="T270" s="194"/>
      <c r="U270" s="195"/>
      <c r="V270" s="196"/>
      <c r="W270" s="195"/>
      <c r="X270" s="170"/>
      <c r="Y270" s="170"/>
      <c r="Z270" s="170"/>
      <c r="AA270" s="170"/>
      <c r="AB270" s="197"/>
      <c r="AC270" s="170"/>
      <c r="AD270" s="170"/>
      <c r="AE270" s="170"/>
      <c r="AF270" s="198"/>
      <c r="AG270" s="170"/>
      <c r="AH270" s="198"/>
      <c r="AI270" s="170"/>
      <c r="AJ270" s="190"/>
      <c r="AK270" s="170"/>
      <c r="AL270" s="170"/>
      <c r="AM270" s="170"/>
      <c r="AN270" s="170"/>
      <c r="AO270" s="170"/>
      <c r="AP270" s="199"/>
      <c r="AQ270" s="170"/>
      <c r="AR270" s="198"/>
      <c r="AS270" s="195"/>
      <c r="AT270" s="195"/>
      <c r="AU270" s="195"/>
      <c r="AV270" s="145"/>
      <c r="AW270" s="178"/>
      <c r="AX270" s="179"/>
      <c r="AY270" s="145"/>
    </row>
    <row r="271" spans="3:51">
      <c r="C271" s="69"/>
      <c r="D271" s="116"/>
      <c r="E271" s="170"/>
      <c r="F271" s="170"/>
      <c r="G271" s="170"/>
      <c r="H271" s="170"/>
      <c r="I271" s="190"/>
      <c r="J271" s="191"/>
      <c r="K271" s="170"/>
      <c r="L271" s="191"/>
      <c r="M271" s="190"/>
      <c r="N271" s="190"/>
      <c r="O271" s="191"/>
      <c r="P271" s="191"/>
      <c r="Q271" s="170"/>
      <c r="R271" s="170"/>
      <c r="S271" s="193"/>
      <c r="T271" s="194"/>
      <c r="U271" s="195"/>
      <c r="V271" s="196"/>
      <c r="W271" s="195"/>
      <c r="X271" s="170"/>
      <c r="Y271" s="170"/>
      <c r="Z271" s="170"/>
      <c r="AA271" s="170"/>
      <c r="AB271" s="197"/>
      <c r="AC271" s="170"/>
      <c r="AD271" s="170"/>
      <c r="AE271" s="170"/>
      <c r="AF271" s="198"/>
      <c r="AG271" s="170"/>
      <c r="AH271" s="198"/>
      <c r="AI271" s="170"/>
      <c r="AJ271" s="190"/>
      <c r="AK271" s="170"/>
      <c r="AL271" s="170"/>
      <c r="AM271" s="170"/>
      <c r="AN271" s="170"/>
      <c r="AO271" s="170"/>
      <c r="AP271" s="199"/>
      <c r="AQ271" s="170"/>
      <c r="AR271" s="198"/>
      <c r="AS271" s="195"/>
      <c r="AT271" s="195"/>
      <c r="AU271" s="195"/>
      <c r="AV271" s="145"/>
      <c r="AW271" s="178"/>
      <c r="AX271" s="179"/>
      <c r="AY271" s="145"/>
    </row>
    <row r="272" spans="3:51">
      <c r="C272" s="69"/>
      <c r="D272" s="116"/>
      <c r="E272" s="170"/>
      <c r="F272" s="170"/>
      <c r="G272" s="170"/>
      <c r="H272" s="170"/>
      <c r="I272" s="190"/>
      <c r="J272" s="191"/>
      <c r="K272" s="170"/>
      <c r="L272" s="191"/>
      <c r="M272" s="190"/>
      <c r="N272" s="190"/>
      <c r="O272" s="191"/>
      <c r="P272" s="191"/>
      <c r="Q272" s="170"/>
      <c r="R272" s="170"/>
      <c r="S272" s="193"/>
      <c r="T272" s="194"/>
      <c r="U272" s="195"/>
      <c r="V272" s="196"/>
      <c r="W272" s="195"/>
      <c r="X272" s="170"/>
      <c r="Y272" s="170"/>
      <c r="Z272" s="170"/>
      <c r="AA272" s="170"/>
      <c r="AB272" s="197"/>
      <c r="AC272" s="170"/>
      <c r="AD272" s="170"/>
      <c r="AE272" s="170"/>
      <c r="AF272" s="198"/>
      <c r="AG272" s="170"/>
      <c r="AH272" s="198"/>
      <c r="AI272" s="170"/>
      <c r="AJ272" s="190"/>
      <c r="AK272" s="170"/>
      <c r="AL272" s="170"/>
      <c r="AM272" s="170"/>
      <c r="AN272" s="170"/>
      <c r="AO272" s="170"/>
      <c r="AP272" s="199"/>
      <c r="AQ272" s="170"/>
      <c r="AR272" s="198"/>
      <c r="AS272" s="195"/>
      <c r="AT272" s="195"/>
      <c r="AU272" s="195"/>
      <c r="AV272" s="145"/>
      <c r="AW272" s="178"/>
      <c r="AX272" s="179"/>
      <c r="AY272" s="145"/>
    </row>
    <row r="273" spans="3:51">
      <c r="C273" s="69"/>
      <c r="D273" s="116"/>
      <c r="E273" s="170"/>
      <c r="F273" s="170"/>
      <c r="G273" s="170"/>
      <c r="H273" s="170"/>
      <c r="I273" s="190"/>
      <c r="J273" s="191"/>
      <c r="K273" s="170"/>
      <c r="L273" s="191"/>
      <c r="M273" s="190"/>
      <c r="N273" s="190"/>
      <c r="O273" s="191"/>
      <c r="P273" s="191"/>
      <c r="Q273" s="170"/>
      <c r="R273" s="170"/>
      <c r="S273" s="193"/>
      <c r="T273" s="194"/>
      <c r="U273" s="195"/>
      <c r="V273" s="196"/>
      <c r="W273" s="195"/>
      <c r="X273" s="170"/>
      <c r="Y273" s="170"/>
      <c r="Z273" s="170"/>
      <c r="AA273" s="170"/>
      <c r="AB273" s="197"/>
      <c r="AC273" s="170"/>
      <c r="AD273" s="170"/>
      <c r="AE273" s="170"/>
      <c r="AF273" s="198"/>
      <c r="AG273" s="170"/>
      <c r="AH273" s="198"/>
      <c r="AI273" s="170"/>
      <c r="AJ273" s="190"/>
      <c r="AK273" s="170"/>
      <c r="AL273" s="170"/>
      <c r="AM273" s="170"/>
      <c r="AN273" s="170"/>
      <c r="AO273" s="170"/>
      <c r="AP273" s="199"/>
      <c r="AQ273" s="170"/>
      <c r="AR273" s="198"/>
      <c r="AS273" s="195"/>
      <c r="AT273" s="195"/>
      <c r="AU273" s="195"/>
      <c r="AV273" s="145"/>
      <c r="AW273" s="178"/>
      <c r="AX273" s="179"/>
      <c r="AY273" s="145"/>
    </row>
    <row r="274" spans="3:51">
      <c r="C274" s="69"/>
      <c r="D274" s="116"/>
      <c r="E274" s="170"/>
      <c r="F274" s="170"/>
      <c r="G274" s="170"/>
      <c r="H274" s="170"/>
      <c r="I274" s="190"/>
      <c r="J274" s="191"/>
      <c r="K274" s="170"/>
      <c r="L274" s="191"/>
      <c r="M274" s="190"/>
      <c r="N274" s="190"/>
      <c r="O274" s="191"/>
      <c r="P274" s="191"/>
      <c r="Q274" s="170"/>
      <c r="R274" s="170"/>
      <c r="S274" s="193"/>
      <c r="T274" s="194"/>
      <c r="U274" s="195"/>
      <c r="V274" s="196"/>
      <c r="W274" s="195"/>
      <c r="X274" s="170"/>
      <c r="Y274" s="170"/>
      <c r="Z274" s="170"/>
      <c r="AA274" s="170"/>
      <c r="AB274" s="197"/>
      <c r="AC274" s="170"/>
      <c r="AD274" s="170"/>
      <c r="AE274" s="170"/>
      <c r="AF274" s="198"/>
      <c r="AG274" s="170"/>
      <c r="AH274" s="198"/>
      <c r="AI274" s="170"/>
      <c r="AJ274" s="190"/>
      <c r="AK274" s="170"/>
      <c r="AL274" s="170"/>
      <c r="AM274" s="170"/>
      <c r="AN274" s="170"/>
      <c r="AO274" s="170"/>
      <c r="AP274" s="199"/>
      <c r="AQ274" s="170"/>
      <c r="AR274" s="198"/>
      <c r="AS274" s="195"/>
      <c r="AT274" s="195"/>
      <c r="AU274" s="195"/>
      <c r="AV274" s="145"/>
      <c r="AW274" s="178"/>
      <c r="AX274" s="179"/>
      <c r="AY274" s="145"/>
    </row>
    <row r="275" spans="3:51">
      <c r="C275" s="69"/>
      <c r="D275" s="116"/>
      <c r="E275" s="170"/>
      <c r="F275" s="170"/>
      <c r="G275" s="170"/>
      <c r="H275" s="170"/>
      <c r="I275" s="190"/>
      <c r="J275" s="191"/>
      <c r="K275" s="170"/>
      <c r="L275" s="191"/>
      <c r="M275" s="190"/>
      <c r="N275" s="190"/>
      <c r="O275" s="191"/>
      <c r="P275" s="191"/>
      <c r="Q275" s="170"/>
      <c r="R275" s="170"/>
      <c r="S275" s="193"/>
      <c r="T275" s="194"/>
      <c r="U275" s="195"/>
      <c r="V275" s="196"/>
      <c r="W275" s="195"/>
      <c r="X275" s="170"/>
      <c r="Y275" s="170"/>
      <c r="Z275" s="170"/>
      <c r="AA275" s="170"/>
      <c r="AB275" s="197"/>
      <c r="AC275" s="170"/>
      <c r="AD275" s="170"/>
      <c r="AE275" s="170"/>
      <c r="AF275" s="198"/>
      <c r="AG275" s="170"/>
      <c r="AH275" s="198"/>
      <c r="AI275" s="170"/>
      <c r="AJ275" s="190"/>
      <c r="AK275" s="170"/>
      <c r="AL275" s="170"/>
      <c r="AM275" s="170"/>
      <c r="AN275" s="170"/>
      <c r="AO275" s="170"/>
      <c r="AP275" s="199"/>
      <c r="AQ275" s="170"/>
      <c r="AR275" s="198"/>
      <c r="AS275" s="195"/>
      <c r="AT275" s="195"/>
      <c r="AU275" s="195"/>
      <c r="AV275" s="145"/>
      <c r="AW275" s="178"/>
      <c r="AX275" s="179"/>
      <c r="AY275" s="145"/>
    </row>
    <row r="276" spans="3:51">
      <c r="C276" s="69"/>
      <c r="D276" s="116"/>
      <c r="E276" s="170"/>
      <c r="F276" s="170"/>
      <c r="G276" s="170"/>
      <c r="H276" s="170"/>
      <c r="I276" s="190"/>
      <c r="J276" s="191"/>
      <c r="K276" s="170"/>
      <c r="L276" s="191"/>
      <c r="M276" s="190"/>
      <c r="N276" s="190"/>
      <c r="O276" s="191"/>
      <c r="P276" s="191"/>
      <c r="Q276" s="170"/>
      <c r="R276" s="170"/>
      <c r="S276" s="193"/>
      <c r="T276" s="194"/>
      <c r="U276" s="195"/>
      <c r="V276" s="196"/>
      <c r="W276" s="195"/>
      <c r="X276" s="170"/>
      <c r="Y276" s="170"/>
      <c r="Z276" s="170"/>
      <c r="AA276" s="170"/>
      <c r="AB276" s="197"/>
      <c r="AC276" s="170"/>
      <c r="AD276" s="170"/>
      <c r="AE276" s="170"/>
      <c r="AF276" s="198"/>
      <c r="AG276" s="170"/>
      <c r="AH276" s="198"/>
      <c r="AI276" s="170"/>
      <c r="AJ276" s="190"/>
      <c r="AK276" s="170"/>
      <c r="AL276" s="170"/>
      <c r="AM276" s="170"/>
      <c r="AN276" s="170"/>
      <c r="AO276" s="170"/>
      <c r="AP276" s="199"/>
      <c r="AQ276" s="170"/>
      <c r="AR276" s="198"/>
      <c r="AS276" s="195"/>
      <c r="AT276" s="195"/>
      <c r="AU276" s="195"/>
      <c r="AV276" s="145"/>
      <c r="AW276" s="178"/>
      <c r="AX276" s="179"/>
      <c r="AY276" s="145"/>
    </row>
    <row r="277" spans="3:51">
      <c r="C277" s="69"/>
      <c r="D277" s="116"/>
      <c r="E277" s="170"/>
      <c r="F277" s="170"/>
      <c r="G277" s="170"/>
      <c r="H277" s="170"/>
      <c r="I277" s="190"/>
      <c r="J277" s="191"/>
      <c r="K277" s="170"/>
      <c r="L277" s="191"/>
      <c r="M277" s="190"/>
      <c r="N277" s="190"/>
      <c r="O277" s="191"/>
      <c r="P277" s="191"/>
      <c r="Q277" s="170"/>
      <c r="R277" s="170"/>
      <c r="S277" s="193"/>
      <c r="T277" s="194"/>
      <c r="U277" s="195"/>
      <c r="V277" s="196"/>
      <c r="W277" s="195"/>
      <c r="X277" s="170"/>
      <c r="Y277" s="170"/>
      <c r="Z277" s="170"/>
      <c r="AA277" s="170"/>
      <c r="AB277" s="197"/>
      <c r="AC277" s="170"/>
      <c r="AD277" s="170"/>
      <c r="AE277" s="170"/>
      <c r="AF277" s="198"/>
      <c r="AG277" s="170"/>
      <c r="AH277" s="198"/>
      <c r="AI277" s="170"/>
      <c r="AJ277" s="190"/>
      <c r="AK277" s="170"/>
      <c r="AL277" s="170"/>
      <c r="AM277" s="170"/>
      <c r="AN277" s="170"/>
      <c r="AO277" s="170"/>
      <c r="AP277" s="199"/>
      <c r="AQ277" s="170"/>
      <c r="AR277" s="198"/>
      <c r="AS277" s="195"/>
      <c r="AT277" s="195"/>
      <c r="AU277" s="195"/>
      <c r="AV277" s="145"/>
      <c r="AW277" s="178"/>
      <c r="AX277" s="179"/>
      <c r="AY277" s="145"/>
    </row>
    <row r="278" spans="3:51">
      <c r="C278" s="69"/>
      <c r="D278" s="116"/>
      <c r="E278" s="170"/>
      <c r="F278" s="170"/>
      <c r="G278" s="170"/>
      <c r="H278" s="170"/>
      <c r="I278" s="190"/>
      <c r="J278" s="191"/>
      <c r="K278" s="170"/>
      <c r="L278" s="191"/>
      <c r="M278" s="190"/>
      <c r="N278" s="190"/>
      <c r="O278" s="191"/>
      <c r="P278" s="191"/>
      <c r="Q278" s="170"/>
      <c r="R278" s="170"/>
      <c r="S278" s="193"/>
      <c r="T278" s="194"/>
      <c r="U278" s="195"/>
      <c r="V278" s="196"/>
      <c r="W278" s="195"/>
      <c r="X278" s="170"/>
      <c r="Y278" s="170"/>
      <c r="Z278" s="170"/>
      <c r="AA278" s="170"/>
      <c r="AB278" s="197"/>
      <c r="AC278" s="170"/>
      <c r="AD278" s="170"/>
      <c r="AE278" s="170"/>
      <c r="AF278" s="198"/>
      <c r="AG278" s="170"/>
      <c r="AH278" s="198"/>
      <c r="AI278" s="170"/>
      <c r="AJ278" s="190"/>
      <c r="AK278" s="170"/>
      <c r="AL278" s="170"/>
      <c r="AM278" s="170"/>
      <c r="AN278" s="170"/>
      <c r="AO278" s="170"/>
      <c r="AP278" s="199"/>
      <c r="AQ278" s="170"/>
      <c r="AR278" s="198"/>
      <c r="AS278" s="195"/>
      <c r="AT278" s="195"/>
      <c r="AU278" s="195"/>
      <c r="AV278" s="145"/>
      <c r="AW278" s="178"/>
      <c r="AX278" s="179"/>
      <c r="AY278" s="145"/>
    </row>
    <row r="279" spans="3:51">
      <c r="C279" s="69"/>
      <c r="D279" s="116"/>
      <c r="E279" s="170"/>
      <c r="F279" s="170"/>
      <c r="G279" s="170"/>
      <c r="H279" s="170"/>
      <c r="I279" s="190"/>
      <c r="J279" s="191"/>
      <c r="K279" s="170"/>
      <c r="L279" s="191"/>
      <c r="M279" s="190"/>
      <c r="N279" s="190"/>
      <c r="O279" s="191"/>
      <c r="P279" s="191"/>
      <c r="Q279" s="170"/>
      <c r="R279" s="170"/>
      <c r="S279" s="193"/>
      <c r="T279" s="194"/>
      <c r="U279" s="195"/>
      <c r="V279" s="196"/>
      <c r="W279" s="195"/>
      <c r="X279" s="170"/>
      <c r="Y279" s="170"/>
      <c r="Z279" s="170"/>
      <c r="AA279" s="170"/>
      <c r="AB279" s="197"/>
      <c r="AC279" s="170"/>
      <c r="AD279" s="170"/>
      <c r="AE279" s="170"/>
      <c r="AF279" s="198"/>
      <c r="AG279" s="170"/>
      <c r="AH279" s="198"/>
      <c r="AI279" s="170"/>
      <c r="AJ279" s="190"/>
      <c r="AK279" s="170"/>
      <c r="AL279" s="170"/>
      <c r="AM279" s="170"/>
      <c r="AN279" s="170"/>
      <c r="AO279" s="170"/>
      <c r="AP279" s="199"/>
      <c r="AQ279" s="170"/>
      <c r="AR279" s="198"/>
      <c r="AS279" s="195"/>
      <c r="AT279" s="195"/>
      <c r="AU279" s="195"/>
      <c r="AV279" s="145"/>
      <c r="AW279" s="178"/>
      <c r="AX279" s="179"/>
      <c r="AY279" s="145"/>
    </row>
    <row r="280" spans="3:51">
      <c r="C280" s="69"/>
      <c r="D280" s="116"/>
      <c r="E280" s="170"/>
      <c r="F280" s="170"/>
      <c r="G280" s="170"/>
      <c r="H280" s="170"/>
      <c r="I280" s="190"/>
      <c r="J280" s="191"/>
      <c r="K280" s="170"/>
      <c r="L280" s="191"/>
      <c r="M280" s="190"/>
      <c r="N280" s="190"/>
      <c r="O280" s="191"/>
      <c r="P280" s="191"/>
      <c r="Q280" s="170"/>
      <c r="R280" s="170"/>
      <c r="S280" s="193"/>
      <c r="T280" s="194"/>
      <c r="U280" s="195"/>
      <c r="V280" s="196"/>
      <c r="W280" s="195"/>
      <c r="X280" s="170"/>
      <c r="Y280" s="170"/>
      <c r="Z280" s="170"/>
      <c r="AA280" s="170"/>
      <c r="AB280" s="197"/>
      <c r="AC280" s="170"/>
      <c r="AD280" s="170"/>
      <c r="AE280" s="170"/>
      <c r="AF280" s="198"/>
      <c r="AG280" s="170"/>
      <c r="AH280" s="198"/>
      <c r="AI280" s="170"/>
      <c r="AJ280" s="190"/>
      <c r="AK280" s="170"/>
      <c r="AL280" s="170"/>
      <c r="AM280" s="170"/>
      <c r="AN280" s="170"/>
      <c r="AO280" s="170"/>
      <c r="AP280" s="199"/>
      <c r="AQ280" s="170"/>
      <c r="AR280" s="198"/>
      <c r="AS280" s="195"/>
      <c r="AT280" s="195"/>
      <c r="AU280" s="195"/>
      <c r="AV280" s="145"/>
      <c r="AW280" s="178"/>
      <c r="AX280" s="179"/>
      <c r="AY280" s="145"/>
    </row>
    <row r="281" spans="3:51">
      <c r="C281" s="69"/>
      <c r="D281" s="116"/>
      <c r="E281" s="170"/>
      <c r="F281" s="170"/>
      <c r="G281" s="170"/>
      <c r="H281" s="170"/>
      <c r="I281" s="190"/>
      <c r="J281" s="191"/>
      <c r="K281" s="170"/>
      <c r="L281" s="191"/>
      <c r="M281" s="190"/>
      <c r="N281" s="190"/>
      <c r="O281" s="191"/>
      <c r="P281" s="191"/>
      <c r="Q281" s="170"/>
      <c r="R281" s="170"/>
      <c r="S281" s="193"/>
      <c r="T281" s="194"/>
      <c r="U281" s="195"/>
      <c r="V281" s="196"/>
      <c r="W281" s="195"/>
      <c r="X281" s="170"/>
      <c r="Y281" s="170"/>
      <c r="Z281" s="170"/>
      <c r="AA281" s="170"/>
      <c r="AB281" s="197"/>
      <c r="AC281" s="170"/>
      <c r="AD281" s="170"/>
      <c r="AE281" s="170"/>
      <c r="AF281" s="198"/>
      <c r="AG281" s="170"/>
      <c r="AH281" s="198"/>
      <c r="AI281" s="170"/>
      <c r="AJ281" s="190"/>
      <c r="AK281" s="170"/>
      <c r="AL281" s="170"/>
      <c r="AM281" s="170"/>
      <c r="AN281" s="170"/>
      <c r="AO281" s="170"/>
      <c r="AP281" s="199"/>
      <c r="AQ281" s="170"/>
      <c r="AR281" s="198"/>
      <c r="AS281" s="195"/>
      <c r="AT281" s="195"/>
      <c r="AU281" s="195"/>
      <c r="AV281" s="145"/>
      <c r="AW281" s="178"/>
      <c r="AX281" s="179"/>
      <c r="AY281" s="145"/>
    </row>
    <row r="282" spans="3:51">
      <c r="C282" s="69"/>
      <c r="D282" s="116"/>
      <c r="E282" s="170"/>
      <c r="F282" s="170"/>
      <c r="G282" s="170"/>
      <c r="H282" s="170"/>
      <c r="I282" s="190"/>
      <c r="J282" s="191"/>
      <c r="K282" s="170"/>
      <c r="L282" s="191"/>
      <c r="M282" s="190"/>
      <c r="N282" s="190"/>
      <c r="O282" s="191"/>
      <c r="P282" s="191"/>
      <c r="Q282" s="170"/>
      <c r="R282" s="170"/>
      <c r="S282" s="193"/>
      <c r="T282" s="194"/>
      <c r="U282" s="195"/>
      <c r="V282" s="196"/>
      <c r="W282" s="195"/>
      <c r="X282" s="170"/>
      <c r="Y282" s="170"/>
      <c r="Z282" s="170"/>
      <c r="AA282" s="170"/>
      <c r="AB282" s="197"/>
      <c r="AC282" s="170"/>
      <c r="AD282" s="170"/>
      <c r="AE282" s="170"/>
      <c r="AF282" s="198"/>
      <c r="AG282" s="170"/>
      <c r="AH282" s="198"/>
      <c r="AI282" s="170"/>
      <c r="AJ282" s="190"/>
      <c r="AK282" s="170"/>
      <c r="AL282" s="170"/>
      <c r="AM282" s="170"/>
      <c r="AN282" s="170"/>
      <c r="AO282" s="170"/>
      <c r="AP282" s="199"/>
      <c r="AQ282" s="170"/>
      <c r="AR282" s="198"/>
      <c r="AS282" s="195"/>
      <c r="AT282" s="195"/>
      <c r="AU282" s="195"/>
      <c r="AV282" s="145"/>
      <c r="AW282" s="178"/>
      <c r="AX282" s="179"/>
      <c r="AY282" s="145"/>
    </row>
    <row r="283" spans="3:51">
      <c r="C283" s="69"/>
      <c r="D283" s="116"/>
      <c r="E283" s="170"/>
      <c r="F283" s="170"/>
      <c r="G283" s="170"/>
      <c r="H283" s="170"/>
      <c r="I283" s="190"/>
      <c r="J283" s="191"/>
      <c r="K283" s="170"/>
      <c r="L283" s="191"/>
      <c r="M283" s="190"/>
      <c r="N283" s="190"/>
      <c r="O283" s="191"/>
      <c r="P283" s="191"/>
      <c r="Q283" s="170"/>
      <c r="R283" s="170"/>
      <c r="S283" s="193"/>
      <c r="T283" s="194"/>
      <c r="U283" s="195"/>
      <c r="V283" s="196"/>
      <c r="W283" s="195"/>
      <c r="X283" s="170"/>
      <c r="Y283" s="170"/>
      <c r="Z283" s="170"/>
      <c r="AA283" s="170"/>
      <c r="AB283" s="197"/>
      <c r="AC283" s="170"/>
      <c r="AD283" s="170"/>
      <c r="AE283" s="170"/>
      <c r="AF283" s="198"/>
      <c r="AG283" s="170"/>
      <c r="AH283" s="198"/>
      <c r="AI283" s="170"/>
      <c r="AJ283" s="190"/>
      <c r="AK283" s="170"/>
      <c r="AL283" s="170"/>
      <c r="AM283" s="170"/>
      <c r="AN283" s="170"/>
      <c r="AO283" s="170"/>
      <c r="AP283" s="199"/>
      <c r="AQ283" s="170"/>
      <c r="AR283" s="198"/>
      <c r="AS283" s="195"/>
      <c r="AT283" s="195"/>
      <c r="AU283" s="195"/>
      <c r="AV283" s="145"/>
      <c r="AW283" s="178"/>
      <c r="AX283" s="179"/>
      <c r="AY283" s="145"/>
    </row>
    <row r="284" spans="3:51">
      <c r="C284" s="69"/>
      <c r="D284" s="116"/>
      <c r="E284" s="170"/>
      <c r="F284" s="170"/>
      <c r="G284" s="170"/>
      <c r="H284" s="170"/>
      <c r="I284" s="190"/>
      <c r="J284" s="191"/>
      <c r="K284" s="170"/>
      <c r="L284" s="191"/>
      <c r="M284" s="190"/>
      <c r="N284" s="190"/>
      <c r="O284" s="191"/>
      <c r="P284" s="191"/>
      <c r="Q284" s="170"/>
      <c r="R284" s="170"/>
      <c r="S284" s="193"/>
      <c r="T284" s="194"/>
      <c r="U284" s="195"/>
      <c r="V284" s="196"/>
      <c r="W284" s="195"/>
      <c r="X284" s="170"/>
      <c r="Y284" s="170"/>
      <c r="Z284" s="170"/>
      <c r="AA284" s="170"/>
      <c r="AB284" s="197"/>
      <c r="AC284" s="170"/>
      <c r="AD284" s="170"/>
      <c r="AE284" s="170"/>
      <c r="AF284" s="198"/>
      <c r="AG284" s="170"/>
      <c r="AH284" s="198"/>
      <c r="AI284" s="170"/>
      <c r="AJ284" s="190"/>
      <c r="AK284" s="170"/>
      <c r="AL284" s="170"/>
      <c r="AM284" s="170"/>
      <c r="AN284" s="170"/>
      <c r="AO284" s="170"/>
      <c r="AP284" s="199"/>
      <c r="AQ284" s="170"/>
      <c r="AR284" s="198"/>
      <c r="AS284" s="195"/>
      <c r="AT284" s="195"/>
      <c r="AU284" s="195"/>
      <c r="AV284" s="145"/>
      <c r="AW284" s="178"/>
      <c r="AX284" s="179"/>
      <c r="AY284" s="145"/>
    </row>
    <row r="285" spans="3:51">
      <c r="C285" s="69"/>
      <c r="D285" s="116"/>
      <c r="E285" s="170"/>
      <c r="F285" s="170"/>
      <c r="G285" s="170"/>
      <c r="H285" s="170"/>
      <c r="I285" s="190"/>
      <c r="J285" s="191"/>
      <c r="K285" s="170"/>
      <c r="L285" s="191"/>
      <c r="M285" s="190"/>
      <c r="N285" s="190"/>
      <c r="O285" s="191"/>
      <c r="P285" s="191"/>
      <c r="Q285" s="170"/>
      <c r="R285" s="170"/>
      <c r="S285" s="193"/>
      <c r="T285" s="194"/>
      <c r="U285" s="195"/>
      <c r="V285" s="196"/>
      <c r="W285" s="195"/>
      <c r="X285" s="170"/>
      <c r="Y285" s="170"/>
      <c r="Z285" s="170"/>
      <c r="AA285" s="170"/>
      <c r="AB285" s="197"/>
      <c r="AC285" s="170"/>
      <c r="AD285" s="170"/>
      <c r="AE285" s="170"/>
      <c r="AF285" s="198"/>
      <c r="AG285" s="170"/>
      <c r="AH285" s="198"/>
      <c r="AI285" s="170"/>
      <c r="AJ285" s="190"/>
      <c r="AK285" s="170"/>
      <c r="AL285" s="170"/>
      <c r="AM285" s="170"/>
      <c r="AN285" s="170"/>
      <c r="AO285" s="170"/>
      <c r="AP285" s="199"/>
      <c r="AQ285" s="170"/>
      <c r="AR285" s="198"/>
      <c r="AS285" s="195"/>
      <c r="AT285" s="195"/>
      <c r="AU285" s="195"/>
      <c r="AV285" s="145"/>
      <c r="AW285" s="178"/>
      <c r="AX285" s="179"/>
      <c r="AY285" s="145"/>
    </row>
    <row r="286" spans="3:51">
      <c r="C286" s="69"/>
      <c r="D286" s="116"/>
      <c r="E286" s="170"/>
      <c r="F286" s="170"/>
      <c r="G286" s="170"/>
      <c r="H286" s="170"/>
      <c r="I286" s="190"/>
      <c r="J286" s="191"/>
      <c r="K286" s="170"/>
      <c r="L286" s="191"/>
      <c r="M286" s="190"/>
      <c r="N286" s="190"/>
      <c r="O286" s="191"/>
      <c r="P286" s="191"/>
      <c r="Q286" s="170"/>
      <c r="R286" s="170"/>
      <c r="S286" s="193"/>
      <c r="T286" s="194"/>
      <c r="U286" s="195"/>
      <c r="V286" s="196"/>
      <c r="W286" s="195"/>
      <c r="X286" s="170"/>
      <c r="Y286" s="170"/>
      <c r="Z286" s="170"/>
      <c r="AA286" s="170"/>
      <c r="AB286" s="197"/>
      <c r="AC286" s="170"/>
      <c r="AD286" s="170"/>
      <c r="AE286" s="170"/>
      <c r="AF286" s="198"/>
      <c r="AG286" s="170"/>
      <c r="AH286" s="198"/>
      <c r="AI286" s="170"/>
      <c r="AJ286" s="190"/>
      <c r="AK286" s="170"/>
      <c r="AL286" s="170"/>
      <c r="AM286" s="170"/>
      <c r="AN286" s="170"/>
      <c r="AO286" s="170"/>
      <c r="AP286" s="199"/>
      <c r="AQ286" s="170"/>
      <c r="AR286" s="198"/>
      <c r="AS286" s="195"/>
      <c r="AT286" s="195"/>
      <c r="AU286" s="195"/>
      <c r="AV286" s="145"/>
      <c r="AW286" s="178"/>
      <c r="AX286" s="179"/>
      <c r="AY286" s="145"/>
    </row>
    <row r="287" spans="3:51">
      <c r="C287" s="69"/>
      <c r="D287" s="116"/>
      <c r="E287" s="170"/>
      <c r="F287" s="170"/>
      <c r="G287" s="170"/>
      <c r="H287" s="170"/>
      <c r="I287" s="190"/>
      <c r="J287" s="191"/>
      <c r="K287" s="170"/>
      <c r="L287" s="191"/>
      <c r="M287" s="190"/>
      <c r="N287" s="190"/>
      <c r="O287" s="191"/>
      <c r="P287" s="191"/>
      <c r="Q287" s="170"/>
      <c r="R287" s="170"/>
      <c r="S287" s="193"/>
      <c r="T287" s="194"/>
      <c r="U287" s="195"/>
      <c r="V287" s="196"/>
      <c r="W287" s="195"/>
      <c r="X287" s="170"/>
      <c r="Y287" s="170"/>
      <c r="Z287" s="170"/>
      <c r="AA287" s="170"/>
      <c r="AB287" s="197"/>
      <c r="AC287" s="170"/>
      <c r="AD287" s="170"/>
      <c r="AE287" s="170"/>
      <c r="AF287" s="198"/>
      <c r="AG287" s="170"/>
      <c r="AH287" s="198"/>
      <c r="AI287" s="170"/>
      <c r="AJ287" s="190"/>
      <c r="AK287" s="170"/>
      <c r="AL287" s="170"/>
      <c r="AM287" s="170"/>
      <c r="AN287" s="170"/>
      <c r="AO287" s="170"/>
      <c r="AP287" s="199"/>
      <c r="AQ287" s="170"/>
      <c r="AR287" s="198"/>
      <c r="AS287" s="195"/>
      <c r="AT287" s="195"/>
      <c r="AU287" s="195"/>
      <c r="AV287" s="145"/>
      <c r="AW287" s="178"/>
      <c r="AX287" s="179"/>
      <c r="AY287" s="145"/>
    </row>
    <row r="288" spans="3:51">
      <c r="C288" s="69"/>
      <c r="D288" s="116"/>
      <c r="E288" s="170"/>
      <c r="F288" s="170"/>
      <c r="G288" s="170"/>
      <c r="H288" s="170"/>
      <c r="I288" s="190"/>
      <c r="J288" s="191"/>
      <c r="K288" s="170"/>
      <c r="L288" s="191"/>
      <c r="M288" s="190"/>
      <c r="N288" s="190"/>
      <c r="O288" s="191"/>
      <c r="P288" s="191"/>
      <c r="Q288" s="170"/>
      <c r="R288" s="170"/>
      <c r="S288" s="193"/>
      <c r="T288" s="194"/>
      <c r="U288" s="195"/>
      <c r="V288" s="196"/>
      <c r="W288" s="195"/>
      <c r="X288" s="170"/>
      <c r="Y288" s="170"/>
      <c r="Z288" s="170"/>
      <c r="AA288" s="170"/>
      <c r="AB288" s="197"/>
      <c r="AC288" s="170"/>
      <c r="AD288" s="170"/>
      <c r="AE288" s="170"/>
      <c r="AF288" s="198"/>
      <c r="AG288" s="170"/>
      <c r="AH288" s="198"/>
      <c r="AI288" s="170"/>
      <c r="AJ288" s="190"/>
      <c r="AK288" s="170"/>
      <c r="AL288" s="170"/>
      <c r="AM288" s="170"/>
      <c r="AN288" s="170"/>
      <c r="AO288" s="170"/>
      <c r="AP288" s="199"/>
      <c r="AQ288" s="170"/>
      <c r="AR288" s="198"/>
      <c r="AS288" s="195"/>
      <c r="AT288" s="195"/>
      <c r="AU288" s="195"/>
      <c r="AV288" s="145"/>
      <c r="AW288" s="178"/>
      <c r="AX288" s="179"/>
      <c r="AY288" s="145"/>
    </row>
    <row r="289" spans="3:51">
      <c r="C289" s="69"/>
      <c r="D289" s="116"/>
      <c r="E289" s="170"/>
      <c r="F289" s="170"/>
      <c r="G289" s="170"/>
      <c r="H289" s="170"/>
      <c r="I289" s="190"/>
      <c r="J289" s="191"/>
      <c r="K289" s="170"/>
      <c r="L289" s="191"/>
      <c r="M289" s="190"/>
      <c r="N289" s="190"/>
      <c r="O289" s="191"/>
      <c r="P289" s="191"/>
      <c r="Q289" s="170"/>
      <c r="R289" s="170"/>
      <c r="S289" s="193"/>
      <c r="T289" s="194"/>
      <c r="U289" s="195"/>
      <c r="V289" s="196"/>
      <c r="W289" s="195"/>
      <c r="X289" s="170"/>
      <c r="Y289" s="170"/>
      <c r="Z289" s="170"/>
      <c r="AA289" s="170"/>
      <c r="AB289" s="197"/>
      <c r="AC289" s="170"/>
      <c r="AD289" s="170"/>
      <c r="AE289" s="170"/>
      <c r="AF289" s="198"/>
      <c r="AG289" s="170"/>
      <c r="AH289" s="198"/>
      <c r="AI289" s="170"/>
      <c r="AJ289" s="190"/>
      <c r="AK289" s="170"/>
      <c r="AL289" s="170"/>
      <c r="AM289" s="170"/>
      <c r="AN289" s="170"/>
      <c r="AO289" s="170"/>
      <c r="AP289" s="199"/>
      <c r="AQ289" s="170"/>
      <c r="AR289" s="198"/>
      <c r="AS289" s="195"/>
      <c r="AT289" s="195"/>
      <c r="AU289" s="195"/>
      <c r="AV289" s="145"/>
      <c r="AW289" s="178"/>
      <c r="AX289" s="179"/>
      <c r="AY289" s="145"/>
    </row>
    <row r="290" spans="3:51">
      <c r="C290" s="69"/>
      <c r="D290" s="116"/>
      <c r="E290" s="170"/>
      <c r="F290" s="170"/>
      <c r="G290" s="170"/>
      <c r="H290" s="170"/>
      <c r="I290" s="190"/>
      <c r="J290" s="191"/>
      <c r="K290" s="170"/>
      <c r="L290" s="191"/>
      <c r="M290" s="190"/>
      <c r="N290" s="190"/>
      <c r="O290" s="191"/>
      <c r="P290" s="191"/>
      <c r="Q290" s="170"/>
      <c r="R290" s="170"/>
      <c r="S290" s="193"/>
      <c r="T290" s="194"/>
      <c r="U290" s="195"/>
      <c r="V290" s="196"/>
      <c r="W290" s="195"/>
      <c r="X290" s="170"/>
      <c r="Y290" s="170"/>
      <c r="Z290" s="170"/>
      <c r="AA290" s="170"/>
      <c r="AB290" s="197"/>
      <c r="AC290" s="170"/>
      <c r="AD290" s="170"/>
      <c r="AE290" s="170"/>
      <c r="AF290" s="198"/>
      <c r="AG290" s="170"/>
      <c r="AH290" s="198"/>
      <c r="AI290" s="170"/>
      <c r="AJ290" s="190"/>
      <c r="AK290" s="170"/>
      <c r="AL290" s="170"/>
      <c r="AM290" s="170"/>
      <c r="AN290" s="170"/>
      <c r="AO290" s="170"/>
      <c r="AP290" s="199"/>
      <c r="AQ290" s="170"/>
      <c r="AR290" s="198"/>
      <c r="AS290" s="195"/>
      <c r="AT290" s="195"/>
      <c r="AU290" s="195"/>
      <c r="AV290" s="145"/>
      <c r="AW290" s="178"/>
      <c r="AX290" s="179"/>
      <c r="AY290" s="145"/>
    </row>
    <row r="291" spans="3:51">
      <c r="C291" s="69"/>
      <c r="D291" s="116"/>
      <c r="E291" s="170"/>
      <c r="F291" s="170"/>
      <c r="G291" s="170"/>
      <c r="H291" s="170"/>
      <c r="I291" s="190"/>
      <c r="J291" s="191"/>
      <c r="K291" s="170"/>
      <c r="L291" s="191"/>
      <c r="M291" s="190"/>
      <c r="N291" s="190"/>
      <c r="O291" s="191"/>
      <c r="P291" s="191"/>
      <c r="Q291" s="170"/>
      <c r="R291" s="170"/>
      <c r="S291" s="193"/>
      <c r="T291" s="194"/>
      <c r="U291" s="195"/>
      <c r="V291" s="196"/>
      <c r="W291" s="195"/>
      <c r="X291" s="170"/>
      <c r="Y291" s="170"/>
      <c r="Z291" s="170"/>
      <c r="AA291" s="170"/>
      <c r="AB291" s="197"/>
      <c r="AC291" s="170"/>
      <c r="AD291" s="170"/>
      <c r="AE291" s="170"/>
      <c r="AF291" s="198"/>
      <c r="AG291" s="170"/>
      <c r="AH291" s="198"/>
      <c r="AI291" s="170"/>
      <c r="AJ291" s="190"/>
      <c r="AK291" s="170"/>
      <c r="AL291" s="170"/>
      <c r="AM291" s="170"/>
      <c r="AN291" s="170"/>
      <c r="AO291" s="170"/>
      <c r="AP291" s="199"/>
      <c r="AQ291" s="170"/>
      <c r="AR291" s="198"/>
      <c r="AS291" s="195"/>
      <c r="AT291" s="195"/>
      <c r="AU291" s="195"/>
      <c r="AV291" s="145"/>
      <c r="AW291" s="178"/>
      <c r="AX291" s="179"/>
      <c r="AY291" s="145"/>
    </row>
    <row r="292" spans="3:51">
      <c r="C292" s="69"/>
      <c r="E292" s="170"/>
      <c r="F292" s="170"/>
      <c r="G292" s="170"/>
      <c r="H292" s="170"/>
      <c r="I292" s="190"/>
      <c r="J292" s="191"/>
      <c r="K292" s="170"/>
      <c r="L292" s="191"/>
      <c r="M292" s="190"/>
      <c r="N292" s="190"/>
      <c r="O292" s="191"/>
      <c r="P292" s="191"/>
      <c r="Q292" s="170"/>
      <c r="R292" s="170"/>
      <c r="S292" s="193"/>
      <c r="T292" s="194"/>
      <c r="U292" s="195"/>
      <c r="V292" s="196"/>
      <c r="W292" s="195"/>
      <c r="X292" s="170"/>
      <c r="Y292" s="170"/>
      <c r="Z292" s="170"/>
      <c r="AA292" s="170"/>
      <c r="AB292" s="197"/>
      <c r="AC292" s="170"/>
      <c r="AD292" s="170"/>
      <c r="AE292" s="170"/>
      <c r="AF292" s="198"/>
      <c r="AG292" s="170"/>
      <c r="AH292" s="198"/>
      <c r="AI292" s="170"/>
      <c r="AJ292" s="190"/>
      <c r="AK292" s="170"/>
      <c r="AL292" s="170"/>
      <c r="AM292" s="170"/>
      <c r="AN292" s="170"/>
      <c r="AO292" s="170"/>
      <c r="AP292" s="199"/>
      <c r="AQ292" s="170"/>
      <c r="AR292" s="198"/>
      <c r="AS292" s="195"/>
      <c r="AT292" s="195"/>
      <c r="AU292" s="195"/>
      <c r="AV292" s="145"/>
      <c r="AW292" s="178"/>
      <c r="AX292" s="179"/>
      <c r="AY292" s="145"/>
    </row>
    <row r="293" spans="3:51">
      <c r="C293" s="69"/>
      <c r="E293" s="170"/>
      <c r="F293" s="170"/>
      <c r="G293" s="170"/>
      <c r="H293" s="170"/>
      <c r="I293" s="190"/>
      <c r="J293" s="191"/>
      <c r="K293" s="170"/>
      <c r="L293" s="191"/>
      <c r="M293" s="190"/>
      <c r="N293" s="190"/>
      <c r="O293" s="191"/>
      <c r="P293" s="191"/>
      <c r="Q293" s="170"/>
      <c r="R293" s="170"/>
      <c r="S293" s="193"/>
      <c r="T293" s="194"/>
      <c r="U293" s="195"/>
      <c r="V293" s="196"/>
      <c r="W293" s="195"/>
      <c r="X293" s="170"/>
      <c r="Y293" s="170"/>
      <c r="Z293" s="170"/>
      <c r="AA293" s="170"/>
      <c r="AB293" s="197"/>
      <c r="AC293" s="170"/>
      <c r="AD293" s="170"/>
      <c r="AE293" s="170"/>
      <c r="AF293" s="198"/>
      <c r="AG293" s="170"/>
      <c r="AH293" s="198"/>
      <c r="AI293" s="170"/>
      <c r="AJ293" s="190"/>
      <c r="AK293" s="170"/>
      <c r="AL293" s="170"/>
      <c r="AM293" s="170"/>
      <c r="AN293" s="170"/>
      <c r="AO293" s="170"/>
      <c r="AP293" s="199"/>
      <c r="AQ293" s="170"/>
      <c r="AR293" s="198"/>
      <c r="AS293" s="195"/>
      <c r="AT293" s="195"/>
      <c r="AU293" s="195"/>
      <c r="AV293" s="145"/>
      <c r="AW293" s="178"/>
      <c r="AX293" s="179"/>
      <c r="AY293" s="145"/>
    </row>
    <row r="294" spans="3:51">
      <c r="C294" s="69"/>
      <c r="E294" s="170"/>
      <c r="F294" s="170"/>
      <c r="G294" s="170"/>
      <c r="H294" s="170"/>
      <c r="I294" s="190"/>
      <c r="J294" s="191"/>
      <c r="K294" s="170"/>
      <c r="L294" s="191"/>
      <c r="M294" s="190"/>
      <c r="N294" s="190"/>
      <c r="O294" s="191"/>
      <c r="P294" s="191"/>
      <c r="Q294" s="170"/>
      <c r="R294" s="170"/>
      <c r="S294" s="193"/>
      <c r="T294" s="194"/>
      <c r="U294" s="195"/>
      <c r="V294" s="196"/>
      <c r="W294" s="195"/>
      <c r="X294" s="170"/>
      <c r="Y294" s="170"/>
      <c r="Z294" s="170"/>
      <c r="AA294" s="170"/>
      <c r="AB294" s="197"/>
      <c r="AC294" s="170"/>
      <c r="AD294" s="170"/>
      <c r="AE294" s="170"/>
      <c r="AF294" s="198"/>
      <c r="AG294" s="170"/>
      <c r="AH294" s="198"/>
      <c r="AI294" s="170"/>
      <c r="AJ294" s="190"/>
      <c r="AK294" s="170"/>
      <c r="AL294" s="170"/>
      <c r="AM294" s="170"/>
      <c r="AN294" s="170"/>
      <c r="AO294" s="170"/>
      <c r="AP294" s="199"/>
      <c r="AQ294" s="170"/>
      <c r="AR294" s="198"/>
      <c r="AS294" s="195"/>
      <c r="AT294" s="195"/>
      <c r="AU294" s="195"/>
      <c r="AV294" s="145"/>
      <c r="AW294" s="178"/>
      <c r="AX294" s="179"/>
      <c r="AY294" s="145"/>
    </row>
    <row r="295" spans="3:51">
      <c r="C295" s="69"/>
      <c r="E295" s="170"/>
      <c r="F295" s="170"/>
      <c r="G295" s="170"/>
      <c r="H295" s="170"/>
      <c r="I295" s="190"/>
      <c r="J295" s="191"/>
      <c r="K295" s="170"/>
      <c r="L295" s="191"/>
      <c r="M295" s="190"/>
      <c r="N295" s="190"/>
      <c r="O295" s="191"/>
      <c r="P295" s="191"/>
      <c r="Q295" s="170"/>
      <c r="R295" s="170"/>
      <c r="S295" s="193"/>
      <c r="T295" s="194"/>
      <c r="U295" s="195"/>
      <c r="V295" s="196"/>
      <c r="W295" s="195"/>
      <c r="X295" s="170"/>
      <c r="Y295" s="170"/>
      <c r="Z295" s="170"/>
      <c r="AA295" s="170"/>
      <c r="AB295" s="197"/>
      <c r="AC295" s="170"/>
      <c r="AD295" s="170"/>
      <c r="AE295" s="170"/>
      <c r="AF295" s="198"/>
      <c r="AG295" s="170"/>
      <c r="AH295" s="198"/>
      <c r="AI295" s="170"/>
      <c r="AJ295" s="190"/>
      <c r="AK295" s="170"/>
      <c r="AL295" s="170"/>
      <c r="AM295" s="170"/>
      <c r="AN295" s="170"/>
      <c r="AO295" s="170"/>
      <c r="AP295" s="199"/>
      <c r="AQ295" s="170"/>
      <c r="AR295" s="198"/>
      <c r="AS295" s="195"/>
      <c r="AT295" s="195"/>
      <c r="AU295" s="195"/>
      <c r="AV295" s="145"/>
      <c r="AW295" s="178"/>
      <c r="AX295" s="179"/>
      <c r="AY295" s="145"/>
    </row>
    <row r="296" spans="3:51">
      <c r="C296" s="69"/>
      <c r="E296" s="170"/>
      <c r="F296" s="170"/>
      <c r="G296" s="170"/>
      <c r="H296" s="170"/>
      <c r="I296" s="190"/>
      <c r="J296" s="191"/>
      <c r="K296" s="170"/>
      <c r="L296" s="191"/>
      <c r="M296" s="190"/>
      <c r="N296" s="190"/>
      <c r="O296" s="191"/>
      <c r="P296" s="191"/>
      <c r="Q296" s="170"/>
      <c r="R296" s="170"/>
      <c r="S296" s="193"/>
      <c r="T296" s="194"/>
      <c r="U296" s="195"/>
      <c r="V296" s="196"/>
      <c r="W296" s="195"/>
      <c r="X296" s="170"/>
      <c r="Y296" s="170"/>
      <c r="Z296" s="170"/>
      <c r="AA296" s="170"/>
      <c r="AB296" s="197"/>
      <c r="AC296" s="170"/>
      <c r="AD296" s="170"/>
      <c r="AE296" s="170"/>
      <c r="AF296" s="198"/>
      <c r="AG296" s="170"/>
      <c r="AH296" s="198"/>
      <c r="AI296" s="170"/>
      <c r="AJ296" s="190"/>
      <c r="AK296" s="170"/>
      <c r="AL296" s="170"/>
      <c r="AM296" s="170"/>
      <c r="AN296" s="170"/>
      <c r="AO296" s="170"/>
      <c r="AP296" s="199"/>
      <c r="AQ296" s="170"/>
      <c r="AR296" s="198"/>
      <c r="AS296" s="195"/>
      <c r="AT296" s="195"/>
      <c r="AU296" s="195"/>
      <c r="AV296" s="145"/>
      <c r="AW296" s="178"/>
      <c r="AX296" s="179"/>
      <c r="AY296" s="145"/>
    </row>
    <row r="297" spans="3:51">
      <c r="C297" s="69"/>
      <c r="E297" s="170"/>
      <c r="F297" s="170"/>
      <c r="G297" s="170"/>
      <c r="H297" s="170"/>
      <c r="I297" s="190"/>
      <c r="J297" s="191"/>
      <c r="K297" s="170"/>
      <c r="L297" s="191"/>
      <c r="M297" s="190"/>
      <c r="N297" s="190"/>
      <c r="O297" s="191"/>
      <c r="P297" s="191"/>
      <c r="Q297" s="170"/>
      <c r="R297" s="170"/>
      <c r="S297" s="193"/>
      <c r="T297" s="194"/>
      <c r="U297" s="195"/>
      <c r="V297" s="196"/>
      <c r="W297" s="195"/>
      <c r="X297" s="170"/>
      <c r="Y297" s="170"/>
      <c r="Z297" s="170"/>
      <c r="AA297" s="170"/>
      <c r="AB297" s="197"/>
      <c r="AC297" s="170"/>
      <c r="AD297" s="170"/>
      <c r="AE297" s="170"/>
      <c r="AF297" s="198"/>
      <c r="AG297" s="170"/>
      <c r="AH297" s="198"/>
      <c r="AI297" s="170"/>
      <c r="AJ297" s="190"/>
      <c r="AK297" s="170"/>
      <c r="AL297" s="170"/>
      <c r="AM297" s="170"/>
      <c r="AN297" s="170"/>
      <c r="AO297" s="170"/>
      <c r="AP297" s="199"/>
      <c r="AQ297" s="170"/>
      <c r="AR297" s="198"/>
      <c r="AS297" s="195"/>
      <c r="AT297" s="195"/>
      <c r="AU297" s="195"/>
      <c r="AV297" s="145"/>
      <c r="AW297" s="178"/>
      <c r="AX297" s="179"/>
      <c r="AY297" s="145"/>
    </row>
    <row r="298" spans="3:51">
      <c r="C298" s="69"/>
      <c r="E298" s="170"/>
      <c r="F298" s="170"/>
      <c r="G298" s="170"/>
      <c r="H298" s="170"/>
      <c r="I298" s="190"/>
      <c r="J298" s="191"/>
      <c r="K298" s="170"/>
      <c r="L298" s="191"/>
      <c r="M298" s="190"/>
      <c r="N298" s="190"/>
      <c r="O298" s="191"/>
      <c r="P298" s="191"/>
      <c r="Q298" s="170"/>
      <c r="R298" s="170"/>
      <c r="S298" s="193"/>
      <c r="T298" s="194"/>
      <c r="U298" s="195"/>
      <c r="V298" s="196"/>
      <c r="W298" s="195"/>
      <c r="X298" s="170"/>
      <c r="Y298" s="170"/>
      <c r="Z298" s="170"/>
      <c r="AA298" s="170"/>
      <c r="AB298" s="197"/>
      <c r="AC298" s="170"/>
      <c r="AD298" s="170"/>
      <c r="AE298" s="170"/>
      <c r="AF298" s="198"/>
      <c r="AG298" s="170"/>
      <c r="AH298" s="198"/>
      <c r="AI298" s="170"/>
      <c r="AJ298" s="190"/>
      <c r="AK298" s="170"/>
      <c r="AL298" s="170"/>
      <c r="AM298" s="170"/>
      <c r="AN298" s="170"/>
      <c r="AO298" s="170"/>
      <c r="AP298" s="199"/>
      <c r="AQ298" s="170"/>
      <c r="AR298" s="198"/>
      <c r="AS298" s="195"/>
      <c r="AT298" s="195"/>
      <c r="AU298" s="195"/>
      <c r="AV298" s="145"/>
      <c r="AW298" s="178"/>
      <c r="AX298" s="179"/>
      <c r="AY298" s="145"/>
    </row>
    <row r="299" spans="3:51">
      <c r="C299" s="69"/>
      <c r="E299" s="170"/>
      <c r="F299" s="170"/>
      <c r="G299" s="170"/>
      <c r="H299" s="170"/>
      <c r="I299" s="190"/>
      <c r="J299" s="191"/>
      <c r="K299" s="170"/>
      <c r="L299" s="191"/>
      <c r="M299" s="190"/>
      <c r="N299" s="190"/>
      <c r="O299" s="191"/>
      <c r="P299" s="191"/>
      <c r="Q299" s="170"/>
      <c r="R299" s="170"/>
      <c r="S299" s="193"/>
      <c r="T299" s="194"/>
      <c r="U299" s="195"/>
      <c r="V299" s="196"/>
      <c r="W299" s="195"/>
      <c r="X299" s="170"/>
      <c r="Y299" s="170"/>
      <c r="Z299" s="170"/>
      <c r="AA299" s="170"/>
      <c r="AB299" s="197"/>
      <c r="AC299" s="170"/>
      <c r="AD299" s="170"/>
      <c r="AE299" s="170"/>
      <c r="AF299" s="198"/>
      <c r="AG299" s="170"/>
      <c r="AH299" s="198"/>
      <c r="AI299" s="170"/>
      <c r="AJ299" s="190"/>
      <c r="AK299" s="170"/>
      <c r="AL299" s="170"/>
      <c r="AM299" s="170"/>
      <c r="AN299" s="170"/>
      <c r="AO299" s="170"/>
      <c r="AP299" s="199"/>
      <c r="AQ299" s="170"/>
      <c r="AR299" s="198"/>
      <c r="AS299" s="195"/>
      <c r="AT299" s="195"/>
      <c r="AU299" s="195"/>
      <c r="AV299" s="145"/>
      <c r="AW299" s="178"/>
      <c r="AX299" s="179"/>
      <c r="AY299" s="145"/>
    </row>
    <row r="300" spans="3:51">
      <c r="C300" s="69"/>
      <c r="E300" s="170"/>
      <c r="F300" s="170"/>
      <c r="G300" s="170"/>
      <c r="H300" s="170"/>
      <c r="I300" s="190"/>
      <c r="J300" s="191"/>
      <c r="K300" s="170"/>
      <c r="L300" s="191"/>
      <c r="M300" s="190"/>
      <c r="N300" s="190"/>
      <c r="O300" s="191"/>
      <c r="P300" s="191"/>
      <c r="Q300" s="170"/>
      <c r="R300" s="170"/>
      <c r="S300" s="193"/>
      <c r="T300" s="194"/>
      <c r="U300" s="195"/>
      <c r="V300" s="196"/>
      <c r="W300" s="195"/>
      <c r="X300" s="170"/>
      <c r="Y300" s="170"/>
      <c r="Z300" s="170"/>
      <c r="AA300" s="170"/>
      <c r="AB300" s="197"/>
      <c r="AC300" s="170"/>
      <c r="AD300" s="170"/>
      <c r="AE300" s="170"/>
      <c r="AF300" s="198"/>
      <c r="AG300" s="170"/>
      <c r="AH300" s="198"/>
      <c r="AI300" s="170"/>
      <c r="AJ300" s="190"/>
      <c r="AK300" s="170"/>
      <c r="AL300" s="170"/>
      <c r="AM300" s="170"/>
      <c r="AN300" s="170"/>
      <c r="AO300" s="170"/>
      <c r="AP300" s="199"/>
      <c r="AQ300" s="170"/>
      <c r="AR300" s="198"/>
      <c r="AS300" s="195"/>
      <c r="AT300" s="195"/>
      <c r="AU300" s="195"/>
      <c r="AV300" s="145"/>
      <c r="AW300" s="178"/>
      <c r="AX300" s="179"/>
      <c r="AY300" s="145"/>
    </row>
    <row r="301" spans="3:51">
      <c r="C301" s="69"/>
      <c r="E301" s="170"/>
      <c r="F301" s="170"/>
      <c r="G301" s="170"/>
      <c r="H301" s="170"/>
      <c r="I301" s="190"/>
      <c r="J301" s="191"/>
      <c r="K301" s="170"/>
      <c r="L301" s="191"/>
      <c r="M301" s="190"/>
      <c r="N301" s="190"/>
      <c r="O301" s="191"/>
      <c r="P301" s="191"/>
      <c r="Q301" s="170"/>
      <c r="R301" s="170"/>
      <c r="S301" s="193"/>
      <c r="T301" s="194"/>
      <c r="U301" s="195"/>
      <c r="V301" s="196"/>
      <c r="W301" s="195"/>
      <c r="X301" s="170"/>
      <c r="Y301" s="170"/>
      <c r="Z301" s="170"/>
      <c r="AA301" s="170"/>
      <c r="AB301" s="197"/>
      <c r="AC301" s="170"/>
      <c r="AD301" s="170"/>
      <c r="AE301" s="170"/>
      <c r="AF301" s="198"/>
      <c r="AG301" s="170"/>
      <c r="AH301" s="198"/>
      <c r="AI301" s="170"/>
      <c r="AJ301" s="190"/>
      <c r="AK301" s="170"/>
      <c r="AL301" s="170"/>
      <c r="AM301" s="170"/>
      <c r="AN301" s="170"/>
      <c r="AO301" s="170"/>
      <c r="AP301" s="199"/>
      <c r="AQ301" s="170"/>
      <c r="AR301" s="198"/>
      <c r="AS301" s="195"/>
      <c r="AT301" s="195"/>
      <c r="AU301" s="195"/>
      <c r="AV301" s="145"/>
      <c r="AW301" s="178"/>
      <c r="AX301" s="179"/>
      <c r="AY301" s="145"/>
    </row>
    <row r="302" spans="3:51">
      <c r="C302" s="69"/>
      <c r="E302" s="170"/>
      <c r="F302" s="170"/>
      <c r="G302" s="170"/>
      <c r="H302" s="170"/>
      <c r="I302" s="190"/>
      <c r="J302" s="191"/>
      <c r="K302" s="170"/>
      <c r="L302" s="191"/>
      <c r="M302" s="190"/>
      <c r="N302" s="190"/>
      <c r="O302" s="191"/>
      <c r="P302" s="191"/>
      <c r="Q302" s="170"/>
      <c r="R302" s="170"/>
      <c r="S302" s="193"/>
      <c r="T302" s="194"/>
      <c r="U302" s="195"/>
      <c r="V302" s="196"/>
      <c r="W302" s="195"/>
      <c r="X302" s="170"/>
      <c r="Y302" s="170"/>
      <c r="Z302" s="170"/>
      <c r="AA302" s="170"/>
      <c r="AB302" s="197"/>
      <c r="AC302" s="170"/>
      <c r="AD302" s="170"/>
      <c r="AE302" s="170"/>
      <c r="AF302" s="198"/>
      <c r="AG302" s="170"/>
      <c r="AH302" s="198"/>
      <c r="AI302" s="170"/>
      <c r="AJ302" s="190"/>
      <c r="AK302" s="170"/>
      <c r="AL302" s="170"/>
      <c r="AM302" s="170"/>
      <c r="AN302" s="170"/>
      <c r="AO302" s="170"/>
      <c r="AP302" s="199"/>
      <c r="AQ302" s="170"/>
      <c r="AR302" s="198"/>
      <c r="AS302" s="195"/>
      <c r="AT302" s="195"/>
      <c r="AU302" s="195"/>
      <c r="AV302" s="145"/>
      <c r="AW302" s="178"/>
      <c r="AX302" s="179"/>
      <c r="AY302" s="145"/>
    </row>
    <row r="303" spans="3:51">
      <c r="C303" s="69"/>
      <c r="E303" s="170"/>
      <c r="F303" s="170"/>
      <c r="G303" s="170"/>
      <c r="H303" s="170"/>
      <c r="I303" s="190"/>
      <c r="J303" s="191"/>
      <c r="K303" s="170"/>
      <c r="L303" s="191"/>
      <c r="M303" s="190"/>
      <c r="N303" s="190"/>
      <c r="O303" s="191"/>
      <c r="P303" s="191"/>
      <c r="Q303" s="170"/>
      <c r="R303" s="170"/>
      <c r="S303" s="193"/>
      <c r="T303" s="194"/>
      <c r="U303" s="195"/>
      <c r="V303" s="196"/>
      <c r="W303" s="195"/>
      <c r="X303" s="170"/>
      <c r="Y303" s="170"/>
      <c r="Z303" s="170"/>
      <c r="AA303" s="170"/>
      <c r="AB303" s="197"/>
      <c r="AC303" s="170"/>
      <c r="AD303" s="170"/>
      <c r="AE303" s="170"/>
      <c r="AF303" s="198"/>
      <c r="AG303" s="170"/>
      <c r="AH303" s="198"/>
      <c r="AI303" s="170"/>
      <c r="AJ303" s="190"/>
      <c r="AK303" s="170"/>
      <c r="AL303" s="170"/>
      <c r="AM303" s="170"/>
      <c r="AN303" s="170"/>
      <c r="AO303" s="170"/>
      <c r="AP303" s="199"/>
      <c r="AQ303" s="170"/>
      <c r="AR303" s="198"/>
      <c r="AS303" s="195"/>
      <c r="AT303" s="195"/>
      <c r="AU303" s="195"/>
      <c r="AV303" s="145"/>
      <c r="AW303" s="178"/>
      <c r="AX303" s="179"/>
      <c r="AY303" s="145"/>
    </row>
    <row r="304" spans="3:51">
      <c r="C304" s="69"/>
      <c r="E304" s="170"/>
      <c r="F304" s="170"/>
      <c r="G304" s="170"/>
      <c r="H304" s="170"/>
      <c r="I304" s="190"/>
      <c r="J304" s="191"/>
      <c r="K304" s="170"/>
      <c r="L304" s="191"/>
      <c r="M304" s="190"/>
      <c r="N304" s="190"/>
      <c r="O304" s="191"/>
      <c r="P304" s="191"/>
      <c r="Q304" s="170"/>
      <c r="R304" s="170"/>
      <c r="S304" s="193"/>
      <c r="T304" s="194"/>
      <c r="U304" s="195"/>
      <c r="V304" s="196"/>
      <c r="W304" s="195"/>
      <c r="X304" s="170"/>
      <c r="Y304" s="170"/>
      <c r="Z304" s="170"/>
      <c r="AA304" s="170"/>
      <c r="AB304" s="197"/>
      <c r="AC304" s="170"/>
      <c r="AD304" s="170"/>
      <c r="AE304" s="170"/>
      <c r="AF304" s="198"/>
      <c r="AG304" s="170"/>
      <c r="AH304" s="198"/>
      <c r="AI304" s="170"/>
      <c r="AJ304" s="190"/>
      <c r="AK304" s="170"/>
      <c r="AL304" s="170"/>
      <c r="AM304" s="170"/>
      <c r="AN304" s="170"/>
      <c r="AO304" s="170"/>
      <c r="AP304" s="199"/>
      <c r="AQ304" s="170"/>
      <c r="AR304" s="198"/>
      <c r="AS304" s="195"/>
      <c r="AT304" s="195"/>
      <c r="AU304" s="195"/>
      <c r="AV304" s="145"/>
      <c r="AW304" s="178"/>
      <c r="AX304" s="179"/>
      <c r="AY304" s="145"/>
    </row>
    <row r="305" spans="3:51">
      <c r="C305" s="69"/>
      <c r="E305" s="170"/>
      <c r="F305" s="170"/>
      <c r="G305" s="170"/>
      <c r="H305" s="170"/>
      <c r="I305" s="190"/>
      <c r="J305" s="191"/>
      <c r="K305" s="170"/>
      <c r="L305" s="191"/>
      <c r="M305" s="190"/>
      <c r="N305" s="190"/>
      <c r="O305" s="191"/>
      <c r="P305" s="191"/>
      <c r="Q305" s="170"/>
      <c r="R305" s="170"/>
      <c r="S305" s="193"/>
      <c r="T305" s="194"/>
      <c r="U305" s="195"/>
      <c r="V305" s="196"/>
      <c r="W305" s="195"/>
      <c r="X305" s="170"/>
      <c r="Y305" s="170"/>
      <c r="Z305" s="170"/>
      <c r="AA305" s="170"/>
      <c r="AB305" s="197"/>
      <c r="AC305" s="170"/>
      <c r="AD305" s="170"/>
      <c r="AE305" s="170"/>
      <c r="AF305" s="198"/>
      <c r="AG305" s="170"/>
      <c r="AH305" s="198"/>
      <c r="AI305" s="170"/>
      <c r="AJ305" s="190"/>
      <c r="AK305" s="170"/>
      <c r="AL305" s="170"/>
      <c r="AM305" s="170"/>
      <c r="AN305" s="170"/>
      <c r="AO305" s="170"/>
      <c r="AP305" s="199"/>
      <c r="AQ305" s="170"/>
      <c r="AR305" s="198"/>
      <c r="AS305" s="195"/>
      <c r="AT305" s="195"/>
      <c r="AU305" s="195"/>
      <c r="AV305" s="145"/>
      <c r="AW305" s="178"/>
      <c r="AX305" s="179"/>
      <c r="AY305" s="145"/>
    </row>
    <row r="306" spans="3:51">
      <c r="C306" s="69"/>
      <c r="E306" s="170"/>
      <c r="F306" s="170"/>
      <c r="G306" s="170"/>
      <c r="H306" s="170"/>
      <c r="I306" s="190"/>
      <c r="J306" s="191"/>
      <c r="K306" s="170"/>
      <c r="L306" s="191"/>
      <c r="M306" s="190"/>
      <c r="N306" s="190"/>
      <c r="O306" s="191"/>
      <c r="P306" s="191"/>
      <c r="Q306" s="170"/>
      <c r="R306" s="170"/>
      <c r="S306" s="193"/>
      <c r="T306" s="194"/>
      <c r="U306" s="195"/>
      <c r="V306" s="196"/>
      <c r="W306" s="195"/>
      <c r="X306" s="170"/>
      <c r="Y306" s="170"/>
      <c r="Z306" s="170"/>
      <c r="AA306" s="170"/>
      <c r="AB306" s="197"/>
      <c r="AC306" s="170"/>
      <c r="AD306" s="170"/>
      <c r="AE306" s="170"/>
      <c r="AF306" s="198"/>
      <c r="AG306" s="170"/>
      <c r="AH306" s="198"/>
      <c r="AI306" s="170"/>
      <c r="AJ306" s="190"/>
      <c r="AK306" s="170"/>
      <c r="AL306" s="170"/>
      <c r="AM306" s="170"/>
      <c r="AN306" s="170"/>
      <c r="AO306" s="170"/>
      <c r="AP306" s="199"/>
      <c r="AQ306" s="170"/>
      <c r="AR306" s="198"/>
      <c r="AS306" s="195"/>
      <c r="AT306" s="195"/>
      <c r="AU306" s="195"/>
      <c r="AV306" s="145"/>
      <c r="AW306" s="178"/>
      <c r="AX306" s="179"/>
      <c r="AY306" s="145"/>
    </row>
    <row r="307" spans="3:51">
      <c r="C307" s="69"/>
      <c r="E307" s="170"/>
      <c r="F307" s="170"/>
      <c r="G307" s="170"/>
      <c r="H307" s="170"/>
      <c r="I307" s="190"/>
      <c r="J307" s="191"/>
      <c r="K307" s="170"/>
      <c r="L307" s="191"/>
      <c r="M307" s="190"/>
      <c r="N307" s="190"/>
      <c r="O307" s="191"/>
      <c r="P307" s="191"/>
      <c r="Q307" s="170"/>
      <c r="R307" s="170"/>
      <c r="S307" s="193"/>
      <c r="T307" s="194"/>
      <c r="U307" s="195"/>
      <c r="V307" s="196"/>
      <c r="W307" s="195"/>
      <c r="X307" s="170"/>
      <c r="Y307" s="170"/>
      <c r="Z307" s="170"/>
      <c r="AA307" s="170"/>
      <c r="AB307" s="197"/>
      <c r="AC307" s="170"/>
      <c r="AD307" s="170"/>
      <c r="AE307" s="170"/>
      <c r="AF307" s="198"/>
      <c r="AG307" s="170"/>
      <c r="AH307" s="198"/>
      <c r="AI307" s="170"/>
      <c r="AJ307" s="190"/>
      <c r="AK307" s="170"/>
      <c r="AL307" s="170"/>
      <c r="AM307" s="170"/>
      <c r="AN307" s="170"/>
      <c r="AO307" s="170"/>
      <c r="AP307" s="199"/>
      <c r="AQ307" s="170"/>
      <c r="AR307" s="198"/>
      <c r="AS307" s="195"/>
      <c r="AT307" s="195"/>
      <c r="AU307" s="195"/>
      <c r="AV307" s="145"/>
      <c r="AW307" s="178"/>
      <c r="AX307" s="179"/>
      <c r="AY307" s="145"/>
    </row>
    <row r="308" spans="3:51">
      <c r="C308" s="69"/>
      <c r="E308" s="170"/>
      <c r="F308" s="170"/>
      <c r="G308" s="170"/>
      <c r="H308" s="170"/>
      <c r="I308" s="190"/>
      <c r="J308" s="191"/>
      <c r="K308" s="170"/>
      <c r="L308" s="191"/>
      <c r="M308" s="190"/>
      <c r="N308" s="190"/>
      <c r="O308" s="191"/>
      <c r="P308" s="191"/>
      <c r="Q308" s="170"/>
      <c r="R308" s="170"/>
      <c r="S308" s="193"/>
      <c r="T308" s="194"/>
      <c r="U308" s="195"/>
      <c r="V308" s="196"/>
      <c r="W308" s="195"/>
      <c r="X308" s="170"/>
      <c r="Y308" s="170"/>
      <c r="Z308" s="170"/>
      <c r="AA308" s="170"/>
      <c r="AB308" s="197"/>
      <c r="AC308" s="170"/>
      <c r="AD308" s="170"/>
      <c r="AE308" s="170"/>
      <c r="AF308" s="198"/>
      <c r="AG308" s="170"/>
      <c r="AH308" s="198"/>
      <c r="AI308" s="170"/>
      <c r="AJ308" s="190"/>
      <c r="AK308" s="170"/>
      <c r="AL308" s="170"/>
      <c r="AM308" s="170"/>
      <c r="AN308" s="170"/>
      <c r="AO308" s="170"/>
      <c r="AP308" s="199"/>
      <c r="AQ308" s="170"/>
      <c r="AR308" s="198"/>
      <c r="AS308" s="195"/>
      <c r="AT308" s="195"/>
      <c r="AU308" s="195"/>
      <c r="AV308" s="145"/>
      <c r="AW308" s="178"/>
      <c r="AX308" s="179"/>
      <c r="AY308" s="145"/>
    </row>
    <row r="309" spans="3:51">
      <c r="C309" s="69"/>
      <c r="E309" s="170"/>
      <c r="F309" s="170"/>
      <c r="G309" s="170"/>
      <c r="H309" s="170"/>
      <c r="I309" s="190"/>
      <c r="J309" s="191"/>
      <c r="K309" s="170"/>
      <c r="L309" s="191"/>
      <c r="M309" s="190"/>
      <c r="N309" s="190"/>
      <c r="O309" s="191"/>
      <c r="P309" s="191"/>
      <c r="Q309" s="170"/>
      <c r="R309" s="170"/>
      <c r="S309" s="193"/>
      <c r="T309" s="194"/>
      <c r="U309" s="195"/>
      <c r="V309" s="196"/>
      <c r="W309" s="195"/>
      <c r="X309" s="170"/>
      <c r="Y309" s="170"/>
      <c r="Z309" s="170"/>
      <c r="AA309" s="170"/>
      <c r="AB309" s="197"/>
      <c r="AC309" s="170"/>
      <c r="AD309" s="170"/>
      <c r="AE309" s="170"/>
      <c r="AF309" s="198"/>
      <c r="AG309" s="170"/>
      <c r="AH309" s="198"/>
      <c r="AI309" s="170"/>
      <c r="AJ309" s="190"/>
      <c r="AK309" s="170"/>
      <c r="AL309" s="170"/>
      <c r="AM309" s="170"/>
      <c r="AN309" s="170"/>
      <c r="AO309" s="170"/>
      <c r="AP309" s="199"/>
      <c r="AQ309" s="170"/>
      <c r="AR309" s="198"/>
      <c r="AS309" s="195"/>
      <c r="AT309" s="195"/>
      <c r="AU309" s="195"/>
      <c r="AV309" s="145"/>
      <c r="AW309" s="178"/>
      <c r="AX309" s="179"/>
      <c r="AY309" s="145"/>
    </row>
    <row r="310" spans="3:51">
      <c r="C310" s="69"/>
      <c r="E310" s="170"/>
      <c r="F310" s="170"/>
      <c r="G310" s="170"/>
      <c r="H310" s="170"/>
      <c r="I310" s="190"/>
      <c r="J310" s="191"/>
      <c r="K310" s="170"/>
      <c r="L310" s="191"/>
      <c r="M310" s="190"/>
      <c r="N310" s="190"/>
      <c r="O310" s="191"/>
      <c r="P310" s="191"/>
      <c r="Q310" s="170"/>
      <c r="R310" s="170"/>
      <c r="S310" s="193"/>
      <c r="T310" s="194"/>
      <c r="U310" s="195"/>
      <c r="V310" s="196"/>
      <c r="W310" s="195"/>
      <c r="X310" s="170"/>
      <c r="Y310" s="170"/>
      <c r="Z310" s="170"/>
      <c r="AA310" s="170"/>
      <c r="AB310" s="197"/>
      <c r="AC310" s="170"/>
      <c r="AD310" s="170"/>
      <c r="AE310" s="170"/>
      <c r="AF310" s="198"/>
      <c r="AG310" s="170"/>
      <c r="AH310" s="198"/>
      <c r="AI310" s="170"/>
      <c r="AJ310" s="190"/>
      <c r="AK310" s="170"/>
      <c r="AL310" s="170"/>
      <c r="AM310" s="170"/>
      <c r="AN310" s="170"/>
      <c r="AO310" s="170"/>
      <c r="AP310" s="199"/>
      <c r="AQ310" s="170"/>
      <c r="AR310" s="198"/>
      <c r="AS310" s="195"/>
      <c r="AT310" s="195"/>
      <c r="AU310" s="195"/>
      <c r="AV310" s="145"/>
      <c r="AW310" s="178"/>
      <c r="AX310" s="179"/>
      <c r="AY310" s="145"/>
    </row>
    <row r="311" spans="3:51">
      <c r="C311" s="69"/>
      <c r="E311" s="170"/>
      <c r="F311" s="170"/>
      <c r="G311" s="170"/>
      <c r="H311" s="170"/>
      <c r="I311" s="190"/>
      <c r="J311" s="191"/>
      <c r="K311" s="170"/>
      <c r="L311" s="191"/>
      <c r="M311" s="190"/>
      <c r="N311" s="190"/>
      <c r="O311" s="191"/>
      <c r="P311" s="191"/>
      <c r="Q311" s="170"/>
      <c r="R311" s="170"/>
      <c r="S311" s="193"/>
      <c r="T311" s="194"/>
      <c r="U311" s="195"/>
      <c r="V311" s="196"/>
      <c r="W311" s="195"/>
      <c r="X311" s="170"/>
      <c r="Y311" s="170"/>
      <c r="Z311" s="170"/>
      <c r="AA311" s="170"/>
      <c r="AB311" s="197"/>
      <c r="AC311" s="170"/>
      <c r="AD311" s="170"/>
      <c r="AE311" s="170"/>
      <c r="AF311" s="198"/>
      <c r="AG311" s="170"/>
      <c r="AH311" s="198"/>
      <c r="AI311" s="170"/>
      <c r="AJ311" s="190"/>
      <c r="AK311" s="170"/>
      <c r="AL311" s="170"/>
      <c r="AM311" s="170"/>
      <c r="AN311" s="170"/>
      <c r="AO311" s="170"/>
      <c r="AP311" s="199"/>
      <c r="AQ311" s="170"/>
      <c r="AR311" s="198"/>
      <c r="AS311" s="195"/>
      <c r="AT311" s="195"/>
      <c r="AU311" s="195"/>
      <c r="AV311" s="145"/>
      <c r="AW311" s="178"/>
      <c r="AX311" s="179"/>
      <c r="AY311" s="145"/>
    </row>
    <row r="312" spans="3:51">
      <c r="C312" s="69"/>
      <c r="E312" s="170"/>
      <c r="F312" s="170"/>
      <c r="G312" s="170"/>
      <c r="H312" s="170"/>
      <c r="I312" s="190"/>
      <c r="J312" s="191"/>
      <c r="K312" s="170"/>
      <c r="L312" s="191"/>
      <c r="M312" s="190"/>
      <c r="N312" s="190"/>
      <c r="O312" s="191"/>
      <c r="P312" s="191"/>
      <c r="Q312" s="170"/>
      <c r="R312" s="170"/>
      <c r="S312" s="193"/>
      <c r="T312" s="194"/>
      <c r="U312" s="195"/>
      <c r="V312" s="196"/>
      <c r="W312" s="195"/>
      <c r="X312" s="170"/>
      <c r="Y312" s="170"/>
      <c r="Z312" s="170"/>
      <c r="AA312" s="170"/>
      <c r="AB312" s="197"/>
      <c r="AC312" s="170"/>
      <c r="AD312" s="170"/>
      <c r="AE312" s="170"/>
      <c r="AF312" s="198"/>
      <c r="AG312" s="170"/>
      <c r="AH312" s="198"/>
      <c r="AI312" s="170"/>
      <c r="AJ312" s="190"/>
      <c r="AK312" s="170"/>
      <c r="AL312" s="170"/>
      <c r="AM312" s="170"/>
      <c r="AN312" s="170"/>
      <c r="AO312" s="170"/>
      <c r="AP312" s="199"/>
      <c r="AQ312" s="170"/>
      <c r="AR312" s="198"/>
      <c r="AS312" s="195"/>
      <c r="AT312" s="195"/>
      <c r="AU312" s="195"/>
      <c r="AV312" s="145"/>
      <c r="AW312" s="178"/>
      <c r="AX312" s="179"/>
      <c r="AY312" s="145"/>
    </row>
    <row r="313" spans="3:51">
      <c r="C313" s="69"/>
      <c r="E313" s="170"/>
      <c r="F313" s="170"/>
      <c r="G313" s="170"/>
      <c r="H313" s="170"/>
      <c r="I313" s="190"/>
      <c r="J313" s="191"/>
      <c r="K313" s="170"/>
      <c r="L313" s="191"/>
      <c r="M313" s="190"/>
      <c r="N313" s="190"/>
      <c r="O313" s="191"/>
      <c r="P313" s="191"/>
      <c r="Q313" s="170"/>
      <c r="R313" s="170"/>
      <c r="S313" s="193"/>
      <c r="T313" s="194"/>
      <c r="U313" s="195"/>
      <c r="V313" s="196"/>
      <c r="W313" s="195"/>
      <c r="X313" s="170"/>
      <c r="Y313" s="170"/>
      <c r="Z313" s="170"/>
      <c r="AA313" s="170"/>
      <c r="AB313" s="197"/>
      <c r="AC313" s="170"/>
      <c r="AD313" s="170"/>
      <c r="AE313" s="170"/>
      <c r="AF313" s="198"/>
      <c r="AG313" s="170"/>
      <c r="AH313" s="198"/>
      <c r="AI313" s="170"/>
      <c r="AJ313" s="190"/>
      <c r="AK313" s="170"/>
      <c r="AL313" s="170"/>
      <c r="AM313" s="170"/>
      <c r="AN313" s="170"/>
      <c r="AO313" s="170"/>
      <c r="AP313" s="199"/>
      <c r="AQ313" s="170"/>
      <c r="AR313" s="198"/>
      <c r="AS313" s="195"/>
      <c r="AT313" s="195"/>
      <c r="AU313" s="195"/>
      <c r="AV313" s="145"/>
      <c r="AW313" s="178"/>
      <c r="AX313" s="179"/>
      <c r="AY313" s="145"/>
    </row>
    <row r="314" spans="3:51">
      <c r="C314" s="116"/>
      <c r="E314" s="170"/>
      <c r="F314" s="170"/>
      <c r="G314" s="170"/>
      <c r="H314" s="170"/>
      <c r="I314" s="190"/>
      <c r="J314" s="191"/>
      <c r="K314" s="170"/>
      <c r="L314" s="191"/>
      <c r="M314" s="190"/>
      <c r="N314" s="190"/>
      <c r="O314" s="191"/>
      <c r="P314" s="191"/>
      <c r="Q314" s="170"/>
      <c r="R314" s="170"/>
      <c r="S314" s="193"/>
      <c r="T314" s="194"/>
      <c r="U314" s="195"/>
      <c r="V314" s="196"/>
      <c r="W314" s="195"/>
      <c r="X314" s="170"/>
      <c r="Y314" s="170"/>
      <c r="Z314" s="170"/>
      <c r="AA314" s="170"/>
      <c r="AB314" s="197"/>
      <c r="AC314" s="170"/>
      <c r="AD314" s="170"/>
      <c r="AE314" s="170"/>
      <c r="AF314" s="198"/>
      <c r="AG314" s="170"/>
      <c r="AH314" s="198"/>
      <c r="AI314" s="170"/>
      <c r="AJ314" s="190"/>
      <c r="AK314" s="170"/>
      <c r="AL314" s="170"/>
      <c r="AM314" s="170"/>
      <c r="AN314" s="170"/>
      <c r="AO314" s="170"/>
      <c r="AP314" s="199"/>
      <c r="AQ314" s="170"/>
      <c r="AR314" s="198"/>
      <c r="AS314" s="195"/>
      <c r="AT314" s="195"/>
      <c r="AU314" s="195"/>
      <c r="AV314" s="145"/>
      <c r="AW314" s="178"/>
      <c r="AX314" s="179"/>
      <c r="AY314" s="145"/>
    </row>
    <row r="315" spans="3:51">
      <c r="C315" s="116"/>
      <c r="E315" s="170"/>
      <c r="F315" s="170"/>
      <c r="G315" s="170"/>
      <c r="H315" s="170"/>
      <c r="I315" s="190"/>
      <c r="J315" s="191"/>
      <c r="K315" s="170"/>
      <c r="L315" s="191"/>
      <c r="M315" s="190"/>
      <c r="N315" s="190"/>
      <c r="O315" s="191"/>
      <c r="P315" s="191"/>
      <c r="Q315" s="170"/>
      <c r="R315" s="170"/>
      <c r="S315" s="193"/>
      <c r="T315" s="194"/>
      <c r="U315" s="195"/>
      <c r="V315" s="196"/>
      <c r="W315" s="195"/>
      <c r="X315" s="170"/>
      <c r="Y315" s="170"/>
      <c r="Z315" s="170"/>
      <c r="AA315" s="170"/>
      <c r="AB315" s="197"/>
      <c r="AC315" s="170"/>
      <c r="AD315" s="170"/>
      <c r="AE315" s="170"/>
      <c r="AF315" s="198"/>
      <c r="AG315" s="170"/>
      <c r="AH315" s="198"/>
      <c r="AI315" s="170"/>
      <c r="AJ315" s="190"/>
      <c r="AK315" s="170"/>
      <c r="AL315" s="170"/>
      <c r="AM315" s="170"/>
      <c r="AN315" s="170"/>
      <c r="AO315" s="170"/>
      <c r="AP315" s="199"/>
      <c r="AQ315" s="170"/>
      <c r="AR315" s="198"/>
      <c r="AS315" s="195"/>
      <c r="AT315" s="195"/>
      <c r="AU315" s="195"/>
      <c r="AV315" s="145"/>
      <c r="AW315" s="178"/>
      <c r="AX315" s="179"/>
      <c r="AY315" s="145"/>
    </row>
    <row r="316" spans="3:51">
      <c r="C316" s="116"/>
      <c r="E316" s="170"/>
      <c r="F316" s="170"/>
      <c r="G316" s="170"/>
      <c r="H316" s="170"/>
      <c r="I316" s="190"/>
      <c r="J316" s="191"/>
      <c r="K316" s="170"/>
      <c r="L316" s="191"/>
      <c r="M316" s="190"/>
      <c r="N316" s="190"/>
      <c r="O316" s="191"/>
      <c r="P316" s="191"/>
      <c r="Q316" s="170"/>
      <c r="R316" s="170"/>
      <c r="S316" s="193"/>
      <c r="T316" s="194"/>
      <c r="U316" s="195"/>
      <c r="V316" s="196"/>
      <c r="W316" s="195"/>
      <c r="X316" s="170"/>
      <c r="Y316" s="170"/>
      <c r="Z316" s="170"/>
      <c r="AA316" s="170"/>
      <c r="AB316" s="197"/>
      <c r="AC316" s="170"/>
      <c r="AD316" s="170"/>
      <c r="AE316" s="170"/>
      <c r="AF316" s="198"/>
      <c r="AG316" s="170"/>
      <c r="AH316" s="198"/>
      <c r="AI316" s="170"/>
      <c r="AJ316" s="190"/>
      <c r="AK316" s="170"/>
      <c r="AL316" s="170"/>
      <c r="AM316" s="170"/>
      <c r="AN316" s="170"/>
      <c r="AO316" s="170"/>
      <c r="AP316" s="199"/>
      <c r="AQ316" s="170"/>
      <c r="AR316" s="198"/>
      <c r="AS316" s="195"/>
      <c r="AT316" s="195"/>
      <c r="AU316" s="195"/>
      <c r="AV316" s="145"/>
      <c r="AW316" s="178"/>
      <c r="AX316" s="179"/>
      <c r="AY316" s="145"/>
    </row>
    <row r="317" spans="3:51">
      <c r="C317" s="116"/>
      <c r="E317" s="170"/>
      <c r="F317" s="170"/>
      <c r="G317" s="170"/>
      <c r="H317" s="170"/>
      <c r="I317" s="190"/>
      <c r="J317" s="191"/>
      <c r="K317" s="170"/>
      <c r="L317" s="191"/>
      <c r="M317" s="190"/>
      <c r="N317" s="190"/>
      <c r="O317" s="191"/>
      <c r="P317" s="191"/>
      <c r="Q317" s="170"/>
      <c r="R317" s="170"/>
      <c r="S317" s="193"/>
      <c r="T317" s="194"/>
      <c r="U317" s="195"/>
      <c r="V317" s="196"/>
      <c r="W317" s="195"/>
      <c r="X317" s="170"/>
      <c r="Y317" s="170"/>
      <c r="Z317" s="170"/>
      <c r="AA317" s="170"/>
      <c r="AB317" s="197"/>
      <c r="AC317" s="170"/>
      <c r="AD317" s="170"/>
      <c r="AE317" s="170"/>
      <c r="AF317" s="198"/>
      <c r="AG317" s="170"/>
      <c r="AH317" s="198"/>
      <c r="AI317" s="170"/>
      <c r="AJ317" s="190"/>
      <c r="AK317" s="170"/>
      <c r="AL317" s="170"/>
      <c r="AM317" s="170"/>
      <c r="AN317" s="170"/>
      <c r="AO317" s="170"/>
      <c r="AP317" s="199"/>
      <c r="AQ317" s="170"/>
      <c r="AR317" s="198"/>
      <c r="AS317" s="195"/>
      <c r="AT317" s="195"/>
      <c r="AU317" s="195"/>
      <c r="AV317" s="145"/>
      <c r="AW317" s="178"/>
      <c r="AX317" s="179"/>
      <c r="AY317" s="145"/>
    </row>
    <row r="318" spans="3:51">
      <c r="C318" s="116"/>
      <c r="E318" s="170"/>
      <c r="F318" s="170"/>
      <c r="G318" s="170"/>
      <c r="H318" s="170"/>
      <c r="I318" s="190"/>
      <c r="J318" s="191"/>
      <c r="K318" s="170"/>
      <c r="L318" s="191"/>
      <c r="M318" s="190"/>
      <c r="N318" s="190"/>
      <c r="O318" s="191"/>
      <c r="P318" s="191"/>
      <c r="Q318" s="170"/>
      <c r="R318" s="170"/>
      <c r="S318" s="193"/>
      <c r="T318" s="194"/>
      <c r="U318" s="195"/>
      <c r="V318" s="196"/>
      <c r="W318" s="195"/>
      <c r="X318" s="170"/>
      <c r="Y318" s="170"/>
      <c r="Z318" s="170"/>
      <c r="AA318" s="170"/>
      <c r="AB318" s="197"/>
      <c r="AC318" s="170"/>
      <c r="AD318" s="170"/>
      <c r="AE318" s="170"/>
      <c r="AF318" s="198"/>
      <c r="AG318" s="170"/>
      <c r="AH318" s="198"/>
      <c r="AI318" s="170"/>
      <c r="AJ318" s="190"/>
      <c r="AK318" s="170"/>
      <c r="AL318" s="170"/>
      <c r="AM318" s="170"/>
      <c r="AN318" s="170"/>
      <c r="AO318" s="170"/>
      <c r="AP318" s="199"/>
      <c r="AQ318" s="170"/>
      <c r="AR318" s="198"/>
      <c r="AS318" s="195"/>
      <c r="AT318" s="195"/>
      <c r="AU318" s="195"/>
      <c r="AV318" s="145"/>
      <c r="AW318" s="178"/>
      <c r="AX318" s="179"/>
      <c r="AY318" s="145"/>
    </row>
    <row r="319" spans="3:51">
      <c r="C319" s="116"/>
      <c r="E319" s="170"/>
      <c r="F319" s="170"/>
      <c r="G319" s="170"/>
      <c r="H319" s="170"/>
      <c r="I319" s="190"/>
      <c r="J319" s="191"/>
      <c r="K319" s="170"/>
      <c r="L319" s="191"/>
      <c r="M319" s="190"/>
      <c r="N319" s="190"/>
      <c r="O319" s="191"/>
      <c r="P319" s="191"/>
      <c r="Q319" s="170"/>
      <c r="R319" s="170"/>
      <c r="S319" s="193"/>
      <c r="T319" s="194"/>
      <c r="U319" s="195"/>
      <c r="V319" s="196"/>
      <c r="W319" s="195"/>
      <c r="X319" s="170"/>
      <c r="Y319" s="170"/>
      <c r="Z319" s="170"/>
      <c r="AA319" s="170"/>
      <c r="AB319" s="197"/>
      <c r="AC319" s="170"/>
      <c r="AD319" s="170"/>
      <c r="AE319" s="170"/>
      <c r="AF319" s="198"/>
      <c r="AG319" s="170"/>
      <c r="AH319" s="198"/>
      <c r="AI319" s="170"/>
      <c r="AJ319" s="190"/>
      <c r="AK319" s="170"/>
      <c r="AL319" s="170"/>
      <c r="AM319" s="170"/>
      <c r="AN319" s="170"/>
      <c r="AO319" s="170"/>
      <c r="AP319" s="199"/>
      <c r="AQ319" s="170"/>
      <c r="AR319" s="198"/>
      <c r="AS319" s="195"/>
      <c r="AT319" s="195"/>
      <c r="AU319" s="195"/>
      <c r="AV319" s="145"/>
      <c r="AW319" s="178"/>
      <c r="AX319" s="179"/>
      <c r="AY319" s="145"/>
    </row>
    <row r="320" spans="3:51">
      <c r="C320" s="116"/>
      <c r="E320" s="170"/>
      <c r="F320" s="170"/>
      <c r="G320" s="170"/>
      <c r="H320" s="170"/>
      <c r="I320" s="190"/>
      <c r="J320" s="191"/>
      <c r="K320" s="170"/>
      <c r="L320" s="191"/>
      <c r="M320" s="190"/>
      <c r="N320" s="190"/>
      <c r="O320" s="191"/>
      <c r="P320" s="191"/>
      <c r="Q320" s="170"/>
      <c r="R320" s="170"/>
      <c r="S320" s="193"/>
      <c r="T320" s="194"/>
      <c r="U320" s="195"/>
      <c r="V320" s="196"/>
      <c r="W320" s="195"/>
      <c r="X320" s="170"/>
      <c r="Y320" s="170"/>
      <c r="Z320" s="170"/>
      <c r="AA320" s="170"/>
      <c r="AB320" s="197"/>
      <c r="AC320" s="170"/>
      <c r="AD320" s="170"/>
      <c r="AE320" s="170"/>
      <c r="AF320" s="198"/>
      <c r="AG320" s="170"/>
      <c r="AH320" s="198"/>
      <c r="AI320" s="170"/>
      <c r="AJ320" s="190"/>
      <c r="AK320" s="170"/>
      <c r="AL320" s="170"/>
      <c r="AM320" s="170"/>
      <c r="AN320" s="170"/>
      <c r="AO320" s="170"/>
      <c r="AP320" s="199"/>
      <c r="AQ320" s="170"/>
      <c r="AR320" s="198"/>
      <c r="AS320" s="195"/>
      <c r="AT320" s="195"/>
      <c r="AU320" s="195"/>
      <c r="AV320" s="145"/>
      <c r="AW320" s="178"/>
      <c r="AX320" s="179"/>
      <c r="AY320" s="145"/>
    </row>
    <row r="321" spans="3:51">
      <c r="C321" s="116"/>
      <c r="E321" s="170"/>
      <c r="F321" s="170"/>
      <c r="G321" s="170"/>
      <c r="H321" s="170"/>
      <c r="I321" s="190"/>
      <c r="J321" s="191"/>
      <c r="K321" s="170"/>
      <c r="L321" s="191"/>
      <c r="M321" s="190"/>
      <c r="N321" s="190"/>
      <c r="O321" s="191"/>
      <c r="P321" s="191"/>
      <c r="Q321" s="170"/>
      <c r="R321" s="170"/>
      <c r="S321" s="193"/>
      <c r="T321" s="194"/>
      <c r="U321" s="195"/>
      <c r="V321" s="196"/>
      <c r="W321" s="195"/>
      <c r="X321" s="170"/>
      <c r="Y321" s="170"/>
      <c r="Z321" s="170"/>
      <c r="AA321" s="170"/>
      <c r="AB321" s="197"/>
      <c r="AC321" s="170"/>
      <c r="AD321" s="170"/>
      <c r="AE321" s="170"/>
      <c r="AF321" s="198"/>
      <c r="AG321" s="170"/>
      <c r="AH321" s="198"/>
      <c r="AI321" s="170"/>
      <c r="AJ321" s="190"/>
      <c r="AK321" s="170"/>
      <c r="AL321" s="170"/>
      <c r="AM321" s="170"/>
      <c r="AN321" s="170"/>
      <c r="AO321" s="170"/>
      <c r="AP321" s="199"/>
      <c r="AQ321" s="170"/>
      <c r="AR321" s="198"/>
      <c r="AS321" s="195"/>
      <c r="AT321" s="195"/>
      <c r="AU321" s="195"/>
      <c r="AV321" s="145"/>
      <c r="AW321" s="178"/>
      <c r="AX321" s="179"/>
      <c r="AY321" s="145"/>
    </row>
    <row r="322" spans="3:51">
      <c r="C322" s="116"/>
      <c r="E322" s="170"/>
      <c r="F322" s="170"/>
      <c r="G322" s="170"/>
      <c r="H322" s="170"/>
      <c r="I322" s="190"/>
      <c r="J322" s="191"/>
      <c r="K322" s="170"/>
      <c r="L322" s="191"/>
      <c r="M322" s="190"/>
      <c r="N322" s="190"/>
      <c r="O322" s="191"/>
      <c r="P322" s="191"/>
      <c r="Q322" s="170"/>
      <c r="R322" s="170"/>
      <c r="S322" s="193"/>
      <c r="T322" s="194"/>
      <c r="U322" s="195"/>
      <c r="V322" s="196"/>
      <c r="W322" s="195"/>
      <c r="X322" s="170"/>
      <c r="Y322" s="170"/>
      <c r="Z322" s="170"/>
      <c r="AA322" s="170"/>
      <c r="AB322" s="197"/>
      <c r="AC322" s="170"/>
      <c r="AD322" s="170"/>
      <c r="AE322" s="170"/>
      <c r="AF322" s="198"/>
      <c r="AG322" s="170"/>
      <c r="AH322" s="198"/>
      <c r="AI322" s="170"/>
      <c r="AJ322" s="190"/>
      <c r="AK322" s="170"/>
      <c r="AL322" s="170"/>
      <c r="AM322" s="170"/>
      <c r="AN322" s="170"/>
      <c r="AO322" s="170"/>
      <c r="AP322" s="199"/>
      <c r="AQ322" s="170"/>
      <c r="AR322" s="198"/>
      <c r="AS322" s="195"/>
      <c r="AT322" s="195"/>
      <c r="AU322" s="195"/>
      <c r="AV322" s="145"/>
      <c r="AW322" s="178"/>
      <c r="AX322" s="179"/>
      <c r="AY322" s="145"/>
    </row>
    <row r="323" spans="3:51">
      <c r="C323" s="116"/>
      <c r="E323" s="170"/>
      <c r="F323" s="170"/>
      <c r="G323" s="170"/>
      <c r="H323" s="170"/>
      <c r="I323" s="190"/>
      <c r="J323" s="191"/>
      <c r="K323" s="170"/>
      <c r="L323" s="191"/>
      <c r="M323" s="190"/>
      <c r="N323" s="190"/>
      <c r="O323" s="191"/>
      <c r="P323" s="191"/>
      <c r="Q323" s="170"/>
      <c r="R323" s="170"/>
      <c r="S323" s="193"/>
      <c r="T323" s="194"/>
      <c r="U323" s="195"/>
      <c r="V323" s="196"/>
      <c r="W323" s="195"/>
      <c r="X323" s="170"/>
      <c r="Y323" s="170"/>
      <c r="Z323" s="170"/>
      <c r="AA323" s="170"/>
      <c r="AB323" s="197"/>
      <c r="AC323" s="170"/>
      <c r="AD323" s="170"/>
      <c r="AE323" s="170"/>
      <c r="AF323" s="198"/>
      <c r="AG323" s="170"/>
      <c r="AH323" s="198"/>
      <c r="AI323" s="170"/>
      <c r="AJ323" s="190"/>
      <c r="AK323" s="170"/>
      <c r="AL323" s="170"/>
      <c r="AM323" s="170"/>
      <c r="AN323" s="170"/>
      <c r="AO323" s="170"/>
      <c r="AP323" s="199"/>
      <c r="AQ323" s="170"/>
      <c r="AR323" s="198"/>
      <c r="AS323" s="195"/>
      <c r="AT323" s="195"/>
      <c r="AU323" s="195"/>
      <c r="AV323" s="145"/>
      <c r="AW323" s="178"/>
      <c r="AX323" s="179"/>
      <c r="AY323" s="145"/>
    </row>
    <row r="324" spans="3:51">
      <c r="C324" s="116"/>
      <c r="E324" s="170"/>
      <c r="F324" s="170"/>
      <c r="G324" s="170"/>
      <c r="H324" s="170"/>
      <c r="I324" s="190"/>
      <c r="J324" s="191"/>
      <c r="K324" s="170"/>
      <c r="L324" s="191"/>
      <c r="M324" s="190"/>
      <c r="N324" s="190"/>
      <c r="O324" s="191"/>
      <c r="P324" s="191"/>
      <c r="Q324" s="170"/>
      <c r="R324" s="170"/>
      <c r="S324" s="193"/>
      <c r="T324" s="194"/>
      <c r="U324" s="195"/>
      <c r="V324" s="196"/>
      <c r="W324" s="195"/>
      <c r="X324" s="170"/>
      <c r="Y324" s="170"/>
      <c r="Z324" s="170"/>
      <c r="AA324" s="170"/>
      <c r="AB324" s="197"/>
      <c r="AC324" s="170"/>
      <c r="AD324" s="170"/>
      <c r="AE324" s="170"/>
      <c r="AF324" s="198"/>
      <c r="AG324" s="170"/>
      <c r="AH324" s="198"/>
      <c r="AI324" s="170"/>
      <c r="AJ324" s="190"/>
      <c r="AK324" s="170"/>
      <c r="AL324" s="170"/>
      <c r="AM324" s="170"/>
      <c r="AN324" s="170"/>
      <c r="AO324" s="170"/>
      <c r="AP324" s="199"/>
      <c r="AQ324" s="170"/>
      <c r="AR324" s="198"/>
      <c r="AS324" s="195"/>
      <c r="AT324" s="195"/>
      <c r="AU324" s="195"/>
      <c r="AV324" s="145"/>
      <c r="AW324" s="178"/>
      <c r="AX324" s="179"/>
      <c r="AY324" s="145"/>
    </row>
    <row r="325" spans="3:51">
      <c r="C325" s="116"/>
      <c r="E325" s="170"/>
      <c r="F325" s="170"/>
      <c r="G325" s="170"/>
      <c r="H325" s="170"/>
      <c r="I325" s="190"/>
      <c r="J325" s="191"/>
      <c r="K325" s="170"/>
      <c r="L325" s="191"/>
      <c r="M325" s="190"/>
      <c r="N325" s="190"/>
      <c r="O325" s="191"/>
      <c r="P325" s="191"/>
      <c r="Q325" s="170"/>
      <c r="R325" s="170"/>
      <c r="S325" s="193"/>
      <c r="T325" s="194"/>
      <c r="U325" s="195"/>
      <c r="V325" s="196"/>
      <c r="W325" s="195"/>
      <c r="X325" s="170"/>
      <c r="Y325" s="170"/>
      <c r="Z325" s="170"/>
      <c r="AA325" s="170"/>
      <c r="AB325" s="197"/>
      <c r="AC325" s="170"/>
      <c r="AD325" s="170"/>
      <c r="AE325" s="170"/>
      <c r="AF325" s="198"/>
      <c r="AG325" s="170"/>
      <c r="AH325" s="198"/>
      <c r="AI325" s="170"/>
      <c r="AJ325" s="190"/>
      <c r="AK325" s="170"/>
      <c r="AL325" s="170"/>
      <c r="AM325" s="170"/>
      <c r="AN325" s="170"/>
      <c r="AO325" s="170"/>
      <c r="AP325" s="199"/>
      <c r="AQ325" s="170"/>
      <c r="AR325" s="198"/>
      <c r="AS325" s="195"/>
      <c r="AT325" s="195"/>
      <c r="AU325" s="195"/>
      <c r="AV325" s="145"/>
      <c r="AW325" s="178"/>
      <c r="AX325" s="179"/>
      <c r="AY325" s="145"/>
    </row>
    <row r="326" spans="3:51">
      <c r="C326" s="116"/>
      <c r="E326" s="170"/>
      <c r="F326" s="170"/>
      <c r="G326" s="170"/>
      <c r="H326" s="170"/>
      <c r="I326" s="190"/>
      <c r="J326" s="191"/>
      <c r="K326" s="170"/>
      <c r="L326" s="191"/>
      <c r="M326" s="190"/>
      <c r="N326" s="190"/>
      <c r="O326" s="191"/>
      <c r="P326" s="191"/>
      <c r="Q326" s="170"/>
      <c r="R326" s="170"/>
      <c r="S326" s="193"/>
      <c r="T326" s="194"/>
      <c r="U326" s="195"/>
      <c r="V326" s="196"/>
      <c r="W326" s="195"/>
      <c r="X326" s="170"/>
      <c r="Y326" s="170"/>
      <c r="Z326" s="170"/>
      <c r="AA326" s="170"/>
      <c r="AB326" s="197"/>
      <c r="AC326" s="170"/>
      <c r="AD326" s="170"/>
      <c r="AE326" s="170"/>
      <c r="AF326" s="198"/>
      <c r="AG326" s="170"/>
      <c r="AH326" s="198"/>
      <c r="AI326" s="170"/>
      <c r="AJ326" s="190"/>
      <c r="AK326" s="170"/>
      <c r="AL326" s="170"/>
      <c r="AM326" s="170"/>
      <c r="AN326" s="170"/>
      <c r="AO326" s="170"/>
      <c r="AP326" s="199"/>
      <c r="AQ326" s="170"/>
      <c r="AR326" s="198"/>
      <c r="AS326" s="195"/>
      <c r="AT326" s="195"/>
      <c r="AU326" s="195"/>
      <c r="AV326" s="145"/>
      <c r="AW326" s="178"/>
      <c r="AX326" s="179"/>
      <c r="AY326" s="145"/>
    </row>
    <row r="327" spans="3:51">
      <c r="C327" s="116"/>
      <c r="E327" s="170"/>
      <c r="F327" s="170"/>
      <c r="G327" s="170"/>
      <c r="H327" s="170"/>
      <c r="I327" s="190"/>
      <c r="J327" s="191"/>
      <c r="K327" s="170"/>
      <c r="L327" s="191"/>
      <c r="M327" s="190"/>
      <c r="N327" s="190"/>
      <c r="O327" s="191"/>
      <c r="P327" s="191"/>
      <c r="Q327" s="170"/>
      <c r="R327" s="170"/>
      <c r="S327" s="193"/>
      <c r="T327" s="194"/>
      <c r="U327" s="195"/>
      <c r="V327" s="196"/>
      <c r="W327" s="195"/>
      <c r="X327" s="170"/>
      <c r="Y327" s="170"/>
      <c r="Z327" s="170"/>
      <c r="AA327" s="170"/>
      <c r="AB327" s="197"/>
      <c r="AC327" s="170"/>
      <c r="AD327" s="170"/>
      <c r="AE327" s="170"/>
      <c r="AF327" s="198"/>
      <c r="AG327" s="170"/>
      <c r="AH327" s="198"/>
      <c r="AI327" s="170"/>
      <c r="AJ327" s="190"/>
      <c r="AK327" s="170"/>
      <c r="AL327" s="170"/>
      <c r="AM327" s="170"/>
      <c r="AN327" s="170"/>
      <c r="AO327" s="170"/>
      <c r="AP327" s="199"/>
      <c r="AQ327" s="170"/>
      <c r="AR327" s="198"/>
      <c r="AS327" s="195"/>
      <c r="AT327" s="195"/>
      <c r="AU327" s="195"/>
      <c r="AV327" s="145"/>
      <c r="AW327" s="178"/>
      <c r="AX327" s="179"/>
      <c r="AY327" s="145"/>
    </row>
    <row r="328" spans="3:51">
      <c r="C328" s="116"/>
      <c r="E328" s="170"/>
      <c r="F328" s="170"/>
      <c r="G328" s="170"/>
      <c r="H328" s="170"/>
      <c r="I328" s="190"/>
      <c r="J328" s="191"/>
      <c r="K328" s="170"/>
      <c r="L328" s="191"/>
      <c r="M328" s="190"/>
      <c r="N328" s="190"/>
      <c r="O328" s="191"/>
      <c r="P328" s="191"/>
      <c r="Q328" s="170"/>
      <c r="R328" s="170"/>
      <c r="S328" s="193"/>
      <c r="T328" s="194"/>
      <c r="U328" s="195"/>
      <c r="V328" s="196"/>
      <c r="W328" s="195"/>
      <c r="X328" s="170"/>
      <c r="Y328" s="170"/>
      <c r="Z328" s="170"/>
      <c r="AA328" s="170"/>
      <c r="AB328" s="197"/>
      <c r="AC328" s="170"/>
      <c r="AD328" s="170"/>
      <c r="AE328" s="170"/>
      <c r="AF328" s="198"/>
      <c r="AG328" s="170"/>
      <c r="AH328" s="198"/>
      <c r="AI328" s="170"/>
      <c r="AJ328" s="190"/>
      <c r="AK328" s="170"/>
      <c r="AL328" s="170"/>
      <c r="AM328" s="170"/>
      <c r="AN328" s="170"/>
      <c r="AO328" s="170"/>
      <c r="AP328" s="199"/>
      <c r="AQ328" s="170"/>
      <c r="AR328" s="198"/>
      <c r="AS328" s="195"/>
      <c r="AT328" s="195"/>
      <c r="AU328" s="195"/>
      <c r="AV328" s="145"/>
      <c r="AW328" s="178"/>
      <c r="AX328" s="179"/>
      <c r="AY328" s="145"/>
    </row>
    <row r="329" spans="3:51">
      <c r="C329" s="116"/>
      <c r="E329" s="170"/>
      <c r="F329" s="170"/>
      <c r="G329" s="170"/>
      <c r="H329" s="170"/>
      <c r="I329" s="190"/>
      <c r="J329" s="191"/>
      <c r="K329" s="170"/>
      <c r="L329" s="191"/>
      <c r="M329" s="190"/>
      <c r="N329" s="190"/>
      <c r="O329" s="191"/>
      <c r="P329" s="191"/>
      <c r="Q329" s="170"/>
      <c r="R329" s="170"/>
      <c r="S329" s="193"/>
      <c r="T329" s="194"/>
      <c r="U329" s="195"/>
      <c r="V329" s="196"/>
      <c r="W329" s="195"/>
      <c r="X329" s="170"/>
      <c r="Y329" s="170"/>
      <c r="Z329" s="170"/>
      <c r="AA329" s="170"/>
      <c r="AB329" s="197"/>
      <c r="AC329" s="170"/>
      <c r="AD329" s="170"/>
      <c r="AE329" s="170"/>
      <c r="AF329" s="198"/>
      <c r="AG329" s="170"/>
      <c r="AH329" s="198"/>
      <c r="AI329" s="170"/>
      <c r="AJ329" s="190"/>
      <c r="AK329" s="170"/>
      <c r="AL329" s="170"/>
      <c r="AM329" s="170"/>
      <c r="AN329" s="170"/>
      <c r="AO329" s="170"/>
      <c r="AP329" s="199"/>
      <c r="AQ329" s="170"/>
      <c r="AR329" s="198"/>
      <c r="AS329" s="195"/>
      <c r="AT329" s="195"/>
      <c r="AU329" s="195"/>
      <c r="AV329" s="145"/>
      <c r="AW329" s="178"/>
      <c r="AX329" s="179"/>
      <c r="AY329" s="145"/>
    </row>
    <row r="330" spans="3:51">
      <c r="C330" s="116"/>
      <c r="E330" s="170"/>
      <c r="F330" s="170"/>
      <c r="G330" s="170"/>
      <c r="H330" s="170"/>
      <c r="I330" s="190"/>
      <c r="J330" s="191"/>
      <c r="K330" s="170"/>
      <c r="L330" s="191"/>
      <c r="M330" s="190"/>
      <c r="N330" s="190"/>
      <c r="O330" s="191"/>
      <c r="P330" s="191"/>
      <c r="Q330" s="170"/>
      <c r="R330" s="170"/>
      <c r="S330" s="193"/>
      <c r="T330" s="194"/>
      <c r="U330" s="195"/>
      <c r="V330" s="196"/>
      <c r="W330" s="195"/>
      <c r="X330" s="170"/>
      <c r="Y330" s="170"/>
      <c r="Z330" s="170"/>
      <c r="AA330" s="170"/>
      <c r="AB330" s="197"/>
      <c r="AC330" s="170"/>
      <c r="AD330" s="170"/>
      <c r="AE330" s="170"/>
      <c r="AF330" s="198"/>
      <c r="AG330" s="170"/>
      <c r="AH330" s="198"/>
      <c r="AI330" s="170"/>
      <c r="AJ330" s="190"/>
      <c r="AK330" s="170"/>
      <c r="AL330" s="170"/>
      <c r="AM330" s="170"/>
      <c r="AN330" s="170"/>
      <c r="AO330" s="170"/>
      <c r="AP330" s="199"/>
      <c r="AQ330" s="170"/>
      <c r="AR330" s="198"/>
      <c r="AS330" s="195"/>
      <c r="AT330" s="195"/>
      <c r="AU330" s="195"/>
      <c r="AV330" s="145"/>
      <c r="AW330" s="178"/>
      <c r="AX330" s="179"/>
      <c r="AY330" s="145"/>
    </row>
    <row r="331" spans="3:51">
      <c r="C331" s="116"/>
      <c r="E331" s="170"/>
      <c r="F331" s="170"/>
      <c r="G331" s="170"/>
      <c r="H331" s="170"/>
      <c r="I331" s="190"/>
      <c r="J331" s="191"/>
      <c r="K331" s="170"/>
      <c r="L331" s="191"/>
      <c r="M331" s="190"/>
      <c r="N331" s="190"/>
      <c r="O331" s="191"/>
      <c r="P331" s="191"/>
      <c r="Q331" s="170"/>
      <c r="R331" s="170"/>
      <c r="S331" s="193"/>
      <c r="T331" s="194"/>
      <c r="U331" s="195"/>
      <c r="V331" s="196"/>
      <c r="W331" s="195"/>
      <c r="X331" s="170"/>
      <c r="Y331" s="170"/>
      <c r="Z331" s="170"/>
      <c r="AA331" s="170"/>
      <c r="AB331" s="197"/>
      <c r="AC331" s="170"/>
      <c r="AD331" s="170"/>
      <c r="AE331" s="170"/>
      <c r="AF331" s="198"/>
      <c r="AG331" s="170"/>
      <c r="AH331" s="198"/>
      <c r="AI331" s="170"/>
      <c r="AJ331" s="190"/>
      <c r="AK331" s="170"/>
      <c r="AL331" s="170"/>
      <c r="AM331" s="170"/>
      <c r="AN331" s="170"/>
      <c r="AO331" s="170"/>
      <c r="AP331" s="199"/>
      <c r="AQ331" s="170"/>
      <c r="AR331" s="198"/>
      <c r="AS331" s="195"/>
      <c r="AT331" s="195"/>
      <c r="AU331" s="195"/>
      <c r="AV331" s="145"/>
      <c r="AW331" s="178"/>
      <c r="AX331" s="179"/>
      <c r="AY331" s="145"/>
    </row>
    <row r="332" spans="3:51">
      <c r="C332" s="116"/>
      <c r="E332" s="170"/>
      <c r="F332" s="170"/>
      <c r="G332" s="170"/>
      <c r="H332" s="170"/>
      <c r="I332" s="190"/>
      <c r="J332" s="191"/>
      <c r="K332" s="170"/>
      <c r="L332" s="191"/>
      <c r="M332" s="190"/>
      <c r="N332" s="190"/>
      <c r="O332" s="191"/>
      <c r="P332" s="191"/>
      <c r="Q332" s="170"/>
      <c r="R332" s="170"/>
      <c r="S332" s="193"/>
      <c r="T332" s="194"/>
      <c r="U332" s="195"/>
      <c r="V332" s="196"/>
      <c r="W332" s="195"/>
      <c r="X332" s="170"/>
      <c r="Y332" s="170"/>
      <c r="Z332" s="170"/>
      <c r="AA332" s="170"/>
      <c r="AB332" s="197"/>
      <c r="AC332" s="170"/>
      <c r="AD332" s="170"/>
      <c r="AE332" s="170"/>
      <c r="AF332" s="198"/>
      <c r="AG332" s="170"/>
      <c r="AH332" s="198"/>
      <c r="AI332" s="170"/>
      <c r="AJ332" s="190"/>
      <c r="AK332" s="170"/>
      <c r="AL332" s="170"/>
      <c r="AM332" s="170"/>
      <c r="AN332" s="170"/>
      <c r="AO332" s="170"/>
      <c r="AP332" s="199"/>
      <c r="AQ332" s="170"/>
      <c r="AR332" s="198"/>
      <c r="AS332" s="195"/>
      <c r="AT332" s="195"/>
      <c r="AU332" s="195"/>
      <c r="AV332" s="145"/>
      <c r="AW332" s="178"/>
      <c r="AX332" s="179"/>
      <c r="AY332" s="145"/>
    </row>
    <row r="333" spans="3:51">
      <c r="C333" s="116"/>
      <c r="E333" s="170"/>
      <c r="F333" s="170"/>
      <c r="G333" s="170"/>
      <c r="H333" s="170"/>
      <c r="I333" s="190"/>
      <c r="J333" s="191"/>
      <c r="K333" s="170"/>
      <c r="L333" s="191"/>
      <c r="M333" s="190"/>
      <c r="N333" s="190"/>
      <c r="O333" s="191"/>
      <c r="P333" s="191"/>
      <c r="Q333" s="170"/>
      <c r="R333" s="170"/>
      <c r="S333" s="193"/>
      <c r="T333" s="194"/>
      <c r="U333" s="195"/>
      <c r="V333" s="196"/>
      <c r="W333" s="195"/>
      <c r="X333" s="170"/>
      <c r="Y333" s="170"/>
      <c r="Z333" s="170"/>
      <c r="AA333" s="170"/>
      <c r="AB333" s="197"/>
      <c r="AC333" s="170"/>
      <c r="AD333" s="170"/>
      <c r="AE333" s="170"/>
      <c r="AF333" s="198"/>
      <c r="AG333" s="170"/>
      <c r="AH333" s="198"/>
      <c r="AI333" s="170"/>
      <c r="AJ333" s="190"/>
      <c r="AK333" s="170"/>
      <c r="AL333" s="170"/>
      <c r="AM333" s="170"/>
      <c r="AN333" s="170"/>
      <c r="AO333" s="170"/>
      <c r="AP333" s="199"/>
      <c r="AQ333" s="170"/>
      <c r="AR333" s="198"/>
      <c r="AS333" s="195"/>
      <c r="AT333" s="195"/>
      <c r="AU333" s="195"/>
      <c r="AV333" s="145"/>
      <c r="AW333" s="178"/>
      <c r="AX333" s="179"/>
      <c r="AY333" s="145"/>
    </row>
    <row r="334" spans="3:51">
      <c r="C334" s="116"/>
      <c r="E334" s="170"/>
      <c r="F334" s="170"/>
      <c r="G334" s="170"/>
      <c r="H334" s="170"/>
      <c r="I334" s="190"/>
      <c r="J334" s="191"/>
      <c r="K334" s="170"/>
      <c r="L334" s="191"/>
      <c r="M334" s="190"/>
      <c r="N334" s="190"/>
      <c r="O334" s="191"/>
      <c r="P334" s="191"/>
      <c r="Q334" s="170"/>
      <c r="R334" s="170"/>
      <c r="S334" s="193"/>
      <c r="T334" s="194"/>
      <c r="U334" s="195"/>
      <c r="V334" s="196"/>
      <c r="W334" s="195"/>
      <c r="X334" s="170"/>
      <c r="Y334" s="170"/>
      <c r="Z334" s="170"/>
      <c r="AA334" s="170"/>
      <c r="AB334" s="197"/>
      <c r="AC334" s="170"/>
      <c r="AD334" s="170"/>
      <c r="AE334" s="170"/>
      <c r="AF334" s="198"/>
      <c r="AG334" s="170"/>
      <c r="AH334" s="198"/>
      <c r="AI334" s="170"/>
      <c r="AJ334" s="190"/>
      <c r="AK334" s="170"/>
      <c r="AL334" s="170"/>
      <c r="AM334" s="170"/>
      <c r="AN334" s="170"/>
      <c r="AO334" s="170"/>
      <c r="AP334" s="199"/>
      <c r="AQ334" s="170"/>
      <c r="AR334" s="198"/>
      <c r="AS334" s="195"/>
      <c r="AT334" s="195"/>
      <c r="AU334" s="195"/>
      <c r="AV334" s="145"/>
      <c r="AW334" s="178"/>
      <c r="AX334" s="179"/>
      <c r="AY334" s="145"/>
    </row>
    <row r="335" spans="3:51">
      <c r="C335" s="116"/>
      <c r="E335" s="170"/>
      <c r="F335" s="170"/>
      <c r="G335" s="170"/>
      <c r="H335" s="170"/>
      <c r="I335" s="190"/>
      <c r="J335" s="191"/>
      <c r="K335" s="170"/>
      <c r="L335" s="191"/>
      <c r="M335" s="190"/>
      <c r="N335" s="190"/>
      <c r="O335" s="191"/>
      <c r="P335" s="191"/>
      <c r="Q335" s="170"/>
      <c r="R335" s="170"/>
      <c r="S335" s="193"/>
      <c r="T335" s="194"/>
      <c r="U335" s="195"/>
      <c r="V335" s="196"/>
      <c r="W335" s="195"/>
      <c r="X335" s="170"/>
      <c r="Y335" s="170"/>
      <c r="Z335" s="170"/>
      <c r="AA335" s="170"/>
      <c r="AB335" s="197"/>
      <c r="AC335" s="170"/>
      <c r="AD335" s="170"/>
      <c r="AE335" s="170"/>
      <c r="AF335" s="198"/>
      <c r="AG335" s="170"/>
      <c r="AH335" s="198"/>
      <c r="AI335" s="170"/>
      <c r="AJ335" s="190"/>
      <c r="AK335" s="170"/>
      <c r="AL335" s="170"/>
      <c r="AM335" s="170"/>
      <c r="AN335" s="170"/>
      <c r="AO335" s="170"/>
      <c r="AP335" s="199"/>
      <c r="AQ335" s="170"/>
      <c r="AR335" s="198"/>
      <c r="AS335" s="195"/>
      <c r="AT335" s="195"/>
      <c r="AU335" s="195"/>
      <c r="AV335" s="145"/>
      <c r="AW335" s="178"/>
      <c r="AX335" s="179"/>
      <c r="AY335" s="145"/>
    </row>
    <row r="336" spans="3:51">
      <c r="C336" s="116"/>
      <c r="E336" s="170"/>
      <c r="F336" s="170"/>
      <c r="G336" s="170"/>
      <c r="H336" s="170"/>
      <c r="I336" s="190"/>
      <c r="J336" s="191"/>
      <c r="K336" s="170"/>
      <c r="L336" s="191"/>
      <c r="M336" s="190"/>
      <c r="N336" s="190"/>
      <c r="O336" s="191"/>
      <c r="P336" s="191"/>
      <c r="Q336" s="170"/>
      <c r="R336" s="170"/>
      <c r="S336" s="193"/>
      <c r="T336" s="194"/>
      <c r="U336" s="195"/>
      <c r="V336" s="196"/>
      <c r="W336" s="195"/>
      <c r="X336" s="170"/>
      <c r="Y336" s="170"/>
      <c r="Z336" s="170"/>
      <c r="AA336" s="170"/>
      <c r="AB336" s="197"/>
      <c r="AC336" s="170"/>
      <c r="AD336" s="170"/>
      <c r="AE336" s="170"/>
      <c r="AF336" s="198"/>
      <c r="AG336" s="170"/>
      <c r="AH336" s="198"/>
      <c r="AI336" s="170"/>
      <c r="AJ336" s="190"/>
      <c r="AK336" s="170"/>
      <c r="AL336" s="170"/>
      <c r="AM336" s="170"/>
      <c r="AN336" s="170"/>
      <c r="AO336" s="170"/>
      <c r="AP336" s="199"/>
      <c r="AQ336" s="170"/>
      <c r="AR336" s="198"/>
      <c r="AS336" s="195"/>
      <c r="AT336" s="195"/>
      <c r="AU336" s="195"/>
      <c r="AV336" s="145"/>
      <c r="AW336" s="178"/>
      <c r="AX336" s="179"/>
      <c r="AY336" s="145"/>
    </row>
    <row r="337" spans="3:51">
      <c r="C337" s="116"/>
      <c r="E337" s="170"/>
      <c r="F337" s="170"/>
      <c r="G337" s="170"/>
      <c r="H337" s="170"/>
      <c r="I337" s="190"/>
      <c r="J337" s="191"/>
      <c r="K337" s="170"/>
      <c r="L337" s="191"/>
      <c r="M337" s="190"/>
      <c r="N337" s="190"/>
      <c r="O337" s="191"/>
      <c r="P337" s="191"/>
      <c r="Q337" s="170"/>
      <c r="R337" s="170"/>
      <c r="S337" s="193"/>
      <c r="T337" s="194"/>
      <c r="U337" s="195"/>
      <c r="V337" s="196"/>
      <c r="W337" s="195"/>
      <c r="X337" s="170"/>
      <c r="Y337" s="170"/>
      <c r="Z337" s="170"/>
      <c r="AA337" s="170"/>
      <c r="AB337" s="197"/>
      <c r="AC337" s="170"/>
      <c r="AD337" s="170"/>
      <c r="AE337" s="170"/>
      <c r="AF337" s="198"/>
      <c r="AG337" s="170"/>
      <c r="AH337" s="198"/>
      <c r="AI337" s="170"/>
      <c r="AJ337" s="190"/>
      <c r="AK337" s="170"/>
      <c r="AL337" s="170"/>
      <c r="AM337" s="170"/>
      <c r="AN337" s="170"/>
      <c r="AO337" s="170"/>
      <c r="AP337" s="199"/>
      <c r="AQ337" s="170"/>
      <c r="AR337" s="198"/>
      <c r="AS337" s="195"/>
      <c r="AT337" s="195"/>
      <c r="AU337" s="195"/>
      <c r="AV337" s="145"/>
      <c r="AW337" s="178"/>
      <c r="AX337" s="179"/>
      <c r="AY337" s="145"/>
    </row>
    <row r="338" spans="3:51">
      <c r="C338" s="116"/>
      <c r="E338" s="170"/>
      <c r="F338" s="170"/>
      <c r="G338" s="170"/>
      <c r="H338" s="170"/>
      <c r="I338" s="190"/>
      <c r="J338" s="191"/>
      <c r="K338" s="170"/>
      <c r="L338" s="191"/>
      <c r="M338" s="190"/>
      <c r="N338" s="190"/>
      <c r="O338" s="191"/>
      <c r="P338" s="191"/>
      <c r="Q338" s="170"/>
      <c r="R338" s="170"/>
      <c r="S338" s="193"/>
      <c r="T338" s="194"/>
      <c r="U338" s="195"/>
      <c r="V338" s="196"/>
      <c r="W338" s="195"/>
      <c r="X338" s="170"/>
      <c r="Y338" s="170"/>
      <c r="Z338" s="170"/>
      <c r="AA338" s="170"/>
      <c r="AB338" s="197"/>
      <c r="AC338" s="170"/>
      <c r="AD338" s="170"/>
      <c r="AE338" s="170"/>
      <c r="AF338" s="198"/>
      <c r="AG338" s="170"/>
      <c r="AH338" s="198"/>
      <c r="AI338" s="170"/>
      <c r="AJ338" s="190"/>
      <c r="AK338" s="170"/>
      <c r="AL338" s="170"/>
      <c r="AM338" s="170"/>
      <c r="AN338" s="170"/>
      <c r="AO338" s="170"/>
      <c r="AP338" s="199"/>
      <c r="AQ338" s="170"/>
      <c r="AR338" s="198"/>
      <c r="AS338" s="195"/>
      <c r="AT338" s="195"/>
      <c r="AU338" s="195"/>
      <c r="AV338" s="145"/>
      <c r="AW338" s="178"/>
      <c r="AX338" s="179"/>
      <c r="AY338" s="145"/>
    </row>
    <row r="339" spans="3:51">
      <c r="C339" s="116"/>
      <c r="E339" s="170"/>
      <c r="F339" s="170"/>
      <c r="G339" s="170"/>
      <c r="H339" s="170"/>
      <c r="I339" s="190"/>
      <c r="J339" s="191"/>
      <c r="K339" s="170"/>
      <c r="L339" s="191"/>
      <c r="M339" s="190"/>
      <c r="N339" s="190"/>
      <c r="O339" s="191"/>
      <c r="P339" s="191"/>
      <c r="Q339" s="170"/>
      <c r="R339" s="170"/>
      <c r="S339" s="193"/>
      <c r="T339" s="194"/>
      <c r="U339" s="195"/>
      <c r="V339" s="196"/>
      <c r="W339" s="195"/>
      <c r="X339" s="170"/>
      <c r="Y339" s="170"/>
      <c r="Z339" s="170"/>
      <c r="AA339" s="170"/>
      <c r="AB339" s="197"/>
      <c r="AC339" s="170"/>
      <c r="AD339" s="170"/>
      <c r="AE339" s="170"/>
      <c r="AF339" s="198"/>
      <c r="AG339" s="170"/>
      <c r="AH339" s="198"/>
      <c r="AI339" s="170"/>
      <c r="AJ339" s="190"/>
      <c r="AK339" s="170"/>
      <c r="AL339" s="170"/>
      <c r="AM339" s="170"/>
      <c r="AN339" s="170"/>
      <c r="AO339" s="170"/>
      <c r="AP339" s="199"/>
      <c r="AQ339" s="170"/>
      <c r="AR339" s="198"/>
      <c r="AS339" s="195"/>
      <c r="AT339" s="195"/>
      <c r="AU339" s="195"/>
      <c r="AV339" s="145"/>
      <c r="AW339" s="178"/>
      <c r="AX339" s="179"/>
      <c r="AY339" s="145"/>
    </row>
    <row r="340" spans="3:51">
      <c r="C340" s="116"/>
      <c r="E340" s="170"/>
      <c r="F340" s="170"/>
      <c r="G340" s="170"/>
      <c r="H340" s="170"/>
      <c r="I340" s="190"/>
      <c r="J340" s="191"/>
      <c r="K340" s="170"/>
      <c r="L340" s="191"/>
      <c r="M340" s="190"/>
      <c r="N340" s="190"/>
      <c r="O340" s="191"/>
      <c r="P340" s="191"/>
      <c r="Q340" s="170"/>
      <c r="R340" s="170"/>
      <c r="S340" s="193"/>
      <c r="T340" s="194"/>
      <c r="U340" s="195"/>
      <c r="V340" s="196"/>
      <c r="W340" s="195"/>
      <c r="X340" s="170"/>
      <c r="Y340" s="170"/>
      <c r="Z340" s="170"/>
      <c r="AA340" s="170"/>
      <c r="AB340" s="197"/>
      <c r="AC340" s="170"/>
      <c r="AD340" s="170"/>
      <c r="AE340" s="170"/>
      <c r="AF340" s="198"/>
      <c r="AG340" s="170"/>
      <c r="AH340" s="198"/>
      <c r="AI340" s="170"/>
      <c r="AJ340" s="190"/>
      <c r="AK340" s="170"/>
      <c r="AL340" s="170"/>
      <c r="AM340" s="170"/>
      <c r="AN340" s="170"/>
      <c r="AO340" s="170"/>
      <c r="AP340" s="199"/>
      <c r="AQ340" s="170"/>
      <c r="AR340" s="198"/>
      <c r="AS340" s="195"/>
      <c r="AT340" s="195"/>
      <c r="AU340" s="195"/>
      <c r="AV340" s="145"/>
      <c r="AW340" s="178"/>
      <c r="AX340" s="179"/>
      <c r="AY340" s="145"/>
    </row>
    <row r="341" spans="3:51">
      <c r="C341" s="116"/>
      <c r="E341" s="170"/>
      <c r="F341" s="170"/>
      <c r="G341" s="170"/>
      <c r="H341" s="170"/>
      <c r="I341" s="190"/>
      <c r="J341" s="191"/>
      <c r="K341" s="170"/>
      <c r="L341" s="191"/>
      <c r="M341" s="190"/>
      <c r="N341" s="190"/>
      <c r="O341" s="191"/>
      <c r="P341" s="191"/>
      <c r="Q341" s="170"/>
      <c r="R341" s="170"/>
      <c r="S341" s="193"/>
      <c r="T341" s="194"/>
      <c r="U341" s="195"/>
      <c r="V341" s="196"/>
      <c r="W341" s="195"/>
      <c r="X341" s="170"/>
      <c r="Y341" s="170"/>
      <c r="Z341" s="170"/>
      <c r="AA341" s="170"/>
      <c r="AB341" s="197"/>
      <c r="AC341" s="170"/>
      <c r="AD341" s="170"/>
      <c r="AE341" s="170"/>
      <c r="AF341" s="198"/>
      <c r="AG341" s="170"/>
      <c r="AH341" s="198"/>
      <c r="AI341" s="170"/>
      <c r="AJ341" s="190"/>
      <c r="AK341" s="170"/>
      <c r="AL341" s="170"/>
      <c r="AM341" s="170"/>
      <c r="AN341" s="170"/>
      <c r="AO341" s="170"/>
      <c r="AP341" s="199"/>
      <c r="AQ341" s="170"/>
      <c r="AR341" s="198"/>
      <c r="AS341" s="195"/>
      <c r="AT341" s="195"/>
      <c r="AU341" s="195"/>
      <c r="AV341" s="145"/>
      <c r="AW341" s="178"/>
      <c r="AX341" s="179"/>
      <c r="AY341" s="145"/>
    </row>
    <row r="342" spans="3:51">
      <c r="C342" s="116"/>
      <c r="E342" s="170"/>
      <c r="F342" s="170"/>
      <c r="G342" s="170"/>
      <c r="H342" s="170"/>
      <c r="I342" s="190"/>
      <c r="J342" s="191"/>
      <c r="K342" s="170"/>
      <c r="L342" s="191"/>
      <c r="M342" s="190"/>
      <c r="N342" s="190"/>
      <c r="O342" s="191"/>
      <c r="P342" s="191"/>
      <c r="Q342" s="170"/>
      <c r="R342" s="170"/>
      <c r="S342" s="193"/>
      <c r="T342" s="194"/>
      <c r="U342" s="195"/>
      <c r="V342" s="196"/>
      <c r="W342" s="195"/>
      <c r="X342" s="170"/>
      <c r="Y342" s="170"/>
      <c r="Z342" s="170"/>
      <c r="AA342" s="170"/>
      <c r="AB342" s="197"/>
      <c r="AC342" s="170"/>
      <c r="AD342" s="170"/>
      <c r="AE342" s="170"/>
      <c r="AF342" s="198"/>
      <c r="AG342" s="170"/>
      <c r="AH342" s="198"/>
      <c r="AI342" s="170"/>
      <c r="AJ342" s="190"/>
      <c r="AK342" s="170"/>
      <c r="AL342" s="170"/>
      <c r="AM342" s="170"/>
      <c r="AN342" s="170"/>
      <c r="AO342" s="170"/>
      <c r="AP342" s="199"/>
      <c r="AQ342" s="170"/>
      <c r="AR342" s="198"/>
      <c r="AS342" s="195"/>
      <c r="AT342" s="195"/>
      <c r="AU342" s="195"/>
      <c r="AV342" s="145"/>
      <c r="AW342" s="178"/>
      <c r="AX342" s="179"/>
      <c r="AY342" s="145"/>
    </row>
    <row r="343" spans="3:51">
      <c r="C343" s="116"/>
      <c r="E343" s="170"/>
      <c r="F343" s="170"/>
      <c r="G343" s="170"/>
      <c r="H343" s="170"/>
      <c r="I343" s="190"/>
      <c r="J343" s="191"/>
      <c r="K343" s="170"/>
      <c r="L343" s="191"/>
      <c r="M343" s="190"/>
      <c r="N343" s="190"/>
      <c r="O343" s="191"/>
      <c r="P343" s="191"/>
      <c r="Q343" s="170"/>
      <c r="R343" s="170"/>
      <c r="S343" s="193"/>
      <c r="T343" s="194"/>
      <c r="U343" s="195"/>
      <c r="V343" s="196"/>
      <c r="W343" s="195"/>
      <c r="X343" s="170"/>
      <c r="Y343" s="170"/>
      <c r="Z343" s="170"/>
      <c r="AA343" s="170"/>
      <c r="AB343" s="197"/>
      <c r="AC343" s="170"/>
      <c r="AD343" s="170"/>
      <c r="AE343" s="170"/>
      <c r="AF343" s="198"/>
      <c r="AG343" s="170"/>
      <c r="AH343" s="198"/>
      <c r="AI343" s="170"/>
      <c r="AJ343" s="190"/>
      <c r="AK343" s="170"/>
      <c r="AL343" s="170"/>
      <c r="AM343" s="170"/>
      <c r="AN343" s="170"/>
      <c r="AO343" s="170"/>
      <c r="AP343" s="199"/>
      <c r="AQ343" s="170"/>
      <c r="AR343" s="198"/>
      <c r="AS343" s="195"/>
      <c r="AT343" s="195"/>
      <c r="AU343" s="195"/>
      <c r="AV343" s="145"/>
      <c r="AW343" s="178"/>
      <c r="AX343" s="179"/>
      <c r="AY343" s="145"/>
    </row>
    <row r="344" spans="3:51">
      <c r="C344" s="116"/>
      <c r="E344" s="170"/>
      <c r="F344" s="170"/>
      <c r="G344" s="170"/>
      <c r="H344" s="170"/>
      <c r="I344" s="190"/>
      <c r="J344" s="191"/>
      <c r="K344" s="170"/>
      <c r="L344" s="191"/>
      <c r="M344" s="190"/>
      <c r="N344" s="190"/>
      <c r="O344" s="191"/>
      <c r="P344" s="191"/>
      <c r="Q344" s="170"/>
      <c r="R344" s="170"/>
      <c r="S344" s="193"/>
      <c r="T344" s="194"/>
      <c r="U344" s="195"/>
      <c r="V344" s="196"/>
      <c r="W344" s="195"/>
      <c r="X344" s="170"/>
      <c r="Y344" s="170"/>
      <c r="Z344" s="170"/>
      <c r="AA344" s="170"/>
      <c r="AB344" s="197"/>
      <c r="AC344" s="170"/>
      <c r="AD344" s="170"/>
      <c r="AE344" s="170"/>
      <c r="AF344" s="198"/>
      <c r="AG344" s="170"/>
      <c r="AH344" s="198"/>
      <c r="AI344" s="170"/>
      <c r="AJ344" s="190"/>
      <c r="AK344" s="170"/>
      <c r="AL344" s="170"/>
      <c r="AM344" s="170"/>
      <c r="AN344" s="170"/>
      <c r="AO344" s="170"/>
      <c r="AP344" s="199"/>
      <c r="AQ344" s="170"/>
      <c r="AR344" s="198"/>
      <c r="AS344" s="195"/>
      <c r="AT344" s="195"/>
      <c r="AU344" s="195"/>
      <c r="AV344" s="145"/>
      <c r="AW344" s="178"/>
      <c r="AX344" s="179"/>
      <c r="AY344" s="145"/>
    </row>
    <row r="345" spans="3:51">
      <c r="C345" s="116"/>
      <c r="E345" s="170"/>
      <c r="F345" s="170"/>
      <c r="G345" s="170"/>
      <c r="H345" s="170"/>
      <c r="I345" s="190"/>
      <c r="J345" s="191"/>
      <c r="K345" s="170"/>
      <c r="L345" s="191"/>
      <c r="M345" s="190"/>
      <c r="N345" s="190"/>
      <c r="O345" s="191"/>
      <c r="P345" s="191"/>
      <c r="Q345" s="170"/>
      <c r="R345" s="170"/>
      <c r="S345" s="193"/>
      <c r="T345" s="194"/>
      <c r="U345" s="195"/>
      <c r="V345" s="196"/>
      <c r="W345" s="195"/>
      <c r="X345" s="170"/>
      <c r="Y345" s="170"/>
      <c r="Z345" s="170"/>
      <c r="AA345" s="170"/>
      <c r="AB345" s="197"/>
      <c r="AC345" s="170"/>
      <c r="AD345" s="170"/>
      <c r="AE345" s="170"/>
      <c r="AF345" s="198"/>
      <c r="AG345" s="170"/>
      <c r="AH345" s="198"/>
      <c r="AI345" s="170"/>
      <c r="AJ345" s="190"/>
      <c r="AK345" s="170"/>
      <c r="AL345" s="170"/>
      <c r="AM345" s="170"/>
      <c r="AN345" s="170"/>
      <c r="AO345" s="170"/>
      <c r="AP345" s="199"/>
      <c r="AQ345" s="170"/>
      <c r="AR345" s="198"/>
      <c r="AS345" s="195"/>
      <c r="AT345" s="195"/>
      <c r="AU345" s="195"/>
      <c r="AV345" s="145"/>
      <c r="AW345" s="178"/>
      <c r="AX345" s="179"/>
      <c r="AY345" s="145"/>
    </row>
    <row r="346" spans="3:51">
      <c r="C346" s="116"/>
      <c r="E346" s="170"/>
      <c r="F346" s="170"/>
      <c r="G346" s="170"/>
      <c r="H346" s="170"/>
      <c r="I346" s="190"/>
      <c r="J346" s="191"/>
      <c r="K346" s="170"/>
      <c r="L346" s="191"/>
      <c r="M346" s="190"/>
      <c r="N346" s="190"/>
      <c r="O346" s="191"/>
      <c r="P346" s="191"/>
      <c r="Q346" s="170"/>
      <c r="R346" s="170"/>
      <c r="S346" s="193"/>
      <c r="T346" s="194"/>
      <c r="U346" s="195"/>
      <c r="V346" s="196"/>
      <c r="W346" s="195"/>
      <c r="X346" s="170"/>
      <c r="Y346" s="170"/>
      <c r="Z346" s="170"/>
      <c r="AA346" s="170"/>
      <c r="AB346" s="197"/>
      <c r="AC346" s="170"/>
      <c r="AD346" s="170"/>
      <c r="AE346" s="170"/>
      <c r="AF346" s="198"/>
      <c r="AG346" s="170"/>
      <c r="AH346" s="198"/>
      <c r="AI346" s="170"/>
      <c r="AJ346" s="190"/>
      <c r="AK346" s="170"/>
      <c r="AL346" s="170"/>
      <c r="AM346" s="170"/>
      <c r="AN346" s="170"/>
      <c r="AO346" s="170"/>
      <c r="AP346" s="199"/>
      <c r="AQ346" s="170"/>
      <c r="AR346" s="198"/>
      <c r="AS346" s="195"/>
      <c r="AT346" s="195"/>
      <c r="AU346" s="195"/>
      <c r="AV346" s="145"/>
      <c r="AW346" s="178"/>
      <c r="AX346" s="179"/>
      <c r="AY346" s="145"/>
    </row>
    <row r="347" spans="3:51">
      <c r="C347" s="116"/>
      <c r="E347" s="170"/>
      <c r="F347" s="170"/>
      <c r="G347" s="170"/>
      <c r="H347" s="170"/>
      <c r="I347" s="190"/>
      <c r="J347" s="191"/>
      <c r="K347" s="170"/>
      <c r="L347" s="191"/>
      <c r="M347" s="190"/>
      <c r="N347" s="190"/>
      <c r="O347" s="191"/>
      <c r="P347" s="191"/>
      <c r="Q347" s="170"/>
      <c r="R347" s="170"/>
      <c r="S347" s="193"/>
      <c r="T347" s="194"/>
      <c r="U347" s="195"/>
      <c r="V347" s="196"/>
      <c r="W347" s="195"/>
      <c r="X347" s="170"/>
      <c r="Y347" s="170"/>
      <c r="Z347" s="170"/>
      <c r="AA347" s="170"/>
      <c r="AB347" s="197"/>
      <c r="AC347" s="170"/>
      <c r="AD347" s="170"/>
      <c r="AE347" s="170"/>
      <c r="AF347" s="198"/>
      <c r="AG347" s="170"/>
      <c r="AH347" s="198"/>
      <c r="AI347" s="170"/>
      <c r="AJ347" s="190"/>
      <c r="AK347" s="170"/>
      <c r="AL347" s="170"/>
      <c r="AM347" s="170"/>
      <c r="AN347" s="170"/>
      <c r="AO347" s="170"/>
      <c r="AP347" s="199"/>
      <c r="AQ347" s="170"/>
      <c r="AR347" s="198"/>
      <c r="AS347" s="195"/>
      <c r="AT347" s="195"/>
      <c r="AU347" s="195"/>
      <c r="AV347" s="145"/>
      <c r="AW347" s="178"/>
      <c r="AX347" s="179"/>
      <c r="AY347" s="145"/>
    </row>
    <row r="348" spans="3:51">
      <c r="C348" s="116"/>
      <c r="E348" s="170"/>
      <c r="F348" s="170"/>
      <c r="G348" s="170"/>
      <c r="H348" s="170"/>
      <c r="I348" s="190"/>
      <c r="J348" s="191"/>
      <c r="K348" s="170"/>
      <c r="L348" s="191"/>
      <c r="M348" s="190"/>
      <c r="N348" s="190"/>
      <c r="O348" s="191"/>
      <c r="P348" s="191"/>
      <c r="Q348" s="170"/>
      <c r="R348" s="170"/>
      <c r="S348" s="193"/>
      <c r="T348" s="194"/>
      <c r="U348" s="195"/>
      <c r="V348" s="196"/>
      <c r="W348" s="195"/>
      <c r="X348" s="170"/>
      <c r="Y348" s="170"/>
      <c r="Z348" s="170"/>
      <c r="AA348" s="170"/>
      <c r="AB348" s="197"/>
      <c r="AC348" s="170"/>
      <c r="AD348" s="170"/>
      <c r="AE348" s="170"/>
      <c r="AF348" s="198"/>
      <c r="AG348" s="170"/>
      <c r="AH348" s="198"/>
      <c r="AI348" s="170"/>
      <c r="AJ348" s="190"/>
      <c r="AK348" s="170"/>
      <c r="AL348" s="170"/>
      <c r="AM348" s="170"/>
      <c r="AN348" s="170"/>
      <c r="AO348" s="170"/>
      <c r="AP348" s="199"/>
      <c r="AQ348" s="170"/>
      <c r="AR348" s="198"/>
      <c r="AS348" s="195"/>
      <c r="AT348" s="195"/>
      <c r="AU348" s="195"/>
      <c r="AV348" s="145"/>
      <c r="AW348" s="178"/>
      <c r="AX348" s="179"/>
      <c r="AY348" s="145"/>
    </row>
    <row r="349" spans="3:51">
      <c r="C349" s="116"/>
      <c r="E349" s="170"/>
      <c r="F349" s="170"/>
      <c r="G349" s="170"/>
      <c r="H349" s="170"/>
      <c r="I349" s="190"/>
      <c r="J349" s="191"/>
      <c r="K349" s="170"/>
      <c r="L349" s="191"/>
      <c r="M349" s="190"/>
      <c r="N349" s="190"/>
      <c r="O349" s="191"/>
      <c r="P349" s="191"/>
      <c r="Q349" s="170"/>
      <c r="R349" s="170"/>
      <c r="S349" s="193"/>
      <c r="T349" s="194"/>
      <c r="U349" s="195"/>
      <c r="V349" s="196"/>
      <c r="W349" s="195"/>
      <c r="X349" s="170"/>
      <c r="Y349" s="170"/>
      <c r="Z349" s="170"/>
      <c r="AA349" s="170"/>
      <c r="AB349" s="197"/>
      <c r="AC349" s="170"/>
      <c r="AD349" s="170"/>
      <c r="AE349" s="170"/>
      <c r="AF349" s="198"/>
      <c r="AG349" s="170"/>
      <c r="AH349" s="198"/>
      <c r="AI349" s="170"/>
      <c r="AJ349" s="190"/>
      <c r="AK349" s="170"/>
      <c r="AL349" s="170"/>
      <c r="AM349" s="170"/>
      <c r="AN349" s="170"/>
      <c r="AO349" s="170"/>
      <c r="AP349" s="199"/>
      <c r="AQ349" s="170"/>
      <c r="AR349" s="198"/>
      <c r="AS349" s="195"/>
      <c r="AT349" s="195"/>
      <c r="AU349" s="195"/>
      <c r="AV349" s="145"/>
      <c r="AW349" s="178"/>
      <c r="AX349" s="179"/>
      <c r="AY349" s="145"/>
    </row>
    <row r="350" spans="3:51">
      <c r="C350" s="116"/>
      <c r="E350" s="170"/>
      <c r="F350" s="170"/>
      <c r="G350" s="170"/>
      <c r="H350" s="170"/>
      <c r="I350" s="190"/>
      <c r="J350" s="191"/>
      <c r="K350" s="170"/>
      <c r="L350" s="191"/>
      <c r="M350" s="190"/>
      <c r="N350" s="190"/>
      <c r="O350" s="191"/>
      <c r="P350" s="191"/>
      <c r="Q350" s="170"/>
      <c r="R350" s="170"/>
      <c r="S350" s="193"/>
      <c r="T350" s="194"/>
      <c r="U350" s="195"/>
      <c r="V350" s="196"/>
      <c r="W350" s="195"/>
      <c r="X350" s="170"/>
      <c r="Y350" s="170"/>
      <c r="Z350" s="170"/>
      <c r="AA350" s="170"/>
      <c r="AB350" s="197"/>
      <c r="AC350" s="170"/>
      <c r="AD350" s="170"/>
      <c r="AE350" s="170"/>
      <c r="AF350" s="198"/>
      <c r="AG350" s="170"/>
      <c r="AH350" s="198"/>
      <c r="AI350" s="170"/>
      <c r="AJ350" s="190"/>
      <c r="AK350" s="170"/>
      <c r="AL350" s="170"/>
      <c r="AM350" s="170"/>
      <c r="AN350" s="170"/>
      <c r="AO350" s="170"/>
      <c r="AP350" s="199"/>
      <c r="AQ350" s="170"/>
      <c r="AR350" s="198"/>
      <c r="AS350" s="195"/>
      <c r="AT350" s="195"/>
      <c r="AU350" s="195"/>
      <c r="AV350" s="145"/>
      <c r="AW350" s="178"/>
      <c r="AX350" s="179"/>
      <c r="AY350" s="145"/>
    </row>
    <row r="351" spans="3:51">
      <c r="C351" s="116"/>
      <c r="E351" s="170"/>
      <c r="F351" s="170"/>
      <c r="G351" s="170"/>
      <c r="H351" s="170"/>
      <c r="I351" s="190"/>
      <c r="J351" s="191"/>
      <c r="K351" s="170"/>
      <c r="L351" s="191"/>
      <c r="M351" s="190"/>
      <c r="N351" s="190"/>
      <c r="O351" s="191"/>
      <c r="P351" s="191"/>
      <c r="Q351" s="170"/>
      <c r="R351" s="170"/>
      <c r="S351" s="193"/>
      <c r="T351" s="194"/>
      <c r="U351" s="195"/>
      <c r="V351" s="196"/>
      <c r="W351" s="195"/>
      <c r="X351" s="170"/>
      <c r="Y351" s="170"/>
      <c r="Z351" s="170"/>
      <c r="AA351" s="170"/>
      <c r="AB351" s="197"/>
      <c r="AC351" s="170"/>
      <c r="AD351" s="170"/>
      <c r="AE351" s="170"/>
      <c r="AF351" s="198"/>
      <c r="AG351" s="170"/>
      <c r="AH351" s="198"/>
      <c r="AI351" s="170"/>
      <c r="AJ351" s="190"/>
      <c r="AK351" s="170"/>
      <c r="AL351" s="170"/>
      <c r="AM351" s="170"/>
      <c r="AN351" s="170"/>
      <c r="AO351" s="170"/>
      <c r="AP351" s="199"/>
      <c r="AQ351" s="170"/>
      <c r="AR351" s="198"/>
      <c r="AS351" s="195"/>
      <c r="AT351" s="195"/>
      <c r="AU351" s="195"/>
      <c r="AV351" s="145"/>
      <c r="AW351" s="178"/>
      <c r="AX351" s="179"/>
      <c r="AY351" s="145"/>
    </row>
    <row r="352" spans="3:51">
      <c r="C352" s="116"/>
      <c r="E352" s="170"/>
      <c r="F352" s="170"/>
      <c r="G352" s="170"/>
      <c r="H352" s="170"/>
      <c r="I352" s="190"/>
      <c r="J352" s="191"/>
      <c r="K352" s="170"/>
      <c r="L352" s="191"/>
      <c r="M352" s="190"/>
      <c r="N352" s="190"/>
      <c r="O352" s="191"/>
      <c r="P352" s="191"/>
      <c r="Q352" s="170"/>
      <c r="R352" s="170"/>
      <c r="S352" s="193"/>
      <c r="T352" s="194"/>
      <c r="U352" s="195"/>
      <c r="V352" s="196"/>
      <c r="W352" s="195"/>
      <c r="X352" s="170"/>
      <c r="Y352" s="170"/>
      <c r="Z352" s="170"/>
      <c r="AA352" s="170"/>
      <c r="AB352" s="197"/>
      <c r="AC352" s="170"/>
      <c r="AD352" s="170"/>
      <c r="AE352" s="170"/>
      <c r="AF352" s="198"/>
      <c r="AG352" s="170"/>
      <c r="AH352" s="198"/>
      <c r="AI352" s="170"/>
      <c r="AJ352" s="190"/>
      <c r="AK352" s="170"/>
      <c r="AL352" s="170"/>
      <c r="AM352" s="170"/>
      <c r="AN352" s="170"/>
      <c r="AO352" s="170"/>
      <c r="AP352" s="199"/>
      <c r="AQ352" s="170"/>
      <c r="AR352" s="198"/>
      <c r="AS352" s="195"/>
      <c r="AT352" s="195"/>
      <c r="AU352" s="195"/>
      <c r="AV352" s="145"/>
      <c r="AW352" s="178"/>
      <c r="AX352" s="179"/>
      <c r="AY352" s="145"/>
    </row>
    <row r="353" spans="3:51">
      <c r="C353" s="116"/>
      <c r="E353" s="170"/>
      <c r="F353" s="170"/>
      <c r="G353" s="170"/>
      <c r="H353" s="170"/>
      <c r="I353" s="190"/>
      <c r="J353" s="191"/>
      <c r="K353" s="170"/>
      <c r="L353" s="191"/>
      <c r="M353" s="190"/>
      <c r="N353" s="190"/>
      <c r="O353" s="191"/>
      <c r="P353" s="191"/>
      <c r="Q353" s="170"/>
      <c r="R353" s="170"/>
      <c r="S353" s="193"/>
      <c r="T353" s="194"/>
      <c r="U353" s="195"/>
      <c r="V353" s="196"/>
      <c r="W353" s="195"/>
      <c r="X353" s="170"/>
      <c r="Y353" s="170"/>
      <c r="Z353" s="170"/>
      <c r="AA353" s="170"/>
      <c r="AB353" s="197"/>
      <c r="AC353" s="170"/>
      <c r="AD353" s="170"/>
      <c r="AE353" s="170"/>
      <c r="AF353" s="198"/>
      <c r="AG353" s="170"/>
      <c r="AH353" s="198"/>
      <c r="AI353" s="170"/>
      <c r="AJ353" s="190"/>
      <c r="AK353" s="170"/>
      <c r="AL353" s="170"/>
      <c r="AM353" s="170"/>
      <c r="AN353" s="170"/>
      <c r="AO353" s="170"/>
      <c r="AP353" s="199"/>
      <c r="AQ353" s="170"/>
      <c r="AR353" s="198"/>
      <c r="AS353" s="195"/>
      <c r="AT353" s="195"/>
      <c r="AU353" s="195"/>
      <c r="AV353" s="145"/>
      <c r="AW353" s="178"/>
      <c r="AX353" s="179"/>
      <c r="AY353" s="145"/>
    </row>
    <row r="354" spans="3:51">
      <c r="C354" s="116"/>
      <c r="E354" s="170"/>
      <c r="F354" s="170"/>
      <c r="G354" s="170"/>
      <c r="H354" s="170"/>
      <c r="I354" s="190"/>
      <c r="J354" s="191"/>
      <c r="K354" s="170"/>
      <c r="L354" s="191"/>
      <c r="M354" s="190"/>
      <c r="N354" s="190"/>
      <c r="O354" s="191"/>
      <c r="P354" s="191"/>
      <c r="Q354" s="170"/>
      <c r="R354" s="170"/>
      <c r="S354" s="193"/>
      <c r="T354" s="194"/>
      <c r="U354" s="195"/>
      <c r="V354" s="196"/>
      <c r="W354" s="195"/>
      <c r="X354" s="170"/>
      <c r="Y354" s="170"/>
      <c r="Z354" s="170"/>
      <c r="AA354" s="170"/>
      <c r="AB354" s="197"/>
      <c r="AC354" s="170"/>
      <c r="AD354" s="170"/>
      <c r="AE354" s="170"/>
      <c r="AF354" s="198"/>
      <c r="AG354" s="170"/>
      <c r="AH354" s="198"/>
      <c r="AI354" s="170"/>
      <c r="AJ354" s="190"/>
      <c r="AK354" s="170"/>
      <c r="AL354" s="170"/>
      <c r="AM354" s="170"/>
      <c r="AN354" s="170"/>
      <c r="AO354" s="170"/>
      <c r="AP354" s="199"/>
      <c r="AQ354" s="170"/>
      <c r="AR354" s="198"/>
      <c r="AS354" s="195"/>
      <c r="AT354" s="195"/>
      <c r="AU354" s="195"/>
      <c r="AV354" s="145"/>
      <c r="AW354" s="178"/>
      <c r="AX354" s="179"/>
      <c r="AY354" s="145"/>
    </row>
    <row r="355" spans="3:51">
      <c r="C355" s="116"/>
      <c r="E355" s="170"/>
      <c r="F355" s="170"/>
      <c r="G355" s="170"/>
      <c r="H355" s="170"/>
      <c r="I355" s="190"/>
      <c r="J355" s="191"/>
      <c r="K355" s="170"/>
      <c r="L355" s="191"/>
      <c r="M355" s="190"/>
      <c r="N355" s="190"/>
      <c r="O355" s="191"/>
      <c r="P355" s="191"/>
      <c r="Q355" s="170"/>
      <c r="R355" s="170"/>
      <c r="S355" s="193"/>
      <c r="T355" s="194"/>
      <c r="U355" s="195"/>
      <c r="V355" s="196"/>
      <c r="W355" s="195"/>
      <c r="X355" s="170"/>
      <c r="Y355" s="170"/>
      <c r="Z355" s="170"/>
      <c r="AA355" s="170"/>
      <c r="AB355" s="197"/>
      <c r="AC355" s="170"/>
      <c r="AD355" s="170"/>
      <c r="AE355" s="170"/>
      <c r="AF355" s="198"/>
      <c r="AG355" s="170"/>
      <c r="AH355" s="198"/>
      <c r="AI355" s="170"/>
      <c r="AJ355" s="190"/>
      <c r="AK355" s="170"/>
      <c r="AL355" s="170"/>
      <c r="AM355" s="170"/>
      <c r="AN355" s="170"/>
      <c r="AO355" s="170"/>
      <c r="AP355" s="199"/>
      <c r="AQ355" s="170"/>
      <c r="AR355" s="198"/>
      <c r="AS355" s="195"/>
      <c r="AT355" s="195"/>
      <c r="AU355" s="195"/>
      <c r="AV355" s="145"/>
      <c r="AW355" s="178"/>
      <c r="AX355" s="179"/>
      <c r="AY355" s="145"/>
    </row>
    <row r="356" spans="3:51">
      <c r="C356" s="116"/>
      <c r="E356" s="170"/>
      <c r="F356" s="170"/>
      <c r="G356" s="170"/>
      <c r="H356" s="170"/>
      <c r="I356" s="190"/>
      <c r="J356" s="191"/>
      <c r="K356" s="170"/>
      <c r="L356" s="191"/>
      <c r="M356" s="190"/>
      <c r="N356" s="190"/>
      <c r="O356" s="191"/>
      <c r="P356" s="191"/>
      <c r="Q356" s="170"/>
      <c r="R356" s="170"/>
      <c r="S356" s="193"/>
      <c r="T356" s="194"/>
      <c r="U356" s="195"/>
      <c r="V356" s="196"/>
      <c r="W356" s="195"/>
      <c r="X356" s="170"/>
      <c r="Y356" s="170"/>
      <c r="Z356" s="170"/>
      <c r="AA356" s="170"/>
      <c r="AB356" s="197"/>
      <c r="AC356" s="170"/>
      <c r="AD356" s="170"/>
      <c r="AE356" s="170"/>
      <c r="AF356" s="198"/>
      <c r="AG356" s="170"/>
      <c r="AH356" s="198"/>
      <c r="AI356" s="170"/>
      <c r="AJ356" s="190"/>
      <c r="AK356" s="170"/>
      <c r="AL356" s="170"/>
      <c r="AM356" s="170"/>
      <c r="AN356" s="170"/>
      <c r="AO356" s="170"/>
      <c r="AP356" s="199"/>
      <c r="AQ356" s="170"/>
      <c r="AR356" s="198"/>
      <c r="AS356" s="195"/>
      <c r="AT356" s="195"/>
      <c r="AU356" s="195"/>
      <c r="AV356" s="145"/>
      <c r="AW356" s="178"/>
      <c r="AX356" s="179"/>
      <c r="AY356" s="145"/>
    </row>
    <row r="357" spans="3:51">
      <c r="C357" s="116"/>
      <c r="E357" s="170"/>
      <c r="F357" s="170"/>
      <c r="G357" s="170"/>
      <c r="H357" s="170"/>
      <c r="I357" s="190"/>
      <c r="J357" s="191"/>
      <c r="K357" s="170"/>
      <c r="L357" s="191"/>
      <c r="M357" s="190"/>
      <c r="N357" s="190"/>
      <c r="O357" s="191"/>
      <c r="P357" s="191"/>
      <c r="Q357" s="170"/>
      <c r="R357" s="170"/>
      <c r="S357" s="193"/>
      <c r="T357" s="194"/>
      <c r="U357" s="195"/>
      <c r="V357" s="196"/>
      <c r="W357" s="195"/>
      <c r="X357" s="170"/>
      <c r="Y357" s="170"/>
      <c r="Z357" s="170"/>
      <c r="AA357" s="170"/>
      <c r="AB357" s="197"/>
      <c r="AC357" s="170"/>
      <c r="AD357" s="170"/>
      <c r="AE357" s="170"/>
      <c r="AF357" s="198"/>
      <c r="AG357" s="170"/>
      <c r="AH357" s="198"/>
      <c r="AI357" s="170"/>
      <c r="AJ357" s="190"/>
      <c r="AK357" s="170"/>
      <c r="AL357" s="170"/>
      <c r="AM357" s="170"/>
      <c r="AN357" s="170"/>
      <c r="AO357" s="170"/>
      <c r="AP357" s="199"/>
      <c r="AQ357" s="170"/>
      <c r="AR357" s="198"/>
      <c r="AS357" s="195"/>
      <c r="AT357" s="195"/>
      <c r="AU357" s="195"/>
      <c r="AV357" s="145"/>
      <c r="AW357" s="178"/>
      <c r="AX357" s="179"/>
      <c r="AY357" s="145"/>
    </row>
    <row r="358" spans="3:51">
      <c r="C358" s="116"/>
      <c r="E358" s="170"/>
      <c r="F358" s="170"/>
      <c r="G358" s="170"/>
      <c r="H358" s="170"/>
      <c r="I358" s="190"/>
      <c r="J358" s="191"/>
      <c r="K358" s="170"/>
      <c r="L358" s="191"/>
      <c r="M358" s="190"/>
      <c r="N358" s="190"/>
      <c r="O358" s="191"/>
      <c r="P358" s="191"/>
      <c r="Q358" s="170"/>
      <c r="R358" s="170"/>
      <c r="S358" s="193"/>
      <c r="T358" s="194"/>
      <c r="U358" s="195"/>
      <c r="V358" s="196"/>
      <c r="W358" s="195"/>
      <c r="X358" s="170"/>
      <c r="Y358" s="170"/>
      <c r="Z358" s="170"/>
      <c r="AA358" s="170"/>
      <c r="AB358" s="197"/>
      <c r="AC358" s="170"/>
      <c r="AD358" s="170"/>
      <c r="AE358" s="170"/>
      <c r="AF358" s="198"/>
      <c r="AG358" s="170"/>
      <c r="AH358" s="198"/>
      <c r="AI358" s="170"/>
      <c r="AJ358" s="190"/>
      <c r="AK358" s="170"/>
      <c r="AL358" s="170"/>
      <c r="AM358" s="170"/>
      <c r="AN358" s="170"/>
      <c r="AO358" s="170"/>
      <c r="AP358" s="199"/>
      <c r="AQ358" s="170"/>
      <c r="AR358" s="198"/>
      <c r="AS358" s="195"/>
      <c r="AT358" s="195"/>
      <c r="AU358" s="195"/>
      <c r="AV358" s="145"/>
      <c r="AW358" s="178"/>
      <c r="AX358" s="179"/>
      <c r="AY358" s="145"/>
    </row>
    <row r="359" spans="3:51">
      <c r="C359" s="116"/>
      <c r="E359" s="170"/>
      <c r="F359" s="170"/>
      <c r="G359" s="170"/>
      <c r="H359" s="170"/>
      <c r="I359" s="190"/>
      <c r="J359" s="191"/>
      <c r="K359" s="170"/>
      <c r="L359" s="191"/>
      <c r="M359" s="190"/>
      <c r="N359" s="190"/>
      <c r="O359" s="191"/>
      <c r="P359" s="191"/>
      <c r="Q359" s="170"/>
      <c r="R359" s="170"/>
      <c r="S359" s="193"/>
      <c r="T359" s="194"/>
      <c r="U359" s="195"/>
      <c r="V359" s="196"/>
      <c r="W359" s="195"/>
      <c r="X359" s="170"/>
      <c r="Y359" s="170"/>
      <c r="Z359" s="170"/>
      <c r="AA359" s="170"/>
      <c r="AB359" s="197"/>
      <c r="AC359" s="170"/>
      <c r="AD359" s="170"/>
      <c r="AE359" s="170"/>
      <c r="AF359" s="198"/>
      <c r="AG359" s="170"/>
      <c r="AH359" s="198"/>
      <c r="AI359" s="170"/>
      <c r="AJ359" s="190"/>
      <c r="AK359" s="170"/>
      <c r="AL359" s="170"/>
      <c r="AM359" s="170"/>
      <c r="AN359" s="170"/>
      <c r="AO359" s="170"/>
      <c r="AP359" s="199"/>
      <c r="AQ359" s="170"/>
      <c r="AR359" s="198"/>
      <c r="AS359" s="195"/>
      <c r="AT359" s="195"/>
      <c r="AU359" s="195"/>
      <c r="AV359" s="145"/>
      <c r="AW359" s="178"/>
      <c r="AX359" s="179"/>
      <c r="AY359" s="145"/>
    </row>
    <row r="360" spans="3:51">
      <c r="C360" s="116"/>
      <c r="E360" s="170"/>
      <c r="F360" s="170"/>
      <c r="G360" s="170"/>
      <c r="H360" s="170"/>
      <c r="I360" s="190"/>
      <c r="J360" s="191"/>
      <c r="K360" s="170"/>
      <c r="L360" s="191"/>
      <c r="M360" s="190"/>
      <c r="N360" s="190"/>
      <c r="O360" s="191"/>
      <c r="P360" s="191"/>
      <c r="Q360" s="170"/>
      <c r="R360" s="170"/>
      <c r="S360" s="193"/>
      <c r="T360" s="194"/>
      <c r="U360" s="195"/>
      <c r="V360" s="196"/>
      <c r="W360" s="195"/>
      <c r="X360" s="170"/>
      <c r="Y360" s="170"/>
      <c r="Z360" s="170"/>
      <c r="AA360" s="170"/>
      <c r="AB360" s="197"/>
      <c r="AC360" s="170"/>
      <c r="AD360" s="170"/>
      <c r="AE360" s="170"/>
      <c r="AF360" s="198"/>
      <c r="AG360" s="170"/>
      <c r="AH360" s="198"/>
      <c r="AI360" s="170"/>
      <c r="AJ360" s="190"/>
      <c r="AK360" s="170"/>
      <c r="AL360" s="170"/>
      <c r="AM360" s="170"/>
      <c r="AN360" s="170"/>
      <c r="AO360" s="170"/>
      <c r="AP360" s="199"/>
      <c r="AQ360" s="170"/>
      <c r="AR360" s="198"/>
      <c r="AS360" s="195"/>
      <c r="AT360" s="195"/>
      <c r="AU360" s="195"/>
      <c r="AV360" s="145"/>
      <c r="AW360" s="178"/>
      <c r="AX360" s="179"/>
      <c r="AY360" s="145"/>
    </row>
    <row r="361" spans="3:51">
      <c r="C361" s="116"/>
      <c r="E361" s="170"/>
      <c r="F361" s="170"/>
      <c r="G361" s="170"/>
      <c r="H361" s="170"/>
      <c r="I361" s="190"/>
      <c r="J361" s="191"/>
      <c r="K361" s="170"/>
      <c r="L361" s="191"/>
      <c r="M361" s="190"/>
      <c r="N361" s="190"/>
      <c r="O361" s="191"/>
      <c r="P361" s="191"/>
      <c r="Q361" s="170"/>
      <c r="R361" s="170"/>
      <c r="S361" s="193"/>
      <c r="T361" s="194"/>
      <c r="U361" s="195"/>
      <c r="V361" s="196"/>
      <c r="W361" s="195"/>
      <c r="X361" s="170"/>
      <c r="Y361" s="170"/>
      <c r="Z361" s="170"/>
      <c r="AA361" s="170"/>
      <c r="AB361" s="197"/>
      <c r="AC361" s="170"/>
      <c r="AD361" s="170"/>
      <c r="AE361" s="170"/>
      <c r="AF361" s="198"/>
      <c r="AG361" s="170"/>
      <c r="AH361" s="198"/>
      <c r="AI361" s="170"/>
      <c r="AJ361" s="190"/>
      <c r="AK361" s="170"/>
      <c r="AL361" s="170"/>
      <c r="AM361" s="170"/>
      <c r="AN361" s="170"/>
      <c r="AO361" s="170"/>
      <c r="AP361" s="199"/>
      <c r="AQ361" s="170"/>
      <c r="AR361" s="198"/>
      <c r="AS361" s="195"/>
      <c r="AT361" s="195"/>
      <c r="AU361" s="195"/>
      <c r="AV361" s="145"/>
      <c r="AW361" s="178"/>
      <c r="AX361" s="179"/>
      <c r="AY361" s="145"/>
    </row>
    <row r="362" spans="3:51">
      <c r="C362" s="116"/>
      <c r="E362" s="170"/>
      <c r="F362" s="170"/>
      <c r="G362" s="170"/>
      <c r="H362" s="170"/>
      <c r="I362" s="190"/>
      <c r="J362" s="191"/>
      <c r="K362" s="170"/>
      <c r="L362" s="191"/>
      <c r="M362" s="190"/>
      <c r="N362" s="190"/>
      <c r="O362" s="191"/>
      <c r="P362" s="191"/>
      <c r="Q362" s="170"/>
      <c r="R362" s="170"/>
      <c r="S362" s="193"/>
      <c r="T362" s="194"/>
      <c r="U362" s="195"/>
      <c r="V362" s="196"/>
      <c r="W362" s="195"/>
      <c r="X362" s="170"/>
      <c r="Y362" s="170"/>
      <c r="Z362" s="170"/>
      <c r="AA362" s="170"/>
      <c r="AB362" s="197"/>
      <c r="AC362" s="170"/>
      <c r="AD362" s="170"/>
      <c r="AE362" s="170"/>
      <c r="AF362" s="198"/>
      <c r="AG362" s="170"/>
      <c r="AH362" s="198"/>
      <c r="AI362" s="170"/>
      <c r="AJ362" s="190"/>
      <c r="AK362" s="170"/>
      <c r="AL362" s="170"/>
      <c r="AM362" s="170"/>
      <c r="AN362" s="170"/>
      <c r="AO362" s="170"/>
      <c r="AP362" s="199"/>
      <c r="AQ362" s="170"/>
      <c r="AR362" s="198"/>
      <c r="AS362" s="195"/>
      <c r="AT362" s="195"/>
      <c r="AU362" s="195"/>
      <c r="AV362" s="145"/>
      <c r="AW362" s="178"/>
      <c r="AX362" s="179"/>
      <c r="AY362" s="145"/>
    </row>
    <row r="363" spans="3:51">
      <c r="C363" s="116"/>
      <c r="E363" s="170"/>
      <c r="F363" s="170"/>
      <c r="G363" s="170"/>
      <c r="H363" s="170"/>
      <c r="I363" s="190"/>
      <c r="J363" s="191"/>
      <c r="K363" s="170"/>
      <c r="L363" s="191"/>
      <c r="M363" s="190"/>
      <c r="N363" s="190"/>
      <c r="O363" s="191"/>
      <c r="P363" s="191"/>
      <c r="Q363" s="170"/>
      <c r="R363" s="170"/>
      <c r="S363" s="193"/>
      <c r="T363" s="194"/>
      <c r="U363" s="195"/>
      <c r="V363" s="196"/>
      <c r="W363" s="195"/>
      <c r="X363" s="170"/>
      <c r="Y363" s="170"/>
      <c r="Z363" s="170"/>
      <c r="AA363" s="170"/>
      <c r="AB363" s="197"/>
      <c r="AC363" s="170"/>
      <c r="AD363" s="170"/>
      <c r="AE363" s="170"/>
      <c r="AF363" s="198"/>
      <c r="AG363" s="170"/>
      <c r="AH363" s="198"/>
      <c r="AI363" s="170"/>
      <c r="AJ363" s="190"/>
      <c r="AK363" s="170"/>
      <c r="AL363" s="170"/>
      <c r="AM363" s="170"/>
      <c r="AN363" s="170"/>
      <c r="AO363" s="170"/>
      <c r="AP363" s="199"/>
      <c r="AQ363" s="170"/>
      <c r="AR363" s="198"/>
      <c r="AS363" s="195"/>
      <c r="AT363" s="195"/>
      <c r="AU363" s="195"/>
      <c r="AV363" s="145"/>
      <c r="AW363" s="178"/>
      <c r="AX363" s="179"/>
      <c r="AY363" s="145"/>
    </row>
    <row r="364" spans="3:51">
      <c r="C364" s="116"/>
      <c r="E364" s="170"/>
      <c r="F364" s="170"/>
      <c r="G364" s="170"/>
      <c r="H364" s="170"/>
      <c r="I364" s="190"/>
      <c r="J364" s="191"/>
      <c r="K364" s="170"/>
      <c r="L364" s="191"/>
      <c r="M364" s="190"/>
      <c r="N364" s="190"/>
      <c r="O364" s="191"/>
      <c r="P364" s="191"/>
      <c r="Q364" s="170"/>
      <c r="R364" s="170"/>
      <c r="S364" s="193"/>
      <c r="T364" s="194"/>
      <c r="U364" s="195"/>
      <c r="V364" s="196"/>
      <c r="W364" s="195"/>
      <c r="X364" s="170"/>
      <c r="Y364" s="170"/>
      <c r="Z364" s="170"/>
      <c r="AA364" s="170"/>
      <c r="AB364" s="197"/>
      <c r="AC364" s="170"/>
      <c r="AD364" s="170"/>
      <c r="AE364" s="170"/>
      <c r="AF364" s="198"/>
      <c r="AG364" s="170"/>
      <c r="AH364" s="198"/>
      <c r="AI364" s="170"/>
      <c r="AJ364" s="190"/>
      <c r="AK364" s="170"/>
      <c r="AL364" s="170"/>
      <c r="AM364" s="170"/>
      <c r="AN364" s="170"/>
      <c r="AO364" s="170"/>
      <c r="AP364" s="199"/>
      <c r="AQ364" s="170"/>
      <c r="AR364" s="198"/>
      <c r="AS364" s="195"/>
      <c r="AT364" s="195"/>
      <c r="AU364" s="195"/>
      <c r="AV364" s="145"/>
      <c r="AW364" s="178"/>
      <c r="AX364" s="179"/>
      <c r="AY364" s="145"/>
    </row>
    <row r="365" spans="3:51">
      <c r="C365" s="116"/>
      <c r="E365" s="170"/>
      <c r="F365" s="170"/>
      <c r="G365" s="170"/>
      <c r="H365" s="170"/>
      <c r="I365" s="190"/>
      <c r="J365" s="191"/>
      <c r="K365" s="170"/>
      <c r="L365" s="191"/>
      <c r="M365" s="190"/>
      <c r="N365" s="190"/>
      <c r="O365" s="191"/>
      <c r="P365" s="191"/>
      <c r="Q365" s="170"/>
      <c r="R365" s="170"/>
      <c r="S365" s="193"/>
      <c r="T365" s="194"/>
      <c r="U365" s="195"/>
      <c r="V365" s="196"/>
      <c r="W365" s="195"/>
      <c r="X365" s="170"/>
      <c r="Y365" s="170"/>
      <c r="Z365" s="170"/>
      <c r="AA365" s="170"/>
      <c r="AB365" s="197"/>
      <c r="AC365" s="170"/>
      <c r="AD365" s="170"/>
      <c r="AE365" s="170"/>
      <c r="AF365" s="198"/>
      <c r="AG365" s="170"/>
      <c r="AH365" s="198"/>
      <c r="AI365" s="170"/>
      <c r="AJ365" s="190"/>
      <c r="AK365" s="170"/>
      <c r="AL365" s="170"/>
      <c r="AM365" s="170"/>
      <c r="AN365" s="170"/>
      <c r="AO365" s="170"/>
      <c r="AP365" s="199"/>
      <c r="AQ365" s="170"/>
      <c r="AR365" s="198"/>
      <c r="AS365" s="195"/>
      <c r="AT365" s="195"/>
      <c r="AU365" s="195"/>
      <c r="AV365" s="145"/>
      <c r="AW365" s="178"/>
      <c r="AX365" s="179"/>
      <c r="AY365" s="145"/>
    </row>
    <row r="366" spans="3:51">
      <c r="C366" s="116"/>
      <c r="E366" s="170"/>
      <c r="F366" s="170"/>
      <c r="G366" s="170"/>
      <c r="H366" s="170"/>
      <c r="I366" s="190"/>
      <c r="J366" s="191"/>
      <c r="K366" s="170"/>
      <c r="L366" s="191"/>
      <c r="M366" s="190"/>
      <c r="N366" s="190"/>
      <c r="O366" s="191"/>
      <c r="P366" s="191"/>
      <c r="Q366" s="170"/>
      <c r="R366" s="170"/>
      <c r="S366" s="193"/>
      <c r="T366" s="194"/>
      <c r="U366" s="195"/>
      <c r="V366" s="196"/>
      <c r="W366" s="195"/>
      <c r="X366" s="170"/>
      <c r="Y366" s="170"/>
      <c r="Z366" s="170"/>
      <c r="AA366" s="170"/>
      <c r="AB366" s="197"/>
      <c r="AC366" s="170"/>
      <c r="AD366" s="170"/>
      <c r="AE366" s="170"/>
      <c r="AF366" s="198"/>
      <c r="AG366" s="170"/>
      <c r="AH366" s="198"/>
      <c r="AI366" s="170"/>
      <c r="AJ366" s="190"/>
      <c r="AK366" s="170"/>
      <c r="AL366" s="170"/>
      <c r="AM366" s="170"/>
      <c r="AN366" s="170"/>
      <c r="AO366" s="170"/>
      <c r="AP366" s="199"/>
      <c r="AQ366" s="170"/>
      <c r="AR366" s="198"/>
      <c r="AS366" s="195"/>
      <c r="AT366" s="195"/>
      <c r="AU366" s="195"/>
      <c r="AV366" s="145"/>
      <c r="AW366" s="178"/>
      <c r="AX366" s="179"/>
      <c r="AY366" s="145"/>
    </row>
    <row r="367" spans="3:51">
      <c r="C367" s="116"/>
      <c r="E367" s="170"/>
      <c r="F367" s="170"/>
      <c r="G367" s="170"/>
      <c r="H367" s="170"/>
      <c r="I367" s="190"/>
      <c r="J367" s="191"/>
      <c r="K367" s="170"/>
      <c r="L367" s="191"/>
      <c r="M367" s="190"/>
      <c r="N367" s="190"/>
      <c r="O367" s="191"/>
      <c r="P367" s="191"/>
      <c r="Q367" s="170"/>
      <c r="R367" s="170"/>
      <c r="S367" s="193"/>
      <c r="T367" s="194"/>
      <c r="U367" s="195"/>
      <c r="V367" s="196"/>
      <c r="W367" s="195"/>
      <c r="X367" s="170"/>
      <c r="Y367" s="170"/>
      <c r="Z367" s="170"/>
      <c r="AA367" s="170"/>
      <c r="AB367" s="197"/>
      <c r="AC367" s="170"/>
      <c r="AD367" s="170"/>
      <c r="AE367" s="170"/>
      <c r="AF367" s="198"/>
      <c r="AG367" s="170"/>
      <c r="AH367" s="198"/>
      <c r="AI367" s="170"/>
      <c r="AJ367" s="190"/>
      <c r="AK367" s="170"/>
      <c r="AL367" s="170"/>
      <c r="AM367" s="170"/>
      <c r="AN367" s="170"/>
      <c r="AO367" s="170"/>
      <c r="AP367" s="199"/>
      <c r="AQ367" s="170"/>
      <c r="AR367" s="198"/>
      <c r="AS367" s="195"/>
      <c r="AT367" s="195"/>
      <c r="AU367" s="195"/>
      <c r="AV367" s="145"/>
      <c r="AW367" s="178"/>
      <c r="AX367" s="179"/>
      <c r="AY367" s="145"/>
    </row>
    <row r="368" spans="3:51">
      <c r="C368" s="116"/>
      <c r="E368" s="170"/>
      <c r="F368" s="170"/>
      <c r="G368" s="170"/>
      <c r="H368" s="170"/>
      <c r="I368" s="190"/>
      <c r="J368" s="191"/>
      <c r="K368" s="170"/>
      <c r="L368" s="191"/>
      <c r="M368" s="190"/>
      <c r="N368" s="190"/>
      <c r="O368" s="191"/>
      <c r="P368" s="191"/>
      <c r="Q368" s="170"/>
      <c r="R368" s="170"/>
      <c r="S368" s="193"/>
      <c r="T368" s="194"/>
      <c r="U368" s="195"/>
      <c r="V368" s="196"/>
      <c r="W368" s="195"/>
      <c r="X368" s="170"/>
      <c r="Y368" s="170"/>
      <c r="Z368" s="170"/>
      <c r="AA368" s="170"/>
      <c r="AB368" s="197"/>
      <c r="AC368" s="170"/>
      <c r="AD368" s="170"/>
      <c r="AE368" s="170"/>
      <c r="AF368" s="198"/>
      <c r="AG368" s="170"/>
      <c r="AH368" s="198"/>
      <c r="AI368" s="170"/>
      <c r="AJ368" s="190"/>
      <c r="AK368" s="170"/>
      <c r="AL368" s="170"/>
      <c r="AM368" s="170"/>
      <c r="AN368" s="170"/>
      <c r="AO368" s="170"/>
      <c r="AP368" s="199"/>
      <c r="AQ368" s="170"/>
      <c r="AR368" s="198"/>
      <c r="AS368" s="195"/>
      <c r="AT368" s="195"/>
      <c r="AU368" s="195"/>
      <c r="AV368" s="145"/>
      <c r="AW368" s="178"/>
      <c r="AX368" s="179"/>
      <c r="AY368" s="145"/>
    </row>
    <row r="369" spans="3:51">
      <c r="C369" s="116"/>
      <c r="E369" s="170"/>
      <c r="F369" s="170"/>
      <c r="G369" s="170"/>
      <c r="H369" s="170"/>
      <c r="I369" s="190"/>
      <c r="J369" s="191"/>
      <c r="K369" s="170"/>
      <c r="L369" s="191"/>
      <c r="M369" s="190"/>
      <c r="N369" s="190"/>
      <c r="O369" s="191"/>
      <c r="P369" s="191"/>
      <c r="Q369" s="170"/>
      <c r="R369" s="170"/>
      <c r="S369" s="193"/>
      <c r="T369" s="194"/>
      <c r="U369" s="195"/>
      <c r="V369" s="196"/>
      <c r="W369" s="195"/>
      <c r="X369" s="170"/>
      <c r="Y369" s="170"/>
      <c r="Z369" s="170"/>
      <c r="AA369" s="170"/>
      <c r="AB369" s="197"/>
      <c r="AC369" s="170"/>
      <c r="AD369" s="170"/>
      <c r="AE369" s="170"/>
      <c r="AF369" s="198"/>
      <c r="AG369" s="170"/>
      <c r="AH369" s="198"/>
      <c r="AI369" s="170"/>
      <c r="AJ369" s="190"/>
      <c r="AK369" s="170"/>
      <c r="AL369" s="170"/>
      <c r="AM369" s="170"/>
      <c r="AN369" s="170"/>
      <c r="AO369" s="170"/>
      <c r="AP369" s="199"/>
      <c r="AQ369" s="170"/>
      <c r="AR369" s="198"/>
      <c r="AS369" s="195"/>
      <c r="AT369" s="195"/>
      <c r="AU369" s="195"/>
      <c r="AV369" s="145"/>
      <c r="AW369" s="178"/>
      <c r="AX369" s="179"/>
      <c r="AY369" s="145"/>
    </row>
    <row r="370" spans="3:51">
      <c r="C370" s="116"/>
      <c r="E370" s="170"/>
      <c r="F370" s="170"/>
      <c r="G370" s="170"/>
      <c r="H370" s="170"/>
      <c r="I370" s="190"/>
      <c r="J370" s="191"/>
      <c r="K370" s="170"/>
      <c r="L370" s="191"/>
      <c r="M370" s="190"/>
      <c r="N370" s="190"/>
      <c r="O370" s="191"/>
      <c r="P370" s="191"/>
      <c r="Q370" s="170"/>
      <c r="R370" s="170"/>
      <c r="S370" s="193"/>
      <c r="T370" s="194"/>
      <c r="U370" s="195"/>
      <c r="V370" s="196"/>
      <c r="W370" s="195"/>
      <c r="X370" s="170"/>
      <c r="Y370" s="170"/>
      <c r="Z370" s="170"/>
      <c r="AA370" s="170"/>
      <c r="AB370" s="197"/>
      <c r="AC370" s="170"/>
      <c r="AD370" s="170"/>
      <c r="AE370" s="170"/>
      <c r="AF370" s="198"/>
      <c r="AG370" s="170"/>
      <c r="AH370" s="198"/>
      <c r="AI370" s="170"/>
      <c r="AJ370" s="190"/>
      <c r="AK370" s="170"/>
      <c r="AL370" s="170"/>
      <c r="AM370" s="170"/>
      <c r="AN370" s="170"/>
      <c r="AO370" s="170"/>
      <c r="AP370" s="199"/>
      <c r="AQ370" s="170"/>
      <c r="AR370" s="198"/>
      <c r="AS370" s="195"/>
      <c r="AT370" s="195"/>
      <c r="AU370" s="195"/>
      <c r="AV370" s="145"/>
      <c r="AW370" s="178"/>
      <c r="AX370" s="179"/>
      <c r="AY370" s="145"/>
    </row>
    <row r="371" spans="3:51">
      <c r="C371" s="116"/>
      <c r="E371" s="170"/>
      <c r="F371" s="170"/>
      <c r="G371" s="170"/>
      <c r="H371" s="170"/>
      <c r="I371" s="190"/>
      <c r="J371" s="191"/>
      <c r="K371" s="170"/>
      <c r="L371" s="191"/>
      <c r="M371" s="190"/>
      <c r="N371" s="190"/>
      <c r="O371" s="191"/>
      <c r="P371" s="191"/>
      <c r="Q371" s="170"/>
      <c r="R371" s="170"/>
      <c r="S371" s="193"/>
      <c r="T371" s="194"/>
      <c r="U371" s="195"/>
      <c r="V371" s="196"/>
      <c r="W371" s="195"/>
      <c r="X371" s="170"/>
      <c r="Y371" s="170"/>
      <c r="Z371" s="170"/>
      <c r="AA371" s="170"/>
      <c r="AB371" s="197"/>
      <c r="AC371" s="170"/>
      <c r="AD371" s="170"/>
      <c r="AE371" s="170"/>
      <c r="AF371" s="198"/>
      <c r="AG371" s="170"/>
      <c r="AH371" s="198"/>
      <c r="AI371" s="170"/>
      <c r="AJ371" s="190"/>
      <c r="AK371" s="170"/>
      <c r="AL371" s="170"/>
      <c r="AM371" s="170"/>
      <c r="AN371" s="170"/>
      <c r="AO371" s="170"/>
      <c r="AP371" s="199"/>
      <c r="AQ371" s="170"/>
      <c r="AR371" s="198"/>
      <c r="AS371" s="195"/>
      <c r="AT371" s="195"/>
      <c r="AU371" s="195"/>
      <c r="AV371" s="145"/>
      <c r="AW371" s="178"/>
      <c r="AX371" s="179"/>
      <c r="AY371" s="145"/>
    </row>
    <row r="372" spans="3:51">
      <c r="C372" s="116"/>
      <c r="E372" s="170"/>
      <c r="F372" s="170"/>
      <c r="G372" s="170"/>
      <c r="H372" s="170"/>
      <c r="I372" s="190"/>
      <c r="J372" s="191"/>
      <c r="K372" s="170"/>
      <c r="L372" s="191"/>
      <c r="M372" s="190"/>
      <c r="N372" s="190"/>
      <c r="O372" s="191"/>
      <c r="P372" s="191"/>
      <c r="Q372" s="170"/>
      <c r="R372" s="170"/>
      <c r="S372" s="193"/>
      <c r="T372" s="194"/>
      <c r="U372" s="195"/>
      <c r="V372" s="196"/>
      <c r="W372" s="195"/>
      <c r="X372" s="170"/>
      <c r="Y372" s="170"/>
      <c r="Z372" s="170"/>
      <c r="AA372" s="170"/>
      <c r="AB372" s="197"/>
      <c r="AC372" s="170"/>
      <c r="AD372" s="170"/>
      <c r="AE372" s="170"/>
      <c r="AF372" s="198"/>
      <c r="AG372" s="170"/>
      <c r="AH372" s="198"/>
      <c r="AI372" s="170"/>
      <c r="AJ372" s="190"/>
      <c r="AK372" s="170"/>
      <c r="AL372" s="170"/>
      <c r="AM372" s="170"/>
      <c r="AN372" s="170"/>
      <c r="AO372" s="170"/>
      <c r="AP372" s="199"/>
      <c r="AQ372" s="170"/>
      <c r="AR372" s="198"/>
      <c r="AS372" s="195"/>
      <c r="AT372" s="195"/>
      <c r="AU372" s="195"/>
      <c r="AV372" s="145"/>
      <c r="AW372" s="178"/>
      <c r="AX372" s="179"/>
      <c r="AY372" s="145"/>
    </row>
    <row r="373" spans="3:51">
      <c r="C373" s="116"/>
      <c r="E373" s="170"/>
      <c r="F373" s="170"/>
      <c r="G373" s="170"/>
      <c r="H373" s="170"/>
      <c r="I373" s="190"/>
      <c r="J373" s="191"/>
      <c r="K373" s="170"/>
      <c r="L373" s="191"/>
      <c r="M373" s="190"/>
      <c r="N373" s="190"/>
      <c r="O373" s="191"/>
      <c r="P373" s="191"/>
      <c r="Q373" s="170"/>
      <c r="R373" s="170"/>
      <c r="S373" s="193"/>
      <c r="T373" s="194"/>
      <c r="U373" s="195"/>
      <c r="V373" s="196"/>
      <c r="W373" s="195"/>
      <c r="X373" s="170"/>
      <c r="Y373" s="170"/>
      <c r="Z373" s="170"/>
      <c r="AA373" s="170"/>
      <c r="AB373" s="197"/>
      <c r="AC373" s="170"/>
      <c r="AD373" s="170"/>
      <c r="AE373" s="170"/>
      <c r="AF373" s="198"/>
      <c r="AG373" s="170"/>
      <c r="AH373" s="198"/>
      <c r="AI373" s="170"/>
      <c r="AJ373" s="190"/>
      <c r="AK373" s="170"/>
      <c r="AL373" s="170"/>
      <c r="AM373" s="170"/>
      <c r="AN373" s="170"/>
      <c r="AO373" s="170"/>
      <c r="AP373" s="199"/>
      <c r="AQ373" s="170"/>
      <c r="AR373" s="198"/>
      <c r="AS373" s="195"/>
      <c r="AT373" s="195"/>
      <c r="AU373" s="195"/>
      <c r="AV373" s="145"/>
      <c r="AW373" s="178"/>
      <c r="AX373" s="179"/>
      <c r="AY373" s="145"/>
    </row>
    <row r="374" spans="3:51">
      <c r="C374" s="116"/>
      <c r="E374" s="170"/>
      <c r="F374" s="170"/>
      <c r="G374" s="170"/>
      <c r="H374" s="170"/>
      <c r="I374" s="190"/>
      <c r="J374" s="191"/>
      <c r="K374" s="170"/>
      <c r="L374" s="191"/>
      <c r="M374" s="190"/>
      <c r="N374" s="190"/>
      <c r="O374" s="191"/>
      <c r="P374" s="191"/>
      <c r="Q374" s="170"/>
      <c r="R374" s="170"/>
      <c r="S374" s="193"/>
      <c r="T374" s="194"/>
      <c r="U374" s="195"/>
      <c r="V374" s="196"/>
      <c r="W374" s="195"/>
      <c r="X374" s="170"/>
      <c r="Y374" s="170"/>
      <c r="Z374" s="170"/>
      <c r="AA374" s="170"/>
      <c r="AB374" s="197"/>
      <c r="AC374" s="170"/>
      <c r="AD374" s="170"/>
      <c r="AE374" s="170"/>
      <c r="AF374" s="198"/>
      <c r="AG374" s="170"/>
      <c r="AH374" s="198"/>
      <c r="AI374" s="170"/>
      <c r="AJ374" s="190"/>
      <c r="AK374" s="170"/>
      <c r="AL374" s="170"/>
      <c r="AM374" s="170"/>
      <c r="AN374" s="170"/>
      <c r="AO374" s="170"/>
      <c r="AP374" s="199"/>
      <c r="AQ374" s="170"/>
      <c r="AR374" s="198"/>
      <c r="AS374" s="195"/>
      <c r="AT374" s="195"/>
      <c r="AU374" s="195"/>
      <c r="AV374" s="145"/>
      <c r="AW374" s="178"/>
      <c r="AX374" s="179"/>
      <c r="AY374" s="145"/>
    </row>
    <row r="375" spans="3:51">
      <c r="C375" s="116"/>
      <c r="E375" s="170"/>
      <c r="F375" s="170"/>
      <c r="G375" s="170"/>
      <c r="H375" s="170"/>
      <c r="I375" s="190"/>
      <c r="J375" s="191"/>
      <c r="K375" s="170"/>
      <c r="L375" s="191"/>
      <c r="M375" s="190"/>
      <c r="N375" s="190"/>
      <c r="O375" s="191"/>
      <c r="P375" s="191"/>
      <c r="Q375" s="170"/>
      <c r="R375" s="170"/>
      <c r="S375" s="193"/>
      <c r="T375" s="194"/>
      <c r="U375" s="195"/>
      <c r="V375" s="196"/>
      <c r="W375" s="195"/>
      <c r="X375" s="170"/>
      <c r="Y375" s="170"/>
      <c r="Z375" s="170"/>
      <c r="AA375" s="170"/>
      <c r="AB375" s="197"/>
      <c r="AC375" s="170"/>
      <c r="AD375" s="170"/>
      <c r="AE375" s="170"/>
      <c r="AF375" s="198"/>
      <c r="AG375" s="170"/>
      <c r="AH375" s="198"/>
      <c r="AI375" s="170"/>
      <c r="AJ375" s="190"/>
      <c r="AK375" s="170"/>
      <c r="AL375" s="170"/>
      <c r="AM375" s="170"/>
      <c r="AN375" s="170"/>
      <c r="AO375" s="170"/>
      <c r="AP375" s="199"/>
      <c r="AQ375" s="170"/>
      <c r="AR375" s="198"/>
      <c r="AS375" s="195"/>
      <c r="AT375" s="195"/>
      <c r="AU375" s="195"/>
      <c r="AV375" s="145"/>
      <c r="AW375" s="178"/>
      <c r="AX375" s="179"/>
      <c r="AY375" s="145"/>
    </row>
    <row r="376" spans="3:51">
      <c r="C376" s="116"/>
      <c r="E376" s="170"/>
      <c r="F376" s="170"/>
      <c r="G376" s="170"/>
      <c r="H376" s="170"/>
      <c r="I376" s="190"/>
      <c r="J376" s="191"/>
      <c r="K376" s="170"/>
      <c r="L376" s="191"/>
      <c r="M376" s="190"/>
      <c r="N376" s="190"/>
      <c r="O376" s="191"/>
      <c r="P376" s="191"/>
      <c r="Q376" s="170"/>
      <c r="R376" s="170"/>
      <c r="S376" s="193"/>
      <c r="T376" s="194"/>
      <c r="U376" s="195"/>
      <c r="V376" s="196"/>
      <c r="W376" s="195"/>
      <c r="X376" s="170"/>
      <c r="Y376" s="170"/>
      <c r="Z376" s="170"/>
      <c r="AA376" s="170"/>
      <c r="AB376" s="197"/>
      <c r="AC376" s="170"/>
      <c r="AD376" s="170"/>
      <c r="AE376" s="170"/>
      <c r="AF376" s="198"/>
      <c r="AG376" s="170"/>
      <c r="AH376" s="198"/>
      <c r="AI376" s="170"/>
      <c r="AJ376" s="190"/>
      <c r="AK376" s="170"/>
      <c r="AL376" s="170"/>
      <c r="AM376" s="170"/>
      <c r="AN376" s="170"/>
      <c r="AO376" s="170"/>
      <c r="AP376" s="199"/>
      <c r="AQ376" s="170"/>
      <c r="AR376" s="198"/>
      <c r="AS376" s="195"/>
      <c r="AT376" s="195"/>
      <c r="AU376" s="195"/>
      <c r="AV376" s="145"/>
      <c r="AW376" s="178"/>
      <c r="AX376" s="179"/>
      <c r="AY376" s="145"/>
    </row>
    <row r="377" spans="3:51">
      <c r="C377" s="116"/>
      <c r="E377" s="170"/>
      <c r="F377" s="170"/>
      <c r="G377" s="170"/>
      <c r="H377" s="170"/>
      <c r="I377" s="190"/>
      <c r="J377" s="191"/>
      <c r="K377" s="170"/>
      <c r="L377" s="191"/>
      <c r="M377" s="190"/>
      <c r="N377" s="190"/>
      <c r="O377" s="191"/>
      <c r="P377" s="191"/>
      <c r="Q377" s="170"/>
      <c r="R377" s="170"/>
      <c r="S377" s="193"/>
      <c r="T377" s="194"/>
      <c r="U377" s="195"/>
      <c r="V377" s="196"/>
      <c r="W377" s="195"/>
      <c r="X377" s="170"/>
      <c r="Y377" s="170"/>
      <c r="Z377" s="170"/>
      <c r="AA377" s="170"/>
      <c r="AB377" s="197"/>
      <c r="AC377" s="170"/>
      <c r="AD377" s="170"/>
      <c r="AE377" s="170"/>
      <c r="AF377" s="198"/>
      <c r="AG377" s="170"/>
      <c r="AH377" s="198"/>
      <c r="AI377" s="170"/>
      <c r="AJ377" s="190"/>
      <c r="AK377" s="170"/>
      <c r="AL377" s="170"/>
      <c r="AM377" s="170"/>
      <c r="AN377" s="170"/>
      <c r="AO377" s="170"/>
      <c r="AP377" s="199"/>
      <c r="AQ377" s="170"/>
      <c r="AR377" s="198"/>
      <c r="AS377" s="195"/>
      <c r="AT377" s="195"/>
      <c r="AU377" s="195"/>
      <c r="AV377" s="145"/>
      <c r="AW377" s="178"/>
      <c r="AX377" s="179"/>
      <c r="AY377" s="145"/>
    </row>
    <row r="378" spans="3:51">
      <c r="C378" s="116"/>
      <c r="E378" s="170"/>
      <c r="F378" s="170"/>
      <c r="G378" s="170"/>
      <c r="H378" s="170"/>
      <c r="I378" s="190"/>
      <c r="J378" s="191"/>
      <c r="K378" s="170"/>
      <c r="L378" s="191"/>
      <c r="M378" s="190"/>
      <c r="N378" s="190"/>
      <c r="O378" s="191"/>
      <c r="P378" s="191"/>
      <c r="Q378" s="170"/>
      <c r="R378" s="170"/>
      <c r="S378" s="193"/>
      <c r="T378" s="194"/>
      <c r="U378" s="195"/>
      <c r="V378" s="196"/>
      <c r="W378" s="195"/>
      <c r="X378" s="170"/>
      <c r="Y378" s="170"/>
      <c r="Z378" s="170"/>
      <c r="AA378" s="170"/>
      <c r="AB378" s="197"/>
      <c r="AC378" s="170"/>
      <c r="AD378" s="170"/>
      <c r="AE378" s="170"/>
      <c r="AF378" s="198"/>
      <c r="AG378" s="170"/>
      <c r="AH378" s="198"/>
      <c r="AI378" s="170"/>
      <c r="AJ378" s="190"/>
      <c r="AK378" s="170"/>
      <c r="AL378" s="170"/>
      <c r="AM378" s="170"/>
      <c r="AN378" s="170"/>
      <c r="AO378" s="170"/>
      <c r="AP378" s="199"/>
      <c r="AQ378" s="170"/>
      <c r="AR378" s="198"/>
      <c r="AS378" s="195"/>
      <c r="AT378" s="195"/>
      <c r="AU378" s="195"/>
      <c r="AV378" s="145"/>
      <c r="AW378" s="178"/>
      <c r="AX378" s="179"/>
      <c r="AY378" s="145"/>
    </row>
    <row r="379" spans="3:51">
      <c r="C379" s="116"/>
      <c r="E379" s="170"/>
      <c r="F379" s="170"/>
      <c r="G379" s="170"/>
      <c r="H379" s="170"/>
      <c r="I379" s="190"/>
      <c r="J379" s="191"/>
      <c r="K379" s="170"/>
      <c r="L379" s="191"/>
      <c r="M379" s="190"/>
      <c r="N379" s="190"/>
      <c r="O379" s="191"/>
      <c r="P379" s="191"/>
      <c r="Q379" s="170"/>
      <c r="R379" s="170"/>
      <c r="S379" s="193"/>
      <c r="T379" s="194"/>
      <c r="U379" s="195"/>
      <c r="V379" s="196"/>
      <c r="W379" s="195"/>
      <c r="X379" s="170"/>
      <c r="Y379" s="170"/>
      <c r="Z379" s="170"/>
      <c r="AA379" s="170"/>
      <c r="AB379" s="197"/>
      <c r="AC379" s="170"/>
      <c r="AD379" s="170"/>
      <c r="AE379" s="170"/>
      <c r="AF379" s="198"/>
      <c r="AG379" s="170"/>
      <c r="AH379" s="198"/>
      <c r="AI379" s="170"/>
      <c r="AJ379" s="190"/>
      <c r="AK379" s="170"/>
      <c r="AL379" s="170"/>
      <c r="AM379" s="170"/>
      <c r="AN379" s="170"/>
      <c r="AO379" s="170"/>
      <c r="AP379" s="199"/>
      <c r="AQ379" s="170"/>
      <c r="AR379" s="198"/>
      <c r="AS379" s="195"/>
      <c r="AT379" s="195"/>
      <c r="AU379" s="195"/>
      <c r="AV379" s="145"/>
      <c r="AW379" s="178"/>
      <c r="AX379" s="179"/>
      <c r="AY379" s="145"/>
    </row>
    <row r="380" spans="3:51">
      <c r="C380" s="116"/>
      <c r="E380" s="170"/>
      <c r="F380" s="170"/>
      <c r="G380" s="170"/>
      <c r="H380" s="170"/>
      <c r="I380" s="190"/>
      <c r="J380" s="191"/>
      <c r="K380" s="170"/>
      <c r="L380" s="191"/>
      <c r="M380" s="190"/>
      <c r="N380" s="190"/>
      <c r="O380" s="191"/>
      <c r="P380" s="191"/>
      <c r="Q380" s="170"/>
      <c r="R380" s="170"/>
      <c r="S380" s="193"/>
      <c r="T380" s="194"/>
      <c r="U380" s="195"/>
      <c r="V380" s="196"/>
      <c r="W380" s="195"/>
      <c r="X380" s="170"/>
      <c r="Y380" s="170"/>
      <c r="Z380" s="170"/>
      <c r="AA380" s="170"/>
      <c r="AB380" s="197"/>
      <c r="AC380" s="170"/>
      <c r="AD380" s="170"/>
      <c r="AE380" s="170"/>
      <c r="AF380" s="198"/>
      <c r="AG380" s="170"/>
      <c r="AH380" s="198"/>
      <c r="AI380" s="170"/>
      <c r="AJ380" s="190"/>
      <c r="AK380" s="170"/>
      <c r="AL380" s="170"/>
      <c r="AM380" s="170"/>
      <c r="AN380" s="170"/>
      <c r="AO380" s="170"/>
      <c r="AP380" s="199"/>
      <c r="AQ380" s="170"/>
      <c r="AR380" s="198"/>
      <c r="AS380" s="195"/>
      <c r="AT380" s="195"/>
      <c r="AU380" s="195"/>
      <c r="AV380" s="145"/>
      <c r="AW380" s="178"/>
      <c r="AX380" s="179"/>
      <c r="AY380" s="145"/>
    </row>
    <row r="381" spans="3:51">
      <c r="C381" s="116"/>
      <c r="E381" s="170"/>
      <c r="F381" s="170"/>
      <c r="G381" s="170"/>
      <c r="H381" s="170"/>
      <c r="I381" s="190"/>
      <c r="J381" s="191"/>
      <c r="K381" s="170"/>
      <c r="L381" s="191"/>
      <c r="M381" s="190"/>
      <c r="N381" s="190"/>
      <c r="O381" s="191"/>
      <c r="P381" s="191"/>
      <c r="Q381" s="170"/>
      <c r="R381" s="170"/>
      <c r="S381" s="193"/>
      <c r="T381" s="194"/>
      <c r="U381" s="195"/>
      <c r="V381" s="196"/>
      <c r="W381" s="195"/>
      <c r="X381" s="170"/>
      <c r="Y381" s="170"/>
      <c r="Z381" s="170"/>
      <c r="AA381" s="170"/>
      <c r="AB381" s="197"/>
      <c r="AC381" s="170"/>
      <c r="AD381" s="170"/>
      <c r="AE381" s="170"/>
      <c r="AF381" s="198"/>
      <c r="AG381" s="170"/>
      <c r="AH381" s="198"/>
      <c r="AI381" s="170"/>
      <c r="AJ381" s="190"/>
      <c r="AK381" s="170"/>
      <c r="AL381" s="170"/>
      <c r="AM381" s="170"/>
      <c r="AN381" s="170"/>
      <c r="AO381" s="170"/>
      <c r="AP381" s="199"/>
      <c r="AQ381" s="170"/>
      <c r="AR381" s="198"/>
      <c r="AS381" s="195"/>
      <c r="AT381" s="195"/>
      <c r="AU381" s="195"/>
      <c r="AV381" s="145"/>
      <c r="AW381" s="178"/>
      <c r="AX381" s="179"/>
      <c r="AY381" s="145"/>
    </row>
    <row r="382" spans="3:51">
      <c r="C382" s="116"/>
      <c r="E382" s="170"/>
      <c r="F382" s="170"/>
      <c r="G382" s="170"/>
      <c r="H382" s="170"/>
      <c r="I382" s="190"/>
      <c r="J382" s="191"/>
      <c r="K382" s="170"/>
      <c r="L382" s="191"/>
      <c r="M382" s="190"/>
      <c r="N382" s="190"/>
      <c r="O382" s="191"/>
      <c r="P382" s="191"/>
      <c r="Q382" s="170"/>
      <c r="R382" s="170"/>
      <c r="S382" s="193"/>
      <c r="T382" s="194"/>
      <c r="U382" s="195"/>
      <c r="V382" s="196"/>
      <c r="W382" s="195"/>
      <c r="X382" s="170"/>
      <c r="Y382" s="170"/>
      <c r="Z382" s="170"/>
      <c r="AA382" s="170"/>
      <c r="AB382" s="197"/>
      <c r="AC382" s="170"/>
      <c r="AD382" s="170"/>
      <c r="AE382" s="170"/>
      <c r="AF382" s="198"/>
      <c r="AG382" s="170"/>
      <c r="AH382" s="198"/>
      <c r="AI382" s="170"/>
      <c r="AJ382" s="190"/>
      <c r="AK382" s="170"/>
      <c r="AL382" s="170"/>
      <c r="AM382" s="170"/>
      <c r="AN382" s="170"/>
      <c r="AO382" s="170"/>
      <c r="AP382" s="199"/>
      <c r="AQ382" s="170"/>
      <c r="AR382" s="198"/>
      <c r="AS382" s="195"/>
      <c r="AT382" s="195"/>
      <c r="AU382" s="195"/>
      <c r="AV382" s="145"/>
      <c r="AW382" s="178"/>
      <c r="AX382" s="179"/>
      <c r="AY382" s="145"/>
    </row>
    <row r="383" spans="3:51">
      <c r="C383" s="116"/>
      <c r="E383" s="170"/>
      <c r="F383" s="170"/>
      <c r="G383" s="170"/>
      <c r="H383" s="170"/>
      <c r="I383" s="190"/>
      <c r="J383" s="191"/>
      <c r="K383" s="170"/>
      <c r="L383" s="191"/>
      <c r="M383" s="190"/>
      <c r="N383" s="190"/>
      <c r="O383" s="191"/>
      <c r="P383" s="191"/>
      <c r="Q383" s="170"/>
      <c r="R383" s="170"/>
      <c r="S383" s="193"/>
      <c r="T383" s="194"/>
      <c r="U383" s="195"/>
      <c r="V383" s="196"/>
      <c r="W383" s="195"/>
      <c r="X383" s="170"/>
      <c r="Y383" s="170"/>
      <c r="Z383" s="170"/>
      <c r="AA383" s="170"/>
      <c r="AB383" s="197"/>
      <c r="AC383" s="170"/>
      <c r="AD383" s="170"/>
      <c r="AE383" s="170"/>
      <c r="AF383" s="198"/>
      <c r="AG383" s="170"/>
      <c r="AH383" s="198"/>
      <c r="AI383" s="170"/>
      <c r="AJ383" s="190"/>
      <c r="AK383" s="170"/>
      <c r="AL383" s="170"/>
      <c r="AM383" s="170"/>
      <c r="AN383" s="170"/>
      <c r="AO383" s="170"/>
      <c r="AP383" s="199"/>
      <c r="AQ383" s="170"/>
      <c r="AR383" s="198"/>
      <c r="AS383" s="195"/>
      <c r="AT383" s="195"/>
      <c r="AU383" s="195"/>
      <c r="AV383" s="145"/>
      <c r="AW383" s="178"/>
      <c r="AX383" s="179"/>
      <c r="AY383" s="145"/>
    </row>
    <row r="384" spans="3:51">
      <c r="C384" s="116"/>
      <c r="E384" s="170"/>
      <c r="F384" s="170"/>
      <c r="G384" s="170"/>
      <c r="H384" s="170"/>
      <c r="I384" s="190"/>
      <c r="J384" s="191"/>
      <c r="K384" s="170"/>
      <c r="L384" s="191"/>
      <c r="M384" s="190"/>
      <c r="N384" s="190"/>
      <c r="O384" s="191"/>
      <c r="P384" s="191"/>
      <c r="Q384" s="170"/>
      <c r="R384" s="170"/>
      <c r="S384" s="193"/>
      <c r="T384" s="194"/>
      <c r="U384" s="195"/>
      <c r="V384" s="196"/>
      <c r="W384" s="195"/>
      <c r="X384" s="170"/>
      <c r="Y384" s="170"/>
      <c r="Z384" s="170"/>
      <c r="AA384" s="170"/>
      <c r="AB384" s="197"/>
      <c r="AC384" s="170"/>
      <c r="AD384" s="170"/>
      <c r="AE384" s="170"/>
      <c r="AF384" s="198"/>
      <c r="AG384" s="170"/>
      <c r="AH384" s="198"/>
      <c r="AI384" s="170"/>
      <c r="AJ384" s="190"/>
      <c r="AK384" s="170"/>
      <c r="AL384" s="170"/>
      <c r="AM384" s="170"/>
      <c r="AN384" s="170"/>
      <c r="AO384" s="170"/>
      <c r="AP384" s="199"/>
      <c r="AQ384" s="170"/>
      <c r="AR384" s="198"/>
      <c r="AS384" s="195"/>
      <c r="AT384" s="195"/>
      <c r="AU384" s="195"/>
      <c r="AV384" s="145"/>
      <c r="AW384" s="178"/>
      <c r="AX384" s="179"/>
      <c r="AY384" s="145"/>
    </row>
    <row r="385" spans="3:51">
      <c r="C385" s="116"/>
      <c r="E385" s="170"/>
      <c r="F385" s="170"/>
      <c r="G385" s="170"/>
      <c r="H385" s="170"/>
      <c r="I385" s="190"/>
      <c r="J385" s="191"/>
      <c r="K385" s="170"/>
      <c r="L385" s="191"/>
      <c r="M385" s="190"/>
      <c r="N385" s="190"/>
      <c r="O385" s="191"/>
      <c r="P385" s="191"/>
      <c r="Q385" s="170"/>
      <c r="R385" s="170"/>
      <c r="S385" s="193"/>
      <c r="T385" s="194"/>
      <c r="U385" s="195"/>
      <c r="V385" s="196"/>
      <c r="W385" s="195"/>
      <c r="X385" s="170"/>
      <c r="Y385" s="170"/>
      <c r="Z385" s="170"/>
      <c r="AA385" s="170"/>
      <c r="AB385" s="197"/>
      <c r="AC385" s="170"/>
      <c r="AD385" s="170"/>
      <c r="AE385" s="170"/>
      <c r="AF385" s="198"/>
      <c r="AG385" s="170"/>
      <c r="AH385" s="198"/>
      <c r="AI385" s="170"/>
      <c r="AJ385" s="190"/>
      <c r="AK385" s="170"/>
      <c r="AL385" s="170"/>
      <c r="AM385" s="170"/>
      <c r="AN385" s="170"/>
      <c r="AO385" s="170"/>
      <c r="AP385" s="199"/>
      <c r="AQ385" s="170"/>
      <c r="AR385" s="198"/>
      <c r="AS385" s="195"/>
      <c r="AT385" s="195"/>
      <c r="AU385" s="195"/>
      <c r="AV385" s="145"/>
      <c r="AW385" s="178"/>
      <c r="AX385" s="179"/>
      <c r="AY385" s="145"/>
    </row>
    <row r="386" spans="3:51">
      <c r="C386" s="116"/>
      <c r="E386" s="170"/>
      <c r="F386" s="170"/>
      <c r="G386" s="170"/>
      <c r="H386" s="170"/>
      <c r="I386" s="190"/>
      <c r="J386" s="191"/>
      <c r="K386" s="170"/>
      <c r="L386" s="191"/>
      <c r="M386" s="190"/>
      <c r="N386" s="190"/>
      <c r="O386" s="191"/>
      <c r="P386" s="191"/>
      <c r="Q386" s="170"/>
      <c r="R386" s="170"/>
      <c r="S386" s="193"/>
      <c r="T386" s="194"/>
      <c r="U386" s="195"/>
      <c r="V386" s="196"/>
      <c r="W386" s="195"/>
      <c r="X386" s="170"/>
      <c r="Y386" s="170"/>
      <c r="Z386" s="170"/>
      <c r="AA386" s="170"/>
      <c r="AB386" s="197"/>
      <c r="AC386" s="170"/>
      <c r="AD386" s="170"/>
      <c r="AE386" s="170"/>
      <c r="AF386" s="198"/>
      <c r="AG386" s="170"/>
      <c r="AH386" s="198"/>
      <c r="AI386" s="170"/>
      <c r="AJ386" s="190"/>
      <c r="AK386" s="170"/>
      <c r="AL386" s="170"/>
      <c r="AM386" s="170"/>
      <c r="AN386" s="170"/>
      <c r="AO386" s="170"/>
      <c r="AP386" s="199"/>
      <c r="AQ386" s="170"/>
      <c r="AR386" s="198"/>
      <c r="AS386" s="195"/>
      <c r="AT386" s="195"/>
      <c r="AU386" s="195"/>
      <c r="AV386" s="145"/>
      <c r="AW386" s="178"/>
      <c r="AX386" s="179"/>
      <c r="AY386" s="145"/>
    </row>
    <row r="387" spans="3:51">
      <c r="C387" s="116"/>
      <c r="E387" s="170"/>
      <c r="F387" s="170"/>
      <c r="G387" s="170"/>
      <c r="H387" s="170"/>
      <c r="I387" s="190"/>
      <c r="J387" s="191"/>
      <c r="K387" s="170"/>
      <c r="L387" s="191"/>
      <c r="M387" s="190"/>
      <c r="N387" s="190"/>
      <c r="O387" s="191"/>
      <c r="P387" s="191"/>
      <c r="Q387" s="170"/>
      <c r="R387" s="170"/>
      <c r="S387" s="193"/>
      <c r="T387" s="194"/>
      <c r="U387" s="195"/>
      <c r="V387" s="196"/>
      <c r="W387" s="195"/>
      <c r="X387" s="170"/>
      <c r="Y387" s="170"/>
      <c r="Z387" s="170"/>
      <c r="AA387" s="170"/>
      <c r="AB387" s="197"/>
      <c r="AC387" s="170"/>
      <c r="AD387" s="170"/>
      <c r="AE387" s="170"/>
      <c r="AF387" s="198"/>
      <c r="AG387" s="170"/>
      <c r="AH387" s="198"/>
      <c r="AI387" s="170"/>
      <c r="AJ387" s="190"/>
      <c r="AK387" s="170"/>
      <c r="AL387" s="170"/>
      <c r="AM387" s="170"/>
      <c r="AN387" s="170"/>
      <c r="AO387" s="170"/>
      <c r="AP387" s="199"/>
      <c r="AQ387" s="170"/>
      <c r="AR387" s="198"/>
      <c r="AS387" s="195"/>
      <c r="AT387" s="195"/>
      <c r="AU387" s="195"/>
      <c r="AV387" s="145"/>
      <c r="AW387" s="178"/>
      <c r="AX387" s="179"/>
      <c r="AY387" s="145"/>
    </row>
    <row r="388" spans="3:51">
      <c r="C388" s="116"/>
      <c r="E388" s="170"/>
      <c r="F388" s="170"/>
      <c r="G388" s="170"/>
      <c r="H388" s="170"/>
      <c r="I388" s="190"/>
      <c r="J388" s="191"/>
      <c r="K388" s="170"/>
      <c r="L388" s="191"/>
      <c r="M388" s="190"/>
      <c r="N388" s="190"/>
      <c r="O388" s="191"/>
      <c r="P388" s="191"/>
      <c r="Q388" s="170"/>
      <c r="R388" s="170"/>
      <c r="S388" s="193"/>
      <c r="T388" s="194"/>
      <c r="U388" s="195"/>
      <c r="V388" s="196"/>
      <c r="W388" s="195"/>
      <c r="X388" s="170"/>
      <c r="Y388" s="170"/>
      <c r="Z388" s="170"/>
      <c r="AA388" s="170"/>
      <c r="AB388" s="197"/>
      <c r="AC388" s="170"/>
      <c r="AD388" s="170"/>
      <c r="AE388" s="170"/>
      <c r="AF388" s="198"/>
      <c r="AG388" s="170"/>
      <c r="AH388" s="198"/>
      <c r="AI388" s="170"/>
      <c r="AJ388" s="190"/>
      <c r="AK388" s="170"/>
      <c r="AL388" s="170"/>
      <c r="AM388" s="170"/>
      <c r="AN388" s="170"/>
      <c r="AO388" s="170"/>
      <c r="AP388" s="199"/>
      <c r="AQ388" s="170"/>
      <c r="AR388" s="198"/>
      <c r="AS388" s="195"/>
      <c r="AT388" s="195"/>
      <c r="AU388" s="195"/>
      <c r="AV388" s="145"/>
      <c r="AW388" s="178"/>
      <c r="AX388" s="179"/>
      <c r="AY388" s="145"/>
    </row>
    <row r="389" spans="3:51">
      <c r="C389" s="116"/>
      <c r="E389" s="170"/>
      <c r="F389" s="170"/>
      <c r="G389" s="170"/>
      <c r="H389" s="170"/>
      <c r="I389" s="190"/>
      <c r="J389" s="191"/>
      <c r="K389" s="170"/>
      <c r="L389" s="191"/>
      <c r="M389" s="190"/>
      <c r="N389" s="190"/>
      <c r="O389" s="191"/>
      <c r="P389" s="191"/>
      <c r="Q389" s="170"/>
      <c r="R389" s="170"/>
      <c r="S389" s="193"/>
      <c r="T389" s="194"/>
      <c r="U389" s="195"/>
      <c r="V389" s="196"/>
      <c r="W389" s="195"/>
      <c r="X389" s="170"/>
      <c r="Y389" s="170"/>
      <c r="Z389" s="170"/>
      <c r="AA389" s="170"/>
      <c r="AB389" s="197"/>
      <c r="AC389" s="170"/>
      <c r="AD389" s="170"/>
      <c r="AE389" s="170"/>
      <c r="AF389" s="198"/>
      <c r="AG389" s="170"/>
      <c r="AH389" s="198"/>
      <c r="AI389" s="170"/>
      <c r="AJ389" s="190"/>
      <c r="AK389" s="170"/>
      <c r="AL389" s="170"/>
      <c r="AM389" s="170"/>
      <c r="AN389" s="170"/>
      <c r="AO389" s="170"/>
      <c r="AP389" s="199"/>
      <c r="AQ389" s="170"/>
      <c r="AR389" s="198"/>
      <c r="AS389" s="195"/>
      <c r="AT389" s="195"/>
      <c r="AU389" s="195"/>
      <c r="AV389" s="145"/>
      <c r="AW389" s="178"/>
      <c r="AX389" s="179"/>
      <c r="AY389" s="145"/>
    </row>
    <row r="390" spans="3:51">
      <c r="C390" s="116"/>
      <c r="E390" s="170"/>
      <c r="F390" s="170"/>
      <c r="G390" s="170"/>
      <c r="H390" s="170"/>
      <c r="I390" s="190"/>
      <c r="J390" s="191"/>
      <c r="K390" s="170"/>
      <c r="L390" s="191"/>
      <c r="M390" s="190"/>
      <c r="N390" s="190"/>
      <c r="O390" s="191"/>
      <c r="P390" s="191"/>
      <c r="Q390" s="170"/>
      <c r="R390" s="170"/>
      <c r="S390" s="193"/>
      <c r="T390" s="194"/>
      <c r="U390" s="195"/>
      <c r="V390" s="196"/>
      <c r="W390" s="195"/>
      <c r="X390" s="170"/>
      <c r="Y390" s="170"/>
      <c r="Z390" s="170"/>
      <c r="AA390" s="170"/>
      <c r="AB390" s="197"/>
      <c r="AC390" s="170"/>
      <c r="AD390" s="170"/>
      <c r="AE390" s="170"/>
      <c r="AF390" s="198"/>
      <c r="AG390" s="170"/>
      <c r="AH390" s="198"/>
      <c r="AI390" s="170"/>
      <c r="AJ390" s="190"/>
      <c r="AK390" s="170"/>
      <c r="AL390" s="170"/>
      <c r="AM390" s="170"/>
      <c r="AN390" s="170"/>
      <c r="AO390" s="170"/>
      <c r="AP390" s="199"/>
      <c r="AQ390" s="170"/>
      <c r="AR390" s="198"/>
      <c r="AS390" s="195"/>
      <c r="AT390" s="195"/>
      <c r="AU390" s="195"/>
      <c r="AV390" s="145"/>
      <c r="AW390" s="178"/>
      <c r="AX390" s="179"/>
      <c r="AY390" s="145"/>
    </row>
    <row r="391" spans="3:51">
      <c r="C391" s="116"/>
      <c r="E391" s="170"/>
      <c r="F391" s="170"/>
      <c r="G391" s="170"/>
      <c r="H391" s="170"/>
      <c r="I391" s="190"/>
      <c r="J391" s="191"/>
      <c r="K391" s="170"/>
      <c r="L391" s="191"/>
      <c r="M391" s="190"/>
      <c r="N391" s="190"/>
      <c r="O391" s="191"/>
      <c r="P391" s="191"/>
      <c r="Q391" s="170"/>
      <c r="R391" s="170"/>
      <c r="S391" s="193"/>
      <c r="T391" s="194"/>
      <c r="U391" s="195"/>
      <c r="V391" s="196"/>
      <c r="W391" s="195"/>
      <c r="X391" s="170"/>
      <c r="Y391" s="170"/>
      <c r="Z391" s="170"/>
      <c r="AA391" s="170"/>
      <c r="AB391" s="197"/>
      <c r="AC391" s="170"/>
      <c r="AD391" s="170"/>
      <c r="AE391" s="170"/>
      <c r="AF391" s="198"/>
      <c r="AG391" s="170"/>
      <c r="AH391" s="198"/>
      <c r="AI391" s="170"/>
      <c r="AJ391" s="190"/>
      <c r="AK391" s="170"/>
      <c r="AL391" s="170"/>
      <c r="AM391" s="170"/>
      <c r="AN391" s="170"/>
      <c r="AO391" s="170"/>
      <c r="AP391" s="199"/>
      <c r="AQ391" s="170"/>
      <c r="AR391" s="198"/>
      <c r="AS391" s="195"/>
      <c r="AT391" s="195"/>
      <c r="AU391" s="195"/>
      <c r="AV391" s="145"/>
      <c r="AW391" s="178"/>
      <c r="AX391" s="179"/>
      <c r="AY391" s="145"/>
    </row>
    <row r="392" spans="3:51">
      <c r="C392" s="116"/>
      <c r="E392" s="170"/>
      <c r="F392" s="170"/>
      <c r="G392" s="170"/>
      <c r="H392" s="170"/>
      <c r="I392" s="190"/>
      <c r="J392" s="191"/>
      <c r="K392" s="170"/>
      <c r="L392" s="191"/>
      <c r="M392" s="190"/>
      <c r="N392" s="190"/>
      <c r="O392" s="191"/>
      <c r="P392" s="191"/>
      <c r="Q392" s="170"/>
      <c r="R392" s="170"/>
      <c r="S392" s="193"/>
      <c r="T392" s="194"/>
      <c r="U392" s="195"/>
      <c r="V392" s="196"/>
      <c r="W392" s="195"/>
      <c r="X392" s="170"/>
      <c r="Y392" s="170"/>
      <c r="Z392" s="170"/>
      <c r="AA392" s="170"/>
      <c r="AB392" s="197"/>
      <c r="AC392" s="170"/>
      <c r="AD392" s="170"/>
      <c r="AE392" s="170"/>
      <c r="AF392" s="198"/>
      <c r="AG392" s="170"/>
      <c r="AH392" s="198"/>
      <c r="AI392" s="170"/>
      <c r="AJ392" s="190"/>
      <c r="AK392" s="170"/>
      <c r="AL392" s="170"/>
      <c r="AM392" s="170"/>
      <c r="AN392" s="170"/>
      <c r="AO392" s="170"/>
      <c r="AP392" s="199"/>
      <c r="AQ392" s="170"/>
      <c r="AR392" s="198"/>
      <c r="AS392" s="195"/>
      <c r="AT392" s="195"/>
      <c r="AU392" s="195"/>
      <c r="AV392" s="145"/>
      <c r="AW392" s="178"/>
      <c r="AX392" s="179"/>
      <c r="AY392" s="145"/>
    </row>
    <row r="393" spans="3:51">
      <c r="C393" s="116"/>
      <c r="E393" s="170"/>
      <c r="F393" s="170"/>
      <c r="G393" s="170"/>
      <c r="H393" s="170"/>
      <c r="I393" s="190"/>
      <c r="J393" s="191"/>
      <c r="K393" s="170"/>
      <c r="L393" s="191"/>
      <c r="M393" s="190"/>
      <c r="N393" s="190"/>
      <c r="O393" s="191"/>
      <c r="P393" s="191"/>
      <c r="Q393" s="170"/>
      <c r="R393" s="170"/>
      <c r="S393" s="193"/>
      <c r="T393" s="194"/>
      <c r="U393" s="195"/>
      <c r="V393" s="196"/>
      <c r="W393" s="195"/>
      <c r="X393" s="170"/>
      <c r="Y393" s="170"/>
      <c r="Z393" s="170"/>
      <c r="AA393" s="170"/>
      <c r="AB393" s="197"/>
      <c r="AC393" s="170"/>
      <c r="AD393" s="170"/>
      <c r="AE393" s="170"/>
      <c r="AF393" s="198"/>
      <c r="AG393" s="170"/>
      <c r="AH393" s="198"/>
      <c r="AI393" s="170"/>
      <c r="AJ393" s="190"/>
      <c r="AK393" s="170"/>
      <c r="AL393" s="170"/>
      <c r="AM393" s="170"/>
      <c r="AN393" s="170"/>
      <c r="AO393" s="170"/>
      <c r="AP393" s="199"/>
      <c r="AQ393" s="170"/>
      <c r="AR393" s="198"/>
      <c r="AS393" s="195"/>
      <c r="AT393" s="195"/>
      <c r="AU393" s="195"/>
      <c r="AV393" s="145"/>
      <c r="AW393" s="178"/>
      <c r="AX393" s="179"/>
      <c r="AY393" s="145"/>
    </row>
    <row r="394" spans="3:51">
      <c r="C394" s="116"/>
    </row>
    <row r="395" spans="3:51">
      <c r="C395" s="116"/>
    </row>
    <row r="396" spans="3:51">
      <c r="C396" s="116"/>
    </row>
    <row r="397" spans="3:51">
      <c r="C397" s="116"/>
    </row>
    <row r="398" spans="3:51">
      <c r="C398" s="116"/>
    </row>
    <row r="399" spans="3:51">
      <c r="C399" s="116"/>
    </row>
    <row r="400" spans="3:51">
      <c r="C400" s="116"/>
    </row>
    <row r="401" spans="3:3">
      <c r="C401" s="116"/>
    </row>
    <row r="402" spans="3:3">
      <c r="C402" s="116"/>
    </row>
  </sheetData>
  <mergeCells count="22">
    <mergeCell ref="A117:A136"/>
    <mergeCell ref="AW9:AX10"/>
    <mergeCell ref="M12:P12"/>
    <mergeCell ref="W12:W13"/>
    <mergeCell ref="AA12:AA13"/>
    <mergeCell ref="AF12:AF13"/>
    <mergeCell ref="AJ12:AJ13"/>
    <mergeCell ref="AL12:AL13"/>
    <mergeCell ref="AM12:AM13"/>
    <mergeCell ref="AN12:AN13"/>
    <mergeCell ref="AP12:AP13"/>
    <mergeCell ref="AQ12:AQ13"/>
    <mergeCell ref="AW12:AX12"/>
    <mergeCell ref="A15:A45"/>
    <mergeCell ref="A46:A83"/>
    <mergeCell ref="A84:A116"/>
    <mergeCell ref="U2:V2"/>
    <mergeCell ref="F3:G3"/>
    <mergeCell ref="Q8:U9"/>
    <mergeCell ref="AE8:AL8"/>
    <mergeCell ref="W9:AF9"/>
    <mergeCell ref="AJ9:AP9"/>
  </mergeCell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A00-000000000000}">
          <x14:formula1>
            <xm:f>Nomen!$A$79:$A$81</xm:f>
          </x14:formula1>
          <xm:sqref>F8</xm:sqref>
        </x14:dataValidation>
        <x14:dataValidation type="list" allowBlank="1" showInputMessage="1" showErrorMessage="1" xr:uid="{00000000-0002-0000-0A00-000001000000}">
          <x14:formula1>
            <xm:f>Nomen!$A$43:$A$51</xm:f>
          </x14:formula1>
          <xm:sqref>F3:G3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>
    <tabColor theme="5" tint="0.59999389629810485"/>
  </sheetPr>
  <dimension ref="A1:N399"/>
  <sheetViews>
    <sheetView showGridLines="0" workbookViewId="0">
      <selection activeCell="M5" sqref="M5"/>
    </sheetView>
  </sheetViews>
  <sheetFormatPr baseColWidth="10" defaultColWidth="0" defaultRowHeight="15" zeroHeight="1"/>
  <cols>
    <col min="1" max="14" width="11.42578125" style="101" customWidth="1"/>
    <col min="15" max="16384" width="11.42578125" style="101" hidden="1"/>
  </cols>
  <sheetData>
    <row r="1" spans="1:13">
      <c r="A1" s="71" t="s">
        <v>530</v>
      </c>
      <c r="B1" s="71" t="s">
        <v>531</v>
      </c>
      <c r="C1" s="71" t="s">
        <v>532</v>
      </c>
      <c r="D1" s="222" t="s">
        <v>84</v>
      </c>
      <c r="E1" s="99" t="s">
        <v>369</v>
      </c>
      <c r="F1" s="120">
        <v>10.8</v>
      </c>
      <c r="G1" s="101" t="s">
        <v>84</v>
      </c>
      <c r="H1" s="101" t="s">
        <v>369</v>
      </c>
      <c r="L1" s="101" t="s">
        <v>677</v>
      </c>
      <c r="M1" s="101" t="s">
        <v>580</v>
      </c>
    </row>
    <row r="2" spans="1:13">
      <c r="A2" s="252">
        <v>9</v>
      </c>
      <c r="B2" s="252">
        <v>3</v>
      </c>
      <c r="C2" s="259">
        <f>YEAR(Inputs!I8)</f>
        <v>2015</v>
      </c>
      <c r="D2" s="115">
        <f>DATE(C2,B2,A2)</f>
        <v>42072</v>
      </c>
      <c r="E2" s="258">
        <f>$F$1</f>
        <v>10.8</v>
      </c>
      <c r="G2" s="69">
        <v>42819</v>
      </c>
      <c r="H2" s="116">
        <v>10</v>
      </c>
      <c r="K2" s="2">
        <v>42005</v>
      </c>
      <c r="L2" s="228" t="str">
        <f>IFERROR(IF(IF(AND(K2&lt;MAX($D$2:$D$31),ISERROR(VLOOKUP(K2,$D$2:$E$31,2,FALSE))),0,VLOOKUP(K2,$D$2:$E$31,2,FALSE))&lt;=0,"",IF(AND(K2&lt;MAX($D$2:$D$31),ISERROR(VLOOKUP(K2,$D$2:$E$31,2,FALSE))),0,VLOOKUP(K2,$D$2:$E$31,2,FALSE))),"")</f>
        <v/>
      </c>
      <c r="M2" s="116" t="str">
        <f>IFERROR(IF(VLOOKUP($K2,CSV!$B$17:$AK$190,36,0)&lt;=0,"",VLOOKUP($K2,CSV!$B$17:$AK$190,36,0)),"")</f>
        <v/>
      </c>
    </row>
    <row r="3" spans="1:13">
      <c r="A3" s="251">
        <v>25</v>
      </c>
      <c r="B3" s="251">
        <v>3</v>
      </c>
      <c r="C3" s="259">
        <v>2015</v>
      </c>
      <c r="D3" s="115">
        <f>DATE(C3,B3,A3)</f>
        <v>42088</v>
      </c>
      <c r="E3" s="258">
        <f t="shared" ref="E3:E25" si="0">$F$1</f>
        <v>10.8</v>
      </c>
      <c r="K3" s="101">
        <f>K2+1</f>
        <v>42006</v>
      </c>
      <c r="L3" s="228" t="str">
        <f t="shared" ref="L3:L66" si="1">IFERROR(IF(IF(AND(K3&lt;MAX($D$2:$D$31),ISERROR(VLOOKUP(K3,$D$2:$E$31,2,FALSE))),0,VLOOKUP(K3,$D$2:$E$31,2,FALSE))&lt;=0,"",IF(AND(K3&lt;MAX($D$2:$D$31),ISERROR(VLOOKUP(K3,$D$2:$E$31,2,FALSE))),0,VLOOKUP(K3,$D$2:$E$31,2,FALSE))),"")</f>
        <v/>
      </c>
      <c r="M3" s="116" t="str">
        <f>IFERROR(IF(VLOOKUP($K3,CSV!$B$17:$AK$190,36,0)&lt;=0,"",VLOOKUP($K3,CSV!$B$17:$AK$190,36,0)),"")</f>
        <v/>
      </c>
    </row>
    <row r="4" spans="1:13">
      <c r="A4" s="251">
        <v>28</v>
      </c>
      <c r="B4" s="251">
        <v>3</v>
      </c>
      <c r="C4" s="259">
        <v>2015</v>
      </c>
      <c r="D4" s="115">
        <f t="shared" ref="D4:D9" si="2">DATE(C4,B4,A4)</f>
        <v>42091</v>
      </c>
      <c r="E4" s="258">
        <f t="shared" si="0"/>
        <v>10.8</v>
      </c>
      <c r="K4" s="101">
        <f t="shared" ref="K4:K67" si="3">K3+1</f>
        <v>42007</v>
      </c>
      <c r="L4" s="228" t="str">
        <f t="shared" si="1"/>
        <v/>
      </c>
      <c r="M4" s="116" t="str">
        <f>IFERROR(IF(VLOOKUP($K4,CSV!$B$17:$AK$190,36,0)&lt;=0,"",VLOOKUP($K4,CSV!$B$17:$AK$190,36,0)),"")</f>
        <v/>
      </c>
    </row>
    <row r="5" spans="1:13">
      <c r="A5" s="251">
        <v>30</v>
      </c>
      <c r="B5" s="251">
        <v>3</v>
      </c>
      <c r="C5" s="259">
        <v>2015</v>
      </c>
      <c r="D5" s="115">
        <f>DATE(C5,B5,A5)</f>
        <v>42093</v>
      </c>
      <c r="E5" s="258">
        <f t="shared" si="0"/>
        <v>10.8</v>
      </c>
      <c r="G5" s="24"/>
      <c r="K5" s="101">
        <f t="shared" si="3"/>
        <v>42008</v>
      </c>
      <c r="L5" s="228" t="str">
        <f t="shared" si="1"/>
        <v/>
      </c>
      <c r="M5" s="116" t="str">
        <f>IFERROR(IF(VLOOKUP($K5,CSV!$B$17:$AK$190,36,0)&lt;=0,"",VLOOKUP($K5,CSV!$B$17:$AK$190,36,0)),"")</f>
        <v/>
      </c>
    </row>
    <row r="6" spans="1:13">
      <c r="A6" s="251">
        <v>3</v>
      </c>
      <c r="B6" s="251">
        <v>4</v>
      </c>
      <c r="C6" s="259">
        <v>2015</v>
      </c>
      <c r="D6" s="115">
        <f t="shared" si="2"/>
        <v>42097</v>
      </c>
      <c r="E6" s="258">
        <f t="shared" si="0"/>
        <v>10.8</v>
      </c>
      <c r="G6" s="24"/>
      <c r="K6" s="101">
        <f t="shared" si="3"/>
        <v>42009</v>
      </c>
      <c r="L6" s="228" t="str">
        <f t="shared" si="1"/>
        <v/>
      </c>
      <c r="M6" s="116" t="str">
        <f>IFERROR(IF(VLOOKUP($K6,CSV!$B$17:$AK$190,36,0)&lt;=0,"",VLOOKUP($K6,CSV!$B$17:$AK$190,36,0)),"")</f>
        <v/>
      </c>
    </row>
    <row r="7" spans="1:13">
      <c r="A7" s="251">
        <v>8</v>
      </c>
      <c r="B7" s="251">
        <v>4</v>
      </c>
      <c r="C7" s="259">
        <v>2015</v>
      </c>
      <c r="D7" s="115">
        <f t="shared" si="2"/>
        <v>42102</v>
      </c>
      <c r="E7" s="258">
        <f t="shared" si="0"/>
        <v>10.8</v>
      </c>
      <c r="G7" s="24"/>
      <c r="K7" s="101">
        <f t="shared" si="3"/>
        <v>42010</v>
      </c>
      <c r="L7" s="228" t="str">
        <f t="shared" si="1"/>
        <v/>
      </c>
      <c r="M7" s="116" t="str">
        <f>IFERROR(IF(VLOOKUP($K7,CSV!$B$17:$AK$190,36,0)&lt;=0,"",VLOOKUP($K7,CSV!$B$17:$AK$190,36,0)),"")</f>
        <v/>
      </c>
    </row>
    <row r="8" spans="1:13">
      <c r="A8" s="251">
        <v>15</v>
      </c>
      <c r="B8" s="251">
        <v>4</v>
      </c>
      <c r="C8" s="259">
        <v>2015</v>
      </c>
      <c r="D8" s="115">
        <f t="shared" si="2"/>
        <v>42109</v>
      </c>
      <c r="E8" s="258">
        <f t="shared" si="0"/>
        <v>10.8</v>
      </c>
      <c r="G8" s="24"/>
      <c r="K8" s="101">
        <f t="shared" si="3"/>
        <v>42011</v>
      </c>
      <c r="L8" s="228" t="str">
        <f t="shared" si="1"/>
        <v/>
      </c>
      <c r="M8" s="116" t="str">
        <f>IFERROR(IF(VLOOKUP($K8,CSV!$B$17:$AK$190,36,0)&lt;=0,"",VLOOKUP($K8,CSV!$B$17:$AK$190,36,0)),"")</f>
        <v/>
      </c>
    </row>
    <row r="9" spans="1:13">
      <c r="A9" s="251">
        <v>17</v>
      </c>
      <c r="B9" s="251">
        <v>4</v>
      </c>
      <c r="C9" s="259">
        <v>2015</v>
      </c>
      <c r="D9" s="115">
        <f t="shared" si="2"/>
        <v>42111</v>
      </c>
      <c r="E9" s="258">
        <f t="shared" si="0"/>
        <v>10.8</v>
      </c>
      <c r="G9" s="24"/>
      <c r="K9" s="101">
        <f t="shared" si="3"/>
        <v>42012</v>
      </c>
      <c r="L9" s="228" t="str">
        <f t="shared" si="1"/>
        <v/>
      </c>
      <c r="M9" s="116" t="str">
        <f>IFERROR(IF(VLOOKUP($K9,CSV!$B$17:$AK$190,36,0)&lt;=0,"",VLOOKUP($K9,CSV!$B$17:$AK$190,36,0)),"")</f>
        <v/>
      </c>
    </row>
    <row r="10" spans="1:13">
      <c r="A10" s="251">
        <v>19</v>
      </c>
      <c r="B10" s="251">
        <v>4</v>
      </c>
      <c r="C10" s="259">
        <v>2015</v>
      </c>
      <c r="D10" s="115"/>
      <c r="E10" s="258"/>
      <c r="G10" s="24"/>
      <c r="K10" s="101">
        <f t="shared" si="3"/>
        <v>42013</v>
      </c>
      <c r="L10" s="228" t="str">
        <f t="shared" si="1"/>
        <v/>
      </c>
      <c r="M10" s="116" t="str">
        <f>IFERROR(IF(VLOOKUP($K10,CSV!$B$17:$AK$190,36,0)&lt;=0,"",VLOOKUP($K10,CSV!$B$17:$AK$190,36,0)),"")</f>
        <v/>
      </c>
    </row>
    <row r="11" spans="1:13">
      <c r="A11" s="251">
        <v>25</v>
      </c>
      <c r="B11" s="251">
        <v>4</v>
      </c>
      <c r="C11" s="259">
        <v>2015</v>
      </c>
      <c r="D11" s="115">
        <f t="shared" ref="D11:D16" si="4">DATE(C11,B11,A11)</f>
        <v>42119</v>
      </c>
      <c r="E11" s="258">
        <f t="shared" si="0"/>
        <v>10.8</v>
      </c>
      <c r="G11" s="24"/>
      <c r="K11" s="101">
        <f t="shared" si="3"/>
        <v>42014</v>
      </c>
      <c r="L11" s="228" t="str">
        <f t="shared" si="1"/>
        <v/>
      </c>
      <c r="M11" s="116" t="str">
        <f>IFERROR(IF(VLOOKUP($K11,CSV!$B$17:$AK$190,36,0)&lt;=0,"",VLOOKUP($K11,CSV!$B$17:$AK$190,36,0)),"")</f>
        <v/>
      </c>
    </row>
    <row r="12" spans="1:13">
      <c r="A12" s="251">
        <v>30</v>
      </c>
      <c r="B12" s="251">
        <v>4</v>
      </c>
      <c r="C12" s="259">
        <v>2015</v>
      </c>
      <c r="D12" s="115">
        <f t="shared" si="4"/>
        <v>42124</v>
      </c>
      <c r="E12" s="258">
        <f t="shared" si="0"/>
        <v>10.8</v>
      </c>
      <c r="G12" s="24"/>
      <c r="K12" s="101">
        <f t="shared" si="3"/>
        <v>42015</v>
      </c>
      <c r="L12" s="228" t="str">
        <f t="shared" si="1"/>
        <v/>
      </c>
      <c r="M12" s="116" t="str">
        <f>IFERROR(IF(VLOOKUP($K12,CSV!$B$17:$AK$190,36,0)&lt;=0,"",VLOOKUP($K12,CSV!$B$17:$AK$190,36,0)),"")</f>
        <v/>
      </c>
    </row>
    <row r="13" spans="1:13">
      <c r="A13" s="251">
        <v>4</v>
      </c>
      <c r="B13" s="251">
        <v>5</v>
      </c>
      <c r="C13" s="259">
        <v>2015</v>
      </c>
      <c r="D13" s="115">
        <f t="shared" si="4"/>
        <v>42128</v>
      </c>
      <c r="E13" s="258">
        <f t="shared" si="0"/>
        <v>10.8</v>
      </c>
      <c r="G13" s="24"/>
      <c r="K13" s="101">
        <f t="shared" si="3"/>
        <v>42016</v>
      </c>
      <c r="L13" s="228" t="str">
        <f t="shared" si="1"/>
        <v/>
      </c>
      <c r="M13" s="116" t="str">
        <f>IFERROR(IF(VLOOKUP($K13,CSV!$B$17:$AK$190,36,0)&lt;=0,"",VLOOKUP($K13,CSV!$B$17:$AK$190,36,0)),"")</f>
        <v/>
      </c>
    </row>
    <row r="14" spans="1:13">
      <c r="A14" s="251">
        <v>8</v>
      </c>
      <c r="B14" s="251">
        <v>5</v>
      </c>
      <c r="C14" s="259">
        <v>2015</v>
      </c>
      <c r="D14" s="115">
        <f t="shared" si="4"/>
        <v>42132</v>
      </c>
      <c r="E14" s="258">
        <f t="shared" si="0"/>
        <v>10.8</v>
      </c>
      <c r="G14" s="24"/>
      <c r="K14" s="101">
        <f t="shared" si="3"/>
        <v>42017</v>
      </c>
      <c r="L14" s="228" t="str">
        <f t="shared" si="1"/>
        <v/>
      </c>
      <c r="M14" s="116" t="str">
        <f>IFERROR(IF(VLOOKUP($K14,CSV!$B$17:$AK$190,36,0)&lt;=0,"",VLOOKUP($K14,CSV!$B$17:$AK$190,36,0)),"")</f>
        <v/>
      </c>
    </row>
    <row r="15" spans="1:13">
      <c r="A15" s="251">
        <v>10</v>
      </c>
      <c r="B15" s="251">
        <v>5</v>
      </c>
      <c r="C15" s="259">
        <v>2015</v>
      </c>
      <c r="D15" s="115"/>
      <c r="E15" s="258"/>
      <c r="G15" s="24"/>
      <c r="K15" s="101">
        <f t="shared" si="3"/>
        <v>42018</v>
      </c>
      <c r="L15" s="228" t="str">
        <f t="shared" si="1"/>
        <v/>
      </c>
      <c r="M15" s="116" t="str">
        <f>IFERROR(IF(VLOOKUP($K15,CSV!$B$17:$AK$190,36,0)&lt;=0,"",VLOOKUP($K15,CSV!$B$17:$AK$190,36,0)),"")</f>
        <v/>
      </c>
    </row>
    <row r="16" spans="1:13">
      <c r="A16" s="251">
        <v>11</v>
      </c>
      <c r="B16" s="251">
        <v>5</v>
      </c>
      <c r="C16" s="259">
        <v>2015</v>
      </c>
      <c r="D16" s="115">
        <f t="shared" si="4"/>
        <v>42135</v>
      </c>
      <c r="E16" s="258">
        <v>14</v>
      </c>
      <c r="G16" s="24"/>
      <c r="K16" s="101">
        <f t="shared" si="3"/>
        <v>42019</v>
      </c>
      <c r="L16" s="228" t="str">
        <f t="shared" si="1"/>
        <v/>
      </c>
      <c r="M16" s="116" t="str">
        <f>IFERROR(IF(VLOOKUP($K16,CSV!$B$17:$AK$190,36,0)&lt;=0,"",VLOOKUP($K16,CSV!$B$17:$AK$190,36,0)),"")</f>
        <v/>
      </c>
    </row>
    <row r="17" spans="1:13">
      <c r="A17" s="251">
        <v>14</v>
      </c>
      <c r="B17" s="251">
        <v>5</v>
      </c>
      <c r="C17" s="259">
        <v>2015</v>
      </c>
      <c r="D17" s="115">
        <f>DATE(C17,B17,A17)</f>
        <v>42138</v>
      </c>
      <c r="E17" s="258">
        <v>14</v>
      </c>
      <c r="G17" s="24"/>
      <c r="K17" s="101">
        <f t="shared" si="3"/>
        <v>42020</v>
      </c>
      <c r="L17" s="228" t="str">
        <f t="shared" si="1"/>
        <v/>
      </c>
      <c r="M17" s="116" t="str">
        <f>IFERROR(IF(VLOOKUP($K17,CSV!$B$17:$AK$190,36,0)&lt;=0,"",VLOOKUP($K17,CSV!$B$17:$AK$190,36,0)),"")</f>
        <v/>
      </c>
    </row>
    <row r="18" spans="1:13">
      <c r="A18" s="251">
        <v>16</v>
      </c>
      <c r="B18" s="251">
        <v>5</v>
      </c>
      <c r="C18" s="259">
        <v>2015</v>
      </c>
      <c r="D18" s="115">
        <f>DATE(C18,B18,A18)</f>
        <v>42140</v>
      </c>
      <c r="E18" s="258">
        <v>18</v>
      </c>
      <c r="G18" s="24"/>
      <c r="K18" s="101">
        <f t="shared" si="3"/>
        <v>42021</v>
      </c>
      <c r="L18" s="228" t="str">
        <f t="shared" si="1"/>
        <v/>
      </c>
      <c r="M18" s="116" t="str">
        <f>IFERROR(IF(VLOOKUP($K18,CSV!$B$17:$AK$190,36,0)&lt;=0,"",VLOOKUP($K18,CSV!$B$17:$AK$190,36,0)),"")</f>
        <v/>
      </c>
    </row>
    <row r="19" spans="1:13">
      <c r="A19" s="251">
        <v>20</v>
      </c>
      <c r="B19" s="251">
        <v>5</v>
      </c>
      <c r="C19" s="259">
        <v>2015</v>
      </c>
      <c r="D19" s="115">
        <f>DATE(C19,B19,A19)</f>
        <v>42144</v>
      </c>
      <c r="E19" s="258">
        <v>18</v>
      </c>
      <c r="K19" s="101">
        <f t="shared" si="3"/>
        <v>42022</v>
      </c>
      <c r="L19" s="228" t="str">
        <f t="shared" si="1"/>
        <v/>
      </c>
      <c r="M19" s="116" t="str">
        <f>IFERROR(IF(VLOOKUP($K19,CSV!$B$17:$AK$190,36,0)&lt;=0,"",VLOOKUP($K19,CSV!$B$17:$AK$190,36,0)),"")</f>
        <v/>
      </c>
    </row>
    <row r="20" spans="1:13">
      <c r="A20" s="251">
        <v>22</v>
      </c>
      <c r="B20" s="251">
        <v>5</v>
      </c>
      <c r="C20" s="259">
        <v>2015</v>
      </c>
      <c r="D20" s="115">
        <f>DATE(C20,B20,A20)</f>
        <v>42146</v>
      </c>
      <c r="E20" s="258">
        <v>18</v>
      </c>
      <c r="K20" s="101">
        <f t="shared" si="3"/>
        <v>42023</v>
      </c>
      <c r="L20" s="228" t="str">
        <f t="shared" si="1"/>
        <v/>
      </c>
      <c r="M20" s="116" t="str">
        <f>IFERROR(IF(VLOOKUP($K20,CSV!$B$17:$AK$190,36,0)&lt;=0,"",VLOOKUP($K20,CSV!$B$17:$AK$190,36,0)),"")</f>
        <v/>
      </c>
    </row>
    <row r="21" spans="1:13">
      <c r="A21" s="251">
        <v>24</v>
      </c>
      <c r="B21" s="251">
        <v>5</v>
      </c>
      <c r="C21" s="259">
        <v>2015</v>
      </c>
      <c r="D21" s="115">
        <f>DATE(C21,B21,A21)</f>
        <v>42148</v>
      </c>
      <c r="E21" s="258">
        <v>21</v>
      </c>
      <c r="K21" s="101">
        <f t="shared" si="3"/>
        <v>42024</v>
      </c>
      <c r="L21" s="228" t="str">
        <f t="shared" si="1"/>
        <v/>
      </c>
      <c r="M21" s="116" t="str">
        <f>IFERROR(IF(VLOOKUP($K21,CSV!$B$17:$AK$190,36,0)&lt;=0,"",VLOOKUP($K21,CSV!$B$17:$AK$190,36,0)),"")</f>
        <v/>
      </c>
    </row>
    <row r="22" spans="1:13">
      <c r="A22" s="251">
        <v>30</v>
      </c>
      <c r="B22" s="251">
        <v>5</v>
      </c>
      <c r="C22" s="252">
        <v>2015</v>
      </c>
      <c r="D22" s="115">
        <f t="shared" ref="D22:D25" si="5">DATE(C22,B22,A22)</f>
        <v>42154</v>
      </c>
      <c r="E22" s="258">
        <v>21</v>
      </c>
      <c r="K22" s="101">
        <f t="shared" si="3"/>
        <v>42025</v>
      </c>
      <c r="L22" s="228" t="str">
        <f t="shared" si="1"/>
        <v/>
      </c>
      <c r="M22" s="116" t="str">
        <f>IFERROR(IF(VLOOKUP($K22,CSV!$B$17:$AK$190,36,0)&lt;=0,"",VLOOKUP($K22,CSV!$B$17:$AK$190,36,0)),"")</f>
        <v/>
      </c>
    </row>
    <row r="23" spans="1:13">
      <c r="A23" s="251">
        <v>2</v>
      </c>
      <c r="B23" s="251">
        <v>6</v>
      </c>
      <c r="C23" s="252">
        <v>2015</v>
      </c>
      <c r="D23" s="115">
        <f t="shared" si="5"/>
        <v>42157</v>
      </c>
      <c r="E23" s="258">
        <v>14</v>
      </c>
      <c r="K23" s="101">
        <f t="shared" si="3"/>
        <v>42026</v>
      </c>
      <c r="L23" s="228" t="str">
        <f t="shared" si="1"/>
        <v/>
      </c>
      <c r="M23" s="116" t="str">
        <f>IFERROR(IF(VLOOKUP($K23,CSV!$B$17:$AK$190,36,0)&lt;=0,"",VLOOKUP($K23,CSV!$B$17:$AK$190,36,0)),"")</f>
        <v/>
      </c>
    </row>
    <row r="24" spans="1:13">
      <c r="A24" s="251">
        <v>5</v>
      </c>
      <c r="B24" s="251">
        <v>6</v>
      </c>
      <c r="C24" s="252">
        <v>2015</v>
      </c>
      <c r="D24" s="115">
        <f t="shared" si="5"/>
        <v>42160</v>
      </c>
      <c r="E24" s="258">
        <f t="shared" si="0"/>
        <v>10.8</v>
      </c>
      <c r="K24" s="101">
        <f t="shared" si="3"/>
        <v>42027</v>
      </c>
      <c r="L24" s="228" t="str">
        <f t="shared" si="1"/>
        <v/>
      </c>
      <c r="M24" s="116" t="str">
        <f>IFERROR(IF(VLOOKUP($K24,CSV!$B$17:$AK$190,36,0)&lt;=0,"",VLOOKUP($K24,CSV!$B$17:$AK$190,36,0)),"")</f>
        <v/>
      </c>
    </row>
    <row r="25" spans="1:13">
      <c r="A25" s="251">
        <v>8</v>
      </c>
      <c r="B25" s="251">
        <v>6</v>
      </c>
      <c r="C25" s="252">
        <v>2015</v>
      </c>
      <c r="D25" s="115">
        <f t="shared" si="5"/>
        <v>42163</v>
      </c>
      <c r="E25" s="258">
        <f t="shared" si="0"/>
        <v>10.8</v>
      </c>
      <c r="K25" s="101">
        <f t="shared" si="3"/>
        <v>42028</v>
      </c>
      <c r="L25" s="228" t="str">
        <f t="shared" si="1"/>
        <v/>
      </c>
      <c r="M25" s="116" t="str">
        <f>IFERROR(IF(VLOOKUP($K25,CSV!$B$17:$AK$190,36,0)&lt;=0,"",VLOOKUP($K25,CSV!$B$17:$AK$190,36,0)),"")</f>
        <v/>
      </c>
    </row>
    <row r="26" spans="1:13">
      <c r="A26" s="251"/>
      <c r="B26" s="251"/>
      <c r="C26" s="252"/>
      <c r="D26" s="115"/>
      <c r="E26" s="122"/>
      <c r="K26" s="101">
        <f t="shared" si="3"/>
        <v>42029</v>
      </c>
      <c r="L26" s="228" t="str">
        <f t="shared" si="1"/>
        <v/>
      </c>
      <c r="M26" s="116" t="str">
        <f>IFERROR(IF(VLOOKUP($K26,CSV!$B$17:$AK$190,36,0)&lt;=0,"",VLOOKUP($K26,CSV!$B$17:$AK$190,36,0)),"")</f>
        <v/>
      </c>
    </row>
    <row r="27" spans="1:13">
      <c r="A27" s="251"/>
      <c r="B27" s="251"/>
      <c r="C27" s="252"/>
      <c r="D27" s="115"/>
      <c r="E27" s="122"/>
      <c r="K27" s="101">
        <f t="shared" si="3"/>
        <v>42030</v>
      </c>
      <c r="L27" s="228" t="str">
        <f t="shared" si="1"/>
        <v/>
      </c>
      <c r="M27" s="116" t="str">
        <f>IFERROR(IF(VLOOKUP($K27,CSV!$B$17:$AK$190,36,0)&lt;=0,"",VLOOKUP($K27,CSV!$B$17:$AK$190,36,0)),"")</f>
        <v/>
      </c>
    </row>
    <row r="28" spans="1:13">
      <c r="A28" s="2"/>
      <c r="B28" s="2"/>
      <c r="C28" s="2"/>
      <c r="D28" s="115"/>
      <c r="E28" s="122"/>
      <c r="K28" s="101">
        <f t="shared" si="3"/>
        <v>42031</v>
      </c>
      <c r="L28" s="228" t="str">
        <f t="shared" si="1"/>
        <v/>
      </c>
      <c r="M28" s="116" t="str">
        <f>IFERROR(IF(VLOOKUP($K28,CSV!$B$17:$AK$190,36,0)&lt;=0,"",VLOOKUP($K28,CSV!$B$17:$AK$190,36,0)),"")</f>
        <v/>
      </c>
    </row>
    <row r="29" spans="1:13">
      <c r="A29" s="2"/>
      <c r="B29" s="2"/>
      <c r="C29" s="2"/>
      <c r="D29" s="115"/>
      <c r="E29" s="122"/>
      <c r="K29" s="101">
        <f t="shared" si="3"/>
        <v>42032</v>
      </c>
      <c r="L29" s="228" t="str">
        <f t="shared" si="1"/>
        <v/>
      </c>
      <c r="M29" s="116" t="str">
        <f>IFERROR(IF(VLOOKUP($K29,CSV!$B$17:$AK$190,36,0)&lt;=0,"",VLOOKUP($K29,CSV!$B$17:$AK$190,36,0)),"")</f>
        <v/>
      </c>
    </row>
    <row r="30" spans="1:13">
      <c r="D30" s="69"/>
      <c r="E30" s="116"/>
      <c r="K30" s="101">
        <f t="shared" si="3"/>
        <v>42033</v>
      </c>
      <c r="L30" s="228" t="str">
        <f t="shared" si="1"/>
        <v/>
      </c>
      <c r="M30" s="116" t="str">
        <f>IFERROR(IF(VLOOKUP($K30,CSV!$B$17:$AK$190,36,0)&lt;=0,"",VLOOKUP($K30,CSV!$B$17:$AK$190,36,0)),"")</f>
        <v/>
      </c>
    </row>
    <row r="31" spans="1:13">
      <c r="D31" s="69"/>
      <c r="E31" s="116"/>
      <c r="K31" s="101">
        <f t="shared" si="3"/>
        <v>42034</v>
      </c>
      <c r="L31" s="228" t="str">
        <f t="shared" si="1"/>
        <v/>
      </c>
      <c r="M31" s="116" t="str">
        <f>IFERROR(IF(VLOOKUP($K31,CSV!$B$17:$AK$190,36,0)&lt;=0,"",VLOOKUP($K31,CSV!$B$17:$AK$190,36,0)),"")</f>
        <v/>
      </c>
    </row>
    <row r="32" spans="1:13">
      <c r="D32" s="69"/>
      <c r="E32" s="116"/>
      <c r="K32" s="101">
        <f t="shared" si="3"/>
        <v>42035</v>
      </c>
      <c r="L32" s="228" t="str">
        <f t="shared" si="1"/>
        <v/>
      </c>
      <c r="M32" s="116" t="str">
        <f>IFERROR(IF(VLOOKUP($K32,CSV!$B$17:$AK$190,36,0)&lt;=0,"",VLOOKUP($K32,CSV!$B$17:$AK$190,36,0)),"")</f>
        <v/>
      </c>
    </row>
    <row r="33" spans="4:13">
      <c r="D33" s="69"/>
      <c r="E33" s="116"/>
      <c r="K33" s="101">
        <f t="shared" si="3"/>
        <v>42036</v>
      </c>
      <c r="L33" s="228" t="str">
        <f t="shared" si="1"/>
        <v/>
      </c>
      <c r="M33" s="116" t="str">
        <f>IFERROR(IF(VLOOKUP($K33,CSV!$B$17:$AK$190,36,0)&lt;=0,"",VLOOKUP($K33,CSV!$B$17:$AK$190,36,0)),"")</f>
        <v/>
      </c>
    </row>
    <row r="34" spans="4:13">
      <c r="D34" s="69"/>
      <c r="E34" s="116"/>
      <c r="K34" s="101">
        <f t="shared" si="3"/>
        <v>42037</v>
      </c>
      <c r="L34" s="228" t="str">
        <f t="shared" si="1"/>
        <v/>
      </c>
      <c r="M34" s="116" t="str">
        <f>IFERROR(IF(VLOOKUP($K34,CSV!$B$17:$AK$190,36,0)&lt;=0,"",VLOOKUP($K34,CSV!$B$17:$AK$190,36,0)),"")</f>
        <v/>
      </c>
    </row>
    <row r="35" spans="4:13">
      <c r="D35" s="69"/>
      <c r="E35" s="116"/>
      <c r="K35" s="101">
        <f t="shared" si="3"/>
        <v>42038</v>
      </c>
      <c r="L35" s="228" t="str">
        <f t="shared" si="1"/>
        <v/>
      </c>
      <c r="M35" s="116" t="str">
        <f>IFERROR(IF(VLOOKUP($K35,CSV!$B$17:$AK$190,36,0)&lt;=0,"",VLOOKUP($K35,CSV!$B$17:$AK$190,36,0)),"")</f>
        <v/>
      </c>
    </row>
    <row r="36" spans="4:13">
      <c r="D36" s="69"/>
      <c r="E36" s="116"/>
      <c r="K36" s="101">
        <f t="shared" si="3"/>
        <v>42039</v>
      </c>
      <c r="L36" s="228" t="str">
        <f t="shared" si="1"/>
        <v/>
      </c>
      <c r="M36" s="116" t="str">
        <f>IFERROR(IF(VLOOKUP($K36,CSV!$B$17:$AK$190,36,0)&lt;=0,"",VLOOKUP($K36,CSV!$B$17:$AK$190,36,0)),"")</f>
        <v/>
      </c>
    </row>
    <row r="37" spans="4:13">
      <c r="D37" s="69"/>
      <c r="E37" s="116"/>
      <c r="K37" s="101">
        <f t="shared" si="3"/>
        <v>42040</v>
      </c>
      <c r="L37" s="228" t="str">
        <f t="shared" si="1"/>
        <v/>
      </c>
      <c r="M37" s="116" t="str">
        <f>IFERROR(IF(VLOOKUP($K37,CSV!$B$17:$AK$190,36,0)&lt;=0,"",VLOOKUP($K37,CSV!$B$17:$AK$190,36,0)),"")</f>
        <v/>
      </c>
    </row>
    <row r="38" spans="4:13">
      <c r="D38" s="69"/>
      <c r="E38" s="116"/>
      <c r="K38" s="101">
        <f t="shared" si="3"/>
        <v>42041</v>
      </c>
      <c r="L38" s="228" t="str">
        <f t="shared" si="1"/>
        <v/>
      </c>
      <c r="M38" s="116" t="str">
        <f>IFERROR(IF(VLOOKUP($K38,CSV!$B$17:$AK$190,36,0)&lt;=0,"",VLOOKUP($K38,CSV!$B$17:$AK$190,36,0)),"")</f>
        <v/>
      </c>
    </row>
    <row r="39" spans="4:13">
      <c r="D39" s="69"/>
      <c r="E39" s="116"/>
      <c r="K39" s="101">
        <f t="shared" si="3"/>
        <v>42042</v>
      </c>
      <c r="L39" s="228" t="str">
        <f t="shared" si="1"/>
        <v/>
      </c>
      <c r="M39" s="116" t="str">
        <f>IFERROR(IF(VLOOKUP($K39,CSV!$B$17:$AK$190,36,0)&lt;=0,"",VLOOKUP($K39,CSV!$B$17:$AK$190,36,0)),"")</f>
        <v/>
      </c>
    </row>
    <row r="40" spans="4:13">
      <c r="D40" s="69"/>
      <c r="E40" s="116"/>
      <c r="K40" s="101">
        <f t="shared" si="3"/>
        <v>42043</v>
      </c>
      <c r="L40" s="228" t="str">
        <f t="shared" si="1"/>
        <v/>
      </c>
      <c r="M40" s="116" t="str">
        <f>IFERROR(IF(VLOOKUP($K40,CSV!$B$17:$AK$190,36,0)&lt;=0,"",VLOOKUP($K40,CSV!$B$17:$AK$190,36,0)),"")</f>
        <v/>
      </c>
    </row>
    <row r="41" spans="4:13">
      <c r="D41" s="69"/>
      <c r="E41" s="116"/>
      <c r="K41" s="101">
        <f t="shared" si="3"/>
        <v>42044</v>
      </c>
      <c r="L41" s="228" t="str">
        <f t="shared" si="1"/>
        <v/>
      </c>
      <c r="M41" s="116" t="str">
        <f>IFERROR(IF(VLOOKUP($K41,CSV!$B$17:$AK$190,36,0)&lt;=0,"",VLOOKUP($K41,CSV!$B$17:$AK$190,36,0)),"")</f>
        <v/>
      </c>
    </row>
    <row r="42" spans="4:13">
      <c r="D42" s="69"/>
      <c r="E42" s="116"/>
      <c r="K42" s="101">
        <f t="shared" si="3"/>
        <v>42045</v>
      </c>
      <c r="L42" s="228" t="str">
        <f t="shared" si="1"/>
        <v/>
      </c>
      <c r="M42" s="116" t="str">
        <f>IFERROR(IF(VLOOKUP($K42,CSV!$B$17:$AK$190,36,0)&lt;=0,"",VLOOKUP($K42,CSV!$B$17:$AK$190,36,0)),"")</f>
        <v/>
      </c>
    </row>
    <row r="43" spans="4:13">
      <c r="D43" s="69"/>
      <c r="E43" s="116"/>
      <c r="K43" s="101">
        <f t="shared" si="3"/>
        <v>42046</v>
      </c>
      <c r="L43" s="228" t="str">
        <f t="shared" si="1"/>
        <v/>
      </c>
      <c r="M43" s="116" t="str">
        <f>IFERROR(IF(VLOOKUP($K43,CSV!$B$17:$AK$190,36,0)&lt;=0,"",VLOOKUP($K43,CSV!$B$17:$AK$190,36,0)),"")</f>
        <v/>
      </c>
    </row>
    <row r="44" spans="4:13">
      <c r="D44" s="69"/>
      <c r="E44" s="116"/>
      <c r="K44" s="101">
        <f t="shared" si="3"/>
        <v>42047</v>
      </c>
      <c r="L44" s="228" t="str">
        <f t="shared" si="1"/>
        <v/>
      </c>
      <c r="M44" s="116" t="str">
        <f>IFERROR(IF(VLOOKUP($K44,CSV!$B$17:$AK$190,36,0)&lt;=0,"",VLOOKUP($K44,CSV!$B$17:$AK$190,36,0)),"")</f>
        <v/>
      </c>
    </row>
    <row r="45" spans="4:13">
      <c r="D45" s="69"/>
      <c r="E45" s="116"/>
      <c r="K45" s="101">
        <f t="shared" si="3"/>
        <v>42048</v>
      </c>
      <c r="L45" s="228" t="str">
        <f t="shared" si="1"/>
        <v/>
      </c>
      <c r="M45" s="116" t="str">
        <f>IFERROR(IF(VLOOKUP($K45,CSV!$B$17:$AK$190,36,0)&lt;=0,"",VLOOKUP($K45,CSV!$B$17:$AK$190,36,0)),"")</f>
        <v/>
      </c>
    </row>
    <row r="46" spans="4:13">
      <c r="D46" s="69"/>
      <c r="E46" s="116"/>
      <c r="K46" s="101">
        <f t="shared" si="3"/>
        <v>42049</v>
      </c>
      <c r="L46" s="228" t="str">
        <f t="shared" si="1"/>
        <v/>
      </c>
      <c r="M46" s="116" t="str">
        <f>IFERROR(IF(VLOOKUP($K46,CSV!$B$17:$AK$190,36,0)&lt;=0,"",VLOOKUP($K46,CSV!$B$17:$AK$190,36,0)),"")</f>
        <v/>
      </c>
    </row>
    <row r="47" spans="4:13">
      <c r="D47" s="69"/>
      <c r="E47" s="116"/>
      <c r="K47" s="101">
        <f t="shared" si="3"/>
        <v>42050</v>
      </c>
      <c r="L47" s="228" t="str">
        <f t="shared" si="1"/>
        <v/>
      </c>
      <c r="M47" s="116">
        <f>IFERROR(IF(VLOOKUP($K47,CSV!$B$17:$AK$190,36,0)&lt;=0,"",VLOOKUP($K47,CSV!$B$17:$AK$190,36,0)),"")</f>
        <v>7.6</v>
      </c>
    </row>
    <row r="48" spans="4:13">
      <c r="D48" s="69"/>
      <c r="E48" s="116"/>
      <c r="K48" s="101">
        <f t="shared" si="3"/>
        <v>42051</v>
      </c>
      <c r="L48" s="228" t="str">
        <f t="shared" si="1"/>
        <v/>
      </c>
      <c r="M48" s="116" t="str">
        <f>IFERROR(IF(VLOOKUP($K48,CSV!$B$17:$AK$190,36,0)&lt;=0,"",VLOOKUP($K48,CSV!$B$17:$AK$190,36,0)),"")</f>
        <v/>
      </c>
    </row>
    <row r="49" spans="4:13">
      <c r="D49" s="69"/>
      <c r="E49" s="116"/>
      <c r="K49" s="101">
        <f t="shared" si="3"/>
        <v>42052</v>
      </c>
      <c r="L49" s="228" t="str">
        <f t="shared" si="1"/>
        <v/>
      </c>
      <c r="M49" s="116" t="str">
        <f>IFERROR(IF(VLOOKUP($K49,CSV!$B$17:$AK$190,36,0)&lt;=0,"",VLOOKUP($K49,CSV!$B$17:$AK$190,36,0)),"")</f>
        <v/>
      </c>
    </row>
    <row r="50" spans="4:13">
      <c r="D50" s="69"/>
      <c r="E50" s="116"/>
      <c r="K50" s="101">
        <f t="shared" si="3"/>
        <v>42053</v>
      </c>
      <c r="L50" s="228" t="str">
        <f t="shared" si="1"/>
        <v/>
      </c>
      <c r="M50" s="116" t="str">
        <f>IFERROR(IF(VLOOKUP($K50,CSV!$B$17:$AK$190,36,0)&lt;=0,"",VLOOKUP($K50,CSV!$B$17:$AK$190,36,0)),"")</f>
        <v/>
      </c>
    </row>
    <row r="51" spans="4:13">
      <c r="D51" s="69"/>
      <c r="E51" s="116"/>
      <c r="K51" s="101">
        <f t="shared" si="3"/>
        <v>42054</v>
      </c>
      <c r="L51" s="228" t="str">
        <f t="shared" si="1"/>
        <v/>
      </c>
      <c r="M51" s="116" t="str">
        <f>IFERROR(IF(VLOOKUP($K51,CSV!$B$17:$AK$190,36,0)&lt;=0,"",VLOOKUP($K51,CSV!$B$17:$AK$190,36,0)),"")</f>
        <v/>
      </c>
    </row>
    <row r="52" spans="4:13">
      <c r="D52" s="69"/>
      <c r="E52" s="116"/>
      <c r="K52" s="101">
        <f t="shared" si="3"/>
        <v>42055</v>
      </c>
      <c r="L52" s="228" t="str">
        <f t="shared" si="1"/>
        <v/>
      </c>
      <c r="M52" s="116" t="str">
        <f>IFERROR(IF(VLOOKUP($K52,CSV!$B$17:$AK$190,36,0)&lt;=0,"",VLOOKUP($K52,CSV!$B$17:$AK$190,36,0)),"")</f>
        <v/>
      </c>
    </row>
    <row r="53" spans="4:13">
      <c r="D53" s="69"/>
      <c r="E53" s="116"/>
      <c r="K53" s="101">
        <f t="shared" si="3"/>
        <v>42056</v>
      </c>
      <c r="L53" s="228" t="str">
        <f t="shared" si="1"/>
        <v/>
      </c>
      <c r="M53" s="116">
        <f>IFERROR(IF(VLOOKUP($K53,CSV!$B$17:$AK$190,36,0)&lt;=0,"",VLOOKUP($K53,CSV!$B$17:$AK$190,36,0)),"")</f>
        <v>6.3</v>
      </c>
    </row>
    <row r="54" spans="4:13">
      <c r="D54" s="69"/>
      <c r="E54" s="116"/>
      <c r="K54" s="101">
        <f t="shared" si="3"/>
        <v>42057</v>
      </c>
      <c r="L54" s="228" t="str">
        <f t="shared" si="1"/>
        <v/>
      </c>
      <c r="M54" s="116" t="str">
        <f>IFERROR(IF(VLOOKUP($K54,CSV!$B$17:$AK$190,36,0)&lt;=0,"",VLOOKUP($K54,CSV!$B$17:$AK$190,36,0)),"")</f>
        <v/>
      </c>
    </row>
    <row r="55" spans="4:13">
      <c r="D55" s="69"/>
      <c r="E55" s="116"/>
      <c r="K55" s="101">
        <f t="shared" si="3"/>
        <v>42058</v>
      </c>
      <c r="L55" s="228" t="str">
        <f t="shared" si="1"/>
        <v/>
      </c>
      <c r="M55" s="116" t="str">
        <f>IFERROR(IF(VLOOKUP($K55,CSV!$B$17:$AK$190,36,0)&lt;=0,"",VLOOKUP($K55,CSV!$B$17:$AK$190,36,0)),"")</f>
        <v/>
      </c>
    </row>
    <row r="56" spans="4:13">
      <c r="D56" s="69"/>
      <c r="E56" s="116"/>
      <c r="K56" s="101">
        <f t="shared" si="3"/>
        <v>42059</v>
      </c>
      <c r="L56" s="228" t="str">
        <f t="shared" si="1"/>
        <v/>
      </c>
      <c r="M56" s="116" t="str">
        <f>IFERROR(IF(VLOOKUP($K56,CSV!$B$17:$AK$190,36,0)&lt;=0,"",VLOOKUP($K56,CSV!$B$17:$AK$190,36,0)),"")</f>
        <v/>
      </c>
    </row>
    <row r="57" spans="4:13">
      <c r="D57" s="69"/>
      <c r="E57" s="116"/>
      <c r="K57" s="101">
        <f t="shared" si="3"/>
        <v>42060</v>
      </c>
      <c r="L57" s="228" t="str">
        <f t="shared" si="1"/>
        <v/>
      </c>
      <c r="M57" s="116" t="str">
        <f>IFERROR(IF(VLOOKUP($K57,CSV!$B$17:$AK$190,36,0)&lt;=0,"",VLOOKUP($K57,CSV!$B$17:$AK$190,36,0)),"")</f>
        <v/>
      </c>
    </row>
    <row r="58" spans="4:13">
      <c r="D58" s="69"/>
      <c r="E58" s="116"/>
      <c r="K58" s="101">
        <f t="shared" si="3"/>
        <v>42061</v>
      </c>
      <c r="L58" s="228" t="str">
        <f t="shared" si="1"/>
        <v/>
      </c>
      <c r="M58" s="116" t="str">
        <f>IFERROR(IF(VLOOKUP($K58,CSV!$B$17:$AK$190,36,0)&lt;=0,"",VLOOKUP($K58,CSV!$B$17:$AK$190,36,0)),"")</f>
        <v/>
      </c>
    </row>
    <row r="59" spans="4:13">
      <c r="D59" s="69"/>
      <c r="E59" s="116"/>
      <c r="K59" s="101">
        <f t="shared" si="3"/>
        <v>42062</v>
      </c>
      <c r="L59" s="228" t="str">
        <f t="shared" si="1"/>
        <v/>
      </c>
      <c r="M59" s="116" t="str">
        <f>IFERROR(IF(VLOOKUP($K59,CSV!$B$17:$AK$190,36,0)&lt;=0,"",VLOOKUP($K59,CSV!$B$17:$AK$190,36,0)),"")</f>
        <v/>
      </c>
    </row>
    <row r="60" spans="4:13">
      <c r="D60" s="69"/>
      <c r="E60" s="116"/>
      <c r="K60" s="101">
        <f t="shared" si="3"/>
        <v>42063</v>
      </c>
      <c r="L60" s="228" t="str">
        <f t="shared" si="1"/>
        <v/>
      </c>
      <c r="M60" s="116" t="str">
        <f>IFERROR(IF(VLOOKUP($K60,CSV!$B$17:$AK$190,36,0)&lt;=0,"",VLOOKUP($K60,CSV!$B$17:$AK$190,36,0)),"")</f>
        <v/>
      </c>
    </row>
    <row r="61" spans="4:13">
      <c r="D61" s="69"/>
      <c r="E61" s="116"/>
      <c r="K61" s="101">
        <f t="shared" si="3"/>
        <v>42064</v>
      </c>
      <c r="L61" s="228" t="str">
        <f t="shared" si="1"/>
        <v/>
      </c>
      <c r="M61" s="116">
        <f>IFERROR(IF(VLOOKUP($K61,CSV!$B$17:$AK$190,36,0)&lt;=0,"",VLOOKUP($K61,CSV!$B$17:$AK$190,36,0)),"")</f>
        <v>7.6</v>
      </c>
    </row>
    <row r="62" spans="4:13">
      <c r="D62" s="69"/>
      <c r="E62" s="116"/>
      <c r="K62" s="101">
        <f t="shared" si="3"/>
        <v>42065</v>
      </c>
      <c r="L62" s="228" t="str">
        <f t="shared" si="1"/>
        <v/>
      </c>
      <c r="M62" s="116" t="str">
        <f>IFERROR(IF(VLOOKUP($K62,CSV!$B$17:$AK$190,36,0)&lt;=0,"",VLOOKUP($K62,CSV!$B$17:$AK$190,36,0)),"")</f>
        <v/>
      </c>
    </row>
    <row r="63" spans="4:13">
      <c r="D63" s="69"/>
      <c r="E63" s="116"/>
      <c r="K63" s="101">
        <f t="shared" si="3"/>
        <v>42066</v>
      </c>
      <c r="L63" s="228" t="str">
        <f t="shared" si="1"/>
        <v/>
      </c>
      <c r="M63" s="116" t="str">
        <f>IFERROR(IF(VLOOKUP($K63,CSV!$B$17:$AK$190,36,0)&lt;=0,"",VLOOKUP($K63,CSV!$B$17:$AK$190,36,0)),"")</f>
        <v/>
      </c>
    </row>
    <row r="64" spans="4:13">
      <c r="D64" s="69"/>
      <c r="E64" s="116"/>
      <c r="K64" s="101">
        <f t="shared" si="3"/>
        <v>42067</v>
      </c>
      <c r="L64" s="228" t="str">
        <f t="shared" si="1"/>
        <v/>
      </c>
      <c r="M64" s="116" t="str">
        <f>IFERROR(IF(VLOOKUP($K64,CSV!$B$17:$AK$190,36,0)&lt;=0,"",VLOOKUP($K64,CSV!$B$17:$AK$190,36,0)),"")</f>
        <v/>
      </c>
    </row>
    <row r="65" spans="4:13">
      <c r="D65" s="69"/>
      <c r="E65" s="116"/>
      <c r="K65" s="101">
        <f t="shared" si="3"/>
        <v>42068</v>
      </c>
      <c r="L65" s="228" t="str">
        <f t="shared" si="1"/>
        <v/>
      </c>
      <c r="M65" s="116" t="str">
        <f>IFERROR(IF(VLOOKUP($K65,CSV!$B$17:$AK$190,36,0)&lt;=0,"",VLOOKUP($K65,CSV!$B$17:$AK$190,36,0)),"")</f>
        <v/>
      </c>
    </row>
    <row r="66" spans="4:13">
      <c r="D66" s="69"/>
      <c r="E66" s="116"/>
      <c r="K66" s="101">
        <f t="shared" si="3"/>
        <v>42069</v>
      </c>
      <c r="L66" s="228" t="str">
        <f t="shared" si="1"/>
        <v/>
      </c>
      <c r="M66" s="116" t="str">
        <f>IFERROR(IF(VLOOKUP($K66,CSV!$B$17:$AK$190,36,0)&lt;=0,"",VLOOKUP($K66,CSV!$B$17:$AK$190,36,0)),"")</f>
        <v/>
      </c>
    </row>
    <row r="67" spans="4:13">
      <c r="D67" s="69"/>
      <c r="E67" s="116"/>
      <c r="K67" s="101">
        <f t="shared" si="3"/>
        <v>42070</v>
      </c>
      <c r="L67" s="228" t="str">
        <f t="shared" ref="L67:L130" si="6">IFERROR(IF(IF(AND(K67&lt;MAX($D$2:$D$31),ISERROR(VLOOKUP(K67,$D$2:$E$31,2,FALSE))),0,VLOOKUP(K67,$D$2:$E$31,2,FALSE))&lt;=0,"",IF(AND(K67&lt;MAX($D$2:$D$31),ISERROR(VLOOKUP(K67,$D$2:$E$31,2,FALSE))),0,VLOOKUP(K67,$D$2:$E$31,2,FALSE))),"")</f>
        <v/>
      </c>
      <c r="M67" s="116" t="str">
        <f>IFERROR(IF(VLOOKUP($K67,CSV!$B$17:$AK$190,36,0)&lt;=0,"",VLOOKUP($K67,CSV!$B$17:$AK$190,36,0)),"")</f>
        <v/>
      </c>
    </row>
    <row r="68" spans="4:13">
      <c r="D68" s="69"/>
      <c r="E68" s="116"/>
      <c r="K68" s="101">
        <f t="shared" ref="K68:K131" si="7">K67+1</f>
        <v>42071</v>
      </c>
      <c r="L68" s="228" t="str">
        <f t="shared" si="6"/>
        <v/>
      </c>
      <c r="M68" s="116">
        <f>IFERROR(IF(VLOOKUP($K68,CSV!$B$17:$AK$190,36,0)&lt;=0,"",VLOOKUP($K68,CSV!$B$17:$AK$190,36,0)),"")</f>
        <v>6.3</v>
      </c>
    </row>
    <row r="69" spans="4:13">
      <c r="D69" s="69"/>
      <c r="E69" s="116"/>
      <c r="K69" s="101">
        <f t="shared" si="7"/>
        <v>42072</v>
      </c>
      <c r="L69" s="228">
        <f t="shared" si="6"/>
        <v>10.8</v>
      </c>
      <c r="M69" s="116" t="str">
        <f>IFERROR(IF(VLOOKUP($K69,CSV!$B$17:$AK$190,36,0)&lt;=0,"",VLOOKUP($K69,CSV!$B$17:$AK$190,36,0)),"")</f>
        <v/>
      </c>
    </row>
    <row r="70" spans="4:13">
      <c r="D70" s="69"/>
      <c r="E70" s="116"/>
      <c r="K70" s="101">
        <f t="shared" si="7"/>
        <v>42073</v>
      </c>
      <c r="L70" s="228" t="str">
        <f t="shared" si="6"/>
        <v/>
      </c>
      <c r="M70" s="116" t="str">
        <f>IFERROR(IF(VLOOKUP($K70,CSV!$B$17:$AK$190,36,0)&lt;=0,"",VLOOKUP($K70,CSV!$B$17:$AK$190,36,0)),"")</f>
        <v/>
      </c>
    </row>
    <row r="71" spans="4:13">
      <c r="D71" s="69"/>
      <c r="E71" s="116"/>
      <c r="K71" s="101">
        <f t="shared" si="7"/>
        <v>42074</v>
      </c>
      <c r="L71" s="228" t="str">
        <f t="shared" si="6"/>
        <v/>
      </c>
      <c r="M71" s="116" t="str">
        <f>IFERROR(IF(VLOOKUP($K71,CSV!$B$17:$AK$190,36,0)&lt;=0,"",VLOOKUP($K71,CSV!$B$17:$AK$190,36,0)),"")</f>
        <v/>
      </c>
    </row>
    <row r="72" spans="4:13">
      <c r="D72" s="69"/>
      <c r="E72" s="116"/>
      <c r="K72" s="101">
        <f t="shared" si="7"/>
        <v>42075</v>
      </c>
      <c r="L72" s="228" t="str">
        <f t="shared" si="6"/>
        <v/>
      </c>
      <c r="M72" s="116" t="str">
        <f>IFERROR(IF(VLOOKUP($K72,CSV!$B$17:$AK$190,36,0)&lt;=0,"",VLOOKUP($K72,CSV!$B$17:$AK$190,36,0)),"")</f>
        <v/>
      </c>
    </row>
    <row r="73" spans="4:13">
      <c r="D73" s="69"/>
      <c r="E73" s="116"/>
      <c r="K73" s="101">
        <f t="shared" si="7"/>
        <v>42076</v>
      </c>
      <c r="L73" s="228" t="str">
        <f t="shared" si="6"/>
        <v/>
      </c>
      <c r="M73" s="116" t="str">
        <f>IFERROR(IF(VLOOKUP($K73,CSV!$B$17:$AK$190,36,0)&lt;=0,"",VLOOKUP($K73,CSV!$B$17:$AK$190,36,0)),"")</f>
        <v/>
      </c>
    </row>
    <row r="74" spans="4:13">
      <c r="D74" s="69"/>
      <c r="E74" s="116"/>
      <c r="K74" s="101">
        <f t="shared" si="7"/>
        <v>42077</v>
      </c>
      <c r="L74" s="228" t="str">
        <f t="shared" si="6"/>
        <v/>
      </c>
      <c r="M74" s="116" t="str">
        <f>IFERROR(IF(VLOOKUP($K74,CSV!$B$17:$AK$190,36,0)&lt;=0,"",VLOOKUP($K74,CSV!$B$17:$AK$190,36,0)),"")</f>
        <v/>
      </c>
    </row>
    <row r="75" spans="4:13">
      <c r="D75" s="69"/>
      <c r="E75" s="116"/>
      <c r="K75" s="101">
        <f t="shared" si="7"/>
        <v>42078</v>
      </c>
      <c r="L75" s="228" t="str">
        <f t="shared" si="6"/>
        <v/>
      </c>
      <c r="M75" s="116">
        <f>IFERROR(IF(VLOOKUP($K75,CSV!$B$17:$AK$190,36,0)&lt;=0,"",VLOOKUP($K75,CSV!$B$17:$AK$190,36,0)),"")</f>
        <v>8.4</v>
      </c>
    </row>
    <row r="76" spans="4:13">
      <c r="D76" s="69"/>
      <c r="E76" s="116"/>
      <c r="K76" s="101">
        <f t="shared" si="7"/>
        <v>42079</v>
      </c>
      <c r="L76" s="228" t="str">
        <f t="shared" si="6"/>
        <v/>
      </c>
      <c r="M76" s="116" t="str">
        <f>IFERROR(IF(VLOOKUP($K76,CSV!$B$17:$AK$190,36,0)&lt;=0,"",VLOOKUP($K76,CSV!$B$17:$AK$190,36,0)),"")</f>
        <v/>
      </c>
    </row>
    <row r="77" spans="4:13">
      <c r="D77" s="69"/>
      <c r="E77" s="116"/>
      <c r="K77" s="101">
        <f t="shared" si="7"/>
        <v>42080</v>
      </c>
      <c r="L77" s="228" t="str">
        <f t="shared" si="6"/>
        <v/>
      </c>
      <c r="M77" s="116" t="str">
        <f>IFERROR(IF(VLOOKUP($K77,CSV!$B$17:$AK$190,36,0)&lt;=0,"",VLOOKUP($K77,CSV!$B$17:$AK$190,36,0)),"")</f>
        <v/>
      </c>
    </row>
    <row r="78" spans="4:13">
      <c r="D78" s="69"/>
      <c r="E78" s="116"/>
      <c r="K78" s="101">
        <f t="shared" si="7"/>
        <v>42081</v>
      </c>
      <c r="L78" s="228" t="str">
        <f t="shared" si="6"/>
        <v/>
      </c>
      <c r="M78" s="116" t="str">
        <f>IFERROR(IF(VLOOKUP($K78,CSV!$B$17:$AK$190,36,0)&lt;=0,"",VLOOKUP($K78,CSV!$B$17:$AK$190,36,0)),"")</f>
        <v/>
      </c>
    </row>
    <row r="79" spans="4:13">
      <c r="D79" s="69"/>
      <c r="E79" s="116"/>
      <c r="K79" s="101">
        <f t="shared" si="7"/>
        <v>42082</v>
      </c>
      <c r="L79" s="228" t="str">
        <f t="shared" si="6"/>
        <v/>
      </c>
      <c r="M79" s="116" t="str">
        <f>IFERROR(IF(VLOOKUP($K79,CSV!$B$17:$AK$190,36,0)&lt;=0,"",VLOOKUP($K79,CSV!$B$17:$AK$190,36,0)),"")</f>
        <v/>
      </c>
    </row>
    <row r="80" spans="4:13">
      <c r="D80" s="69"/>
      <c r="E80" s="116"/>
      <c r="K80" s="101">
        <f t="shared" si="7"/>
        <v>42083</v>
      </c>
      <c r="L80" s="228" t="str">
        <f t="shared" si="6"/>
        <v/>
      </c>
      <c r="M80" s="116" t="str">
        <f>IFERROR(IF(VLOOKUP($K80,CSV!$B$17:$AK$190,36,0)&lt;=0,"",VLOOKUP($K80,CSV!$B$17:$AK$190,36,0)),"")</f>
        <v/>
      </c>
    </row>
    <row r="81" spans="4:13">
      <c r="D81" s="69"/>
      <c r="E81" s="116"/>
      <c r="K81" s="101">
        <f t="shared" si="7"/>
        <v>42084</v>
      </c>
      <c r="L81" s="228" t="str">
        <f t="shared" si="6"/>
        <v/>
      </c>
      <c r="M81" s="116" t="str">
        <f>IFERROR(IF(VLOOKUP($K81,CSV!$B$17:$AK$190,36,0)&lt;=0,"",VLOOKUP($K81,CSV!$B$17:$AK$190,36,0)),"")</f>
        <v/>
      </c>
    </row>
    <row r="82" spans="4:13">
      <c r="D82" s="69"/>
      <c r="E82" s="116"/>
      <c r="K82" s="101">
        <f t="shared" si="7"/>
        <v>42085</v>
      </c>
      <c r="L82" s="228" t="str">
        <f t="shared" si="6"/>
        <v/>
      </c>
      <c r="M82" s="116" t="str">
        <f>IFERROR(IF(VLOOKUP($K82,CSV!$B$17:$AK$190,36,0)&lt;=0,"",VLOOKUP($K82,CSV!$B$17:$AK$190,36,0)),"")</f>
        <v/>
      </c>
    </row>
    <row r="83" spans="4:13">
      <c r="D83" s="69"/>
      <c r="E83" s="116"/>
      <c r="K83" s="101">
        <f t="shared" si="7"/>
        <v>42086</v>
      </c>
      <c r="L83" s="228" t="str">
        <f t="shared" si="6"/>
        <v/>
      </c>
      <c r="M83" s="116" t="str">
        <f>IFERROR(IF(VLOOKUP($K83,CSV!$B$17:$AK$190,36,0)&lt;=0,"",VLOOKUP($K83,CSV!$B$17:$AK$190,36,0)),"")</f>
        <v/>
      </c>
    </row>
    <row r="84" spans="4:13">
      <c r="D84" s="69"/>
      <c r="E84" s="116"/>
      <c r="K84" s="101">
        <f t="shared" si="7"/>
        <v>42087</v>
      </c>
      <c r="L84" s="228" t="str">
        <f t="shared" si="6"/>
        <v/>
      </c>
      <c r="M84" s="116" t="str">
        <f>IFERROR(IF(VLOOKUP($K84,CSV!$B$17:$AK$190,36,0)&lt;=0,"",VLOOKUP($K84,CSV!$B$17:$AK$190,36,0)),"")</f>
        <v/>
      </c>
    </row>
    <row r="85" spans="4:13">
      <c r="D85" s="69"/>
      <c r="E85" s="116"/>
      <c r="K85" s="101">
        <f t="shared" si="7"/>
        <v>42088</v>
      </c>
      <c r="L85" s="228">
        <f t="shared" si="6"/>
        <v>10.8</v>
      </c>
      <c r="M85" s="116" t="str">
        <f>IFERROR(IF(VLOOKUP($K85,CSV!$B$17:$AK$190,36,0)&lt;=0,"",VLOOKUP($K85,CSV!$B$17:$AK$190,36,0)),"")</f>
        <v/>
      </c>
    </row>
    <row r="86" spans="4:13">
      <c r="D86" s="69"/>
      <c r="E86" s="116"/>
      <c r="K86" s="101">
        <f t="shared" si="7"/>
        <v>42089</v>
      </c>
      <c r="L86" s="228" t="str">
        <f t="shared" si="6"/>
        <v/>
      </c>
      <c r="M86" s="116" t="str">
        <f>IFERROR(IF(VLOOKUP($K86,CSV!$B$17:$AK$190,36,0)&lt;=0,"",VLOOKUP($K86,CSV!$B$17:$AK$190,36,0)),"")</f>
        <v/>
      </c>
    </row>
    <row r="87" spans="4:13">
      <c r="D87" s="69"/>
      <c r="E87" s="116"/>
      <c r="K87" s="101">
        <f t="shared" si="7"/>
        <v>42090</v>
      </c>
      <c r="L87" s="228" t="str">
        <f t="shared" si="6"/>
        <v/>
      </c>
      <c r="M87" s="116" t="str">
        <f>IFERROR(IF(VLOOKUP($K87,CSV!$B$17:$AK$190,36,0)&lt;=0,"",VLOOKUP($K87,CSV!$B$17:$AK$190,36,0)),"")</f>
        <v/>
      </c>
    </row>
    <row r="88" spans="4:13">
      <c r="D88" s="69"/>
      <c r="E88" s="116"/>
      <c r="K88" s="101">
        <f t="shared" si="7"/>
        <v>42091</v>
      </c>
      <c r="L88" s="228">
        <f t="shared" si="6"/>
        <v>10.8</v>
      </c>
      <c r="M88" s="116" t="str">
        <f>IFERROR(IF(VLOOKUP($K88,CSV!$B$17:$AK$190,36,0)&lt;=0,"",VLOOKUP($K88,CSV!$B$17:$AK$190,36,0)),"")</f>
        <v/>
      </c>
    </row>
    <row r="89" spans="4:13">
      <c r="D89" s="69"/>
      <c r="E89" s="116"/>
      <c r="K89" s="101">
        <f t="shared" si="7"/>
        <v>42092</v>
      </c>
      <c r="L89" s="228" t="str">
        <f t="shared" si="6"/>
        <v/>
      </c>
      <c r="M89" s="116" t="str">
        <f>IFERROR(IF(VLOOKUP($K89,CSV!$B$17:$AK$190,36,0)&lt;=0,"",VLOOKUP($K89,CSV!$B$17:$AK$190,36,0)),"")</f>
        <v/>
      </c>
    </row>
    <row r="90" spans="4:13">
      <c r="D90" s="69"/>
      <c r="E90" s="116"/>
      <c r="K90" s="101">
        <f t="shared" si="7"/>
        <v>42093</v>
      </c>
      <c r="L90" s="228">
        <f t="shared" si="6"/>
        <v>10.8</v>
      </c>
      <c r="M90" s="116" t="str">
        <f>IFERROR(IF(VLOOKUP($K90,CSV!$B$17:$AK$190,36,0)&lt;=0,"",VLOOKUP($K90,CSV!$B$17:$AK$190,36,0)),"")</f>
        <v/>
      </c>
    </row>
    <row r="91" spans="4:13">
      <c r="D91" s="69"/>
      <c r="E91" s="116"/>
      <c r="K91" s="101">
        <f t="shared" si="7"/>
        <v>42094</v>
      </c>
      <c r="L91" s="228" t="str">
        <f t="shared" si="6"/>
        <v/>
      </c>
      <c r="M91" s="116" t="str">
        <f>IFERROR(IF(VLOOKUP($K91,CSV!$B$17:$AK$190,36,0)&lt;=0,"",VLOOKUP($K91,CSV!$B$17:$AK$190,36,0)),"")</f>
        <v/>
      </c>
    </row>
    <row r="92" spans="4:13">
      <c r="D92" s="69"/>
      <c r="E92" s="116"/>
      <c r="K92" s="101">
        <f t="shared" si="7"/>
        <v>42095</v>
      </c>
      <c r="L92" s="228" t="str">
        <f t="shared" si="6"/>
        <v/>
      </c>
      <c r="M92" s="116" t="str">
        <f>IFERROR(IF(VLOOKUP($K92,CSV!$B$17:$AK$190,36,0)&lt;=0,"",VLOOKUP($K92,CSV!$B$17:$AK$190,36,0)),"")</f>
        <v/>
      </c>
    </row>
    <row r="93" spans="4:13">
      <c r="D93" s="69"/>
      <c r="E93" s="116"/>
      <c r="K93" s="101">
        <f t="shared" si="7"/>
        <v>42096</v>
      </c>
      <c r="L93" s="228" t="str">
        <f t="shared" si="6"/>
        <v/>
      </c>
      <c r="M93" s="116" t="str">
        <f>IFERROR(IF(VLOOKUP($K93,CSV!$B$17:$AK$190,36,0)&lt;=0,"",VLOOKUP($K93,CSV!$B$17:$AK$190,36,0)),"")</f>
        <v/>
      </c>
    </row>
    <row r="94" spans="4:13">
      <c r="D94" s="69"/>
      <c r="E94" s="116"/>
      <c r="K94" s="101">
        <f t="shared" si="7"/>
        <v>42097</v>
      </c>
      <c r="L94" s="228">
        <f t="shared" si="6"/>
        <v>10.8</v>
      </c>
      <c r="M94" s="116" t="str">
        <f>IFERROR(IF(VLOOKUP($K94,CSV!$B$17:$AK$190,36,0)&lt;=0,"",VLOOKUP($K94,CSV!$B$17:$AK$190,36,0)),"")</f>
        <v/>
      </c>
    </row>
    <row r="95" spans="4:13">
      <c r="D95" s="69"/>
      <c r="E95" s="116"/>
      <c r="K95" s="101">
        <f t="shared" si="7"/>
        <v>42098</v>
      </c>
      <c r="L95" s="228" t="str">
        <f t="shared" si="6"/>
        <v/>
      </c>
      <c r="M95" s="116">
        <f>IFERROR(IF(VLOOKUP($K95,CSV!$B$17:$AK$190,36,0)&lt;=0,"",VLOOKUP($K95,CSV!$B$17:$AK$190,36,0)),"")</f>
        <v>12.6</v>
      </c>
    </row>
    <row r="96" spans="4:13">
      <c r="D96" s="69"/>
      <c r="E96" s="116"/>
      <c r="K96" s="101">
        <f t="shared" si="7"/>
        <v>42099</v>
      </c>
      <c r="L96" s="228" t="str">
        <f t="shared" si="6"/>
        <v/>
      </c>
      <c r="M96" s="116">
        <f>IFERROR(IF(VLOOKUP($K96,CSV!$B$17:$AK$190,36,0)&lt;=0,"",VLOOKUP($K96,CSV!$B$17:$AK$190,36,0)),"")</f>
        <v>9.4</v>
      </c>
    </row>
    <row r="97" spans="4:13">
      <c r="D97" s="69"/>
      <c r="E97" s="116"/>
      <c r="K97" s="101">
        <f t="shared" si="7"/>
        <v>42100</v>
      </c>
      <c r="L97" s="228" t="str">
        <f t="shared" si="6"/>
        <v/>
      </c>
      <c r="M97" s="116" t="str">
        <f>IFERROR(IF(VLOOKUP($K97,CSV!$B$17:$AK$190,36,0)&lt;=0,"",VLOOKUP($K97,CSV!$B$17:$AK$190,36,0)),"")</f>
        <v/>
      </c>
    </row>
    <row r="98" spans="4:13">
      <c r="D98" s="69"/>
      <c r="E98" s="116"/>
      <c r="K98" s="101">
        <f t="shared" si="7"/>
        <v>42101</v>
      </c>
      <c r="L98" s="228" t="str">
        <f t="shared" si="6"/>
        <v/>
      </c>
      <c r="M98" s="116" t="str">
        <f>IFERROR(IF(VLOOKUP($K98,CSV!$B$17:$AK$190,36,0)&lt;=0,"",VLOOKUP($K98,CSV!$B$17:$AK$190,36,0)),"")</f>
        <v/>
      </c>
    </row>
    <row r="99" spans="4:13">
      <c r="D99" s="69"/>
      <c r="E99" s="116"/>
      <c r="K99" s="101">
        <f t="shared" si="7"/>
        <v>42102</v>
      </c>
      <c r="L99" s="228">
        <f t="shared" si="6"/>
        <v>10.8</v>
      </c>
      <c r="M99" s="116" t="str">
        <f>IFERROR(IF(VLOOKUP($K99,CSV!$B$17:$AK$190,36,0)&lt;=0,"",VLOOKUP($K99,CSV!$B$17:$AK$190,36,0)),"")</f>
        <v/>
      </c>
    </row>
    <row r="100" spans="4:13">
      <c r="D100" s="69"/>
      <c r="E100" s="116"/>
      <c r="K100" s="101">
        <f t="shared" si="7"/>
        <v>42103</v>
      </c>
      <c r="L100" s="228" t="str">
        <f t="shared" si="6"/>
        <v/>
      </c>
      <c r="M100" s="116" t="str">
        <f>IFERROR(IF(VLOOKUP($K100,CSV!$B$17:$AK$190,36,0)&lt;=0,"",VLOOKUP($K100,CSV!$B$17:$AK$190,36,0)),"")</f>
        <v/>
      </c>
    </row>
    <row r="101" spans="4:13">
      <c r="D101" s="69"/>
      <c r="E101" s="116"/>
      <c r="K101" s="101">
        <f t="shared" si="7"/>
        <v>42104</v>
      </c>
      <c r="L101" s="228" t="str">
        <f t="shared" si="6"/>
        <v/>
      </c>
      <c r="M101" s="116" t="str">
        <f>IFERROR(IF(VLOOKUP($K101,CSV!$B$17:$AK$190,36,0)&lt;=0,"",VLOOKUP($K101,CSV!$B$17:$AK$190,36,0)),"")</f>
        <v/>
      </c>
    </row>
    <row r="102" spans="4:13">
      <c r="D102" s="69"/>
      <c r="E102" s="116"/>
      <c r="K102" s="101">
        <f t="shared" si="7"/>
        <v>42105</v>
      </c>
      <c r="L102" s="228" t="str">
        <f t="shared" si="6"/>
        <v/>
      </c>
      <c r="M102" s="116" t="str">
        <f>IFERROR(IF(VLOOKUP($K102,CSV!$B$17:$AK$190,36,0)&lt;=0,"",VLOOKUP($K102,CSV!$B$17:$AK$190,36,0)),"")</f>
        <v/>
      </c>
    </row>
    <row r="103" spans="4:13">
      <c r="D103" s="69"/>
      <c r="E103" s="116"/>
      <c r="K103" s="101">
        <f t="shared" si="7"/>
        <v>42106</v>
      </c>
      <c r="L103" s="228" t="str">
        <f t="shared" si="6"/>
        <v/>
      </c>
      <c r="M103" s="116">
        <f>IFERROR(IF(VLOOKUP($K103,CSV!$B$17:$AK$190,36,0)&lt;=0,"",VLOOKUP($K103,CSV!$B$17:$AK$190,36,0)),"")</f>
        <v>11</v>
      </c>
    </row>
    <row r="104" spans="4:13">
      <c r="D104" s="69"/>
      <c r="E104" s="116"/>
      <c r="K104" s="101">
        <f t="shared" si="7"/>
        <v>42107</v>
      </c>
      <c r="L104" s="228" t="str">
        <f t="shared" si="6"/>
        <v/>
      </c>
      <c r="M104" s="116" t="str">
        <f>IFERROR(IF(VLOOKUP($K104,CSV!$B$17:$AK$190,36,0)&lt;=0,"",VLOOKUP($K104,CSV!$B$17:$AK$190,36,0)),"")</f>
        <v/>
      </c>
    </row>
    <row r="105" spans="4:13">
      <c r="D105" s="69"/>
      <c r="E105" s="116"/>
      <c r="K105" s="101">
        <f t="shared" si="7"/>
        <v>42108</v>
      </c>
      <c r="L105" s="228" t="str">
        <f t="shared" si="6"/>
        <v/>
      </c>
      <c r="M105" s="116" t="str">
        <f>IFERROR(IF(VLOOKUP($K105,CSV!$B$17:$AK$190,36,0)&lt;=0,"",VLOOKUP($K105,CSV!$B$17:$AK$190,36,0)),"")</f>
        <v/>
      </c>
    </row>
    <row r="106" spans="4:13">
      <c r="D106" s="69"/>
      <c r="E106" s="116"/>
      <c r="K106" s="101">
        <f t="shared" si="7"/>
        <v>42109</v>
      </c>
      <c r="L106" s="228">
        <f t="shared" si="6"/>
        <v>10.8</v>
      </c>
      <c r="M106" s="116" t="str">
        <f>IFERROR(IF(VLOOKUP($K106,CSV!$B$17:$AK$190,36,0)&lt;=0,"",VLOOKUP($K106,CSV!$B$17:$AK$190,36,0)),"")</f>
        <v/>
      </c>
    </row>
    <row r="107" spans="4:13">
      <c r="D107" s="69"/>
      <c r="E107" s="116"/>
      <c r="K107" s="101">
        <f t="shared" si="7"/>
        <v>42110</v>
      </c>
      <c r="L107" s="228" t="str">
        <f t="shared" si="6"/>
        <v/>
      </c>
      <c r="M107" s="116" t="str">
        <f>IFERROR(IF(VLOOKUP($K107,CSV!$B$17:$AK$190,36,0)&lt;=0,"",VLOOKUP($K107,CSV!$B$17:$AK$190,36,0)),"")</f>
        <v/>
      </c>
    </row>
    <row r="108" spans="4:13">
      <c r="D108" s="69"/>
      <c r="E108" s="116"/>
      <c r="K108" s="101">
        <f t="shared" si="7"/>
        <v>42111</v>
      </c>
      <c r="L108" s="228">
        <f t="shared" si="6"/>
        <v>10.8</v>
      </c>
      <c r="M108" s="116">
        <f>IFERROR(IF(VLOOKUP($K108,CSV!$B$17:$AK$190,36,0)&lt;=0,"",VLOOKUP($K108,CSV!$B$17:$AK$190,36,0)),"")</f>
        <v>12.6</v>
      </c>
    </row>
    <row r="109" spans="4:13">
      <c r="D109" s="69"/>
      <c r="E109" s="116"/>
      <c r="K109" s="101">
        <f t="shared" si="7"/>
        <v>42112</v>
      </c>
      <c r="L109" s="228" t="str">
        <f t="shared" si="6"/>
        <v/>
      </c>
      <c r="M109" s="116" t="str">
        <f>IFERROR(IF(VLOOKUP($K109,CSV!$B$17:$AK$190,36,0)&lt;=0,"",VLOOKUP($K109,CSV!$B$17:$AK$190,36,0)),"")</f>
        <v/>
      </c>
    </row>
    <row r="110" spans="4:13">
      <c r="D110" s="69"/>
      <c r="E110" s="116"/>
      <c r="K110" s="101">
        <f t="shared" si="7"/>
        <v>42113</v>
      </c>
      <c r="L110" s="228" t="str">
        <f t="shared" si="6"/>
        <v/>
      </c>
      <c r="M110" s="116" t="str">
        <f>IFERROR(IF(VLOOKUP($K110,CSV!$B$17:$AK$190,36,0)&lt;=0,"",VLOOKUP($K110,CSV!$B$17:$AK$190,36,0)),"")</f>
        <v/>
      </c>
    </row>
    <row r="111" spans="4:13">
      <c r="D111" s="69"/>
      <c r="E111" s="116"/>
      <c r="K111" s="101">
        <f t="shared" si="7"/>
        <v>42114</v>
      </c>
      <c r="L111" s="228" t="str">
        <f t="shared" si="6"/>
        <v/>
      </c>
      <c r="M111" s="116" t="str">
        <f>IFERROR(IF(VLOOKUP($K111,CSV!$B$17:$AK$190,36,0)&lt;=0,"",VLOOKUP($K111,CSV!$B$17:$AK$190,36,0)),"")</f>
        <v/>
      </c>
    </row>
    <row r="112" spans="4:13">
      <c r="D112" s="69"/>
      <c r="E112" s="116"/>
      <c r="K112" s="101">
        <f t="shared" si="7"/>
        <v>42115</v>
      </c>
      <c r="L112" s="228" t="str">
        <f t="shared" si="6"/>
        <v/>
      </c>
      <c r="M112" s="116" t="str">
        <f>IFERROR(IF(VLOOKUP($K112,CSV!$B$17:$AK$190,36,0)&lt;=0,"",VLOOKUP($K112,CSV!$B$17:$AK$190,36,0)),"")</f>
        <v/>
      </c>
    </row>
    <row r="113" spans="4:13">
      <c r="D113" s="69"/>
      <c r="E113" s="116"/>
      <c r="K113" s="101">
        <f t="shared" si="7"/>
        <v>42116</v>
      </c>
      <c r="L113" s="228" t="str">
        <f t="shared" si="6"/>
        <v/>
      </c>
      <c r="M113" s="116" t="str">
        <f>IFERROR(IF(VLOOKUP($K113,CSV!$B$17:$AK$190,36,0)&lt;=0,"",VLOOKUP($K113,CSV!$B$17:$AK$190,36,0)),"")</f>
        <v/>
      </c>
    </row>
    <row r="114" spans="4:13">
      <c r="D114" s="69"/>
      <c r="E114" s="116"/>
      <c r="K114" s="101">
        <f t="shared" si="7"/>
        <v>42117</v>
      </c>
      <c r="L114" s="228" t="str">
        <f t="shared" si="6"/>
        <v/>
      </c>
      <c r="M114" s="116" t="str">
        <f>IFERROR(IF(VLOOKUP($K114,CSV!$B$17:$AK$190,36,0)&lt;=0,"",VLOOKUP($K114,CSV!$B$17:$AK$190,36,0)),"")</f>
        <v/>
      </c>
    </row>
    <row r="115" spans="4:13">
      <c r="D115" s="69"/>
      <c r="E115" s="116"/>
      <c r="K115" s="101">
        <f t="shared" si="7"/>
        <v>42118</v>
      </c>
      <c r="L115" s="228" t="str">
        <f t="shared" si="6"/>
        <v/>
      </c>
      <c r="M115" s="116" t="str">
        <f>IFERROR(IF(VLOOKUP($K115,CSV!$B$17:$AK$190,36,0)&lt;=0,"",VLOOKUP($K115,CSV!$B$17:$AK$190,36,0)),"")</f>
        <v/>
      </c>
    </row>
    <row r="116" spans="4:13">
      <c r="D116" s="69"/>
      <c r="E116" s="116"/>
      <c r="K116" s="101">
        <f t="shared" si="7"/>
        <v>42119</v>
      </c>
      <c r="L116" s="228">
        <f t="shared" si="6"/>
        <v>10.8</v>
      </c>
      <c r="M116" s="116">
        <f>IFERROR(IF(VLOOKUP($K116,CSV!$B$17:$AK$190,36,0)&lt;=0,"",VLOOKUP($K116,CSV!$B$17:$AK$190,36,0)),"")</f>
        <v>12.6</v>
      </c>
    </row>
    <row r="117" spans="4:13">
      <c r="D117" s="69"/>
      <c r="E117" s="116"/>
      <c r="K117" s="101">
        <f t="shared" si="7"/>
        <v>42120</v>
      </c>
      <c r="L117" s="228" t="str">
        <f t="shared" si="6"/>
        <v/>
      </c>
      <c r="M117" s="116" t="str">
        <f>IFERROR(IF(VLOOKUP($K117,CSV!$B$17:$AK$190,36,0)&lt;=0,"",VLOOKUP($K117,CSV!$B$17:$AK$190,36,0)),"")</f>
        <v/>
      </c>
    </row>
    <row r="118" spans="4:13">
      <c r="D118" s="69"/>
      <c r="E118" s="116"/>
      <c r="K118" s="101">
        <f t="shared" si="7"/>
        <v>42121</v>
      </c>
      <c r="L118" s="228" t="str">
        <f t="shared" si="6"/>
        <v/>
      </c>
      <c r="M118" s="116">
        <f>IFERROR(IF(VLOOKUP($K118,CSV!$B$17:$AK$190,36,0)&lt;=0,"",VLOOKUP($K118,CSV!$B$17:$AK$190,36,0)),"")</f>
        <v>12.6</v>
      </c>
    </row>
    <row r="119" spans="4:13">
      <c r="D119" s="69"/>
      <c r="E119" s="116"/>
      <c r="K119" s="101">
        <f t="shared" si="7"/>
        <v>42122</v>
      </c>
      <c r="L119" s="228" t="str">
        <f t="shared" si="6"/>
        <v/>
      </c>
      <c r="M119" s="116" t="str">
        <f>IFERROR(IF(VLOOKUP($K119,CSV!$B$17:$AK$190,36,0)&lt;=0,"",VLOOKUP($K119,CSV!$B$17:$AK$190,36,0)),"")</f>
        <v/>
      </c>
    </row>
    <row r="120" spans="4:13">
      <c r="D120" s="69"/>
      <c r="E120" s="116"/>
      <c r="K120" s="101">
        <f t="shared" si="7"/>
        <v>42123</v>
      </c>
      <c r="L120" s="228" t="str">
        <f t="shared" si="6"/>
        <v/>
      </c>
      <c r="M120" s="116" t="str">
        <f>IFERROR(IF(VLOOKUP($K120,CSV!$B$17:$AK$190,36,0)&lt;=0,"",VLOOKUP($K120,CSV!$B$17:$AK$190,36,0)),"")</f>
        <v/>
      </c>
    </row>
    <row r="121" spans="4:13">
      <c r="D121" s="69"/>
      <c r="E121" s="116"/>
      <c r="K121" s="101">
        <f t="shared" si="7"/>
        <v>42124</v>
      </c>
      <c r="L121" s="228">
        <f t="shared" si="6"/>
        <v>10.8</v>
      </c>
      <c r="M121" s="116" t="str">
        <f>IFERROR(IF(VLOOKUP($K121,CSV!$B$17:$AK$190,36,0)&lt;=0,"",VLOOKUP($K121,CSV!$B$17:$AK$190,36,0)),"")</f>
        <v/>
      </c>
    </row>
    <row r="122" spans="4:13">
      <c r="D122" s="69"/>
      <c r="E122" s="116"/>
      <c r="K122" s="101">
        <f t="shared" si="7"/>
        <v>42125</v>
      </c>
      <c r="L122" s="228" t="str">
        <f t="shared" si="6"/>
        <v/>
      </c>
      <c r="M122" s="116">
        <f>IFERROR(IF(VLOOKUP($K122,CSV!$B$17:$AK$190,36,0)&lt;=0,"",VLOOKUP($K122,CSV!$B$17:$AK$190,36,0)),"")</f>
        <v>12.6</v>
      </c>
    </row>
    <row r="123" spans="4:13">
      <c r="D123" s="69"/>
      <c r="E123" s="116"/>
      <c r="K123" s="101">
        <f t="shared" si="7"/>
        <v>42126</v>
      </c>
      <c r="L123" s="228" t="str">
        <f t="shared" si="6"/>
        <v/>
      </c>
      <c r="M123" s="116" t="str">
        <f>IFERROR(IF(VLOOKUP($K123,CSV!$B$17:$AK$190,36,0)&lt;=0,"",VLOOKUP($K123,CSV!$B$17:$AK$190,36,0)),"")</f>
        <v/>
      </c>
    </row>
    <row r="124" spans="4:13">
      <c r="D124" s="69"/>
      <c r="E124" s="116"/>
      <c r="K124" s="101">
        <f t="shared" si="7"/>
        <v>42127</v>
      </c>
      <c r="L124" s="228" t="str">
        <f t="shared" si="6"/>
        <v/>
      </c>
      <c r="M124" s="116">
        <f>IFERROR(IF(VLOOKUP($K124,CSV!$B$17:$AK$190,36,0)&lt;=0,"",VLOOKUP($K124,CSV!$B$17:$AK$190,36,0)),"")</f>
        <v>12.6</v>
      </c>
    </row>
    <row r="125" spans="4:13">
      <c r="D125" s="69"/>
      <c r="E125" s="116"/>
      <c r="K125" s="101">
        <f t="shared" si="7"/>
        <v>42128</v>
      </c>
      <c r="L125" s="228">
        <f t="shared" si="6"/>
        <v>10.8</v>
      </c>
      <c r="M125" s="116">
        <f>IFERROR(IF(VLOOKUP($K125,CSV!$B$17:$AK$190,36,0)&lt;=0,"",VLOOKUP($K125,CSV!$B$17:$AK$190,36,0)),"")</f>
        <v>12.6</v>
      </c>
    </row>
    <row r="126" spans="4:13">
      <c r="D126" s="69"/>
      <c r="E126" s="116"/>
      <c r="K126" s="101">
        <f t="shared" si="7"/>
        <v>42129</v>
      </c>
      <c r="L126" s="228" t="str">
        <f t="shared" si="6"/>
        <v/>
      </c>
      <c r="M126" s="116" t="str">
        <f>IFERROR(IF(VLOOKUP($K126,CSV!$B$17:$AK$190,36,0)&lt;=0,"",VLOOKUP($K126,CSV!$B$17:$AK$190,36,0)),"")</f>
        <v/>
      </c>
    </row>
    <row r="127" spans="4:13">
      <c r="D127" s="69"/>
      <c r="E127" s="116"/>
      <c r="K127" s="101">
        <f t="shared" si="7"/>
        <v>42130</v>
      </c>
      <c r="L127" s="228" t="str">
        <f t="shared" si="6"/>
        <v/>
      </c>
      <c r="M127" s="116" t="str">
        <f>IFERROR(IF(VLOOKUP($K127,CSV!$B$17:$AK$190,36,0)&lt;=0,"",VLOOKUP($K127,CSV!$B$17:$AK$190,36,0)),"")</f>
        <v/>
      </c>
    </row>
    <row r="128" spans="4:13">
      <c r="D128" s="69"/>
      <c r="E128" s="116"/>
      <c r="K128" s="101">
        <f t="shared" si="7"/>
        <v>42131</v>
      </c>
      <c r="L128" s="228" t="str">
        <f t="shared" si="6"/>
        <v/>
      </c>
      <c r="M128" s="116" t="str">
        <f>IFERROR(IF(VLOOKUP($K128,CSV!$B$17:$AK$190,36,0)&lt;=0,"",VLOOKUP($K128,CSV!$B$17:$AK$190,36,0)),"")</f>
        <v/>
      </c>
    </row>
    <row r="129" spans="4:13">
      <c r="D129" s="69"/>
      <c r="E129" s="116"/>
      <c r="K129" s="101">
        <f t="shared" si="7"/>
        <v>42132</v>
      </c>
      <c r="L129" s="228">
        <f t="shared" si="6"/>
        <v>10.8</v>
      </c>
      <c r="M129" s="116">
        <f>IFERROR(IF(VLOOKUP($K129,CSV!$B$17:$AK$190,36,0)&lt;=0,"",VLOOKUP($K129,CSV!$B$17:$AK$190,36,0)),"")</f>
        <v>12.6</v>
      </c>
    </row>
    <row r="130" spans="4:13">
      <c r="D130" s="69"/>
      <c r="E130" s="116"/>
      <c r="K130" s="101">
        <f t="shared" si="7"/>
        <v>42133</v>
      </c>
      <c r="L130" s="228" t="str">
        <f t="shared" si="6"/>
        <v/>
      </c>
      <c r="M130" s="116" t="str">
        <f>IFERROR(IF(VLOOKUP($K130,CSV!$B$17:$AK$190,36,0)&lt;=0,"",VLOOKUP($K130,CSV!$B$17:$AK$190,36,0)),"")</f>
        <v/>
      </c>
    </row>
    <row r="131" spans="4:13">
      <c r="D131" s="69"/>
      <c r="E131" s="116"/>
      <c r="K131" s="101">
        <f t="shared" si="7"/>
        <v>42134</v>
      </c>
      <c r="L131" s="228" t="str">
        <f t="shared" ref="L131:L194" si="8">IFERROR(IF(IF(AND(K131&lt;MAX($D$2:$D$31),ISERROR(VLOOKUP(K131,$D$2:$E$31,2,FALSE))),0,VLOOKUP(K131,$D$2:$E$31,2,FALSE))&lt;=0,"",IF(AND(K131&lt;MAX($D$2:$D$31),ISERROR(VLOOKUP(K131,$D$2:$E$31,2,FALSE))),0,VLOOKUP(K131,$D$2:$E$31,2,FALSE))),"")</f>
        <v/>
      </c>
      <c r="M131" s="116">
        <f>IFERROR(IF(VLOOKUP($K131,CSV!$B$17:$AK$190,36,0)&lt;=0,"",VLOOKUP($K131,CSV!$B$17:$AK$190,36,0)),"")</f>
        <v>12.6</v>
      </c>
    </row>
    <row r="132" spans="4:13">
      <c r="D132" s="69"/>
      <c r="E132" s="116"/>
      <c r="K132" s="101">
        <f t="shared" ref="K132:K195" si="9">K131+1</f>
        <v>42135</v>
      </c>
      <c r="L132" s="228">
        <f t="shared" si="8"/>
        <v>14</v>
      </c>
      <c r="M132" s="116" t="str">
        <f>IFERROR(IF(VLOOKUP($K132,CSV!$B$17:$AK$190,36,0)&lt;=0,"",VLOOKUP($K132,CSV!$B$17:$AK$190,36,0)),"")</f>
        <v/>
      </c>
    </row>
    <row r="133" spans="4:13">
      <c r="D133" s="69"/>
      <c r="E133" s="116"/>
      <c r="K133" s="101">
        <f t="shared" si="9"/>
        <v>42136</v>
      </c>
      <c r="L133" s="228" t="str">
        <f t="shared" si="8"/>
        <v/>
      </c>
      <c r="M133" s="116" t="str">
        <f>IFERROR(IF(VLOOKUP($K133,CSV!$B$17:$AK$190,36,0)&lt;=0,"",VLOOKUP($K133,CSV!$B$17:$AK$190,36,0)),"")</f>
        <v/>
      </c>
    </row>
    <row r="134" spans="4:13">
      <c r="D134" s="69"/>
      <c r="E134" s="116"/>
      <c r="K134" s="101">
        <f t="shared" si="9"/>
        <v>42137</v>
      </c>
      <c r="L134" s="228" t="str">
        <f t="shared" si="8"/>
        <v/>
      </c>
      <c r="M134" s="116">
        <f>IFERROR(IF(VLOOKUP($K134,CSV!$B$17:$AK$190,36,0)&lt;=0,"",VLOOKUP($K134,CSV!$B$17:$AK$190,36,0)),"")</f>
        <v>12.6</v>
      </c>
    </row>
    <row r="135" spans="4:13">
      <c r="D135" s="69"/>
      <c r="E135" s="116"/>
      <c r="K135" s="101">
        <f t="shared" si="9"/>
        <v>42138</v>
      </c>
      <c r="L135" s="228">
        <f t="shared" si="8"/>
        <v>14</v>
      </c>
      <c r="M135" s="116" t="str">
        <f>IFERROR(IF(VLOOKUP($K135,CSV!$B$17:$AK$190,36,0)&lt;=0,"",VLOOKUP($K135,CSV!$B$17:$AK$190,36,0)),"")</f>
        <v/>
      </c>
    </row>
    <row r="136" spans="4:13">
      <c r="D136" s="69"/>
      <c r="E136" s="116"/>
      <c r="K136" s="101">
        <f t="shared" si="9"/>
        <v>42139</v>
      </c>
      <c r="L136" s="228" t="str">
        <f t="shared" si="8"/>
        <v/>
      </c>
      <c r="M136" s="116" t="str">
        <f>IFERROR(IF(VLOOKUP($K136,CSV!$B$17:$AK$190,36,0)&lt;=0,"",VLOOKUP($K136,CSV!$B$17:$AK$190,36,0)),"")</f>
        <v/>
      </c>
    </row>
    <row r="137" spans="4:13">
      <c r="D137" s="69"/>
      <c r="E137" s="116"/>
      <c r="K137" s="101">
        <f t="shared" si="9"/>
        <v>42140</v>
      </c>
      <c r="L137" s="228">
        <f t="shared" si="8"/>
        <v>18</v>
      </c>
      <c r="M137" s="116">
        <f>IFERROR(IF(VLOOKUP($K137,CSV!$B$17:$AK$190,36,0)&lt;=0,"",VLOOKUP($K137,CSV!$B$17:$AK$190,36,0)),"")</f>
        <v>7.6</v>
      </c>
    </row>
    <row r="138" spans="4:13">
      <c r="D138" s="69"/>
      <c r="E138" s="116"/>
      <c r="K138" s="101">
        <f t="shared" si="9"/>
        <v>42141</v>
      </c>
      <c r="L138" s="228" t="str">
        <f t="shared" si="8"/>
        <v/>
      </c>
      <c r="M138" s="116">
        <f>IFERROR(IF(VLOOKUP($K138,CSV!$B$17:$AK$190,36,0)&lt;=0,"",VLOOKUP($K138,CSV!$B$17:$AK$190,36,0)),"")</f>
        <v>9.4</v>
      </c>
    </row>
    <row r="139" spans="4:13">
      <c r="D139" s="69"/>
      <c r="E139" s="116"/>
      <c r="K139" s="101">
        <f t="shared" si="9"/>
        <v>42142</v>
      </c>
      <c r="L139" s="228" t="str">
        <f t="shared" si="8"/>
        <v/>
      </c>
      <c r="M139" s="116">
        <f>IFERROR(IF(VLOOKUP($K139,CSV!$B$17:$AK$190,36,0)&lt;=0,"",VLOOKUP($K139,CSV!$B$17:$AK$190,36,0)),"")</f>
        <v>9.4</v>
      </c>
    </row>
    <row r="140" spans="4:13">
      <c r="D140" s="69"/>
      <c r="E140" s="116"/>
      <c r="K140" s="101">
        <f t="shared" si="9"/>
        <v>42143</v>
      </c>
      <c r="L140" s="228" t="str">
        <f t="shared" si="8"/>
        <v/>
      </c>
      <c r="M140" s="116" t="str">
        <f>IFERROR(IF(VLOOKUP($K140,CSV!$B$17:$AK$190,36,0)&lt;=0,"",VLOOKUP($K140,CSV!$B$17:$AK$190,36,0)),"")</f>
        <v/>
      </c>
    </row>
    <row r="141" spans="4:13">
      <c r="D141" s="69"/>
      <c r="E141" s="116"/>
      <c r="K141" s="101">
        <f t="shared" si="9"/>
        <v>42144</v>
      </c>
      <c r="L141" s="228">
        <f t="shared" si="8"/>
        <v>18</v>
      </c>
      <c r="M141" s="116" t="str">
        <f>IFERROR(IF(VLOOKUP($K141,CSV!$B$17:$AK$190,36,0)&lt;=0,"",VLOOKUP($K141,CSV!$B$17:$AK$190,36,0)),"")</f>
        <v/>
      </c>
    </row>
    <row r="142" spans="4:13">
      <c r="D142" s="69"/>
      <c r="E142" s="116"/>
      <c r="K142" s="101">
        <f t="shared" si="9"/>
        <v>42145</v>
      </c>
      <c r="L142" s="228" t="str">
        <f t="shared" si="8"/>
        <v/>
      </c>
      <c r="M142" s="116">
        <f>IFERROR(IF(VLOOKUP($K142,CSV!$B$17:$AK$190,36,0)&lt;=0,"",VLOOKUP($K142,CSV!$B$17:$AK$190,36,0)),"")</f>
        <v>12.6</v>
      </c>
    </row>
    <row r="143" spans="4:13">
      <c r="D143" s="69"/>
      <c r="E143" s="116"/>
      <c r="K143" s="101">
        <f t="shared" si="9"/>
        <v>42146</v>
      </c>
      <c r="L143" s="228">
        <f t="shared" si="8"/>
        <v>18</v>
      </c>
      <c r="M143" s="116">
        <f>IFERROR(IF(VLOOKUP($K143,CSV!$B$17:$AK$190,36,0)&lt;=0,"",VLOOKUP($K143,CSV!$B$17:$AK$190,36,0)),"")</f>
        <v>6.3</v>
      </c>
    </row>
    <row r="144" spans="4:13">
      <c r="D144" s="69"/>
      <c r="E144" s="116"/>
      <c r="K144" s="101">
        <f t="shared" si="9"/>
        <v>42147</v>
      </c>
      <c r="L144" s="228" t="str">
        <f t="shared" si="8"/>
        <v/>
      </c>
      <c r="M144" s="116">
        <f>IFERROR(IF(VLOOKUP($K144,CSV!$B$17:$AK$190,36,0)&lt;=0,"",VLOOKUP($K144,CSV!$B$17:$AK$190,36,0)),"")</f>
        <v>6.3</v>
      </c>
    </row>
    <row r="145" spans="4:13">
      <c r="D145" s="69"/>
      <c r="E145" s="116"/>
      <c r="K145" s="101">
        <f t="shared" si="9"/>
        <v>42148</v>
      </c>
      <c r="L145" s="228">
        <f t="shared" si="8"/>
        <v>21</v>
      </c>
      <c r="M145" s="116">
        <f>IFERROR(IF(VLOOKUP($K145,CSV!$B$17:$AK$190,36,0)&lt;=0,"",VLOOKUP($K145,CSV!$B$17:$AK$190,36,0)),"")</f>
        <v>6.3</v>
      </c>
    </row>
    <row r="146" spans="4:13">
      <c r="D146" s="69"/>
      <c r="E146" s="116"/>
      <c r="K146" s="101">
        <f t="shared" si="9"/>
        <v>42149</v>
      </c>
      <c r="L146" s="228" t="str">
        <f t="shared" si="8"/>
        <v/>
      </c>
      <c r="M146" s="116">
        <f>IFERROR(IF(VLOOKUP($K146,CSV!$B$17:$AK$190,36,0)&lt;=0,"",VLOOKUP($K146,CSV!$B$17:$AK$190,36,0)),"")</f>
        <v>5.4</v>
      </c>
    </row>
    <row r="147" spans="4:13">
      <c r="D147" s="69"/>
      <c r="E147" s="116"/>
      <c r="K147" s="101">
        <f t="shared" si="9"/>
        <v>42150</v>
      </c>
      <c r="L147" s="228" t="str">
        <f t="shared" si="8"/>
        <v/>
      </c>
      <c r="M147" s="116" t="str">
        <f>IFERROR(IF(VLOOKUP($K147,CSV!$B$17:$AK$190,36,0)&lt;=0,"",VLOOKUP($K147,CSV!$B$17:$AK$190,36,0)),"")</f>
        <v/>
      </c>
    </row>
    <row r="148" spans="4:13">
      <c r="D148" s="69"/>
      <c r="E148" s="116"/>
      <c r="K148" s="101">
        <f t="shared" si="9"/>
        <v>42151</v>
      </c>
      <c r="L148" s="228" t="str">
        <f t="shared" si="8"/>
        <v/>
      </c>
      <c r="M148" s="116">
        <f>IFERROR(IF(VLOOKUP($K148,CSV!$B$17:$AK$190,36,0)&lt;=0,"",VLOOKUP($K148,CSV!$B$17:$AK$190,36,0)),"")</f>
        <v>5.4</v>
      </c>
    </row>
    <row r="149" spans="4:13">
      <c r="D149" s="69"/>
      <c r="E149" s="116"/>
      <c r="K149" s="101">
        <f t="shared" si="9"/>
        <v>42152</v>
      </c>
      <c r="L149" s="228" t="str">
        <f t="shared" si="8"/>
        <v/>
      </c>
      <c r="M149" s="116">
        <f>IFERROR(IF(VLOOKUP($K149,CSV!$B$17:$AK$190,36,0)&lt;=0,"",VLOOKUP($K149,CSV!$B$17:$AK$190,36,0)),"")</f>
        <v>9.4</v>
      </c>
    </row>
    <row r="150" spans="4:13">
      <c r="D150" s="69"/>
      <c r="E150" s="116"/>
      <c r="K150" s="101">
        <f t="shared" si="9"/>
        <v>42153</v>
      </c>
      <c r="L150" s="228" t="str">
        <f t="shared" si="8"/>
        <v/>
      </c>
      <c r="M150" s="116" t="str">
        <f>IFERROR(IF(VLOOKUP($K150,CSV!$B$17:$AK$190,36,0)&lt;=0,"",VLOOKUP($K150,CSV!$B$17:$AK$190,36,0)),"")</f>
        <v/>
      </c>
    </row>
    <row r="151" spans="4:13">
      <c r="D151" s="69"/>
      <c r="E151" s="116"/>
      <c r="K151" s="101">
        <f t="shared" si="9"/>
        <v>42154</v>
      </c>
      <c r="L151" s="228">
        <f t="shared" si="8"/>
        <v>21</v>
      </c>
      <c r="M151" s="116" t="str">
        <f>IFERROR(IF(VLOOKUP($K151,CSV!$B$17:$AK$190,36,0)&lt;=0,"",VLOOKUP($K151,CSV!$B$17:$AK$190,36,0)),"")</f>
        <v/>
      </c>
    </row>
    <row r="152" spans="4:13">
      <c r="D152" s="69"/>
      <c r="E152" s="116"/>
      <c r="K152" s="101">
        <f t="shared" si="9"/>
        <v>42155</v>
      </c>
      <c r="L152" s="228" t="str">
        <f t="shared" si="8"/>
        <v/>
      </c>
      <c r="M152" s="116">
        <f>IFERROR(IF(VLOOKUP($K152,CSV!$B$17:$AK$190,36,0)&lt;=0,"",VLOOKUP($K152,CSV!$B$17:$AK$190,36,0)),"")</f>
        <v>20</v>
      </c>
    </row>
    <row r="153" spans="4:13">
      <c r="D153" s="69"/>
      <c r="E153" s="116"/>
      <c r="K153" s="101">
        <f t="shared" si="9"/>
        <v>42156</v>
      </c>
      <c r="L153" s="228" t="str">
        <f t="shared" si="8"/>
        <v/>
      </c>
      <c r="M153" s="116" t="str">
        <f>IFERROR(IF(VLOOKUP($K153,CSV!$B$17:$AK$190,36,0)&lt;=0,"",VLOOKUP($K153,CSV!$B$17:$AK$190,36,0)),"")</f>
        <v/>
      </c>
    </row>
    <row r="154" spans="4:13">
      <c r="D154" s="69"/>
      <c r="E154" s="116"/>
      <c r="K154" s="101">
        <f t="shared" si="9"/>
        <v>42157</v>
      </c>
      <c r="L154" s="228">
        <f t="shared" si="8"/>
        <v>14</v>
      </c>
      <c r="M154" s="116">
        <f>IFERROR(IF(VLOOKUP($K154,CSV!$B$17:$AK$190,36,0)&lt;=0,"",VLOOKUP($K154,CSV!$B$17:$AK$190,36,0)),"")</f>
        <v>7.6</v>
      </c>
    </row>
    <row r="155" spans="4:13">
      <c r="D155" s="69"/>
      <c r="E155" s="116"/>
      <c r="K155" s="101">
        <f t="shared" si="9"/>
        <v>42158</v>
      </c>
      <c r="L155" s="228" t="str">
        <f t="shared" si="8"/>
        <v/>
      </c>
      <c r="M155" s="116" t="str">
        <f>IFERROR(IF(VLOOKUP($K155,CSV!$B$17:$AK$190,36,0)&lt;=0,"",VLOOKUP($K155,CSV!$B$17:$AK$190,36,0)),"")</f>
        <v/>
      </c>
    </row>
    <row r="156" spans="4:13">
      <c r="D156" s="69"/>
      <c r="E156" s="116"/>
      <c r="K156" s="101">
        <f t="shared" si="9"/>
        <v>42159</v>
      </c>
      <c r="L156" s="228" t="str">
        <f t="shared" si="8"/>
        <v/>
      </c>
      <c r="M156" s="116">
        <f>IFERROR(IF(VLOOKUP($K156,CSV!$B$17:$AK$190,36,0)&lt;=0,"",VLOOKUP($K156,CSV!$B$17:$AK$190,36,0)),"")</f>
        <v>9.4</v>
      </c>
    </row>
    <row r="157" spans="4:13">
      <c r="D157" s="69"/>
      <c r="E157" s="116"/>
      <c r="K157" s="101">
        <f t="shared" si="9"/>
        <v>42160</v>
      </c>
      <c r="L157" s="228">
        <f t="shared" si="8"/>
        <v>10.8</v>
      </c>
      <c r="M157" s="116" t="str">
        <f>IFERROR(IF(VLOOKUP($K157,CSV!$B$17:$AK$190,36,0)&lt;=0,"",VLOOKUP($K157,CSV!$B$17:$AK$190,36,0)),"")</f>
        <v/>
      </c>
    </row>
    <row r="158" spans="4:13">
      <c r="D158" s="69"/>
      <c r="E158" s="116"/>
      <c r="K158" s="101">
        <f t="shared" si="9"/>
        <v>42161</v>
      </c>
      <c r="L158" s="228" t="str">
        <f t="shared" si="8"/>
        <v/>
      </c>
      <c r="M158" s="116">
        <f>IFERROR(IF(VLOOKUP($K158,CSV!$B$17:$AK$190,36,0)&lt;=0,"",VLOOKUP($K158,CSV!$B$17:$AK$190,36,0)),"")</f>
        <v>9.4</v>
      </c>
    </row>
    <row r="159" spans="4:13">
      <c r="D159" s="69"/>
      <c r="E159" s="116"/>
      <c r="K159" s="101">
        <f t="shared" si="9"/>
        <v>42162</v>
      </c>
      <c r="L159" s="228" t="str">
        <f t="shared" si="8"/>
        <v/>
      </c>
      <c r="M159" s="116">
        <f>IFERROR(IF(VLOOKUP($K159,CSV!$B$17:$AK$190,36,0)&lt;=0,"",VLOOKUP($K159,CSV!$B$17:$AK$190,36,0)),"")</f>
        <v>12.6</v>
      </c>
    </row>
    <row r="160" spans="4:13">
      <c r="D160" s="69"/>
      <c r="E160" s="116"/>
      <c r="K160" s="101">
        <f t="shared" si="9"/>
        <v>42163</v>
      </c>
      <c r="L160" s="228">
        <f t="shared" si="8"/>
        <v>10.8</v>
      </c>
      <c r="M160" s="116" t="str">
        <f>IFERROR(IF(VLOOKUP($K160,CSV!$B$17:$AK$190,36,0)&lt;=0,"",VLOOKUP($K160,CSV!$B$17:$AK$190,36,0)),"")</f>
        <v/>
      </c>
    </row>
    <row r="161" spans="4:13">
      <c r="D161" s="69"/>
      <c r="E161" s="116"/>
      <c r="K161" s="101">
        <f t="shared" si="9"/>
        <v>42164</v>
      </c>
      <c r="L161" s="228" t="str">
        <f t="shared" si="8"/>
        <v/>
      </c>
      <c r="M161" s="116">
        <f>IFERROR(IF(VLOOKUP($K161,CSV!$B$17:$AK$190,36,0)&lt;=0,"",VLOOKUP($K161,CSV!$B$17:$AK$190,36,0)),"")</f>
        <v>9.4</v>
      </c>
    </row>
    <row r="162" spans="4:13">
      <c r="D162" s="69"/>
      <c r="E162" s="116"/>
      <c r="K162" s="101">
        <f t="shared" si="9"/>
        <v>42165</v>
      </c>
      <c r="L162" s="228" t="str">
        <f t="shared" si="8"/>
        <v/>
      </c>
      <c r="M162" s="116">
        <f>IFERROR(IF(VLOOKUP($K162,CSV!$B$17:$AK$190,36,0)&lt;=0,"",VLOOKUP($K162,CSV!$B$17:$AK$190,36,0)),"")</f>
        <v>12.6</v>
      </c>
    </row>
    <row r="163" spans="4:13">
      <c r="D163" s="69"/>
      <c r="E163" s="116"/>
      <c r="K163" s="101">
        <f t="shared" si="9"/>
        <v>42166</v>
      </c>
      <c r="L163" s="228" t="str">
        <f t="shared" si="8"/>
        <v/>
      </c>
      <c r="M163" s="116" t="str">
        <f>IFERROR(IF(VLOOKUP($K163,CSV!$B$17:$AK$190,36,0)&lt;=0,"",VLOOKUP($K163,CSV!$B$17:$AK$190,36,0)),"")</f>
        <v/>
      </c>
    </row>
    <row r="164" spans="4:13">
      <c r="D164" s="69"/>
      <c r="E164" s="116"/>
      <c r="K164" s="101">
        <f t="shared" si="9"/>
        <v>42167</v>
      </c>
      <c r="L164" s="228" t="str">
        <f t="shared" si="8"/>
        <v/>
      </c>
      <c r="M164" s="116" t="str">
        <f>IFERROR(IF(VLOOKUP($K164,CSV!$B$17:$AK$190,36,0)&lt;=0,"",VLOOKUP($K164,CSV!$B$17:$AK$190,36,0)),"")</f>
        <v/>
      </c>
    </row>
    <row r="165" spans="4:13">
      <c r="D165" s="69"/>
      <c r="E165" s="116"/>
      <c r="K165" s="101">
        <f t="shared" si="9"/>
        <v>42168</v>
      </c>
      <c r="L165" s="228" t="str">
        <f t="shared" si="8"/>
        <v/>
      </c>
      <c r="M165" s="116">
        <f>IFERROR(IF(VLOOKUP($K165,CSV!$B$17:$AK$190,36,0)&lt;=0,"",VLOOKUP($K165,CSV!$B$17:$AK$190,36,0)),"")</f>
        <v>9.4</v>
      </c>
    </row>
    <row r="166" spans="4:13">
      <c r="D166" s="69"/>
      <c r="E166" s="116"/>
      <c r="K166" s="101">
        <f t="shared" si="9"/>
        <v>42169</v>
      </c>
      <c r="L166" s="228" t="str">
        <f t="shared" si="8"/>
        <v/>
      </c>
      <c r="M166" s="116">
        <f>IFERROR(IF(VLOOKUP($K166,CSV!$B$17:$AK$190,36,0)&lt;=0,"",VLOOKUP($K166,CSV!$B$17:$AK$190,36,0)),"")</f>
        <v>12.6</v>
      </c>
    </row>
    <row r="167" spans="4:13">
      <c r="D167" s="69"/>
      <c r="E167" s="116"/>
      <c r="K167" s="101">
        <f t="shared" si="9"/>
        <v>42170</v>
      </c>
      <c r="L167" s="228" t="str">
        <f t="shared" si="8"/>
        <v/>
      </c>
      <c r="M167" s="116">
        <f>IFERROR(IF(VLOOKUP($K167,CSV!$B$17:$AK$190,36,0)&lt;=0,"",VLOOKUP($K167,CSV!$B$17:$AK$190,36,0)),"")</f>
        <v>9.4</v>
      </c>
    </row>
    <row r="168" spans="4:13">
      <c r="D168" s="69"/>
      <c r="E168" s="116"/>
      <c r="K168" s="101">
        <f t="shared" si="9"/>
        <v>42171</v>
      </c>
      <c r="L168" s="228" t="str">
        <f t="shared" si="8"/>
        <v/>
      </c>
      <c r="M168" s="116" t="str">
        <f>IFERROR(IF(VLOOKUP($K168,CSV!$B$17:$AK$190,36,0)&lt;=0,"",VLOOKUP($K168,CSV!$B$17:$AK$190,36,0)),"")</f>
        <v/>
      </c>
    </row>
    <row r="169" spans="4:13">
      <c r="D169" s="69"/>
      <c r="E169" s="116"/>
      <c r="K169" s="101">
        <f t="shared" si="9"/>
        <v>42172</v>
      </c>
      <c r="L169" s="228" t="str">
        <f t="shared" si="8"/>
        <v/>
      </c>
      <c r="M169" s="116" t="str">
        <f>IFERROR(IF(VLOOKUP($K169,CSV!$B$17:$AK$190,36,0)&lt;=0,"",VLOOKUP($K169,CSV!$B$17:$AK$190,36,0)),"")</f>
        <v/>
      </c>
    </row>
    <row r="170" spans="4:13">
      <c r="D170" s="69"/>
      <c r="E170" s="116"/>
      <c r="K170" s="101">
        <f t="shared" si="9"/>
        <v>42173</v>
      </c>
      <c r="L170" s="228" t="str">
        <f t="shared" si="8"/>
        <v/>
      </c>
      <c r="M170" s="116">
        <f>IFERROR(IF(VLOOKUP($K170,CSV!$B$17:$AK$190,36,0)&lt;=0,"",VLOOKUP($K170,CSV!$B$17:$AK$190,36,0)),"")</f>
        <v>9.4</v>
      </c>
    </row>
    <row r="171" spans="4:13">
      <c r="D171" s="69"/>
      <c r="E171" s="116"/>
      <c r="K171" s="101">
        <f t="shared" si="9"/>
        <v>42174</v>
      </c>
      <c r="L171" s="228" t="str">
        <f t="shared" si="8"/>
        <v/>
      </c>
      <c r="M171" s="116" t="str">
        <f>IFERROR(IF(VLOOKUP($K171,CSV!$B$17:$AK$190,36,0)&lt;=0,"",VLOOKUP($K171,CSV!$B$17:$AK$190,36,0)),"")</f>
        <v/>
      </c>
    </row>
    <row r="172" spans="4:13">
      <c r="D172" s="69"/>
      <c r="E172" s="116"/>
      <c r="K172" s="101">
        <f t="shared" si="9"/>
        <v>42175</v>
      </c>
      <c r="L172" s="228" t="str">
        <f t="shared" si="8"/>
        <v/>
      </c>
      <c r="M172" s="116">
        <f>IFERROR(IF(VLOOKUP($K172,CSV!$B$17:$AK$190,36,0)&lt;=0,"",VLOOKUP($K172,CSV!$B$17:$AK$190,36,0)),"")</f>
        <v>8.4</v>
      </c>
    </row>
    <row r="173" spans="4:13">
      <c r="D173" s="69"/>
      <c r="E173" s="116"/>
      <c r="K173" s="101">
        <f t="shared" si="9"/>
        <v>42176</v>
      </c>
      <c r="L173" s="228" t="str">
        <f t="shared" si="8"/>
        <v/>
      </c>
      <c r="M173" s="116" t="str">
        <f>IFERROR(IF(VLOOKUP($K173,CSV!$B$17:$AK$190,36,0)&lt;=0,"",VLOOKUP($K173,CSV!$B$17:$AK$190,36,0)),"")</f>
        <v/>
      </c>
    </row>
    <row r="174" spans="4:13">
      <c r="D174" s="69"/>
      <c r="E174" s="116"/>
      <c r="K174" s="101">
        <f t="shared" si="9"/>
        <v>42177</v>
      </c>
      <c r="L174" s="228" t="str">
        <f t="shared" si="8"/>
        <v/>
      </c>
      <c r="M174" s="116">
        <f>IFERROR(IF(VLOOKUP($K174,CSV!$B$17:$AK$190,36,0)&lt;=0,"",VLOOKUP($K174,CSV!$B$17:$AK$190,36,0)),"")</f>
        <v>12.6</v>
      </c>
    </row>
    <row r="175" spans="4:13">
      <c r="D175" s="69"/>
      <c r="E175" s="116"/>
      <c r="K175" s="101">
        <f t="shared" si="9"/>
        <v>42178</v>
      </c>
      <c r="L175" s="228" t="str">
        <f t="shared" si="8"/>
        <v/>
      </c>
      <c r="M175" s="116" t="str">
        <f>IFERROR(IF(VLOOKUP($K175,CSV!$B$17:$AK$190,36,0)&lt;=0,"",VLOOKUP($K175,CSV!$B$17:$AK$190,36,0)),"")</f>
        <v/>
      </c>
    </row>
    <row r="176" spans="4:13">
      <c r="D176" s="69"/>
      <c r="E176" s="116"/>
      <c r="K176" s="101">
        <f t="shared" si="9"/>
        <v>42179</v>
      </c>
      <c r="L176" s="228" t="str">
        <f t="shared" si="8"/>
        <v/>
      </c>
      <c r="M176" s="116" t="str">
        <f>IFERROR(IF(VLOOKUP($K176,CSV!$B$17:$AK$190,36,0)&lt;=0,"",VLOOKUP($K176,CSV!$B$17:$AK$190,36,0)),"")</f>
        <v/>
      </c>
    </row>
    <row r="177" spans="4:13">
      <c r="D177" s="69"/>
      <c r="E177" s="116"/>
      <c r="K177" s="101">
        <f t="shared" si="9"/>
        <v>42180</v>
      </c>
      <c r="L177" s="228" t="str">
        <f t="shared" si="8"/>
        <v/>
      </c>
      <c r="M177" s="116">
        <f>IFERROR(IF(VLOOKUP($K177,CSV!$B$17:$AK$190,36,0)&lt;=0,"",VLOOKUP($K177,CSV!$B$17:$AK$190,36,0)),"")</f>
        <v>9.4</v>
      </c>
    </row>
    <row r="178" spans="4:13">
      <c r="D178" s="69"/>
      <c r="E178" s="116"/>
      <c r="K178" s="101">
        <f t="shared" si="9"/>
        <v>42181</v>
      </c>
      <c r="L178" s="228" t="str">
        <f t="shared" si="8"/>
        <v/>
      </c>
      <c r="M178" s="116" t="str">
        <f>IFERROR(IF(VLOOKUP($K178,CSV!$B$17:$AK$190,36,0)&lt;=0,"",VLOOKUP($K178,CSV!$B$17:$AK$190,36,0)),"")</f>
        <v/>
      </c>
    </row>
    <row r="179" spans="4:13">
      <c r="D179" s="69"/>
      <c r="E179" s="116"/>
      <c r="K179" s="101">
        <f t="shared" si="9"/>
        <v>42182</v>
      </c>
      <c r="L179" s="228" t="str">
        <f t="shared" si="8"/>
        <v/>
      </c>
      <c r="M179" s="116" t="str">
        <f>IFERROR(IF(VLOOKUP($K179,CSV!$B$17:$AK$190,36,0)&lt;=0,"",VLOOKUP($K179,CSV!$B$17:$AK$190,36,0)),"")</f>
        <v/>
      </c>
    </row>
    <row r="180" spans="4:13">
      <c r="D180" s="69"/>
      <c r="E180" s="116"/>
      <c r="K180" s="101">
        <f t="shared" si="9"/>
        <v>42183</v>
      </c>
      <c r="L180" s="228" t="str">
        <f t="shared" si="8"/>
        <v/>
      </c>
      <c r="M180" s="116">
        <f>IFERROR(IF(VLOOKUP($K180,CSV!$B$17:$AK$190,36,0)&lt;=0,"",VLOOKUP($K180,CSV!$B$17:$AK$190,36,0)),"")</f>
        <v>9.4</v>
      </c>
    </row>
    <row r="181" spans="4:13">
      <c r="D181" s="69"/>
      <c r="E181" s="116"/>
      <c r="K181" s="101">
        <f t="shared" si="9"/>
        <v>42184</v>
      </c>
      <c r="L181" s="228" t="str">
        <f t="shared" si="8"/>
        <v/>
      </c>
      <c r="M181" s="116" t="str">
        <f>IFERROR(IF(VLOOKUP($K181,CSV!$B$17:$AK$190,36,0)&lt;=0,"",VLOOKUP($K181,CSV!$B$17:$AK$190,36,0)),"")</f>
        <v/>
      </c>
    </row>
    <row r="182" spans="4:13">
      <c r="D182" s="69"/>
      <c r="E182" s="116"/>
      <c r="K182" s="101">
        <f t="shared" si="9"/>
        <v>42185</v>
      </c>
      <c r="L182" s="228" t="str">
        <f t="shared" si="8"/>
        <v/>
      </c>
      <c r="M182" s="116" t="str">
        <f>IFERROR(IF(VLOOKUP($K182,CSV!$B$17:$AK$190,36,0)&lt;=0,"",VLOOKUP($K182,CSV!$B$17:$AK$190,36,0)),"")</f>
        <v/>
      </c>
    </row>
    <row r="183" spans="4:13">
      <c r="D183" s="69"/>
      <c r="E183" s="116"/>
      <c r="K183" s="101">
        <f t="shared" si="9"/>
        <v>42186</v>
      </c>
      <c r="L183" s="228" t="str">
        <f t="shared" si="8"/>
        <v/>
      </c>
      <c r="M183" s="116">
        <f>IFERROR(IF(VLOOKUP($K183,CSV!$B$17:$AK$190,36,0)&lt;=0,"",VLOOKUP($K183,CSV!$B$17:$AK$190,36,0)),"")</f>
        <v>5.4</v>
      </c>
    </row>
    <row r="184" spans="4:13">
      <c r="D184" s="69"/>
      <c r="E184" s="116"/>
      <c r="K184" s="101">
        <f t="shared" si="9"/>
        <v>42187</v>
      </c>
      <c r="L184" s="228" t="str">
        <f t="shared" si="8"/>
        <v/>
      </c>
      <c r="M184" s="116" t="str">
        <f>IFERROR(IF(VLOOKUP($K184,CSV!$B$17:$AK$190,36,0)&lt;=0,"",VLOOKUP($K184,CSV!$B$17:$AK$190,36,0)),"")</f>
        <v/>
      </c>
    </row>
    <row r="185" spans="4:13">
      <c r="D185" s="69"/>
      <c r="E185" s="116"/>
      <c r="K185" s="101">
        <f t="shared" si="9"/>
        <v>42188</v>
      </c>
      <c r="L185" s="228" t="str">
        <f t="shared" si="8"/>
        <v/>
      </c>
      <c r="M185" s="116" t="str">
        <f>IFERROR(IF(VLOOKUP($K185,CSV!$B$17:$AK$190,36,0)&lt;=0,"",VLOOKUP($K185,CSV!$B$17:$AK$190,36,0)),"")</f>
        <v/>
      </c>
    </row>
    <row r="186" spans="4:13">
      <c r="D186" s="69"/>
      <c r="E186" s="116"/>
      <c r="K186" s="101">
        <f t="shared" si="9"/>
        <v>42189</v>
      </c>
      <c r="L186" s="228" t="str">
        <f t="shared" si="8"/>
        <v/>
      </c>
      <c r="M186" s="116" t="str">
        <f>IFERROR(IF(VLOOKUP($K186,CSV!$B$17:$AK$190,36,0)&lt;=0,"",VLOOKUP($K186,CSV!$B$17:$AK$190,36,0)),"")</f>
        <v/>
      </c>
    </row>
    <row r="187" spans="4:13">
      <c r="D187" s="69"/>
      <c r="E187" s="116"/>
      <c r="K187" s="101">
        <f t="shared" si="9"/>
        <v>42190</v>
      </c>
      <c r="L187" s="228" t="str">
        <f t="shared" si="8"/>
        <v/>
      </c>
      <c r="M187" s="116" t="str">
        <f>IFERROR(IF(VLOOKUP($K187,CSV!$B$17:$AK$190,36,0)&lt;=0,"",VLOOKUP($K187,CSV!$B$17:$AK$190,36,0)),"")</f>
        <v/>
      </c>
    </row>
    <row r="188" spans="4:13">
      <c r="D188" s="69"/>
      <c r="E188" s="116"/>
      <c r="K188" s="101">
        <f t="shared" si="9"/>
        <v>42191</v>
      </c>
      <c r="L188" s="228" t="str">
        <f t="shared" si="8"/>
        <v/>
      </c>
      <c r="M188" s="116" t="str">
        <f>IFERROR(IF(VLOOKUP($K188,CSV!$B$17:$AK$190,36,0)&lt;=0,"",VLOOKUP($K188,CSV!$B$17:$AK$190,36,0)),"")</f>
        <v/>
      </c>
    </row>
    <row r="189" spans="4:13">
      <c r="D189" s="69"/>
      <c r="E189" s="116"/>
      <c r="K189" s="101">
        <f t="shared" si="9"/>
        <v>42192</v>
      </c>
      <c r="L189" s="228" t="str">
        <f t="shared" si="8"/>
        <v/>
      </c>
      <c r="M189" s="116" t="str">
        <f>IFERROR(IF(VLOOKUP($K189,CSV!$B$17:$AK$190,36,0)&lt;=0,"",VLOOKUP($K189,CSV!$B$17:$AK$190,36,0)),"")</f>
        <v/>
      </c>
    </row>
    <row r="190" spans="4:13">
      <c r="D190" s="69"/>
      <c r="E190" s="116"/>
      <c r="K190" s="101">
        <f t="shared" si="9"/>
        <v>42193</v>
      </c>
      <c r="L190" s="228" t="str">
        <f t="shared" si="8"/>
        <v/>
      </c>
      <c r="M190" s="116" t="str">
        <f>IFERROR(IF(VLOOKUP($K190,CSV!$B$17:$AK$190,36,0)&lt;=0,"",VLOOKUP($K190,CSV!$B$17:$AK$190,36,0)),"")</f>
        <v/>
      </c>
    </row>
    <row r="191" spans="4:13">
      <c r="D191" s="69"/>
      <c r="E191" s="116"/>
      <c r="K191" s="101">
        <f t="shared" si="9"/>
        <v>42194</v>
      </c>
      <c r="L191" s="228" t="str">
        <f t="shared" si="8"/>
        <v/>
      </c>
      <c r="M191" s="116" t="str">
        <f>IFERROR(IF(VLOOKUP($K191,CSV!$B$17:$AK$190,36,0)&lt;=0,"",VLOOKUP($K191,CSV!$B$17:$AK$190,36,0)),"")</f>
        <v/>
      </c>
    </row>
    <row r="192" spans="4:13">
      <c r="D192" s="69"/>
      <c r="E192" s="116"/>
      <c r="K192" s="101">
        <f t="shared" si="9"/>
        <v>42195</v>
      </c>
      <c r="L192" s="228" t="str">
        <f t="shared" si="8"/>
        <v/>
      </c>
      <c r="M192" s="116" t="str">
        <f>IFERROR(IF(VLOOKUP($K192,CSV!$B$17:$AK$190,36,0)&lt;=0,"",VLOOKUP($K192,CSV!$B$17:$AK$190,36,0)),"")</f>
        <v/>
      </c>
    </row>
    <row r="193" spans="4:13">
      <c r="D193" s="69"/>
      <c r="E193" s="116"/>
      <c r="K193" s="101">
        <f t="shared" si="9"/>
        <v>42196</v>
      </c>
      <c r="L193" s="228" t="str">
        <f t="shared" si="8"/>
        <v/>
      </c>
      <c r="M193" s="116" t="str">
        <f>IFERROR(IF(VLOOKUP($K193,CSV!$B$17:$AK$190,36,0)&lt;=0,"",VLOOKUP($K193,CSV!$B$17:$AK$190,36,0)),"")</f>
        <v/>
      </c>
    </row>
    <row r="194" spans="4:13">
      <c r="D194" s="69"/>
      <c r="E194" s="116"/>
      <c r="K194" s="101">
        <f t="shared" si="9"/>
        <v>42197</v>
      </c>
      <c r="L194" s="228" t="str">
        <f t="shared" si="8"/>
        <v/>
      </c>
      <c r="M194" s="116" t="str">
        <f>IFERROR(IF(VLOOKUP($K194,CSV!$B$17:$AK$190,36,0)&lt;=0,"",VLOOKUP($K194,CSV!$B$17:$AK$190,36,0)),"")</f>
        <v/>
      </c>
    </row>
    <row r="195" spans="4:13">
      <c r="D195" s="69"/>
      <c r="E195" s="116"/>
      <c r="K195" s="101">
        <f t="shared" si="9"/>
        <v>42198</v>
      </c>
      <c r="L195" s="228" t="str">
        <f t="shared" ref="L195:L258" si="10">IFERROR(IF(IF(AND(K195&lt;MAX($D$2:$D$31),ISERROR(VLOOKUP(K195,$D$2:$E$31,2,FALSE))),0,VLOOKUP(K195,$D$2:$E$31,2,FALSE))&lt;=0,"",IF(AND(K195&lt;MAX($D$2:$D$31),ISERROR(VLOOKUP(K195,$D$2:$E$31,2,FALSE))),0,VLOOKUP(K195,$D$2:$E$31,2,FALSE))),"")</f>
        <v/>
      </c>
      <c r="M195" s="116" t="str">
        <f>IFERROR(IF(VLOOKUP($K195,CSV!$B$17:$AK$190,36,0)&lt;=0,"",VLOOKUP($K195,CSV!$B$17:$AK$190,36,0)),"")</f>
        <v/>
      </c>
    </row>
    <row r="196" spans="4:13">
      <c r="D196" s="69"/>
      <c r="E196" s="116"/>
      <c r="K196" s="101">
        <f t="shared" ref="K196:K260" si="11">K195+1</f>
        <v>42199</v>
      </c>
      <c r="L196" s="228" t="str">
        <f t="shared" si="10"/>
        <v/>
      </c>
      <c r="M196" s="116" t="str">
        <f>IFERROR(IF(VLOOKUP($K196,CSV!$B$17:$AK$190,36,0)&lt;=0,"",VLOOKUP($K196,CSV!$B$17:$AK$190,36,0)),"")</f>
        <v/>
      </c>
    </row>
    <row r="197" spans="4:13">
      <c r="D197" s="69"/>
      <c r="E197" s="116"/>
      <c r="K197" s="101">
        <f t="shared" si="11"/>
        <v>42200</v>
      </c>
      <c r="L197" s="228" t="str">
        <f t="shared" si="10"/>
        <v/>
      </c>
      <c r="M197" s="116" t="str">
        <f>IFERROR(IF(VLOOKUP($K197,CSV!$B$17:$AK$190,36,0)&lt;=0,"",VLOOKUP($K197,CSV!$B$17:$AK$190,36,0)),"")</f>
        <v/>
      </c>
    </row>
    <row r="198" spans="4:13">
      <c r="D198" s="69"/>
      <c r="E198" s="116"/>
      <c r="K198" s="101">
        <f t="shared" si="11"/>
        <v>42201</v>
      </c>
      <c r="L198" s="228" t="str">
        <f t="shared" si="10"/>
        <v/>
      </c>
      <c r="M198" s="116" t="str">
        <f>IFERROR(IF(VLOOKUP($K198,CSV!$B$17:$AK$190,36,0)&lt;=0,"",VLOOKUP($K198,CSV!$B$17:$AK$190,36,0)),"")</f>
        <v/>
      </c>
    </row>
    <row r="199" spans="4:13">
      <c r="D199" s="69"/>
      <c r="E199" s="116"/>
      <c r="K199" s="101">
        <f t="shared" si="11"/>
        <v>42202</v>
      </c>
      <c r="L199" s="228" t="str">
        <f t="shared" si="10"/>
        <v/>
      </c>
      <c r="M199" s="116" t="str">
        <f>IFERROR(IF(VLOOKUP($K199,CSV!$B$17:$AK$190,36,0)&lt;=0,"",VLOOKUP($K199,CSV!$B$17:$AK$190,36,0)),"")</f>
        <v/>
      </c>
    </row>
    <row r="200" spans="4:13">
      <c r="D200" s="69"/>
      <c r="E200" s="116"/>
      <c r="K200" s="101">
        <f t="shared" si="11"/>
        <v>42203</v>
      </c>
      <c r="L200" s="228" t="str">
        <f t="shared" si="10"/>
        <v/>
      </c>
      <c r="M200" s="116" t="str">
        <f>IFERROR(IF(VLOOKUP($K200,CSV!$B$17:$AK$190,36,0)&lt;=0,"",VLOOKUP($K200,CSV!$B$17:$AK$190,36,0)),"")</f>
        <v/>
      </c>
    </row>
    <row r="201" spans="4:13">
      <c r="D201" s="69"/>
      <c r="E201" s="116"/>
      <c r="K201" s="101">
        <f t="shared" si="11"/>
        <v>42204</v>
      </c>
      <c r="L201" s="228" t="str">
        <f t="shared" si="10"/>
        <v/>
      </c>
      <c r="M201" s="116" t="str">
        <f>IFERROR(IF(VLOOKUP($K201,CSV!$B$17:$AK$190,36,0)&lt;=0,"",VLOOKUP($K201,CSV!$B$17:$AK$190,36,0)),"")</f>
        <v/>
      </c>
    </row>
    <row r="202" spans="4:13">
      <c r="D202" s="69"/>
      <c r="E202" s="116"/>
      <c r="K202" s="101">
        <f t="shared" si="11"/>
        <v>42205</v>
      </c>
      <c r="L202" s="228" t="str">
        <f t="shared" si="10"/>
        <v/>
      </c>
      <c r="M202" s="116" t="str">
        <f>IFERROR(IF(VLOOKUP($K202,CSV!$B$17:$AK$190,36,0)&lt;=0,"",VLOOKUP($K202,CSV!$B$17:$AK$190,36,0)),"")</f>
        <v/>
      </c>
    </row>
    <row r="203" spans="4:13">
      <c r="D203" s="69"/>
      <c r="E203" s="116"/>
      <c r="K203" s="101">
        <f t="shared" si="11"/>
        <v>42206</v>
      </c>
      <c r="L203" s="228" t="str">
        <f t="shared" si="10"/>
        <v/>
      </c>
      <c r="M203" s="116" t="str">
        <f>IFERROR(IF(VLOOKUP($K203,CSV!$B$17:$AK$190,36,0)&lt;=0,"",VLOOKUP($K203,CSV!$B$17:$AK$190,36,0)),"")</f>
        <v/>
      </c>
    </row>
    <row r="204" spans="4:13">
      <c r="D204" s="69"/>
      <c r="E204" s="116"/>
      <c r="K204" s="101">
        <f t="shared" si="11"/>
        <v>42207</v>
      </c>
      <c r="L204" s="228" t="str">
        <f t="shared" si="10"/>
        <v/>
      </c>
      <c r="M204" s="116" t="str">
        <f>IFERROR(IF(VLOOKUP($K204,CSV!$B$17:$AK$190,36,0)&lt;=0,"",VLOOKUP($K204,CSV!$B$17:$AK$190,36,0)),"")</f>
        <v/>
      </c>
    </row>
    <row r="205" spans="4:13">
      <c r="D205" s="69"/>
      <c r="E205" s="116"/>
      <c r="K205" s="101">
        <f t="shared" si="11"/>
        <v>42208</v>
      </c>
      <c r="L205" s="228" t="str">
        <f t="shared" si="10"/>
        <v/>
      </c>
      <c r="M205" s="116" t="str">
        <f>IFERROR(IF(VLOOKUP($K205,CSV!$B$17:$AK$190,36,0)&lt;=0,"",VLOOKUP($K205,CSV!$B$17:$AK$190,36,0)),"")</f>
        <v/>
      </c>
    </row>
    <row r="206" spans="4:13">
      <c r="D206" s="69"/>
      <c r="E206" s="116"/>
      <c r="K206" s="101">
        <f t="shared" si="11"/>
        <v>42209</v>
      </c>
      <c r="L206" s="228" t="str">
        <f t="shared" si="10"/>
        <v/>
      </c>
      <c r="M206" s="116" t="str">
        <f>IFERROR(IF(VLOOKUP($K206,CSV!$B$17:$AK$190,36,0)&lt;=0,"",VLOOKUP($K206,CSV!$B$17:$AK$190,36,0)),"")</f>
        <v/>
      </c>
    </row>
    <row r="207" spans="4:13">
      <c r="D207" s="69"/>
      <c r="E207" s="116"/>
      <c r="K207" s="101">
        <f t="shared" si="11"/>
        <v>42210</v>
      </c>
      <c r="L207" s="228" t="str">
        <f t="shared" si="10"/>
        <v/>
      </c>
      <c r="M207" s="116" t="str">
        <f>IFERROR(IF(VLOOKUP($K207,CSV!$B$17:$AK$190,36,0)&lt;=0,"",VLOOKUP($K207,CSV!$B$17:$AK$190,36,0)),"")</f>
        <v/>
      </c>
    </row>
    <row r="208" spans="4:13">
      <c r="D208" s="69"/>
      <c r="E208" s="116"/>
      <c r="K208" s="101">
        <f t="shared" si="11"/>
        <v>42211</v>
      </c>
      <c r="L208" s="228" t="str">
        <f t="shared" si="10"/>
        <v/>
      </c>
      <c r="M208" s="116" t="str">
        <f>IFERROR(IF(VLOOKUP($K208,CSV!$B$17:$AK$190,36,0)&lt;=0,"",VLOOKUP($K208,CSV!$B$17:$AK$190,36,0)),"")</f>
        <v/>
      </c>
    </row>
    <row r="209" spans="4:13">
      <c r="D209" s="69"/>
      <c r="E209" s="116"/>
      <c r="K209" s="101">
        <f t="shared" si="11"/>
        <v>42212</v>
      </c>
      <c r="L209" s="228" t="str">
        <f t="shared" si="10"/>
        <v/>
      </c>
      <c r="M209" s="116" t="str">
        <f>IFERROR(IF(VLOOKUP($K209,CSV!$B$17:$AK$190,36,0)&lt;=0,"",VLOOKUP($K209,CSV!$B$17:$AK$190,36,0)),"")</f>
        <v/>
      </c>
    </row>
    <row r="210" spans="4:13">
      <c r="D210" s="69"/>
      <c r="E210" s="116"/>
      <c r="K210" s="101">
        <f t="shared" si="11"/>
        <v>42213</v>
      </c>
      <c r="L210" s="228" t="str">
        <f t="shared" si="10"/>
        <v/>
      </c>
      <c r="M210" s="116" t="str">
        <f>IFERROR(IF(VLOOKUP($K210,CSV!$B$17:$AK$190,36,0)&lt;=0,"",VLOOKUP($K210,CSV!$B$17:$AK$190,36,0)),"")</f>
        <v/>
      </c>
    </row>
    <row r="211" spans="4:13">
      <c r="D211" s="69"/>
      <c r="E211" s="116"/>
      <c r="K211" s="101">
        <f t="shared" si="11"/>
        <v>42214</v>
      </c>
      <c r="L211" s="228" t="str">
        <f t="shared" si="10"/>
        <v/>
      </c>
      <c r="M211" s="116" t="str">
        <f>IFERROR(IF(VLOOKUP($K211,CSV!$B$17:$AK$190,36,0)&lt;=0,"",VLOOKUP($K211,CSV!$B$17:$AK$190,36,0)),"")</f>
        <v/>
      </c>
    </row>
    <row r="212" spans="4:13">
      <c r="D212" s="69"/>
      <c r="E212" s="116"/>
      <c r="K212" s="101">
        <f t="shared" si="11"/>
        <v>42215</v>
      </c>
      <c r="L212" s="228" t="str">
        <f t="shared" si="10"/>
        <v/>
      </c>
      <c r="M212" s="116" t="str">
        <f>IFERROR(IF(VLOOKUP($K212,CSV!$B$17:$AK$190,36,0)&lt;=0,"",VLOOKUP($K212,CSV!$B$17:$AK$190,36,0)),"")</f>
        <v/>
      </c>
    </row>
    <row r="213" spans="4:13">
      <c r="D213" s="69"/>
      <c r="E213" s="116"/>
      <c r="K213" s="101">
        <f t="shared" si="11"/>
        <v>42216</v>
      </c>
      <c r="L213" s="228" t="str">
        <f t="shared" si="10"/>
        <v/>
      </c>
      <c r="M213" s="116" t="str">
        <f>IFERROR(IF(VLOOKUP($K213,CSV!$B$17:$AK$190,36,0)&lt;=0,"",VLOOKUP($K213,CSV!$B$17:$AK$190,36,0)),"")</f>
        <v/>
      </c>
    </row>
    <row r="214" spans="4:13">
      <c r="D214" s="69"/>
      <c r="E214" s="116"/>
      <c r="K214" s="101">
        <f t="shared" si="11"/>
        <v>42217</v>
      </c>
      <c r="L214" s="228" t="str">
        <f t="shared" si="10"/>
        <v/>
      </c>
      <c r="M214" s="116" t="str">
        <f>IFERROR(IF(VLOOKUP($K214,CSV!$B$17:$AK$190,36,0)&lt;=0,"",VLOOKUP($K214,CSV!$B$17:$AK$190,36,0)),"")</f>
        <v/>
      </c>
    </row>
    <row r="215" spans="4:13">
      <c r="D215" s="69"/>
      <c r="E215" s="116"/>
      <c r="K215" s="101">
        <f t="shared" si="11"/>
        <v>42218</v>
      </c>
      <c r="L215" s="228" t="str">
        <f t="shared" si="10"/>
        <v/>
      </c>
      <c r="M215" s="116" t="str">
        <f>IFERROR(IF(VLOOKUP($K215,CSV!$B$17:$AK$190,36,0)&lt;=0,"",VLOOKUP($K215,CSV!$B$17:$AK$190,36,0)),"")</f>
        <v/>
      </c>
    </row>
    <row r="216" spans="4:13">
      <c r="D216" s="69"/>
      <c r="E216" s="116"/>
      <c r="K216" s="101">
        <f t="shared" si="11"/>
        <v>42219</v>
      </c>
      <c r="L216" s="228" t="str">
        <f t="shared" si="10"/>
        <v/>
      </c>
      <c r="M216" s="116" t="str">
        <f>IFERROR(IF(VLOOKUP($K216,CSV!$B$17:$AK$190,36,0)&lt;=0,"",VLOOKUP($K216,CSV!$B$17:$AK$190,36,0)),"")</f>
        <v/>
      </c>
    </row>
    <row r="217" spans="4:13">
      <c r="D217" s="69"/>
      <c r="E217" s="116"/>
      <c r="K217" s="101">
        <f t="shared" si="11"/>
        <v>42220</v>
      </c>
      <c r="L217" s="228" t="str">
        <f t="shared" si="10"/>
        <v/>
      </c>
      <c r="M217" s="116" t="str">
        <f>IFERROR(IF(VLOOKUP($K217,CSV!$B$17:$AK$190,36,0)&lt;=0,"",VLOOKUP($K217,CSV!$B$17:$AK$190,36,0)),"")</f>
        <v/>
      </c>
    </row>
    <row r="218" spans="4:13">
      <c r="D218" s="69"/>
      <c r="E218" s="116"/>
      <c r="K218" s="101">
        <f t="shared" si="11"/>
        <v>42221</v>
      </c>
      <c r="L218" s="228" t="str">
        <f t="shared" si="10"/>
        <v/>
      </c>
      <c r="M218" s="116" t="str">
        <f>IFERROR(IF(VLOOKUP($K218,CSV!$B$17:$AK$190,36,0)&lt;=0,"",VLOOKUP($K218,CSV!$B$17:$AK$190,36,0)),"")</f>
        <v/>
      </c>
    </row>
    <row r="219" spans="4:13">
      <c r="D219" s="69"/>
      <c r="E219" s="116"/>
      <c r="K219" s="101">
        <f t="shared" si="11"/>
        <v>42222</v>
      </c>
      <c r="L219" s="228" t="str">
        <f t="shared" si="10"/>
        <v/>
      </c>
      <c r="M219" s="116" t="str">
        <f>IFERROR(IF(VLOOKUP($K219,CSV!$B$17:$AK$190,36,0)&lt;=0,"",VLOOKUP($K219,CSV!$B$17:$AK$190,36,0)),"")</f>
        <v/>
      </c>
    </row>
    <row r="220" spans="4:13">
      <c r="D220" s="69"/>
      <c r="E220" s="116"/>
      <c r="K220" s="101">
        <f t="shared" si="11"/>
        <v>42223</v>
      </c>
      <c r="L220" s="228" t="str">
        <f t="shared" si="10"/>
        <v/>
      </c>
      <c r="M220" s="116" t="str">
        <f>IFERROR(IF(VLOOKUP($K220,CSV!$B$17:$AK$190,36,0)&lt;=0,"",VLOOKUP($K220,CSV!$B$17:$AK$190,36,0)),"")</f>
        <v/>
      </c>
    </row>
    <row r="221" spans="4:13">
      <c r="D221" s="69"/>
      <c r="E221" s="116"/>
      <c r="K221" s="101">
        <f t="shared" si="11"/>
        <v>42224</v>
      </c>
      <c r="L221" s="228" t="str">
        <f t="shared" si="10"/>
        <v/>
      </c>
      <c r="M221" s="116" t="str">
        <f>IFERROR(IF(VLOOKUP($K221,CSV!$B$17:$AK$190,36,0)&lt;=0,"",VLOOKUP($K221,CSV!$B$17:$AK$190,36,0)),"")</f>
        <v/>
      </c>
    </row>
    <row r="222" spans="4:13">
      <c r="D222" s="69"/>
      <c r="E222" s="116"/>
      <c r="K222" s="101">
        <f t="shared" si="11"/>
        <v>42225</v>
      </c>
      <c r="L222" s="228" t="str">
        <f t="shared" si="10"/>
        <v/>
      </c>
      <c r="M222" s="116" t="str">
        <f>IFERROR(IF(VLOOKUP($K222,CSV!$B$17:$AK$190,36,0)&lt;=0,"",VLOOKUP($K222,CSV!$B$17:$AK$190,36,0)),"")</f>
        <v/>
      </c>
    </row>
    <row r="223" spans="4:13">
      <c r="D223" s="69"/>
      <c r="E223" s="116"/>
      <c r="K223" s="101">
        <f t="shared" si="11"/>
        <v>42226</v>
      </c>
      <c r="L223" s="228" t="str">
        <f t="shared" si="10"/>
        <v/>
      </c>
      <c r="M223" s="116" t="str">
        <f>IFERROR(IF(VLOOKUP($K223,CSV!$B$17:$AK$190,36,0)&lt;=0,"",VLOOKUP($K223,CSV!$B$17:$AK$190,36,0)),"")</f>
        <v/>
      </c>
    </row>
    <row r="224" spans="4:13">
      <c r="D224" s="69"/>
      <c r="E224" s="116"/>
      <c r="K224" s="101">
        <f t="shared" si="11"/>
        <v>42227</v>
      </c>
      <c r="L224" s="228" t="str">
        <f t="shared" si="10"/>
        <v/>
      </c>
      <c r="M224" s="116" t="str">
        <f>IFERROR(IF(VLOOKUP($K224,CSV!$B$17:$AK$190,36,0)&lt;=0,"",VLOOKUP($K224,CSV!$B$17:$AK$190,36,0)),"")</f>
        <v/>
      </c>
    </row>
    <row r="225" spans="4:13">
      <c r="D225" s="69"/>
      <c r="E225" s="116"/>
      <c r="K225" s="101">
        <f t="shared" si="11"/>
        <v>42228</v>
      </c>
      <c r="L225" s="228" t="str">
        <f t="shared" si="10"/>
        <v/>
      </c>
      <c r="M225" s="116" t="str">
        <f>IFERROR(IF(VLOOKUP($K225,CSV!$B$17:$AK$190,36,0)&lt;=0,"",VLOOKUP($K225,CSV!$B$17:$AK$190,36,0)),"")</f>
        <v/>
      </c>
    </row>
    <row r="226" spans="4:13">
      <c r="D226" s="69"/>
      <c r="E226" s="116"/>
      <c r="K226" s="101">
        <f t="shared" si="11"/>
        <v>42229</v>
      </c>
      <c r="L226" s="228" t="str">
        <f t="shared" si="10"/>
        <v/>
      </c>
      <c r="M226" s="116" t="str">
        <f>IFERROR(IF(VLOOKUP($K226,CSV!$B$17:$AK$190,36,0)&lt;=0,"",VLOOKUP($K226,CSV!$B$17:$AK$190,36,0)),"")</f>
        <v/>
      </c>
    </row>
    <row r="227" spans="4:13">
      <c r="D227" s="69"/>
      <c r="E227" s="116"/>
      <c r="K227" s="101">
        <f t="shared" si="11"/>
        <v>42230</v>
      </c>
      <c r="L227" s="228" t="str">
        <f t="shared" si="10"/>
        <v/>
      </c>
      <c r="M227" s="116" t="str">
        <f>IFERROR(IF(VLOOKUP($K227,CSV!$B$17:$AK$190,36,0)&lt;=0,"",VLOOKUP($K227,CSV!$B$17:$AK$190,36,0)),"")</f>
        <v/>
      </c>
    </row>
    <row r="228" spans="4:13">
      <c r="D228" s="69"/>
      <c r="E228" s="116"/>
      <c r="K228" s="101">
        <f t="shared" si="11"/>
        <v>42231</v>
      </c>
      <c r="L228" s="228" t="str">
        <f t="shared" si="10"/>
        <v/>
      </c>
      <c r="M228" s="116" t="str">
        <f>IFERROR(IF(VLOOKUP($K228,CSV!$B$17:$AK$190,36,0)&lt;=0,"",VLOOKUP($K228,CSV!$B$17:$AK$190,36,0)),"")</f>
        <v/>
      </c>
    </row>
    <row r="229" spans="4:13">
      <c r="D229" s="69"/>
      <c r="E229" s="116"/>
      <c r="K229" s="101">
        <f t="shared" si="11"/>
        <v>42232</v>
      </c>
      <c r="L229" s="228" t="str">
        <f t="shared" si="10"/>
        <v/>
      </c>
      <c r="M229" s="116" t="str">
        <f>IFERROR(IF(VLOOKUP($K229,CSV!$B$17:$AK$190,36,0)&lt;=0,"",VLOOKUP($K229,CSV!$B$17:$AK$190,36,0)),"")</f>
        <v/>
      </c>
    </row>
    <row r="230" spans="4:13">
      <c r="D230" s="69"/>
      <c r="E230" s="116"/>
      <c r="K230" s="101">
        <f t="shared" si="11"/>
        <v>42233</v>
      </c>
      <c r="L230" s="228" t="str">
        <f t="shared" si="10"/>
        <v/>
      </c>
      <c r="M230" s="116" t="str">
        <f>IFERROR(IF(VLOOKUP($K230,CSV!$B$17:$AK$190,36,0)&lt;=0,"",VLOOKUP($K230,CSV!$B$17:$AK$190,36,0)),"")</f>
        <v/>
      </c>
    </row>
    <row r="231" spans="4:13">
      <c r="D231" s="69"/>
      <c r="E231" s="116"/>
      <c r="K231" s="101">
        <f t="shared" si="11"/>
        <v>42234</v>
      </c>
      <c r="L231" s="228" t="str">
        <f t="shared" si="10"/>
        <v/>
      </c>
      <c r="M231" s="116" t="str">
        <f>IFERROR(IF(VLOOKUP($K231,CSV!$B$17:$AK$190,36,0)&lt;=0,"",VLOOKUP($K231,CSV!$B$17:$AK$190,36,0)),"")</f>
        <v/>
      </c>
    </row>
    <row r="232" spans="4:13">
      <c r="D232" s="69"/>
      <c r="E232" s="116"/>
      <c r="K232" s="101">
        <f t="shared" si="11"/>
        <v>42235</v>
      </c>
      <c r="L232" s="228" t="str">
        <f t="shared" si="10"/>
        <v/>
      </c>
      <c r="M232" s="116" t="str">
        <f>IFERROR(IF(VLOOKUP($K232,CSV!$B$17:$AK$190,36,0)&lt;=0,"",VLOOKUP($K232,CSV!$B$17:$AK$190,36,0)),"")</f>
        <v/>
      </c>
    </row>
    <row r="233" spans="4:13">
      <c r="D233" s="69"/>
      <c r="E233" s="116"/>
      <c r="K233" s="101">
        <f t="shared" si="11"/>
        <v>42236</v>
      </c>
      <c r="L233" s="228" t="str">
        <f t="shared" si="10"/>
        <v/>
      </c>
      <c r="M233" s="116" t="str">
        <f>IFERROR(IF(VLOOKUP($K233,CSV!$B$17:$AK$190,36,0)&lt;=0,"",VLOOKUP($K233,CSV!$B$17:$AK$190,36,0)),"")</f>
        <v/>
      </c>
    </row>
    <row r="234" spans="4:13">
      <c r="D234" s="69"/>
      <c r="E234" s="116"/>
      <c r="K234" s="101">
        <f t="shared" si="11"/>
        <v>42237</v>
      </c>
      <c r="L234" s="228" t="str">
        <f t="shared" si="10"/>
        <v/>
      </c>
      <c r="M234" s="116" t="str">
        <f>IFERROR(IF(VLOOKUP($K234,CSV!$B$17:$AK$190,36,0)&lt;=0,"",VLOOKUP($K234,CSV!$B$17:$AK$190,36,0)),"")</f>
        <v/>
      </c>
    </row>
    <row r="235" spans="4:13">
      <c r="D235" s="69"/>
      <c r="E235" s="116"/>
      <c r="K235" s="101">
        <f t="shared" si="11"/>
        <v>42238</v>
      </c>
      <c r="L235" s="228" t="str">
        <f t="shared" si="10"/>
        <v/>
      </c>
      <c r="M235" s="116" t="str">
        <f>IFERROR(IF(VLOOKUP($K235,CSV!$B$17:$AK$190,36,0)&lt;=0,"",VLOOKUP($K235,CSV!$B$17:$AK$190,36,0)),"")</f>
        <v/>
      </c>
    </row>
    <row r="236" spans="4:13">
      <c r="D236" s="69"/>
      <c r="E236" s="116"/>
      <c r="K236" s="101">
        <f t="shared" si="11"/>
        <v>42239</v>
      </c>
      <c r="L236" s="228" t="str">
        <f t="shared" si="10"/>
        <v/>
      </c>
      <c r="M236" s="116" t="str">
        <f>IFERROR(IF(VLOOKUP($K236,CSV!$B$17:$AK$190,36,0)&lt;=0,"",VLOOKUP($K236,CSV!$B$17:$AK$190,36,0)),"")</f>
        <v/>
      </c>
    </row>
    <row r="237" spans="4:13">
      <c r="D237" s="69"/>
      <c r="E237" s="116"/>
      <c r="K237" s="101">
        <f t="shared" si="11"/>
        <v>42240</v>
      </c>
      <c r="L237" s="228" t="str">
        <f t="shared" si="10"/>
        <v/>
      </c>
      <c r="M237" s="116" t="str">
        <f>IFERROR(IF(VLOOKUP($K237,CSV!$B$17:$AK$190,36,0)&lt;=0,"",VLOOKUP($K237,CSV!$B$17:$AK$190,36,0)),"")</f>
        <v/>
      </c>
    </row>
    <row r="238" spans="4:13">
      <c r="D238" s="69"/>
      <c r="E238" s="116"/>
      <c r="K238" s="101">
        <f t="shared" si="11"/>
        <v>42241</v>
      </c>
      <c r="L238" s="228" t="str">
        <f t="shared" si="10"/>
        <v/>
      </c>
      <c r="M238" s="116" t="str">
        <f>IFERROR(IF(VLOOKUP($K238,CSV!$B$17:$AK$190,36,0)&lt;=0,"",VLOOKUP($K238,CSV!$B$17:$AK$190,36,0)),"")</f>
        <v/>
      </c>
    </row>
    <row r="239" spans="4:13">
      <c r="D239" s="69"/>
      <c r="E239" s="116"/>
      <c r="K239" s="101">
        <f t="shared" si="11"/>
        <v>42242</v>
      </c>
      <c r="L239" s="228" t="str">
        <f t="shared" si="10"/>
        <v/>
      </c>
      <c r="M239" s="116" t="str">
        <f>IFERROR(IF(VLOOKUP($K239,CSV!$B$17:$AK$190,36,0)&lt;=0,"",VLOOKUP($K239,CSV!$B$17:$AK$190,36,0)),"")</f>
        <v/>
      </c>
    </row>
    <row r="240" spans="4:13">
      <c r="D240" s="69"/>
      <c r="E240" s="116"/>
      <c r="K240" s="101">
        <f t="shared" si="11"/>
        <v>42243</v>
      </c>
      <c r="L240" s="228" t="str">
        <f t="shared" si="10"/>
        <v/>
      </c>
      <c r="M240" s="116" t="str">
        <f>IFERROR(IF(VLOOKUP($K240,CSV!$B$17:$AK$190,36,0)&lt;=0,"",VLOOKUP($K240,CSV!$B$17:$AK$190,36,0)),"")</f>
        <v/>
      </c>
    </row>
    <row r="241" spans="4:13">
      <c r="D241" s="69"/>
      <c r="E241" s="116"/>
      <c r="K241" s="101">
        <f t="shared" si="11"/>
        <v>42244</v>
      </c>
      <c r="L241" s="228" t="str">
        <f t="shared" si="10"/>
        <v/>
      </c>
      <c r="M241" s="116" t="str">
        <f>IFERROR(IF(VLOOKUP($K241,CSV!$B$17:$AK$190,36,0)&lt;=0,"",VLOOKUP($K241,CSV!$B$17:$AK$190,36,0)),"")</f>
        <v/>
      </c>
    </row>
    <row r="242" spans="4:13">
      <c r="D242" s="69"/>
      <c r="E242" s="116"/>
      <c r="K242" s="101">
        <f t="shared" si="11"/>
        <v>42245</v>
      </c>
      <c r="L242" s="228" t="str">
        <f t="shared" si="10"/>
        <v/>
      </c>
      <c r="M242" s="116" t="str">
        <f>IFERROR(IF(VLOOKUP($K242,CSV!$B$17:$AK$190,36,0)&lt;=0,"",VLOOKUP($K242,CSV!$B$17:$AK$190,36,0)),"")</f>
        <v/>
      </c>
    </row>
    <row r="243" spans="4:13">
      <c r="D243" s="69"/>
      <c r="E243" s="116"/>
      <c r="K243" s="101">
        <f t="shared" si="11"/>
        <v>42246</v>
      </c>
      <c r="L243" s="228" t="str">
        <f t="shared" si="10"/>
        <v/>
      </c>
      <c r="M243" s="116" t="str">
        <f>IFERROR(IF(VLOOKUP($K243,CSV!$B$17:$AK$190,36,0)&lt;=0,"",VLOOKUP($K243,CSV!$B$17:$AK$190,36,0)),"")</f>
        <v/>
      </c>
    </row>
    <row r="244" spans="4:13">
      <c r="D244" s="69"/>
      <c r="E244" s="116"/>
      <c r="K244" s="101">
        <f t="shared" si="11"/>
        <v>42247</v>
      </c>
      <c r="L244" s="228" t="str">
        <f t="shared" si="10"/>
        <v/>
      </c>
      <c r="M244" s="116" t="str">
        <f>IFERROR(IF(VLOOKUP($K244,CSV!$B$17:$AK$190,36,0)&lt;=0,"",VLOOKUP($K244,CSV!$B$17:$AK$190,36,0)),"")</f>
        <v/>
      </c>
    </row>
    <row r="245" spans="4:13">
      <c r="D245" s="69"/>
      <c r="E245" s="116"/>
      <c r="K245" s="101">
        <f t="shared" si="11"/>
        <v>42248</v>
      </c>
      <c r="L245" s="228" t="str">
        <f t="shared" si="10"/>
        <v/>
      </c>
      <c r="M245" s="116" t="str">
        <f>IFERROR(IF(VLOOKUP($K245,CSV!$B$17:$AK$190,36,0)&lt;=0,"",VLOOKUP($K245,CSV!$B$17:$AK$190,36,0)),"")</f>
        <v/>
      </c>
    </row>
    <row r="246" spans="4:13">
      <c r="D246" s="69"/>
      <c r="E246" s="116"/>
      <c r="K246" s="101">
        <f t="shared" si="11"/>
        <v>42249</v>
      </c>
      <c r="L246" s="228" t="str">
        <f t="shared" si="10"/>
        <v/>
      </c>
      <c r="M246" s="116" t="str">
        <f>IFERROR(IF(VLOOKUP($K246,CSV!$B$17:$AK$190,36,0)&lt;=0,"",VLOOKUP($K246,CSV!$B$17:$AK$190,36,0)),"")</f>
        <v/>
      </c>
    </row>
    <row r="247" spans="4:13">
      <c r="D247" s="69"/>
      <c r="E247" s="116"/>
      <c r="K247" s="101">
        <f t="shared" si="11"/>
        <v>42250</v>
      </c>
      <c r="L247" s="228" t="str">
        <f t="shared" si="10"/>
        <v/>
      </c>
      <c r="M247" s="116" t="str">
        <f>IFERROR(IF(VLOOKUP($K247,CSV!$B$17:$AK$190,36,0)&lt;=0,"",VLOOKUP($K247,CSV!$B$17:$AK$190,36,0)),"")</f>
        <v/>
      </c>
    </row>
    <row r="248" spans="4:13">
      <c r="D248" s="69"/>
      <c r="E248" s="116"/>
      <c r="K248" s="101">
        <f t="shared" si="11"/>
        <v>42251</v>
      </c>
      <c r="L248" s="228" t="str">
        <f t="shared" si="10"/>
        <v/>
      </c>
      <c r="M248" s="116" t="str">
        <f>IFERROR(IF(VLOOKUP($K248,CSV!$B$17:$AK$190,36,0)&lt;=0,"",VLOOKUP($K248,CSV!$B$17:$AK$190,36,0)),"")</f>
        <v/>
      </c>
    </row>
    <row r="249" spans="4:13">
      <c r="D249" s="69"/>
      <c r="E249" s="116"/>
      <c r="K249" s="101">
        <f t="shared" si="11"/>
        <v>42252</v>
      </c>
      <c r="L249" s="228" t="str">
        <f t="shared" si="10"/>
        <v/>
      </c>
      <c r="M249" s="116" t="str">
        <f>IFERROR(IF(VLOOKUP($K249,CSV!$B$17:$AK$190,36,0)&lt;=0,"",VLOOKUP($K249,CSV!$B$17:$AK$190,36,0)),"")</f>
        <v/>
      </c>
    </row>
    <row r="250" spans="4:13">
      <c r="D250" s="69"/>
      <c r="E250" s="116"/>
      <c r="K250" s="101">
        <f t="shared" si="11"/>
        <v>42253</v>
      </c>
      <c r="L250" s="228" t="str">
        <f t="shared" si="10"/>
        <v/>
      </c>
      <c r="M250" s="116" t="str">
        <f>IFERROR(IF(VLOOKUP($K250,CSV!$B$17:$AK$190,36,0)&lt;=0,"",VLOOKUP($K250,CSV!$B$17:$AK$190,36,0)),"")</f>
        <v/>
      </c>
    </row>
    <row r="251" spans="4:13">
      <c r="D251" s="69"/>
      <c r="E251" s="116"/>
      <c r="K251" s="101">
        <f t="shared" si="11"/>
        <v>42254</v>
      </c>
      <c r="L251" s="228" t="str">
        <f t="shared" si="10"/>
        <v/>
      </c>
      <c r="M251" s="116" t="str">
        <f>IFERROR(IF(VLOOKUP($K251,CSV!$B$17:$AK$190,36,0)&lt;=0,"",VLOOKUP($K251,CSV!$B$17:$AK$190,36,0)),"")</f>
        <v/>
      </c>
    </row>
    <row r="252" spans="4:13">
      <c r="D252" s="69"/>
      <c r="E252" s="116"/>
      <c r="K252" s="101">
        <f t="shared" si="11"/>
        <v>42255</v>
      </c>
      <c r="L252" s="228" t="str">
        <f t="shared" si="10"/>
        <v/>
      </c>
      <c r="M252" s="116" t="str">
        <f>IFERROR(IF(VLOOKUP($K252,CSV!$B$17:$AK$190,36,0)&lt;=0,"",VLOOKUP($K252,CSV!$B$17:$AK$190,36,0)),"")</f>
        <v/>
      </c>
    </row>
    <row r="253" spans="4:13">
      <c r="D253" s="69"/>
      <c r="E253" s="116"/>
      <c r="K253" s="101">
        <f t="shared" si="11"/>
        <v>42256</v>
      </c>
      <c r="L253" s="228" t="str">
        <f t="shared" si="10"/>
        <v/>
      </c>
      <c r="M253" s="116" t="str">
        <f>IFERROR(IF(VLOOKUP($K253,CSV!$B$17:$AK$190,36,0)&lt;=0,"",VLOOKUP($K253,CSV!$B$17:$AK$190,36,0)),"")</f>
        <v/>
      </c>
    </row>
    <row r="254" spans="4:13">
      <c r="D254" s="69"/>
      <c r="E254" s="116"/>
      <c r="K254" s="101">
        <f t="shared" si="11"/>
        <v>42257</v>
      </c>
      <c r="L254" s="228" t="str">
        <f t="shared" si="10"/>
        <v/>
      </c>
      <c r="M254" s="116" t="str">
        <f>IFERROR(IF(VLOOKUP($K254,CSV!$B$17:$AK$190,36,0)&lt;=0,"",VLOOKUP($K254,CSV!$B$17:$AK$190,36,0)),"")</f>
        <v/>
      </c>
    </row>
    <row r="255" spans="4:13">
      <c r="D255" s="69"/>
      <c r="E255" s="116"/>
      <c r="K255" s="101">
        <f t="shared" si="11"/>
        <v>42258</v>
      </c>
      <c r="L255" s="228" t="str">
        <f t="shared" si="10"/>
        <v/>
      </c>
      <c r="M255" s="116" t="str">
        <f>IFERROR(IF(VLOOKUP($K255,CSV!$B$17:$AK$190,36,0)&lt;=0,"",VLOOKUP($K255,CSV!$B$17:$AK$190,36,0)),"")</f>
        <v/>
      </c>
    </row>
    <row r="256" spans="4:13">
      <c r="D256" s="69"/>
      <c r="E256" s="116"/>
      <c r="K256" s="101">
        <f t="shared" si="11"/>
        <v>42259</v>
      </c>
      <c r="L256" s="228" t="str">
        <f t="shared" si="10"/>
        <v/>
      </c>
      <c r="M256" s="116" t="str">
        <f>IFERROR(IF(VLOOKUP($K256,CSV!$B$17:$AK$190,36,0)&lt;=0,"",VLOOKUP($K256,CSV!$B$17:$AK$190,36,0)),"")</f>
        <v/>
      </c>
    </row>
    <row r="257" spans="4:13">
      <c r="D257" s="69"/>
      <c r="E257" s="116"/>
      <c r="K257" s="101">
        <f t="shared" si="11"/>
        <v>42260</v>
      </c>
      <c r="L257" s="228" t="str">
        <f t="shared" si="10"/>
        <v/>
      </c>
      <c r="M257" s="116" t="str">
        <f>IFERROR(IF(VLOOKUP($K257,CSV!$B$17:$AK$190,36,0)&lt;=0,"",VLOOKUP($K257,CSV!$B$17:$AK$190,36,0)),"")</f>
        <v/>
      </c>
    </row>
    <row r="258" spans="4:13">
      <c r="D258" s="69"/>
      <c r="E258" s="116"/>
      <c r="K258" s="101">
        <f t="shared" si="11"/>
        <v>42261</v>
      </c>
      <c r="L258" s="228" t="str">
        <f t="shared" si="10"/>
        <v/>
      </c>
      <c r="M258" s="116" t="str">
        <f>IFERROR(IF(VLOOKUP($K258,CSV!$B$17:$AK$190,36,0)&lt;=0,"",VLOOKUP($K258,CSV!$B$17:$AK$190,36,0)),"")</f>
        <v/>
      </c>
    </row>
    <row r="259" spans="4:13">
      <c r="D259" s="69"/>
      <c r="E259" s="116"/>
      <c r="K259" s="101">
        <f t="shared" si="11"/>
        <v>42262</v>
      </c>
      <c r="L259" s="228" t="str">
        <f t="shared" ref="L259" si="12">IFERROR(IF(IF(AND(K259&lt;MAX($D$2:$D$31),ISERROR(VLOOKUP(K259,$D$2:$E$31,2,FALSE))),0,VLOOKUP(K259,$D$2:$E$31,2,FALSE))&lt;=0,"",IF(AND(K259&lt;MAX($D$2:$D$31),ISERROR(VLOOKUP(K259,$D$2:$E$31,2,FALSE))),0,VLOOKUP(K259,$D$2:$E$31,2,FALSE))),"")</f>
        <v/>
      </c>
      <c r="M259" s="116" t="str">
        <f>IFERROR(IF(VLOOKUP($K259,CSV!$B$17:$AK$190,36,0)&lt;=0,"",VLOOKUP($K259,CSV!$B$17:$AK$190,36,0)),"")</f>
        <v/>
      </c>
    </row>
    <row r="260" spans="4:13">
      <c r="D260" s="69"/>
      <c r="E260" s="116"/>
      <c r="K260" s="101">
        <f t="shared" si="11"/>
        <v>42263</v>
      </c>
    </row>
    <row r="261" spans="4:13">
      <c r="K261" s="101">
        <f t="shared" ref="K261:K324" si="13">K260+1</f>
        <v>42264</v>
      </c>
    </row>
    <row r="262" spans="4:13">
      <c r="K262" s="101">
        <f t="shared" si="13"/>
        <v>42265</v>
      </c>
    </row>
    <row r="263" spans="4:13">
      <c r="K263" s="101">
        <f t="shared" si="13"/>
        <v>42266</v>
      </c>
    </row>
    <row r="264" spans="4:13">
      <c r="K264" s="101">
        <f t="shared" si="13"/>
        <v>42267</v>
      </c>
    </row>
    <row r="265" spans="4:13">
      <c r="K265" s="101">
        <f t="shared" si="13"/>
        <v>42268</v>
      </c>
    </row>
    <row r="266" spans="4:13">
      <c r="K266" s="101">
        <f t="shared" si="13"/>
        <v>42269</v>
      </c>
    </row>
    <row r="267" spans="4:13">
      <c r="K267" s="101">
        <f t="shared" si="13"/>
        <v>42270</v>
      </c>
    </row>
    <row r="268" spans="4:13">
      <c r="K268" s="101">
        <f t="shared" si="13"/>
        <v>42271</v>
      </c>
    </row>
    <row r="269" spans="4:13">
      <c r="K269" s="101">
        <f t="shared" si="13"/>
        <v>42272</v>
      </c>
    </row>
    <row r="270" spans="4:13">
      <c r="K270" s="101">
        <f t="shared" si="13"/>
        <v>42273</v>
      </c>
    </row>
    <row r="271" spans="4:13">
      <c r="K271" s="101">
        <f t="shared" si="13"/>
        <v>42274</v>
      </c>
    </row>
    <row r="272" spans="4:13">
      <c r="K272" s="101">
        <f t="shared" si="13"/>
        <v>42275</v>
      </c>
    </row>
    <row r="273" spans="11:11">
      <c r="K273" s="101">
        <f t="shared" si="13"/>
        <v>42276</v>
      </c>
    </row>
    <row r="274" spans="11:11">
      <c r="K274" s="101">
        <f t="shared" si="13"/>
        <v>42277</v>
      </c>
    </row>
    <row r="275" spans="11:11">
      <c r="K275" s="101">
        <f t="shared" si="13"/>
        <v>42278</v>
      </c>
    </row>
    <row r="276" spans="11:11">
      <c r="K276" s="101">
        <f t="shared" si="13"/>
        <v>42279</v>
      </c>
    </row>
    <row r="277" spans="11:11">
      <c r="K277" s="101">
        <f t="shared" si="13"/>
        <v>42280</v>
      </c>
    </row>
    <row r="278" spans="11:11">
      <c r="K278" s="101">
        <f t="shared" si="13"/>
        <v>42281</v>
      </c>
    </row>
    <row r="279" spans="11:11">
      <c r="K279" s="101">
        <f t="shared" si="13"/>
        <v>42282</v>
      </c>
    </row>
    <row r="280" spans="11:11">
      <c r="K280" s="101">
        <f t="shared" si="13"/>
        <v>42283</v>
      </c>
    </row>
    <row r="281" spans="11:11">
      <c r="K281" s="101">
        <f t="shared" si="13"/>
        <v>42284</v>
      </c>
    </row>
    <row r="282" spans="11:11">
      <c r="K282" s="101">
        <f t="shared" si="13"/>
        <v>42285</v>
      </c>
    </row>
    <row r="283" spans="11:11">
      <c r="K283" s="101">
        <f t="shared" si="13"/>
        <v>42286</v>
      </c>
    </row>
    <row r="284" spans="11:11">
      <c r="K284" s="101">
        <f t="shared" si="13"/>
        <v>42287</v>
      </c>
    </row>
    <row r="285" spans="11:11">
      <c r="K285" s="101">
        <f t="shared" si="13"/>
        <v>42288</v>
      </c>
    </row>
    <row r="286" spans="11:11">
      <c r="K286" s="101">
        <f t="shared" si="13"/>
        <v>42289</v>
      </c>
    </row>
    <row r="287" spans="11:11">
      <c r="K287" s="101">
        <f t="shared" si="13"/>
        <v>42290</v>
      </c>
    </row>
    <row r="288" spans="11:11">
      <c r="K288" s="101">
        <f t="shared" si="13"/>
        <v>42291</v>
      </c>
    </row>
    <row r="289" spans="11:11">
      <c r="K289" s="101">
        <f t="shared" si="13"/>
        <v>42292</v>
      </c>
    </row>
    <row r="290" spans="11:11">
      <c r="K290" s="101">
        <f t="shared" si="13"/>
        <v>42293</v>
      </c>
    </row>
    <row r="291" spans="11:11">
      <c r="K291" s="101">
        <f t="shared" si="13"/>
        <v>42294</v>
      </c>
    </row>
    <row r="292" spans="11:11">
      <c r="K292" s="101">
        <f t="shared" si="13"/>
        <v>42295</v>
      </c>
    </row>
    <row r="293" spans="11:11">
      <c r="K293" s="101">
        <f t="shared" si="13"/>
        <v>42296</v>
      </c>
    </row>
    <row r="294" spans="11:11">
      <c r="K294" s="101">
        <f t="shared" si="13"/>
        <v>42297</v>
      </c>
    </row>
    <row r="295" spans="11:11">
      <c r="K295" s="101">
        <f t="shared" si="13"/>
        <v>42298</v>
      </c>
    </row>
    <row r="296" spans="11:11">
      <c r="K296" s="101">
        <f t="shared" si="13"/>
        <v>42299</v>
      </c>
    </row>
    <row r="297" spans="11:11">
      <c r="K297" s="101">
        <f t="shared" si="13"/>
        <v>42300</v>
      </c>
    </row>
    <row r="298" spans="11:11">
      <c r="K298" s="101">
        <f t="shared" si="13"/>
        <v>42301</v>
      </c>
    </row>
    <row r="299" spans="11:11">
      <c r="K299" s="101">
        <f t="shared" si="13"/>
        <v>42302</v>
      </c>
    </row>
    <row r="300" spans="11:11">
      <c r="K300" s="101">
        <f t="shared" si="13"/>
        <v>42303</v>
      </c>
    </row>
    <row r="301" spans="11:11">
      <c r="K301" s="101">
        <f t="shared" si="13"/>
        <v>42304</v>
      </c>
    </row>
    <row r="302" spans="11:11">
      <c r="K302" s="101">
        <f t="shared" si="13"/>
        <v>42305</v>
      </c>
    </row>
    <row r="303" spans="11:11">
      <c r="K303" s="101">
        <f t="shared" si="13"/>
        <v>42306</v>
      </c>
    </row>
    <row r="304" spans="11:11">
      <c r="K304" s="101">
        <f t="shared" si="13"/>
        <v>42307</v>
      </c>
    </row>
    <row r="305" spans="11:11">
      <c r="K305" s="101">
        <f t="shared" si="13"/>
        <v>42308</v>
      </c>
    </row>
    <row r="306" spans="11:11">
      <c r="K306" s="101">
        <f t="shared" si="13"/>
        <v>42309</v>
      </c>
    </row>
    <row r="307" spans="11:11">
      <c r="K307" s="101">
        <f t="shared" si="13"/>
        <v>42310</v>
      </c>
    </row>
    <row r="308" spans="11:11">
      <c r="K308" s="101">
        <f t="shared" si="13"/>
        <v>42311</v>
      </c>
    </row>
    <row r="309" spans="11:11">
      <c r="K309" s="101">
        <f t="shared" si="13"/>
        <v>42312</v>
      </c>
    </row>
    <row r="310" spans="11:11">
      <c r="K310" s="101">
        <f t="shared" si="13"/>
        <v>42313</v>
      </c>
    </row>
    <row r="311" spans="11:11">
      <c r="K311" s="101">
        <f t="shared" si="13"/>
        <v>42314</v>
      </c>
    </row>
    <row r="312" spans="11:11">
      <c r="K312" s="101">
        <f t="shared" si="13"/>
        <v>42315</v>
      </c>
    </row>
    <row r="313" spans="11:11">
      <c r="K313" s="101">
        <f t="shared" si="13"/>
        <v>42316</v>
      </c>
    </row>
    <row r="314" spans="11:11">
      <c r="K314" s="101">
        <f t="shared" si="13"/>
        <v>42317</v>
      </c>
    </row>
    <row r="315" spans="11:11">
      <c r="K315" s="101">
        <f t="shared" si="13"/>
        <v>42318</v>
      </c>
    </row>
    <row r="316" spans="11:11">
      <c r="K316" s="101">
        <f t="shared" si="13"/>
        <v>42319</v>
      </c>
    </row>
    <row r="317" spans="11:11">
      <c r="K317" s="101">
        <f t="shared" si="13"/>
        <v>42320</v>
      </c>
    </row>
    <row r="318" spans="11:11">
      <c r="K318" s="101">
        <f t="shared" si="13"/>
        <v>42321</v>
      </c>
    </row>
    <row r="319" spans="11:11">
      <c r="K319" s="101">
        <f t="shared" si="13"/>
        <v>42322</v>
      </c>
    </row>
    <row r="320" spans="11:11">
      <c r="K320" s="101">
        <f t="shared" si="13"/>
        <v>42323</v>
      </c>
    </row>
    <row r="321" spans="11:11">
      <c r="K321" s="101">
        <f t="shared" si="13"/>
        <v>42324</v>
      </c>
    </row>
    <row r="322" spans="11:11">
      <c r="K322" s="101">
        <f t="shared" si="13"/>
        <v>42325</v>
      </c>
    </row>
    <row r="323" spans="11:11">
      <c r="K323" s="101">
        <f t="shared" si="13"/>
        <v>42326</v>
      </c>
    </row>
    <row r="324" spans="11:11">
      <c r="K324" s="101">
        <f t="shared" si="13"/>
        <v>42327</v>
      </c>
    </row>
    <row r="325" spans="11:11">
      <c r="K325" s="101">
        <f t="shared" ref="K325:K366" si="14">K324+1</f>
        <v>42328</v>
      </c>
    </row>
    <row r="326" spans="11:11">
      <c r="K326" s="101">
        <f t="shared" si="14"/>
        <v>42329</v>
      </c>
    </row>
    <row r="327" spans="11:11">
      <c r="K327" s="101">
        <f t="shared" si="14"/>
        <v>42330</v>
      </c>
    </row>
    <row r="328" spans="11:11">
      <c r="K328" s="101">
        <f t="shared" si="14"/>
        <v>42331</v>
      </c>
    </row>
    <row r="329" spans="11:11">
      <c r="K329" s="101">
        <f t="shared" si="14"/>
        <v>42332</v>
      </c>
    </row>
    <row r="330" spans="11:11">
      <c r="K330" s="101">
        <f t="shared" si="14"/>
        <v>42333</v>
      </c>
    </row>
    <row r="331" spans="11:11">
      <c r="K331" s="101">
        <f t="shared" si="14"/>
        <v>42334</v>
      </c>
    </row>
    <row r="332" spans="11:11">
      <c r="K332" s="101">
        <f t="shared" si="14"/>
        <v>42335</v>
      </c>
    </row>
    <row r="333" spans="11:11">
      <c r="K333" s="101">
        <f t="shared" si="14"/>
        <v>42336</v>
      </c>
    </row>
    <row r="334" spans="11:11">
      <c r="K334" s="101">
        <f t="shared" si="14"/>
        <v>42337</v>
      </c>
    </row>
    <row r="335" spans="11:11">
      <c r="K335" s="101">
        <f t="shared" si="14"/>
        <v>42338</v>
      </c>
    </row>
    <row r="336" spans="11:11">
      <c r="K336" s="101">
        <f t="shared" si="14"/>
        <v>42339</v>
      </c>
    </row>
    <row r="337" spans="11:11">
      <c r="K337" s="101">
        <f t="shared" si="14"/>
        <v>42340</v>
      </c>
    </row>
    <row r="338" spans="11:11">
      <c r="K338" s="101">
        <f t="shared" si="14"/>
        <v>42341</v>
      </c>
    </row>
    <row r="339" spans="11:11">
      <c r="K339" s="101">
        <f t="shared" si="14"/>
        <v>42342</v>
      </c>
    </row>
    <row r="340" spans="11:11">
      <c r="K340" s="101">
        <f t="shared" si="14"/>
        <v>42343</v>
      </c>
    </row>
    <row r="341" spans="11:11">
      <c r="K341" s="101">
        <f t="shared" si="14"/>
        <v>42344</v>
      </c>
    </row>
    <row r="342" spans="11:11">
      <c r="K342" s="101">
        <f t="shared" si="14"/>
        <v>42345</v>
      </c>
    </row>
    <row r="343" spans="11:11">
      <c r="K343" s="101">
        <f t="shared" si="14"/>
        <v>42346</v>
      </c>
    </row>
    <row r="344" spans="11:11">
      <c r="K344" s="101">
        <f t="shared" si="14"/>
        <v>42347</v>
      </c>
    </row>
    <row r="345" spans="11:11">
      <c r="K345" s="101">
        <f t="shared" si="14"/>
        <v>42348</v>
      </c>
    </row>
    <row r="346" spans="11:11">
      <c r="K346" s="101">
        <f t="shared" si="14"/>
        <v>42349</v>
      </c>
    </row>
    <row r="347" spans="11:11">
      <c r="K347" s="101">
        <f t="shared" si="14"/>
        <v>42350</v>
      </c>
    </row>
    <row r="348" spans="11:11">
      <c r="K348" s="101">
        <f t="shared" si="14"/>
        <v>42351</v>
      </c>
    </row>
    <row r="349" spans="11:11">
      <c r="K349" s="101">
        <f t="shared" si="14"/>
        <v>42352</v>
      </c>
    </row>
    <row r="350" spans="11:11">
      <c r="K350" s="101">
        <f t="shared" si="14"/>
        <v>42353</v>
      </c>
    </row>
    <row r="351" spans="11:11">
      <c r="K351" s="101">
        <f t="shared" si="14"/>
        <v>42354</v>
      </c>
    </row>
    <row r="352" spans="11:11">
      <c r="K352" s="101">
        <f t="shared" si="14"/>
        <v>42355</v>
      </c>
    </row>
    <row r="353" spans="11:11">
      <c r="K353" s="101">
        <f t="shared" si="14"/>
        <v>42356</v>
      </c>
    </row>
    <row r="354" spans="11:11">
      <c r="K354" s="101">
        <f t="shared" si="14"/>
        <v>42357</v>
      </c>
    </row>
    <row r="355" spans="11:11">
      <c r="K355" s="101">
        <f t="shared" si="14"/>
        <v>42358</v>
      </c>
    </row>
    <row r="356" spans="11:11">
      <c r="K356" s="101">
        <f t="shared" si="14"/>
        <v>42359</v>
      </c>
    </row>
    <row r="357" spans="11:11">
      <c r="K357" s="101">
        <f t="shared" si="14"/>
        <v>42360</v>
      </c>
    </row>
    <row r="358" spans="11:11">
      <c r="K358" s="101">
        <f t="shared" si="14"/>
        <v>42361</v>
      </c>
    </row>
    <row r="359" spans="11:11">
      <c r="K359" s="101">
        <f t="shared" si="14"/>
        <v>42362</v>
      </c>
    </row>
    <row r="360" spans="11:11">
      <c r="K360" s="101">
        <f t="shared" si="14"/>
        <v>42363</v>
      </c>
    </row>
    <row r="361" spans="11:11">
      <c r="K361" s="101">
        <f t="shared" si="14"/>
        <v>42364</v>
      </c>
    </row>
    <row r="362" spans="11:11">
      <c r="K362" s="101">
        <f t="shared" si="14"/>
        <v>42365</v>
      </c>
    </row>
    <row r="363" spans="11:11">
      <c r="K363" s="101">
        <f t="shared" si="14"/>
        <v>42366</v>
      </c>
    </row>
    <row r="364" spans="11:11">
      <c r="K364" s="101">
        <f t="shared" si="14"/>
        <v>42367</v>
      </c>
    </row>
    <row r="365" spans="11:11">
      <c r="K365" s="101">
        <f t="shared" si="14"/>
        <v>42368</v>
      </c>
    </row>
    <row r="366" spans="11:11">
      <c r="K366" s="101">
        <f t="shared" si="14"/>
        <v>42369</v>
      </c>
    </row>
    <row r="367" spans="11:11"/>
    <row r="368" spans="11:11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0">
    <tabColor theme="5" tint="0.59999389629810485"/>
  </sheetPr>
  <dimension ref="A1:CX1591"/>
  <sheetViews>
    <sheetView showGridLines="0" workbookViewId="0">
      <selection activeCell="E10" sqref="E10"/>
    </sheetView>
  </sheetViews>
  <sheetFormatPr baseColWidth="10" defaultColWidth="0" defaultRowHeight="15" zeroHeight="1"/>
  <cols>
    <col min="1" max="2" width="9.42578125" style="68" bestFit="1" customWidth="1"/>
    <col min="3" max="5" width="10.7109375" style="68" bestFit="1" customWidth="1"/>
    <col min="6" max="6" width="8.7109375" style="68" customWidth="1"/>
    <col min="7" max="7" width="14.28515625" style="68" customWidth="1"/>
    <col min="8" max="8" width="11" style="68" customWidth="1"/>
    <col min="9" max="10" width="8.7109375" style="68" customWidth="1"/>
    <col min="11" max="11" width="10.42578125" style="68" customWidth="1"/>
    <col min="12" max="14" width="8.7109375" style="68" customWidth="1"/>
    <col min="15" max="15" width="16.7109375" style="68" bestFit="1" customWidth="1"/>
    <col min="16" max="16" width="11" style="65" customWidth="1"/>
    <col min="17" max="20" width="11" style="103" customWidth="1"/>
    <col min="21" max="22" width="10.7109375" style="68" bestFit="1" customWidth="1"/>
    <col min="23" max="23" width="13.5703125" style="68" customWidth="1"/>
    <col min="24" max="24" width="10.42578125" style="68" bestFit="1" customWidth="1"/>
    <col min="25" max="37" width="8.7109375" style="68" customWidth="1"/>
    <col min="38" max="102" width="0" style="68" hidden="1" customWidth="1"/>
    <col min="103" max="16384" width="8.7109375" style="68" hidden="1"/>
  </cols>
  <sheetData>
    <row r="1" spans="1:35" ht="18.75">
      <c r="A1" s="97" t="s">
        <v>551</v>
      </c>
    </row>
    <row r="2" spans="1:35">
      <c r="A2" s="80" t="s">
        <v>547</v>
      </c>
      <c r="B2" s="63" t="str">
        <f>Inputs!C4</f>
        <v>LT 2015 TrB F1 Z1</v>
      </c>
    </row>
    <row r="3" spans="1:35">
      <c r="S3" s="116"/>
      <c r="T3" s="116"/>
      <c r="U3" s="116"/>
      <c r="V3" s="305">
        <v>1</v>
      </c>
      <c r="W3" s="305">
        <v>2</v>
      </c>
      <c r="X3" s="305">
        <v>3</v>
      </c>
      <c r="Y3" s="305">
        <v>4</v>
      </c>
      <c r="Z3" s="305">
        <v>5</v>
      </c>
      <c r="AA3" s="305">
        <v>6</v>
      </c>
      <c r="AB3" s="305">
        <v>7</v>
      </c>
      <c r="AC3" s="305">
        <v>8</v>
      </c>
      <c r="AD3" s="305">
        <v>9</v>
      </c>
      <c r="AE3" s="305">
        <v>10</v>
      </c>
      <c r="AF3" s="305">
        <v>11</v>
      </c>
      <c r="AG3" s="305">
        <v>12</v>
      </c>
      <c r="AH3" s="305">
        <v>13</v>
      </c>
      <c r="AI3" s="305">
        <v>14</v>
      </c>
    </row>
    <row r="4" spans="1:35">
      <c r="F4" s="570" t="s">
        <v>633</v>
      </c>
      <c r="G4" s="571"/>
      <c r="H4" s="571"/>
      <c r="I4" s="571"/>
      <c r="J4" s="571"/>
      <c r="K4" s="571"/>
      <c r="L4" s="571"/>
      <c r="M4" s="571"/>
      <c r="N4" s="571"/>
      <c r="O4" s="571"/>
      <c r="P4" s="571"/>
      <c r="Q4" s="572"/>
      <c r="S4" s="570" t="s">
        <v>634</v>
      </c>
      <c r="T4" s="571"/>
      <c r="U4" s="571"/>
      <c r="V4" s="571"/>
      <c r="W4" s="571"/>
      <c r="X4" s="571"/>
      <c r="Y4" s="571"/>
      <c r="Z4" s="571"/>
      <c r="AA4" s="571"/>
      <c r="AB4" s="571"/>
      <c r="AC4" s="571"/>
      <c r="AD4" s="571"/>
      <c r="AE4" s="571"/>
      <c r="AF4" s="571"/>
      <c r="AG4" s="571"/>
      <c r="AH4" s="571"/>
      <c r="AI4" s="572"/>
    </row>
    <row r="5" spans="1:35"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U5" s="103"/>
      <c r="V5" s="101"/>
      <c r="W5" s="101"/>
      <c r="X5" s="101"/>
      <c r="Y5" s="101"/>
      <c r="Z5" s="101"/>
      <c r="AA5" s="101"/>
      <c r="AB5" s="101"/>
      <c r="AC5" s="101"/>
      <c r="AD5" s="101"/>
      <c r="AE5" s="101"/>
      <c r="AF5" s="101"/>
      <c r="AG5" s="101"/>
      <c r="AH5" s="101"/>
      <c r="AI5" s="101"/>
    </row>
    <row r="6" spans="1:35">
      <c r="E6" s="70"/>
      <c r="F6" s="99" t="s">
        <v>606</v>
      </c>
      <c r="G6" s="99"/>
      <c r="H6" s="99"/>
      <c r="I6" s="99"/>
      <c r="J6" s="99"/>
      <c r="K6" s="99"/>
      <c r="L6" s="99"/>
      <c r="M6" s="99"/>
      <c r="N6" s="99"/>
      <c r="O6" s="99"/>
      <c r="P6" s="99"/>
      <c r="Q6" s="99"/>
      <c r="S6" s="99"/>
      <c r="T6" s="99"/>
      <c r="U6" s="99"/>
      <c r="V6" s="101"/>
      <c r="W6" s="99" t="s">
        <v>606</v>
      </c>
      <c r="X6" s="99"/>
      <c r="Y6" s="99"/>
      <c r="Z6" s="99"/>
      <c r="AA6" s="99"/>
      <c r="AB6" s="99"/>
      <c r="AC6" s="99"/>
      <c r="AD6" s="99"/>
      <c r="AE6" s="99"/>
      <c r="AF6" s="99"/>
      <c r="AG6" s="99"/>
      <c r="AH6" s="99"/>
      <c r="AI6" s="99"/>
    </row>
    <row r="7" spans="1:35" s="71" customFormat="1">
      <c r="A7" s="71" t="s">
        <v>530</v>
      </c>
      <c r="B7" s="71" t="s">
        <v>531</v>
      </c>
      <c r="C7" s="71" t="s">
        <v>532</v>
      </c>
      <c r="D7" s="71" t="s">
        <v>604</v>
      </c>
      <c r="E7" s="107" t="s">
        <v>575</v>
      </c>
      <c r="F7" s="99" t="s">
        <v>533</v>
      </c>
      <c r="G7" s="99" t="s">
        <v>534</v>
      </c>
      <c r="H7" s="99" t="s">
        <v>535</v>
      </c>
      <c r="I7" s="99" t="s">
        <v>536</v>
      </c>
      <c r="J7" s="99" t="s">
        <v>537</v>
      </c>
      <c r="K7" s="99" t="s">
        <v>538</v>
      </c>
      <c r="L7" s="99" t="s">
        <v>539</v>
      </c>
      <c r="M7" s="99" t="s">
        <v>540</v>
      </c>
      <c r="N7" s="99" t="s">
        <v>541</v>
      </c>
      <c r="O7" s="99" t="s">
        <v>542</v>
      </c>
      <c r="P7" s="99" t="s">
        <v>543</v>
      </c>
      <c r="Q7" s="99" t="s">
        <v>544</v>
      </c>
      <c r="S7" s="71" t="s">
        <v>530</v>
      </c>
      <c r="T7" s="71" t="s">
        <v>531</v>
      </c>
      <c r="U7" s="71" t="s">
        <v>532</v>
      </c>
      <c r="V7" s="107" t="s">
        <v>575</v>
      </c>
      <c r="W7" s="99" t="s">
        <v>84</v>
      </c>
      <c r="X7" s="99" t="s">
        <v>533</v>
      </c>
      <c r="Y7" s="99" t="s">
        <v>534</v>
      </c>
      <c r="Z7" s="99" t="s">
        <v>535</v>
      </c>
      <c r="AA7" s="99" t="s">
        <v>536</v>
      </c>
      <c r="AB7" s="99" t="s">
        <v>537</v>
      </c>
      <c r="AC7" s="99" t="s">
        <v>538</v>
      </c>
      <c r="AD7" s="99" t="s">
        <v>539</v>
      </c>
      <c r="AE7" s="99" t="s">
        <v>540</v>
      </c>
      <c r="AF7" s="99" t="s">
        <v>541</v>
      </c>
      <c r="AG7" s="99" t="s">
        <v>542</v>
      </c>
      <c r="AH7" s="99" t="s">
        <v>543</v>
      </c>
      <c r="AI7" s="99" t="s">
        <v>544</v>
      </c>
    </row>
    <row r="8" spans="1:35" s="71" customFormat="1">
      <c r="A8" s="210">
        <f>DAY(E8)</f>
        <v>1</v>
      </c>
      <c r="B8" s="210">
        <f>MONTH(E8)</f>
        <v>1</v>
      </c>
      <c r="C8" s="210">
        <f>YEAR(Inputs!I8)</f>
        <v>2015</v>
      </c>
      <c r="D8" s="106">
        <f>DATE(C8,B8,A8)</f>
        <v>42005</v>
      </c>
      <c r="E8" s="230">
        <v>42005</v>
      </c>
      <c r="F8" s="229">
        <v>11.7</v>
      </c>
      <c r="G8" s="229">
        <v>15.8</v>
      </c>
      <c r="H8" s="229">
        <v>8.1999999999999993</v>
      </c>
      <c r="I8" s="229">
        <v>86.2</v>
      </c>
      <c r="J8" s="229">
        <v>96.5</v>
      </c>
      <c r="K8" s="229">
        <v>68.099999999999994</v>
      </c>
      <c r="L8" s="229">
        <v>4.83</v>
      </c>
      <c r="M8" s="229">
        <v>1.9</v>
      </c>
      <c r="N8" s="229">
        <v>7.3</v>
      </c>
      <c r="O8" s="229">
        <v>5.3</v>
      </c>
      <c r="P8" s="229">
        <v>0</v>
      </c>
      <c r="Q8" s="229">
        <v>1</v>
      </c>
      <c r="S8" s="122">
        <f>DAY(W8)</f>
        <v>1</v>
      </c>
      <c r="T8" s="122">
        <f>MONTH(W8)</f>
        <v>1</v>
      </c>
      <c r="U8" s="122">
        <f>YEAR(Inputs!$I$8)</f>
        <v>2015</v>
      </c>
      <c r="V8" s="108">
        <f>DATE(U8,T8,S8)</f>
        <v>42005</v>
      </c>
      <c r="W8" s="69">
        <v>42005</v>
      </c>
      <c r="X8" s="116">
        <v>1</v>
      </c>
      <c r="Y8" s="116">
        <v>10.3</v>
      </c>
      <c r="Z8" s="116">
        <v>-6.8</v>
      </c>
      <c r="AA8" s="116">
        <v>77.099999999999994</v>
      </c>
      <c r="AB8" s="116">
        <v>94.4</v>
      </c>
      <c r="AC8" s="116">
        <v>52.9</v>
      </c>
      <c r="AD8" s="116">
        <v>10.23</v>
      </c>
      <c r="AE8" s="116">
        <v>1.2</v>
      </c>
      <c r="AF8" s="116">
        <v>4.3</v>
      </c>
      <c r="AG8" s="116">
        <v>7.9</v>
      </c>
      <c r="AH8" s="116">
        <v>0</v>
      </c>
      <c r="AI8" s="116">
        <v>0.8</v>
      </c>
    </row>
    <row r="9" spans="1:35" s="71" customFormat="1">
      <c r="A9" s="210">
        <f t="shared" ref="A9:A71" si="0">DAY(E9)</f>
        <v>2</v>
      </c>
      <c r="B9" s="210">
        <f t="shared" ref="B9:B71" si="1">MONTH(E9)</f>
        <v>1</v>
      </c>
      <c r="C9" s="210">
        <f>C8</f>
        <v>2015</v>
      </c>
      <c r="D9" s="106">
        <f t="shared" ref="D9:D72" si="2">DATE(C9,B9,A9)</f>
        <v>42006</v>
      </c>
      <c r="E9" s="230">
        <v>42006</v>
      </c>
      <c r="F9" s="229">
        <v>8.8000000000000007</v>
      </c>
      <c r="G9" s="229">
        <v>12.8</v>
      </c>
      <c r="H9" s="229">
        <v>3.7</v>
      </c>
      <c r="I9" s="229">
        <v>76.7</v>
      </c>
      <c r="J9" s="229">
        <v>92.4</v>
      </c>
      <c r="K9" s="229">
        <v>55.3</v>
      </c>
      <c r="L9" s="229">
        <v>6.26</v>
      </c>
      <c r="M9" s="229">
        <v>4.8</v>
      </c>
      <c r="N9" s="229">
        <v>10.5</v>
      </c>
      <c r="O9" s="229">
        <v>6.5</v>
      </c>
      <c r="P9" s="229">
        <v>0</v>
      </c>
      <c r="Q9" s="229">
        <v>1.7</v>
      </c>
      <c r="S9" s="122">
        <f t="shared" ref="S9:S72" si="3">DAY(W9)</f>
        <v>2</v>
      </c>
      <c r="T9" s="122">
        <f t="shared" ref="T9:T72" si="4">MONTH(W9)</f>
        <v>1</v>
      </c>
      <c r="U9" s="122">
        <f>YEAR(Inputs!$I$8)</f>
        <v>2015</v>
      </c>
      <c r="V9" s="108">
        <f t="shared" ref="V9:V72" si="5">DATE(U9,T9,S9)</f>
        <v>42006</v>
      </c>
      <c r="W9" s="69">
        <v>42006</v>
      </c>
      <c r="X9" s="116">
        <v>1.6</v>
      </c>
      <c r="Y9" s="116">
        <v>13.9</v>
      </c>
      <c r="Z9" s="116">
        <v>-5.7</v>
      </c>
      <c r="AA9" s="116">
        <v>72.2</v>
      </c>
      <c r="AB9" s="116">
        <v>96.9</v>
      </c>
      <c r="AC9" s="116">
        <v>28.9</v>
      </c>
      <c r="AD9" s="116">
        <v>10.19</v>
      </c>
      <c r="AE9" s="116">
        <v>0.9</v>
      </c>
      <c r="AF9" s="116">
        <v>4.3</v>
      </c>
      <c r="AG9" s="116">
        <v>7.7</v>
      </c>
      <c r="AH9" s="116">
        <v>0</v>
      </c>
      <c r="AI9" s="116">
        <v>1</v>
      </c>
    </row>
    <row r="10" spans="1:35" s="71" customFormat="1">
      <c r="A10" s="210">
        <f t="shared" si="0"/>
        <v>3</v>
      </c>
      <c r="B10" s="210">
        <f t="shared" si="1"/>
        <v>1</v>
      </c>
      <c r="C10" s="210">
        <f t="shared" ref="C10:C73" si="6">C9</f>
        <v>2015</v>
      </c>
      <c r="D10" s="106">
        <f t="shared" si="2"/>
        <v>42007</v>
      </c>
      <c r="E10" s="230">
        <v>42007</v>
      </c>
      <c r="F10" s="229">
        <v>8.6</v>
      </c>
      <c r="G10" s="229">
        <v>12.7</v>
      </c>
      <c r="H10" s="229">
        <v>1.8</v>
      </c>
      <c r="I10" s="229">
        <v>82.9</v>
      </c>
      <c r="J10" s="229">
        <v>94.7</v>
      </c>
      <c r="K10" s="229">
        <v>66.7</v>
      </c>
      <c r="L10" s="229">
        <v>4.2300000000000004</v>
      </c>
      <c r="M10" s="229">
        <v>5.6</v>
      </c>
      <c r="N10" s="229">
        <v>12.9</v>
      </c>
      <c r="O10" s="229">
        <v>5.5</v>
      </c>
      <c r="P10" s="229">
        <v>0</v>
      </c>
      <c r="Q10" s="229">
        <v>1.4</v>
      </c>
      <c r="S10" s="122">
        <f t="shared" si="3"/>
        <v>3</v>
      </c>
      <c r="T10" s="122">
        <f t="shared" si="4"/>
        <v>1</v>
      </c>
      <c r="U10" s="122">
        <f>YEAR(Inputs!$I$8)</f>
        <v>2015</v>
      </c>
      <c r="V10" s="108">
        <f t="shared" si="5"/>
        <v>42007</v>
      </c>
      <c r="W10" s="69">
        <v>42007</v>
      </c>
      <c r="X10" s="116">
        <v>2.6</v>
      </c>
      <c r="Y10" s="116">
        <v>15.2</v>
      </c>
      <c r="Z10" s="116">
        <v>-5.3</v>
      </c>
      <c r="AA10" s="116">
        <v>69.900000000000006</v>
      </c>
      <c r="AB10" s="116">
        <v>93.9</v>
      </c>
      <c r="AC10" s="116">
        <v>26.2</v>
      </c>
      <c r="AD10" s="116">
        <v>10.44</v>
      </c>
      <c r="AE10" s="116">
        <v>1.7</v>
      </c>
      <c r="AF10" s="116">
        <v>5.0999999999999996</v>
      </c>
      <c r="AG10" s="116">
        <v>7.8</v>
      </c>
      <c r="AH10" s="116">
        <v>0</v>
      </c>
      <c r="AI10" s="116">
        <v>1.6</v>
      </c>
    </row>
    <row r="11" spans="1:35" s="71" customFormat="1">
      <c r="A11" s="210">
        <f t="shared" si="0"/>
        <v>4</v>
      </c>
      <c r="B11" s="210">
        <f t="shared" si="1"/>
        <v>1</v>
      </c>
      <c r="C11" s="210">
        <f t="shared" si="6"/>
        <v>2015</v>
      </c>
      <c r="D11" s="106">
        <f t="shared" si="2"/>
        <v>42008</v>
      </c>
      <c r="E11" s="230">
        <v>42008</v>
      </c>
      <c r="F11" s="229">
        <v>13.8</v>
      </c>
      <c r="G11" s="229">
        <v>18.3</v>
      </c>
      <c r="H11" s="229">
        <v>9</v>
      </c>
      <c r="I11" s="229">
        <v>73.5</v>
      </c>
      <c r="J11" s="229">
        <v>93.2</v>
      </c>
      <c r="K11" s="229">
        <v>53.8</v>
      </c>
      <c r="L11" s="229">
        <v>8.17</v>
      </c>
      <c r="M11" s="229">
        <v>9.5</v>
      </c>
      <c r="N11" s="229">
        <v>17.5</v>
      </c>
      <c r="O11" s="229">
        <v>6.9</v>
      </c>
      <c r="P11" s="229">
        <v>0.8</v>
      </c>
      <c r="Q11" s="229">
        <v>2.9</v>
      </c>
      <c r="S11" s="122">
        <f t="shared" si="3"/>
        <v>4</v>
      </c>
      <c r="T11" s="122">
        <f t="shared" si="4"/>
        <v>1</v>
      </c>
      <c r="U11" s="122">
        <f>YEAR(Inputs!$I$8)</f>
        <v>2015</v>
      </c>
      <c r="V11" s="108">
        <f t="shared" si="5"/>
        <v>42008</v>
      </c>
      <c r="W11" s="69">
        <v>42008</v>
      </c>
      <c r="X11" s="116">
        <v>4.5999999999999996</v>
      </c>
      <c r="Y11" s="116">
        <v>15.8</v>
      </c>
      <c r="Z11" s="116">
        <v>-2.9</v>
      </c>
      <c r="AA11" s="116">
        <v>65</v>
      </c>
      <c r="AB11" s="116">
        <v>90.8</v>
      </c>
      <c r="AC11" s="116">
        <v>29.2</v>
      </c>
      <c r="AD11" s="116">
        <v>10.199999999999999</v>
      </c>
      <c r="AE11" s="116">
        <v>1.8</v>
      </c>
      <c r="AF11" s="116">
        <v>5.7</v>
      </c>
      <c r="AG11" s="116">
        <v>7.8</v>
      </c>
      <c r="AH11" s="116">
        <v>0</v>
      </c>
      <c r="AI11" s="116">
        <v>1.7</v>
      </c>
    </row>
    <row r="12" spans="1:35" s="71" customFormat="1">
      <c r="A12" s="210">
        <f t="shared" si="0"/>
        <v>5</v>
      </c>
      <c r="B12" s="210">
        <f t="shared" si="1"/>
        <v>1</v>
      </c>
      <c r="C12" s="210">
        <f t="shared" si="6"/>
        <v>2015</v>
      </c>
      <c r="D12" s="106">
        <f t="shared" si="2"/>
        <v>42009</v>
      </c>
      <c r="E12" s="230">
        <v>42009</v>
      </c>
      <c r="F12" s="229">
        <v>6.6</v>
      </c>
      <c r="G12" s="229">
        <v>9.6</v>
      </c>
      <c r="H12" s="229">
        <v>2.7</v>
      </c>
      <c r="I12" s="229">
        <v>85.9</v>
      </c>
      <c r="J12" s="229">
        <v>95.4</v>
      </c>
      <c r="K12" s="229">
        <v>63.8</v>
      </c>
      <c r="L12" s="229">
        <v>6.57</v>
      </c>
      <c r="M12" s="229">
        <v>5.6</v>
      </c>
      <c r="N12" s="229">
        <v>12.5</v>
      </c>
      <c r="O12" s="229">
        <v>5</v>
      </c>
      <c r="P12" s="229">
        <v>3.9</v>
      </c>
      <c r="Q12" s="229">
        <v>1.3</v>
      </c>
      <c r="S12" s="122">
        <f t="shared" si="3"/>
        <v>5</v>
      </c>
      <c r="T12" s="122">
        <f t="shared" si="4"/>
        <v>1</v>
      </c>
      <c r="U12" s="122">
        <f>YEAR(Inputs!$I$8)</f>
        <v>2015</v>
      </c>
      <c r="V12" s="108">
        <f t="shared" si="5"/>
        <v>42009</v>
      </c>
      <c r="W12" s="69">
        <v>42009</v>
      </c>
      <c r="X12" s="116">
        <v>3.7</v>
      </c>
      <c r="Y12" s="116">
        <v>15.2</v>
      </c>
      <c r="Z12" s="116">
        <v>-3.5</v>
      </c>
      <c r="AA12" s="116">
        <v>71.099999999999994</v>
      </c>
      <c r="AB12" s="116">
        <v>93.9</v>
      </c>
      <c r="AC12" s="116">
        <v>32.299999999999997</v>
      </c>
      <c r="AD12" s="116">
        <v>10.24</v>
      </c>
      <c r="AE12" s="116">
        <v>0.8</v>
      </c>
      <c r="AF12" s="116">
        <v>2.9</v>
      </c>
      <c r="AG12" s="116">
        <v>7.9</v>
      </c>
      <c r="AH12" s="116">
        <v>0</v>
      </c>
      <c r="AI12" s="116">
        <v>0.9</v>
      </c>
    </row>
    <row r="13" spans="1:35" s="71" customFormat="1">
      <c r="A13" s="210">
        <f t="shared" si="0"/>
        <v>6</v>
      </c>
      <c r="B13" s="210">
        <f t="shared" si="1"/>
        <v>1</v>
      </c>
      <c r="C13" s="210">
        <f t="shared" si="6"/>
        <v>2015</v>
      </c>
      <c r="D13" s="106">
        <f t="shared" si="2"/>
        <v>42010</v>
      </c>
      <c r="E13" s="230">
        <v>42010</v>
      </c>
      <c r="F13" s="229">
        <v>4.5</v>
      </c>
      <c r="G13" s="229">
        <v>8.3000000000000007</v>
      </c>
      <c r="H13" s="229">
        <v>0.3</v>
      </c>
      <c r="I13" s="229">
        <v>84.8</v>
      </c>
      <c r="J13" s="229">
        <v>95.4</v>
      </c>
      <c r="K13" s="229">
        <v>74.099999999999994</v>
      </c>
      <c r="L13" s="229">
        <v>6.54</v>
      </c>
      <c r="M13" s="229">
        <v>5.9</v>
      </c>
      <c r="N13" s="229">
        <v>13</v>
      </c>
      <c r="O13" s="229">
        <v>7.9</v>
      </c>
      <c r="P13" s="229">
        <v>0.2</v>
      </c>
      <c r="Q13" s="229">
        <v>1</v>
      </c>
      <c r="S13" s="122">
        <f t="shared" si="3"/>
        <v>6</v>
      </c>
      <c r="T13" s="122">
        <f t="shared" si="4"/>
        <v>1</v>
      </c>
      <c r="U13" s="122">
        <f>YEAR(Inputs!$I$8)</f>
        <v>2015</v>
      </c>
      <c r="V13" s="108">
        <f t="shared" si="5"/>
        <v>42010</v>
      </c>
      <c r="W13" s="69">
        <v>42010</v>
      </c>
      <c r="X13" s="116">
        <v>2.7</v>
      </c>
      <c r="Y13" s="116">
        <v>12</v>
      </c>
      <c r="Z13" s="116">
        <v>-3.8</v>
      </c>
      <c r="AA13" s="116">
        <v>73.2</v>
      </c>
      <c r="AB13" s="116">
        <v>94.3</v>
      </c>
      <c r="AC13" s="116">
        <v>39</v>
      </c>
      <c r="AD13" s="116">
        <v>10.19</v>
      </c>
      <c r="AE13" s="116">
        <v>2</v>
      </c>
      <c r="AF13" s="116">
        <v>6.7</v>
      </c>
      <c r="AG13" s="116">
        <v>7.7</v>
      </c>
      <c r="AH13" s="116">
        <v>0</v>
      </c>
      <c r="AI13" s="116">
        <v>1.3</v>
      </c>
    </row>
    <row r="14" spans="1:35" s="71" customFormat="1">
      <c r="A14" s="210">
        <f t="shared" si="0"/>
        <v>7</v>
      </c>
      <c r="B14" s="210">
        <f t="shared" si="1"/>
        <v>1</v>
      </c>
      <c r="C14" s="210">
        <f t="shared" si="6"/>
        <v>2015</v>
      </c>
      <c r="D14" s="106">
        <f t="shared" si="2"/>
        <v>42011</v>
      </c>
      <c r="E14" s="230">
        <v>42011</v>
      </c>
      <c r="F14" s="229">
        <v>10.8</v>
      </c>
      <c r="G14" s="229">
        <v>13.9</v>
      </c>
      <c r="H14" s="229">
        <v>8.6</v>
      </c>
      <c r="I14" s="229">
        <v>84</v>
      </c>
      <c r="J14" s="229">
        <v>88.9</v>
      </c>
      <c r="K14" s="229">
        <v>73.8</v>
      </c>
      <c r="L14" s="229">
        <v>5.18</v>
      </c>
      <c r="M14" s="229">
        <v>6.3</v>
      </c>
      <c r="N14" s="229">
        <v>12.6</v>
      </c>
      <c r="O14" s="229">
        <v>4.8</v>
      </c>
      <c r="P14" s="229">
        <v>0</v>
      </c>
      <c r="Q14" s="229">
        <v>1.5</v>
      </c>
      <c r="S14" s="122">
        <f t="shared" si="3"/>
        <v>7</v>
      </c>
      <c r="T14" s="122">
        <f t="shared" si="4"/>
        <v>1</v>
      </c>
      <c r="U14" s="122">
        <f>YEAR(Inputs!$I$8)</f>
        <v>2015</v>
      </c>
      <c r="V14" s="108">
        <f t="shared" si="5"/>
        <v>42011</v>
      </c>
      <c r="W14" s="69">
        <v>42011</v>
      </c>
      <c r="X14" s="116">
        <v>1.3</v>
      </c>
      <c r="Y14" s="116">
        <v>10.6</v>
      </c>
      <c r="Z14" s="116">
        <v>-5.7</v>
      </c>
      <c r="AA14" s="116">
        <v>82.6</v>
      </c>
      <c r="AB14" s="116">
        <v>96.6</v>
      </c>
      <c r="AC14" s="116">
        <v>56.8</v>
      </c>
      <c r="AD14" s="116">
        <v>9.93</v>
      </c>
      <c r="AE14" s="116">
        <v>0.9</v>
      </c>
      <c r="AF14" s="116">
        <v>4.5</v>
      </c>
      <c r="AG14" s="116">
        <v>7.8</v>
      </c>
      <c r="AH14" s="116">
        <v>0</v>
      </c>
      <c r="AI14" s="116">
        <v>0.7</v>
      </c>
    </row>
    <row r="15" spans="1:35" s="71" customFormat="1">
      <c r="A15" s="210">
        <f t="shared" si="0"/>
        <v>8</v>
      </c>
      <c r="B15" s="210">
        <f t="shared" si="1"/>
        <v>1</v>
      </c>
      <c r="C15" s="210">
        <f t="shared" si="6"/>
        <v>2015</v>
      </c>
      <c r="D15" s="106">
        <f t="shared" si="2"/>
        <v>42012</v>
      </c>
      <c r="E15" s="230">
        <v>42012</v>
      </c>
      <c r="F15" s="229">
        <v>11.1</v>
      </c>
      <c r="G15" s="229">
        <v>14.7</v>
      </c>
      <c r="H15" s="229">
        <v>7.6</v>
      </c>
      <c r="I15" s="229">
        <v>78.400000000000006</v>
      </c>
      <c r="J15" s="229">
        <v>94.4</v>
      </c>
      <c r="K15" s="229">
        <v>58.2</v>
      </c>
      <c r="L15" s="229">
        <v>7.59</v>
      </c>
      <c r="M15" s="229">
        <v>4.4000000000000004</v>
      </c>
      <c r="N15" s="229">
        <v>10.7</v>
      </c>
      <c r="O15" s="229">
        <v>6.5</v>
      </c>
      <c r="P15" s="229">
        <v>0</v>
      </c>
      <c r="Q15" s="229">
        <v>1.7</v>
      </c>
      <c r="S15" s="122">
        <f t="shared" si="3"/>
        <v>8</v>
      </c>
      <c r="T15" s="122">
        <f t="shared" si="4"/>
        <v>1</v>
      </c>
      <c r="U15" s="122">
        <f>YEAR(Inputs!$I$8)</f>
        <v>2015</v>
      </c>
      <c r="V15" s="108">
        <f t="shared" si="5"/>
        <v>42012</v>
      </c>
      <c r="W15" s="69">
        <v>42012</v>
      </c>
      <c r="X15" s="116">
        <v>1.2</v>
      </c>
      <c r="Y15" s="116">
        <v>12.2</v>
      </c>
      <c r="Z15" s="116">
        <v>-6</v>
      </c>
      <c r="AA15" s="116">
        <v>83.4</v>
      </c>
      <c r="AB15" s="116">
        <v>100</v>
      </c>
      <c r="AC15" s="116">
        <v>46.8</v>
      </c>
      <c r="AD15" s="116">
        <v>9.77</v>
      </c>
      <c r="AE15" s="116">
        <v>0.9</v>
      </c>
      <c r="AF15" s="116">
        <v>3.9</v>
      </c>
      <c r="AG15" s="116">
        <v>7.3</v>
      </c>
      <c r="AH15" s="116">
        <v>0</v>
      </c>
      <c r="AI15" s="116">
        <v>0.8</v>
      </c>
    </row>
    <row r="16" spans="1:35" s="71" customFormat="1">
      <c r="A16" s="210">
        <f t="shared" si="0"/>
        <v>9</v>
      </c>
      <c r="B16" s="210">
        <f t="shared" si="1"/>
        <v>1</v>
      </c>
      <c r="C16" s="210">
        <f t="shared" si="6"/>
        <v>2015</v>
      </c>
      <c r="D16" s="106">
        <f t="shared" si="2"/>
        <v>42013</v>
      </c>
      <c r="E16" s="230">
        <v>42013</v>
      </c>
      <c r="F16" s="229">
        <v>10.5</v>
      </c>
      <c r="G16" s="229">
        <v>13.9</v>
      </c>
      <c r="H16" s="229">
        <v>7.1</v>
      </c>
      <c r="I16" s="229">
        <v>80.400000000000006</v>
      </c>
      <c r="J16" s="229">
        <v>94.5</v>
      </c>
      <c r="K16" s="229">
        <v>55.8</v>
      </c>
      <c r="L16" s="229">
        <v>6.83</v>
      </c>
      <c r="M16" s="229">
        <v>4.5999999999999996</v>
      </c>
      <c r="N16" s="229">
        <v>11.5</v>
      </c>
      <c r="O16" s="229">
        <v>6.2</v>
      </c>
      <c r="P16" s="229">
        <v>1.4</v>
      </c>
      <c r="Q16" s="229">
        <v>1.7</v>
      </c>
      <c r="S16" s="122">
        <f t="shared" si="3"/>
        <v>9</v>
      </c>
      <c r="T16" s="122">
        <f t="shared" si="4"/>
        <v>1</v>
      </c>
      <c r="U16" s="122">
        <f>YEAR(Inputs!$I$8)</f>
        <v>2015</v>
      </c>
      <c r="V16" s="108">
        <f t="shared" si="5"/>
        <v>42013</v>
      </c>
      <c r="W16" s="69">
        <v>42013</v>
      </c>
      <c r="X16" s="116">
        <v>2.7</v>
      </c>
      <c r="Y16" s="116">
        <v>14.5</v>
      </c>
      <c r="Z16" s="116">
        <v>-6.5</v>
      </c>
      <c r="AA16" s="116">
        <v>70.5</v>
      </c>
      <c r="AB16" s="116">
        <v>96.5</v>
      </c>
      <c r="AC16" s="116">
        <v>29.2</v>
      </c>
      <c r="AD16" s="116">
        <v>10.6</v>
      </c>
      <c r="AE16" s="116">
        <v>1</v>
      </c>
      <c r="AF16" s="116">
        <v>3.6</v>
      </c>
      <c r="AG16" s="116">
        <v>7.8</v>
      </c>
      <c r="AH16" s="116">
        <v>0.2</v>
      </c>
      <c r="AI16" s="116">
        <v>1.1000000000000001</v>
      </c>
    </row>
    <row r="17" spans="1:35" s="71" customFormat="1">
      <c r="A17" s="210">
        <f t="shared" si="0"/>
        <v>10</v>
      </c>
      <c r="B17" s="210">
        <f t="shared" si="1"/>
        <v>1</v>
      </c>
      <c r="C17" s="210">
        <f t="shared" si="6"/>
        <v>2015</v>
      </c>
      <c r="D17" s="106">
        <f t="shared" si="2"/>
        <v>42014</v>
      </c>
      <c r="E17" s="230">
        <v>42014</v>
      </c>
      <c r="F17" s="229">
        <v>10.5</v>
      </c>
      <c r="G17" s="229">
        <v>13.9</v>
      </c>
      <c r="H17" s="229">
        <v>7.8</v>
      </c>
      <c r="I17" s="229">
        <v>75.5</v>
      </c>
      <c r="J17" s="229">
        <v>84.3</v>
      </c>
      <c r="K17" s="229">
        <v>60.6</v>
      </c>
      <c r="L17" s="229">
        <v>7.19</v>
      </c>
      <c r="M17" s="229">
        <v>6.2</v>
      </c>
      <c r="N17" s="229">
        <v>12.2</v>
      </c>
      <c r="O17" s="229">
        <v>6.9</v>
      </c>
      <c r="P17" s="229">
        <v>0</v>
      </c>
      <c r="Q17" s="229">
        <v>2</v>
      </c>
      <c r="S17" s="122">
        <f t="shared" si="3"/>
        <v>10</v>
      </c>
      <c r="T17" s="122">
        <f t="shared" si="4"/>
        <v>1</v>
      </c>
      <c r="U17" s="122">
        <f>YEAR(Inputs!$I$8)</f>
        <v>2015</v>
      </c>
      <c r="V17" s="108">
        <f t="shared" si="5"/>
        <v>42014</v>
      </c>
      <c r="W17" s="69">
        <v>42014</v>
      </c>
      <c r="X17" s="116">
        <v>3.4</v>
      </c>
      <c r="Y17" s="116">
        <v>17.2</v>
      </c>
      <c r="Z17" s="116">
        <v>-5.7</v>
      </c>
      <c r="AA17" s="116">
        <v>71.3</v>
      </c>
      <c r="AB17" s="116">
        <v>96.8</v>
      </c>
      <c r="AC17" s="116">
        <v>24.3</v>
      </c>
      <c r="AD17" s="116">
        <v>10.84</v>
      </c>
      <c r="AE17" s="116">
        <v>1.7</v>
      </c>
      <c r="AF17" s="116">
        <v>5</v>
      </c>
      <c r="AG17" s="116">
        <v>7.9</v>
      </c>
      <c r="AH17" s="116">
        <v>0</v>
      </c>
      <c r="AI17" s="116">
        <v>1.8</v>
      </c>
    </row>
    <row r="18" spans="1:35" s="71" customFormat="1">
      <c r="A18" s="210">
        <f t="shared" si="0"/>
        <v>11</v>
      </c>
      <c r="B18" s="210">
        <f t="shared" si="1"/>
        <v>1</v>
      </c>
      <c r="C18" s="210">
        <f t="shared" si="6"/>
        <v>2015</v>
      </c>
      <c r="D18" s="106">
        <f t="shared" si="2"/>
        <v>42015</v>
      </c>
      <c r="E18" s="230">
        <v>42015</v>
      </c>
      <c r="F18" s="229">
        <v>9.1</v>
      </c>
      <c r="G18" s="229">
        <v>11.7</v>
      </c>
      <c r="H18" s="229">
        <v>4.5999999999999996</v>
      </c>
      <c r="I18" s="229">
        <v>81.2</v>
      </c>
      <c r="J18" s="229">
        <v>94.6</v>
      </c>
      <c r="K18" s="229">
        <v>75.5</v>
      </c>
      <c r="L18" s="229">
        <v>3.27</v>
      </c>
      <c r="M18" s="229">
        <v>6.2</v>
      </c>
      <c r="N18" s="229">
        <v>13</v>
      </c>
      <c r="O18" s="229">
        <v>4.9000000000000004</v>
      </c>
      <c r="P18" s="229">
        <v>2.5</v>
      </c>
      <c r="Q18" s="229">
        <v>1.1000000000000001</v>
      </c>
      <c r="S18" s="122">
        <f t="shared" si="3"/>
        <v>11</v>
      </c>
      <c r="T18" s="122">
        <f t="shared" si="4"/>
        <v>1</v>
      </c>
      <c r="U18" s="122">
        <f>YEAR(Inputs!$I$8)</f>
        <v>2015</v>
      </c>
      <c r="V18" s="108">
        <f t="shared" si="5"/>
        <v>42015</v>
      </c>
      <c r="W18" s="69">
        <v>42015</v>
      </c>
      <c r="X18" s="116">
        <v>5</v>
      </c>
      <c r="Y18" s="116">
        <v>15.3</v>
      </c>
      <c r="Z18" s="116">
        <v>-3.4</v>
      </c>
      <c r="AA18" s="116">
        <v>72.3</v>
      </c>
      <c r="AB18" s="116">
        <v>92.5</v>
      </c>
      <c r="AC18" s="116">
        <v>40</v>
      </c>
      <c r="AD18" s="116">
        <v>10.41</v>
      </c>
      <c r="AE18" s="116">
        <v>2.4</v>
      </c>
      <c r="AF18" s="116">
        <v>7.3</v>
      </c>
      <c r="AG18" s="116">
        <v>7.7</v>
      </c>
      <c r="AH18" s="116">
        <v>0</v>
      </c>
      <c r="AI18" s="116">
        <v>1.8</v>
      </c>
    </row>
    <row r="19" spans="1:35" s="71" customFormat="1">
      <c r="A19" s="210">
        <f t="shared" si="0"/>
        <v>12</v>
      </c>
      <c r="B19" s="210">
        <f t="shared" si="1"/>
        <v>1</v>
      </c>
      <c r="C19" s="210">
        <f t="shared" si="6"/>
        <v>2015</v>
      </c>
      <c r="D19" s="106">
        <f t="shared" si="2"/>
        <v>42016</v>
      </c>
      <c r="E19" s="230">
        <v>42016</v>
      </c>
      <c r="F19" s="229">
        <v>4.2</v>
      </c>
      <c r="G19" s="229">
        <v>9.5</v>
      </c>
      <c r="H19" s="229">
        <v>-0.5</v>
      </c>
      <c r="I19" s="229">
        <v>85.6</v>
      </c>
      <c r="J19" s="229">
        <v>98.2</v>
      </c>
      <c r="K19" s="229">
        <v>63.5</v>
      </c>
      <c r="L19" s="229">
        <v>9.9</v>
      </c>
      <c r="M19" s="229">
        <v>2.7</v>
      </c>
      <c r="N19" s="229">
        <v>8.5</v>
      </c>
      <c r="O19" s="229">
        <v>7.7</v>
      </c>
      <c r="P19" s="229">
        <v>0</v>
      </c>
      <c r="Q19" s="229">
        <v>1</v>
      </c>
      <c r="S19" s="122">
        <f t="shared" si="3"/>
        <v>12</v>
      </c>
      <c r="T19" s="122">
        <f t="shared" si="4"/>
        <v>1</v>
      </c>
      <c r="U19" s="122">
        <f>YEAR(Inputs!$I$8)</f>
        <v>2015</v>
      </c>
      <c r="V19" s="108">
        <f t="shared" si="5"/>
        <v>42016</v>
      </c>
      <c r="W19" s="69">
        <v>42016</v>
      </c>
      <c r="X19" s="116">
        <v>5.5</v>
      </c>
      <c r="Y19" s="116">
        <v>13.3</v>
      </c>
      <c r="Z19" s="116">
        <v>-1.6</v>
      </c>
      <c r="AA19" s="116">
        <v>82</v>
      </c>
      <c r="AB19" s="116">
        <v>100</v>
      </c>
      <c r="AC19" s="116">
        <v>57</v>
      </c>
      <c r="AD19" s="116">
        <v>9.39</v>
      </c>
      <c r="AE19" s="116">
        <v>2.5</v>
      </c>
      <c r="AF19" s="116">
        <v>7</v>
      </c>
      <c r="AG19" s="116">
        <v>7.3</v>
      </c>
      <c r="AH19" s="116">
        <v>0</v>
      </c>
      <c r="AI19" s="116">
        <v>1.3</v>
      </c>
    </row>
    <row r="20" spans="1:35" s="71" customFormat="1">
      <c r="A20" s="210">
        <f t="shared" si="0"/>
        <v>13</v>
      </c>
      <c r="B20" s="210">
        <f t="shared" si="1"/>
        <v>1</v>
      </c>
      <c r="C20" s="210">
        <f t="shared" si="6"/>
        <v>2015</v>
      </c>
      <c r="D20" s="106">
        <f t="shared" si="2"/>
        <v>42017</v>
      </c>
      <c r="E20" s="230">
        <v>42017</v>
      </c>
      <c r="F20" s="229">
        <v>2.8</v>
      </c>
      <c r="G20" s="229">
        <v>10.9</v>
      </c>
      <c r="H20" s="229">
        <v>-2.7</v>
      </c>
      <c r="I20" s="229">
        <v>88</v>
      </c>
      <c r="J20" s="229">
        <v>100</v>
      </c>
      <c r="K20" s="229">
        <v>55.2</v>
      </c>
      <c r="L20" s="229">
        <v>8.14</v>
      </c>
      <c r="M20" s="229">
        <v>0.8</v>
      </c>
      <c r="N20" s="229">
        <v>3</v>
      </c>
      <c r="O20" s="229">
        <v>7.3</v>
      </c>
      <c r="P20" s="229">
        <v>0.2</v>
      </c>
      <c r="Q20" s="229">
        <v>0.7</v>
      </c>
      <c r="S20" s="122">
        <f t="shared" si="3"/>
        <v>13</v>
      </c>
      <c r="T20" s="122">
        <f t="shared" si="4"/>
        <v>1</v>
      </c>
      <c r="U20" s="122">
        <f>YEAR(Inputs!$I$8)</f>
        <v>2015</v>
      </c>
      <c r="V20" s="108">
        <f t="shared" si="5"/>
        <v>42017</v>
      </c>
      <c r="W20" s="69">
        <v>42017</v>
      </c>
      <c r="X20" s="116">
        <v>6.8</v>
      </c>
      <c r="Y20" s="116">
        <v>15.4</v>
      </c>
      <c r="Z20" s="116">
        <v>-0.7</v>
      </c>
      <c r="AA20" s="116">
        <v>75</v>
      </c>
      <c r="AB20" s="116">
        <v>99.9</v>
      </c>
      <c r="AC20" s="116">
        <v>42.2</v>
      </c>
      <c r="AD20" s="116">
        <v>10.210000000000001</v>
      </c>
      <c r="AE20" s="116">
        <v>1.2</v>
      </c>
      <c r="AF20" s="116">
        <v>5.3</v>
      </c>
      <c r="AG20" s="116">
        <v>7.8</v>
      </c>
      <c r="AH20" s="116">
        <v>0</v>
      </c>
      <c r="AI20" s="116">
        <v>1.1000000000000001</v>
      </c>
    </row>
    <row r="21" spans="1:35" s="71" customFormat="1">
      <c r="A21" s="210">
        <f t="shared" si="0"/>
        <v>14</v>
      </c>
      <c r="B21" s="210">
        <f t="shared" si="1"/>
        <v>1</v>
      </c>
      <c r="C21" s="210">
        <f t="shared" si="6"/>
        <v>2015</v>
      </c>
      <c r="D21" s="106">
        <f t="shared" si="2"/>
        <v>42018</v>
      </c>
      <c r="E21" s="230">
        <v>42018</v>
      </c>
      <c r="F21" s="229">
        <v>5.3</v>
      </c>
      <c r="G21" s="229">
        <v>12.6</v>
      </c>
      <c r="H21" s="229">
        <v>-2.2000000000000002</v>
      </c>
      <c r="I21" s="229">
        <v>86.6</v>
      </c>
      <c r="J21" s="229">
        <v>99.4</v>
      </c>
      <c r="K21" s="229">
        <v>55.5</v>
      </c>
      <c r="L21" s="229">
        <v>6.46</v>
      </c>
      <c r="M21" s="229">
        <v>1.9</v>
      </c>
      <c r="N21" s="229">
        <v>8.4</v>
      </c>
      <c r="O21" s="229">
        <v>6.9</v>
      </c>
      <c r="P21" s="229">
        <v>1.4</v>
      </c>
      <c r="Q21" s="229">
        <v>1.1000000000000001</v>
      </c>
      <c r="S21" s="122">
        <f t="shared" si="3"/>
        <v>14</v>
      </c>
      <c r="T21" s="122">
        <f t="shared" si="4"/>
        <v>1</v>
      </c>
      <c r="U21" s="122">
        <f>YEAR(Inputs!$I$8)</f>
        <v>2015</v>
      </c>
      <c r="V21" s="108">
        <f t="shared" si="5"/>
        <v>42018</v>
      </c>
      <c r="W21" s="69">
        <v>42018</v>
      </c>
      <c r="X21" s="116">
        <v>4.5</v>
      </c>
      <c r="Y21" s="116">
        <v>14.4</v>
      </c>
      <c r="Z21" s="116">
        <v>-2.2000000000000002</v>
      </c>
      <c r="AA21" s="116">
        <v>75.900000000000006</v>
      </c>
      <c r="AB21" s="116">
        <v>97</v>
      </c>
      <c r="AC21" s="116">
        <v>46.6</v>
      </c>
      <c r="AD21" s="116">
        <v>10.18</v>
      </c>
      <c r="AE21" s="116">
        <v>1.2</v>
      </c>
      <c r="AF21" s="116">
        <v>4.2</v>
      </c>
      <c r="AG21" s="116">
        <v>7.8</v>
      </c>
      <c r="AH21" s="116">
        <v>0</v>
      </c>
      <c r="AI21" s="116">
        <v>1.1000000000000001</v>
      </c>
    </row>
    <row r="22" spans="1:35" s="71" customFormat="1">
      <c r="A22" s="210">
        <f t="shared" si="0"/>
        <v>15</v>
      </c>
      <c r="B22" s="210">
        <f t="shared" si="1"/>
        <v>1</v>
      </c>
      <c r="C22" s="210">
        <f t="shared" si="6"/>
        <v>2015</v>
      </c>
      <c r="D22" s="106">
        <f t="shared" si="2"/>
        <v>42019</v>
      </c>
      <c r="E22" s="230">
        <v>42019</v>
      </c>
      <c r="F22" s="229">
        <v>6.1</v>
      </c>
      <c r="G22" s="229">
        <v>9.8000000000000007</v>
      </c>
      <c r="H22" s="229">
        <v>0.3</v>
      </c>
      <c r="I22" s="229">
        <v>84.2</v>
      </c>
      <c r="J22" s="229">
        <v>100</v>
      </c>
      <c r="K22" s="229">
        <v>54.9</v>
      </c>
      <c r="L22" s="229">
        <v>5.58</v>
      </c>
      <c r="M22" s="229">
        <v>3.2</v>
      </c>
      <c r="N22" s="229">
        <v>9.4</v>
      </c>
      <c r="O22" s="229">
        <v>5.9</v>
      </c>
      <c r="P22" s="229">
        <v>2.2000000000000002</v>
      </c>
      <c r="Q22" s="229">
        <v>1.2</v>
      </c>
      <c r="S22" s="122">
        <f t="shared" si="3"/>
        <v>15</v>
      </c>
      <c r="T22" s="122">
        <f t="shared" si="4"/>
        <v>1</v>
      </c>
      <c r="U22" s="122">
        <f>YEAR(Inputs!$I$8)</f>
        <v>2015</v>
      </c>
      <c r="V22" s="108">
        <f t="shared" si="5"/>
        <v>42019</v>
      </c>
      <c r="W22" s="69">
        <v>42019</v>
      </c>
      <c r="X22" s="116">
        <v>6.6</v>
      </c>
      <c r="Y22" s="116">
        <v>15.9</v>
      </c>
      <c r="Z22" s="116">
        <v>-3</v>
      </c>
      <c r="AA22" s="116">
        <v>71.2</v>
      </c>
      <c r="AB22" s="116">
        <v>95.5</v>
      </c>
      <c r="AC22" s="116">
        <v>36.9</v>
      </c>
      <c r="AD22" s="116">
        <v>10.37</v>
      </c>
      <c r="AE22" s="116">
        <v>2.4</v>
      </c>
      <c r="AF22" s="116">
        <v>9</v>
      </c>
      <c r="AG22" s="116">
        <v>7.7</v>
      </c>
      <c r="AH22" s="116">
        <v>0</v>
      </c>
      <c r="AI22" s="116">
        <v>1.8</v>
      </c>
    </row>
    <row r="23" spans="1:35" s="71" customFormat="1">
      <c r="A23" s="210">
        <f t="shared" si="0"/>
        <v>16</v>
      </c>
      <c r="B23" s="210">
        <f t="shared" si="1"/>
        <v>1</v>
      </c>
      <c r="C23" s="210">
        <f t="shared" si="6"/>
        <v>2015</v>
      </c>
      <c r="D23" s="106">
        <f t="shared" si="2"/>
        <v>42020</v>
      </c>
      <c r="E23" s="230">
        <v>42020</v>
      </c>
      <c r="F23" s="229">
        <v>1.6</v>
      </c>
      <c r="G23" s="229">
        <v>7.4</v>
      </c>
      <c r="H23" s="229">
        <v>-1.8</v>
      </c>
      <c r="I23" s="229">
        <v>75.8</v>
      </c>
      <c r="J23" s="229">
        <v>92.4</v>
      </c>
      <c r="K23" s="229">
        <v>44.8</v>
      </c>
      <c r="L23" s="229">
        <v>10.81</v>
      </c>
      <c r="M23" s="229">
        <v>3.8</v>
      </c>
      <c r="N23" s="229">
        <v>7.9</v>
      </c>
      <c r="O23" s="229">
        <v>8</v>
      </c>
      <c r="P23" s="229">
        <v>0</v>
      </c>
      <c r="Q23" s="229">
        <v>1.4</v>
      </c>
      <c r="S23" s="122">
        <f t="shared" si="3"/>
        <v>16</v>
      </c>
      <c r="T23" s="122">
        <f t="shared" si="4"/>
        <v>1</v>
      </c>
      <c r="U23" s="122">
        <f>YEAR(Inputs!$I$8)</f>
        <v>2015</v>
      </c>
      <c r="V23" s="108">
        <f t="shared" si="5"/>
        <v>42020</v>
      </c>
      <c r="W23" s="69">
        <v>42020</v>
      </c>
      <c r="X23" s="116">
        <v>6.3</v>
      </c>
      <c r="Y23" s="116">
        <v>9.1999999999999993</v>
      </c>
      <c r="Z23" s="116">
        <v>1.3</v>
      </c>
      <c r="AA23" s="116">
        <v>71.3</v>
      </c>
      <c r="AB23" s="116">
        <v>89.1</v>
      </c>
      <c r="AC23" s="116">
        <v>46</v>
      </c>
      <c r="AD23" s="116">
        <v>7.34</v>
      </c>
      <c r="AE23" s="116">
        <v>5</v>
      </c>
      <c r="AF23" s="116">
        <v>11.9</v>
      </c>
      <c r="AG23" s="116">
        <v>5.6</v>
      </c>
      <c r="AH23" s="116">
        <v>0.6</v>
      </c>
      <c r="AI23" s="116">
        <v>1.8</v>
      </c>
    </row>
    <row r="24" spans="1:35" s="71" customFormat="1">
      <c r="A24" s="210">
        <f t="shared" si="0"/>
        <v>17</v>
      </c>
      <c r="B24" s="210">
        <f t="shared" si="1"/>
        <v>1</v>
      </c>
      <c r="C24" s="210">
        <f t="shared" si="6"/>
        <v>2015</v>
      </c>
      <c r="D24" s="106">
        <f t="shared" si="2"/>
        <v>42021</v>
      </c>
      <c r="E24" s="230">
        <v>42021</v>
      </c>
      <c r="F24" s="229">
        <v>1</v>
      </c>
      <c r="G24" s="229">
        <v>8.6</v>
      </c>
      <c r="H24" s="229">
        <v>-5.6</v>
      </c>
      <c r="I24" s="229">
        <v>76.900000000000006</v>
      </c>
      <c r="J24" s="229">
        <v>93.6</v>
      </c>
      <c r="K24" s="229">
        <v>48.3</v>
      </c>
      <c r="L24" s="229">
        <v>9.75</v>
      </c>
      <c r="M24" s="229">
        <v>1.8</v>
      </c>
      <c r="N24" s="229">
        <v>4.2</v>
      </c>
      <c r="O24" s="229">
        <v>7.9</v>
      </c>
      <c r="P24" s="229">
        <v>0</v>
      </c>
      <c r="Q24" s="229">
        <v>1</v>
      </c>
      <c r="S24" s="122">
        <f t="shared" si="3"/>
        <v>17</v>
      </c>
      <c r="T24" s="122">
        <f t="shared" si="4"/>
        <v>1</v>
      </c>
      <c r="U24" s="122">
        <f>YEAR(Inputs!$I$8)</f>
        <v>2015</v>
      </c>
      <c r="V24" s="108">
        <f t="shared" si="5"/>
        <v>42021</v>
      </c>
      <c r="W24" s="69">
        <v>42021</v>
      </c>
      <c r="X24" s="116">
        <v>1.3</v>
      </c>
      <c r="Y24" s="116">
        <v>7.7</v>
      </c>
      <c r="Z24" s="116">
        <v>-5</v>
      </c>
      <c r="AA24" s="116">
        <v>75.2</v>
      </c>
      <c r="AB24" s="116">
        <v>97.9</v>
      </c>
      <c r="AC24" s="116">
        <v>44.1</v>
      </c>
      <c r="AD24" s="116">
        <v>11.08</v>
      </c>
      <c r="AE24" s="116">
        <v>3.4</v>
      </c>
      <c r="AF24" s="116">
        <v>8.8000000000000007</v>
      </c>
      <c r="AG24" s="116">
        <v>8</v>
      </c>
      <c r="AH24" s="116">
        <v>0</v>
      </c>
      <c r="AI24" s="116">
        <v>1.4</v>
      </c>
    </row>
    <row r="25" spans="1:35" s="71" customFormat="1">
      <c r="A25" s="210">
        <f t="shared" si="0"/>
        <v>18</v>
      </c>
      <c r="B25" s="210">
        <f t="shared" si="1"/>
        <v>1</v>
      </c>
      <c r="C25" s="210">
        <f t="shared" si="6"/>
        <v>2015</v>
      </c>
      <c r="D25" s="106">
        <f t="shared" si="2"/>
        <v>42022</v>
      </c>
      <c r="E25" s="230">
        <v>42022</v>
      </c>
      <c r="F25" s="229">
        <v>5.8</v>
      </c>
      <c r="G25" s="229">
        <v>11.7</v>
      </c>
      <c r="H25" s="229">
        <v>-0.5</v>
      </c>
      <c r="I25" s="229">
        <v>77.2</v>
      </c>
      <c r="J25" s="229">
        <v>92</v>
      </c>
      <c r="K25" s="229">
        <v>58.3</v>
      </c>
      <c r="L25" s="229">
        <v>7.06</v>
      </c>
      <c r="M25" s="229">
        <v>4.7</v>
      </c>
      <c r="N25" s="229">
        <v>13.3</v>
      </c>
      <c r="O25" s="229">
        <v>7.1</v>
      </c>
      <c r="P25" s="229">
        <v>0</v>
      </c>
      <c r="Q25" s="229">
        <v>1.6</v>
      </c>
      <c r="S25" s="122">
        <f t="shared" si="3"/>
        <v>18</v>
      </c>
      <c r="T25" s="122">
        <f t="shared" si="4"/>
        <v>1</v>
      </c>
      <c r="U25" s="122">
        <f>YEAR(Inputs!$I$8)</f>
        <v>2015</v>
      </c>
      <c r="V25" s="108">
        <f t="shared" si="5"/>
        <v>42022</v>
      </c>
      <c r="W25" s="69">
        <v>42022</v>
      </c>
      <c r="X25" s="116">
        <v>-0.4</v>
      </c>
      <c r="Y25" s="116">
        <v>3.8</v>
      </c>
      <c r="Z25" s="116">
        <v>-6.9</v>
      </c>
      <c r="AA25" s="116">
        <v>89.7</v>
      </c>
      <c r="AB25" s="116">
        <v>99.7</v>
      </c>
      <c r="AC25" s="116">
        <v>62.2</v>
      </c>
      <c r="AD25" s="116">
        <v>4.12</v>
      </c>
      <c r="AE25" s="116">
        <v>1.1000000000000001</v>
      </c>
      <c r="AF25" s="116">
        <v>3.8</v>
      </c>
      <c r="AG25" s="116">
        <v>6.8</v>
      </c>
      <c r="AH25" s="116">
        <v>4.0999999999999996</v>
      </c>
      <c r="AI25" s="116">
        <v>0.6</v>
      </c>
    </row>
    <row r="26" spans="1:35" s="71" customFormat="1">
      <c r="A26" s="210">
        <f t="shared" si="0"/>
        <v>19</v>
      </c>
      <c r="B26" s="210">
        <f t="shared" si="1"/>
        <v>1</v>
      </c>
      <c r="C26" s="210">
        <f t="shared" si="6"/>
        <v>2015</v>
      </c>
      <c r="D26" s="106">
        <f t="shared" si="2"/>
        <v>42023</v>
      </c>
      <c r="E26" s="230">
        <v>42023</v>
      </c>
      <c r="F26" s="229">
        <v>3.9</v>
      </c>
      <c r="G26" s="229">
        <v>9</v>
      </c>
      <c r="H26" s="229">
        <v>-0.7</v>
      </c>
      <c r="I26" s="229">
        <v>92</v>
      </c>
      <c r="J26" s="229">
        <v>100</v>
      </c>
      <c r="K26" s="229">
        <v>72.7</v>
      </c>
      <c r="L26" s="229">
        <v>6.15</v>
      </c>
      <c r="M26" s="229">
        <v>1.9</v>
      </c>
      <c r="N26" s="229">
        <v>5.2</v>
      </c>
      <c r="O26" s="229">
        <v>6.6</v>
      </c>
      <c r="P26" s="229">
        <v>0.2</v>
      </c>
      <c r="Q26" s="229">
        <v>0.8</v>
      </c>
      <c r="S26" s="122">
        <f t="shared" si="3"/>
        <v>19</v>
      </c>
      <c r="T26" s="122">
        <f t="shared" si="4"/>
        <v>1</v>
      </c>
      <c r="U26" s="122">
        <f>YEAR(Inputs!$I$8)</f>
        <v>2015</v>
      </c>
      <c r="V26" s="108">
        <f t="shared" si="5"/>
        <v>42023</v>
      </c>
      <c r="W26" s="69">
        <v>42023</v>
      </c>
      <c r="X26" s="116">
        <v>3.2</v>
      </c>
      <c r="Y26" s="116">
        <v>6.9</v>
      </c>
      <c r="Z26" s="116">
        <v>-0.5</v>
      </c>
      <c r="AA26" s="116">
        <v>87.4</v>
      </c>
      <c r="AB26" s="116">
        <v>100</v>
      </c>
      <c r="AC26" s="116">
        <v>59.8</v>
      </c>
      <c r="AD26" s="116">
        <v>3.81</v>
      </c>
      <c r="AE26" s="116">
        <v>3</v>
      </c>
      <c r="AF26" s="116">
        <v>7.7</v>
      </c>
      <c r="AG26" s="116">
        <v>5.3</v>
      </c>
      <c r="AH26" s="116">
        <v>2.4</v>
      </c>
      <c r="AI26" s="116">
        <v>1</v>
      </c>
    </row>
    <row r="27" spans="1:35" s="71" customFormat="1">
      <c r="A27" s="210">
        <f t="shared" si="0"/>
        <v>20</v>
      </c>
      <c r="B27" s="210">
        <f t="shared" si="1"/>
        <v>1</v>
      </c>
      <c r="C27" s="210">
        <f t="shared" si="6"/>
        <v>2015</v>
      </c>
      <c r="D27" s="106">
        <f t="shared" si="2"/>
        <v>42024</v>
      </c>
      <c r="E27" s="230">
        <v>42024</v>
      </c>
      <c r="F27" s="229">
        <v>4.3</v>
      </c>
      <c r="G27" s="229">
        <v>9.6</v>
      </c>
      <c r="H27" s="229">
        <v>-0.9</v>
      </c>
      <c r="I27" s="229">
        <v>91.3</v>
      </c>
      <c r="J27" s="229">
        <v>100</v>
      </c>
      <c r="K27" s="229">
        <v>73</v>
      </c>
      <c r="L27" s="229">
        <v>7.06</v>
      </c>
      <c r="M27" s="229">
        <v>1.8</v>
      </c>
      <c r="N27" s="229">
        <v>5.4</v>
      </c>
      <c r="O27" s="229">
        <v>6.6</v>
      </c>
      <c r="P27" s="229">
        <v>0.2</v>
      </c>
      <c r="Q27" s="229">
        <v>0.8</v>
      </c>
      <c r="S27" s="122">
        <f t="shared" si="3"/>
        <v>20</v>
      </c>
      <c r="T27" s="122">
        <f t="shared" si="4"/>
        <v>1</v>
      </c>
      <c r="U27" s="122">
        <f>YEAR(Inputs!$I$8)</f>
        <v>2015</v>
      </c>
      <c r="V27" s="108">
        <f t="shared" si="5"/>
        <v>42024</v>
      </c>
      <c r="W27" s="69">
        <v>42024</v>
      </c>
      <c r="X27" s="116">
        <v>1.1000000000000001</v>
      </c>
      <c r="Y27" s="116">
        <v>6.4</v>
      </c>
      <c r="Z27" s="116">
        <v>-2.1</v>
      </c>
      <c r="AA27" s="116">
        <v>81</v>
      </c>
      <c r="AB27" s="116">
        <v>96.2</v>
      </c>
      <c r="AC27" s="116">
        <v>53.5</v>
      </c>
      <c r="AD27" s="116">
        <v>9.98</v>
      </c>
      <c r="AE27" s="116">
        <v>3</v>
      </c>
      <c r="AF27" s="116">
        <v>8.3000000000000007</v>
      </c>
      <c r="AG27" s="116">
        <v>7.6</v>
      </c>
      <c r="AH27" s="116">
        <v>0</v>
      </c>
      <c r="AI27" s="116">
        <v>1.1000000000000001</v>
      </c>
    </row>
    <row r="28" spans="1:35" s="71" customFormat="1">
      <c r="A28" s="210">
        <f t="shared" si="0"/>
        <v>21</v>
      </c>
      <c r="B28" s="210">
        <f t="shared" si="1"/>
        <v>1</v>
      </c>
      <c r="C28" s="210">
        <f t="shared" si="6"/>
        <v>2015</v>
      </c>
      <c r="D28" s="106">
        <f t="shared" si="2"/>
        <v>42025</v>
      </c>
      <c r="E28" s="230">
        <v>42025</v>
      </c>
      <c r="F28" s="229">
        <v>6.9</v>
      </c>
      <c r="G28" s="229">
        <v>10.5</v>
      </c>
      <c r="H28" s="229">
        <v>4</v>
      </c>
      <c r="I28" s="229">
        <v>88.7</v>
      </c>
      <c r="J28" s="229">
        <v>97.8</v>
      </c>
      <c r="K28" s="229">
        <v>74.900000000000006</v>
      </c>
      <c r="L28" s="229">
        <v>8.9</v>
      </c>
      <c r="M28" s="229">
        <v>2.7</v>
      </c>
      <c r="N28" s="229">
        <v>6.6</v>
      </c>
      <c r="O28" s="229">
        <v>7.7</v>
      </c>
      <c r="P28" s="229">
        <v>0</v>
      </c>
      <c r="Q28" s="229">
        <v>0.9</v>
      </c>
      <c r="S28" s="122">
        <f t="shared" si="3"/>
        <v>21</v>
      </c>
      <c r="T28" s="122">
        <f t="shared" si="4"/>
        <v>1</v>
      </c>
      <c r="U28" s="122">
        <f>YEAR(Inputs!$I$8)</f>
        <v>2015</v>
      </c>
      <c r="V28" s="108">
        <f t="shared" si="5"/>
        <v>42025</v>
      </c>
      <c r="W28" s="69">
        <v>42025</v>
      </c>
      <c r="X28" s="116">
        <v>1.5</v>
      </c>
      <c r="Y28" s="116">
        <v>6.6</v>
      </c>
      <c r="Z28" s="116">
        <v>-2.4</v>
      </c>
      <c r="AA28" s="116">
        <v>88.3</v>
      </c>
      <c r="AB28" s="116">
        <v>99.1</v>
      </c>
      <c r="AC28" s="116">
        <v>59.8</v>
      </c>
      <c r="AD28" s="116">
        <v>7.6</v>
      </c>
      <c r="AE28" s="116">
        <v>4.5</v>
      </c>
      <c r="AF28" s="116">
        <v>11.4</v>
      </c>
      <c r="AG28" s="116">
        <v>6.6</v>
      </c>
      <c r="AH28" s="116">
        <v>0.2</v>
      </c>
      <c r="AI28" s="116">
        <v>1.1000000000000001</v>
      </c>
    </row>
    <row r="29" spans="1:35" s="71" customFormat="1">
      <c r="A29" s="210">
        <f t="shared" si="0"/>
        <v>22</v>
      </c>
      <c r="B29" s="210">
        <f t="shared" si="1"/>
        <v>1</v>
      </c>
      <c r="C29" s="210">
        <f t="shared" si="6"/>
        <v>2015</v>
      </c>
      <c r="D29" s="106">
        <f t="shared" si="2"/>
        <v>42026</v>
      </c>
      <c r="E29" s="230">
        <v>42026</v>
      </c>
      <c r="F29" s="229">
        <v>9</v>
      </c>
      <c r="G29" s="229">
        <v>13.1</v>
      </c>
      <c r="H29" s="229">
        <v>4.8</v>
      </c>
      <c r="I29" s="229">
        <v>91.9</v>
      </c>
      <c r="J29" s="229">
        <v>99.9</v>
      </c>
      <c r="K29" s="229">
        <v>79.2</v>
      </c>
      <c r="L29" s="229">
        <v>4.78</v>
      </c>
      <c r="M29" s="229">
        <v>1.6</v>
      </c>
      <c r="N29" s="229">
        <v>5.2</v>
      </c>
      <c r="O29" s="229">
        <v>5.8</v>
      </c>
      <c r="P29" s="229">
        <v>0.2</v>
      </c>
      <c r="Q29" s="229">
        <v>0.8</v>
      </c>
      <c r="S29" s="122">
        <f t="shared" si="3"/>
        <v>22</v>
      </c>
      <c r="T29" s="122">
        <f t="shared" si="4"/>
        <v>1</v>
      </c>
      <c r="U29" s="122">
        <f>YEAR(Inputs!$I$8)</f>
        <v>2015</v>
      </c>
      <c r="V29" s="108">
        <f t="shared" si="5"/>
        <v>42026</v>
      </c>
      <c r="W29" s="69">
        <v>42026</v>
      </c>
      <c r="X29" s="116">
        <v>2.2000000000000002</v>
      </c>
      <c r="Y29" s="116">
        <v>5.9</v>
      </c>
      <c r="Z29" s="116">
        <v>-0.5</v>
      </c>
      <c r="AA29" s="116">
        <v>84.8</v>
      </c>
      <c r="AB29" s="116">
        <v>95.7</v>
      </c>
      <c r="AC29" s="116">
        <v>66.900000000000006</v>
      </c>
      <c r="AD29" s="116">
        <v>5.28</v>
      </c>
      <c r="AE29" s="116">
        <v>5.0999999999999996</v>
      </c>
      <c r="AF29" s="116">
        <v>11.4</v>
      </c>
      <c r="AG29" s="116">
        <v>6.2</v>
      </c>
      <c r="AH29" s="116">
        <v>0</v>
      </c>
      <c r="AI29" s="116">
        <v>1</v>
      </c>
    </row>
    <row r="30" spans="1:35" s="71" customFormat="1">
      <c r="A30" s="210">
        <f t="shared" si="0"/>
        <v>23</v>
      </c>
      <c r="B30" s="210">
        <f t="shared" si="1"/>
        <v>1</v>
      </c>
      <c r="C30" s="210">
        <f t="shared" si="6"/>
        <v>2015</v>
      </c>
      <c r="D30" s="106">
        <f t="shared" si="2"/>
        <v>42027</v>
      </c>
      <c r="E30" s="230">
        <v>42027</v>
      </c>
      <c r="F30" s="229">
        <v>8.1999999999999993</v>
      </c>
      <c r="G30" s="229">
        <v>17</v>
      </c>
      <c r="H30" s="229">
        <v>2.5</v>
      </c>
      <c r="I30" s="229">
        <v>91</v>
      </c>
      <c r="J30" s="229">
        <v>100</v>
      </c>
      <c r="K30" s="229">
        <v>60.8</v>
      </c>
      <c r="L30" s="229">
        <v>8.26</v>
      </c>
      <c r="M30" s="229">
        <v>1.5</v>
      </c>
      <c r="N30" s="229">
        <v>4.9000000000000004</v>
      </c>
      <c r="O30" s="229">
        <v>7.3</v>
      </c>
      <c r="P30" s="229">
        <v>0.2</v>
      </c>
      <c r="Q30" s="229">
        <v>1.2</v>
      </c>
      <c r="S30" s="122">
        <f t="shared" si="3"/>
        <v>23</v>
      </c>
      <c r="T30" s="122">
        <f t="shared" si="4"/>
        <v>1</v>
      </c>
      <c r="U30" s="122">
        <f>YEAR(Inputs!$I$8)</f>
        <v>2015</v>
      </c>
      <c r="V30" s="108">
        <f t="shared" si="5"/>
        <v>42027</v>
      </c>
      <c r="W30" s="69">
        <v>42027</v>
      </c>
      <c r="X30" s="116">
        <v>2.2000000000000002</v>
      </c>
      <c r="Y30" s="116">
        <v>8.3000000000000007</v>
      </c>
      <c r="Z30" s="116">
        <v>-2.2999999999999998</v>
      </c>
      <c r="AA30" s="116">
        <v>72.5</v>
      </c>
      <c r="AB30" s="116">
        <v>92.1</v>
      </c>
      <c r="AC30" s="116">
        <v>45.5</v>
      </c>
      <c r="AD30" s="116">
        <v>12.08</v>
      </c>
      <c r="AE30" s="116">
        <v>5.3</v>
      </c>
      <c r="AF30" s="116">
        <v>12.5</v>
      </c>
      <c r="AG30" s="116">
        <v>8.4</v>
      </c>
      <c r="AH30" s="116">
        <v>0</v>
      </c>
      <c r="AI30" s="116">
        <v>1.8</v>
      </c>
    </row>
    <row r="31" spans="1:35" s="71" customFormat="1">
      <c r="A31" s="210">
        <f t="shared" si="0"/>
        <v>24</v>
      </c>
      <c r="B31" s="210">
        <f t="shared" si="1"/>
        <v>1</v>
      </c>
      <c r="C31" s="210">
        <f t="shared" si="6"/>
        <v>2015</v>
      </c>
      <c r="D31" s="106">
        <f t="shared" si="2"/>
        <v>42028</v>
      </c>
      <c r="E31" s="230">
        <v>42028</v>
      </c>
      <c r="F31" s="229">
        <v>9.3000000000000007</v>
      </c>
      <c r="G31" s="229">
        <v>18.8</v>
      </c>
      <c r="H31" s="229">
        <v>0.8</v>
      </c>
      <c r="I31" s="229">
        <v>83.3</v>
      </c>
      <c r="J31" s="229">
        <v>100</v>
      </c>
      <c r="K31" s="229">
        <v>51</v>
      </c>
      <c r="L31" s="229">
        <v>11.15</v>
      </c>
      <c r="M31" s="229">
        <v>2.1</v>
      </c>
      <c r="N31" s="229">
        <v>6.5</v>
      </c>
      <c r="O31" s="229">
        <v>8.1999999999999993</v>
      </c>
      <c r="P31" s="229">
        <v>0.2</v>
      </c>
      <c r="Q31" s="229">
        <v>1.7</v>
      </c>
      <c r="S31" s="122">
        <f t="shared" si="3"/>
        <v>24</v>
      </c>
      <c r="T31" s="122">
        <f t="shared" si="4"/>
        <v>1</v>
      </c>
      <c r="U31" s="122">
        <f>YEAR(Inputs!$I$8)</f>
        <v>2015</v>
      </c>
      <c r="V31" s="108">
        <f t="shared" si="5"/>
        <v>42028</v>
      </c>
      <c r="W31" s="69">
        <v>42028</v>
      </c>
      <c r="X31" s="116">
        <v>1.9</v>
      </c>
      <c r="Y31" s="116">
        <v>10.5</v>
      </c>
      <c r="Z31" s="116">
        <v>-4</v>
      </c>
      <c r="AA31" s="116">
        <v>66.8</v>
      </c>
      <c r="AB31" s="116">
        <v>89.3</v>
      </c>
      <c r="AC31" s="116">
        <v>29.8</v>
      </c>
      <c r="AD31" s="116">
        <v>11.03</v>
      </c>
      <c r="AE31" s="116">
        <v>4.0999999999999996</v>
      </c>
      <c r="AF31" s="116">
        <v>10.1</v>
      </c>
      <c r="AG31" s="116">
        <v>8.5</v>
      </c>
      <c r="AH31" s="116">
        <v>0</v>
      </c>
      <c r="AI31" s="116">
        <v>2.2000000000000002</v>
      </c>
    </row>
    <row r="32" spans="1:35" s="71" customFormat="1">
      <c r="A32" s="210">
        <f t="shared" si="0"/>
        <v>25</v>
      </c>
      <c r="B32" s="210">
        <f t="shared" si="1"/>
        <v>1</v>
      </c>
      <c r="C32" s="210">
        <f t="shared" si="6"/>
        <v>2015</v>
      </c>
      <c r="D32" s="106">
        <f t="shared" si="2"/>
        <v>42029</v>
      </c>
      <c r="E32" s="230">
        <v>42029</v>
      </c>
      <c r="F32" s="229">
        <v>8.6</v>
      </c>
      <c r="G32" s="229">
        <v>15.7</v>
      </c>
      <c r="H32" s="229">
        <v>5.0999999999999996</v>
      </c>
      <c r="I32" s="229">
        <v>89.7</v>
      </c>
      <c r="J32" s="229">
        <v>100</v>
      </c>
      <c r="K32" s="229">
        <v>60.8</v>
      </c>
      <c r="L32" s="229">
        <v>7.95</v>
      </c>
      <c r="M32" s="229">
        <v>1.4</v>
      </c>
      <c r="N32" s="229">
        <v>4</v>
      </c>
      <c r="O32" s="229">
        <v>6.9</v>
      </c>
      <c r="P32" s="229">
        <v>0.2</v>
      </c>
      <c r="Q32" s="229">
        <v>1.1000000000000001</v>
      </c>
      <c r="S32" s="122">
        <f t="shared" si="3"/>
        <v>25</v>
      </c>
      <c r="T32" s="122">
        <f t="shared" si="4"/>
        <v>1</v>
      </c>
      <c r="U32" s="122">
        <f>YEAR(Inputs!$I$8)</f>
        <v>2015</v>
      </c>
      <c r="V32" s="108">
        <f t="shared" si="5"/>
        <v>42029</v>
      </c>
      <c r="W32" s="69">
        <v>42029</v>
      </c>
      <c r="X32" s="116">
        <v>5.7</v>
      </c>
      <c r="Y32" s="116">
        <v>12.9</v>
      </c>
      <c r="Z32" s="116">
        <v>0.3</v>
      </c>
      <c r="AA32" s="116">
        <v>54.3</v>
      </c>
      <c r="AB32" s="116">
        <v>84.6</v>
      </c>
      <c r="AC32" s="116">
        <v>21.2</v>
      </c>
      <c r="AD32" s="116">
        <v>12.39</v>
      </c>
      <c r="AE32" s="116">
        <v>5.6</v>
      </c>
      <c r="AF32" s="116">
        <v>10.4</v>
      </c>
      <c r="AG32" s="116">
        <v>8.6999999999999993</v>
      </c>
      <c r="AH32" s="116">
        <v>0</v>
      </c>
      <c r="AI32" s="116">
        <v>3.2</v>
      </c>
    </row>
    <row r="33" spans="1:35" s="71" customFormat="1">
      <c r="A33" s="210">
        <f t="shared" si="0"/>
        <v>26</v>
      </c>
      <c r="B33" s="210">
        <f t="shared" si="1"/>
        <v>1</v>
      </c>
      <c r="C33" s="210">
        <f t="shared" si="6"/>
        <v>2015</v>
      </c>
      <c r="D33" s="106">
        <f t="shared" si="2"/>
        <v>42030</v>
      </c>
      <c r="E33" s="230">
        <v>42030</v>
      </c>
      <c r="F33" s="229">
        <v>7.3</v>
      </c>
      <c r="G33" s="229">
        <v>13.6</v>
      </c>
      <c r="H33" s="229">
        <v>2.9</v>
      </c>
      <c r="I33" s="229">
        <v>89.4</v>
      </c>
      <c r="J33" s="229">
        <v>100</v>
      </c>
      <c r="K33" s="229">
        <v>65.2</v>
      </c>
      <c r="L33" s="229">
        <v>8.17</v>
      </c>
      <c r="M33" s="229">
        <v>1</v>
      </c>
      <c r="N33" s="229">
        <v>3.9</v>
      </c>
      <c r="O33" s="229">
        <v>6.5</v>
      </c>
      <c r="P33" s="229">
        <v>0</v>
      </c>
      <c r="Q33" s="229">
        <v>0.9</v>
      </c>
      <c r="S33" s="122">
        <f t="shared" si="3"/>
        <v>26</v>
      </c>
      <c r="T33" s="122">
        <f t="shared" si="4"/>
        <v>1</v>
      </c>
      <c r="U33" s="122">
        <f>YEAR(Inputs!$I$8)</f>
        <v>2015</v>
      </c>
      <c r="V33" s="108">
        <f t="shared" si="5"/>
        <v>42030</v>
      </c>
      <c r="W33" s="69">
        <v>42030</v>
      </c>
      <c r="X33" s="116">
        <v>3.3</v>
      </c>
      <c r="Y33" s="116">
        <v>12.5</v>
      </c>
      <c r="Z33" s="116">
        <v>-5.0999999999999996</v>
      </c>
      <c r="AA33" s="116">
        <v>60.7</v>
      </c>
      <c r="AB33" s="116">
        <v>88.1</v>
      </c>
      <c r="AC33" s="116">
        <v>34.9</v>
      </c>
      <c r="AD33" s="116">
        <v>12.07</v>
      </c>
      <c r="AE33" s="116">
        <v>2.2999999999999998</v>
      </c>
      <c r="AF33" s="116">
        <v>6.5</v>
      </c>
      <c r="AG33" s="116">
        <v>8.3000000000000007</v>
      </c>
      <c r="AH33" s="116">
        <v>0</v>
      </c>
      <c r="AI33" s="116">
        <v>1.8</v>
      </c>
    </row>
    <row r="34" spans="1:35" s="71" customFormat="1">
      <c r="A34" s="210">
        <f t="shared" si="0"/>
        <v>27</v>
      </c>
      <c r="B34" s="210">
        <f t="shared" si="1"/>
        <v>1</v>
      </c>
      <c r="C34" s="210">
        <f t="shared" si="6"/>
        <v>2015</v>
      </c>
      <c r="D34" s="106">
        <f t="shared" si="2"/>
        <v>42031</v>
      </c>
      <c r="E34" s="230">
        <v>42031</v>
      </c>
      <c r="F34" s="229">
        <v>6.4</v>
      </c>
      <c r="G34" s="229">
        <v>12.6</v>
      </c>
      <c r="H34" s="229">
        <v>2</v>
      </c>
      <c r="I34" s="229">
        <v>94.6</v>
      </c>
      <c r="J34" s="229">
        <v>100</v>
      </c>
      <c r="K34" s="229">
        <v>73.099999999999994</v>
      </c>
      <c r="L34" s="229">
        <v>7.27</v>
      </c>
      <c r="M34" s="229">
        <v>1.4</v>
      </c>
      <c r="N34" s="229">
        <v>6.4</v>
      </c>
      <c r="O34" s="229">
        <v>7.1</v>
      </c>
      <c r="P34" s="229">
        <v>0.4</v>
      </c>
      <c r="Q34" s="229">
        <v>0.9</v>
      </c>
      <c r="S34" s="122">
        <f t="shared" si="3"/>
        <v>27</v>
      </c>
      <c r="T34" s="122">
        <f t="shared" si="4"/>
        <v>1</v>
      </c>
      <c r="U34" s="122">
        <f>YEAR(Inputs!$I$8)</f>
        <v>2015</v>
      </c>
      <c r="V34" s="108">
        <f t="shared" si="5"/>
        <v>42031</v>
      </c>
      <c r="W34" s="69">
        <v>42031</v>
      </c>
      <c r="X34" s="116">
        <v>5.0999999999999996</v>
      </c>
      <c r="Y34" s="116">
        <v>12.9</v>
      </c>
      <c r="Z34" s="116">
        <v>-2.8</v>
      </c>
      <c r="AA34" s="116">
        <v>69.8</v>
      </c>
      <c r="AB34" s="116">
        <v>92.8</v>
      </c>
      <c r="AC34" s="116">
        <v>45.1</v>
      </c>
      <c r="AD34" s="116">
        <v>12.07</v>
      </c>
      <c r="AE34" s="116">
        <v>4.2</v>
      </c>
      <c r="AF34" s="116">
        <v>10.1</v>
      </c>
      <c r="AG34" s="116">
        <v>8.5</v>
      </c>
      <c r="AH34" s="116">
        <v>0</v>
      </c>
      <c r="AI34" s="116">
        <v>2.1</v>
      </c>
    </row>
    <row r="35" spans="1:35" s="71" customFormat="1">
      <c r="A35" s="210">
        <f t="shared" si="0"/>
        <v>28</v>
      </c>
      <c r="B35" s="210">
        <f t="shared" si="1"/>
        <v>1</v>
      </c>
      <c r="C35" s="210">
        <f t="shared" si="6"/>
        <v>2015</v>
      </c>
      <c r="D35" s="106">
        <f t="shared" si="2"/>
        <v>42032</v>
      </c>
      <c r="E35" s="230">
        <v>42032</v>
      </c>
      <c r="F35" s="229">
        <v>6.4</v>
      </c>
      <c r="G35" s="229">
        <v>13.5</v>
      </c>
      <c r="H35" s="229">
        <v>-0.3</v>
      </c>
      <c r="I35" s="229">
        <v>86.7</v>
      </c>
      <c r="J35" s="229">
        <v>100</v>
      </c>
      <c r="K35" s="229">
        <v>60</v>
      </c>
      <c r="L35" s="229">
        <v>9.16</v>
      </c>
      <c r="M35" s="229">
        <v>1.2</v>
      </c>
      <c r="N35" s="229">
        <v>5.3</v>
      </c>
      <c r="O35" s="229">
        <v>7.1</v>
      </c>
      <c r="P35" s="229">
        <v>0</v>
      </c>
      <c r="Q35" s="229">
        <v>1</v>
      </c>
      <c r="S35" s="122">
        <f t="shared" si="3"/>
        <v>28</v>
      </c>
      <c r="T35" s="122">
        <f t="shared" si="4"/>
        <v>1</v>
      </c>
      <c r="U35" s="122">
        <f>YEAR(Inputs!$I$8)</f>
        <v>2015</v>
      </c>
      <c r="V35" s="108">
        <f t="shared" si="5"/>
        <v>42032</v>
      </c>
      <c r="W35" s="69">
        <v>42032</v>
      </c>
      <c r="X35" s="116">
        <v>5</v>
      </c>
      <c r="Y35" s="116">
        <v>12.9</v>
      </c>
      <c r="Z35" s="116">
        <v>-0.7</v>
      </c>
      <c r="AA35" s="116">
        <v>67.8</v>
      </c>
      <c r="AB35" s="116">
        <v>89.1</v>
      </c>
      <c r="AC35" s="116">
        <v>38.6</v>
      </c>
      <c r="AD35" s="116">
        <v>12.86</v>
      </c>
      <c r="AE35" s="116">
        <v>4.2</v>
      </c>
      <c r="AF35" s="116">
        <v>10.199999999999999</v>
      </c>
      <c r="AG35" s="116">
        <v>8.6</v>
      </c>
      <c r="AH35" s="116">
        <v>0</v>
      </c>
      <c r="AI35" s="116">
        <v>2.2999999999999998</v>
      </c>
    </row>
    <row r="36" spans="1:35" s="71" customFormat="1">
      <c r="A36" s="210">
        <f t="shared" si="0"/>
        <v>29</v>
      </c>
      <c r="B36" s="210">
        <f t="shared" si="1"/>
        <v>1</v>
      </c>
      <c r="C36" s="210">
        <f t="shared" si="6"/>
        <v>2015</v>
      </c>
      <c r="D36" s="106">
        <f t="shared" si="2"/>
        <v>42033</v>
      </c>
      <c r="E36" s="230">
        <v>42033</v>
      </c>
      <c r="F36" s="229">
        <v>7.4</v>
      </c>
      <c r="G36" s="229">
        <v>10.4</v>
      </c>
      <c r="H36" s="229">
        <v>4.5999999999999996</v>
      </c>
      <c r="I36" s="229">
        <v>93.2</v>
      </c>
      <c r="J36" s="229">
        <v>99.4</v>
      </c>
      <c r="K36" s="229">
        <v>83.8</v>
      </c>
      <c r="L36" s="229">
        <v>2.77</v>
      </c>
      <c r="M36" s="229">
        <v>2.4</v>
      </c>
      <c r="N36" s="229">
        <v>6.5</v>
      </c>
      <c r="O36" s="229">
        <v>3</v>
      </c>
      <c r="P36" s="229">
        <v>1.4</v>
      </c>
      <c r="Q36" s="229">
        <v>0.7</v>
      </c>
      <c r="S36" s="122">
        <f t="shared" si="3"/>
        <v>29</v>
      </c>
      <c r="T36" s="122">
        <f t="shared" si="4"/>
        <v>1</v>
      </c>
      <c r="U36" s="122">
        <f>YEAR(Inputs!$I$8)</f>
        <v>2015</v>
      </c>
      <c r="V36" s="108">
        <f t="shared" si="5"/>
        <v>42033</v>
      </c>
      <c r="W36" s="69">
        <v>42033</v>
      </c>
      <c r="X36" s="116">
        <v>6.3</v>
      </c>
      <c r="Y36" s="116">
        <v>13.5</v>
      </c>
      <c r="Z36" s="116">
        <v>-2.8</v>
      </c>
      <c r="AA36" s="116">
        <v>75</v>
      </c>
      <c r="AB36" s="116">
        <v>96.9</v>
      </c>
      <c r="AC36" s="116">
        <v>44.8</v>
      </c>
      <c r="AD36" s="116">
        <v>11.09</v>
      </c>
      <c r="AE36" s="116">
        <v>5.4</v>
      </c>
      <c r="AF36" s="116">
        <v>14.9</v>
      </c>
      <c r="AG36" s="116">
        <v>8.1</v>
      </c>
      <c r="AH36" s="116">
        <v>0</v>
      </c>
      <c r="AI36" s="116">
        <v>2.2999999999999998</v>
      </c>
    </row>
    <row r="37" spans="1:35" s="71" customFormat="1">
      <c r="A37" s="210">
        <f t="shared" si="0"/>
        <v>30</v>
      </c>
      <c r="B37" s="210">
        <f t="shared" si="1"/>
        <v>1</v>
      </c>
      <c r="C37" s="210">
        <f t="shared" si="6"/>
        <v>2015</v>
      </c>
      <c r="D37" s="106">
        <f t="shared" si="2"/>
        <v>42034</v>
      </c>
      <c r="E37" s="230">
        <v>42034</v>
      </c>
      <c r="F37" s="229">
        <v>6.1</v>
      </c>
      <c r="G37" s="229">
        <v>12.1</v>
      </c>
      <c r="H37" s="229">
        <v>0.5</v>
      </c>
      <c r="I37" s="229">
        <v>91.5</v>
      </c>
      <c r="J37" s="229">
        <v>100</v>
      </c>
      <c r="K37" s="229">
        <v>69.8</v>
      </c>
      <c r="L37" s="229">
        <v>9.73</v>
      </c>
      <c r="M37" s="229">
        <v>2</v>
      </c>
      <c r="N37" s="229">
        <v>6.7</v>
      </c>
      <c r="O37" s="229">
        <v>7.2</v>
      </c>
      <c r="P37" s="229">
        <v>0</v>
      </c>
      <c r="Q37" s="229">
        <v>1</v>
      </c>
      <c r="S37" s="122">
        <f t="shared" si="3"/>
        <v>30</v>
      </c>
      <c r="T37" s="122">
        <f t="shared" si="4"/>
        <v>1</v>
      </c>
      <c r="U37" s="122">
        <f>YEAR(Inputs!$I$8)</f>
        <v>2015</v>
      </c>
      <c r="V37" s="108">
        <f t="shared" si="5"/>
        <v>42034</v>
      </c>
      <c r="W37" s="69">
        <v>42034</v>
      </c>
      <c r="X37" s="116">
        <v>11.9</v>
      </c>
      <c r="Y37" s="116">
        <v>15.3</v>
      </c>
      <c r="Z37" s="116">
        <v>9.6999999999999993</v>
      </c>
      <c r="AA37" s="116">
        <v>78.5</v>
      </c>
      <c r="AB37" s="116">
        <v>89.1</v>
      </c>
      <c r="AC37" s="116">
        <v>62.9</v>
      </c>
      <c r="AD37" s="116">
        <v>8.73</v>
      </c>
      <c r="AE37" s="116">
        <v>11</v>
      </c>
      <c r="AF37" s="116">
        <v>18.3</v>
      </c>
      <c r="AG37" s="116">
        <v>7.2</v>
      </c>
      <c r="AH37" s="116">
        <v>0.2</v>
      </c>
      <c r="AI37" s="116">
        <v>2.5</v>
      </c>
    </row>
    <row r="38" spans="1:35" s="71" customFormat="1">
      <c r="A38" s="210">
        <f t="shared" si="0"/>
        <v>31</v>
      </c>
      <c r="B38" s="210">
        <f t="shared" si="1"/>
        <v>1</v>
      </c>
      <c r="C38" s="210">
        <f t="shared" si="6"/>
        <v>2015</v>
      </c>
      <c r="D38" s="106">
        <f t="shared" si="2"/>
        <v>42035</v>
      </c>
      <c r="E38" s="230">
        <v>42035</v>
      </c>
      <c r="F38" s="229">
        <v>7.4</v>
      </c>
      <c r="G38" s="229">
        <v>13.7</v>
      </c>
      <c r="H38" s="229">
        <v>1.3</v>
      </c>
      <c r="I38" s="229">
        <v>86.1</v>
      </c>
      <c r="J38" s="229">
        <v>100</v>
      </c>
      <c r="K38" s="229">
        <v>61.4</v>
      </c>
      <c r="L38" s="229">
        <v>10.72</v>
      </c>
      <c r="M38" s="229">
        <v>3.6</v>
      </c>
      <c r="N38" s="229">
        <v>9.1999999999999993</v>
      </c>
      <c r="O38" s="229">
        <v>8</v>
      </c>
      <c r="P38" s="229">
        <v>0.2</v>
      </c>
      <c r="Q38" s="229">
        <v>1.5</v>
      </c>
      <c r="S38" s="122">
        <f t="shared" si="3"/>
        <v>31</v>
      </c>
      <c r="T38" s="122">
        <f t="shared" si="4"/>
        <v>1</v>
      </c>
      <c r="U38" s="122">
        <f>YEAR(Inputs!$I$8)</f>
        <v>2015</v>
      </c>
      <c r="V38" s="108">
        <f t="shared" si="5"/>
        <v>42035</v>
      </c>
      <c r="W38" s="69">
        <v>42035</v>
      </c>
      <c r="X38" s="116">
        <v>7.3</v>
      </c>
      <c r="Y38" s="116">
        <v>12.1</v>
      </c>
      <c r="Z38" s="116">
        <v>1.1000000000000001</v>
      </c>
      <c r="AA38" s="116">
        <v>75.900000000000006</v>
      </c>
      <c r="AB38" s="116">
        <v>96.5</v>
      </c>
      <c r="AC38" s="116">
        <v>55.5</v>
      </c>
      <c r="AD38" s="116">
        <v>12.34</v>
      </c>
      <c r="AE38" s="116">
        <v>9.6999999999999993</v>
      </c>
      <c r="AF38" s="116">
        <v>18.2</v>
      </c>
      <c r="AG38" s="116">
        <v>8.1</v>
      </c>
      <c r="AH38" s="116">
        <v>11.2</v>
      </c>
      <c r="AI38" s="116">
        <v>2.2000000000000002</v>
      </c>
    </row>
    <row r="39" spans="1:35" s="71" customFormat="1">
      <c r="A39" s="210">
        <f t="shared" si="0"/>
        <v>1</v>
      </c>
      <c r="B39" s="210">
        <f t="shared" si="1"/>
        <v>2</v>
      </c>
      <c r="C39" s="210">
        <f t="shared" si="6"/>
        <v>2015</v>
      </c>
      <c r="D39" s="106">
        <f t="shared" si="2"/>
        <v>42036</v>
      </c>
      <c r="E39" s="230">
        <v>42036</v>
      </c>
      <c r="F39" s="229">
        <v>7.4</v>
      </c>
      <c r="G39" s="229">
        <v>15.2</v>
      </c>
      <c r="H39" s="229">
        <v>1.5</v>
      </c>
      <c r="I39" s="229">
        <v>86.4</v>
      </c>
      <c r="J39" s="229">
        <v>100</v>
      </c>
      <c r="K39" s="229">
        <v>54.6</v>
      </c>
      <c r="L39" s="229">
        <v>11.87</v>
      </c>
      <c r="M39" s="229">
        <v>1.9</v>
      </c>
      <c r="N39" s="229">
        <v>5.2</v>
      </c>
      <c r="O39" s="229">
        <v>8.3000000000000007</v>
      </c>
      <c r="P39" s="229">
        <v>0</v>
      </c>
      <c r="Q39" s="229">
        <v>1.5</v>
      </c>
      <c r="S39" s="122">
        <f t="shared" si="3"/>
        <v>1</v>
      </c>
      <c r="T39" s="122">
        <f t="shared" si="4"/>
        <v>2</v>
      </c>
      <c r="U39" s="122">
        <f>YEAR(Inputs!$I$8)</f>
        <v>2015</v>
      </c>
      <c r="V39" s="108">
        <f t="shared" si="5"/>
        <v>42036</v>
      </c>
      <c r="W39" s="69">
        <v>42036</v>
      </c>
      <c r="X39" s="116">
        <v>2.2999999999999998</v>
      </c>
      <c r="Y39" s="116">
        <v>6.8</v>
      </c>
      <c r="Z39" s="116">
        <v>-0.2</v>
      </c>
      <c r="AA39" s="116">
        <v>72.3</v>
      </c>
      <c r="AB39" s="116">
        <v>84.8</v>
      </c>
      <c r="AC39" s="116">
        <v>47.7</v>
      </c>
      <c r="AD39" s="116">
        <v>11.34</v>
      </c>
      <c r="AE39" s="116">
        <v>6.9</v>
      </c>
      <c r="AF39" s="116">
        <v>14.1</v>
      </c>
      <c r="AG39" s="116">
        <v>8.6999999999999993</v>
      </c>
      <c r="AH39" s="116">
        <v>0</v>
      </c>
      <c r="AI39" s="116">
        <v>1.9</v>
      </c>
    </row>
    <row r="40" spans="1:35" s="71" customFormat="1">
      <c r="A40" s="210">
        <f t="shared" si="0"/>
        <v>2</v>
      </c>
      <c r="B40" s="210">
        <f t="shared" si="1"/>
        <v>2</v>
      </c>
      <c r="C40" s="210">
        <f t="shared" si="6"/>
        <v>2015</v>
      </c>
      <c r="D40" s="106">
        <f t="shared" si="2"/>
        <v>42037</v>
      </c>
      <c r="E40" s="230">
        <v>42037</v>
      </c>
      <c r="F40" s="229">
        <v>6.7</v>
      </c>
      <c r="G40" s="229">
        <v>17.2</v>
      </c>
      <c r="H40" s="229">
        <v>-1.8</v>
      </c>
      <c r="I40" s="229">
        <v>86.8</v>
      </c>
      <c r="J40" s="229">
        <v>100</v>
      </c>
      <c r="K40" s="229">
        <v>53.8</v>
      </c>
      <c r="L40" s="229">
        <v>10.8</v>
      </c>
      <c r="M40" s="229">
        <v>1.5</v>
      </c>
      <c r="N40" s="229">
        <v>6.4</v>
      </c>
      <c r="O40" s="229">
        <v>7.6</v>
      </c>
      <c r="P40" s="229">
        <v>0.2</v>
      </c>
      <c r="Q40" s="229">
        <v>1.5</v>
      </c>
      <c r="S40" s="122">
        <f t="shared" si="3"/>
        <v>2</v>
      </c>
      <c r="T40" s="122">
        <f t="shared" si="4"/>
        <v>2</v>
      </c>
      <c r="U40" s="122">
        <f>YEAR(Inputs!$I$8)</f>
        <v>2015</v>
      </c>
      <c r="V40" s="108">
        <f t="shared" si="5"/>
        <v>42037</v>
      </c>
      <c r="W40" s="69">
        <v>42037</v>
      </c>
      <c r="X40" s="116">
        <v>2.5</v>
      </c>
      <c r="Y40" s="116">
        <v>6.4</v>
      </c>
      <c r="Z40" s="116">
        <v>-1.9</v>
      </c>
      <c r="AA40" s="116">
        <v>85.2</v>
      </c>
      <c r="AB40" s="116">
        <v>94.1</v>
      </c>
      <c r="AC40" s="116">
        <v>70.7</v>
      </c>
      <c r="AD40" s="116">
        <v>6.33</v>
      </c>
      <c r="AE40" s="116">
        <v>4.0999999999999996</v>
      </c>
      <c r="AF40" s="116">
        <v>13.7</v>
      </c>
      <c r="AG40" s="116">
        <v>6.7</v>
      </c>
      <c r="AH40" s="116">
        <v>0.6</v>
      </c>
      <c r="AI40" s="116">
        <v>1</v>
      </c>
    </row>
    <row r="41" spans="1:35" s="71" customFormat="1">
      <c r="A41" s="210">
        <f t="shared" si="0"/>
        <v>3</v>
      </c>
      <c r="B41" s="210">
        <f t="shared" si="1"/>
        <v>2</v>
      </c>
      <c r="C41" s="210">
        <f t="shared" si="6"/>
        <v>2015</v>
      </c>
      <c r="D41" s="106">
        <f t="shared" si="2"/>
        <v>42038</v>
      </c>
      <c r="E41" s="230">
        <v>42038</v>
      </c>
      <c r="F41" s="229">
        <v>6.6</v>
      </c>
      <c r="G41" s="229">
        <v>13.9</v>
      </c>
      <c r="H41" s="229">
        <v>0.9</v>
      </c>
      <c r="I41" s="229">
        <v>82.7</v>
      </c>
      <c r="J41" s="229">
        <v>100</v>
      </c>
      <c r="K41" s="229">
        <v>54.6</v>
      </c>
      <c r="L41" s="229">
        <v>10.36</v>
      </c>
      <c r="M41" s="229">
        <v>2.1</v>
      </c>
      <c r="N41" s="229">
        <v>5.4</v>
      </c>
      <c r="O41" s="229">
        <v>8.1999999999999993</v>
      </c>
      <c r="P41" s="229">
        <v>0.2</v>
      </c>
      <c r="Q41" s="229">
        <v>1.4</v>
      </c>
      <c r="S41" s="122">
        <f t="shared" si="3"/>
        <v>3</v>
      </c>
      <c r="T41" s="122">
        <f t="shared" si="4"/>
        <v>2</v>
      </c>
      <c r="U41" s="122">
        <f>YEAR(Inputs!$I$8)</f>
        <v>2015</v>
      </c>
      <c r="V41" s="108">
        <f t="shared" si="5"/>
        <v>42038</v>
      </c>
      <c r="W41" s="69">
        <v>42038</v>
      </c>
      <c r="X41" s="116">
        <v>6.2</v>
      </c>
      <c r="Y41" s="116">
        <v>10.5</v>
      </c>
      <c r="Z41" s="116">
        <v>3.8</v>
      </c>
      <c r="AA41" s="116">
        <v>79.8</v>
      </c>
      <c r="AB41" s="116">
        <v>92.2</v>
      </c>
      <c r="AC41" s="116">
        <v>56.1</v>
      </c>
      <c r="AD41" s="116">
        <v>11.11</v>
      </c>
      <c r="AE41" s="116">
        <v>7.2</v>
      </c>
      <c r="AF41" s="116">
        <v>13.1</v>
      </c>
      <c r="AG41" s="116">
        <v>8.5</v>
      </c>
      <c r="AH41" s="116">
        <v>1.2</v>
      </c>
      <c r="AI41" s="116">
        <v>2</v>
      </c>
    </row>
    <row r="42" spans="1:35" s="71" customFormat="1">
      <c r="A42" s="210">
        <f t="shared" si="0"/>
        <v>4</v>
      </c>
      <c r="B42" s="210">
        <f t="shared" si="1"/>
        <v>2</v>
      </c>
      <c r="C42" s="210">
        <f t="shared" si="6"/>
        <v>2015</v>
      </c>
      <c r="D42" s="106">
        <f t="shared" si="2"/>
        <v>42039</v>
      </c>
      <c r="E42" s="230">
        <v>42039</v>
      </c>
      <c r="F42" s="229">
        <v>4.4000000000000004</v>
      </c>
      <c r="G42" s="229">
        <v>12.5</v>
      </c>
      <c r="H42" s="229">
        <v>-3.2</v>
      </c>
      <c r="I42" s="229">
        <v>74.599999999999994</v>
      </c>
      <c r="J42" s="229">
        <v>95.9</v>
      </c>
      <c r="K42" s="229">
        <v>40.299999999999997</v>
      </c>
      <c r="L42" s="229">
        <v>13.28</v>
      </c>
      <c r="M42" s="229">
        <v>1.7</v>
      </c>
      <c r="N42" s="229">
        <v>7.4</v>
      </c>
      <c r="O42" s="229">
        <v>8.8000000000000007</v>
      </c>
      <c r="P42" s="229">
        <v>0</v>
      </c>
      <c r="Q42" s="229">
        <v>1.5</v>
      </c>
      <c r="S42" s="122">
        <f t="shared" si="3"/>
        <v>4</v>
      </c>
      <c r="T42" s="122">
        <f t="shared" si="4"/>
        <v>2</v>
      </c>
      <c r="U42" s="122">
        <f>YEAR(Inputs!$I$8)</f>
        <v>2015</v>
      </c>
      <c r="V42" s="108">
        <f t="shared" si="5"/>
        <v>42039</v>
      </c>
      <c r="W42" s="69">
        <v>42039</v>
      </c>
      <c r="X42" s="116">
        <v>0.6</v>
      </c>
      <c r="Y42" s="116">
        <v>4.2</v>
      </c>
      <c r="Z42" s="116">
        <v>-1.9</v>
      </c>
      <c r="AA42" s="116">
        <v>84.3</v>
      </c>
      <c r="AB42" s="116">
        <v>100</v>
      </c>
      <c r="AC42" s="116">
        <v>58.9</v>
      </c>
      <c r="AD42" s="116">
        <v>9.91</v>
      </c>
      <c r="AE42" s="116">
        <v>7.1</v>
      </c>
      <c r="AF42" s="116">
        <v>14.4</v>
      </c>
      <c r="AG42" s="116">
        <v>7.5</v>
      </c>
      <c r="AH42" s="116">
        <v>3.7</v>
      </c>
      <c r="AI42" s="116">
        <v>1.2</v>
      </c>
    </row>
    <row r="43" spans="1:35" s="71" customFormat="1">
      <c r="A43" s="210">
        <f t="shared" si="0"/>
        <v>5</v>
      </c>
      <c r="B43" s="210">
        <f t="shared" si="1"/>
        <v>2</v>
      </c>
      <c r="C43" s="210">
        <f t="shared" si="6"/>
        <v>2015</v>
      </c>
      <c r="D43" s="106">
        <f t="shared" si="2"/>
        <v>42040</v>
      </c>
      <c r="E43" s="230">
        <v>42040</v>
      </c>
      <c r="F43" s="229">
        <v>7.8</v>
      </c>
      <c r="G43" s="229">
        <v>13.3</v>
      </c>
      <c r="H43" s="229">
        <v>4.0999999999999996</v>
      </c>
      <c r="I43" s="229">
        <v>77</v>
      </c>
      <c r="J43" s="229">
        <v>93.3</v>
      </c>
      <c r="K43" s="229">
        <v>52.4</v>
      </c>
      <c r="L43" s="229">
        <v>10.07</v>
      </c>
      <c r="M43" s="229">
        <v>2.2999999999999998</v>
      </c>
      <c r="N43" s="229">
        <v>7.8</v>
      </c>
      <c r="O43" s="229">
        <v>7.2</v>
      </c>
      <c r="P43" s="229">
        <v>0</v>
      </c>
      <c r="Q43" s="229">
        <v>1.6</v>
      </c>
      <c r="S43" s="122">
        <f t="shared" si="3"/>
        <v>5</v>
      </c>
      <c r="T43" s="122">
        <f t="shared" si="4"/>
        <v>2</v>
      </c>
      <c r="U43" s="122">
        <f>YEAR(Inputs!$I$8)</f>
        <v>2015</v>
      </c>
      <c r="V43" s="108">
        <f t="shared" si="5"/>
        <v>42040</v>
      </c>
      <c r="W43" s="69">
        <v>42040</v>
      </c>
      <c r="X43" s="116">
        <v>0.2</v>
      </c>
      <c r="Y43" s="116">
        <v>4.2</v>
      </c>
      <c r="Z43" s="116">
        <v>-2.7</v>
      </c>
      <c r="AA43" s="116">
        <v>67.3</v>
      </c>
      <c r="AB43" s="116">
        <v>82.1</v>
      </c>
      <c r="AC43" s="116">
        <v>47.6</v>
      </c>
      <c r="AD43" s="116">
        <v>13.45</v>
      </c>
      <c r="AE43" s="116">
        <v>8.1999999999999993</v>
      </c>
      <c r="AF43" s="116">
        <v>16.399999999999999</v>
      </c>
      <c r="AG43" s="116">
        <v>8.6</v>
      </c>
      <c r="AH43" s="116">
        <v>0</v>
      </c>
      <c r="AI43" s="116">
        <v>1.8</v>
      </c>
    </row>
    <row r="44" spans="1:35" s="71" customFormat="1">
      <c r="A44" s="210">
        <f t="shared" si="0"/>
        <v>6</v>
      </c>
      <c r="B44" s="210">
        <f t="shared" si="1"/>
        <v>2</v>
      </c>
      <c r="C44" s="210">
        <f t="shared" si="6"/>
        <v>2015</v>
      </c>
      <c r="D44" s="106">
        <f t="shared" si="2"/>
        <v>42041</v>
      </c>
      <c r="E44" s="230">
        <v>42041</v>
      </c>
      <c r="F44" s="229">
        <v>8</v>
      </c>
      <c r="G44" s="229">
        <v>16.8</v>
      </c>
      <c r="H44" s="229">
        <v>-1.1000000000000001</v>
      </c>
      <c r="I44" s="229">
        <v>77.3</v>
      </c>
      <c r="J44" s="229">
        <v>100</v>
      </c>
      <c r="K44" s="229">
        <v>45.9</v>
      </c>
      <c r="L44" s="229">
        <v>8.5</v>
      </c>
      <c r="M44" s="229">
        <v>2.5</v>
      </c>
      <c r="N44" s="229">
        <v>9.6999999999999993</v>
      </c>
      <c r="O44" s="229">
        <v>7.3</v>
      </c>
      <c r="P44" s="229">
        <v>0.2</v>
      </c>
      <c r="Q44" s="229">
        <v>1.9</v>
      </c>
      <c r="S44" s="122">
        <f t="shared" si="3"/>
        <v>6</v>
      </c>
      <c r="T44" s="122">
        <f t="shared" si="4"/>
        <v>2</v>
      </c>
      <c r="U44" s="122">
        <f>YEAR(Inputs!$I$8)</f>
        <v>2015</v>
      </c>
      <c r="V44" s="108">
        <f t="shared" si="5"/>
        <v>42041</v>
      </c>
      <c r="W44" s="69">
        <v>42041</v>
      </c>
      <c r="X44" s="116">
        <v>-0.1</v>
      </c>
      <c r="Y44" s="116">
        <v>5.4</v>
      </c>
      <c r="Z44" s="116">
        <v>-4.4000000000000004</v>
      </c>
      <c r="AA44" s="116">
        <v>71.400000000000006</v>
      </c>
      <c r="AB44" s="116">
        <v>89.8</v>
      </c>
      <c r="AC44" s="116">
        <v>40.299999999999997</v>
      </c>
      <c r="AD44" s="116">
        <v>8.93</v>
      </c>
      <c r="AE44" s="116">
        <v>4.5999999999999996</v>
      </c>
      <c r="AF44" s="116">
        <v>10.9</v>
      </c>
      <c r="AG44" s="116">
        <v>7.6</v>
      </c>
      <c r="AH44" s="116">
        <v>0</v>
      </c>
      <c r="AI44" s="116">
        <v>1.7</v>
      </c>
    </row>
    <row r="45" spans="1:35" s="71" customFormat="1">
      <c r="A45" s="210">
        <f t="shared" si="0"/>
        <v>7</v>
      </c>
      <c r="B45" s="210">
        <f t="shared" si="1"/>
        <v>2</v>
      </c>
      <c r="C45" s="210">
        <f t="shared" si="6"/>
        <v>2015</v>
      </c>
      <c r="D45" s="106">
        <f t="shared" si="2"/>
        <v>42042</v>
      </c>
      <c r="E45" s="230">
        <v>42042</v>
      </c>
      <c r="F45" s="229">
        <v>7.2</v>
      </c>
      <c r="G45" s="229">
        <v>11.1</v>
      </c>
      <c r="H45" s="229">
        <v>3.5</v>
      </c>
      <c r="I45" s="229">
        <v>78.7</v>
      </c>
      <c r="J45" s="229">
        <v>96.3</v>
      </c>
      <c r="K45" s="229">
        <v>52.7</v>
      </c>
      <c r="L45" s="229">
        <v>10.78</v>
      </c>
      <c r="M45" s="229">
        <v>6.2</v>
      </c>
      <c r="N45" s="229">
        <v>14</v>
      </c>
      <c r="O45" s="229">
        <v>8.4</v>
      </c>
      <c r="P45" s="229">
        <v>5.5</v>
      </c>
      <c r="Q45" s="229">
        <v>2</v>
      </c>
      <c r="S45" s="122">
        <f t="shared" si="3"/>
        <v>7</v>
      </c>
      <c r="T45" s="122">
        <f t="shared" si="4"/>
        <v>2</v>
      </c>
      <c r="U45" s="122">
        <f>YEAR(Inputs!$I$8)</f>
        <v>2015</v>
      </c>
      <c r="V45" s="108">
        <f t="shared" si="5"/>
        <v>42042</v>
      </c>
      <c r="W45" s="69">
        <v>42042</v>
      </c>
      <c r="X45" s="116">
        <v>-1.4</v>
      </c>
      <c r="Y45" s="116">
        <v>3.7</v>
      </c>
      <c r="Z45" s="116">
        <v>-6.1</v>
      </c>
      <c r="AA45" s="116">
        <v>78.599999999999994</v>
      </c>
      <c r="AB45" s="116">
        <v>92.6</v>
      </c>
      <c r="AC45" s="116">
        <v>54.9</v>
      </c>
      <c r="AD45" s="116">
        <v>7.58</v>
      </c>
      <c r="AE45" s="116">
        <v>1.2</v>
      </c>
      <c r="AF45" s="116">
        <v>3.9</v>
      </c>
      <c r="AG45" s="116">
        <v>7.3</v>
      </c>
      <c r="AH45" s="116">
        <v>0</v>
      </c>
      <c r="AI45" s="116">
        <v>0.8</v>
      </c>
    </row>
    <row r="46" spans="1:35" s="71" customFormat="1">
      <c r="A46" s="210">
        <f t="shared" si="0"/>
        <v>8</v>
      </c>
      <c r="B46" s="210">
        <f t="shared" si="1"/>
        <v>2</v>
      </c>
      <c r="C46" s="210">
        <f t="shared" si="6"/>
        <v>2015</v>
      </c>
      <c r="D46" s="106">
        <f t="shared" si="2"/>
        <v>42043</v>
      </c>
      <c r="E46" s="230">
        <v>42043</v>
      </c>
      <c r="F46" s="229">
        <v>7.7</v>
      </c>
      <c r="G46" s="229">
        <v>10.3</v>
      </c>
      <c r="H46" s="229">
        <v>4.0999999999999996</v>
      </c>
      <c r="I46" s="229">
        <v>83.1</v>
      </c>
      <c r="J46" s="229">
        <v>90.8</v>
      </c>
      <c r="K46" s="229">
        <v>71.7</v>
      </c>
      <c r="L46" s="229">
        <v>4.78</v>
      </c>
      <c r="M46" s="229">
        <v>4.2</v>
      </c>
      <c r="N46" s="229">
        <v>9.1999999999999993</v>
      </c>
      <c r="O46" s="229">
        <v>6.4</v>
      </c>
      <c r="P46" s="229">
        <v>0</v>
      </c>
      <c r="Q46" s="229">
        <v>1.2</v>
      </c>
      <c r="S46" s="122">
        <f t="shared" si="3"/>
        <v>8</v>
      </c>
      <c r="T46" s="122">
        <f t="shared" si="4"/>
        <v>2</v>
      </c>
      <c r="U46" s="122">
        <f>YEAR(Inputs!$I$8)</f>
        <v>2015</v>
      </c>
      <c r="V46" s="108">
        <f t="shared" si="5"/>
        <v>42043</v>
      </c>
      <c r="W46" s="69">
        <v>42043</v>
      </c>
      <c r="X46" s="116">
        <v>-0.8</v>
      </c>
      <c r="Y46" s="116">
        <v>7.8</v>
      </c>
      <c r="Z46" s="116">
        <v>-7.4</v>
      </c>
      <c r="AA46" s="116">
        <v>75.3</v>
      </c>
      <c r="AB46" s="116">
        <v>94.6</v>
      </c>
      <c r="AC46" s="116">
        <v>39.1</v>
      </c>
      <c r="AD46" s="116">
        <v>14.29</v>
      </c>
      <c r="AE46" s="116">
        <v>1.3</v>
      </c>
      <c r="AF46" s="116">
        <v>5.4</v>
      </c>
      <c r="AG46" s="116">
        <v>9</v>
      </c>
      <c r="AH46" s="116">
        <v>0</v>
      </c>
      <c r="AI46" s="116">
        <v>1.2</v>
      </c>
    </row>
    <row r="47" spans="1:35" s="71" customFormat="1">
      <c r="A47" s="210">
        <f t="shared" si="0"/>
        <v>9</v>
      </c>
      <c r="B47" s="210">
        <f t="shared" si="1"/>
        <v>2</v>
      </c>
      <c r="C47" s="210">
        <f t="shared" si="6"/>
        <v>2015</v>
      </c>
      <c r="D47" s="106">
        <f t="shared" si="2"/>
        <v>42044</v>
      </c>
      <c r="E47" s="230">
        <v>42044</v>
      </c>
      <c r="F47" s="229">
        <v>10.4</v>
      </c>
      <c r="G47" s="229">
        <v>14.5</v>
      </c>
      <c r="H47" s="229">
        <v>7.8</v>
      </c>
      <c r="I47" s="229">
        <v>75.400000000000006</v>
      </c>
      <c r="J47" s="229">
        <v>85.8</v>
      </c>
      <c r="K47" s="229">
        <v>60.5</v>
      </c>
      <c r="L47" s="229">
        <v>7.31</v>
      </c>
      <c r="M47" s="229">
        <v>9.1</v>
      </c>
      <c r="N47" s="229">
        <v>17.2</v>
      </c>
      <c r="O47" s="229">
        <v>7.8</v>
      </c>
      <c r="P47" s="229">
        <v>0</v>
      </c>
      <c r="Q47" s="229">
        <v>2.5</v>
      </c>
      <c r="S47" s="122">
        <f t="shared" si="3"/>
        <v>9</v>
      </c>
      <c r="T47" s="122">
        <f t="shared" si="4"/>
        <v>2</v>
      </c>
      <c r="U47" s="122">
        <f>YEAR(Inputs!$I$8)</f>
        <v>2015</v>
      </c>
      <c r="V47" s="108">
        <f t="shared" si="5"/>
        <v>42044</v>
      </c>
      <c r="W47" s="69">
        <v>42044</v>
      </c>
      <c r="X47" s="116">
        <v>0.6</v>
      </c>
      <c r="Y47" s="116">
        <v>7</v>
      </c>
      <c r="Z47" s="116">
        <v>-6.6</v>
      </c>
      <c r="AA47" s="116">
        <v>86.5</v>
      </c>
      <c r="AB47" s="116">
        <v>98.1</v>
      </c>
      <c r="AC47" s="116">
        <v>72.2</v>
      </c>
      <c r="AD47" s="116">
        <v>5.93</v>
      </c>
      <c r="AE47" s="116">
        <v>2.8</v>
      </c>
      <c r="AF47" s="116">
        <v>9.5</v>
      </c>
      <c r="AG47" s="116">
        <v>7</v>
      </c>
      <c r="AH47" s="116">
        <v>0</v>
      </c>
      <c r="AI47" s="116">
        <v>0.9</v>
      </c>
    </row>
    <row r="48" spans="1:35" s="71" customFormat="1">
      <c r="A48" s="210">
        <f t="shared" si="0"/>
        <v>10</v>
      </c>
      <c r="B48" s="210">
        <f t="shared" si="1"/>
        <v>2</v>
      </c>
      <c r="C48" s="210">
        <f t="shared" si="6"/>
        <v>2015</v>
      </c>
      <c r="D48" s="106">
        <f t="shared" si="2"/>
        <v>42045</v>
      </c>
      <c r="E48" s="230">
        <v>42045</v>
      </c>
      <c r="F48" s="229">
        <v>12.1</v>
      </c>
      <c r="G48" s="229">
        <v>14.7</v>
      </c>
      <c r="H48" s="229">
        <v>10.1</v>
      </c>
      <c r="I48" s="229">
        <v>78.7</v>
      </c>
      <c r="J48" s="229">
        <v>84.3</v>
      </c>
      <c r="K48" s="229">
        <v>67.900000000000006</v>
      </c>
      <c r="L48" s="229">
        <v>7.33</v>
      </c>
      <c r="M48" s="229">
        <v>10.7</v>
      </c>
      <c r="N48" s="229">
        <v>17.600000000000001</v>
      </c>
      <c r="O48" s="229">
        <v>8</v>
      </c>
      <c r="P48" s="229">
        <v>0</v>
      </c>
      <c r="Q48" s="229">
        <v>2.4</v>
      </c>
      <c r="S48" s="122">
        <f t="shared" si="3"/>
        <v>10</v>
      </c>
      <c r="T48" s="122">
        <f t="shared" si="4"/>
        <v>2</v>
      </c>
      <c r="U48" s="122">
        <f>YEAR(Inputs!$I$8)</f>
        <v>2015</v>
      </c>
      <c r="V48" s="108">
        <f t="shared" si="5"/>
        <v>42045</v>
      </c>
      <c r="W48" s="69">
        <v>42045</v>
      </c>
      <c r="X48" s="116">
        <v>3.6</v>
      </c>
      <c r="Y48" s="116">
        <v>7.7</v>
      </c>
      <c r="Z48" s="116">
        <v>-1.4</v>
      </c>
      <c r="AA48" s="116">
        <v>91</v>
      </c>
      <c r="AB48" s="116">
        <v>100</v>
      </c>
      <c r="AC48" s="116">
        <v>73.900000000000006</v>
      </c>
      <c r="AD48" s="116">
        <v>5.07</v>
      </c>
      <c r="AE48" s="116">
        <v>2.4</v>
      </c>
      <c r="AF48" s="116">
        <v>5.4</v>
      </c>
      <c r="AG48" s="116">
        <v>6.2</v>
      </c>
      <c r="AH48" s="116">
        <v>0.2</v>
      </c>
      <c r="AI48" s="116">
        <v>0.8</v>
      </c>
    </row>
    <row r="49" spans="1:35" s="71" customFormat="1">
      <c r="A49" s="210">
        <f t="shared" si="0"/>
        <v>11</v>
      </c>
      <c r="B49" s="210">
        <f t="shared" si="1"/>
        <v>2</v>
      </c>
      <c r="C49" s="210">
        <f t="shared" si="6"/>
        <v>2015</v>
      </c>
      <c r="D49" s="106">
        <f t="shared" si="2"/>
        <v>42046</v>
      </c>
      <c r="E49" s="230">
        <v>42046</v>
      </c>
      <c r="F49" s="229">
        <v>12.5</v>
      </c>
      <c r="G49" s="229">
        <v>16.8</v>
      </c>
      <c r="H49" s="229">
        <v>10.199999999999999</v>
      </c>
      <c r="I49" s="229">
        <v>79.400000000000006</v>
      </c>
      <c r="J49" s="229">
        <v>89.8</v>
      </c>
      <c r="K49" s="229">
        <v>59.6</v>
      </c>
      <c r="L49" s="229">
        <v>7.98</v>
      </c>
      <c r="M49" s="229">
        <v>8.3000000000000007</v>
      </c>
      <c r="N49" s="229">
        <v>15.6</v>
      </c>
      <c r="O49" s="229">
        <v>7.2</v>
      </c>
      <c r="P49" s="229">
        <v>1.2</v>
      </c>
      <c r="Q49" s="229">
        <v>2.6</v>
      </c>
      <c r="S49" s="122">
        <f t="shared" si="3"/>
        <v>11</v>
      </c>
      <c r="T49" s="122">
        <f t="shared" si="4"/>
        <v>2</v>
      </c>
      <c r="U49" s="122">
        <f>YEAR(Inputs!$I$8)</f>
        <v>2015</v>
      </c>
      <c r="V49" s="108">
        <f t="shared" si="5"/>
        <v>42046</v>
      </c>
      <c r="W49" s="69">
        <v>42046</v>
      </c>
      <c r="X49" s="116">
        <v>5.9</v>
      </c>
      <c r="Y49" s="116">
        <v>11.3</v>
      </c>
      <c r="Z49" s="116">
        <v>2.5</v>
      </c>
      <c r="AA49" s="116">
        <v>85.7</v>
      </c>
      <c r="AB49" s="116">
        <v>99.8</v>
      </c>
      <c r="AC49" s="116">
        <v>60.3</v>
      </c>
      <c r="AD49" s="116">
        <v>7.07</v>
      </c>
      <c r="AE49" s="116">
        <v>2.8</v>
      </c>
      <c r="AF49" s="116">
        <v>6.8</v>
      </c>
      <c r="AG49" s="116">
        <v>7.3</v>
      </c>
      <c r="AH49" s="116">
        <v>0.2</v>
      </c>
      <c r="AI49" s="116">
        <v>1.3</v>
      </c>
    </row>
    <row r="50" spans="1:35" s="71" customFormat="1">
      <c r="A50" s="210">
        <f t="shared" si="0"/>
        <v>12</v>
      </c>
      <c r="B50" s="210">
        <f t="shared" si="1"/>
        <v>2</v>
      </c>
      <c r="C50" s="210">
        <f t="shared" si="6"/>
        <v>2015</v>
      </c>
      <c r="D50" s="106">
        <f t="shared" si="2"/>
        <v>42047</v>
      </c>
      <c r="E50" s="230">
        <v>42047</v>
      </c>
      <c r="F50" s="229">
        <v>11.5</v>
      </c>
      <c r="G50" s="229">
        <v>13.6</v>
      </c>
      <c r="H50" s="229">
        <v>9</v>
      </c>
      <c r="I50" s="229">
        <v>84.9</v>
      </c>
      <c r="J50" s="229">
        <v>90.8</v>
      </c>
      <c r="K50" s="229">
        <v>79.400000000000006</v>
      </c>
      <c r="L50" s="229">
        <v>7.19</v>
      </c>
      <c r="M50" s="229">
        <v>8.6999999999999993</v>
      </c>
      <c r="N50" s="229">
        <v>15.9</v>
      </c>
      <c r="O50" s="229">
        <v>8.3000000000000007</v>
      </c>
      <c r="P50" s="229">
        <v>0.8</v>
      </c>
      <c r="Q50" s="229">
        <v>1.5</v>
      </c>
      <c r="S50" s="122">
        <f t="shared" si="3"/>
        <v>12</v>
      </c>
      <c r="T50" s="122">
        <f t="shared" si="4"/>
        <v>2</v>
      </c>
      <c r="U50" s="122">
        <f>YEAR(Inputs!$I$8)</f>
        <v>2015</v>
      </c>
      <c r="V50" s="108">
        <f t="shared" si="5"/>
        <v>42047</v>
      </c>
      <c r="W50" s="69">
        <v>42047</v>
      </c>
      <c r="X50" s="116">
        <v>5.4</v>
      </c>
      <c r="Y50" s="116">
        <v>7.8</v>
      </c>
      <c r="Z50" s="116">
        <v>3.5</v>
      </c>
      <c r="AA50" s="116">
        <v>93.4</v>
      </c>
      <c r="AB50" s="116">
        <v>100</v>
      </c>
      <c r="AC50" s="116">
        <v>79.5</v>
      </c>
      <c r="AD50" s="116">
        <v>3.43</v>
      </c>
      <c r="AE50" s="116">
        <v>1.6</v>
      </c>
      <c r="AF50" s="116">
        <v>5.4</v>
      </c>
      <c r="AG50" s="116">
        <v>4.7</v>
      </c>
      <c r="AH50" s="116">
        <v>1.8</v>
      </c>
      <c r="AI50" s="116">
        <v>0.7</v>
      </c>
    </row>
    <row r="51" spans="1:35" s="71" customFormat="1">
      <c r="A51" s="210">
        <f t="shared" si="0"/>
        <v>13</v>
      </c>
      <c r="B51" s="210">
        <f t="shared" si="1"/>
        <v>2</v>
      </c>
      <c r="C51" s="210">
        <f t="shared" si="6"/>
        <v>2015</v>
      </c>
      <c r="D51" s="106">
        <f t="shared" si="2"/>
        <v>42048</v>
      </c>
      <c r="E51" s="230">
        <v>42048</v>
      </c>
      <c r="F51" s="229">
        <v>13</v>
      </c>
      <c r="G51" s="229">
        <v>14.7</v>
      </c>
      <c r="H51" s="229">
        <v>11.9</v>
      </c>
      <c r="I51" s="229">
        <v>85.3</v>
      </c>
      <c r="J51" s="229">
        <v>91.4</v>
      </c>
      <c r="K51" s="229">
        <v>78.900000000000006</v>
      </c>
      <c r="L51" s="229">
        <v>7.67</v>
      </c>
      <c r="M51" s="229">
        <v>9.1</v>
      </c>
      <c r="N51" s="229">
        <v>14.6</v>
      </c>
      <c r="O51" s="229">
        <v>7.9</v>
      </c>
      <c r="P51" s="229">
        <v>0.8</v>
      </c>
      <c r="Q51" s="229">
        <v>1.6</v>
      </c>
      <c r="S51" s="122">
        <f t="shared" si="3"/>
        <v>13</v>
      </c>
      <c r="T51" s="122">
        <f t="shared" si="4"/>
        <v>2</v>
      </c>
      <c r="U51" s="122">
        <f>YEAR(Inputs!$I$8)</f>
        <v>2015</v>
      </c>
      <c r="V51" s="108">
        <f t="shared" si="5"/>
        <v>42048</v>
      </c>
      <c r="W51" s="69">
        <v>42048</v>
      </c>
      <c r="X51" s="116">
        <v>4.0999999999999996</v>
      </c>
      <c r="Y51" s="116">
        <v>11.6</v>
      </c>
      <c r="Z51" s="116">
        <v>-1.5</v>
      </c>
      <c r="AA51" s="116">
        <v>88.9</v>
      </c>
      <c r="AB51" s="116">
        <v>100</v>
      </c>
      <c r="AC51" s="116">
        <v>58.2</v>
      </c>
      <c r="AD51" s="116">
        <v>8.91</v>
      </c>
      <c r="AE51" s="116">
        <v>1.6</v>
      </c>
      <c r="AF51" s="116">
        <v>6.7</v>
      </c>
      <c r="AG51" s="116">
        <v>8</v>
      </c>
      <c r="AH51" s="116">
        <v>0</v>
      </c>
      <c r="AI51" s="116">
        <v>1.2</v>
      </c>
    </row>
    <row r="52" spans="1:35" s="71" customFormat="1">
      <c r="A52" s="210">
        <f t="shared" si="0"/>
        <v>14</v>
      </c>
      <c r="B52" s="210">
        <f t="shared" si="1"/>
        <v>2</v>
      </c>
      <c r="C52" s="210">
        <f t="shared" si="6"/>
        <v>2015</v>
      </c>
      <c r="D52" s="106">
        <f t="shared" si="2"/>
        <v>42049</v>
      </c>
      <c r="E52" s="230">
        <v>42049</v>
      </c>
      <c r="F52" s="229">
        <v>7.3</v>
      </c>
      <c r="G52" s="229">
        <v>12.5</v>
      </c>
      <c r="H52" s="229">
        <v>2.1</v>
      </c>
      <c r="I52" s="229">
        <v>80.3</v>
      </c>
      <c r="J52" s="229">
        <v>91.8</v>
      </c>
      <c r="K52" s="229">
        <v>68.2</v>
      </c>
      <c r="L52" s="229">
        <v>7.56</v>
      </c>
      <c r="M52" s="229">
        <v>8.1999999999999993</v>
      </c>
      <c r="N52" s="229">
        <v>17.600000000000001</v>
      </c>
      <c r="O52" s="229">
        <v>7.9</v>
      </c>
      <c r="P52" s="229">
        <v>2.7</v>
      </c>
      <c r="Q52" s="229">
        <v>1.8</v>
      </c>
      <c r="S52" s="122">
        <f t="shared" si="3"/>
        <v>14</v>
      </c>
      <c r="T52" s="122">
        <f t="shared" si="4"/>
        <v>2</v>
      </c>
      <c r="U52" s="122">
        <f>YEAR(Inputs!$I$8)</f>
        <v>2015</v>
      </c>
      <c r="V52" s="108">
        <f t="shared" si="5"/>
        <v>42049</v>
      </c>
      <c r="W52" s="69">
        <v>42049</v>
      </c>
      <c r="X52" s="116">
        <v>8.1999999999999993</v>
      </c>
      <c r="Y52" s="116">
        <v>12.9</v>
      </c>
      <c r="Z52" s="116">
        <v>3.1</v>
      </c>
      <c r="AA52" s="116">
        <v>78.8</v>
      </c>
      <c r="AB52" s="116">
        <v>93.6</v>
      </c>
      <c r="AC52" s="116">
        <v>55.9</v>
      </c>
      <c r="AD52" s="116">
        <v>11.35</v>
      </c>
      <c r="AE52" s="116">
        <v>5.7</v>
      </c>
      <c r="AF52" s="116">
        <v>12.9</v>
      </c>
      <c r="AG52" s="116">
        <v>8.5</v>
      </c>
      <c r="AH52" s="116">
        <v>0.2</v>
      </c>
      <c r="AI52" s="116">
        <v>2.1</v>
      </c>
    </row>
    <row r="53" spans="1:35" s="71" customFormat="1">
      <c r="A53" s="210">
        <f t="shared" si="0"/>
        <v>15</v>
      </c>
      <c r="B53" s="210">
        <f t="shared" si="1"/>
        <v>2</v>
      </c>
      <c r="C53" s="210">
        <f t="shared" si="6"/>
        <v>2015</v>
      </c>
      <c r="D53" s="106">
        <f t="shared" si="2"/>
        <v>42050</v>
      </c>
      <c r="E53" s="230">
        <v>42050</v>
      </c>
      <c r="F53" s="229">
        <v>4.2</v>
      </c>
      <c r="G53" s="229">
        <v>9.8000000000000007</v>
      </c>
      <c r="H53" s="229">
        <v>-0.9</v>
      </c>
      <c r="I53" s="229">
        <v>68.3</v>
      </c>
      <c r="J53" s="229">
        <v>85.5</v>
      </c>
      <c r="K53" s="229">
        <v>38.6</v>
      </c>
      <c r="L53" s="229">
        <v>10.83</v>
      </c>
      <c r="M53" s="229">
        <v>6.3</v>
      </c>
      <c r="N53" s="229">
        <v>11.6</v>
      </c>
      <c r="O53" s="229">
        <v>8.6999999999999993</v>
      </c>
      <c r="P53" s="229">
        <v>0</v>
      </c>
      <c r="Q53" s="229">
        <v>2.5</v>
      </c>
      <c r="S53" s="122">
        <f t="shared" si="3"/>
        <v>15</v>
      </c>
      <c r="T53" s="122">
        <f t="shared" si="4"/>
        <v>2</v>
      </c>
      <c r="U53" s="122">
        <f>YEAR(Inputs!$I$8)</f>
        <v>2015</v>
      </c>
      <c r="V53" s="108">
        <f t="shared" si="5"/>
        <v>42050</v>
      </c>
      <c r="W53" s="69">
        <v>42050</v>
      </c>
      <c r="X53" s="116">
        <v>8.8000000000000007</v>
      </c>
      <c r="Y53" s="116">
        <v>11.5</v>
      </c>
      <c r="Z53" s="116">
        <v>6.6</v>
      </c>
      <c r="AA53" s="116">
        <v>86.2</v>
      </c>
      <c r="AB53" s="116">
        <v>94.5</v>
      </c>
      <c r="AC53" s="116">
        <v>75</v>
      </c>
      <c r="AD53" s="116">
        <v>6.83</v>
      </c>
      <c r="AE53" s="116">
        <v>5.4</v>
      </c>
      <c r="AF53" s="116">
        <v>10.8</v>
      </c>
      <c r="AG53" s="116">
        <v>7.3</v>
      </c>
      <c r="AH53" s="116">
        <v>1.8</v>
      </c>
      <c r="AI53" s="116">
        <v>1.3</v>
      </c>
    </row>
    <row r="54" spans="1:35" s="71" customFormat="1">
      <c r="A54" s="210">
        <f t="shared" si="0"/>
        <v>16</v>
      </c>
      <c r="B54" s="210">
        <f t="shared" si="1"/>
        <v>2</v>
      </c>
      <c r="C54" s="210">
        <f t="shared" si="6"/>
        <v>2015</v>
      </c>
      <c r="D54" s="106">
        <f t="shared" si="2"/>
        <v>42051</v>
      </c>
      <c r="E54" s="230">
        <v>42051</v>
      </c>
      <c r="F54" s="229">
        <v>0.7</v>
      </c>
      <c r="G54" s="229">
        <v>7.2</v>
      </c>
      <c r="H54" s="229">
        <v>-4.5999999999999996</v>
      </c>
      <c r="I54" s="229">
        <v>66.2</v>
      </c>
      <c r="J54" s="229">
        <v>91.5</v>
      </c>
      <c r="K54" s="229">
        <v>33.9</v>
      </c>
      <c r="L54" s="229">
        <v>15.53</v>
      </c>
      <c r="M54" s="229">
        <v>2.5</v>
      </c>
      <c r="N54" s="229">
        <v>6.1</v>
      </c>
      <c r="O54" s="229">
        <v>9.4</v>
      </c>
      <c r="P54" s="229">
        <v>0</v>
      </c>
      <c r="Q54" s="229">
        <v>1.7</v>
      </c>
      <c r="S54" s="122">
        <f t="shared" si="3"/>
        <v>16</v>
      </c>
      <c r="T54" s="122">
        <f t="shared" si="4"/>
        <v>2</v>
      </c>
      <c r="U54" s="122">
        <f>YEAR(Inputs!$I$8)</f>
        <v>2015</v>
      </c>
      <c r="V54" s="108">
        <f t="shared" si="5"/>
        <v>42051</v>
      </c>
      <c r="W54" s="69">
        <v>42051</v>
      </c>
      <c r="X54" s="116">
        <v>8.1999999999999993</v>
      </c>
      <c r="Y54" s="116">
        <v>12.6</v>
      </c>
      <c r="Z54" s="116">
        <v>5.7</v>
      </c>
      <c r="AA54" s="116">
        <v>80.599999999999994</v>
      </c>
      <c r="AB54" s="116">
        <v>90.1</v>
      </c>
      <c r="AC54" s="116">
        <v>66.599999999999994</v>
      </c>
      <c r="AD54" s="116">
        <v>11.08</v>
      </c>
      <c r="AE54" s="116">
        <v>4.2</v>
      </c>
      <c r="AF54" s="116">
        <v>8.6</v>
      </c>
      <c r="AG54" s="116">
        <v>8.6</v>
      </c>
      <c r="AH54" s="116">
        <v>0.2</v>
      </c>
      <c r="AI54" s="116">
        <v>1.7</v>
      </c>
    </row>
    <row r="55" spans="1:35" s="71" customFormat="1">
      <c r="A55" s="210">
        <f t="shared" si="0"/>
        <v>17</v>
      </c>
      <c r="B55" s="210">
        <f t="shared" si="1"/>
        <v>2</v>
      </c>
      <c r="C55" s="210">
        <f t="shared" si="6"/>
        <v>2015</v>
      </c>
      <c r="D55" s="106">
        <f t="shared" si="2"/>
        <v>42052</v>
      </c>
      <c r="E55" s="230">
        <v>42052</v>
      </c>
      <c r="F55" s="229">
        <v>2</v>
      </c>
      <c r="G55" s="229">
        <v>9.3000000000000007</v>
      </c>
      <c r="H55" s="229">
        <v>-6.2</v>
      </c>
      <c r="I55" s="229">
        <v>62.3</v>
      </c>
      <c r="J55" s="229">
        <v>89.3</v>
      </c>
      <c r="K55" s="229">
        <v>31.7</v>
      </c>
      <c r="L55" s="229">
        <v>15.48</v>
      </c>
      <c r="M55" s="229">
        <v>3.5</v>
      </c>
      <c r="N55" s="229">
        <v>11</v>
      </c>
      <c r="O55" s="229">
        <v>9</v>
      </c>
      <c r="P55" s="229">
        <v>0</v>
      </c>
      <c r="Q55" s="229">
        <v>2.2000000000000002</v>
      </c>
      <c r="S55" s="122">
        <f t="shared" si="3"/>
        <v>17</v>
      </c>
      <c r="T55" s="122">
        <f t="shared" si="4"/>
        <v>2</v>
      </c>
      <c r="U55" s="122">
        <f>YEAR(Inputs!$I$8)</f>
        <v>2015</v>
      </c>
      <c r="V55" s="108">
        <f t="shared" si="5"/>
        <v>42052</v>
      </c>
      <c r="W55" s="69">
        <v>42052</v>
      </c>
      <c r="X55" s="116">
        <v>6.2</v>
      </c>
      <c r="Y55" s="116">
        <v>9.6</v>
      </c>
      <c r="Z55" s="116">
        <v>4</v>
      </c>
      <c r="AA55" s="116">
        <v>81.8</v>
      </c>
      <c r="AB55" s="116">
        <v>97.1</v>
      </c>
      <c r="AC55" s="116">
        <v>66.8</v>
      </c>
      <c r="AD55" s="116">
        <v>6.15</v>
      </c>
      <c r="AE55" s="116">
        <v>3.7</v>
      </c>
      <c r="AF55" s="116">
        <v>9.1</v>
      </c>
      <c r="AG55" s="116">
        <v>6.7</v>
      </c>
      <c r="AH55" s="116">
        <v>6.3</v>
      </c>
      <c r="AI55" s="116">
        <v>1.2</v>
      </c>
    </row>
    <row r="56" spans="1:35" s="71" customFormat="1">
      <c r="A56" s="210">
        <f t="shared" si="0"/>
        <v>18</v>
      </c>
      <c r="B56" s="210">
        <f t="shared" si="1"/>
        <v>2</v>
      </c>
      <c r="C56" s="210">
        <f t="shared" si="6"/>
        <v>2015</v>
      </c>
      <c r="D56" s="106">
        <f t="shared" si="2"/>
        <v>42053</v>
      </c>
      <c r="E56" s="230">
        <v>42053</v>
      </c>
      <c r="F56" s="229">
        <v>4.2</v>
      </c>
      <c r="G56" s="229">
        <v>6.8</v>
      </c>
      <c r="H56" s="229">
        <v>1.9</v>
      </c>
      <c r="I56" s="229">
        <v>83.3</v>
      </c>
      <c r="J56" s="229">
        <v>96.8</v>
      </c>
      <c r="K56" s="229">
        <v>64.400000000000006</v>
      </c>
      <c r="L56" s="229">
        <v>4.6500000000000004</v>
      </c>
      <c r="M56" s="229">
        <v>2</v>
      </c>
      <c r="N56" s="229">
        <v>6.8</v>
      </c>
      <c r="O56" s="229">
        <v>5.7</v>
      </c>
      <c r="P56" s="229">
        <v>0.2</v>
      </c>
      <c r="Q56" s="229">
        <v>1</v>
      </c>
      <c r="S56" s="122">
        <f t="shared" si="3"/>
        <v>18</v>
      </c>
      <c r="T56" s="122">
        <f t="shared" si="4"/>
        <v>2</v>
      </c>
      <c r="U56" s="122">
        <f>YEAR(Inputs!$I$8)</f>
        <v>2015</v>
      </c>
      <c r="V56" s="108">
        <f t="shared" si="5"/>
        <v>42053</v>
      </c>
      <c r="W56" s="69">
        <v>42053</v>
      </c>
      <c r="X56" s="116">
        <v>5.6</v>
      </c>
      <c r="Y56" s="116">
        <v>10.1</v>
      </c>
      <c r="Z56" s="116">
        <v>1.7</v>
      </c>
      <c r="AA56" s="116">
        <v>79.2</v>
      </c>
      <c r="AB56" s="116">
        <v>94.1</v>
      </c>
      <c r="AC56" s="116">
        <v>60.4</v>
      </c>
      <c r="AD56" s="116">
        <v>10.84</v>
      </c>
      <c r="AE56" s="116">
        <v>3.6</v>
      </c>
      <c r="AF56" s="116">
        <v>9.4</v>
      </c>
      <c r="AG56" s="116">
        <v>9</v>
      </c>
      <c r="AH56" s="116">
        <v>0</v>
      </c>
      <c r="AI56" s="116">
        <v>1.6</v>
      </c>
    </row>
    <row r="57" spans="1:35" s="71" customFormat="1">
      <c r="A57" s="210">
        <f t="shared" si="0"/>
        <v>19</v>
      </c>
      <c r="B57" s="210">
        <f t="shared" si="1"/>
        <v>2</v>
      </c>
      <c r="C57" s="210">
        <f t="shared" si="6"/>
        <v>2015</v>
      </c>
      <c r="D57" s="106">
        <f t="shared" si="2"/>
        <v>42054</v>
      </c>
      <c r="E57" s="230">
        <v>42054</v>
      </c>
      <c r="F57" s="229">
        <v>4.7</v>
      </c>
      <c r="G57" s="229">
        <v>10.3</v>
      </c>
      <c r="H57" s="229">
        <v>0.2</v>
      </c>
      <c r="I57" s="229">
        <v>77.5</v>
      </c>
      <c r="J57" s="229">
        <v>95.6</v>
      </c>
      <c r="K57" s="229">
        <v>55.1</v>
      </c>
      <c r="L57" s="229">
        <v>8.85</v>
      </c>
      <c r="M57" s="229">
        <v>2</v>
      </c>
      <c r="N57" s="229">
        <v>5.2</v>
      </c>
      <c r="O57" s="229">
        <v>7.6</v>
      </c>
      <c r="P57" s="229">
        <v>0.4</v>
      </c>
      <c r="Q57" s="229">
        <v>1.4</v>
      </c>
      <c r="S57" s="122">
        <f t="shared" si="3"/>
        <v>19</v>
      </c>
      <c r="T57" s="122">
        <f t="shared" si="4"/>
        <v>2</v>
      </c>
      <c r="U57" s="122">
        <f>YEAR(Inputs!$I$8)</f>
        <v>2015</v>
      </c>
      <c r="V57" s="108">
        <f t="shared" si="5"/>
        <v>42054</v>
      </c>
      <c r="W57" s="69">
        <v>42054</v>
      </c>
      <c r="X57" s="116">
        <v>4.4000000000000004</v>
      </c>
      <c r="Y57" s="116">
        <v>9.3000000000000007</v>
      </c>
      <c r="Z57" s="116">
        <v>-0.3</v>
      </c>
      <c r="AA57" s="116">
        <v>85</v>
      </c>
      <c r="AB57" s="116">
        <v>98</v>
      </c>
      <c r="AC57" s="116">
        <v>64.599999999999994</v>
      </c>
      <c r="AD57" s="116">
        <v>9.2899999999999991</v>
      </c>
      <c r="AE57" s="116">
        <v>2.8</v>
      </c>
      <c r="AF57" s="116">
        <v>8.8000000000000007</v>
      </c>
      <c r="AG57" s="116">
        <v>8.9</v>
      </c>
      <c r="AH57" s="116">
        <v>0</v>
      </c>
      <c r="AI57" s="116">
        <v>1.3</v>
      </c>
    </row>
    <row r="58" spans="1:35" s="71" customFormat="1">
      <c r="A58" s="210">
        <f t="shared" si="0"/>
        <v>20</v>
      </c>
      <c r="B58" s="210">
        <f t="shared" si="1"/>
        <v>2</v>
      </c>
      <c r="C58" s="210">
        <f t="shared" si="6"/>
        <v>2015</v>
      </c>
      <c r="D58" s="106">
        <f t="shared" si="2"/>
        <v>42055</v>
      </c>
      <c r="E58" s="230">
        <v>42055</v>
      </c>
      <c r="F58" s="229">
        <v>4.8</v>
      </c>
      <c r="G58" s="229">
        <v>13.8</v>
      </c>
      <c r="H58" s="229">
        <v>-1.8</v>
      </c>
      <c r="I58" s="229">
        <v>77.7</v>
      </c>
      <c r="J58" s="229">
        <v>99.9</v>
      </c>
      <c r="K58" s="229">
        <v>45</v>
      </c>
      <c r="L58" s="229">
        <v>14.69</v>
      </c>
      <c r="M58" s="229">
        <v>2.6</v>
      </c>
      <c r="N58" s="229">
        <v>7.8</v>
      </c>
      <c r="O58" s="229">
        <v>8.8000000000000007</v>
      </c>
      <c r="P58" s="229">
        <v>0</v>
      </c>
      <c r="Q58" s="229">
        <v>2</v>
      </c>
      <c r="S58" s="122">
        <f t="shared" si="3"/>
        <v>20</v>
      </c>
      <c r="T58" s="122">
        <f t="shared" si="4"/>
        <v>2</v>
      </c>
      <c r="U58" s="122">
        <f>YEAR(Inputs!$I$8)</f>
        <v>2015</v>
      </c>
      <c r="V58" s="108">
        <f t="shared" si="5"/>
        <v>42055</v>
      </c>
      <c r="W58" s="69">
        <v>42055</v>
      </c>
      <c r="X58" s="116">
        <v>3.7</v>
      </c>
      <c r="Y58" s="116">
        <v>11.1</v>
      </c>
      <c r="Z58" s="116">
        <v>-1.9</v>
      </c>
      <c r="AA58" s="116">
        <v>90.7</v>
      </c>
      <c r="AB58" s="116">
        <v>100</v>
      </c>
      <c r="AC58" s="116">
        <v>60.9</v>
      </c>
      <c r="AD58" s="116">
        <v>11.75</v>
      </c>
      <c r="AE58" s="116">
        <v>1.3</v>
      </c>
      <c r="AF58" s="116">
        <v>4.4000000000000004</v>
      </c>
      <c r="AG58" s="116">
        <v>8.1999999999999993</v>
      </c>
      <c r="AH58" s="116">
        <v>0.2</v>
      </c>
      <c r="AI58" s="116">
        <v>1.3</v>
      </c>
    </row>
    <row r="59" spans="1:35" s="71" customFormat="1">
      <c r="A59" s="210">
        <f t="shared" si="0"/>
        <v>21</v>
      </c>
      <c r="B59" s="210">
        <f t="shared" si="1"/>
        <v>2</v>
      </c>
      <c r="C59" s="210">
        <f t="shared" si="6"/>
        <v>2015</v>
      </c>
      <c r="D59" s="106">
        <f t="shared" si="2"/>
        <v>42056</v>
      </c>
      <c r="E59" s="230">
        <v>42056</v>
      </c>
      <c r="F59" s="229">
        <v>6.1</v>
      </c>
      <c r="G59" s="229">
        <v>13.7</v>
      </c>
      <c r="H59" s="229">
        <v>-1.6</v>
      </c>
      <c r="I59" s="229">
        <v>77.400000000000006</v>
      </c>
      <c r="J59" s="229">
        <v>100</v>
      </c>
      <c r="K59" s="229">
        <v>49.6</v>
      </c>
      <c r="L59" s="229">
        <v>13.34</v>
      </c>
      <c r="M59" s="229">
        <v>2.2999999999999998</v>
      </c>
      <c r="N59" s="229">
        <v>6.5</v>
      </c>
      <c r="O59" s="229">
        <v>9</v>
      </c>
      <c r="P59" s="229">
        <v>0.2</v>
      </c>
      <c r="Q59" s="229">
        <v>1.8</v>
      </c>
      <c r="S59" s="122">
        <f t="shared" si="3"/>
        <v>21</v>
      </c>
      <c r="T59" s="122">
        <f t="shared" si="4"/>
        <v>2</v>
      </c>
      <c r="U59" s="122">
        <f>YEAR(Inputs!$I$8)</f>
        <v>2015</v>
      </c>
      <c r="V59" s="108">
        <f t="shared" si="5"/>
        <v>42056</v>
      </c>
      <c r="W59" s="69">
        <v>42056</v>
      </c>
      <c r="X59" s="116">
        <v>4.5</v>
      </c>
      <c r="Y59" s="116">
        <v>11.1</v>
      </c>
      <c r="Z59" s="116">
        <v>-0.6</v>
      </c>
      <c r="AA59" s="116">
        <v>84.8</v>
      </c>
      <c r="AB59" s="116">
        <v>97.2</v>
      </c>
      <c r="AC59" s="116">
        <v>57.3</v>
      </c>
      <c r="AD59" s="116">
        <v>5.8</v>
      </c>
      <c r="AE59" s="116">
        <v>3.3</v>
      </c>
      <c r="AF59" s="116">
        <v>9.1999999999999993</v>
      </c>
      <c r="AG59" s="116">
        <v>5.3</v>
      </c>
      <c r="AH59" s="116">
        <v>1.4</v>
      </c>
      <c r="AI59" s="116">
        <v>1.5</v>
      </c>
    </row>
    <row r="60" spans="1:35" s="71" customFormat="1">
      <c r="A60" s="210">
        <f t="shared" si="0"/>
        <v>22</v>
      </c>
      <c r="B60" s="210">
        <f t="shared" si="1"/>
        <v>2</v>
      </c>
      <c r="C60" s="210">
        <f t="shared" si="6"/>
        <v>2015</v>
      </c>
      <c r="D60" s="106">
        <f t="shared" si="2"/>
        <v>42057</v>
      </c>
      <c r="E60" s="230">
        <v>42057</v>
      </c>
      <c r="F60" s="229">
        <v>8.6</v>
      </c>
      <c r="G60" s="229">
        <v>16.2</v>
      </c>
      <c r="H60" s="229">
        <v>2.9</v>
      </c>
      <c r="I60" s="229">
        <v>68.3</v>
      </c>
      <c r="J60" s="229">
        <v>94.9</v>
      </c>
      <c r="K60" s="229">
        <v>34.9</v>
      </c>
      <c r="L60" s="229">
        <v>14.19</v>
      </c>
      <c r="M60" s="229">
        <v>2.9</v>
      </c>
      <c r="N60" s="229">
        <v>8</v>
      </c>
      <c r="O60" s="229">
        <v>9.1</v>
      </c>
      <c r="P60" s="229">
        <v>0</v>
      </c>
      <c r="Q60" s="229">
        <v>2.6</v>
      </c>
      <c r="S60" s="122">
        <f t="shared" si="3"/>
        <v>22</v>
      </c>
      <c r="T60" s="122">
        <f t="shared" si="4"/>
        <v>2</v>
      </c>
      <c r="U60" s="122">
        <f>YEAR(Inputs!$I$8)</f>
        <v>2015</v>
      </c>
      <c r="V60" s="108">
        <f t="shared" si="5"/>
        <v>42057</v>
      </c>
      <c r="W60" s="69">
        <v>42057</v>
      </c>
      <c r="X60" s="116">
        <v>6.4</v>
      </c>
      <c r="Y60" s="116">
        <v>12.7</v>
      </c>
      <c r="Z60" s="116">
        <v>0.4</v>
      </c>
      <c r="AA60" s="116">
        <v>63.7</v>
      </c>
      <c r="AB60" s="116">
        <v>85.9</v>
      </c>
      <c r="AC60" s="116">
        <v>39</v>
      </c>
      <c r="AD60" s="116">
        <v>13.85</v>
      </c>
      <c r="AE60" s="116">
        <v>5.5</v>
      </c>
      <c r="AF60" s="116">
        <v>14.1</v>
      </c>
      <c r="AG60" s="116">
        <v>9.6</v>
      </c>
      <c r="AH60" s="116">
        <v>0</v>
      </c>
      <c r="AI60" s="116">
        <v>2.8</v>
      </c>
    </row>
    <row r="61" spans="1:35" s="71" customFormat="1">
      <c r="A61" s="210">
        <f t="shared" si="0"/>
        <v>23</v>
      </c>
      <c r="B61" s="210">
        <f t="shared" si="1"/>
        <v>2</v>
      </c>
      <c r="C61" s="210">
        <f t="shared" si="6"/>
        <v>2015</v>
      </c>
      <c r="D61" s="106">
        <f t="shared" si="2"/>
        <v>42058</v>
      </c>
      <c r="E61" s="230">
        <v>42058</v>
      </c>
      <c r="F61" s="229">
        <v>7.4</v>
      </c>
      <c r="G61" s="229">
        <v>15</v>
      </c>
      <c r="H61" s="229">
        <v>0.4</v>
      </c>
      <c r="I61" s="229">
        <v>70.900000000000006</v>
      </c>
      <c r="J61" s="229">
        <v>93.1</v>
      </c>
      <c r="K61" s="229">
        <v>43.3</v>
      </c>
      <c r="L61" s="229">
        <v>15.15</v>
      </c>
      <c r="M61" s="229">
        <v>3.2</v>
      </c>
      <c r="N61" s="229">
        <v>9.1</v>
      </c>
      <c r="O61" s="229">
        <v>9.3000000000000007</v>
      </c>
      <c r="P61" s="229">
        <v>0</v>
      </c>
      <c r="Q61" s="229">
        <v>2.4</v>
      </c>
      <c r="S61" s="122">
        <f t="shared" si="3"/>
        <v>23</v>
      </c>
      <c r="T61" s="122">
        <f t="shared" si="4"/>
        <v>2</v>
      </c>
      <c r="U61" s="122">
        <f>YEAR(Inputs!$I$8)</f>
        <v>2015</v>
      </c>
      <c r="V61" s="108">
        <f t="shared" si="5"/>
        <v>42058</v>
      </c>
      <c r="W61" s="69">
        <v>42058</v>
      </c>
      <c r="X61" s="116">
        <v>8.6999999999999993</v>
      </c>
      <c r="Y61" s="116">
        <v>13.5</v>
      </c>
      <c r="Z61" s="116">
        <v>3.4</v>
      </c>
      <c r="AA61" s="116">
        <v>75.400000000000006</v>
      </c>
      <c r="AB61" s="116">
        <v>92.6</v>
      </c>
      <c r="AC61" s="116">
        <v>56.4</v>
      </c>
      <c r="AD61" s="116">
        <v>11.42</v>
      </c>
      <c r="AE61" s="116">
        <v>5.9</v>
      </c>
      <c r="AF61" s="116">
        <v>15.2</v>
      </c>
      <c r="AG61" s="116">
        <v>8.6999999999999993</v>
      </c>
      <c r="AH61" s="116">
        <v>3.3</v>
      </c>
      <c r="AI61" s="116">
        <v>2.2000000000000002</v>
      </c>
    </row>
    <row r="62" spans="1:35" s="71" customFormat="1">
      <c r="A62" s="210">
        <f t="shared" si="0"/>
        <v>24</v>
      </c>
      <c r="B62" s="210">
        <f t="shared" si="1"/>
        <v>2</v>
      </c>
      <c r="C62" s="210">
        <f t="shared" si="6"/>
        <v>2015</v>
      </c>
      <c r="D62" s="106">
        <f t="shared" si="2"/>
        <v>42059</v>
      </c>
      <c r="E62" s="230">
        <v>42059</v>
      </c>
      <c r="F62" s="229">
        <v>6.5</v>
      </c>
      <c r="G62" s="229">
        <v>13.9</v>
      </c>
      <c r="H62" s="229">
        <v>0.2</v>
      </c>
      <c r="I62" s="229">
        <v>79.3</v>
      </c>
      <c r="J62" s="229">
        <v>99.8</v>
      </c>
      <c r="K62" s="229">
        <v>49.5</v>
      </c>
      <c r="L62" s="229">
        <v>14.06</v>
      </c>
      <c r="M62" s="229">
        <v>2.7</v>
      </c>
      <c r="N62" s="229">
        <v>9.8000000000000007</v>
      </c>
      <c r="O62" s="229">
        <v>8.8000000000000007</v>
      </c>
      <c r="P62" s="229">
        <v>0.2</v>
      </c>
      <c r="Q62" s="229">
        <v>2</v>
      </c>
      <c r="S62" s="122">
        <f t="shared" si="3"/>
        <v>24</v>
      </c>
      <c r="T62" s="122">
        <f t="shared" si="4"/>
        <v>2</v>
      </c>
      <c r="U62" s="122">
        <f>YEAR(Inputs!$I$8)</f>
        <v>2015</v>
      </c>
      <c r="V62" s="108">
        <f t="shared" si="5"/>
        <v>42059</v>
      </c>
      <c r="W62" s="69">
        <v>42059</v>
      </c>
      <c r="X62" s="116">
        <v>5.7</v>
      </c>
      <c r="Y62" s="116">
        <v>10.4</v>
      </c>
      <c r="Z62" s="116">
        <v>1.8</v>
      </c>
      <c r="AA62" s="116">
        <v>69</v>
      </c>
      <c r="AB62" s="116">
        <v>88.3</v>
      </c>
      <c r="AC62" s="116">
        <v>40.799999999999997</v>
      </c>
      <c r="AD62" s="116">
        <v>16.09</v>
      </c>
      <c r="AE62" s="116">
        <v>6.2</v>
      </c>
      <c r="AF62" s="116">
        <v>12.7</v>
      </c>
      <c r="AG62" s="116">
        <v>9.1999999999999993</v>
      </c>
      <c r="AH62" s="116">
        <v>0</v>
      </c>
      <c r="AI62" s="116">
        <v>2.6</v>
      </c>
    </row>
    <row r="63" spans="1:35" s="71" customFormat="1">
      <c r="A63" s="210">
        <f t="shared" si="0"/>
        <v>25</v>
      </c>
      <c r="B63" s="210">
        <f t="shared" si="1"/>
        <v>2</v>
      </c>
      <c r="C63" s="210">
        <f t="shared" si="6"/>
        <v>2015</v>
      </c>
      <c r="D63" s="106">
        <f t="shared" si="2"/>
        <v>42060</v>
      </c>
      <c r="E63" s="230">
        <v>42060</v>
      </c>
      <c r="F63" s="229">
        <v>8.5</v>
      </c>
      <c r="G63" s="229">
        <v>12.8</v>
      </c>
      <c r="H63" s="229">
        <v>6.2</v>
      </c>
      <c r="I63" s="229">
        <v>74.7</v>
      </c>
      <c r="J63" s="229">
        <v>93.7</v>
      </c>
      <c r="K63" s="229">
        <v>49.7</v>
      </c>
      <c r="L63" s="229">
        <v>12.1</v>
      </c>
      <c r="M63" s="229">
        <v>5.3</v>
      </c>
      <c r="N63" s="229">
        <v>10.6</v>
      </c>
      <c r="O63" s="229">
        <v>8.6999999999999993</v>
      </c>
      <c r="P63" s="229">
        <v>0</v>
      </c>
      <c r="Q63" s="229">
        <v>2.4</v>
      </c>
      <c r="S63" s="122">
        <f t="shared" si="3"/>
        <v>25</v>
      </c>
      <c r="T63" s="122">
        <f t="shared" si="4"/>
        <v>2</v>
      </c>
      <c r="U63" s="122">
        <f>YEAR(Inputs!$I$8)</f>
        <v>2015</v>
      </c>
      <c r="V63" s="108">
        <f t="shared" si="5"/>
        <v>42060</v>
      </c>
      <c r="W63" s="69">
        <v>42060</v>
      </c>
      <c r="X63" s="116">
        <v>6.5</v>
      </c>
      <c r="Y63" s="116">
        <v>11</v>
      </c>
      <c r="Z63" s="116">
        <v>1</v>
      </c>
      <c r="AA63" s="116">
        <v>68.900000000000006</v>
      </c>
      <c r="AB63" s="116">
        <v>86.9</v>
      </c>
      <c r="AC63" s="116">
        <v>48.2</v>
      </c>
      <c r="AD63" s="116">
        <v>6.88</v>
      </c>
      <c r="AE63" s="116">
        <v>5.7</v>
      </c>
      <c r="AF63" s="116">
        <v>11.3</v>
      </c>
      <c r="AG63" s="116">
        <v>6</v>
      </c>
      <c r="AH63" s="116">
        <v>0</v>
      </c>
      <c r="AI63" s="116">
        <v>2.2000000000000002</v>
      </c>
    </row>
    <row r="64" spans="1:35" s="71" customFormat="1">
      <c r="A64" s="210">
        <f t="shared" si="0"/>
        <v>26</v>
      </c>
      <c r="B64" s="210">
        <f t="shared" si="1"/>
        <v>2</v>
      </c>
      <c r="C64" s="210">
        <f t="shared" si="6"/>
        <v>2015</v>
      </c>
      <c r="D64" s="106">
        <f t="shared" si="2"/>
        <v>42061</v>
      </c>
      <c r="E64" s="230">
        <v>42061</v>
      </c>
      <c r="F64" s="229">
        <v>7.5</v>
      </c>
      <c r="G64" s="229">
        <v>11.5</v>
      </c>
      <c r="H64" s="229">
        <v>2.9</v>
      </c>
      <c r="I64" s="229">
        <v>73.7</v>
      </c>
      <c r="J64" s="229">
        <v>95.5</v>
      </c>
      <c r="K64" s="229">
        <v>54.3</v>
      </c>
      <c r="L64" s="229">
        <v>6.72</v>
      </c>
      <c r="M64" s="229">
        <v>3.8</v>
      </c>
      <c r="N64" s="229">
        <v>9.8000000000000007</v>
      </c>
      <c r="O64" s="229">
        <v>8.5</v>
      </c>
      <c r="P64" s="229">
        <v>3.3</v>
      </c>
      <c r="Q64" s="229">
        <v>1.7</v>
      </c>
      <c r="S64" s="122">
        <f t="shared" si="3"/>
        <v>26</v>
      </c>
      <c r="T64" s="122">
        <f t="shared" si="4"/>
        <v>2</v>
      </c>
      <c r="U64" s="122">
        <f>YEAR(Inputs!$I$8)</f>
        <v>2015</v>
      </c>
      <c r="V64" s="108">
        <f t="shared" si="5"/>
        <v>42061</v>
      </c>
      <c r="W64" s="69">
        <v>42061</v>
      </c>
      <c r="X64" s="116">
        <v>10</v>
      </c>
      <c r="Y64" s="116">
        <v>16.100000000000001</v>
      </c>
      <c r="Z64" s="116">
        <v>5.5</v>
      </c>
      <c r="AA64" s="116">
        <v>69.599999999999994</v>
      </c>
      <c r="AB64" s="116">
        <v>84.2</v>
      </c>
      <c r="AC64" s="116">
        <v>50.5</v>
      </c>
      <c r="AD64" s="116">
        <v>12.99</v>
      </c>
      <c r="AE64" s="116">
        <v>6.3</v>
      </c>
      <c r="AF64" s="116">
        <v>11.6</v>
      </c>
      <c r="AG64" s="116">
        <v>9.8000000000000007</v>
      </c>
      <c r="AH64" s="116">
        <v>0</v>
      </c>
      <c r="AI64" s="116">
        <v>3</v>
      </c>
    </row>
    <row r="65" spans="1:35" s="71" customFormat="1">
      <c r="A65" s="210">
        <f t="shared" si="0"/>
        <v>27</v>
      </c>
      <c r="B65" s="210">
        <f t="shared" si="1"/>
        <v>2</v>
      </c>
      <c r="C65" s="210">
        <f t="shared" si="6"/>
        <v>2015</v>
      </c>
      <c r="D65" s="106">
        <f t="shared" si="2"/>
        <v>42062</v>
      </c>
      <c r="E65" s="230">
        <v>42062</v>
      </c>
      <c r="F65" s="229">
        <v>3.4</v>
      </c>
      <c r="G65" s="229">
        <v>7.6</v>
      </c>
      <c r="H65" s="229">
        <v>1.2</v>
      </c>
      <c r="I65" s="229">
        <v>79.2</v>
      </c>
      <c r="J65" s="229">
        <v>97.4</v>
      </c>
      <c r="K65" s="229">
        <v>52.5</v>
      </c>
      <c r="L65" s="229">
        <v>8.7200000000000006</v>
      </c>
      <c r="M65" s="229">
        <v>7.9</v>
      </c>
      <c r="N65" s="229">
        <v>13.8</v>
      </c>
      <c r="O65" s="229">
        <v>7.4</v>
      </c>
      <c r="P65" s="229">
        <v>2.4</v>
      </c>
      <c r="Q65" s="229">
        <v>1.8</v>
      </c>
      <c r="S65" s="122">
        <f t="shared" si="3"/>
        <v>27</v>
      </c>
      <c r="T65" s="122">
        <f t="shared" si="4"/>
        <v>2</v>
      </c>
      <c r="U65" s="122">
        <f>YEAR(Inputs!$I$8)</f>
        <v>2015</v>
      </c>
      <c r="V65" s="108">
        <f t="shared" si="5"/>
        <v>42062</v>
      </c>
      <c r="W65" s="69">
        <v>42062</v>
      </c>
      <c r="X65" s="116">
        <v>9.1</v>
      </c>
      <c r="Y65" s="116">
        <v>14.6</v>
      </c>
      <c r="Z65" s="116">
        <v>3.6</v>
      </c>
      <c r="AA65" s="116">
        <v>57.1</v>
      </c>
      <c r="AB65" s="116">
        <v>86.3</v>
      </c>
      <c r="AC65" s="116">
        <v>22</v>
      </c>
      <c r="AD65" s="116">
        <v>17.22</v>
      </c>
      <c r="AE65" s="116">
        <v>5.7</v>
      </c>
      <c r="AF65" s="116">
        <v>15.5</v>
      </c>
      <c r="AG65" s="116">
        <v>9</v>
      </c>
      <c r="AH65" s="116">
        <v>0</v>
      </c>
      <c r="AI65" s="116">
        <v>3.8</v>
      </c>
    </row>
    <row r="66" spans="1:35" s="71" customFormat="1">
      <c r="A66" s="210">
        <f t="shared" si="0"/>
        <v>28</v>
      </c>
      <c r="B66" s="210">
        <f t="shared" si="1"/>
        <v>2</v>
      </c>
      <c r="C66" s="210">
        <f t="shared" si="6"/>
        <v>2015</v>
      </c>
      <c r="D66" s="106">
        <f t="shared" si="2"/>
        <v>42063</v>
      </c>
      <c r="E66" s="230">
        <v>42063</v>
      </c>
      <c r="F66" s="229">
        <v>4.5</v>
      </c>
      <c r="G66" s="229">
        <v>8.1999999999999993</v>
      </c>
      <c r="H66" s="229">
        <v>0.5</v>
      </c>
      <c r="I66" s="229">
        <v>84.7</v>
      </c>
      <c r="J66" s="229">
        <v>97.6</v>
      </c>
      <c r="K66" s="229">
        <v>70.5</v>
      </c>
      <c r="L66" s="229">
        <v>13.56</v>
      </c>
      <c r="M66" s="229">
        <v>7.6</v>
      </c>
      <c r="N66" s="229">
        <v>14.4</v>
      </c>
      <c r="O66" s="229">
        <v>9.4</v>
      </c>
      <c r="P66" s="229">
        <v>0.6</v>
      </c>
      <c r="Q66" s="229">
        <v>1.4</v>
      </c>
      <c r="S66" s="122">
        <f t="shared" si="3"/>
        <v>28</v>
      </c>
      <c r="T66" s="122">
        <f t="shared" si="4"/>
        <v>2</v>
      </c>
      <c r="U66" s="122">
        <f>YEAR(Inputs!$I$8)</f>
        <v>2015</v>
      </c>
      <c r="V66" s="108">
        <f t="shared" si="5"/>
        <v>42063</v>
      </c>
      <c r="W66" s="69">
        <v>42063</v>
      </c>
      <c r="X66" s="116">
        <v>8.5</v>
      </c>
      <c r="Y66" s="116">
        <v>16.7</v>
      </c>
      <c r="Z66" s="116">
        <v>1.9</v>
      </c>
      <c r="AA66" s="116">
        <v>59.5</v>
      </c>
      <c r="AB66" s="116">
        <v>84.2</v>
      </c>
      <c r="AC66" s="116">
        <v>40.4</v>
      </c>
      <c r="AD66" s="116">
        <v>15.79</v>
      </c>
      <c r="AE66" s="116">
        <v>4</v>
      </c>
      <c r="AF66" s="116">
        <v>9.1</v>
      </c>
      <c r="AG66" s="116">
        <v>9.5</v>
      </c>
      <c r="AH66" s="116">
        <v>0</v>
      </c>
      <c r="AI66" s="116">
        <v>3.1</v>
      </c>
    </row>
    <row r="67" spans="1:35" s="71" customFormat="1">
      <c r="A67" s="210">
        <f t="shared" si="0"/>
        <v>1</v>
      </c>
      <c r="B67" s="210">
        <f t="shared" si="1"/>
        <v>3</v>
      </c>
      <c r="C67" s="210">
        <f t="shared" si="6"/>
        <v>2015</v>
      </c>
      <c r="D67" s="106">
        <f t="shared" si="2"/>
        <v>42064</v>
      </c>
      <c r="E67" s="230">
        <v>42064</v>
      </c>
      <c r="F67" s="229">
        <v>5.5</v>
      </c>
      <c r="G67" s="229">
        <v>11</v>
      </c>
      <c r="H67" s="229">
        <v>1.7</v>
      </c>
      <c r="I67" s="229">
        <v>68.8</v>
      </c>
      <c r="J67" s="229">
        <v>90.6</v>
      </c>
      <c r="K67" s="229">
        <v>46.7</v>
      </c>
      <c r="L67" s="229">
        <v>11.84</v>
      </c>
      <c r="M67" s="229">
        <v>6.2</v>
      </c>
      <c r="N67" s="229">
        <v>12.3</v>
      </c>
      <c r="O67" s="229">
        <v>8.4</v>
      </c>
      <c r="P67" s="229">
        <v>0</v>
      </c>
      <c r="Q67" s="229">
        <v>2.4</v>
      </c>
      <c r="S67" s="122">
        <f t="shared" si="3"/>
        <v>1</v>
      </c>
      <c r="T67" s="122">
        <f t="shared" si="4"/>
        <v>3</v>
      </c>
      <c r="U67" s="122">
        <f>YEAR(Inputs!$I$8)</f>
        <v>2015</v>
      </c>
      <c r="V67" s="108">
        <f t="shared" si="5"/>
        <v>42064</v>
      </c>
      <c r="W67" s="69">
        <v>42064</v>
      </c>
      <c r="X67" s="116">
        <v>9.8000000000000007</v>
      </c>
      <c r="Y67" s="116">
        <v>18.399999999999999</v>
      </c>
      <c r="Z67" s="116">
        <v>2.2999999999999998</v>
      </c>
      <c r="AA67" s="116">
        <v>75.900000000000006</v>
      </c>
      <c r="AB67" s="116">
        <v>96.2</v>
      </c>
      <c r="AC67" s="116">
        <v>45.7</v>
      </c>
      <c r="AD67" s="116">
        <v>15.99</v>
      </c>
      <c r="AE67" s="116">
        <v>2.8</v>
      </c>
      <c r="AF67" s="116">
        <v>8.5</v>
      </c>
      <c r="AG67" s="116">
        <v>8.9</v>
      </c>
      <c r="AH67" s="116">
        <v>0</v>
      </c>
      <c r="AI67" s="116">
        <v>2.7</v>
      </c>
    </row>
    <row r="68" spans="1:35" s="71" customFormat="1">
      <c r="A68" s="210">
        <f t="shared" si="0"/>
        <v>2</v>
      </c>
      <c r="B68" s="210">
        <f t="shared" si="1"/>
        <v>3</v>
      </c>
      <c r="C68" s="210">
        <f t="shared" si="6"/>
        <v>2015</v>
      </c>
      <c r="D68" s="106">
        <f t="shared" si="2"/>
        <v>42065</v>
      </c>
      <c r="E68" s="230">
        <v>42065</v>
      </c>
      <c r="F68" s="229">
        <v>5.8</v>
      </c>
      <c r="G68" s="229">
        <v>14.3</v>
      </c>
      <c r="H68" s="229">
        <v>-1.1000000000000001</v>
      </c>
      <c r="I68" s="229">
        <v>56.5</v>
      </c>
      <c r="J68" s="229">
        <v>83.8</v>
      </c>
      <c r="K68" s="229">
        <v>27.4</v>
      </c>
      <c r="L68" s="229">
        <v>17.75</v>
      </c>
      <c r="M68" s="229">
        <v>4.7</v>
      </c>
      <c r="N68" s="229">
        <v>10.5</v>
      </c>
      <c r="O68" s="229">
        <v>10.1</v>
      </c>
      <c r="P68" s="229">
        <v>0</v>
      </c>
      <c r="Q68" s="229">
        <v>3.4</v>
      </c>
      <c r="S68" s="122">
        <f t="shared" si="3"/>
        <v>2</v>
      </c>
      <c r="T68" s="122">
        <f t="shared" si="4"/>
        <v>3</v>
      </c>
      <c r="U68" s="122">
        <f>YEAR(Inputs!$I$8)</f>
        <v>2015</v>
      </c>
      <c r="V68" s="108">
        <f t="shared" si="5"/>
        <v>42065</v>
      </c>
      <c r="W68" s="69">
        <v>42065</v>
      </c>
      <c r="X68" s="116">
        <v>12.1</v>
      </c>
      <c r="Y68" s="116">
        <v>20.5</v>
      </c>
      <c r="Z68" s="116">
        <v>5</v>
      </c>
      <c r="AA68" s="116">
        <v>75.2</v>
      </c>
      <c r="AB68" s="116">
        <v>97.9</v>
      </c>
      <c r="AC68" s="116">
        <v>41.6</v>
      </c>
      <c r="AD68" s="116">
        <v>17.62</v>
      </c>
      <c r="AE68" s="116">
        <v>2.8</v>
      </c>
      <c r="AF68" s="116">
        <v>10.4</v>
      </c>
      <c r="AG68" s="116">
        <v>9.6999999999999993</v>
      </c>
      <c r="AH68" s="116">
        <v>0</v>
      </c>
      <c r="AI68" s="116">
        <v>3.1</v>
      </c>
    </row>
    <row r="69" spans="1:35" s="71" customFormat="1">
      <c r="A69" s="210">
        <f t="shared" si="0"/>
        <v>3</v>
      </c>
      <c r="B69" s="210">
        <f t="shared" si="1"/>
        <v>3</v>
      </c>
      <c r="C69" s="210">
        <f t="shared" si="6"/>
        <v>2015</v>
      </c>
      <c r="D69" s="106">
        <f t="shared" si="2"/>
        <v>42066</v>
      </c>
      <c r="E69" s="230">
        <v>42066</v>
      </c>
      <c r="F69" s="229">
        <v>8.5</v>
      </c>
      <c r="G69" s="229">
        <v>18</v>
      </c>
      <c r="H69" s="229">
        <v>-2.4</v>
      </c>
      <c r="I69" s="229">
        <v>61.8</v>
      </c>
      <c r="J69" s="229">
        <v>93.7</v>
      </c>
      <c r="K69" s="229">
        <v>32</v>
      </c>
      <c r="L69" s="229">
        <v>17.07</v>
      </c>
      <c r="M69" s="229">
        <v>3.9</v>
      </c>
      <c r="N69" s="229">
        <v>10.7</v>
      </c>
      <c r="O69" s="229">
        <v>10</v>
      </c>
      <c r="P69" s="229">
        <v>0</v>
      </c>
      <c r="Q69" s="229">
        <v>3.5</v>
      </c>
      <c r="S69" s="122">
        <f t="shared" si="3"/>
        <v>3</v>
      </c>
      <c r="T69" s="122">
        <f t="shared" si="4"/>
        <v>3</v>
      </c>
      <c r="U69" s="122">
        <f>YEAR(Inputs!$I$8)</f>
        <v>2015</v>
      </c>
      <c r="V69" s="108">
        <f t="shared" si="5"/>
        <v>42066</v>
      </c>
      <c r="W69" s="69">
        <v>42066</v>
      </c>
      <c r="X69" s="116">
        <v>14</v>
      </c>
      <c r="Y69" s="116">
        <v>24.3</v>
      </c>
      <c r="Z69" s="116">
        <v>7.4</v>
      </c>
      <c r="AA69" s="116">
        <v>66.900000000000006</v>
      </c>
      <c r="AB69" s="116">
        <v>91.8</v>
      </c>
      <c r="AC69" s="116">
        <v>28.4</v>
      </c>
      <c r="AD69" s="116">
        <v>16.760000000000002</v>
      </c>
      <c r="AE69" s="116">
        <v>1.3</v>
      </c>
      <c r="AF69" s="116">
        <v>6.4</v>
      </c>
      <c r="AG69" s="116">
        <v>9.4</v>
      </c>
      <c r="AH69" s="116">
        <v>0</v>
      </c>
      <c r="AI69" s="116">
        <v>2.9</v>
      </c>
    </row>
    <row r="70" spans="1:35" s="71" customFormat="1">
      <c r="A70" s="210">
        <f t="shared" si="0"/>
        <v>4</v>
      </c>
      <c r="B70" s="210">
        <f t="shared" si="1"/>
        <v>3</v>
      </c>
      <c r="C70" s="210">
        <f t="shared" si="6"/>
        <v>2015</v>
      </c>
      <c r="D70" s="106">
        <f t="shared" si="2"/>
        <v>42067</v>
      </c>
      <c r="E70" s="230">
        <v>42067</v>
      </c>
      <c r="F70" s="229">
        <v>8</v>
      </c>
      <c r="G70" s="229">
        <v>14.2</v>
      </c>
      <c r="H70" s="229">
        <v>1.3</v>
      </c>
      <c r="I70" s="229">
        <v>67.8</v>
      </c>
      <c r="J70" s="229">
        <v>92.7</v>
      </c>
      <c r="K70" s="229">
        <v>40.1</v>
      </c>
      <c r="L70" s="229">
        <v>17.91</v>
      </c>
      <c r="M70" s="229">
        <v>3.8</v>
      </c>
      <c r="N70" s="229">
        <v>9.1</v>
      </c>
      <c r="O70" s="229">
        <v>9.8000000000000007</v>
      </c>
      <c r="P70" s="229">
        <v>0</v>
      </c>
      <c r="Q70" s="229">
        <v>2.8</v>
      </c>
      <c r="S70" s="122">
        <f t="shared" si="3"/>
        <v>4</v>
      </c>
      <c r="T70" s="122">
        <f t="shared" si="4"/>
        <v>3</v>
      </c>
      <c r="U70" s="122">
        <f>YEAR(Inputs!$I$8)</f>
        <v>2015</v>
      </c>
      <c r="V70" s="108">
        <f t="shared" si="5"/>
        <v>42067</v>
      </c>
      <c r="W70" s="69">
        <v>42067</v>
      </c>
      <c r="X70" s="116">
        <v>10.7</v>
      </c>
      <c r="Y70" s="116">
        <v>18.2</v>
      </c>
      <c r="Z70" s="116">
        <v>1.9</v>
      </c>
      <c r="AA70" s="116">
        <v>60.7</v>
      </c>
      <c r="AB70" s="116">
        <v>97.1</v>
      </c>
      <c r="AC70" s="116">
        <v>28.2</v>
      </c>
      <c r="AD70" s="116">
        <v>17.47</v>
      </c>
      <c r="AE70" s="116">
        <v>3.9</v>
      </c>
      <c r="AF70" s="116">
        <v>11.4</v>
      </c>
      <c r="AG70" s="116">
        <v>9.6</v>
      </c>
      <c r="AH70" s="116">
        <v>0</v>
      </c>
      <c r="AI70" s="116">
        <v>3.6</v>
      </c>
    </row>
    <row r="71" spans="1:35" s="71" customFormat="1">
      <c r="A71" s="210">
        <f t="shared" si="0"/>
        <v>5</v>
      </c>
      <c r="B71" s="210">
        <f t="shared" si="1"/>
        <v>3</v>
      </c>
      <c r="C71" s="210">
        <f t="shared" si="6"/>
        <v>2015</v>
      </c>
      <c r="D71" s="106">
        <f t="shared" si="2"/>
        <v>42068</v>
      </c>
      <c r="E71" s="230">
        <v>42068</v>
      </c>
      <c r="F71" s="229">
        <v>8.3000000000000007</v>
      </c>
      <c r="G71" s="229">
        <v>18.399999999999999</v>
      </c>
      <c r="H71" s="229">
        <v>-1.7</v>
      </c>
      <c r="I71" s="229">
        <v>66.3</v>
      </c>
      <c r="J71" s="229">
        <v>95</v>
      </c>
      <c r="K71" s="229">
        <v>29.7</v>
      </c>
      <c r="L71" s="229">
        <v>16.89</v>
      </c>
      <c r="M71" s="229">
        <v>4.0999999999999996</v>
      </c>
      <c r="N71" s="229">
        <v>12.7</v>
      </c>
      <c r="O71" s="229">
        <v>9.6999999999999993</v>
      </c>
      <c r="P71" s="229">
        <v>0</v>
      </c>
      <c r="Q71" s="229">
        <v>3.7</v>
      </c>
      <c r="S71" s="122">
        <f t="shared" si="3"/>
        <v>5</v>
      </c>
      <c r="T71" s="122">
        <f t="shared" si="4"/>
        <v>3</v>
      </c>
      <c r="U71" s="122">
        <f>YEAR(Inputs!$I$8)</f>
        <v>2015</v>
      </c>
      <c r="V71" s="108">
        <f t="shared" si="5"/>
        <v>42068</v>
      </c>
      <c r="W71" s="69">
        <v>42068</v>
      </c>
      <c r="X71" s="116">
        <v>4.3</v>
      </c>
      <c r="Y71" s="116">
        <v>13.2</v>
      </c>
      <c r="Z71" s="116">
        <v>-2.6</v>
      </c>
      <c r="AA71" s="116">
        <v>52.4</v>
      </c>
      <c r="AB71" s="116">
        <v>86.2</v>
      </c>
      <c r="AC71" s="116">
        <v>20.7</v>
      </c>
      <c r="AD71" s="116">
        <v>19.649999999999999</v>
      </c>
      <c r="AE71" s="116">
        <v>1.5</v>
      </c>
      <c r="AF71" s="116">
        <v>6.9</v>
      </c>
      <c r="AG71" s="116">
        <v>10.199999999999999</v>
      </c>
      <c r="AH71" s="116">
        <v>0</v>
      </c>
      <c r="AI71" s="116">
        <v>2.4</v>
      </c>
    </row>
    <row r="72" spans="1:35" s="71" customFormat="1">
      <c r="A72" s="210">
        <f t="shared" ref="A72:A135" si="7">DAY(E72)</f>
        <v>6</v>
      </c>
      <c r="B72" s="210">
        <f t="shared" ref="B72:B135" si="8">MONTH(E72)</f>
        <v>3</v>
      </c>
      <c r="C72" s="210">
        <f t="shared" si="6"/>
        <v>2015</v>
      </c>
      <c r="D72" s="106">
        <f t="shared" si="2"/>
        <v>42069</v>
      </c>
      <c r="E72" s="230">
        <v>42069</v>
      </c>
      <c r="F72" s="229">
        <v>5.4</v>
      </c>
      <c r="G72" s="229">
        <v>11.7</v>
      </c>
      <c r="H72" s="229">
        <v>1.1000000000000001</v>
      </c>
      <c r="I72" s="229">
        <v>76.2</v>
      </c>
      <c r="J72" s="229">
        <v>92.9</v>
      </c>
      <c r="K72" s="229">
        <v>47.1</v>
      </c>
      <c r="L72" s="229">
        <v>14.6</v>
      </c>
      <c r="M72" s="229">
        <v>5.4</v>
      </c>
      <c r="N72" s="229">
        <v>14</v>
      </c>
      <c r="O72" s="229">
        <v>9.6</v>
      </c>
      <c r="P72" s="229">
        <v>2.2000000000000002</v>
      </c>
      <c r="Q72" s="229">
        <v>2.5</v>
      </c>
      <c r="S72" s="122">
        <f t="shared" si="3"/>
        <v>6</v>
      </c>
      <c r="T72" s="122">
        <f t="shared" si="4"/>
        <v>3</v>
      </c>
      <c r="U72" s="122">
        <f>YEAR(Inputs!$I$8)</f>
        <v>2015</v>
      </c>
      <c r="V72" s="108">
        <f t="shared" si="5"/>
        <v>42069</v>
      </c>
      <c r="W72" s="69">
        <v>42069</v>
      </c>
      <c r="X72" s="116">
        <v>5.9</v>
      </c>
      <c r="Y72" s="116">
        <v>17.2</v>
      </c>
      <c r="Z72" s="116">
        <v>-4.5999999999999996</v>
      </c>
      <c r="AA72" s="116">
        <v>51.4</v>
      </c>
      <c r="AB72" s="116">
        <v>87.1</v>
      </c>
      <c r="AC72" s="116">
        <v>19.3</v>
      </c>
      <c r="AD72" s="116">
        <v>19.77</v>
      </c>
      <c r="AE72" s="116">
        <v>1.5</v>
      </c>
      <c r="AF72" s="116">
        <v>5.6</v>
      </c>
      <c r="AG72" s="116">
        <v>10.3</v>
      </c>
      <c r="AH72" s="116">
        <v>0</v>
      </c>
      <c r="AI72" s="116">
        <v>2.7</v>
      </c>
    </row>
    <row r="73" spans="1:35" s="71" customFormat="1">
      <c r="A73" s="210">
        <f t="shared" si="7"/>
        <v>7</v>
      </c>
      <c r="B73" s="210">
        <f t="shared" si="8"/>
        <v>3</v>
      </c>
      <c r="C73" s="210">
        <f t="shared" si="6"/>
        <v>2015</v>
      </c>
      <c r="D73" s="106">
        <f t="shared" ref="D73:D136" si="9">DATE(C73,B73,A73)</f>
        <v>42070</v>
      </c>
      <c r="E73" s="230">
        <v>42070</v>
      </c>
      <c r="F73" s="229">
        <v>4</v>
      </c>
      <c r="G73" s="229">
        <v>10.5</v>
      </c>
      <c r="H73" s="229">
        <v>-0.7</v>
      </c>
      <c r="I73" s="229">
        <v>70.3</v>
      </c>
      <c r="J73" s="229">
        <v>94.9</v>
      </c>
      <c r="K73" s="229">
        <v>35.9</v>
      </c>
      <c r="L73" s="229">
        <v>15.46</v>
      </c>
      <c r="M73" s="229">
        <v>4.0999999999999996</v>
      </c>
      <c r="N73" s="229">
        <v>10.7</v>
      </c>
      <c r="O73" s="229">
        <v>10.199999999999999</v>
      </c>
      <c r="P73" s="229">
        <v>0</v>
      </c>
      <c r="Q73" s="229">
        <v>2.5</v>
      </c>
      <c r="S73" s="122">
        <f t="shared" ref="S73:S122" si="10">DAY(W73)</f>
        <v>7</v>
      </c>
      <c r="T73" s="122">
        <f t="shared" ref="T73:T122" si="11">MONTH(W73)</f>
        <v>3</v>
      </c>
      <c r="U73" s="122">
        <f>YEAR(Inputs!$I$8)</f>
        <v>2015</v>
      </c>
      <c r="V73" s="108">
        <f t="shared" ref="V73:V136" si="12">DATE(U73,T73,S73)</f>
        <v>42070</v>
      </c>
      <c r="W73" s="69">
        <v>42070</v>
      </c>
      <c r="X73" s="116">
        <v>8.6999999999999993</v>
      </c>
      <c r="Y73" s="116">
        <v>21.5</v>
      </c>
      <c r="Z73" s="116">
        <v>-3.4</v>
      </c>
      <c r="AA73" s="116">
        <v>50.4</v>
      </c>
      <c r="AB73" s="116">
        <v>88.6</v>
      </c>
      <c r="AC73" s="116">
        <v>12</v>
      </c>
      <c r="AD73" s="116">
        <v>20.11</v>
      </c>
      <c r="AE73" s="116">
        <v>0.9</v>
      </c>
      <c r="AF73" s="116">
        <v>3.9</v>
      </c>
      <c r="AG73" s="116">
        <v>10.199999999999999</v>
      </c>
      <c r="AH73" s="116">
        <v>0</v>
      </c>
      <c r="AI73" s="116">
        <v>2.7</v>
      </c>
    </row>
    <row r="74" spans="1:35" s="71" customFormat="1">
      <c r="A74" s="210">
        <f t="shared" si="7"/>
        <v>8</v>
      </c>
      <c r="B74" s="210">
        <f t="shared" si="8"/>
        <v>3</v>
      </c>
      <c r="C74" s="210">
        <f t="shared" ref="C74:C137" si="13">C73</f>
        <v>2015</v>
      </c>
      <c r="D74" s="106">
        <f t="shared" si="9"/>
        <v>42071</v>
      </c>
      <c r="E74" s="230">
        <v>42071</v>
      </c>
      <c r="F74" s="229">
        <v>3.2</v>
      </c>
      <c r="G74" s="229">
        <v>4.8</v>
      </c>
      <c r="H74" s="229">
        <v>-0.2</v>
      </c>
      <c r="I74" s="229">
        <v>85.3</v>
      </c>
      <c r="J74" s="229">
        <v>95.4</v>
      </c>
      <c r="K74" s="229">
        <v>73.2</v>
      </c>
      <c r="L74" s="229">
        <v>3.94</v>
      </c>
      <c r="M74" s="229">
        <v>3.9</v>
      </c>
      <c r="N74" s="229">
        <v>9.9</v>
      </c>
      <c r="O74" s="229">
        <v>4.4000000000000004</v>
      </c>
      <c r="P74" s="229">
        <v>4.9000000000000004</v>
      </c>
      <c r="Q74" s="229">
        <v>0.9</v>
      </c>
      <c r="S74" s="122">
        <f t="shared" si="10"/>
        <v>8</v>
      </c>
      <c r="T74" s="122">
        <f t="shared" si="11"/>
        <v>3</v>
      </c>
      <c r="U74" s="122">
        <f>YEAR(Inputs!$I$8)</f>
        <v>2015</v>
      </c>
      <c r="V74" s="108">
        <f t="shared" si="12"/>
        <v>42071</v>
      </c>
      <c r="W74" s="69">
        <v>42071</v>
      </c>
      <c r="X74" s="116">
        <v>8.4</v>
      </c>
      <c r="Y74" s="116">
        <v>18.5</v>
      </c>
      <c r="Z74" s="116">
        <v>-1.4</v>
      </c>
      <c r="AA74" s="116">
        <v>58.4</v>
      </c>
      <c r="AB74" s="116">
        <v>89.5</v>
      </c>
      <c r="AC74" s="116">
        <v>24.6</v>
      </c>
      <c r="AD74" s="116">
        <v>17.649999999999999</v>
      </c>
      <c r="AE74" s="116">
        <v>1.3</v>
      </c>
      <c r="AF74" s="116">
        <v>5</v>
      </c>
      <c r="AG74" s="116">
        <v>9.8000000000000007</v>
      </c>
      <c r="AH74" s="116">
        <v>0</v>
      </c>
      <c r="AI74" s="116">
        <v>2.6</v>
      </c>
    </row>
    <row r="75" spans="1:35" s="71" customFormat="1">
      <c r="A75" s="210">
        <f t="shared" si="7"/>
        <v>9</v>
      </c>
      <c r="B75" s="210">
        <f t="shared" si="8"/>
        <v>3</v>
      </c>
      <c r="C75" s="210">
        <f t="shared" si="13"/>
        <v>2015</v>
      </c>
      <c r="D75" s="106">
        <f t="shared" si="9"/>
        <v>42072</v>
      </c>
      <c r="E75" s="230">
        <v>42072</v>
      </c>
      <c r="F75" s="229">
        <v>3.8</v>
      </c>
      <c r="G75" s="229">
        <v>10.7</v>
      </c>
      <c r="H75" s="229">
        <v>-0.6</v>
      </c>
      <c r="I75" s="229">
        <v>71.599999999999994</v>
      </c>
      <c r="J75" s="229">
        <v>91.2</v>
      </c>
      <c r="K75" s="229">
        <v>39.9</v>
      </c>
      <c r="L75" s="229">
        <v>15.53</v>
      </c>
      <c r="M75" s="229">
        <v>3.9</v>
      </c>
      <c r="N75" s="229">
        <v>8.5</v>
      </c>
      <c r="O75" s="229">
        <v>10.1</v>
      </c>
      <c r="P75" s="229">
        <v>0</v>
      </c>
      <c r="Q75" s="229">
        <v>2.4</v>
      </c>
      <c r="S75" s="122">
        <f t="shared" si="10"/>
        <v>9</v>
      </c>
      <c r="T75" s="122">
        <f t="shared" si="11"/>
        <v>3</v>
      </c>
      <c r="U75" s="122">
        <f>YEAR(Inputs!$I$8)</f>
        <v>2015</v>
      </c>
      <c r="V75" s="108">
        <f t="shared" si="12"/>
        <v>42072</v>
      </c>
      <c r="W75" s="69">
        <v>42072</v>
      </c>
      <c r="X75" s="116">
        <v>10.6</v>
      </c>
      <c r="Y75" s="116">
        <v>19</v>
      </c>
      <c r="Z75" s="116">
        <v>3</v>
      </c>
      <c r="AA75" s="116">
        <v>61.4</v>
      </c>
      <c r="AB75" s="116">
        <v>93.6</v>
      </c>
      <c r="AC75" s="116">
        <v>25.5</v>
      </c>
      <c r="AD75" s="116">
        <v>17.850000000000001</v>
      </c>
      <c r="AE75" s="116">
        <v>0.9</v>
      </c>
      <c r="AF75" s="116">
        <v>3.5</v>
      </c>
      <c r="AG75" s="116">
        <v>9.6</v>
      </c>
      <c r="AH75" s="116">
        <v>0</v>
      </c>
      <c r="AI75" s="116">
        <v>2.4</v>
      </c>
    </row>
    <row r="76" spans="1:35" s="71" customFormat="1">
      <c r="A76" s="210">
        <f t="shared" si="7"/>
        <v>10</v>
      </c>
      <c r="B76" s="210">
        <f t="shared" si="8"/>
        <v>3</v>
      </c>
      <c r="C76" s="210">
        <f t="shared" si="13"/>
        <v>2015</v>
      </c>
      <c r="D76" s="106">
        <f t="shared" si="9"/>
        <v>42073</v>
      </c>
      <c r="E76" s="230">
        <v>42073</v>
      </c>
      <c r="F76" s="229">
        <v>4.9000000000000004</v>
      </c>
      <c r="G76" s="229">
        <v>11.9</v>
      </c>
      <c r="H76" s="229">
        <v>-1.8</v>
      </c>
      <c r="I76" s="229">
        <v>77.7</v>
      </c>
      <c r="J76" s="229">
        <v>95.1</v>
      </c>
      <c r="K76" s="229">
        <v>49</v>
      </c>
      <c r="L76" s="229">
        <v>11.1</v>
      </c>
      <c r="M76" s="229">
        <v>5.0999999999999996</v>
      </c>
      <c r="N76" s="229">
        <v>13.5</v>
      </c>
      <c r="O76" s="229">
        <v>9.8000000000000007</v>
      </c>
      <c r="P76" s="229">
        <v>6.5</v>
      </c>
      <c r="Q76" s="229">
        <v>2.2999999999999998</v>
      </c>
      <c r="S76" s="122">
        <f t="shared" si="10"/>
        <v>10</v>
      </c>
      <c r="T76" s="122">
        <f t="shared" si="11"/>
        <v>3</v>
      </c>
      <c r="U76" s="122">
        <f>YEAR(Inputs!$I$8)</f>
        <v>2015</v>
      </c>
      <c r="V76" s="108">
        <f t="shared" si="12"/>
        <v>42073</v>
      </c>
      <c r="W76" s="69">
        <v>42073</v>
      </c>
      <c r="X76" s="116">
        <v>9.9</v>
      </c>
      <c r="Y76" s="116">
        <v>21.5</v>
      </c>
      <c r="Z76" s="116">
        <v>-0.8</v>
      </c>
      <c r="AA76" s="116">
        <v>54.7</v>
      </c>
      <c r="AB76" s="116">
        <v>91.9</v>
      </c>
      <c r="AC76" s="116">
        <v>14.9</v>
      </c>
      <c r="AD76" s="116">
        <v>20.23</v>
      </c>
      <c r="AE76" s="116">
        <v>1.1000000000000001</v>
      </c>
      <c r="AF76" s="116">
        <v>4</v>
      </c>
      <c r="AG76" s="116">
        <v>10.4</v>
      </c>
      <c r="AH76" s="116">
        <v>0</v>
      </c>
      <c r="AI76" s="116">
        <v>2.9</v>
      </c>
    </row>
    <row r="77" spans="1:35" s="71" customFormat="1">
      <c r="A77" s="210">
        <f t="shared" si="7"/>
        <v>11</v>
      </c>
      <c r="B77" s="210">
        <f t="shared" si="8"/>
        <v>3</v>
      </c>
      <c r="C77" s="210">
        <f t="shared" si="13"/>
        <v>2015</v>
      </c>
      <c r="D77" s="106">
        <f t="shared" si="9"/>
        <v>42074</v>
      </c>
      <c r="E77" s="230">
        <v>42074</v>
      </c>
      <c r="F77" s="229">
        <v>4.0999999999999996</v>
      </c>
      <c r="G77" s="229">
        <v>10.4</v>
      </c>
      <c r="H77" s="229">
        <v>-0.3</v>
      </c>
      <c r="I77" s="229">
        <v>75.2</v>
      </c>
      <c r="J77" s="229">
        <v>95.2</v>
      </c>
      <c r="K77" s="229">
        <v>49.4</v>
      </c>
      <c r="L77" s="229">
        <v>13.98</v>
      </c>
      <c r="M77" s="229">
        <v>4.7</v>
      </c>
      <c r="N77" s="229">
        <v>11.2</v>
      </c>
      <c r="O77" s="229">
        <v>10.199999999999999</v>
      </c>
      <c r="P77" s="229">
        <v>0</v>
      </c>
      <c r="Q77" s="229">
        <v>2.2000000000000002</v>
      </c>
      <c r="S77" s="122">
        <f t="shared" si="10"/>
        <v>11</v>
      </c>
      <c r="T77" s="122">
        <f t="shared" si="11"/>
        <v>3</v>
      </c>
      <c r="U77" s="122">
        <f>YEAR(Inputs!$I$8)</f>
        <v>2015</v>
      </c>
      <c r="V77" s="108">
        <f t="shared" si="12"/>
        <v>42074</v>
      </c>
      <c r="W77" s="69">
        <v>42074</v>
      </c>
      <c r="X77" s="116">
        <v>11</v>
      </c>
      <c r="Y77" s="116">
        <v>22</v>
      </c>
      <c r="Z77" s="116">
        <v>0.9</v>
      </c>
      <c r="AA77" s="116">
        <v>53.5</v>
      </c>
      <c r="AB77" s="116">
        <v>82.7</v>
      </c>
      <c r="AC77" s="116">
        <v>21.8</v>
      </c>
      <c r="AD77" s="116">
        <v>20.56</v>
      </c>
      <c r="AE77" s="116">
        <v>2.2999999999999998</v>
      </c>
      <c r="AF77" s="116">
        <v>7.4</v>
      </c>
      <c r="AG77" s="116">
        <v>10.4</v>
      </c>
      <c r="AH77" s="116">
        <v>0</v>
      </c>
      <c r="AI77" s="116">
        <v>3.9</v>
      </c>
    </row>
    <row r="78" spans="1:35" s="71" customFormat="1">
      <c r="A78" s="210">
        <f t="shared" si="7"/>
        <v>12</v>
      </c>
      <c r="B78" s="210">
        <f t="shared" si="8"/>
        <v>3</v>
      </c>
      <c r="C78" s="210">
        <f t="shared" si="13"/>
        <v>2015</v>
      </c>
      <c r="D78" s="106">
        <f t="shared" si="9"/>
        <v>42075</v>
      </c>
      <c r="E78" s="230">
        <v>42075</v>
      </c>
      <c r="F78" s="229">
        <v>5.2</v>
      </c>
      <c r="G78" s="229">
        <v>12.8</v>
      </c>
      <c r="H78" s="229">
        <v>-1.2</v>
      </c>
      <c r="I78" s="229">
        <v>69.400000000000006</v>
      </c>
      <c r="J78" s="229">
        <v>94.3</v>
      </c>
      <c r="K78" s="229">
        <v>36.5</v>
      </c>
      <c r="L78" s="229">
        <v>19.87</v>
      </c>
      <c r="M78" s="229">
        <v>2.4</v>
      </c>
      <c r="N78" s="229">
        <v>5.2</v>
      </c>
      <c r="O78" s="229">
        <v>10.4</v>
      </c>
      <c r="P78" s="229">
        <v>0</v>
      </c>
      <c r="Q78" s="229">
        <v>2.6</v>
      </c>
      <c r="S78" s="122">
        <f t="shared" si="10"/>
        <v>12</v>
      </c>
      <c r="T78" s="122">
        <f t="shared" si="11"/>
        <v>3</v>
      </c>
      <c r="U78" s="122">
        <f>YEAR(Inputs!$I$8)</f>
        <v>2015</v>
      </c>
      <c r="V78" s="108">
        <f t="shared" si="12"/>
        <v>42075</v>
      </c>
      <c r="W78" s="69">
        <v>42075</v>
      </c>
      <c r="X78" s="116">
        <v>11.1</v>
      </c>
      <c r="Y78" s="116">
        <v>21.5</v>
      </c>
      <c r="Z78" s="116">
        <v>0.8</v>
      </c>
      <c r="AA78" s="116">
        <v>51.1</v>
      </c>
      <c r="AB78" s="116">
        <v>86.9</v>
      </c>
      <c r="AC78" s="116">
        <v>20.3</v>
      </c>
      <c r="AD78" s="116">
        <v>20.329999999999998</v>
      </c>
      <c r="AE78" s="116">
        <v>2.5</v>
      </c>
      <c r="AF78" s="116">
        <v>8.5</v>
      </c>
      <c r="AG78" s="116">
        <v>10.5</v>
      </c>
      <c r="AH78" s="116">
        <v>0</v>
      </c>
      <c r="AI78" s="116">
        <v>4</v>
      </c>
    </row>
    <row r="79" spans="1:35" s="71" customFormat="1">
      <c r="A79" s="210">
        <f t="shared" si="7"/>
        <v>13</v>
      </c>
      <c r="B79" s="210">
        <f t="shared" si="8"/>
        <v>3</v>
      </c>
      <c r="C79" s="210">
        <f t="shared" si="13"/>
        <v>2015</v>
      </c>
      <c r="D79" s="106">
        <f t="shared" si="9"/>
        <v>42076</v>
      </c>
      <c r="E79" s="230">
        <v>42076</v>
      </c>
      <c r="F79" s="229">
        <v>4.2</v>
      </c>
      <c r="G79" s="229">
        <v>12.4</v>
      </c>
      <c r="H79" s="229">
        <v>-3.5</v>
      </c>
      <c r="I79" s="229">
        <v>70.7</v>
      </c>
      <c r="J79" s="229">
        <v>95.5</v>
      </c>
      <c r="K79" s="229">
        <v>35.5</v>
      </c>
      <c r="L79" s="229">
        <v>20.16</v>
      </c>
      <c r="M79" s="229">
        <v>1.6</v>
      </c>
      <c r="N79" s="229">
        <v>5.4</v>
      </c>
      <c r="O79" s="229">
        <v>10.4</v>
      </c>
      <c r="P79" s="229">
        <v>0</v>
      </c>
      <c r="Q79" s="229">
        <v>2.2999999999999998</v>
      </c>
      <c r="S79" s="122">
        <f t="shared" si="10"/>
        <v>13</v>
      </c>
      <c r="T79" s="122">
        <f t="shared" si="11"/>
        <v>3</v>
      </c>
      <c r="U79" s="122">
        <f>YEAR(Inputs!$I$8)</f>
        <v>2015</v>
      </c>
      <c r="V79" s="108">
        <f t="shared" si="12"/>
        <v>42076</v>
      </c>
      <c r="W79" s="69">
        <v>42076</v>
      </c>
      <c r="X79" s="116">
        <v>9.1999999999999993</v>
      </c>
      <c r="Y79" s="116">
        <v>17.600000000000001</v>
      </c>
      <c r="Z79" s="116">
        <v>-0.1</v>
      </c>
      <c r="AA79" s="116">
        <v>62.5</v>
      </c>
      <c r="AB79" s="116">
        <v>90.3</v>
      </c>
      <c r="AC79" s="116">
        <v>32.4</v>
      </c>
      <c r="AD79" s="116">
        <v>20.05</v>
      </c>
      <c r="AE79" s="116">
        <v>1.7</v>
      </c>
      <c r="AF79" s="116">
        <v>6.1</v>
      </c>
      <c r="AG79" s="116">
        <v>10.3</v>
      </c>
      <c r="AH79" s="116">
        <v>0</v>
      </c>
      <c r="AI79" s="116">
        <v>2.9</v>
      </c>
    </row>
    <row r="80" spans="1:35" s="71" customFormat="1">
      <c r="A80" s="210">
        <f t="shared" si="7"/>
        <v>14</v>
      </c>
      <c r="B80" s="210">
        <f t="shared" si="8"/>
        <v>3</v>
      </c>
      <c r="C80" s="210">
        <f t="shared" si="13"/>
        <v>2015</v>
      </c>
      <c r="D80" s="106">
        <f t="shared" si="9"/>
        <v>42077</v>
      </c>
      <c r="E80" s="230">
        <v>42077</v>
      </c>
      <c r="F80" s="229">
        <v>5.2</v>
      </c>
      <c r="G80" s="229">
        <v>14.8</v>
      </c>
      <c r="H80" s="229">
        <v>-3.8</v>
      </c>
      <c r="I80" s="229">
        <v>66.900000000000006</v>
      </c>
      <c r="J80" s="229">
        <v>96.9</v>
      </c>
      <c r="K80" s="229">
        <v>32.299999999999997</v>
      </c>
      <c r="L80" s="229">
        <v>20.170000000000002</v>
      </c>
      <c r="M80" s="229">
        <v>1.5</v>
      </c>
      <c r="N80" s="229">
        <v>6.3</v>
      </c>
      <c r="O80" s="229">
        <v>10.5</v>
      </c>
      <c r="P80" s="229">
        <v>0</v>
      </c>
      <c r="Q80" s="229">
        <v>2.5</v>
      </c>
      <c r="S80" s="122">
        <f t="shared" si="10"/>
        <v>14</v>
      </c>
      <c r="T80" s="122">
        <f t="shared" si="11"/>
        <v>3</v>
      </c>
      <c r="U80" s="122">
        <f>YEAR(Inputs!$I$8)</f>
        <v>2015</v>
      </c>
      <c r="V80" s="108">
        <f t="shared" si="12"/>
        <v>42077</v>
      </c>
      <c r="W80" s="69">
        <v>42077</v>
      </c>
      <c r="X80" s="116">
        <v>7.1</v>
      </c>
      <c r="Y80" s="116">
        <v>13.6</v>
      </c>
      <c r="Z80" s="116">
        <v>1.8</v>
      </c>
      <c r="AA80" s="116">
        <v>56.2</v>
      </c>
      <c r="AB80" s="116">
        <v>92.9</v>
      </c>
      <c r="AC80" s="116">
        <v>17.7</v>
      </c>
      <c r="AD80" s="116">
        <v>20.21</v>
      </c>
      <c r="AE80" s="116">
        <v>2.4</v>
      </c>
      <c r="AF80" s="116">
        <v>7</v>
      </c>
      <c r="AG80" s="116">
        <v>9.8000000000000007</v>
      </c>
      <c r="AH80" s="116">
        <v>0</v>
      </c>
      <c r="AI80" s="116">
        <v>3</v>
      </c>
    </row>
    <row r="81" spans="1:35" s="71" customFormat="1">
      <c r="A81" s="210">
        <f t="shared" si="7"/>
        <v>15</v>
      </c>
      <c r="B81" s="210">
        <f t="shared" si="8"/>
        <v>3</v>
      </c>
      <c r="C81" s="210">
        <f t="shared" si="13"/>
        <v>2015</v>
      </c>
      <c r="D81" s="106">
        <f t="shared" si="9"/>
        <v>42078</v>
      </c>
      <c r="E81" s="230">
        <v>42078</v>
      </c>
      <c r="F81" s="229">
        <v>7.8</v>
      </c>
      <c r="G81" s="229">
        <v>14.1</v>
      </c>
      <c r="H81" s="229">
        <v>1.8</v>
      </c>
      <c r="I81" s="229">
        <v>79.3</v>
      </c>
      <c r="J81" s="229">
        <v>99.8</v>
      </c>
      <c r="K81" s="229">
        <v>47.9</v>
      </c>
      <c r="L81" s="229">
        <v>13.31</v>
      </c>
      <c r="M81" s="229">
        <v>2.2000000000000002</v>
      </c>
      <c r="N81" s="229">
        <v>5.2</v>
      </c>
      <c r="O81" s="229">
        <v>9.4</v>
      </c>
      <c r="P81" s="229">
        <v>0</v>
      </c>
      <c r="Q81" s="229">
        <v>2.1</v>
      </c>
      <c r="S81" s="122">
        <f t="shared" si="10"/>
        <v>15</v>
      </c>
      <c r="T81" s="122">
        <f t="shared" si="11"/>
        <v>3</v>
      </c>
      <c r="U81" s="122">
        <f>YEAR(Inputs!$I$8)</f>
        <v>2015</v>
      </c>
      <c r="V81" s="108">
        <f t="shared" si="12"/>
        <v>42078</v>
      </c>
      <c r="W81" s="69">
        <v>42078</v>
      </c>
      <c r="X81" s="116">
        <v>5.2</v>
      </c>
      <c r="Y81" s="116">
        <v>11</v>
      </c>
      <c r="Z81" s="116">
        <v>-3.2</v>
      </c>
      <c r="AA81" s="116">
        <v>54.3</v>
      </c>
      <c r="AB81" s="116">
        <v>88.8</v>
      </c>
      <c r="AC81" s="116">
        <v>31.2</v>
      </c>
      <c r="AD81" s="116">
        <v>18.63</v>
      </c>
      <c r="AE81" s="116">
        <v>1.7</v>
      </c>
      <c r="AF81" s="116">
        <v>7</v>
      </c>
      <c r="AG81" s="116">
        <v>10</v>
      </c>
      <c r="AH81" s="116">
        <v>0</v>
      </c>
      <c r="AI81" s="116">
        <v>2.2999999999999998</v>
      </c>
    </row>
    <row r="82" spans="1:35" s="71" customFormat="1">
      <c r="A82" s="210">
        <f t="shared" si="7"/>
        <v>16</v>
      </c>
      <c r="B82" s="210">
        <f t="shared" si="8"/>
        <v>3</v>
      </c>
      <c r="C82" s="210">
        <f t="shared" si="13"/>
        <v>2015</v>
      </c>
      <c r="D82" s="106">
        <f t="shared" si="9"/>
        <v>42079</v>
      </c>
      <c r="E82" s="230">
        <v>42079</v>
      </c>
      <c r="F82" s="229">
        <v>7.9</v>
      </c>
      <c r="G82" s="229">
        <v>14.9</v>
      </c>
      <c r="H82" s="229">
        <v>2.7</v>
      </c>
      <c r="I82" s="229">
        <v>77.099999999999994</v>
      </c>
      <c r="J82" s="229">
        <v>96.5</v>
      </c>
      <c r="K82" s="229">
        <v>43.3</v>
      </c>
      <c r="L82" s="229">
        <v>12.2</v>
      </c>
      <c r="M82" s="229">
        <v>2.2999999999999998</v>
      </c>
      <c r="N82" s="229">
        <v>8.5</v>
      </c>
      <c r="O82" s="229">
        <v>9.9</v>
      </c>
      <c r="P82" s="229">
        <v>0</v>
      </c>
      <c r="Q82" s="229">
        <v>2.2999999999999998</v>
      </c>
      <c r="S82" s="122">
        <f t="shared" si="10"/>
        <v>16</v>
      </c>
      <c r="T82" s="122">
        <f t="shared" si="11"/>
        <v>3</v>
      </c>
      <c r="U82" s="122">
        <f>YEAR(Inputs!$I$8)</f>
        <v>2015</v>
      </c>
      <c r="V82" s="108">
        <f t="shared" si="12"/>
        <v>42079</v>
      </c>
      <c r="W82" s="69">
        <v>42079</v>
      </c>
      <c r="X82" s="116">
        <v>6.6</v>
      </c>
      <c r="Y82" s="116">
        <v>12.9</v>
      </c>
      <c r="Z82" s="116">
        <v>0</v>
      </c>
      <c r="AA82" s="116">
        <v>57.9</v>
      </c>
      <c r="AB82" s="116">
        <v>88</v>
      </c>
      <c r="AC82" s="116">
        <v>29.6</v>
      </c>
      <c r="AD82" s="116">
        <v>21.42</v>
      </c>
      <c r="AE82" s="116">
        <v>1.4</v>
      </c>
      <c r="AF82" s="116">
        <v>5.2</v>
      </c>
      <c r="AG82" s="116">
        <v>10.6</v>
      </c>
      <c r="AH82" s="116">
        <v>0</v>
      </c>
      <c r="AI82" s="116">
        <v>2.6</v>
      </c>
    </row>
    <row r="83" spans="1:35" s="71" customFormat="1">
      <c r="A83" s="210">
        <f t="shared" si="7"/>
        <v>17</v>
      </c>
      <c r="B83" s="210">
        <f t="shared" si="8"/>
        <v>3</v>
      </c>
      <c r="C83" s="210">
        <f t="shared" si="13"/>
        <v>2015</v>
      </c>
      <c r="D83" s="106">
        <f t="shared" si="9"/>
        <v>42080</v>
      </c>
      <c r="E83" s="230">
        <v>42080</v>
      </c>
      <c r="F83" s="229">
        <v>7.7</v>
      </c>
      <c r="G83" s="229">
        <v>15.1</v>
      </c>
      <c r="H83" s="229">
        <v>1.5</v>
      </c>
      <c r="I83" s="229">
        <v>64.8</v>
      </c>
      <c r="J83" s="229">
        <v>98.6</v>
      </c>
      <c r="K83" s="229">
        <v>24.4</v>
      </c>
      <c r="L83" s="229">
        <v>20.34</v>
      </c>
      <c r="M83" s="229">
        <v>3.7</v>
      </c>
      <c r="N83" s="229">
        <v>9.6</v>
      </c>
      <c r="O83" s="229">
        <v>10.4</v>
      </c>
      <c r="P83" s="229">
        <v>0.2</v>
      </c>
      <c r="Q83" s="229">
        <v>3.5</v>
      </c>
      <c r="S83" s="122">
        <f t="shared" si="10"/>
        <v>17</v>
      </c>
      <c r="T83" s="122">
        <f t="shared" si="11"/>
        <v>3</v>
      </c>
      <c r="U83" s="122">
        <f>YEAR(Inputs!$I$8)</f>
        <v>2015</v>
      </c>
      <c r="V83" s="108">
        <f t="shared" si="12"/>
        <v>42080</v>
      </c>
      <c r="W83" s="69">
        <v>42080</v>
      </c>
      <c r="X83" s="116">
        <v>7.8</v>
      </c>
      <c r="Y83" s="116">
        <v>13.1</v>
      </c>
      <c r="Z83" s="116">
        <v>2.9</v>
      </c>
      <c r="AA83" s="116">
        <v>71.099999999999994</v>
      </c>
      <c r="AB83" s="116">
        <v>90.3</v>
      </c>
      <c r="AC83" s="116">
        <v>46.6</v>
      </c>
      <c r="AD83" s="116">
        <v>13.68</v>
      </c>
      <c r="AE83" s="116">
        <v>4.0999999999999996</v>
      </c>
      <c r="AF83" s="116">
        <v>8.9</v>
      </c>
      <c r="AG83" s="116">
        <v>8.6999999999999993</v>
      </c>
      <c r="AH83" s="116">
        <v>0</v>
      </c>
      <c r="AI83" s="116">
        <v>2.5</v>
      </c>
    </row>
    <row r="84" spans="1:35" s="71" customFormat="1">
      <c r="A84" s="210">
        <f t="shared" si="7"/>
        <v>18</v>
      </c>
      <c r="B84" s="210">
        <f t="shared" si="8"/>
        <v>3</v>
      </c>
      <c r="C84" s="210">
        <f t="shared" si="13"/>
        <v>2015</v>
      </c>
      <c r="D84" s="106">
        <f t="shared" si="9"/>
        <v>42081</v>
      </c>
      <c r="E84" s="230">
        <v>42081</v>
      </c>
      <c r="F84" s="229">
        <v>8</v>
      </c>
      <c r="G84" s="229">
        <v>16.399999999999999</v>
      </c>
      <c r="H84" s="229">
        <v>-1.4</v>
      </c>
      <c r="I84" s="229">
        <v>68.900000000000006</v>
      </c>
      <c r="J84" s="229">
        <v>92.9</v>
      </c>
      <c r="K84" s="229">
        <v>37.9</v>
      </c>
      <c r="L84" s="229">
        <v>14.35</v>
      </c>
      <c r="M84" s="229">
        <v>1.9</v>
      </c>
      <c r="N84" s="229">
        <v>7.9</v>
      </c>
      <c r="O84" s="229">
        <v>9.4</v>
      </c>
      <c r="P84" s="229">
        <v>0</v>
      </c>
      <c r="Q84" s="229">
        <v>2.5</v>
      </c>
      <c r="S84" s="122">
        <f t="shared" si="10"/>
        <v>18</v>
      </c>
      <c r="T84" s="122">
        <f t="shared" si="11"/>
        <v>3</v>
      </c>
      <c r="U84" s="122">
        <f>YEAR(Inputs!$I$8)</f>
        <v>2015</v>
      </c>
      <c r="V84" s="108">
        <f t="shared" si="12"/>
        <v>42081</v>
      </c>
      <c r="W84" s="69">
        <v>42081</v>
      </c>
      <c r="X84" s="116">
        <v>6.2</v>
      </c>
      <c r="Y84" s="116">
        <v>8</v>
      </c>
      <c r="Z84" s="116">
        <v>4.5999999999999996</v>
      </c>
      <c r="AA84" s="116">
        <v>93.5</v>
      </c>
      <c r="AB84" s="116">
        <v>97.7</v>
      </c>
      <c r="AC84" s="116">
        <v>78.900000000000006</v>
      </c>
      <c r="AD84" s="116">
        <v>1.99</v>
      </c>
      <c r="AE84" s="116">
        <v>2.7</v>
      </c>
      <c r="AF84" s="116">
        <v>6.5</v>
      </c>
      <c r="AG84" s="116">
        <v>0.5</v>
      </c>
      <c r="AH84" s="116">
        <v>11.2</v>
      </c>
      <c r="AI84" s="116">
        <v>0.8</v>
      </c>
    </row>
    <row r="85" spans="1:35" s="71" customFormat="1">
      <c r="A85" s="210">
        <f t="shared" si="7"/>
        <v>19</v>
      </c>
      <c r="B85" s="210">
        <f t="shared" si="8"/>
        <v>3</v>
      </c>
      <c r="C85" s="210">
        <f t="shared" si="13"/>
        <v>2015</v>
      </c>
      <c r="D85" s="106">
        <f t="shared" si="9"/>
        <v>42082</v>
      </c>
      <c r="E85" s="230">
        <v>42082</v>
      </c>
      <c r="F85" s="229">
        <v>8.9</v>
      </c>
      <c r="G85" s="229">
        <v>16.3</v>
      </c>
      <c r="H85" s="229">
        <v>0.7</v>
      </c>
      <c r="I85" s="229">
        <v>76.7</v>
      </c>
      <c r="J85" s="229">
        <v>100</v>
      </c>
      <c r="K85" s="229">
        <v>42.8</v>
      </c>
      <c r="L85" s="229">
        <v>12.84</v>
      </c>
      <c r="M85" s="229">
        <v>1.4</v>
      </c>
      <c r="N85" s="229">
        <v>5.6</v>
      </c>
      <c r="O85" s="229">
        <v>9.4</v>
      </c>
      <c r="P85" s="229">
        <v>0</v>
      </c>
      <c r="Q85" s="229">
        <v>2.1</v>
      </c>
      <c r="S85" s="122">
        <f t="shared" si="10"/>
        <v>19</v>
      </c>
      <c r="T85" s="122">
        <f t="shared" si="11"/>
        <v>3</v>
      </c>
      <c r="U85" s="122">
        <f>YEAR(Inputs!$I$8)</f>
        <v>2015</v>
      </c>
      <c r="V85" s="108">
        <f t="shared" si="12"/>
        <v>42082</v>
      </c>
      <c r="W85" s="69">
        <v>42082</v>
      </c>
      <c r="X85" s="116">
        <v>8.1999999999999993</v>
      </c>
      <c r="Y85" s="116">
        <v>9.9</v>
      </c>
      <c r="Z85" s="116">
        <v>6.3</v>
      </c>
      <c r="AA85" s="116">
        <v>91.2</v>
      </c>
      <c r="AB85" s="116">
        <v>97.1</v>
      </c>
      <c r="AC85" s="116">
        <v>83.9</v>
      </c>
      <c r="AD85" s="116">
        <v>4.24</v>
      </c>
      <c r="AE85" s="116">
        <v>7.5</v>
      </c>
      <c r="AF85" s="116">
        <v>14.6</v>
      </c>
      <c r="AG85" s="116">
        <v>5.3</v>
      </c>
      <c r="AH85" s="116">
        <v>0.4</v>
      </c>
      <c r="AI85" s="116">
        <v>1</v>
      </c>
    </row>
    <row r="86" spans="1:35" s="71" customFormat="1">
      <c r="A86" s="210">
        <f t="shared" si="7"/>
        <v>20</v>
      </c>
      <c r="B86" s="210">
        <f t="shared" si="8"/>
        <v>3</v>
      </c>
      <c r="C86" s="210">
        <f t="shared" si="13"/>
        <v>2015</v>
      </c>
      <c r="D86" s="106">
        <f t="shared" si="9"/>
        <v>42083</v>
      </c>
      <c r="E86" s="230">
        <v>42083</v>
      </c>
      <c r="F86" s="229">
        <v>8.9</v>
      </c>
      <c r="G86" s="229">
        <v>13.3</v>
      </c>
      <c r="H86" s="229">
        <v>6.7</v>
      </c>
      <c r="I86" s="229">
        <v>87.4</v>
      </c>
      <c r="J86" s="229">
        <v>98.9</v>
      </c>
      <c r="K86" s="229">
        <v>59.4</v>
      </c>
      <c r="L86" s="229">
        <v>8.06</v>
      </c>
      <c r="M86" s="229">
        <v>2.5</v>
      </c>
      <c r="N86" s="229">
        <v>9.9</v>
      </c>
      <c r="O86" s="229">
        <v>7</v>
      </c>
      <c r="P86" s="229">
        <v>7.6</v>
      </c>
      <c r="Q86" s="229">
        <v>1.7</v>
      </c>
      <c r="S86" s="122">
        <f t="shared" si="10"/>
        <v>20</v>
      </c>
      <c r="T86" s="122">
        <f t="shared" si="11"/>
        <v>3</v>
      </c>
      <c r="U86" s="122">
        <f>YEAR(Inputs!$I$8)</f>
        <v>2015</v>
      </c>
      <c r="V86" s="108">
        <f t="shared" si="12"/>
        <v>42083</v>
      </c>
      <c r="W86" s="69">
        <v>42083</v>
      </c>
      <c r="X86" s="116">
        <v>8.6</v>
      </c>
      <c r="Y86" s="116">
        <v>12.2</v>
      </c>
      <c r="Z86" s="116">
        <v>7.2</v>
      </c>
      <c r="AA86" s="116">
        <v>88.4</v>
      </c>
      <c r="AB86" s="116">
        <v>94.9</v>
      </c>
      <c r="AC86" s="116">
        <v>77.900000000000006</v>
      </c>
      <c r="AD86" s="116">
        <v>4.93</v>
      </c>
      <c r="AE86" s="116">
        <v>6.8</v>
      </c>
      <c r="AF86" s="116">
        <v>16.399999999999999</v>
      </c>
      <c r="AG86" s="116">
        <v>4.3</v>
      </c>
      <c r="AH86" s="116">
        <v>3.1</v>
      </c>
      <c r="AI86" s="116">
        <v>1.3</v>
      </c>
    </row>
    <row r="87" spans="1:35" s="71" customFormat="1">
      <c r="A87" s="210">
        <f t="shared" si="7"/>
        <v>21</v>
      </c>
      <c r="B87" s="210">
        <f t="shared" si="8"/>
        <v>3</v>
      </c>
      <c r="C87" s="210">
        <f t="shared" si="13"/>
        <v>2015</v>
      </c>
      <c r="D87" s="106">
        <f t="shared" si="9"/>
        <v>42084</v>
      </c>
      <c r="E87" s="230">
        <v>42084</v>
      </c>
      <c r="F87" s="229">
        <v>8.9</v>
      </c>
      <c r="G87" s="229">
        <v>14.4</v>
      </c>
      <c r="H87" s="229">
        <v>2.8</v>
      </c>
      <c r="I87" s="229">
        <v>79</v>
      </c>
      <c r="J87" s="229">
        <v>99.8</v>
      </c>
      <c r="K87" s="229">
        <v>48.5</v>
      </c>
      <c r="L87" s="229">
        <v>19.059999999999999</v>
      </c>
      <c r="M87" s="229">
        <v>1</v>
      </c>
      <c r="N87" s="229">
        <v>3.8</v>
      </c>
      <c r="O87" s="229">
        <v>10.7</v>
      </c>
      <c r="P87" s="229">
        <v>5.3</v>
      </c>
      <c r="Q87" s="229">
        <v>2.2999999999999998</v>
      </c>
      <c r="S87" s="122">
        <f t="shared" si="10"/>
        <v>21</v>
      </c>
      <c r="T87" s="122">
        <f t="shared" si="11"/>
        <v>3</v>
      </c>
      <c r="U87" s="122">
        <f>YEAR(Inputs!$I$8)</f>
        <v>2015</v>
      </c>
      <c r="V87" s="108">
        <f t="shared" si="12"/>
        <v>42084</v>
      </c>
      <c r="W87" s="69">
        <v>42084</v>
      </c>
      <c r="X87" s="116">
        <v>8.6</v>
      </c>
      <c r="Y87" s="116">
        <v>12</v>
      </c>
      <c r="Z87" s="116">
        <v>6.8</v>
      </c>
      <c r="AA87" s="116">
        <v>91.5</v>
      </c>
      <c r="AB87" s="116">
        <v>97.5</v>
      </c>
      <c r="AC87" s="116">
        <v>73.7</v>
      </c>
      <c r="AD87" s="116">
        <v>6.79</v>
      </c>
      <c r="AE87" s="116">
        <v>1.9</v>
      </c>
      <c r="AF87" s="116">
        <v>6.1</v>
      </c>
      <c r="AG87" s="116">
        <v>7.2</v>
      </c>
      <c r="AH87" s="116">
        <v>14.1</v>
      </c>
      <c r="AI87" s="116">
        <v>1.3</v>
      </c>
    </row>
    <row r="88" spans="1:35" s="71" customFormat="1">
      <c r="A88" s="210">
        <f t="shared" si="7"/>
        <v>22</v>
      </c>
      <c r="B88" s="210">
        <f t="shared" si="8"/>
        <v>3</v>
      </c>
      <c r="C88" s="210">
        <f t="shared" si="13"/>
        <v>2015</v>
      </c>
      <c r="D88" s="106">
        <f t="shared" si="9"/>
        <v>42085</v>
      </c>
      <c r="E88" s="230">
        <v>42085</v>
      </c>
      <c r="F88" s="229">
        <v>7.7</v>
      </c>
      <c r="G88" s="229">
        <v>10.7</v>
      </c>
      <c r="H88" s="229">
        <v>5.8</v>
      </c>
      <c r="I88" s="229">
        <v>93.2</v>
      </c>
      <c r="J88" s="229">
        <v>98.7</v>
      </c>
      <c r="K88" s="229">
        <v>80.8</v>
      </c>
      <c r="L88" s="229">
        <v>5.08</v>
      </c>
      <c r="M88" s="229">
        <v>1.9</v>
      </c>
      <c r="N88" s="229">
        <v>6.1</v>
      </c>
      <c r="O88" s="229">
        <v>6.1</v>
      </c>
      <c r="P88" s="229">
        <v>9</v>
      </c>
      <c r="Q88" s="229">
        <v>1</v>
      </c>
      <c r="S88" s="122">
        <f t="shared" si="10"/>
        <v>22</v>
      </c>
      <c r="T88" s="122">
        <f t="shared" si="11"/>
        <v>3</v>
      </c>
      <c r="U88" s="122">
        <f>YEAR(Inputs!$I$8)</f>
        <v>2015</v>
      </c>
      <c r="V88" s="108">
        <f t="shared" si="12"/>
        <v>42085</v>
      </c>
      <c r="W88" s="69">
        <v>42085</v>
      </c>
      <c r="X88" s="116">
        <v>8.6</v>
      </c>
      <c r="Y88" s="116">
        <v>13.2</v>
      </c>
      <c r="Z88" s="116">
        <v>6.6</v>
      </c>
      <c r="AA88" s="116">
        <v>88.9</v>
      </c>
      <c r="AB88" s="116">
        <v>98.1</v>
      </c>
      <c r="AC88" s="116">
        <v>65.7</v>
      </c>
      <c r="AD88" s="116">
        <v>10.99</v>
      </c>
      <c r="AE88" s="116">
        <v>1.8</v>
      </c>
      <c r="AF88" s="116">
        <v>7.3</v>
      </c>
      <c r="AG88" s="116">
        <v>7.9</v>
      </c>
      <c r="AH88" s="116">
        <v>2.7</v>
      </c>
      <c r="AI88" s="116">
        <v>1.7</v>
      </c>
    </row>
    <row r="89" spans="1:35" s="71" customFormat="1">
      <c r="A89" s="210">
        <f t="shared" si="7"/>
        <v>23</v>
      </c>
      <c r="B89" s="210">
        <f t="shared" si="8"/>
        <v>3</v>
      </c>
      <c r="C89" s="210">
        <f t="shared" si="13"/>
        <v>2015</v>
      </c>
      <c r="D89" s="106">
        <f t="shared" si="9"/>
        <v>42086</v>
      </c>
      <c r="E89" s="230">
        <v>42086</v>
      </c>
      <c r="F89" s="229">
        <v>7.8</v>
      </c>
      <c r="G89" s="229">
        <v>11.3</v>
      </c>
      <c r="H89" s="229">
        <v>5.5</v>
      </c>
      <c r="I89" s="229">
        <v>89.4</v>
      </c>
      <c r="J89" s="229">
        <v>99.1</v>
      </c>
      <c r="K89" s="229">
        <v>67.7</v>
      </c>
      <c r="L89" s="229">
        <v>7.28</v>
      </c>
      <c r="M89" s="229">
        <v>2</v>
      </c>
      <c r="N89" s="229">
        <v>6.2</v>
      </c>
      <c r="O89" s="229">
        <v>6.5</v>
      </c>
      <c r="P89" s="229">
        <v>2.9</v>
      </c>
      <c r="Q89" s="229">
        <v>1.3</v>
      </c>
      <c r="S89" s="122">
        <f t="shared" si="10"/>
        <v>23</v>
      </c>
      <c r="T89" s="122">
        <f t="shared" si="11"/>
        <v>3</v>
      </c>
      <c r="U89" s="122">
        <f>YEAR(Inputs!$I$8)</f>
        <v>2015</v>
      </c>
      <c r="V89" s="108">
        <f t="shared" si="12"/>
        <v>42086</v>
      </c>
      <c r="W89" s="69">
        <v>42086</v>
      </c>
      <c r="X89" s="116">
        <v>9.3000000000000007</v>
      </c>
      <c r="Y89" s="116">
        <v>13.3</v>
      </c>
      <c r="Z89" s="116">
        <v>7.2</v>
      </c>
      <c r="AA89" s="116">
        <v>88.3</v>
      </c>
      <c r="AB89" s="116">
        <v>99.3</v>
      </c>
      <c r="AC89" s="116">
        <v>65.2</v>
      </c>
      <c r="AD89" s="116">
        <v>11.96</v>
      </c>
      <c r="AE89" s="116">
        <v>2.8</v>
      </c>
      <c r="AF89" s="116">
        <v>8.8000000000000007</v>
      </c>
      <c r="AG89" s="116">
        <v>9</v>
      </c>
      <c r="AH89" s="116">
        <v>6.9</v>
      </c>
      <c r="AI89" s="116">
        <v>1.9</v>
      </c>
    </row>
    <row r="90" spans="1:35" s="71" customFormat="1">
      <c r="A90" s="210">
        <f t="shared" si="7"/>
        <v>24</v>
      </c>
      <c r="B90" s="210">
        <f t="shared" si="8"/>
        <v>3</v>
      </c>
      <c r="C90" s="210">
        <f t="shared" si="13"/>
        <v>2015</v>
      </c>
      <c r="D90" s="106">
        <f t="shared" si="9"/>
        <v>42087</v>
      </c>
      <c r="E90" s="230">
        <v>42087</v>
      </c>
      <c r="F90" s="229">
        <v>7.7</v>
      </c>
      <c r="G90" s="229">
        <v>13.1</v>
      </c>
      <c r="H90" s="229">
        <v>3.3</v>
      </c>
      <c r="I90" s="229">
        <v>77.900000000000006</v>
      </c>
      <c r="J90" s="229">
        <v>97.2</v>
      </c>
      <c r="K90" s="229">
        <v>47.2</v>
      </c>
      <c r="L90" s="229">
        <v>21.27</v>
      </c>
      <c r="M90" s="229">
        <v>4.0999999999999996</v>
      </c>
      <c r="N90" s="229">
        <v>10.6</v>
      </c>
      <c r="O90" s="229">
        <v>10.7</v>
      </c>
      <c r="P90" s="229">
        <v>0.2</v>
      </c>
      <c r="Q90" s="229">
        <v>2.9</v>
      </c>
      <c r="S90" s="122">
        <f t="shared" si="10"/>
        <v>24</v>
      </c>
      <c r="T90" s="122">
        <f t="shared" si="11"/>
        <v>3</v>
      </c>
      <c r="U90" s="122">
        <f>YEAR(Inputs!$I$8)</f>
        <v>2015</v>
      </c>
      <c r="V90" s="108">
        <f t="shared" si="12"/>
        <v>42087</v>
      </c>
      <c r="W90" s="69">
        <v>42087</v>
      </c>
      <c r="X90" s="116">
        <v>8.1999999999999993</v>
      </c>
      <c r="Y90" s="116">
        <v>12.2</v>
      </c>
      <c r="Z90" s="116">
        <v>6.3</v>
      </c>
      <c r="AA90" s="116">
        <v>93.3</v>
      </c>
      <c r="AB90" s="116">
        <v>99.1</v>
      </c>
      <c r="AC90" s="116">
        <v>79.599999999999994</v>
      </c>
      <c r="AD90" s="116">
        <v>7.87</v>
      </c>
      <c r="AE90" s="116">
        <v>3.5</v>
      </c>
      <c r="AF90" s="116">
        <v>7</v>
      </c>
      <c r="AG90" s="116">
        <v>8.1</v>
      </c>
      <c r="AH90" s="116">
        <v>8</v>
      </c>
      <c r="AI90" s="116">
        <v>1.3</v>
      </c>
    </row>
    <row r="91" spans="1:35" s="71" customFormat="1">
      <c r="A91" s="210">
        <f t="shared" si="7"/>
        <v>25</v>
      </c>
      <c r="B91" s="210">
        <f t="shared" si="8"/>
        <v>3</v>
      </c>
      <c r="C91" s="210">
        <f t="shared" si="13"/>
        <v>2015</v>
      </c>
      <c r="D91" s="106">
        <f t="shared" si="9"/>
        <v>42088</v>
      </c>
      <c r="E91" s="230">
        <v>42088</v>
      </c>
      <c r="F91" s="229">
        <v>6.9</v>
      </c>
      <c r="G91" s="229">
        <v>15.7</v>
      </c>
      <c r="H91" s="229">
        <v>-0.6</v>
      </c>
      <c r="I91" s="229">
        <v>72.5</v>
      </c>
      <c r="J91" s="229">
        <v>95.4</v>
      </c>
      <c r="K91" s="229">
        <v>35.799999999999997</v>
      </c>
      <c r="L91" s="229">
        <v>22.08</v>
      </c>
      <c r="M91" s="229">
        <v>2.7</v>
      </c>
      <c r="N91" s="229">
        <v>6.7</v>
      </c>
      <c r="O91" s="229">
        <v>10.8</v>
      </c>
      <c r="P91" s="229">
        <v>0</v>
      </c>
      <c r="Q91" s="229">
        <v>3.2</v>
      </c>
      <c r="S91" s="122">
        <f t="shared" si="10"/>
        <v>25</v>
      </c>
      <c r="T91" s="122">
        <f t="shared" si="11"/>
        <v>3</v>
      </c>
      <c r="U91" s="122">
        <f>YEAR(Inputs!$I$8)</f>
        <v>2015</v>
      </c>
      <c r="V91" s="108">
        <f t="shared" si="12"/>
        <v>42088</v>
      </c>
      <c r="W91" s="69">
        <v>42088</v>
      </c>
      <c r="X91" s="116">
        <v>5.3</v>
      </c>
      <c r="Y91" s="116">
        <v>9</v>
      </c>
      <c r="Z91" s="116">
        <v>0.9</v>
      </c>
      <c r="AA91" s="116">
        <v>68.8</v>
      </c>
      <c r="AB91" s="116">
        <v>95.2</v>
      </c>
      <c r="AC91" s="116">
        <v>43.8</v>
      </c>
      <c r="AD91" s="116">
        <v>17.39</v>
      </c>
      <c r="AE91" s="116">
        <v>5.4</v>
      </c>
      <c r="AF91" s="116">
        <v>11.7</v>
      </c>
      <c r="AG91" s="116">
        <v>9.8000000000000007</v>
      </c>
      <c r="AH91" s="116">
        <v>2.4</v>
      </c>
      <c r="AI91" s="116">
        <v>2.5</v>
      </c>
    </row>
    <row r="92" spans="1:35" s="71" customFormat="1">
      <c r="A92" s="210">
        <f t="shared" si="7"/>
        <v>26</v>
      </c>
      <c r="B92" s="210">
        <f t="shared" si="8"/>
        <v>3</v>
      </c>
      <c r="C92" s="210">
        <f t="shared" si="13"/>
        <v>2015</v>
      </c>
      <c r="D92" s="106">
        <f t="shared" si="9"/>
        <v>42089</v>
      </c>
      <c r="E92" s="230">
        <v>42089</v>
      </c>
      <c r="F92" s="229">
        <v>10.3</v>
      </c>
      <c r="G92" s="229">
        <v>19.399999999999999</v>
      </c>
      <c r="H92" s="229">
        <v>0.6</v>
      </c>
      <c r="I92" s="229">
        <v>62.2</v>
      </c>
      <c r="J92" s="229">
        <v>93.2</v>
      </c>
      <c r="K92" s="229">
        <v>29.6</v>
      </c>
      <c r="L92" s="229">
        <v>19.28</v>
      </c>
      <c r="M92" s="229">
        <v>3.4</v>
      </c>
      <c r="N92" s="229">
        <v>10.6</v>
      </c>
      <c r="O92" s="229">
        <v>10</v>
      </c>
      <c r="P92" s="229">
        <v>0</v>
      </c>
      <c r="Q92" s="229">
        <v>3.9</v>
      </c>
      <c r="S92" s="122">
        <f t="shared" si="10"/>
        <v>26</v>
      </c>
      <c r="T92" s="122">
        <f t="shared" si="11"/>
        <v>3</v>
      </c>
      <c r="U92" s="122">
        <f>YEAR(Inputs!$I$8)</f>
        <v>2015</v>
      </c>
      <c r="V92" s="108">
        <f t="shared" si="12"/>
        <v>42089</v>
      </c>
      <c r="W92" s="69">
        <v>42089</v>
      </c>
      <c r="X92" s="116">
        <v>6.5</v>
      </c>
      <c r="Y92" s="116">
        <v>12.7</v>
      </c>
      <c r="Z92" s="116">
        <v>-0.1</v>
      </c>
      <c r="AA92" s="116">
        <v>71.099999999999994</v>
      </c>
      <c r="AB92" s="116">
        <v>82.9</v>
      </c>
      <c r="AC92" s="116">
        <v>54.3</v>
      </c>
      <c r="AD92" s="116">
        <v>15.82</v>
      </c>
      <c r="AE92" s="116">
        <v>5.8</v>
      </c>
      <c r="AF92" s="116">
        <v>11.5</v>
      </c>
      <c r="AG92" s="116">
        <v>9.6999999999999993</v>
      </c>
      <c r="AH92" s="116">
        <v>0</v>
      </c>
      <c r="AI92" s="116">
        <v>2.7</v>
      </c>
    </row>
    <row r="93" spans="1:35" s="71" customFormat="1">
      <c r="A93" s="210">
        <f t="shared" si="7"/>
        <v>27</v>
      </c>
      <c r="B93" s="210">
        <f t="shared" si="8"/>
        <v>3</v>
      </c>
      <c r="C93" s="210">
        <f t="shared" si="13"/>
        <v>2015</v>
      </c>
      <c r="D93" s="106">
        <f t="shared" si="9"/>
        <v>42090</v>
      </c>
      <c r="E93" s="230">
        <v>42090</v>
      </c>
      <c r="F93" s="229">
        <v>10.8</v>
      </c>
      <c r="G93" s="229">
        <v>19.899999999999999</v>
      </c>
      <c r="H93" s="229">
        <v>1.4</v>
      </c>
      <c r="I93" s="229">
        <v>73.5</v>
      </c>
      <c r="J93" s="229">
        <v>95</v>
      </c>
      <c r="K93" s="229">
        <v>47.3</v>
      </c>
      <c r="L93" s="229">
        <v>21.39</v>
      </c>
      <c r="M93" s="229">
        <v>3.1</v>
      </c>
      <c r="N93" s="229">
        <v>8.8000000000000007</v>
      </c>
      <c r="O93" s="229">
        <v>10.9</v>
      </c>
      <c r="P93" s="229">
        <v>0</v>
      </c>
      <c r="Q93" s="229">
        <v>3.5</v>
      </c>
      <c r="S93" s="122">
        <f t="shared" si="10"/>
        <v>27</v>
      </c>
      <c r="T93" s="122">
        <f t="shared" si="11"/>
        <v>3</v>
      </c>
      <c r="U93" s="122">
        <f>YEAR(Inputs!$I$8)</f>
        <v>2015</v>
      </c>
      <c r="V93" s="108">
        <f t="shared" si="12"/>
        <v>42090</v>
      </c>
      <c r="W93" s="69">
        <v>42090</v>
      </c>
      <c r="X93" s="116">
        <v>12.7</v>
      </c>
      <c r="Y93" s="116">
        <v>19.899999999999999</v>
      </c>
      <c r="Z93" s="116">
        <v>6.4</v>
      </c>
      <c r="AA93" s="116">
        <v>73.3</v>
      </c>
      <c r="AB93" s="116">
        <v>95.3</v>
      </c>
      <c r="AC93" s="116">
        <v>45.8</v>
      </c>
      <c r="AD93" s="116">
        <v>21.28</v>
      </c>
      <c r="AE93" s="116">
        <v>4.5999999999999996</v>
      </c>
      <c r="AF93" s="116">
        <v>11</v>
      </c>
      <c r="AG93" s="116">
        <v>11</v>
      </c>
      <c r="AH93" s="116">
        <v>0</v>
      </c>
      <c r="AI93" s="116">
        <v>3.9</v>
      </c>
    </row>
    <row r="94" spans="1:35" s="71" customFormat="1">
      <c r="A94" s="210">
        <f t="shared" si="7"/>
        <v>28</v>
      </c>
      <c r="B94" s="210">
        <f t="shared" si="8"/>
        <v>3</v>
      </c>
      <c r="C94" s="210">
        <f t="shared" si="13"/>
        <v>2015</v>
      </c>
      <c r="D94" s="106">
        <f t="shared" si="9"/>
        <v>42091</v>
      </c>
      <c r="E94" s="230">
        <v>42091</v>
      </c>
      <c r="F94" s="229">
        <v>11.1</v>
      </c>
      <c r="G94" s="229">
        <v>16.2</v>
      </c>
      <c r="H94" s="229">
        <v>3.8</v>
      </c>
      <c r="I94" s="229">
        <v>66.8</v>
      </c>
      <c r="J94" s="229">
        <v>93.5</v>
      </c>
      <c r="K94" s="229">
        <v>24.4</v>
      </c>
      <c r="L94" s="229">
        <v>17.88</v>
      </c>
      <c r="M94" s="229">
        <v>4.2</v>
      </c>
      <c r="N94" s="229">
        <v>10.7</v>
      </c>
      <c r="O94" s="229">
        <v>9.3000000000000007</v>
      </c>
      <c r="P94" s="229">
        <v>0.2</v>
      </c>
      <c r="Q94" s="229">
        <v>3.8</v>
      </c>
      <c r="S94" s="122">
        <f t="shared" si="10"/>
        <v>28</v>
      </c>
      <c r="T94" s="122">
        <f t="shared" si="11"/>
        <v>3</v>
      </c>
      <c r="U94" s="122">
        <f>YEAR(Inputs!$I$8)</f>
        <v>2015</v>
      </c>
      <c r="V94" s="108">
        <f t="shared" si="12"/>
        <v>42091</v>
      </c>
      <c r="W94" s="69">
        <v>42091</v>
      </c>
      <c r="X94" s="116">
        <v>13.6</v>
      </c>
      <c r="Y94" s="116">
        <v>22.9</v>
      </c>
      <c r="Z94" s="116">
        <v>5</v>
      </c>
      <c r="AA94" s="116">
        <v>66.400000000000006</v>
      </c>
      <c r="AB94" s="116">
        <v>96.5</v>
      </c>
      <c r="AC94" s="116">
        <v>29.9</v>
      </c>
      <c r="AD94" s="116">
        <v>23.39</v>
      </c>
      <c r="AE94" s="116">
        <v>3.8</v>
      </c>
      <c r="AF94" s="116">
        <v>9.1999999999999993</v>
      </c>
      <c r="AG94" s="116">
        <v>11.1</v>
      </c>
      <c r="AH94" s="116">
        <v>0</v>
      </c>
      <c r="AI94" s="116">
        <v>4.9000000000000004</v>
      </c>
    </row>
    <row r="95" spans="1:35" s="71" customFormat="1">
      <c r="A95" s="210">
        <f t="shared" si="7"/>
        <v>29</v>
      </c>
      <c r="B95" s="210">
        <f t="shared" si="8"/>
        <v>3</v>
      </c>
      <c r="C95" s="210">
        <f t="shared" si="13"/>
        <v>2015</v>
      </c>
      <c r="D95" s="106">
        <f t="shared" si="9"/>
        <v>42092</v>
      </c>
      <c r="E95" s="230">
        <v>42092</v>
      </c>
      <c r="F95" s="229">
        <v>9.3000000000000007</v>
      </c>
      <c r="G95" s="229">
        <v>16.899999999999999</v>
      </c>
      <c r="H95" s="229">
        <v>1.1000000000000001</v>
      </c>
      <c r="I95" s="229">
        <v>70.8</v>
      </c>
      <c r="J95" s="229">
        <v>93.4</v>
      </c>
      <c r="K95" s="229">
        <v>35.700000000000003</v>
      </c>
      <c r="L95" s="229">
        <v>19.96</v>
      </c>
      <c r="M95" s="229">
        <v>2.7</v>
      </c>
      <c r="N95" s="229">
        <v>9.9</v>
      </c>
      <c r="O95" s="229">
        <v>10.1</v>
      </c>
      <c r="P95" s="229">
        <v>0</v>
      </c>
      <c r="Q95" s="229">
        <v>3.3</v>
      </c>
      <c r="S95" s="122">
        <f t="shared" si="10"/>
        <v>29</v>
      </c>
      <c r="T95" s="122">
        <f t="shared" si="11"/>
        <v>3</v>
      </c>
      <c r="U95" s="122">
        <f>YEAR(Inputs!$I$8)</f>
        <v>2015</v>
      </c>
      <c r="V95" s="108">
        <f t="shared" si="12"/>
        <v>42092</v>
      </c>
      <c r="W95" s="69">
        <v>42092</v>
      </c>
      <c r="X95" s="116">
        <v>13</v>
      </c>
      <c r="Y95" s="116">
        <v>21.7</v>
      </c>
      <c r="Z95" s="116">
        <v>4</v>
      </c>
      <c r="AA95" s="116">
        <v>64</v>
      </c>
      <c r="AB95" s="116">
        <v>94.6</v>
      </c>
      <c r="AC95" s="116">
        <v>24.9</v>
      </c>
      <c r="AD95" s="116">
        <v>22.15</v>
      </c>
      <c r="AE95" s="116">
        <v>3.1</v>
      </c>
      <c r="AF95" s="116">
        <v>9</v>
      </c>
      <c r="AG95" s="116">
        <v>10.8</v>
      </c>
      <c r="AH95" s="116">
        <v>0</v>
      </c>
      <c r="AI95" s="116">
        <v>4.5</v>
      </c>
    </row>
    <row r="96" spans="1:35" s="71" customFormat="1">
      <c r="A96" s="210">
        <f t="shared" si="7"/>
        <v>30</v>
      </c>
      <c r="B96" s="210">
        <f t="shared" si="8"/>
        <v>3</v>
      </c>
      <c r="C96" s="210">
        <f t="shared" si="13"/>
        <v>2015</v>
      </c>
      <c r="D96" s="106">
        <f t="shared" si="9"/>
        <v>42093</v>
      </c>
      <c r="E96" s="230">
        <v>42093</v>
      </c>
      <c r="F96" s="229">
        <v>11.4</v>
      </c>
      <c r="G96" s="229">
        <v>19.600000000000001</v>
      </c>
      <c r="H96" s="229">
        <v>2.1</v>
      </c>
      <c r="I96" s="229">
        <v>72.3</v>
      </c>
      <c r="J96" s="229">
        <v>99.4</v>
      </c>
      <c r="K96" s="229">
        <v>40.200000000000003</v>
      </c>
      <c r="L96" s="229">
        <v>22.63</v>
      </c>
      <c r="M96" s="229">
        <v>1.5</v>
      </c>
      <c r="N96" s="229">
        <v>6</v>
      </c>
      <c r="O96" s="229">
        <v>11</v>
      </c>
      <c r="P96" s="229">
        <v>0</v>
      </c>
      <c r="Q96" s="229">
        <v>3.3</v>
      </c>
      <c r="S96" s="122">
        <f t="shared" si="10"/>
        <v>30</v>
      </c>
      <c r="T96" s="122">
        <f t="shared" si="11"/>
        <v>3</v>
      </c>
      <c r="U96" s="122">
        <f>YEAR(Inputs!$I$8)</f>
        <v>2015</v>
      </c>
      <c r="V96" s="108">
        <f t="shared" si="12"/>
        <v>42093</v>
      </c>
      <c r="W96" s="69">
        <v>42093</v>
      </c>
      <c r="X96" s="116">
        <v>14.3</v>
      </c>
      <c r="Y96" s="116">
        <v>23.4</v>
      </c>
      <c r="Z96" s="116">
        <v>6</v>
      </c>
      <c r="AA96" s="116">
        <v>62.9</v>
      </c>
      <c r="AB96" s="116">
        <v>92</v>
      </c>
      <c r="AC96" s="116">
        <v>29.8</v>
      </c>
      <c r="AD96" s="116">
        <v>21.48</v>
      </c>
      <c r="AE96" s="116">
        <v>3.5</v>
      </c>
      <c r="AF96" s="116">
        <v>9</v>
      </c>
      <c r="AG96" s="116">
        <v>11.1</v>
      </c>
      <c r="AH96" s="116">
        <v>0</v>
      </c>
      <c r="AI96" s="116">
        <v>4.8</v>
      </c>
    </row>
    <row r="97" spans="1:35" s="71" customFormat="1">
      <c r="A97" s="210">
        <f t="shared" si="7"/>
        <v>31</v>
      </c>
      <c r="B97" s="210">
        <f t="shared" si="8"/>
        <v>3</v>
      </c>
      <c r="C97" s="210">
        <f t="shared" si="13"/>
        <v>2015</v>
      </c>
      <c r="D97" s="106">
        <f t="shared" si="9"/>
        <v>42094</v>
      </c>
      <c r="E97" s="230">
        <v>42094</v>
      </c>
      <c r="F97" s="229">
        <v>13.9</v>
      </c>
      <c r="G97" s="229">
        <v>26.2</v>
      </c>
      <c r="H97" s="229">
        <v>2.1</v>
      </c>
      <c r="I97" s="229">
        <v>61.4</v>
      </c>
      <c r="J97" s="229">
        <v>97.8</v>
      </c>
      <c r="K97" s="229">
        <v>16.899999999999999</v>
      </c>
      <c r="L97" s="229">
        <v>22.55</v>
      </c>
      <c r="M97" s="229">
        <v>1.7</v>
      </c>
      <c r="N97" s="229">
        <v>7</v>
      </c>
      <c r="O97" s="229">
        <v>11.3</v>
      </c>
      <c r="P97" s="229">
        <v>0</v>
      </c>
      <c r="Q97" s="229">
        <v>4.4000000000000004</v>
      </c>
      <c r="S97" s="122">
        <f t="shared" si="10"/>
        <v>31</v>
      </c>
      <c r="T97" s="122">
        <f t="shared" si="11"/>
        <v>3</v>
      </c>
      <c r="U97" s="122">
        <f>YEAR(Inputs!$I$8)</f>
        <v>2015</v>
      </c>
      <c r="V97" s="108">
        <f t="shared" si="12"/>
        <v>42094</v>
      </c>
      <c r="W97" s="69">
        <v>42094</v>
      </c>
      <c r="X97" s="116">
        <v>15.4</v>
      </c>
      <c r="Y97" s="116">
        <v>25.3</v>
      </c>
      <c r="Z97" s="116">
        <v>6.2</v>
      </c>
      <c r="AA97" s="116">
        <v>65</v>
      </c>
      <c r="AB97" s="116">
        <v>91.7</v>
      </c>
      <c r="AC97" s="116">
        <v>31.9</v>
      </c>
      <c r="AD97" s="116">
        <v>23.71</v>
      </c>
      <c r="AE97" s="116">
        <v>2.2999999999999998</v>
      </c>
      <c r="AF97" s="116">
        <v>7.1</v>
      </c>
      <c r="AG97" s="116">
        <v>11.1</v>
      </c>
      <c r="AH97" s="116">
        <v>0</v>
      </c>
      <c r="AI97" s="116">
        <v>4.5999999999999996</v>
      </c>
    </row>
    <row r="98" spans="1:35" s="71" customFormat="1">
      <c r="A98" s="210">
        <f t="shared" si="7"/>
        <v>1</v>
      </c>
      <c r="B98" s="210">
        <f t="shared" si="8"/>
        <v>4</v>
      </c>
      <c r="C98" s="210">
        <f t="shared" si="13"/>
        <v>2015</v>
      </c>
      <c r="D98" s="106">
        <f t="shared" si="9"/>
        <v>42095</v>
      </c>
      <c r="E98" s="230">
        <v>42095</v>
      </c>
      <c r="F98" s="229">
        <v>9.1</v>
      </c>
      <c r="G98" s="229">
        <v>12.7</v>
      </c>
      <c r="H98" s="229">
        <v>3.3</v>
      </c>
      <c r="I98" s="229">
        <v>66.2</v>
      </c>
      <c r="J98" s="229">
        <v>82.1</v>
      </c>
      <c r="K98" s="229">
        <v>50.3</v>
      </c>
      <c r="L98" s="229">
        <v>14.78</v>
      </c>
      <c r="M98" s="229">
        <v>5.2</v>
      </c>
      <c r="N98" s="229">
        <v>10.8</v>
      </c>
      <c r="O98" s="229">
        <v>10.3</v>
      </c>
      <c r="P98" s="229">
        <v>0</v>
      </c>
      <c r="Q98" s="229">
        <v>2.8</v>
      </c>
      <c r="S98" s="122">
        <f t="shared" si="10"/>
        <v>1</v>
      </c>
      <c r="T98" s="122">
        <f t="shared" si="11"/>
        <v>4</v>
      </c>
      <c r="U98" s="122">
        <f>YEAR(Inputs!$I$8)</f>
        <v>2015</v>
      </c>
      <c r="V98" s="108">
        <f t="shared" si="12"/>
        <v>42095</v>
      </c>
      <c r="W98" s="69">
        <v>42095</v>
      </c>
      <c r="X98" s="116">
        <v>13.4</v>
      </c>
      <c r="Y98" s="116">
        <v>22.9</v>
      </c>
      <c r="Z98" s="116">
        <v>4.5</v>
      </c>
      <c r="AA98" s="116">
        <v>61.9</v>
      </c>
      <c r="AB98" s="116">
        <v>92.9</v>
      </c>
      <c r="AC98" s="116">
        <v>27.3</v>
      </c>
      <c r="AD98" s="116">
        <v>24.62</v>
      </c>
      <c r="AE98" s="116">
        <v>1.8</v>
      </c>
      <c r="AF98" s="116">
        <v>5.4</v>
      </c>
      <c r="AG98" s="116">
        <v>11.3</v>
      </c>
      <c r="AH98" s="116">
        <v>0</v>
      </c>
      <c r="AI98" s="116">
        <v>4.2</v>
      </c>
    </row>
    <row r="99" spans="1:35" s="71" customFormat="1">
      <c r="A99" s="210">
        <f t="shared" si="7"/>
        <v>2</v>
      </c>
      <c r="B99" s="210">
        <f t="shared" si="8"/>
        <v>4</v>
      </c>
      <c r="C99" s="210">
        <f t="shared" si="13"/>
        <v>2015</v>
      </c>
      <c r="D99" s="106">
        <f t="shared" si="9"/>
        <v>42096</v>
      </c>
      <c r="E99" s="230">
        <v>42096</v>
      </c>
      <c r="F99" s="229">
        <v>6.4</v>
      </c>
      <c r="G99" s="229">
        <v>13.7</v>
      </c>
      <c r="H99" s="229">
        <v>0.5</v>
      </c>
      <c r="I99" s="229">
        <v>63.9</v>
      </c>
      <c r="J99" s="229">
        <v>90.6</v>
      </c>
      <c r="K99" s="229">
        <v>37.5</v>
      </c>
      <c r="L99" s="229">
        <v>19</v>
      </c>
      <c r="M99" s="229">
        <v>3.4</v>
      </c>
      <c r="N99" s="229">
        <v>10</v>
      </c>
      <c r="O99" s="229">
        <v>10.5</v>
      </c>
      <c r="P99" s="229">
        <v>0</v>
      </c>
      <c r="Q99" s="229">
        <v>3.1</v>
      </c>
      <c r="S99" s="122">
        <f t="shared" si="10"/>
        <v>2</v>
      </c>
      <c r="T99" s="122">
        <f t="shared" si="11"/>
        <v>4</v>
      </c>
      <c r="U99" s="122">
        <f>YEAR(Inputs!$I$8)</f>
        <v>2015</v>
      </c>
      <c r="V99" s="108">
        <f t="shared" si="12"/>
        <v>42096</v>
      </c>
      <c r="W99" s="69">
        <v>42096</v>
      </c>
      <c r="X99" s="116">
        <v>12.5</v>
      </c>
      <c r="Y99" s="116">
        <v>21.6</v>
      </c>
      <c r="Z99" s="116">
        <v>4</v>
      </c>
      <c r="AA99" s="116">
        <v>66.3</v>
      </c>
      <c r="AB99" s="116">
        <v>92.2</v>
      </c>
      <c r="AC99" s="116">
        <v>32.700000000000003</v>
      </c>
      <c r="AD99" s="116">
        <v>23.97</v>
      </c>
      <c r="AE99" s="116">
        <v>1.5</v>
      </c>
      <c r="AF99" s="116">
        <v>5.6</v>
      </c>
      <c r="AG99" s="116">
        <v>11.2</v>
      </c>
      <c r="AH99" s="116">
        <v>0</v>
      </c>
      <c r="AI99" s="116">
        <v>3.8</v>
      </c>
    </row>
    <row r="100" spans="1:35" s="71" customFormat="1">
      <c r="A100" s="210">
        <f t="shared" si="7"/>
        <v>3</v>
      </c>
      <c r="B100" s="210">
        <f t="shared" si="8"/>
        <v>4</v>
      </c>
      <c r="C100" s="210">
        <f t="shared" si="13"/>
        <v>2015</v>
      </c>
      <c r="D100" s="106">
        <f t="shared" si="9"/>
        <v>42097</v>
      </c>
      <c r="E100" s="230">
        <v>42097</v>
      </c>
      <c r="F100" s="229">
        <v>8</v>
      </c>
      <c r="G100" s="229">
        <v>18.2</v>
      </c>
      <c r="H100" s="229">
        <v>-3.3</v>
      </c>
      <c r="I100" s="229">
        <v>64.400000000000006</v>
      </c>
      <c r="J100" s="229">
        <v>99.7</v>
      </c>
      <c r="K100" s="229">
        <v>23.6</v>
      </c>
      <c r="L100" s="229">
        <v>23.65</v>
      </c>
      <c r="M100" s="229">
        <v>1.2</v>
      </c>
      <c r="N100" s="229">
        <v>5.9</v>
      </c>
      <c r="O100" s="229">
        <v>11.1</v>
      </c>
      <c r="P100" s="229">
        <v>0</v>
      </c>
      <c r="Q100" s="229">
        <v>3.3</v>
      </c>
      <c r="S100" s="122">
        <f t="shared" si="10"/>
        <v>3</v>
      </c>
      <c r="T100" s="122">
        <f t="shared" si="11"/>
        <v>4</v>
      </c>
      <c r="U100" s="122">
        <f>YEAR(Inputs!$I$8)</f>
        <v>2015</v>
      </c>
      <c r="V100" s="108">
        <f t="shared" si="12"/>
        <v>42097</v>
      </c>
      <c r="W100" s="69">
        <v>42097</v>
      </c>
      <c r="X100" s="116">
        <v>13.8</v>
      </c>
      <c r="Y100" s="116">
        <v>23.1</v>
      </c>
      <c r="Z100" s="116">
        <v>2.2000000000000002</v>
      </c>
      <c r="AA100" s="116">
        <v>65.400000000000006</v>
      </c>
      <c r="AB100" s="116">
        <v>99.2</v>
      </c>
      <c r="AC100" s="116">
        <v>23.1</v>
      </c>
      <c r="AD100" s="116">
        <v>23.36</v>
      </c>
      <c r="AE100" s="116">
        <v>1.1000000000000001</v>
      </c>
      <c r="AF100" s="116">
        <v>4.0999999999999996</v>
      </c>
      <c r="AG100" s="116">
        <v>11</v>
      </c>
      <c r="AH100" s="116">
        <v>0</v>
      </c>
      <c r="AI100" s="116">
        <v>3.7</v>
      </c>
    </row>
    <row r="101" spans="1:35" s="71" customFormat="1">
      <c r="A101" s="210">
        <f t="shared" si="7"/>
        <v>4</v>
      </c>
      <c r="B101" s="210">
        <f t="shared" si="8"/>
        <v>4</v>
      </c>
      <c r="C101" s="210">
        <f t="shared" si="13"/>
        <v>2015</v>
      </c>
      <c r="D101" s="106">
        <f t="shared" si="9"/>
        <v>42098</v>
      </c>
      <c r="E101" s="230">
        <v>42098</v>
      </c>
      <c r="F101" s="229">
        <v>11.9</v>
      </c>
      <c r="G101" s="229">
        <v>19.8</v>
      </c>
      <c r="H101" s="229">
        <v>4.4000000000000004</v>
      </c>
      <c r="I101" s="229">
        <v>66.599999999999994</v>
      </c>
      <c r="J101" s="229">
        <v>92.2</v>
      </c>
      <c r="K101" s="229">
        <v>30.8</v>
      </c>
      <c r="L101" s="229">
        <v>23.1</v>
      </c>
      <c r="M101" s="229">
        <v>2.8</v>
      </c>
      <c r="N101" s="229">
        <v>9.1999999999999993</v>
      </c>
      <c r="O101" s="229">
        <v>10.7</v>
      </c>
      <c r="P101" s="229">
        <v>0</v>
      </c>
      <c r="Q101" s="229">
        <v>4.0999999999999996</v>
      </c>
      <c r="S101" s="122">
        <f t="shared" si="10"/>
        <v>4</v>
      </c>
      <c r="T101" s="122">
        <f t="shared" si="11"/>
        <v>4</v>
      </c>
      <c r="U101" s="122">
        <f>YEAR(Inputs!$I$8)</f>
        <v>2015</v>
      </c>
      <c r="V101" s="108">
        <f t="shared" si="12"/>
        <v>42098</v>
      </c>
      <c r="W101" s="69">
        <v>42098</v>
      </c>
      <c r="X101" s="116">
        <v>13.6</v>
      </c>
      <c r="Y101" s="116">
        <v>20.2</v>
      </c>
      <c r="Z101" s="116">
        <v>7.6</v>
      </c>
      <c r="AA101" s="116">
        <v>68.900000000000006</v>
      </c>
      <c r="AB101" s="116">
        <v>95.2</v>
      </c>
      <c r="AC101" s="116">
        <v>31.8</v>
      </c>
      <c r="AD101" s="116">
        <v>19.28</v>
      </c>
      <c r="AE101" s="116">
        <v>1.8</v>
      </c>
      <c r="AF101" s="116">
        <v>5.0999999999999996</v>
      </c>
      <c r="AG101" s="116">
        <v>10.7</v>
      </c>
      <c r="AH101" s="116">
        <v>0</v>
      </c>
      <c r="AI101" s="116">
        <v>3.5</v>
      </c>
    </row>
    <row r="102" spans="1:35" s="71" customFormat="1">
      <c r="A102" s="210">
        <f t="shared" si="7"/>
        <v>5</v>
      </c>
      <c r="B102" s="210">
        <f t="shared" si="8"/>
        <v>4</v>
      </c>
      <c r="C102" s="210">
        <f t="shared" si="13"/>
        <v>2015</v>
      </c>
      <c r="D102" s="106">
        <f t="shared" si="9"/>
        <v>42099</v>
      </c>
      <c r="E102" s="230">
        <v>42099</v>
      </c>
      <c r="F102" s="229">
        <v>9.6999999999999993</v>
      </c>
      <c r="G102" s="229">
        <v>12</v>
      </c>
      <c r="H102" s="229">
        <v>7.3</v>
      </c>
      <c r="I102" s="229">
        <v>87.6</v>
      </c>
      <c r="J102" s="229">
        <v>97.5</v>
      </c>
      <c r="K102" s="229">
        <v>68.2</v>
      </c>
      <c r="L102" s="229">
        <v>2.62</v>
      </c>
      <c r="M102" s="229">
        <v>2</v>
      </c>
      <c r="N102" s="229">
        <v>7.1</v>
      </c>
      <c r="O102" s="229">
        <v>0</v>
      </c>
      <c r="P102" s="229">
        <v>14.9</v>
      </c>
      <c r="Q102" s="229">
        <v>1.1000000000000001</v>
      </c>
      <c r="S102" s="122">
        <f t="shared" si="10"/>
        <v>5</v>
      </c>
      <c r="T102" s="122">
        <f t="shared" si="11"/>
        <v>4</v>
      </c>
      <c r="U102" s="122">
        <f>YEAR(Inputs!$I$8)</f>
        <v>2015</v>
      </c>
      <c r="V102" s="108">
        <f t="shared" si="12"/>
        <v>42099</v>
      </c>
      <c r="W102" s="69">
        <v>42099</v>
      </c>
      <c r="X102" s="116">
        <v>12.5</v>
      </c>
      <c r="Y102" s="116">
        <v>22.1</v>
      </c>
      <c r="Z102" s="116">
        <v>5.4</v>
      </c>
      <c r="AA102" s="116">
        <v>74.2</v>
      </c>
      <c r="AB102" s="116">
        <v>100</v>
      </c>
      <c r="AC102" s="116">
        <v>23.6</v>
      </c>
      <c r="AD102" s="116">
        <v>23.4</v>
      </c>
      <c r="AE102" s="116">
        <v>2.4</v>
      </c>
      <c r="AF102" s="116">
        <v>7.6</v>
      </c>
      <c r="AG102" s="116">
        <v>10.6</v>
      </c>
      <c r="AH102" s="116">
        <v>0</v>
      </c>
      <c r="AI102" s="116">
        <v>4.4000000000000004</v>
      </c>
    </row>
    <row r="103" spans="1:35" s="71" customFormat="1">
      <c r="A103" s="210">
        <f t="shared" si="7"/>
        <v>6</v>
      </c>
      <c r="B103" s="210">
        <f t="shared" si="8"/>
        <v>4</v>
      </c>
      <c r="C103" s="210">
        <f t="shared" si="13"/>
        <v>2015</v>
      </c>
      <c r="D103" s="106">
        <f t="shared" si="9"/>
        <v>42100</v>
      </c>
      <c r="E103" s="230">
        <v>42100</v>
      </c>
      <c r="F103" s="229">
        <v>8.6999999999999993</v>
      </c>
      <c r="G103" s="229">
        <v>12</v>
      </c>
      <c r="H103" s="229">
        <v>6.1</v>
      </c>
      <c r="I103" s="229">
        <v>85</v>
      </c>
      <c r="J103" s="229">
        <v>97.3</v>
      </c>
      <c r="K103" s="229">
        <v>68.5</v>
      </c>
      <c r="L103" s="229">
        <v>6.48</v>
      </c>
      <c r="M103" s="229">
        <v>2.6</v>
      </c>
      <c r="N103" s="229">
        <v>7.2</v>
      </c>
      <c r="O103" s="229">
        <v>7.6</v>
      </c>
      <c r="P103" s="229">
        <v>5.3</v>
      </c>
      <c r="Q103" s="229">
        <v>1.4</v>
      </c>
      <c r="S103" s="122">
        <f t="shared" si="10"/>
        <v>6</v>
      </c>
      <c r="T103" s="122">
        <f t="shared" si="11"/>
        <v>4</v>
      </c>
      <c r="U103" s="122">
        <f>YEAR(Inputs!$I$8)</f>
        <v>2015</v>
      </c>
      <c r="V103" s="108">
        <f t="shared" si="12"/>
        <v>42100</v>
      </c>
      <c r="W103" s="69">
        <v>42100</v>
      </c>
      <c r="X103" s="116">
        <v>10.199999999999999</v>
      </c>
      <c r="Y103" s="116">
        <v>13</v>
      </c>
      <c r="Z103" s="116">
        <v>6</v>
      </c>
      <c r="AA103" s="116">
        <v>79.599999999999994</v>
      </c>
      <c r="AB103" s="116">
        <v>89.9</v>
      </c>
      <c r="AC103" s="116">
        <v>70.2</v>
      </c>
      <c r="AD103" s="116">
        <v>6.73</v>
      </c>
      <c r="AE103" s="116">
        <v>3.8</v>
      </c>
      <c r="AF103" s="116">
        <v>8.1999999999999993</v>
      </c>
      <c r="AG103" s="116">
        <v>9.1999999999999993</v>
      </c>
      <c r="AH103" s="116">
        <v>0</v>
      </c>
      <c r="AI103" s="116">
        <v>1.7</v>
      </c>
    </row>
    <row r="104" spans="1:35" s="71" customFormat="1">
      <c r="A104" s="210">
        <f t="shared" si="7"/>
        <v>7</v>
      </c>
      <c r="B104" s="210">
        <f t="shared" si="8"/>
        <v>4</v>
      </c>
      <c r="C104" s="210">
        <f t="shared" si="13"/>
        <v>2015</v>
      </c>
      <c r="D104" s="106">
        <f t="shared" si="9"/>
        <v>42101</v>
      </c>
      <c r="E104" s="230">
        <v>42101</v>
      </c>
      <c r="F104" s="229">
        <v>11.2</v>
      </c>
      <c r="G104" s="229">
        <v>17.3</v>
      </c>
      <c r="H104" s="229">
        <v>5.6</v>
      </c>
      <c r="I104" s="229">
        <v>79.8</v>
      </c>
      <c r="J104" s="229">
        <v>92.9</v>
      </c>
      <c r="K104" s="229">
        <v>54.3</v>
      </c>
      <c r="L104" s="229">
        <v>19.440000000000001</v>
      </c>
      <c r="M104" s="229">
        <v>2.1</v>
      </c>
      <c r="N104" s="229">
        <v>5</v>
      </c>
      <c r="O104" s="229">
        <v>10.4</v>
      </c>
      <c r="P104" s="229">
        <v>0.2</v>
      </c>
      <c r="Q104" s="229">
        <v>3</v>
      </c>
      <c r="S104" s="122">
        <f t="shared" si="10"/>
        <v>7</v>
      </c>
      <c r="T104" s="122">
        <f t="shared" si="11"/>
        <v>4</v>
      </c>
      <c r="U104" s="122">
        <f>YEAR(Inputs!$I$8)</f>
        <v>2015</v>
      </c>
      <c r="V104" s="108">
        <f t="shared" si="12"/>
        <v>42101</v>
      </c>
      <c r="W104" s="69">
        <v>42101</v>
      </c>
      <c r="X104" s="116">
        <v>8.6</v>
      </c>
      <c r="Y104" s="116">
        <v>12.9</v>
      </c>
      <c r="Z104" s="116">
        <v>5.3</v>
      </c>
      <c r="AA104" s="116">
        <v>74.2</v>
      </c>
      <c r="AB104" s="116">
        <v>94</v>
      </c>
      <c r="AC104" s="116">
        <v>52.9</v>
      </c>
      <c r="AD104" s="116">
        <v>15.63</v>
      </c>
      <c r="AE104" s="116">
        <v>5.0999999999999996</v>
      </c>
      <c r="AF104" s="116">
        <v>11.1</v>
      </c>
      <c r="AG104" s="116">
        <v>11.2</v>
      </c>
      <c r="AH104" s="116">
        <v>0</v>
      </c>
      <c r="AI104" s="116">
        <v>2.7</v>
      </c>
    </row>
    <row r="105" spans="1:35" s="71" customFormat="1">
      <c r="A105" s="210">
        <f t="shared" si="7"/>
        <v>8</v>
      </c>
      <c r="B105" s="210">
        <f t="shared" si="8"/>
        <v>4</v>
      </c>
      <c r="C105" s="210">
        <f t="shared" si="13"/>
        <v>2015</v>
      </c>
      <c r="D105" s="106">
        <f t="shared" si="9"/>
        <v>42102</v>
      </c>
      <c r="E105" s="230">
        <v>42102</v>
      </c>
      <c r="F105" s="229">
        <v>10.8</v>
      </c>
      <c r="G105" s="229">
        <v>19</v>
      </c>
      <c r="H105" s="229">
        <v>4.5</v>
      </c>
      <c r="I105" s="229">
        <v>71.599999999999994</v>
      </c>
      <c r="J105" s="229">
        <v>94.5</v>
      </c>
      <c r="K105" s="229">
        <v>37.799999999999997</v>
      </c>
      <c r="L105" s="229">
        <v>24.55</v>
      </c>
      <c r="M105" s="229">
        <v>2.2999999999999998</v>
      </c>
      <c r="N105" s="229">
        <v>6.6</v>
      </c>
      <c r="O105" s="229">
        <v>11.3</v>
      </c>
      <c r="P105" s="229">
        <v>0</v>
      </c>
      <c r="Q105" s="229">
        <v>3.8</v>
      </c>
      <c r="S105" s="122">
        <f t="shared" si="10"/>
        <v>8</v>
      </c>
      <c r="T105" s="122">
        <f t="shared" si="11"/>
        <v>4</v>
      </c>
      <c r="U105" s="122">
        <f>YEAR(Inputs!$I$8)</f>
        <v>2015</v>
      </c>
      <c r="V105" s="108">
        <f t="shared" si="12"/>
        <v>42102</v>
      </c>
      <c r="W105" s="69">
        <v>42102</v>
      </c>
      <c r="X105" s="116">
        <v>9</v>
      </c>
      <c r="Y105" s="116">
        <v>15.5</v>
      </c>
      <c r="Z105" s="116">
        <v>3.5</v>
      </c>
      <c r="AA105" s="116">
        <v>64.8</v>
      </c>
      <c r="AB105" s="116">
        <v>90.8</v>
      </c>
      <c r="AC105" s="116">
        <v>33.4</v>
      </c>
      <c r="AD105" s="116">
        <v>22.15</v>
      </c>
      <c r="AE105" s="116">
        <v>5.4</v>
      </c>
      <c r="AF105" s="116">
        <v>12.2</v>
      </c>
      <c r="AG105" s="116">
        <v>10.6</v>
      </c>
      <c r="AH105" s="116">
        <v>0</v>
      </c>
      <c r="AI105" s="116">
        <v>4</v>
      </c>
    </row>
    <row r="106" spans="1:35" s="71" customFormat="1">
      <c r="A106" s="210">
        <f t="shared" si="7"/>
        <v>9</v>
      </c>
      <c r="B106" s="210">
        <f t="shared" si="8"/>
        <v>4</v>
      </c>
      <c r="C106" s="210">
        <f t="shared" si="13"/>
        <v>2015</v>
      </c>
      <c r="D106" s="106">
        <f t="shared" si="9"/>
        <v>42103</v>
      </c>
      <c r="E106" s="230">
        <v>42103</v>
      </c>
      <c r="F106" s="229">
        <v>8.4</v>
      </c>
      <c r="G106" s="229">
        <v>13.9</v>
      </c>
      <c r="H106" s="229">
        <v>2.2000000000000002</v>
      </c>
      <c r="I106" s="229">
        <v>62.6</v>
      </c>
      <c r="J106" s="229">
        <v>93.4</v>
      </c>
      <c r="K106" s="229">
        <v>31.1</v>
      </c>
      <c r="L106" s="229">
        <v>24.3</v>
      </c>
      <c r="M106" s="229">
        <v>3.2</v>
      </c>
      <c r="N106" s="229">
        <v>9.5</v>
      </c>
      <c r="O106" s="229">
        <v>10.9</v>
      </c>
      <c r="P106" s="229">
        <v>0.2</v>
      </c>
      <c r="Q106" s="229">
        <v>3.6</v>
      </c>
      <c r="S106" s="122">
        <f t="shared" si="10"/>
        <v>9</v>
      </c>
      <c r="T106" s="122">
        <f t="shared" si="11"/>
        <v>4</v>
      </c>
      <c r="U106" s="122">
        <f>YEAR(Inputs!$I$8)</f>
        <v>2015</v>
      </c>
      <c r="V106" s="108">
        <f t="shared" si="12"/>
        <v>42103</v>
      </c>
      <c r="W106" s="69">
        <v>42103</v>
      </c>
      <c r="X106" s="116">
        <v>7.7</v>
      </c>
      <c r="Y106" s="116">
        <v>10.9</v>
      </c>
      <c r="Z106" s="116">
        <v>4.8</v>
      </c>
      <c r="AA106" s="116">
        <v>86.1</v>
      </c>
      <c r="AB106" s="116">
        <v>94.5</v>
      </c>
      <c r="AC106" s="116">
        <v>75.8</v>
      </c>
      <c r="AD106" s="116">
        <v>8.4600000000000009</v>
      </c>
      <c r="AE106" s="116">
        <v>3.1</v>
      </c>
      <c r="AF106" s="116">
        <v>6.8</v>
      </c>
      <c r="AG106" s="116">
        <v>9.9</v>
      </c>
      <c r="AH106" s="116">
        <v>1</v>
      </c>
      <c r="AI106" s="116">
        <v>1.4</v>
      </c>
    </row>
    <row r="107" spans="1:35" s="71" customFormat="1">
      <c r="A107" s="210">
        <f t="shared" si="7"/>
        <v>10</v>
      </c>
      <c r="B107" s="210">
        <f t="shared" si="8"/>
        <v>4</v>
      </c>
      <c r="C107" s="210">
        <f t="shared" si="13"/>
        <v>2015</v>
      </c>
      <c r="D107" s="106">
        <f t="shared" si="9"/>
        <v>42104</v>
      </c>
      <c r="E107" s="230">
        <v>42104</v>
      </c>
      <c r="F107" s="229">
        <v>8.6999999999999993</v>
      </c>
      <c r="G107" s="229">
        <v>17.2</v>
      </c>
      <c r="H107" s="229">
        <v>-1.2</v>
      </c>
      <c r="I107" s="229">
        <v>65.599999999999994</v>
      </c>
      <c r="J107" s="229">
        <v>94.4</v>
      </c>
      <c r="K107" s="229">
        <v>33.9</v>
      </c>
      <c r="L107" s="229">
        <v>24.99</v>
      </c>
      <c r="M107" s="229">
        <v>2.5</v>
      </c>
      <c r="N107" s="229">
        <v>7.8</v>
      </c>
      <c r="O107" s="229">
        <v>11.6</v>
      </c>
      <c r="P107" s="229">
        <v>0</v>
      </c>
      <c r="Q107" s="229">
        <v>3.7</v>
      </c>
      <c r="S107" s="122">
        <f t="shared" si="10"/>
        <v>10</v>
      </c>
      <c r="T107" s="122">
        <f t="shared" si="11"/>
        <v>4</v>
      </c>
      <c r="U107" s="122">
        <f>YEAR(Inputs!$I$8)</f>
        <v>2015</v>
      </c>
      <c r="V107" s="108">
        <f t="shared" si="12"/>
        <v>42104</v>
      </c>
      <c r="W107" s="69">
        <v>42104</v>
      </c>
      <c r="X107" s="116">
        <v>10.5</v>
      </c>
      <c r="Y107" s="116">
        <v>18.5</v>
      </c>
      <c r="Z107" s="116">
        <v>2.9</v>
      </c>
      <c r="AA107" s="116">
        <v>75.400000000000006</v>
      </c>
      <c r="AB107" s="116">
        <v>100</v>
      </c>
      <c r="AC107" s="116">
        <v>43.4</v>
      </c>
      <c r="AD107" s="116">
        <v>22.34</v>
      </c>
      <c r="AE107" s="116">
        <v>2.7</v>
      </c>
      <c r="AF107" s="116">
        <v>6.1</v>
      </c>
      <c r="AG107" s="116">
        <v>11</v>
      </c>
      <c r="AH107" s="116">
        <v>0</v>
      </c>
      <c r="AI107" s="116">
        <v>3.5</v>
      </c>
    </row>
    <row r="108" spans="1:35" s="71" customFormat="1">
      <c r="A108" s="210">
        <f t="shared" si="7"/>
        <v>11</v>
      </c>
      <c r="B108" s="210">
        <f t="shared" si="8"/>
        <v>4</v>
      </c>
      <c r="C108" s="210">
        <f t="shared" si="13"/>
        <v>2015</v>
      </c>
      <c r="D108" s="106">
        <f t="shared" si="9"/>
        <v>42105</v>
      </c>
      <c r="E108" s="230">
        <v>42105</v>
      </c>
      <c r="F108" s="229">
        <v>10.8</v>
      </c>
      <c r="G108" s="229">
        <v>18.2</v>
      </c>
      <c r="H108" s="229">
        <v>3.1</v>
      </c>
      <c r="I108" s="229">
        <v>70.599999999999994</v>
      </c>
      <c r="J108" s="229">
        <v>93.2</v>
      </c>
      <c r="K108" s="229">
        <v>43.4</v>
      </c>
      <c r="L108" s="229">
        <v>20.98</v>
      </c>
      <c r="M108" s="229">
        <v>3.2</v>
      </c>
      <c r="N108" s="229">
        <v>13.7</v>
      </c>
      <c r="O108" s="229">
        <v>10.5</v>
      </c>
      <c r="P108" s="229">
        <v>0</v>
      </c>
      <c r="Q108" s="229">
        <v>3.6</v>
      </c>
      <c r="S108" s="122">
        <f t="shared" si="10"/>
        <v>11</v>
      </c>
      <c r="T108" s="122">
        <f t="shared" si="11"/>
        <v>4</v>
      </c>
      <c r="U108" s="122">
        <f>YEAR(Inputs!$I$8)</f>
        <v>2015</v>
      </c>
      <c r="V108" s="108">
        <f t="shared" si="12"/>
        <v>42105</v>
      </c>
      <c r="W108" s="69">
        <v>42105</v>
      </c>
      <c r="X108" s="116">
        <v>9.6</v>
      </c>
      <c r="Y108" s="116">
        <v>14.8</v>
      </c>
      <c r="Z108" s="116">
        <v>5.8</v>
      </c>
      <c r="AA108" s="116">
        <v>83.7</v>
      </c>
      <c r="AB108" s="116">
        <v>94.9</v>
      </c>
      <c r="AC108" s="116">
        <v>66.099999999999994</v>
      </c>
      <c r="AD108" s="116">
        <v>8.1300000000000008</v>
      </c>
      <c r="AE108" s="116">
        <v>2.4</v>
      </c>
      <c r="AF108" s="116">
        <v>5.9</v>
      </c>
      <c r="AG108" s="116">
        <v>8.8000000000000007</v>
      </c>
      <c r="AH108" s="116">
        <v>0.6</v>
      </c>
      <c r="AI108" s="116">
        <v>1.7</v>
      </c>
    </row>
    <row r="109" spans="1:35" s="71" customFormat="1">
      <c r="A109" s="210">
        <f t="shared" si="7"/>
        <v>12</v>
      </c>
      <c r="B109" s="210">
        <f t="shared" si="8"/>
        <v>4</v>
      </c>
      <c r="C109" s="210">
        <f t="shared" si="13"/>
        <v>2015</v>
      </c>
      <c r="D109" s="106">
        <f t="shared" si="9"/>
        <v>42106</v>
      </c>
      <c r="E109" s="230">
        <v>42106</v>
      </c>
      <c r="F109" s="229">
        <v>10.5</v>
      </c>
      <c r="G109" s="229">
        <v>16.399999999999999</v>
      </c>
      <c r="H109" s="229">
        <v>5.3</v>
      </c>
      <c r="I109" s="229">
        <v>73.7</v>
      </c>
      <c r="J109" s="229">
        <v>92.3</v>
      </c>
      <c r="K109" s="229">
        <v>46.5</v>
      </c>
      <c r="L109" s="229">
        <v>17.61</v>
      </c>
      <c r="M109" s="229">
        <v>2.8</v>
      </c>
      <c r="N109" s="229">
        <v>9</v>
      </c>
      <c r="O109" s="229">
        <v>11.4</v>
      </c>
      <c r="P109" s="229">
        <v>0</v>
      </c>
      <c r="Q109" s="229">
        <v>3.1</v>
      </c>
      <c r="S109" s="122">
        <f t="shared" si="10"/>
        <v>12</v>
      </c>
      <c r="T109" s="122">
        <f t="shared" si="11"/>
        <v>4</v>
      </c>
      <c r="U109" s="122">
        <f>YEAR(Inputs!$I$8)</f>
        <v>2015</v>
      </c>
      <c r="V109" s="108">
        <f t="shared" si="12"/>
        <v>42106</v>
      </c>
      <c r="W109" s="69">
        <v>42106</v>
      </c>
      <c r="X109" s="116">
        <v>10.3</v>
      </c>
      <c r="Y109" s="116">
        <v>17.8</v>
      </c>
      <c r="Z109" s="116">
        <v>3.7</v>
      </c>
      <c r="AA109" s="116">
        <v>80</v>
      </c>
      <c r="AB109" s="116">
        <v>99.2</v>
      </c>
      <c r="AC109" s="116">
        <v>53.6</v>
      </c>
      <c r="AD109" s="116">
        <v>16.54</v>
      </c>
      <c r="AE109" s="116">
        <v>3.9</v>
      </c>
      <c r="AF109" s="116">
        <v>9.1999999999999993</v>
      </c>
      <c r="AG109" s="116">
        <v>11.2</v>
      </c>
      <c r="AH109" s="116">
        <v>0</v>
      </c>
      <c r="AI109" s="116">
        <v>3</v>
      </c>
    </row>
    <row r="110" spans="1:35" s="71" customFormat="1">
      <c r="A110" s="210">
        <f t="shared" si="7"/>
        <v>13</v>
      </c>
      <c r="B110" s="210">
        <f t="shared" si="8"/>
        <v>4</v>
      </c>
      <c r="C110" s="210">
        <f t="shared" si="13"/>
        <v>2015</v>
      </c>
      <c r="D110" s="106">
        <f t="shared" si="9"/>
        <v>42107</v>
      </c>
      <c r="E110" s="230">
        <v>42107</v>
      </c>
      <c r="F110" s="229">
        <v>11.3</v>
      </c>
      <c r="G110" s="229">
        <v>18.399999999999999</v>
      </c>
      <c r="H110" s="229">
        <v>4.4000000000000004</v>
      </c>
      <c r="I110" s="229">
        <v>74.900000000000006</v>
      </c>
      <c r="J110" s="229">
        <v>96.2</v>
      </c>
      <c r="K110" s="229">
        <v>42</v>
      </c>
      <c r="L110" s="229">
        <v>17.399999999999999</v>
      </c>
      <c r="M110" s="229">
        <v>2.5</v>
      </c>
      <c r="N110" s="229">
        <v>10.9</v>
      </c>
      <c r="O110" s="229">
        <v>10.199999999999999</v>
      </c>
      <c r="P110" s="229">
        <v>0</v>
      </c>
      <c r="Q110" s="229">
        <v>3.2</v>
      </c>
      <c r="S110" s="122">
        <f t="shared" si="10"/>
        <v>13</v>
      </c>
      <c r="T110" s="122">
        <f t="shared" si="11"/>
        <v>4</v>
      </c>
      <c r="U110" s="122">
        <f>YEAR(Inputs!$I$8)</f>
        <v>2015</v>
      </c>
      <c r="V110" s="108">
        <f t="shared" si="12"/>
        <v>42107</v>
      </c>
      <c r="W110" s="69">
        <v>42107</v>
      </c>
      <c r="X110" s="116">
        <v>10.9</v>
      </c>
      <c r="Y110" s="116">
        <v>19.399999999999999</v>
      </c>
      <c r="Z110" s="116">
        <v>3.1</v>
      </c>
      <c r="AA110" s="116">
        <v>66.3</v>
      </c>
      <c r="AB110" s="116">
        <v>93.4</v>
      </c>
      <c r="AC110" s="116">
        <v>42</v>
      </c>
      <c r="AD110" s="116">
        <v>17.579999999999998</v>
      </c>
      <c r="AE110" s="116">
        <v>3.7</v>
      </c>
      <c r="AF110" s="116">
        <v>10.4</v>
      </c>
      <c r="AG110" s="116">
        <v>11.4</v>
      </c>
      <c r="AH110" s="116">
        <v>0</v>
      </c>
      <c r="AI110" s="116">
        <v>3.7</v>
      </c>
    </row>
    <row r="111" spans="1:35" s="71" customFormat="1">
      <c r="A111" s="210">
        <f t="shared" si="7"/>
        <v>14</v>
      </c>
      <c r="B111" s="210">
        <f t="shared" si="8"/>
        <v>4</v>
      </c>
      <c r="C111" s="210">
        <f t="shared" si="13"/>
        <v>2015</v>
      </c>
      <c r="D111" s="106">
        <f t="shared" si="9"/>
        <v>42108</v>
      </c>
      <c r="E111" s="230">
        <v>42108</v>
      </c>
      <c r="F111" s="229">
        <v>10.5</v>
      </c>
      <c r="G111" s="229">
        <v>15.5</v>
      </c>
      <c r="H111" s="229">
        <v>5</v>
      </c>
      <c r="I111" s="229">
        <v>76</v>
      </c>
      <c r="J111" s="229">
        <v>93.7</v>
      </c>
      <c r="K111" s="229">
        <v>54.3</v>
      </c>
      <c r="L111" s="229">
        <v>16.66</v>
      </c>
      <c r="M111" s="229">
        <v>2.9</v>
      </c>
      <c r="N111" s="229">
        <v>7.8</v>
      </c>
      <c r="O111" s="229">
        <v>10.7</v>
      </c>
      <c r="P111" s="229">
        <v>0</v>
      </c>
      <c r="Q111" s="229">
        <v>2.8</v>
      </c>
      <c r="S111" s="122">
        <f t="shared" si="10"/>
        <v>14</v>
      </c>
      <c r="T111" s="122">
        <f t="shared" si="11"/>
        <v>4</v>
      </c>
      <c r="U111" s="122">
        <f>YEAR(Inputs!$I$8)</f>
        <v>2015</v>
      </c>
      <c r="V111" s="108">
        <f t="shared" si="12"/>
        <v>42108</v>
      </c>
      <c r="W111" s="69">
        <v>42108</v>
      </c>
      <c r="X111" s="116">
        <v>11.6</v>
      </c>
      <c r="Y111" s="116">
        <v>21.9</v>
      </c>
      <c r="Z111" s="116">
        <v>1.9</v>
      </c>
      <c r="AA111" s="116">
        <v>60.4</v>
      </c>
      <c r="AB111" s="116">
        <v>89.6</v>
      </c>
      <c r="AC111" s="116">
        <v>26.8</v>
      </c>
      <c r="AD111" s="116">
        <v>19.100000000000001</v>
      </c>
      <c r="AE111" s="116">
        <v>3.8</v>
      </c>
      <c r="AF111" s="116">
        <v>11.2</v>
      </c>
      <c r="AG111" s="116">
        <v>11.3</v>
      </c>
      <c r="AH111" s="116">
        <v>0</v>
      </c>
      <c r="AI111" s="116">
        <v>4.8</v>
      </c>
    </row>
    <row r="112" spans="1:35" s="71" customFormat="1">
      <c r="A112" s="210">
        <f t="shared" si="7"/>
        <v>15</v>
      </c>
      <c r="B112" s="210">
        <f t="shared" si="8"/>
        <v>4</v>
      </c>
      <c r="C112" s="210">
        <f t="shared" si="13"/>
        <v>2015</v>
      </c>
      <c r="D112" s="106">
        <f t="shared" si="9"/>
        <v>42109</v>
      </c>
      <c r="E112" s="230">
        <v>42109</v>
      </c>
      <c r="F112" s="229">
        <v>12.3</v>
      </c>
      <c r="G112" s="229">
        <v>22.3</v>
      </c>
      <c r="H112" s="229">
        <v>2.2999999999999998</v>
      </c>
      <c r="I112" s="229">
        <v>65.7</v>
      </c>
      <c r="J112" s="229">
        <v>98.8</v>
      </c>
      <c r="K112" s="229">
        <v>25.8</v>
      </c>
      <c r="L112" s="229">
        <v>25.61</v>
      </c>
      <c r="M112" s="229">
        <v>1.4</v>
      </c>
      <c r="N112" s="229">
        <v>6.2</v>
      </c>
      <c r="O112" s="229">
        <v>11.7</v>
      </c>
      <c r="P112" s="229">
        <v>0.2</v>
      </c>
      <c r="Q112" s="229">
        <v>4.0999999999999996</v>
      </c>
      <c r="S112" s="122">
        <f t="shared" si="10"/>
        <v>15</v>
      </c>
      <c r="T112" s="122">
        <f t="shared" si="11"/>
        <v>4</v>
      </c>
      <c r="U112" s="122">
        <f>YEAR(Inputs!$I$8)</f>
        <v>2015</v>
      </c>
      <c r="V112" s="108">
        <f t="shared" si="12"/>
        <v>42109</v>
      </c>
      <c r="W112" s="69">
        <v>42109</v>
      </c>
      <c r="X112" s="116">
        <v>11.7</v>
      </c>
      <c r="Y112" s="116">
        <v>17.399999999999999</v>
      </c>
      <c r="Z112" s="116">
        <v>6.3</v>
      </c>
      <c r="AA112" s="116">
        <v>72.900000000000006</v>
      </c>
      <c r="AB112" s="116">
        <v>96.7</v>
      </c>
      <c r="AC112" s="116">
        <v>54.5</v>
      </c>
      <c r="AD112" s="116">
        <v>11.3</v>
      </c>
      <c r="AE112" s="116">
        <v>2.9</v>
      </c>
      <c r="AF112" s="116">
        <v>10.6</v>
      </c>
      <c r="AG112" s="116">
        <v>9.1</v>
      </c>
      <c r="AH112" s="116">
        <v>6.5</v>
      </c>
      <c r="AI112" s="116">
        <v>2.5</v>
      </c>
    </row>
    <row r="113" spans="1:35" s="71" customFormat="1">
      <c r="A113" s="210">
        <f t="shared" si="7"/>
        <v>16</v>
      </c>
      <c r="B113" s="210">
        <f t="shared" si="8"/>
        <v>4</v>
      </c>
      <c r="C113" s="210">
        <f t="shared" si="13"/>
        <v>2015</v>
      </c>
      <c r="D113" s="106">
        <f t="shared" si="9"/>
        <v>42110</v>
      </c>
      <c r="E113" s="230">
        <v>42110</v>
      </c>
      <c r="F113" s="229">
        <v>13.9</v>
      </c>
      <c r="G113" s="229">
        <v>22.6</v>
      </c>
      <c r="H113" s="229">
        <v>5.4</v>
      </c>
      <c r="I113" s="229">
        <v>63.7</v>
      </c>
      <c r="J113" s="229">
        <v>94</v>
      </c>
      <c r="K113" s="229">
        <v>27.9</v>
      </c>
      <c r="L113" s="229">
        <v>24.81</v>
      </c>
      <c r="M113" s="229">
        <v>2.5</v>
      </c>
      <c r="N113" s="229">
        <v>12.8</v>
      </c>
      <c r="O113" s="229">
        <v>11.7</v>
      </c>
      <c r="P113" s="229">
        <v>0</v>
      </c>
      <c r="Q113" s="229">
        <v>4.7</v>
      </c>
      <c r="S113" s="122">
        <f t="shared" si="10"/>
        <v>16</v>
      </c>
      <c r="T113" s="122">
        <f t="shared" si="11"/>
        <v>4</v>
      </c>
      <c r="U113" s="122">
        <f>YEAR(Inputs!$I$8)</f>
        <v>2015</v>
      </c>
      <c r="V113" s="108">
        <f t="shared" si="12"/>
        <v>42110</v>
      </c>
      <c r="W113" s="69">
        <v>42110</v>
      </c>
      <c r="X113" s="116">
        <v>11.3</v>
      </c>
      <c r="Y113" s="116">
        <v>16.100000000000001</v>
      </c>
      <c r="Z113" s="116">
        <v>6.1</v>
      </c>
      <c r="AA113" s="116">
        <v>85.6</v>
      </c>
      <c r="AB113" s="116">
        <v>97.3</v>
      </c>
      <c r="AC113" s="116">
        <v>65.599999999999994</v>
      </c>
      <c r="AD113" s="116">
        <v>14.52</v>
      </c>
      <c r="AE113" s="116">
        <v>1.9</v>
      </c>
      <c r="AF113" s="116">
        <v>9.6</v>
      </c>
      <c r="AG113" s="116">
        <v>11</v>
      </c>
      <c r="AH113" s="116">
        <v>4.7</v>
      </c>
      <c r="AI113" s="116">
        <v>2.2999999999999998</v>
      </c>
    </row>
    <row r="114" spans="1:35" s="71" customFormat="1">
      <c r="A114" s="210">
        <f t="shared" si="7"/>
        <v>17</v>
      </c>
      <c r="B114" s="210">
        <f t="shared" si="8"/>
        <v>4</v>
      </c>
      <c r="C114" s="210">
        <f t="shared" si="13"/>
        <v>2015</v>
      </c>
      <c r="D114" s="106">
        <f t="shared" si="9"/>
        <v>42111</v>
      </c>
      <c r="E114" s="230">
        <v>42111</v>
      </c>
      <c r="F114" s="229">
        <v>14.4</v>
      </c>
      <c r="G114" s="229">
        <v>21.3</v>
      </c>
      <c r="H114" s="229">
        <v>9.1</v>
      </c>
      <c r="I114" s="229">
        <v>73.099999999999994</v>
      </c>
      <c r="J114" s="229">
        <v>95.3</v>
      </c>
      <c r="K114" s="229">
        <v>40.799999999999997</v>
      </c>
      <c r="L114" s="229">
        <v>22.2</v>
      </c>
      <c r="M114" s="229">
        <v>3.6</v>
      </c>
      <c r="N114" s="229">
        <v>11.7</v>
      </c>
      <c r="O114" s="229">
        <v>10.7</v>
      </c>
      <c r="P114" s="229">
        <v>0.2</v>
      </c>
      <c r="Q114" s="229">
        <v>4.3</v>
      </c>
      <c r="S114" s="122">
        <f t="shared" si="10"/>
        <v>17</v>
      </c>
      <c r="T114" s="122">
        <f t="shared" si="11"/>
        <v>4</v>
      </c>
      <c r="U114" s="122">
        <f>YEAR(Inputs!$I$8)</f>
        <v>2015</v>
      </c>
      <c r="V114" s="108">
        <f t="shared" si="12"/>
        <v>42111</v>
      </c>
      <c r="W114" s="69">
        <v>42111</v>
      </c>
      <c r="X114" s="116">
        <v>12.7</v>
      </c>
      <c r="Y114" s="116">
        <v>19.5</v>
      </c>
      <c r="Z114" s="116">
        <v>5</v>
      </c>
      <c r="AA114" s="116">
        <v>78</v>
      </c>
      <c r="AB114" s="116">
        <v>99.7</v>
      </c>
      <c r="AC114" s="116">
        <v>46.9</v>
      </c>
      <c r="AD114" s="116">
        <v>21.17</v>
      </c>
      <c r="AE114" s="116">
        <v>1.2</v>
      </c>
      <c r="AF114" s="116">
        <v>5.3</v>
      </c>
      <c r="AG114" s="116">
        <v>10.9</v>
      </c>
      <c r="AH114" s="116">
        <v>0</v>
      </c>
      <c r="AI114" s="116">
        <v>3.2</v>
      </c>
    </row>
    <row r="115" spans="1:35" s="71" customFormat="1">
      <c r="A115" s="210">
        <f t="shared" si="7"/>
        <v>18</v>
      </c>
      <c r="B115" s="210">
        <f t="shared" si="8"/>
        <v>4</v>
      </c>
      <c r="C115" s="210">
        <f t="shared" si="13"/>
        <v>2015</v>
      </c>
      <c r="D115" s="106">
        <f t="shared" si="9"/>
        <v>42112</v>
      </c>
      <c r="E115" s="230">
        <v>42112</v>
      </c>
      <c r="F115" s="229">
        <v>12.4</v>
      </c>
      <c r="G115" s="229">
        <v>17.5</v>
      </c>
      <c r="H115" s="229">
        <v>7.7</v>
      </c>
      <c r="I115" s="229">
        <v>78</v>
      </c>
      <c r="J115" s="229">
        <v>98.2</v>
      </c>
      <c r="K115" s="229">
        <v>48.4</v>
      </c>
      <c r="L115" s="229">
        <v>15.14</v>
      </c>
      <c r="M115" s="229">
        <v>2.2000000000000002</v>
      </c>
      <c r="N115" s="229">
        <v>7.1</v>
      </c>
      <c r="O115" s="229">
        <v>10.199999999999999</v>
      </c>
      <c r="P115" s="229">
        <v>1.2</v>
      </c>
      <c r="Q115" s="229">
        <v>2.8</v>
      </c>
      <c r="S115" s="122">
        <f t="shared" si="10"/>
        <v>18</v>
      </c>
      <c r="T115" s="122">
        <f t="shared" si="11"/>
        <v>4</v>
      </c>
      <c r="U115" s="122">
        <f>YEAR(Inputs!$I$8)</f>
        <v>2015</v>
      </c>
      <c r="V115" s="108">
        <f t="shared" si="12"/>
        <v>42112</v>
      </c>
      <c r="W115" s="69">
        <v>42112</v>
      </c>
      <c r="X115" s="116">
        <v>14.4</v>
      </c>
      <c r="Y115" s="116">
        <v>21.9</v>
      </c>
      <c r="Z115" s="116">
        <v>6.8</v>
      </c>
      <c r="AA115" s="116">
        <v>67.900000000000006</v>
      </c>
      <c r="AB115" s="116">
        <v>91.5</v>
      </c>
      <c r="AC115" s="116">
        <v>38.799999999999997</v>
      </c>
      <c r="AD115" s="116">
        <v>22.41</v>
      </c>
      <c r="AE115" s="116">
        <v>2.4</v>
      </c>
      <c r="AF115" s="116">
        <v>6.4</v>
      </c>
      <c r="AG115" s="116">
        <v>11.8</v>
      </c>
      <c r="AH115" s="116">
        <v>0</v>
      </c>
      <c r="AI115" s="116">
        <v>4.2</v>
      </c>
    </row>
    <row r="116" spans="1:35" s="71" customFormat="1">
      <c r="A116" s="210">
        <f t="shared" si="7"/>
        <v>19</v>
      </c>
      <c r="B116" s="210">
        <f t="shared" si="8"/>
        <v>4</v>
      </c>
      <c r="C116" s="210">
        <f t="shared" si="13"/>
        <v>2015</v>
      </c>
      <c r="D116" s="106">
        <f t="shared" si="9"/>
        <v>42113</v>
      </c>
      <c r="E116" s="230">
        <v>42113</v>
      </c>
      <c r="F116" s="229">
        <v>13.2</v>
      </c>
      <c r="G116" s="229">
        <v>21.7</v>
      </c>
      <c r="H116" s="229">
        <v>4.5999999999999996</v>
      </c>
      <c r="I116" s="229">
        <v>73.2</v>
      </c>
      <c r="J116" s="229">
        <v>98</v>
      </c>
      <c r="K116" s="229">
        <v>41.8</v>
      </c>
      <c r="L116" s="229">
        <v>23.17</v>
      </c>
      <c r="M116" s="229">
        <v>2.7</v>
      </c>
      <c r="N116" s="229">
        <v>7.5</v>
      </c>
      <c r="O116" s="229">
        <v>11.3</v>
      </c>
      <c r="P116" s="229">
        <v>0</v>
      </c>
      <c r="Q116" s="229">
        <v>4.2</v>
      </c>
      <c r="S116" s="122">
        <f t="shared" si="10"/>
        <v>19</v>
      </c>
      <c r="T116" s="122">
        <f t="shared" si="11"/>
        <v>4</v>
      </c>
      <c r="U116" s="122">
        <f>YEAR(Inputs!$I$8)</f>
        <v>2015</v>
      </c>
      <c r="V116" s="108">
        <f t="shared" si="12"/>
        <v>42113</v>
      </c>
      <c r="W116" s="69">
        <v>42113</v>
      </c>
      <c r="X116" s="116">
        <v>10.1</v>
      </c>
      <c r="Y116" s="116">
        <v>18.100000000000001</v>
      </c>
      <c r="Z116" s="116">
        <v>2.9</v>
      </c>
      <c r="AA116" s="116">
        <v>70.099999999999994</v>
      </c>
      <c r="AB116" s="116">
        <v>96.2</v>
      </c>
      <c r="AC116" s="116">
        <v>34.200000000000003</v>
      </c>
      <c r="AD116" s="116">
        <v>24.05</v>
      </c>
      <c r="AE116" s="116">
        <v>2.2999999999999998</v>
      </c>
      <c r="AF116" s="116">
        <v>4.3</v>
      </c>
      <c r="AG116" s="116">
        <v>11.9</v>
      </c>
      <c r="AH116" s="116">
        <v>0</v>
      </c>
      <c r="AI116" s="116">
        <v>3.8</v>
      </c>
    </row>
    <row r="117" spans="1:35" s="71" customFormat="1">
      <c r="A117" s="210">
        <f t="shared" si="7"/>
        <v>20</v>
      </c>
      <c r="B117" s="210">
        <f t="shared" si="8"/>
        <v>4</v>
      </c>
      <c r="C117" s="210">
        <f t="shared" si="13"/>
        <v>2015</v>
      </c>
      <c r="D117" s="106">
        <f t="shared" si="9"/>
        <v>42114</v>
      </c>
      <c r="E117" s="230">
        <v>42114</v>
      </c>
      <c r="F117" s="229">
        <v>11.2</v>
      </c>
      <c r="G117" s="229">
        <v>15.6</v>
      </c>
      <c r="H117" s="229">
        <v>7</v>
      </c>
      <c r="I117" s="229">
        <v>81.400000000000006</v>
      </c>
      <c r="J117" s="229">
        <v>95.5</v>
      </c>
      <c r="K117" s="229">
        <v>64.2</v>
      </c>
      <c r="L117" s="229">
        <v>13.93</v>
      </c>
      <c r="M117" s="229">
        <v>4.3</v>
      </c>
      <c r="N117" s="229">
        <v>9.9</v>
      </c>
      <c r="O117" s="229">
        <v>9.4</v>
      </c>
      <c r="P117" s="229">
        <v>0</v>
      </c>
      <c r="Q117" s="229">
        <v>2.5</v>
      </c>
      <c r="S117" s="122">
        <f t="shared" si="10"/>
        <v>20</v>
      </c>
      <c r="T117" s="122">
        <f t="shared" si="11"/>
        <v>4</v>
      </c>
      <c r="U117" s="122">
        <f>YEAR(Inputs!$I$8)</f>
        <v>2015</v>
      </c>
      <c r="V117" s="108">
        <f t="shared" si="12"/>
        <v>42114</v>
      </c>
      <c r="W117" s="69">
        <v>42114</v>
      </c>
      <c r="X117" s="116">
        <v>12.1</v>
      </c>
      <c r="Y117" s="116">
        <v>21.1</v>
      </c>
      <c r="Z117" s="116">
        <v>2.1</v>
      </c>
      <c r="AA117" s="116">
        <v>66.2</v>
      </c>
      <c r="AB117" s="116">
        <v>94.2</v>
      </c>
      <c r="AC117" s="116">
        <v>32.1</v>
      </c>
      <c r="AD117" s="116">
        <v>26.34</v>
      </c>
      <c r="AE117" s="116">
        <v>1.9</v>
      </c>
      <c r="AF117" s="116">
        <v>6.3</v>
      </c>
      <c r="AG117" s="116">
        <v>12</v>
      </c>
      <c r="AH117" s="116">
        <v>0</v>
      </c>
      <c r="AI117" s="116">
        <v>4.3</v>
      </c>
    </row>
    <row r="118" spans="1:35" s="71" customFormat="1">
      <c r="A118" s="210">
        <f t="shared" si="7"/>
        <v>21</v>
      </c>
      <c r="B118" s="210">
        <f t="shared" si="8"/>
        <v>4</v>
      </c>
      <c r="C118" s="210">
        <f t="shared" si="13"/>
        <v>2015</v>
      </c>
      <c r="D118" s="106">
        <f t="shared" si="9"/>
        <v>42115</v>
      </c>
      <c r="E118" s="230">
        <v>42115</v>
      </c>
      <c r="F118" s="229">
        <v>9.1999999999999993</v>
      </c>
      <c r="G118" s="229">
        <v>12.1</v>
      </c>
      <c r="H118" s="229">
        <v>6.1</v>
      </c>
      <c r="I118" s="229">
        <v>86.4</v>
      </c>
      <c r="J118" s="229">
        <v>95.1</v>
      </c>
      <c r="K118" s="229">
        <v>67.599999999999994</v>
      </c>
      <c r="L118" s="229">
        <v>6.87</v>
      </c>
      <c r="M118" s="229">
        <v>1.6</v>
      </c>
      <c r="N118" s="229">
        <v>6.4</v>
      </c>
      <c r="O118" s="229">
        <v>8.6999999999999993</v>
      </c>
      <c r="P118" s="229">
        <v>5.9</v>
      </c>
      <c r="Q118" s="229">
        <v>1.4</v>
      </c>
      <c r="S118" s="122">
        <f t="shared" si="10"/>
        <v>21</v>
      </c>
      <c r="T118" s="122">
        <f t="shared" si="11"/>
        <v>4</v>
      </c>
      <c r="U118" s="122">
        <f>YEAR(Inputs!$I$8)</f>
        <v>2015</v>
      </c>
      <c r="V118" s="108">
        <f t="shared" si="12"/>
        <v>42115</v>
      </c>
      <c r="W118" s="69">
        <v>42115</v>
      </c>
      <c r="X118" s="116">
        <v>12.5</v>
      </c>
      <c r="Y118" s="116">
        <v>19.5</v>
      </c>
      <c r="Z118" s="116">
        <v>6.4</v>
      </c>
      <c r="AA118" s="116">
        <v>72.5</v>
      </c>
      <c r="AB118" s="116">
        <v>99.1</v>
      </c>
      <c r="AC118" s="116">
        <v>44.2</v>
      </c>
      <c r="AD118" s="116">
        <v>22.65</v>
      </c>
      <c r="AE118" s="116">
        <v>4.5</v>
      </c>
      <c r="AF118" s="116">
        <v>10.3</v>
      </c>
      <c r="AG118" s="116">
        <v>11.1</v>
      </c>
      <c r="AH118" s="116">
        <v>0.2</v>
      </c>
      <c r="AI118" s="116">
        <v>4.0999999999999996</v>
      </c>
    </row>
    <row r="119" spans="1:35" s="71" customFormat="1">
      <c r="A119" s="210">
        <f t="shared" si="7"/>
        <v>22</v>
      </c>
      <c r="B119" s="210">
        <f t="shared" si="8"/>
        <v>4</v>
      </c>
      <c r="C119" s="210">
        <f t="shared" si="13"/>
        <v>2015</v>
      </c>
      <c r="D119" s="106">
        <f t="shared" si="9"/>
        <v>42116</v>
      </c>
      <c r="E119" s="230">
        <v>42116</v>
      </c>
      <c r="F119" s="229">
        <v>11</v>
      </c>
      <c r="G119" s="229">
        <v>17</v>
      </c>
      <c r="H119" s="229">
        <v>4.4000000000000004</v>
      </c>
      <c r="I119" s="229">
        <v>77.3</v>
      </c>
      <c r="J119" s="229">
        <v>97.7</v>
      </c>
      <c r="K119" s="229">
        <v>44.8</v>
      </c>
      <c r="L119" s="229">
        <v>23.32</v>
      </c>
      <c r="M119" s="229">
        <v>2.2000000000000002</v>
      </c>
      <c r="N119" s="229">
        <v>7.5</v>
      </c>
      <c r="O119" s="229">
        <v>11.4</v>
      </c>
      <c r="P119" s="229">
        <v>0</v>
      </c>
      <c r="Q119" s="229">
        <v>3.5</v>
      </c>
      <c r="S119" s="122">
        <f t="shared" si="10"/>
        <v>22</v>
      </c>
      <c r="T119" s="122">
        <f t="shared" si="11"/>
        <v>4</v>
      </c>
      <c r="U119" s="122">
        <f>YEAR(Inputs!$I$8)</f>
        <v>2015</v>
      </c>
      <c r="V119" s="108">
        <f t="shared" si="12"/>
        <v>42116</v>
      </c>
      <c r="W119" s="69">
        <v>42116</v>
      </c>
      <c r="X119" s="116">
        <v>14</v>
      </c>
      <c r="Y119" s="116">
        <v>22.5</v>
      </c>
      <c r="Z119" s="116">
        <v>8.5</v>
      </c>
      <c r="AA119" s="116">
        <v>71.599999999999994</v>
      </c>
      <c r="AB119" s="116">
        <v>95.1</v>
      </c>
      <c r="AC119" s="116">
        <v>41.8</v>
      </c>
      <c r="AD119" s="116">
        <v>25.07</v>
      </c>
      <c r="AE119" s="116">
        <v>2.1</v>
      </c>
      <c r="AF119" s="116">
        <v>6.5</v>
      </c>
      <c r="AG119" s="116">
        <v>10.9</v>
      </c>
      <c r="AH119" s="116">
        <v>2.2000000000000002</v>
      </c>
      <c r="AI119" s="116">
        <v>4.3</v>
      </c>
    </row>
    <row r="120" spans="1:35" s="71" customFormat="1">
      <c r="A120" s="210">
        <f t="shared" si="7"/>
        <v>23</v>
      </c>
      <c r="B120" s="210">
        <f t="shared" si="8"/>
        <v>4</v>
      </c>
      <c r="C120" s="210">
        <f t="shared" si="13"/>
        <v>2015</v>
      </c>
      <c r="D120" s="106">
        <f t="shared" si="9"/>
        <v>42117</v>
      </c>
      <c r="E120" s="230">
        <v>42117</v>
      </c>
      <c r="F120" s="229">
        <v>11.3</v>
      </c>
      <c r="G120" s="229">
        <v>16</v>
      </c>
      <c r="H120" s="229">
        <v>5.4</v>
      </c>
      <c r="I120" s="229">
        <v>82.7</v>
      </c>
      <c r="J120" s="229">
        <v>97.7</v>
      </c>
      <c r="K120" s="229">
        <v>58.6</v>
      </c>
      <c r="L120" s="229">
        <v>13.37</v>
      </c>
      <c r="M120" s="229">
        <v>1.5</v>
      </c>
      <c r="N120" s="229">
        <v>4.8</v>
      </c>
      <c r="O120" s="229">
        <v>10</v>
      </c>
      <c r="P120" s="229">
        <v>0.4</v>
      </c>
      <c r="Q120" s="229">
        <v>2.2999999999999998</v>
      </c>
      <c r="S120" s="122">
        <f t="shared" si="10"/>
        <v>23</v>
      </c>
      <c r="T120" s="122">
        <f t="shared" si="11"/>
        <v>4</v>
      </c>
      <c r="U120" s="122">
        <f>YEAR(Inputs!$I$8)</f>
        <v>2015</v>
      </c>
      <c r="V120" s="108">
        <f t="shared" si="12"/>
        <v>42117</v>
      </c>
      <c r="W120" s="69">
        <v>42117</v>
      </c>
      <c r="X120" s="116">
        <v>14.3</v>
      </c>
      <c r="Y120" s="116">
        <v>23.5</v>
      </c>
      <c r="Z120" s="116">
        <v>5.0999999999999996</v>
      </c>
      <c r="AA120" s="116">
        <v>63.6</v>
      </c>
      <c r="AB120" s="116">
        <v>94.6</v>
      </c>
      <c r="AC120" s="116">
        <v>28.5</v>
      </c>
      <c r="AD120" s="116">
        <v>25.02</v>
      </c>
      <c r="AE120" s="116">
        <v>1</v>
      </c>
      <c r="AF120" s="116">
        <v>4.9000000000000004</v>
      </c>
      <c r="AG120" s="116">
        <v>11.9</v>
      </c>
      <c r="AH120" s="116">
        <v>0</v>
      </c>
      <c r="AI120" s="116">
        <v>4.0999999999999996</v>
      </c>
    </row>
    <row r="121" spans="1:35" s="71" customFormat="1">
      <c r="A121" s="210">
        <f t="shared" si="7"/>
        <v>24</v>
      </c>
      <c r="B121" s="210">
        <f t="shared" si="8"/>
        <v>4</v>
      </c>
      <c r="C121" s="210">
        <f t="shared" si="13"/>
        <v>2015</v>
      </c>
      <c r="D121" s="106">
        <f t="shared" si="9"/>
        <v>42118</v>
      </c>
      <c r="E121" s="230">
        <v>42118</v>
      </c>
      <c r="F121" s="229">
        <v>11.4</v>
      </c>
      <c r="G121" s="229">
        <v>19.8</v>
      </c>
      <c r="H121" s="229">
        <v>3.2</v>
      </c>
      <c r="I121" s="229">
        <v>81.7</v>
      </c>
      <c r="J121" s="229">
        <v>100</v>
      </c>
      <c r="K121" s="229">
        <v>46</v>
      </c>
      <c r="L121" s="229">
        <v>21.48</v>
      </c>
      <c r="M121" s="229">
        <v>2.2999999999999998</v>
      </c>
      <c r="N121" s="229">
        <v>8.3000000000000007</v>
      </c>
      <c r="O121" s="229">
        <v>10</v>
      </c>
      <c r="P121" s="229">
        <v>2.7</v>
      </c>
      <c r="Q121" s="229">
        <v>3.6</v>
      </c>
      <c r="S121" s="122">
        <f t="shared" si="10"/>
        <v>24</v>
      </c>
      <c r="T121" s="122">
        <f t="shared" si="11"/>
        <v>4</v>
      </c>
      <c r="U121" s="122">
        <f>YEAR(Inputs!$I$8)</f>
        <v>2015</v>
      </c>
      <c r="V121" s="108">
        <f t="shared" si="12"/>
        <v>42118</v>
      </c>
      <c r="W121" s="69">
        <v>42118</v>
      </c>
      <c r="X121" s="116">
        <v>15.8</v>
      </c>
      <c r="Y121" s="116">
        <v>25.2</v>
      </c>
      <c r="Z121" s="116">
        <v>4.9000000000000004</v>
      </c>
      <c r="AA121" s="116">
        <v>58.5</v>
      </c>
      <c r="AB121" s="116">
        <v>94.1</v>
      </c>
      <c r="AC121" s="116">
        <v>25.2</v>
      </c>
      <c r="AD121" s="116">
        <v>22.34</v>
      </c>
      <c r="AE121" s="116">
        <v>1.3</v>
      </c>
      <c r="AF121" s="116">
        <v>5.5</v>
      </c>
      <c r="AG121" s="116">
        <v>11.3</v>
      </c>
      <c r="AH121" s="116">
        <v>0</v>
      </c>
      <c r="AI121" s="116">
        <v>4.2</v>
      </c>
    </row>
    <row r="122" spans="1:35" s="71" customFormat="1">
      <c r="A122" s="210">
        <f t="shared" si="7"/>
        <v>25</v>
      </c>
      <c r="B122" s="210">
        <f t="shared" si="8"/>
        <v>4</v>
      </c>
      <c r="C122" s="210">
        <f t="shared" si="13"/>
        <v>2015</v>
      </c>
      <c r="D122" s="106">
        <f t="shared" si="9"/>
        <v>42119</v>
      </c>
      <c r="E122" s="230">
        <v>42119</v>
      </c>
      <c r="F122" s="229">
        <v>11</v>
      </c>
      <c r="G122" s="229">
        <v>18.8</v>
      </c>
      <c r="H122" s="229">
        <v>4.5999999999999996</v>
      </c>
      <c r="I122" s="229">
        <v>72.5</v>
      </c>
      <c r="J122" s="229">
        <v>97.9</v>
      </c>
      <c r="K122" s="229">
        <v>37.1</v>
      </c>
      <c r="L122" s="229">
        <v>26.67</v>
      </c>
      <c r="M122" s="229">
        <v>3</v>
      </c>
      <c r="N122" s="229">
        <v>9.1</v>
      </c>
      <c r="O122" s="229">
        <v>12</v>
      </c>
      <c r="P122" s="229">
        <v>0.2</v>
      </c>
      <c r="Q122" s="229">
        <v>4.3</v>
      </c>
      <c r="S122" s="122">
        <f t="shared" si="10"/>
        <v>25</v>
      </c>
      <c r="T122" s="122">
        <f t="shared" si="11"/>
        <v>4</v>
      </c>
      <c r="U122" s="122">
        <f>YEAR(Inputs!$I$8)</f>
        <v>2015</v>
      </c>
      <c r="V122" s="108">
        <f t="shared" si="12"/>
        <v>42119</v>
      </c>
      <c r="W122" s="69">
        <v>42119</v>
      </c>
      <c r="X122" s="116">
        <v>14.2</v>
      </c>
      <c r="Y122" s="116">
        <v>19.600000000000001</v>
      </c>
      <c r="Z122" s="116">
        <v>7.5</v>
      </c>
      <c r="AA122" s="116">
        <v>70.7</v>
      </c>
      <c r="AB122" s="116">
        <v>92.8</v>
      </c>
      <c r="AC122" s="116">
        <v>48.4</v>
      </c>
      <c r="AD122" s="116">
        <v>16.170000000000002</v>
      </c>
      <c r="AE122" s="116">
        <v>2.2000000000000002</v>
      </c>
      <c r="AF122" s="116">
        <v>6.9</v>
      </c>
      <c r="AG122" s="116">
        <v>10.6</v>
      </c>
      <c r="AH122" s="116">
        <v>0.2</v>
      </c>
      <c r="AI122" s="116">
        <v>3.2</v>
      </c>
    </row>
    <row r="123" spans="1:35" s="71" customFormat="1">
      <c r="A123" s="210">
        <f t="shared" si="7"/>
        <v>26</v>
      </c>
      <c r="B123" s="210">
        <f t="shared" si="8"/>
        <v>4</v>
      </c>
      <c r="C123" s="210">
        <f t="shared" si="13"/>
        <v>2015</v>
      </c>
      <c r="D123" s="106">
        <f t="shared" si="9"/>
        <v>42120</v>
      </c>
      <c r="E123" s="230">
        <v>42120</v>
      </c>
      <c r="F123" s="229">
        <v>11</v>
      </c>
      <c r="G123" s="229">
        <v>21.6</v>
      </c>
      <c r="H123" s="229">
        <v>0.5</v>
      </c>
      <c r="I123" s="229">
        <v>61.4</v>
      </c>
      <c r="J123" s="229">
        <v>96.6</v>
      </c>
      <c r="K123" s="229">
        <v>19.100000000000001</v>
      </c>
      <c r="L123" s="229">
        <v>27.64</v>
      </c>
      <c r="M123" s="229">
        <v>1</v>
      </c>
      <c r="N123" s="229">
        <v>4</v>
      </c>
      <c r="O123" s="229">
        <v>12.2</v>
      </c>
      <c r="P123" s="229">
        <v>0</v>
      </c>
      <c r="Q123" s="229">
        <v>4.0999999999999996</v>
      </c>
      <c r="S123" s="122">
        <f t="shared" ref="S123:S137" si="14">DAY(W123)</f>
        <v>26</v>
      </c>
      <c r="T123" s="122">
        <f t="shared" ref="T123:T137" si="15">MONTH(W123)</f>
        <v>4</v>
      </c>
      <c r="U123" s="122">
        <f>YEAR(Inputs!$I$8)</f>
        <v>2015</v>
      </c>
      <c r="V123" s="108">
        <f t="shared" si="12"/>
        <v>42120</v>
      </c>
      <c r="W123" s="69">
        <v>42120</v>
      </c>
      <c r="X123" s="116">
        <v>11.9</v>
      </c>
      <c r="Y123" s="116">
        <v>19</v>
      </c>
      <c r="Z123" s="116">
        <v>5.6</v>
      </c>
      <c r="AA123" s="116">
        <v>82.3</v>
      </c>
      <c r="AB123" s="116">
        <v>98.1</v>
      </c>
      <c r="AC123" s="116">
        <v>50.5</v>
      </c>
      <c r="AD123" s="116">
        <v>12.86</v>
      </c>
      <c r="AE123" s="116">
        <v>2.2999999999999998</v>
      </c>
      <c r="AF123" s="116">
        <v>13.6</v>
      </c>
      <c r="AG123" s="116">
        <v>9.9</v>
      </c>
      <c r="AH123" s="116">
        <v>2.5</v>
      </c>
      <c r="AI123" s="116">
        <v>2.7</v>
      </c>
    </row>
    <row r="124" spans="1:35" s="71" customFormat="1">
      <c r="A124" s="210">
        <f t="shared" si="7"/>
        <v>27</v>
      </c>
      <c r="B124" s="210">
        <f t="shared" si="8"/>
        <v>4</v>
      </c>
      <c r="C124" s="210">
        <f t="shared" si="13"/>
        <v>2015</v>
      </c>
      <c r="D124" s="106">
        <f t="shared" si="9"/>
        <v>42121</v>
      </c>
      <c r="E124" s="230">
        <v>42121</v>
      </c>
      <c r="F124" s="229">
        <v>12.8</v>
      </c>
      <c r="G124" s="229">
        <v>22.7</v>
      </c>
      <c r="H124" s="229">
        <v>2.2000000000000002</v>
      </c>
      <c r="I124" s="229">
        <v>63.4</v>
      </c>
      <c r="J124" s="229">
        <v>100</v>
      </c>
      <c r="K124" s="229">
        <v>26.6</v>
      </c>
      <c r="L124" s="229">
        <v>26.66</v>
      </c>
      <c r="M124" s="229">
        <v>1.6</v>
      </c>
      <c r="N124" s="229">
        <v>7.6</v>
      </c>
      <c r="O124" s="229">
        <v>12.2</v>
      </c>
      <c r="P124" s="229">
        <v>0.2</v>
      </c>
      <c r="Q124" s="229">
        <v>4.5</v>
      </c>
      <c r="S124" s="122">
        <f t="shared" si="14"/>
        <v>27</v>
      </c>
      <c r="T124" s="122">
        <f t="shared" si="15"/>
        <v>4</v>
      </c>
      <c r="U124" s="122">
        <f>YEAR(Inputs!$I$8)</f>
        <v>2015</v>
      </c>
      <c r="V124" s="108">
        <f t="shared" si="12"/>
        <v>42121</v>
      </c>
      <c r="W124" s="69">
        <v>42121</v>
      </c>
      <c r="X124" s="116">
        <v>10.9</v>
      </c>
      <c r="Y124" s="116">
        <v>16</v>
      </c>
      <c r="Z124" s="116">
        <v>5</v>
      </c>
      <c r="AA124" s="116">
        <v>76.7</v>
      </c>
      <c r="AB124" s="116">
        <v>97.3</v>
      </c>
      <c r="AC124" s="116">
        <v>53.7</v>
      </c>
      <c r="AD124" s="116">
        <v>17.940000000000001</v>
      </c>
      <c r="AE124" s="116">
        <v>4.7</v>
      </c>
      <c r="AF124" s="116">
        <v>10.6</v>
      </c>
      <c r="AG124" s="116">
        <v>11.4</v>
      </c>
      <c r="AH124" s="116">
        <v>0</v>
      </c>
      <c r="AI124" s="116">
        <v>3.1</v>
      </c>
    </row>
    <row r="125" spans="1:35" s="71" customFormat="1">
      <c r="A125" s="210">
        <f t="shared" si="7"/>
        <v>28</v>
      </c>
      <c r="B125" s="210">
        <f t="shared" si="8"/>
        <v>4</v>
      </c>
      <c r="C125" s="210">
        <f t="shared" si="13"/>
        <v>2015</v>
      </c>
      <c r="D125" s="106">
        <f t="shared" si="9"/>
        <v>42122</v>
      </c>
      <c r="E125" s="230">
        <v>42122</v>
      </c>
      <c r="F125" s="229">
        <v>14.7</v>
      </c>
      <c r="G125" s="229">
        <v>22.9</v>
      </c>
      <c r="H125" s="229">
        <v>6.2</v>
      </c>
      <c r="I125" s="229">
        <v>66.3</v>
      </c>
      <c r="J125" s="229">
        <v>93.8</v>
      </c>
      <c r="K125" s="229">
        <v>36.9</v>
      </c>
      <c r="L125" s="229">
        <v>16.440000000000001</v>
      </c>
      <c r="M125" s="229">
        <v>1.6</v>
      </c>
      <c r="N125" s="229">
        <v>5.9</v>
      </c>
      <c r="O125" s="229">
        <v>10.199999999999999</v>
      </c>
      <c r="P125" s="229">
        <v>0</v>
      </c>
      <c r="Q125" s="229">
        <v>3.5</v>
      </c>
      <c r="S125" s="122">
        <f t="shared" si="14"/>
        <v>28</v>
      </c>
      <c r="T125" s="122">
        <f t="shared" si="15"/>
        <v>4</v>
      </c>
      <c r="U125" s="122">
        <f>YEAR(Inputs!$I$8)</f>
        <v>2015</v>
      </c>
      <c r="V125" s="108">
        <f t="shared" si="12"/>
        <v>42122</v>
      </c>
      <c r="W125" s="69">
        <v>42122</v>
      </c>
      <c r="X125" s="116">
        <v>12.5</v>
      </c>
      <c r="Y125" s="116">
        <v>20.5</v>
      </c>
      <c r="Z125" s="116">
        <v>5</v>
      </c>
      <c r="AA125" s="116">
        <v>68.099999999999994</v>
      </c>
      <c r="AB125" s="116">
        <v>96.6</v>
      </c>
      <c r="AC125" s="116">
        <v>34</v>
      </c>
      <c r="AD125" s="116">
        <v>26.06</v>
      </c>
      <c r="AE125" s="116">
        <v>1.4</v>
      </c>
      <c r="AF125" s="116">
        <v>6.8</v>
      </c>
      <c r="AG125" s="116">
        <v>11.5</v>
      </c>
      <c r="AH125" s="116">
        <v>0</v>
      </c>
      <c r="AI125" s="116">
        <v>4.0999999999999996</v>
      </c>
    </row>
    <row r="126" spans="1:35" s="71" customFormat="1">
      <c r="A126" s="210">
        <f t="shared" si="7"/>
        <v>29</v>
      </c>
      <c r="B126" s="210">
        <f t="shared" si="8"/>
        <v>4</v>
      </c>
      <c r="C126" s="210">
        <f t="shared" si="13"/>
        <v>2015</v>
      </c>
      <c r="D126" s="106">
        <f t="shared" si="9"/>
        <v>42123</v>
      </c>
      <c r="E126" s="230">
        <v>42123</v>
      </c>
      <c r="F126" s="229">
        <v>13.1</v>
      </c>
      <c r="G126" s="229">
        <v>22.1</v>
      </c>
      <c r="H126" s="229">
        <v>7.6</v>
      </c>
      <c r="I126" s="229">
        <v>76.599999999999994</v>
      </c>
      <c r="J126" s="229">
        <v>98.7</v>
      </c>
      <c r="K126" s="229">
        <v>36.799999999999997</v>
      </c>
      <c r="L126" s="229">
        <v>19.309999999999999</v>
      </c>
      <c r="M126" s="229">
        <v>2.1</v>
      </c>
      <c r="N126" s="229">
        <v>8.6999999999999993</v>
      </c>
      <c r="O126" s="229">
        <v>10.7</v>
      </c>
      <c r="P126" s="229">
        <v>0.8</v>
      </c>
      <c r="Q126" s="229">
        <v>3.9</v>
      </c>
      <c r="S126" s="122">
        <f t="shared" si="14"/>
        <v>29</v>
      </c>
      <c r="T126" s="122">
        <f t="shared" si="15"/>
        <v>4</v>
      </c>
      <c r="U126" s="122">
        <f>YEAR(Inputs!$I$8)</f>
        <v>2015</v>
      </c>
      <c r="V126" s="108">
        <f t="shared" si="12"/>
        <v>42123</v>
      </c>
      <c r="W126" s="69">
        <v>42123</v>
      </c>
      <c r="X126" s="116">
        <v>14</v>
      </c>
      <c r="Y126" s="116">
        <v>22.3</v>
      </c>
      <c r="Z126" s="116">
        <v>6</v>
      </c>
      <c r="AA126" s="116">
        <v>61.9</v>
      </c>
      <c r="AB126" s="116">
        <v>95.1</v>
      </c>
      <c r="AC126" s="116">
        <v>24.4</v>
      </c>
      <c r="AD126" s="116">
        <v>25.84</v>
      </c>
      <c r="AE126" s="116">
        <v>2.2999999999999998</v>
      </c>
      <c r="AF126" s="116">
        <v>7.4</v>
      </c>
      <c r="AG126" s="116">
        <v>11.8</v>
      </c>
      <c r="AH126" s="116">
        <v>0</v>
      </c>
      <c r="AI126" s="116">
        <v>4.8</v>
      </c>
    </row>
    <row r="127" spans="1:35" s="71" customFormat="1">
      <c r="A127" s="210">
        <f t="shared" si="7"/>
        <v>30</v>
      </c>
      <c r="B127" s="210">
        <f t="shared" si="8"/>
        <v>4</v>
      </c>
      <c r="C127" s="210">
        <f t="shared" si="13"/>
        <v>2015</v>
      </c>
      <c r="D127" s="106">
        <f t="shared" si="9"/>
        <v>42124</v>
      </c>
      <c r="E127" s="230">
        <v>42124</v>
      </c>
      <c r="F127" s="229">
        <v>11.9</v>
      </c>
      <c r="G127" s="229">
        <v>17</v>
      </c>
      <c r="H127" s="229">
        <v>9.1999999999999993</v>
      </c>
      <c r="I127" s="229">
        <v>90.3</v>
      </c>
      <c r="J127" s="229">
        <v>99.6</v>
      </c>
      <c r="K127" s="229">
        <v>64.7</v>
      </c>
      <c r="L127" s="229">
        <v>9.31</v>
      </c>
      <c r="M127" s="229">
        <v>3</v>
      </c>
      <c r="N127" s="229">
        <v>7.1</v>
      </c>
      <c r="O127" s="229">
        <v>7.7</v>
      </c>
      <c r="P127" s="229">
        <v>7.6</v>
      </c>
      <c r="Q127" s="229">
        <v>2.1</v>
      </c>
      <c r="S127" s="122">
        <f t="shared" si="14"/>
        <v>30</v>
      </c>
      <c r="T127" s="122">
        <f t="shared" si="15"/>
        <v>4</v>
      </c>
      <c r="U127" s="122">
        <f>YEAR(Inputs!$I$8)</f>
        <v>2015</v>
      </c>
      <c r="V127" s="108">
        <f t="shared" si="12"/>
        <v>42124</v>
      </c>
      <c r="W127" s="69">
        <v>42124</v>
      </c>
      <c r="X127" s="116">
        <v>14.4</v>
      </c>
      <c r="Y127" s="116">
        <v>23.7</v>
      </c>
      <c r="Z127" s="116">
        <v>4.7</v>
      </c>
      <c r="AA127" s="116">
        <v>64</v>
      </c>
      <c r="AB127" s="116">
        <v>94.5</v>
      </c>
      <c r="AC127" s="116">
        <v>28.3</v>
      </c>
      <c r="AD127" s="116">
        <v>26.8</v>
      </c>
      <c r="AE127" s="116">
        <v>1.4</v>
      </c>
      <c r="AF127" s="116">
        <v>6.7</v>
      </c>
      <c r="AG127" s="116">
        <v>12.1</v>
      </c>
      <c r="AH127" s="116">
        <v>0</v>
      </c>
      <c r="AI127" s="116">
        <v>4.5999999999999996</v>
      </c>
    </row>
    <row r="128" spans="1:35" s="71" customFormat="1">
      <c r="A128" s="210">
        <f t="shared" si="7"/>
        <v>1</v>
      </c>
      <c r="B128" s="210">
        <f t="shared" si="8"/>
        <v>5</v>
      </c>
      <c r="C128" s="210">
        <f t="shared" si="13"/>
        <v>2015</v>
      </c>
      <c r="D128" s="106">
        <f t="shared" si="9"/>
        <v>42125</v>
      </c>
      <c r="E128" s="230">
        <v>42125</v>
      </c>
      <c r="F128" s="229">
        <v>13.4</v>
      </c>
      <c r="G128" s="229">
        <v>20</v>
      </c>
      <c r="H128" s="229">
        <v>7</v>
      </c>
      <c r="I128" s="229">
        <v>74.3</v>
      </c>
      <c r="J128" s="229">
        <v>100</v>
      </c>
      <c r="K128" s="229">
        <v>32.299999999999997</v>
      </c>
      <c r="L128" s="229">
        <v>22.31</v>
      </c>
      <c r="M128" s="229">
        <v>2.2999999999999998</v>
      </c>
      <c r="N128" s="229">
        <v>7.3</v>
      </c>
      <c r="O128" s="229">
        <v>11.6</v>
      </c>
      <c r="P128" s="229">
        <v>0.6</v>
      </c>
      <c r="Q128" s="229">
        <v>4.0999999999999996</v>
      </c>
      <c r="S128" s="122">
        <f t="shared" si="14"/>
        <v>1</v>
      </c>
      <c r="T128" s="122">
        <f t="shared" si="15"/>
        <v>5</v>
      </c>
      <c r="U128" s="122">
        <f>YEAR(Inputs!$I$8)</f>
        <v>2015</v>
      </c>
      <c r="V128" s="108">
        <f t="shared" si="12"/>
        <v>42125</v>
      </c>
      <c r="W128" s="69">
        <v>42125</v>
      </c>
      <c r="X128" s="116">
        <v>16.899999999999999</v>
      </c>
      <c r="Y128" s="116">
        <v>25.9</v>
      </c>
      <c r="Z128" s="116">
        <v>7.7</v>
      </c>
      <c r="AA128" s="116">
        <v>59.3</v>
      </c>
      <c r="AB128" s="116">
        <v>93</v>
      </c>
      <c r="AC128" s="116">
        <v>22.8</v>
      </c>
      <c r="AD128" s="116">
        <v>23.97</v>
      </c>
      <c r="AE128" s="116">
        <v>2.5</v>
      </c>
      <c r="AF128" s="116">
        <v>8.1</v>
      </c>
      <c r="AG128" s="116">
        <v>12.1</v>
      </c>
      <c r="AH128" s="116">
        <v>0</v>
      </c>
      <c r="AI128" s="116">
        <v>5.4</v>
      </c>
    </row>
    <row r="129" spans="1:35" s="71" customFormat="1">
      <c r="A129" s="210">
        <f t="shared" si="7"/>
        <v>2</v>
      </c>
      <c r="B129" s="210">
        <f t="shared" si="8"/>
        <v>5</v>
      </c>
      <c r="C129" s="210">
        <f t="shared" si="13"/>
        <v>2015</v>
      </c>
      <c r="D129" s="106">
        <f t="shared" si="9"/>
        <v>42126</v>
      </c>
      <c r="E129" s="230">
        <v>42126</v>
      </c>
      <c r="F129" s="229">
        <v>9.1999999999999993</v>
      </c>
      <c r="G129" s="229">
        <v>18.600000000000001</v>
      </c>
      <c r="H129" s="229">
        <v>0.2</v>
      </c>
      <c r="I129" s="229">
        <v>59</v>
      </c>
      <c r="J129" s="229">
        <v>95.8</v>
      </c>
      <c r="K129" s="229">
        <v>25</v>
      </c>
      <c r="L129" s="229">
        <v>28.1</v>
      </c>
      <c r="M129" s="229">
        <v>1.7</v>
      </c>
      <c r="N129" s="229">
        <v>7.5</v>
      </c>
      <c r="O129" s="229">
        <v>12.4</v>
      </c>
      <c r="P129" s="229">
        <v>0</v>
      </c>
      <c r="Q129" s="229">
        <v>4.2</v>
      </c>
      <c r="S129" s="122">
        <f t="shared" si="14"/>
        <v>2</v>
      </c>
      <c r="T129" s="122">
        <f t="shared" si="15"/>
        <v>5</v>
      </c>
      <c r="U129" s="122">
        <f>YEAR(Inputs!$I$8)</f>
        <v>2015</v>
      </c>
      <c r="V129" s="108">
        <f t="shared" si="12"/>
        <v>42126</v>
      </c>
      <c r="W129" s="69">
        <v>42126</v>
      </c>
      <c r="X129" s="116">
        <v>19.7</v>
      </c>
      <c r="Y129" s="116">
        <v>30.5</v>
      </c>
      <c r="Z129" s="116">
        <v>9.5</v>
      </c>
      <c r="AA129" s="116">
        <v>56.5</v>
      </c>
      <c r="AB129" s="116">
        <v>91.3</v>
      </c>
      <c r="AC129" s="116">
        <v>26.1</v>
      </c>
      <c r="AD129" s="116">
        <v>26.54</v>
      </c>
      <c r="AE129" s="116">
        <v>1.2</v>
      </c>
      <c r="AF129" s="116">
        <v>5.3</v>
      </c>
      <c r="AG129" s="116">
        <v>12.1</v>
      </c>
      <c r="AH129" s="116">
        <v>0</v>
      </c>
      <c r="AI129" s="116">
        <v>5.2</v>
      </c>
    </row>
    <row r="130" spans="1:35" s="71" customFormat="1">
      <c r="A130" s="210">
        <f t="shared" si="7"/>
        <v>3</v>
      </c>
      <c r="B130" s="210">
        <f t="shared" si="8"/>
        <v>5</v>
      </c>
      <c r="C130" s="210">
        <f t="shared" si="13"/>
        <v>2015</v>
      </c>
      <c r="D130" s="106">
        <f t="shared" si="9"/>
        <v>42127</v>
      </c>
      <c r="E130" s="230">
        <v>42127</v>
      </c>
      <c r="F130" s="229">
        <v>10.199999999999999</v>
      </c>
      <c r="G130" s="229">
        <v>20.9</v>
      </c>
      <c r="H130" s="229">
        <v>-1.2</v>
      </c>
      <c r="I130" s="229">
        <v>54</v>
      </c>
      <c r="J130" s="229">
        <v>95.1</v>
      </c>
      <c r="K130" s="229">
        <v>13.2</v>
      </c>
      <c r="L130" s="229">
        <v>28.82</v>
      </c>
      <c r="M130" s="229">
        <v>1</v>
      </c>
      <c r="N130" s="229">
        <v>4.2</v>
      </c>
      <c r="O130" s="229">
        <v>12.4</v>
      </c>
      <c r="P130" s="229">
        <v>0</v>
      </c>
      <c r="Q130" s="229">
        <v>4.2</v>
      </c>
      <c r="S130" s="122">
        <f t="shared" si="14"/>
        <v>3</v>
      </c>
      <c r="T130" s="122">
        <f t="shared" si="15"/>
        <v>5</v>
      </c>
      <c r="U130" s="122">
        <f>YEAR(Inputs!$I$8)</f>
        <v>2015</v>
      </c>
      <c r="V130" s="108">
        <f t="shared" si="12"/>
        <v>42127</v>
      </c>
      <c r="W130" s="69">
        <v>42127</v>
      </c>
      <c r="X130" s="116">
        <v>19.8</v>
      </c>
      <c r="Y130" s="116">
        <v>28.6</v>
      </c>
      <c r="Z130" s="116">
        <v>10.5</v>
      </c>
      <c r="AA130" s="116">
        <v>54.6</v>
      </c>
      <c r="AB130" s="116">
        <v>81.599999999999994</v>
      </c>
      <c r="AC130" s="116">
        <v>26.8</v>
      </c>
      <c r="AD130" s="116">
        <v>20.61</v>
      </c>
      <c r="AE130" s="116">
        <v>1.1000000000000001</v>
      </c>
      <c r="AF130" s="116">
        <v>4.8</v>
      </c>
      <c r="AG130" s="116">
        <v>11</v>
      </c>
      <c r="AH130" s="116">
        <v>0</v>
      </c>
      <c r="AI130" s="116">
        <v>4.4000000000000004</v>
      </c>
    </row>
    <row r="131" spans="1:35" s="71" customFormat="1">
      <c r="A131" s="210">
        <f t="shared" si="7"/>
        <v>4</v>
      </c>
      <c r="B131" s="210">
        <f t="shared" si="8"/>
        <v>5</v>
      </c>
      <c r="C131" s="210">
        <f t="shared" si="13"/>
        <v>2015</v>
      </c>
      <c r="D131" s="106">
        <f t="shared" si="9"/>
        <v>42128</v>
      </c>
      <c r="E131" s="230">
        <v>42128</v>
      </c>
      <c r="F131" s="229">
        <v>14.5</v>
      </c>
      <c r="G131" s="229">
        <v>24.8</v>
      </c>
      <c r="H131" s="229">
        <v>2.5</v>
      </c>
      <c r="I131" s="229">
        <v>49.3</v>
      </c>
      <c r="J131" s="229">
        <v>91.6</v>
      </c>
      <c r="K131" s="229">
        <v>14.9</v>
      </c>
      <c r="L131" s="229">
        <v>28.87</v>
      </c>
      <c r="M131" s="229">
        <v>1.6</v>
      </c>
      <c r="N131" s="229">
        <v>5</v>
      </c>
      <c r="O131" s="229">
        <v>12.4</v>
      </c>
      <c r="P131" s="229">
        <v>0</v>
      </c>
      <c r="Q131" s="229">
        <v>5.2</v>
      </c>
      <c r="S131" s="122">
        <f t="shared" si="14"/>
        <v>4</v>
      </c>
      <c r="T131" s="122">
        <f t="shared" si="15"/>
        <v>5</v>
      </c>
      <c r="U131" s="122">
        <f>YEAR(Inputs!$I$8)</f>
        <v>2015</v>
      </c>
      <c r="V131" s="108">
        <f t="shared" si="12"/>
        <v>42128</v>
      </c>
      <c r="W131" s="69">
        <v>42128</v>
      </c>
      <c r="X131" s="116">
        <v>20.7</v>
      </c>
      <c r="Y131" s="116">
        <v>30.4</v>
      </c>
      <c r="Z131" s="116">
        <v>12.2</v>
      </c>
      <c r="AA131" s="116">
        <v>52.1</v>
      </c>
      <c r="AB131" s="116">
        <v>91.6</v>
      </c>
      <c r="AC131" s="116">
        <v>22.7</v>
      </c>
      <c r="AD131" s="116">
        <v>17.2</v>
      </c>
      <c r="AE131" s="116">
        <v>1.6</v>
      </c>
      <c r="AF131" s="116">
        <v>7.6</v>
      </c>
      <c r="AG131" s="116">
        <v>10.4</v>
      </c>
      <c r="AH131" s="116">
        <v>0</v>
      </c>
      <c r="AI131" s="116">
        <v>4.5999999999999996</v>
      </c>
    </row>
    <row r="132" spans="1:35" s="71" customFormat="1">
      <c r="A132" s="210">
        <f t="shared" si="7"/>
        <v>5</v>
      </c>
      <c r="B132" s="210">
        <f t="shared" si="8"/>
        <v>5</v>
      </c>
      <c r="C132" s="210">
        <f t="shared" si="13"/>
        <v>2015</v>
      </c>
      <c r="D132" s="106">
        <f t="shared" si="9"/>
        <v>42129</v>
      </c>
      <c r="E132" s="230">
        <v>42129</v>
      </c>
      <c r="F132" s="229">
        <v>14.5</v>
      </c>
      <c r="G132" s="229">
        <v>24.3</v>
      </c>
      <c r="H132" s="229">
        <v>3.9</v>
      </c>
      <c r="I132" s="229">
        <v>50.5</v>
      </c>
      <c r="J132" s="229">
        <v>86.8</v>
      </c>
      <c r="K132" s="229">
        <v>20.3</v>
      </c>
      <c r="L132" s="229">
        <v>26.08</v>
      </c>
      <c r="M132" s="229">
        <v>2.2000000000000002</v>
      </c>
      <c r="N132" s="229">
        <v>6.9</v>
      </c>
      <c r="O132" s="229">
        <v>12.5</v>
      </c>
      <c r="P132" s="229">
        <v>0</v>
      </c>
      <c r="Q132" s="229">
        <v>5.3</v>
      </c>
      <c r="S132" s="122">
        <f t="shared" si="14"/>
        <v>5</v>
      </c>
      <c r="T132" s="122">
        <f t="shared" si="15"/>
        <v>5</v>
      </c>
      <c r="U132" s="122">
        <f>YEAR(Inputs!$I$8)</f>
        <v>2015</v>
      </c>
      <c r="V132" s="108">
        <f t="shared" si="12"/>
        <v>42129</v>
      </c>
      <c r="W132" s="69">
        <v>42129</v>
      </c>
      <c r="X132" s="116">
        <v>16.100000000000001</v>
      </c>
      <c r="Y132" s="116">
        <v>22.8</v>
      </c>
      <c r="Z132" s="116">
        <v>8.9</v>
      </c>
      <c r="AA132" s="116">
        <v>65.5</v>
      </c>
      <c r="AB132" s="116">
        <v>83.3</v>
      </c>
      <c r="AC132" s="116">
        <v>37</v>
      </c>
      <c r="AD132" s="116">
        <v>18.559999999999999</v>
      </c>
      <c r="AE132" s="116">
        <v>2.5</v>
      </c>
      <c r="AF132" s="116">
        <v>8.1</v>
      </c>
      <c r="AG132" s="116">
        <v>11.1</v>
      </c>
      <c r="AH132" s="116">
        <v>0</v>
      </c>
      <c r="AI132" s="116">
        <v>4.2</v>
      </c>
    </row>
    <row r="133" spans="1:35" s="71" customFormat="1">
      <c r="A133" s="210">
        <f t="shared" si="7"/>
        <v>6</v>
      </c>
      <c r="B133" s="210">
        <f t="shared" si="8"/>
        <v>5</v>
      </c>
      <c r="C133" s="210">
        <f t="shared" si="13"/>
        <v>2015</v>
      </c>
      <c r="D133" s="106">
        <f t="shared" si="9"/>
        <v>42130</v>
      </c>
      <c r="E133" s="230">
        <v>42130</v>
      </c>
      <c r="F133" s="229">
        <v>11.9</v>
      </c>
      <c r="G133" s="229">
        <v>17.399999999999999</v>
      </c>
      <c r="H133" s="229">
        <v>8.6</v>
      </c>
      <c r="I133" s="229">
        <v>73.5</v>
      </c>
      <c r="J133" s="229">
        <v>95.6</v>
      </c>
      <c r="K133" s="229">
        <v>40.9</v>
      </c>
      <c r="L133" s="229">
        <v>9.27</v>
      </c>
      <c r="M133" s="229">
        <v>2.2000000000000002</v>
      </c>
      <c r="N133" s="229">
        <v>5.9</v>
      </c>
      <c r="O133" s="229">
        <v>9</v>
      </c>
      <c r="P133" s="229">
        <v>0.2</v>
      </c>
      <c r="Q133" s="229">
        <v>2.5</v>
      </c>
      <c r="S133" s="122">
        <f t="shared" si="14"/>
        <v>6</v>
      </c>
      <c r="T133" s="122">
        <f t="shared" si="15"/>
        <v>5</v>
      </c>
      <c r="U133" s="122">
        <f>YEAR(Inputs!$I$8)</f>
        <v>2015</v>
      </c>
      <c r="V133" s="108">
        <f t="shared" si="12"/>
        <v>42130</v>
      </c>
      <c r="W133" s="69">
        <v>42130</v>
      </c>
      <c r="X133" s="116">
        <v>14.7</v>
      </c>
      <c r="Y133" s="116">
        <v>23.8</v>
      </c>
      <c r="Z133" s="116">
        <v>5.7</v>
      </c>
      <c r="AA133" s="116">
        <v>53.9</v>
      </c>
      <c r="AB133" s="116">
        <v>90.3</v>
      </c>
      <c r="AC133" s="116">
        <v>23.1</v>
      </c>
      <c r="AD133" s="116">
        <v>28.87</v>
      </c>
      <c r="AE133" s="116">
        <v>1.7</v>
      </c>
      <c r="AF133" s="116">
        <v>5.6</v>
      </c>
      <c r="AG133" s="116">
        <v>12.4</v>
      </c>
      <c r="AH133" s="116">
        <v>0</v>
      </c>
      <c r="AI133" s="116">
        <v>5</v>
      </c>
    </row>
    <row r="134" spans="1:35" s="71" customFormat="1">
      <c r="A134" s="210">
        <f t="shared" si="7"/>
        <v>7</v>
      </c>
      <c r="B134" s="210">
        <f t="shared" si="8"/>
        <v>5</v>
      </c>
      <c r="C134" s="210">
        <f t="shared" si="13"/>
        <v>2015</v>
      </c>
      <c r="D134" s="106">
        <f t="shared" si="9"/>
        <v>42131</v>
      </c>
      <c r="E134" s="230">
        <v>42131</v>
      </c>
      <c r="F134" s="229">
        <v>11.9</v>
      </c>
      <c r="G134" s="229">
        <v>18.2</v>
      </c>
      <c r="H134" s="229">
        <v>7</v>
      </c>
      <c r="I134" s="229">
        <v>80.8</v>
      </c>
      <c r="J134" s="229">
        <v>99</v>
      </c>
      <c r="K134" s="229">
        <v>48.3</v>
      </c>
      <c r="L134" s="229">
        <v>10.91</v>
      </c>
      <c r="M134" s="229">
        <v>2</v>
      </c>
      <c r="N134" s="229">
        <v>6.4</v>
      </c>
      <c r="O134" s="229">
        <v>9.8000000000000007</v>
      </c>
      <c r="P134" s="229">
        <v>5.9</v>
      </c>
      <c r="Q134" s="229">
        <v>2.5</v>
      </c>
      <c r="S134" s="122">
        <f t="shared" si="14"/>
        <v>7</v>
      </c>
      <c r="T134" s="122">
        <f t="shared" si="15"/>
        <v>5</v>
      </c>
      <c r="U134" s="122">
        <f>YEAR(Inputs!$I$8)</f>
        <v>2015</v>
      </c>
      <c r="V134" s="108">
        <f t="shared" si="12"/>
        <v>42131</v>
      </c>
      <c r="W134" s="69">
        <v>42131</v>
      </c>
      <c r="X134" s="116">
        <v>18.100000000000001</v>
      </c>
      <c r="Y134" s="116">
        <v>27.8</v>
      </c>
      <c r="Z134" s="116">
        <v>7</v>
      </c>
      <c r="AA134" s="116">
        <v>54.1</v>
      </c>
      <c r="AB134" s="116">
        <v>90.6</v>
      </c>
      <c r="AC134" s="116">
        <v>22.1</v>
      </c>
      <c r="AD134" s="116">
        <v>28.73</v>
      </c>
      <c r="AE134" s="116">
        <v>2.5</v>
      </c>
      <c r="AF134" s="116">
        <v>8</v>
      </c>
      <c r="AG134" s="116">
        <v>12.3</v>
      </c>
      <c r="AH134" s="116">
        <v>0</v>
      </c>
      <c r="AI134" s="116">
        <v>6.2</v>
      </c>
    </row>
    <row r="135" spans="1:35" s="71" customFormat="1">
      <c r="A135" s="210">
        <f t="shared" si="7"/>
        <v>8</v>
      </c>
      <c r="B135" s="210">
        <f t="shared" si="8"/>
        <v>5</v>
      </c>
      <c r="C135" s="210">
        <f t="shared" si="13"/>
        <v>2015</v>
      </c>
      <c r="D135" s="106">
        <f t="shared" si="9"/>
        <v>42132</v>
      </c>
      <c r="E135" s="230">
        <v>42132</v>
      </c>
      <c r="F135" s="229">
        <v>12.6</v>
      </c>
      <c r="G135" s="229">
        <v>16.2</v>
      </c>
      <c r="H135" s="229">
        <v>9.6999999999999993</v>
      </c>
      <c r="I135" s="229">
        <v>93.7</v>
      </c>
      <c r="J135" s="229">
        <v>100</v>
      </c>
      <c r="K135" s="229">
        <v>75.900000000000006</v>
      </c>
      <c r="L135" s="229">
        <v>10.38</v>
      </c>
      <c r="M135" s="229">
        <v>1.3</v>
      </c>
      <c r="N135" s="229">
        <v>4.5999999999999996</v>
      </c>
      <c r="O135" s="229">
        <v>9.4</v>
      </c>
      <c r="P135" s="229">
        <v>12.5</v>
      </c>
      <c r="Q135" s="229">
        <v>1.8</v>
      </c>
      <c r="S135" s="122">
        <f t="shared" si="14"/>
        <v>8</v>
      </c>
      <c r="T135" s="122">
        <f t="shared" si="15"/>
        <v>5</v>
      </c>
      <c r="U135" s="122">
        <f>YEAR(Inputs!$I$8)</f>
        <v>2015</v>
      </c>
      <c r="V135" s="108">
        <f t="shared" si="12"/>
        <v>42132</v>
      </c>
      <c r="W135" s="69">
        <v>42132</v>
      </c>
      <c r="X135" s="116">
        <v>16.8</v>
      </c>
      <c r="Y135" s="116">
        <v>23.9</v>
      </c>
      <c r="Z135" s="116">
        <v>9.8000000000000007</v>
      </c>
      <c r="AA135" s="116">
        <v>60.9</v>
      </c>
      <c r="AB135" s="116">
        <v>87.6</v>
      </c>
      <c r="AC135" s="116">
        <v>36.799999999999997</v>
      </c>
      <c r="AD135" s="116">
        <v>29.15</v>
      </c>
      <c r="AE135" s="116">
        <v>3.1</v>
      </c>
      <c r="AF135" s="116">
        <v>8.5</v>
      </c>
      <c r="AG135" s="116">
        <v>12.5</v>
      </c>
      <c r="AH135" s="116">
        <v>0</v>
      </c>
      <c r="AI135" s="116">
        <v>5.6</v>
      </c>
    </row>
    <row r="136" spans="1:35" s="71" customFormat="1">
      <c r="A136" s="210">
        <f t="shared" ref="A136:A199" si="16">DAY(E136)</f>
        <v>9</v>
      </c>
      <c r="B136" s="210">
        <f t="shared" ref="B136:B199" si="17">MONTH(E136)</f>
        <v>5</v>
      </c>
      <c r="C136" s="210">
        <f t="shared" si="13"/>
        <v>2015</v>
      </c>
      <c r="D136" s="106">
        <f t="shared" si="9"/>
        <v>42133</v>
      </c>
      <c r="E136" s="230">
        <v>42133</v>
      </c>
      <c r="F136" s="229">
        <v>12.7</v>
      </c>
      <c r="G136" s="229">
        <v>17</v>
      </c>
      <c r="H136" s="229">
        <v>10.4</v>
      </c>
      <c r="I136" s="229">
        <v>90.2</v>
      </c>
      <c r="J136" s="229">
        <v>99.3</v>
      </c>
      <c r="K136" s="229">
        <v>72.099999999999994</v>
      </c>
      <c r="L136" s="229">
        <v>10.7</v>
      </c>
      <c r="M136" s="229">
        <v>2.9</v>
      </c>
      <c r="N136" s="229">
        <v>8.6999999999999993</v>
      </c>
      <c r="O136" s="229">
        <v>8.4</v>
      </c>
      <c r="P136" s="229">
        <v>13.3</v>
      </c>
      <c r="Q136" s="229">
        <v>2</v>
      </c>
      <c r="S136" s="122">
        <f t="shared" si="14"/>
        <v>9</v>
      </c>
      <c r="T136" s="122">
        <f t="shared" si="15"/>
        <v>5</v>
      </c>
      <c r="U136" s="122">
        <f>YEAR(Inputs!$I$8)</f>
        <v>2015</v>
      </c>
      <c r="V136" s="108">
        <f t="shared" si="12"/>
        <v>42133</v>
      </c>
      <c r="W136" s="69">
        <v>42133</v>
      </c>
      <c r="X136" s="116">
        <v>18.600000000000001</v>
      </c>
      <c r="Y136" s="116">
        <v>28.6</v>
      </c>
      <c r="Z136" s="116">
        <v>8</v>
      </c>
      <c r="AA136" s="116">
        <v>56.4</v>
      </c>
      <c r="AB136" s="116">
        <v>93.6</v>
      </c>
      <c r="AC136" s="116">
        <v>18.399999999999999</v>
      </c>
      <c r="AD136" s="116">
        <v>28.56</v>
      </c>
      <c r="AE136" s="116">
        <v>1.3</v>
      </c>
      <c r="AF136" s="116">
        <v>4.9000000000000004</v>
      </c>
      <c r="AG136" s="116">
        <v>11.9</v>
      </c>
      <c r="AH136" s="116">
        <v>0</v>
      </c>
      <c r="AI136" s="116">
        <v>5.4</v>
      </c>
    </row>
    <row r="137" spans="1:35" s="71" customFormat="1">
      <c r="A137" s="210">
        <f t="shared" si="16"/>
        <v>10</v>
      </c>
      <c r="B137" s="210">
        <f t="shared" si="17"/>
        <v>5</v>
      </c>
      <c r="C137" s="210">
        <f t="shared" si="13"/>
        <v>2015</v>
      </c>
      <c r="D137" s="106">
        <f t="shared" ref="D137:D200" si="18">DATE(C137,B137,A137)</f>
        <v>42134</v>
      </c>
      <c r="E137" s="230">
        <v>42134</v>
      </c>
      <c r="F137" s="229">
        <v>11.6</v>
      </c>
      <c r="G137" s="229">
        <v>17.100000000000001</v>
      </c>
      <c r="H137" s="229">
        <v>7.1</v>
      </c>
      <c r="I137" s="229">
        <v>89.5</v>
      </c>
      <c r="J137" s="229">
        <v>99.6</v>
      </c>
      <c r="K137" s="229">
        <v>70.2</v>
      </c>
      <c r="L137" s="229">
        <v>14.26</v>
      </c>
      <c r="M137" s="229">
        <v>2.4</v>
      </c>
      <c r="N137" s="229">
        <v>9.4</v>
      </c>
      <c r="O137" s="229">
        <v>9</v>
      </c>
      <c r="P137" s="229">
        <v>7.6</v>
      </c>
      <c r="Q137" s="229">
        <v>2.2999999999999998</v>
      </c>
      <c r="S137" s="122">
        <f t="shared" si="14"/>
        <v>10</v>
      </c>
      <c r="T137" s="122">
        <f t="shared" si="15"/>
        <v>5</v>
      </c>
      <c r="U137" s="122">
        <f>YEAR(Inputs!$I$8)</f>
        <v>2015</v>
      </c>
      <c r="V137" s="108">
        <f t="shared" ref="V137:V200" si="19">DATE(U137,T137,S137)</f>
        <v>42134</v>
      </c>
      <c r="W137" s="69">
        <v>42134</v>
      </c>
      <c r="X137" s="116">
        <v>19.5</v>
      </c>
      <c r="Y137" s="116">
        <v>27.6</v>
      </c>
      <c r="Z137" s="116">
        <v>10.9</v>
      </c>
      <c r="AA137" s="116">
        <v>51.8</v>
      </c>
      <c r="AB137" s="116">
        <v>89.7</v>
      </c>
      <c r="AC137" s="116">
        <v>21.8</v>
      </c>
      <c r="AD137" s="116">
        <v>28.82</v>
      </c>
      <c r="AE137" s="116">
        <v>2.4</v>
      </c>
      <c r="AF137" s="116">
        <v>6.8</v>
      </c>
      <c r="AG137" s="116">
        <v>12.3</v>
      </c>
      <c r="AH137" s="116">
        <v>0</v>
      </c>
      <c r="AI137" s="116">
        <v>6.1</v>
      </c>
    </row>
    <row r="138" spans="1:35" s="71" customFormat="1">
      <c r="A138" s="210">
        <f t="shared" si="16"/>
        <v>11</v>
      </c>
      <c r="B138" s="210">
        <f t="shared" si="17"/>
        <v>5</v>
      </c>
      <c r="C138" s="210">
        <f t="shared" ref="C138:C201" si="20">C137</f>
        <v>2015</v>
      </c>
      <c r="D138" s="106">
        <f t="shared" si="18"/>
        <v>42135</v>
      </c>
      <c r="E138" s="230">
        <v>42135</v>
      </c>
      <c r="F138" s="229">
        <v>10.1</v>
      </c>
      <c r="G138" s="229">
        <v>15.8</v>
      </c>
      <c r="H138" s="229">
        <v>4.5</v>
      </c>
      <c r="I138" s="229">
        <v>92.1</v>
      </c>
      <c r="J138" s="229">
        <v>99.8</v>
      </c>
      <c r="K138" s="229">
        <v>63.6</v>
      </c>
      <c r="L138" s="229">
        <v>9.6199999999999992</v>
      </c>
      <c r="M138" s="229">
        <v>1.6</v>
      </c>
      <c r="N138" s="229">
        <v>6.7</v>
      </c>
      <c r="O138" s="229">
        <v>7.8</v>
      </c>
      <c r="P138" s="229">
        <v>14.9</v>
      </c>
      <c r="Q138" s="229">
        <v>1.9</v>
      </c>
      <c r="S138" s="122">
        <f t="shared" ref="S138:S201" si="21">DAY(W138)</f>
        <v>11</v>
      </c>
      <c r="T138" s="122">
        <f t="shared" ref="T138:T201" si="22">MONTH(W138)</f>
        <v>5</v>
      </c>
      <c r="U138" s="122">
        <f>YEAR(Inputs!$I$8)</f>
        <v>2015</v>
      </c>
      <c r="V138" s="108">
        <f t="shared" si="19"/>
        <v>42135</v>
      </c>
      <c r="W138" s="69">
        <v>42135</v>
      </c>
      <c r="X138" s="116">
        <v>19.3</v>
      </c>
      <c r="Y138" s="116">
        <v>29.7</v>
      </c>
      <c r="Z138" s="116">
        <v>9.6999999999999993</v>
      </c>
      <c r="AA138" s="116">
        <v>48.8</v>
      </c>
      <c r="AB138" s="116">
        <v>86.7</v>
      </c>
      <c r="AC138" s="116">
        <v>14.9</v>
      </c>
      <c r="AD138" s="116">
        <v>28.55</v>
      </c>
      <c r="AE138" s="116">
        <v>2.6</v>
      </c>
      <c r="AF138" s="116">
        <v>6.3</v>
      </c>
      <c r="AG138" s="116">
        <v>12.6</v>
      </c>
      <c r="AH138" s="116">
        <v>0</v>
      </c>
      <c r="AI138" s="116">
        <v>6.8</v>
      </c>
    </row>
    <row r="139" spans="1:35" s="71" customFormat="1">
      <c r="A139" s="210">
        <f t="shared" si="16"/>
        <v>12</v>
      </c>
      <c r="B139" s="210">
        <f t="shared" si="17"/>
        <v>5</v>
      </c>
      <c r="C139" s="210">
        <f t="shared" si="20"/>
        <v>2015</v>
      </c>
      <c r="D139" s="106">
        <f t="shared" si="18"/>
        <v>42136</v>
      </c>
      <c r="E139" s="230">
        <v>42136</v>
      </c>
      <c r="F139" s="229">
        <v>11.9</v>
      </c>
      <c r="G139" s="229">
        <v>18.899999999999999</v>
      </c>
      <c r="H139" s="229">
        <v>6</v>
      </c>
      <c r="I139" s="229">
        <v>77.8</v>
      </c>
      <c r="J139" s="229">
        <v>96.5</v>
      </c>
      <c r="K139" s="229">
        <v>42.1</v>
      </c>
      <c r="L139" s="229">
        <v>24.67</v>
      </c>
      <c r="M139" s="229">
        <v>2.2000000000000002</v>
      </c>
      <c r="N139" s="229">
        <v>6.9</v>
      </c>
      <c r="O139" s="229">
        <v>11</v>
      </c>
      <c r="P139" s="229">
        <v>5.5</v>
      </c>
      <c r="Q139" s="229">
        <v>4</v>
      </c>
      <c r="S139" s="122">
        <f t="shared" si="21"/>
        <v>12</v>
      </c>
      <c r="T139" s="122">
        <f t="shared" si="22"/>
        <v>5</v>
      </c>
      <c r="U139" s="122">
        <f>YEAR(Inputs!$I$8)</f>
        <v>2015</v>
      </c>
      <c r="V139" s="108">
        <f t="shared" si="19"/>
        <v>42136</v>
      </c>
      <c r="W139" s="69">
        <v>42136</v>
      </c>
      <c r="X139" s="116">
        <v>22.2</v>
      </c>
      <c r="Y139" s="116">
        <v>34.1</v>
      </c>
      <c r="Z139" s="116">
        <v>9.5</v>
      </c>
      <c r="AA139" s="116">
        <v>42.9</v>
      </c>
      <c r="AB139" s="116">
        <v>87.4</v>
      </c>
      <c r="AC139" s="116">
        <v>14.5</v>
      </c>
      <c r="AD139" s="116">
        <v>29.02</v>
      </c>
      <c r="AE139" s="116">
        <v>1.3</v>
      </c>
      <c r="AF139" s="116">
        <v>4.4000000000000004</v>
      </c>
      <c r="AG139" s="116">
        <v>12.4</v>
      </c>
      <c r="AH139" s="116">
        <v>0</v>
      </c>
      <c r="AI139" s="116">
        <v>6.2</v>
      </c>
    </row>
    <row r="140" spans="1:35" s="71" customFormat="1">
      <c r="A140" s="210">
        <f t="shared" si="16"/>
        <v>13</v>
      </c>
      <c r="B140" s="210">
        <f t="shared" si="17"/>
        <v>5</v>
      </c>
      <c r="C140" s="210">
        <f t="shared" si="20"/>
        <v>2015</v>
      </c>
      <c r="D140" s="106">
        <f t="shared" si="18"/>
        <v>42137</v>
      </c>
      <c r="E140" s="230">
        <v>42137</v>
      </c>
      <c r="F140" s="229">
        <v>10.5</v>
      </c>
      <c r="G140" s="229">
        <v>16</v>
      </c>
      <c r="H140" s="229">
        <v>7.2</v>
      </c>
      <c r="I140" s="229">
        <v>81.900000000000006</v>
      </c>
      <c r="J140" s="229">
        <v>96.2</v>
      </c>
      <c r="K140" s="229">
        <v>55.5</v>
      </c>
      <c r="L140" s="229">
        <v>17.66</v>
      </c>
      <c r="M140" s="229">
        <v>3.2</v>
      </c>
      <c r="N140" s="229">
        <v>9.1999999999999993</v>
      </c>
      <c r="O140" s="229">
        <v>11.7</v>
      </c>
      <c r="P140" s="229">
        <v>1.4</v>
      </c>
      <c r="Q140" s="229">
        <v>3</v>
      </c>
      <c r="S140" s="122">
        <f t="shared" si="21"/>
        <v>13</v>
      </c>
      <c r="T140" s="122">
        <f t="shared" si="22"/>
        <v>5</v>
      </c>
      <c r="U140" s="122">
        <f>YEAR(Inputs!$I$8)</f>
        <v>2015</v>
      </c>
      <c r="V140" s="108">
        <f t="shared" si="19"/>
        <v>42137</v>
      </c>
      <c r="W140" s="69">
        <v>42137</v>
      </c>
      <c r="X140" s="116">
        <v>24</v>
      </c>
      <c r="Y140" s="116">
        <v>37.299999999999997</v>
      </c>
      <c r="Z140" s="116">
        <v>10.7</v>
      </c>
      <c r="AA140" s="116">
        <v>45.1</v>
      </c>
      <c r="AB140" s="116">
        <v>88.6</v>
      </c>
      <c r="AC140" s="116">
        <v>12.2</v>
      </c>
      <c r="AD140" s="116">
        <v>25.44</v>
      </c>
      <c r="AE140" s="116">
        <v>1.3</v>
      </c>
      <c r="AF140" s="116">
        <v>5.8</v>
      </c>
      <c r="AG140" s="116">
        <v>12</v>
      </c>
      <c r="AH140" s="116">
        <v>0</v>
      </c>
      <c r="AI140" s="116">
        <v>6.2</v>
      </c>
    </row>
    <row r="141" spans="1:35" s="71" customFormat="1">
      <c r="A141" s="210">
        <f t="shared" si="16"/>
        <v>14</v>
      </c>
      <c r="B141" s="210">
        <f t="shared" si="17"/>
        <v>5</v>
      </c>
      <c r="C141" s="210">
        <f t="shared" si="20"/>
        <v>2015</v>
      </c>
      <c r="D141" s="106">
        <f t="shared" si="18"/>
        <v>42138</v>
      </c>
      <c r="E141" s="230">
        <v>42138</v>
      </c>
      <c r="F141" s="229">
        <v>10</v>
      </c>
      <c r="G141" s="229">
        <v>15.8</v>
      </c>
      <c r="H141" s="229">
        <v>6.1</v>
      </c>
      <c r="I141" s="229">
        <v>85.4</v>
      </c>
      <c r="J141" s="229">
        <v>96.3</v>
      </c>
      <c r="K141" s="229">
        <v>61.6</v>
      </c>
      <c r="L141" s="229">
        <v>15.58</v>
      </c>
      <c r="M141" s="229">
        <v>3.5</v>
      </c>
      <c r="N141" s="229">
        <v>9</v>
      </c>
      <c r="O141" s="229">
        <v>9.9</v>
      </c>
      <c r="P141" s="229">
        <v>0</v>
      </c>
      <c r="Q141" s="229">
        <v>2.7</v>
      </c>
      <c r="S141" s="122">
        <f t="shared" si="21"/>
        <v>14</v>
      </c>
      <c r="T141" s="122">
        <f t="shared" si="22"/>
        <v>5</v>
      </c>
      <c r="U141" s="122">
        <f>YEAR(Inputs!$I$8)</f>
        <v>2015</v>
      </c>
      <c r="V141" s="108">
        <f t="shared" si="19"/>
        <v>42138</v>
      </c>
      <c r="W141" s="69">
        <v>42138</v>
      </c>
      <c r="X141" s="116">
        <v>25.3</v>
      </c>
      <c r="Y141" s="116">
        <v>35.799999999999997</v>
      </c>
      <c r="Z141" s="116">
        <v>15.2</v>
      </c>
      <c r="AA141" s="116">
        <v>32.4</v>
      </c>
      <c r="AB141" s="116">
        <v>65.599999999999994</v>
      </c>
      <c r="AC141" s="116">
        <v>11.6</v>
      </c>
      <c r="AD141" s="116">
        <v>27.58</v>
      </c>
      <c r="AE141" s="116">
        <v>2.9</v>
      </c>
      <c r="AF141" s="116">
        <v>10.7</v>
      </c>
      <c r="AG141" s="116">
        <v>12.2</v>
      </c>
      <c r="AH141" s="116">
        <v>0</v>
      </c>
      <c r="AI141" s="116">
        <v>8.5</v>
      </c>
    </row>
    <row r="142" spans="1:35" s="71" customFormat="1">
      <c r="A142" s="210">
        <f t="shared" si="16"/>
        <v>15</v>
      </c>
      <c r="B142" s="210">
        <f t="shared" si="17"/>
        <v>5</v>
      </c>
      <c r="C142" s="210">
        <f t="shared" si="20"/>
        <v>2015</v>
      </c>
      <c r="D142" s="106">
        <f t="shared" si="18"/>
        <v>42139</v>
      </c>
      <c r="E142" s="230">
        <v>42139</v>
      </c>
      <c r="F142" s="229">
        <v>12.4</v>
      </c>
      <c r="G142" s="229">
        <v>18.5</v>
      </c>
      <c r="H142" s="229">
        <v>4.5</v>
      </c>
      <c r="I142" s="229">
        <v>78.400000000000006</v>
      </c>
      <c r="J142" s="229">
        <v>98.8</v>
      </c>
      <c r="K142" s="229">
        <v>52.4</v>
      </c>
      <c r="L142" s="229">
        <v>24.1</v>
      </c>
      <c r="M142" s="229">
        <v>3.2</v>
      </c>
      <c r="N142" s="229">
        <v>8.1</v>
      </c>
      <c r="O142" s="229">
        <v>12.6</v>
      </c>
      <c r="P142" s="229">
        <v>0.2</v>
      </c>
      <c r="Q142" s="229">
        <v>3.8</v>
      </c>
      <c r="S142" s="122">
        <f t="shared" si="21"/>
        <v>15</v>
      </c>
      <c r="T142" s="122">
        <f t="shared" si="22"/>
        <v>5</v>
      </c>
      <c r="U142" s="122">
        <f>YEAR(Inputs!$I$8)</f>
        <v>2015</v>
      </c>
      <c r="V142" s="108">
        <f t="shared" si="19"/>
        <v>42139</v>
      </c>
      <c r="W142" s="69">
        <v>42139</v>
      </c>
      <c r="X142" s="116">
        <v>16.899999999999999</v>
      </c>
      <c r="Y142" s="116">
        <v>23.9</v>
      </c>
      <c r="Z142" s="116">
        <v>8.6999999999999993</v>
      </c>
      <c r="AA142" s="116">
        <v>44.8</v>
      </c>
      <c r="AB142" s="116">
        <v>77.3</v>
      </c>
      <c r="AC142" s="116">
        <v>25.4</v>
      </c>
      <c r="AD142" s="116">
        <v>30.42</v>
      </c>
      <c r="AE142" s="116">
        <v>3.7</v>
      </c>
      <c r="AF142" s="116">
        <v>9</v>
      </c>
      <c r="AG142" s="116">
        <v>12.8</v>
      </c>
      <c r="AH142" s="116">
        <v>0</v>
      </c>
      <c r="AI142" s="116">
        <v>6.3</v>
      </c>
    </row>
    <row r="143" spans="1:35" s="71" customFormat="1">
      <c r="A143" s="210">
        <f t="shared" si="16"/>
        <v>16</v>
      </c>
      <c r="B143" s="210">
        <f t="shared" si="17"/>
        <v>5</v>
      </c>
      <c r="C143" s="210">
        <f t="shared" si="20"/>
        <v>2015</v>
      </c>
      <c r="D143" s="106">
        <f t="shared" si="18"/>
        <v>42140</v>
      </c>
      <c r="E143" s="230">
        <v>42140</v>
      </c>
      <c r="F143" s="229">
        <v>14.4</v>
      </c>
      <c r="G143" s="229">
        <v>20.5</v>
      </c>
      <c r="H143" s="229">
        <v>9.4</v>
      </c>
      <c r="I143" s="229">
        <v>74.900000000000006</v>
      </c>
      <c r="J143" s="229">
        <v>94.5</v>
      </c>
      <c r="K143" s="229">
        <v>42</v>
      </c>
      <c r="L143" s="229">
        <v>23.86</v>
      </c>
      <c r="M143" s="229">
        <v>1.5</v>
      </c>
      <c r="N143" s="229">
        <v>4.8</v>
      </c>
      <c r="O143" s="229">
        <v>11.7</v>
      </c>
      <c r="P143" s="229">
        <v>0</v>
      </c>
      <c r="Q143" s="229">
        <v>4</v>
      </c>
      <c r="S143" s="122">
        <f t="shared" si="21"/>
        <v>16</v>
      </c>
      <c r="T143" s="122">
        <f t="shared" si="22"/>
        <v>5</v>
      </c>
      <c r="U143" s="122">
        <f>YEAR(Inputs!$I$8)</f>
        <v>2015</v>
      </c>
      <c r="V143" s="108">
        <f t="shared" si="19"/>
        <v>42140</v>
      </c>
      <c r="W143" s="69">
        <v>42140</v>
      </c>
      <c r="X143" s="116">
        <v>16.399999999999999</v>
      </c>
      <c r="Y143" s="116">
        <v>26.3</v>
      </c>
      <c r="Z143" s="116">
        <v>5.3</v>
      </c>
      <c r="AA143" s="116">
        <v>49.8</v>
      </c>
      <c r="AB143" s="116">
        <v>86</v>
      </c>
      <c r="AC143" s="116">
        <v>19.600000000000001</v>
      </c>
      <c r="AD143" s="116">
        <v>30.67</v>
      </c>
      <c r="AE143" s="116">
        <v>1.8</v>
      </c>
      <c r="AF143" s="116">
        <v>5.9</v>
      </c>
      <c r="AG143" s="116">
        <v>12.9</v>
      </c>
      <c r="AH143" s="116">
        <v>0</v>
      </c>
      <c r="AI143" s="116">
        <v>5.8</v>
      </c>
    </row>
    <row r="144" spans="1:35" s="71" customFormat="1">
      <c r="A144" s="210">
        <f t="shared" si="16"/>
        <v>17</v>
      </c>
      <c r="B144" s="210">
        <f t="shared" si="17"/>
        <v>5</v>
      </c>
      <c r="C144" s="210">
        <f t="shared" si="20"/>
        <v>2015</v>
      </c>
      <c r="D144" s="106">
        <f t="shared" si="18"/>
        <v>42141</v>
      </c>
      <c r="E144" s="230">
        <v>42141</v>
      </c>
      <c r="F144" s="229">
        <v>14.9</v>
      </c>
      <c r="G144" s="229">
        <v>23.1</v>
      </c>
      <c r="H144" s="229">
        <v>5.8</v>
      </c>
      <c r="I144" s="229">
        <v>70</v>
      </c>
      <c r="J144" s="229">
        <v>97.9</v>
      </c>
      <c r="K144" s="229">
        <v>35.9</v>
      </c>
      <c r="L144" s="229">
        <v>26.97</v>
      </c>
      <c r="M144" s="229">
        <v>1.3</v>
      </c>
      <c r="N144" s="229">
        <v>6.1</v>
      </c>
      <c r="O144" s="229">
        <v>12.6</v>
      </c>
      <c r="P144" s="229">
        <v>0</v>
      </c>
      <c r="Q144" s="229">
        <v>4.5</v>
      </c>
      <c r="S144" s="122">
        <f t="shared" si="21"/>
        <v>17</v>
      </c>
      <c r="T144" s="122">
        <f t="shared" si="22"/>
        <v>5</v>
      </c>
      <c r="U144" s="122">
        <f>YEAR(Inputs!$I$8)</f>
        <v>2015</v>
      </c>
      <c r="V144" s="108">
        <f t="shared" si="19"/>
        <v>42141</v>
      </c>
      <c r="W144" s="69">
        <v>42141</v>
      </c>
      <c r="X144" s="116">
        <v>18.600000000000001</v>
      </c>
      <c r="Y144" s="116">
        <v>27.8</v>
      </c>
      <c r="Z144" s="116">
        <v>8</v>
      </c>
      <c r="AA144" s="116">
        <v>49.4</v>
      </c>
      <c r="AB144" s="116">
        <v>88.8</v>
      </c>
      <c r="AC144" s="116">
        <v>16</v>
      </c>
      <c r="AD144" s="116">
        <v>30.51</v>
      </c>
      <c r="AE144" s="116">
        <v>2.1</v>
      </c>
      <c r="AF144" s="116">
        <v>5.5</v>
      </c>
      <c r="AG144" s="116">
        <v>12.9</v>
      </c>
      <c r="AH144" s="116">
        <v>0</v>
      </c>
      <c r="AI144" s="116">
        <v>6.3</v>
      </c>
    </row>
    <row r="145" spans="1:35" s="71" customFormat="1">
      <c r="A145" s="210">
        <f t="shared" si="16"/>
        <v>18</v>
      </c>
      <c r="B145" s="210">
        <f t="shared" si="17"/>
        <v>5</v>
      </c>
      <c r="C145" s="210">
        <f t="shared" si="20"/>
        <v>2015</v>
      </c>
      <c r="D145" s="106">
        <f t="shared" si="18"/>
        <v>42142</v>
      </c>
      <c r="E145" s="230">
        <v>42142</v>
      </c>
      <c r="F145" s="229">
        <v>15.8</v>
      </c>
      <c r="G145" s="229">
        <v>24.1</v>
      </c>
      <c r="H145" s="229">
        <v>6.2</v>
      </c>
      <c r="I145" s="229">
        <v>70.2</v>
      </c>
      <c r="J145" s="229">
        <v>99.1</v>
      </c>
      <c r="K145" s="229">
        <v>36.299999999999997</v>
      </c>
      <c r="L145" s="229">
        <v>25.73</v>
      </c>
      <c r="M145" s="229">
        <v>1.4</v>
      </c>
      <c r="N145" s="229">
        <v>4.9000000000000004</v>
      </c>
      <c r="O145" s="229">
        <v>12.8</v>
      </c>
      <c r="P145" s="229">
        <v>0</v>
      </c>
      <c r="Q145" s="229">
        <v>4.5</v>
      </c>
      <c r="S145" s="122">
        <f t="shared" si="21"/>
        <v>18</v>
      </c>
      <c r="T145" s="122">
        <f t="shared" si="22"/>
        <v>5</v>
      </c>
      <c r="U145" s="122">
        <f>YEAR(Inputs!$I$8)</f>
        <v>2015</v>
      </c>
      <c r="V145" s="108">
        <f t="shared" si="19"/>
        <v>42142</v>
      </c>
      <c r="W145" s="69">
        <v>42142</v>
      </c>
      <c r="X145" s="116">
        <v>19.5</v>
      </c>
      <c r="Y145" s="116">
        <v>29.2</v>
      </c>
      <c r="Z145" s="116">
        <v>9.3000000000000007</v>
      </c>
      <c r="AA145" s="116">
        <v>48.3</v>
      </c>
      <c r="AB145" s="116">
        <v>85.2</v>
      </c>
      <c r="AC145" s="116">
        <v>19.100000000000001</v>
      </c>
      <c r="AD145" s="116">
        <v>28.88</v>
      </c>
      <c r="AE145" s="116">
        <v>2.6</v>
      </c>
      <c r="AF145" s="116">
        <v>7</v>
      </c>
      <c r="AG145" s="116">
        <v>13</v>
      </c>
      <c r="AH145" s="116">
        <v>0</v>
      </c>
      <c r="AI145" s="116">
        <v>6.7</v>
      </c>
    </row>
    <row r="146" spans="1:35" s="71" customFormat="1">
      <c r="A146" s="210">
        <f t="shared" si="16"/>
        <v>19</v>
      </c>
      <c r="B146" s="210">
        <f t="shared" si="17"/>
        <v>5</v>
      </c>
      <c r="C146" s="210">
        <f t="shared" si="20"/>
        <v>2015</v>
      </c>
      <c r="D146" s="106">
        <f t="shared" si="18"/>
        <v>42143</v>
      </c>
      <c r="E146" s="230">
        <v>42143</v>
      </c>
      <c r="F146" s="229">
        <v>16.399999999999999</v>
      </c>
      <c r="G146" s="229">
        <v>25.7</v>
      </c>
      <c r="H146" s="229">
        <v>9</v>
      </c>
      <c r="I146" s="229">
        <v>73.099999999999994</v>
      </c>
      <c r="J146" s="229">
        <v>99</v>
      </c>
      <c r="K146" s="229">
        <v>38.200000000000003</v>
      </c>
      <c r="L146" s="229">
        <v>23.74</v>
      </c>
      <c r="M146" s="229">
        <v>2.1</v>
      </c>
      <c r="N146" s="229">
        <v>10.5</v>
      </c>
      <c r="O146" s="229">
        <v>12</v>
      </c>
      <c r="P146" s="229">
        <v>0.2</v>
      </c>
      <c r="Q146" s="229">
        <v>4.8</v>
      </c>
      <c r="S146" s="122">
        <f t="shared" si="21"/>
        <v>19</v>
      </c>
      <c r="T146" s="122">
        <f t="shared" si="22"/>
        <v>5</v>
      </c>
      <c r="U146" s="122">
        <f>YEAR(Inputs!$I$8)</f>
        <v>2015</v>
      </c>
      <c r="V146" s="108">
        <f t="shared" si="19"/>
        <v>42143</v>
      </c>
      <c r="W146" s="69">
        <v>42143</v>
      </c>
      <c r="X146" s="116">
        <v>16.899999999999999</v>
      </c>
      <c r="Y146" s="116">
        <v>26.3</v>
      </c>
      <c r="Z146" s="116">
        <v>10.8</v>
      </c>
      <c r="AA146" s="116">
        <v>70.3</v>
      </c>
      <c r="AB146" s="116">
        <v>97.3</v>
      </c>
      <c r="AC146" s="116">
        <v>35.4</v>
      </c>
      <c r="AD146" s="116">
        <v>16.25</v>
      </c>
      <c r="AE146" s="116">
        <v>2.4</v>
      </c>
      <c r="AF146" s="116">
        <v>9.9</v>
      </c>
      <c r="AG146" s="116">
        <v>10.5</v>
      </c>
      <c r="AH146" s="116">
        <v>17.399999999999999</v>
      </c>
      <c r="AI146" s="116">
        <v>4.3</v>
      </c>
    </row>
    <row r="147" spans="1:35" s="71" customFormat="1">
      <c r="A147" s="210">
        <f t="shared" si="16"/>
        <v>20</v>
      </c>
      <c r="B147" s="210">
        <f t="shared" si="17"/>
        <v>5</v>
      </c>
      <c r="C147" s="210">
        <f t="shared" si="20"/>
        <v>2015</v>
      </c>
      <c r="D147" s="106">
        <f t="shared" si="18"/>
        <v>42144</v>
      </c>
      <c r="E147" s="230">
        <v>42144</v>
      </c>
      <c r="F147" s="229">
        <v>17.100000000000001</v>
      </c>
      <c r="G147" s="229">
        <v>24.6</v>
      </c>
      <c r="H147" s="229">
        <v>8.8000000000000007</v>
      </c>
      <c r="I147" s="229">
        <v>64.900000000000006</v>
      </c>
      <c r="J147" s="229">
        <v>95.6</v>
      </c>
      <c r="K147" s="229">
        <v>28.1</v>
      </c>
      <c r="L147" s="229">
        <v>29.03</v>
      </c>
      <c r="M147" s="229">
        <v>2.2999999999999998</v>
      </c>
      <c r="N147" s="229">
        <v>7.3</v>
      </c>
      <c r="O147" s="229">
        <v>12.7</v>
      </c>
      <c r="P147" s="229">
        <v>0</v>
      </c>
      <c r="Q147" s="229">
        <v>5.5</v>
      </c>
      <c r="S147" s="122">
        <f t="shared" si="21"/>
        <v>20</v>
      </c>
      <c r="T147" s="122">
        <f t="shared" si="22"/>
        <v>5</v>
      </c>
      <c r="U147" s="122">
        <f>YEAR(Inputs!$I$8)</f>
        <v>2015</v>
      </c>
      <c r="V147" s="108">
        <f t="shared" si="19"/>
        <v>42144</v>
      </c>
      <c r="W147" s="69">
        <v>42144</v>
      </c>
      <c r="X147" s="116">
        <v>13.9</v>
      </c>
      <c r="Y147" s="116">
        <v>21.7</v>
      </c>
      <c r="Z147" s="116">
        <v>7.3</v>
      </c>
      <c r="AA147" s="116">
        <v>61.6</v>
      </c>
      <c r="AB147" s="116">
        <v>91.6</v>
      </c>
      <c r="AC147" s="116">
        <v>23.7</v>
      </c>
      <c r="AD147" s="116">
        <v>30.27</v>
      </c>
      <c r="AE147" s="116">
        <v>2.1</v>
      </c>
      <c r="AF147" s="116">
        <v>7.3</v>
      </c>
      <c r="AG147" s="116">
        <v>12.9</v>
      </c>
      <c r="AH147" s="116">
        <v>0</v>
      </c>
      <c r="AI147" s="116">
        <v>5.2</v>
      </c>
    </row>
    <row r="148" spans="1:35" s="71" customFormat="1">
      <c r="A148" s="210">
        <f t="shared" si="16"/>
        <v>21</v>
      </c>
      <c r="B148" s="210">
        <f t="shared" si="17"/>
        <v>5</v>
      </c>
      <c r="C148" s="210">
        <f t="shared" si="20"/>
        <v>2015</v>
      </c>
      <c r="D148" s="106">
        <f t="shared" si="18"/>
        <v>42145</v>
      </c>
      <c r="E148" s="230">
        <v>42145</v>
      </c>
      <c r="F148" s="229">
        <v>17.8</v>
      </c>
      <c r="G148" s="229">
        <v>26.3</v>
      </c>
      <c r="H148" s="229">
        <v>8.1</v>
      </c>
      <c r="I148" s="229">
        <v>63.7</v>
      </c>
      <c r="J148" s="229">
        <v>92.6</v>
      </c>
      <c r="K148" s="229">
        <v>29.3</v>
      </c>
      <c r="L148" s="229">
        <v>29.26</v>
      </c>
      <c r="M148" s="229">
        <v>1.3</v>
      </c>
      <c r="N148" s="229">
        <v>4.3</v>
      </c>
      <c r="O148" s="229">
        <v>12.8</v>
      </c>
      <c r="P148" s="229">
        <v>0</v>
      </c>
      <c r="Q148" s="229">
        <v>5.3</v>
      </c>
      <c r="S148" s="122">
        <f t="shared" si="21"/>
        <v>21</v>
      </c>
      <c r="T148" s="122">
        <f t="shared" si="22"/>
        <v>5</v>
      </c>
      <c r="U148" s="122">
        <f>YEAR(Inputs!$I$8)</f>
        <v>2015</v>
      </c>
      <c r="V148" s="108">
        <f t="shared" si="19"/>
        <v>42145</v>
      </c>
      <c r="W148" s="69">
        <v>42145</v>
      </c>
      <c r="X148" s="116">
        <v>13.8</v>
      </c>
      <c r="Y148" s="116">
        <v>21.1</v>
      </c>
      <c r="Z148" s="116">
        <v>6</v>
      </c>
      <c r="AA148" s="116">
        <v>58.5</v>
      </c>
      <c r="AB148" s="116">
        <v>90.6</v>
      </c>
      <c r="AC148" s="116">
        <v>27.7</v>
      </c>
      <c r="AD148" s="116">
        <v>30.51</v>
      </c>
      <c r="AE148" s="116">
        <v>1.6</v>
      </c>
      <c r="AF148" s="116">
        <v>10.9</v>
      </c>
      <c r="AG148" s="116">
        <v>12.9</v>
      </c>
      <c r="AH148" s="116">
        <v>0</v>
      </c>
      <c r="AI148" s="116">
        <v>4.9000000000000004</v>
      </c>
    </row>
    <row r="149" spans="1:35" s="71" customFormat="1">
      <c r="A149" s="210">
        <f t="shared" si="16"/>
        <v>22</v>
      </c>
      <c r="B149" s="210">
        <f t="shared" si="17"/>
        <v>5</v>
      </c>
      <c r="C149" s="210">
        <f t="shared" si="20"/>
        <v>2015</v>
      </c>
      <c r="D149" s="106">
        <f t="shared" si="18"/>
        <v>42146</v>
      </c>
      <c r="E149" s="230">
        <v>42146</v>
      </c>
      <c r="F149" s="229">
        <v>18.8</v>
      </c>
      <c r="G149" s="229">
        <v>26.7</v>
      </c>
      <c r="H149" s="229">
        <v>10.3</v>
      </c>
      <c r="I149" s="229">
        <v>63</v>
      </c>
      <c r="J149" s="229">
        <v>95.9</v>
      </c>
      <c r="K149" s="229">
        <v>32.200000000000003</v>
      </c>
      <c r="L149" s="229">
        <v>28.38</v>
      </c>
      <c r="M149" s="229">
        <v>2.6</v>
      </c>
      <c r="N149" s="229">
        <v>6.7</v>
      </c>
      <c r="O149" s="229">
        <v>12.6</v>
      </c>
      <c r="P149" s="229">
        <v>0</v>
      </c>
      <c r="Q149" s="229">
        <v>5.8</v>
      </c>
      <c r="S149" s="122">
        <f t="shared" si="21"/>
        <v>22</v>
      </c>
      <c r="T149" s="122">
        <f t="shared" si="22"/>
        <v>5</v>
      </c>
      <c r="U149" s="122">
        <f>YEAR(Inputs!$I$8)</f>
        <v>2015</v>
      </c>
      <c r="V149" s="108">
        <f t="shared" si="19"/>
        <v>42146</v>
      </c>
      <c r="W149" s="69">
        <v>42146</v>
      </c>
      <c r="X149" s="116">
        <v>14.9</v>
      </c>
      <c r="Y149" s="116">
        <v>22.2</v>
      </c>
      <c r="Z149" s="116">
        <v>9.1</v>
      </c>
      <c r="AA149" s="116">
        <v>57.6</v>
      </c>
      <c r="AB149" s="116">
        <v>85</v>
      </c>
      <c r="AC149" s="116">
        <v>30.1</v>
      </c>
      <c r="AD149" s="116">
        <v>27.17</v>
      </c>
      <c r="AE149" s="116">
        <v>2.2000000000000002</v>
      </c>
      <c r="AF149" s="116">
        <v>6.8</v>
      </c>
      <c r="AG149" s="116">
        <v>11.2</v>
      </c>
      <c r="AH149" s="116">
        <v>0</v>
      </c>
      <c r="AI149" s="116">
        <v>5</v>
      </c>
    </row>
    <row r="150" spans="1:35" s="71" customFormat="1">
      <c r="A150" s="210">
        <f t="shared" si="16"/>
        <v>23</v>
      </c>
      <c r="B150" s="210">
        <f t="shared" si="17"/>
        <v>5</v>
      </c>
      <c r="C150" s="210">
        <f t="shared" si="20"/>
        <v>2015</v>
      </c>
      <c r="D150" s="106">
        <f t="shared" si="18"/>
        <v>42147</v>
      </c>
      <c r="E150" s="230">
        <v>42147</v>
      </c>
      <c r="F150" s="229">
        <v>16.899999999999999</v>
      </c>
      <c r="G150" s="229">
        <v>23.1</v>
      </c>
      <c r="H150" s="229">
        <v>7.8</v>
      </c>
      <c r="I150" s="229">
        <v>63.1</v>
      </c>
      <c r="J150" s="229">
        <v>87.1</v>
      </c>
      <c r="K150" s="229">
        <v>38.9</v>
      </c>
      <c r="L150" s="229">
        <v>25.97</v>
      </c>
      <c r="M150" s="229">
        <v>3.4</v>
      </c>
      <c r="N150" s="229">
        <v>10.4</v>
      </c>
      <c r="O150" s="229">
        <v>12.3</v>
      </c>
      <c r="P150" s="229">
        <v>0</v>
      </c>
      <c r="Q150" s="229">
        <v>5.2</v>
      </c>
      <c r="S150" s="122">
        <f t="shared" si="21"/>
        <v>23</v>
      </c>
      <c r="T150" s="122">
        <f t="shared" si="22"/>
        <v>5</v>
      </c>
      <c r="U150" s="122">
        <f>YEAR(Inputs!$I$8)</f>
        <v>2015</v>
      </c>
      <c r="V150" s="108">
        <f t="shared" si="19"/>
        <v>42147</v>
      </c>
      <c r="W150" s="69">
        <v>42147</v>
      </c>
      <c r="X150" s="116">
        <v>15.4</v>
      </c>
      <c r="Y150" s="116">
        <v>22.9</v>
      </c>
      <c r="Z150" s="116">
        <v>7.4</v>
      </c>
      <c r="AA150" s="116">
        <v>58.9</v>
      </c>
      <c r="AB150" s="116">
        <v>96.2</v>
      </c>
      <c r="AC150" s="116">
        <v>27.9</v>
      </c>
      <c r="AD150" s="116">
        <v>29.24</v>
      </c>
      <c r="AE150" s="116">
        <v>1.9</v>
      </c>
      <c r="AF150" s="116">
        <v>5.7</v>
      </c>
      <c r="AG150" s="116">
        <v>12.8</v>
      </c>
      <c r="AH150" s="116">
        <v>0</v>
      </c>
      <c r="AI150" s="116">
        <v>5.2</v>
      </c>
    </row>
    <row r="151" spans="1:35" s="71" customFormat="1">
      <c r="A151" s="210">
        <f t="shared" si="16"/>
        <v>24</v>
      </c>
      <c r="B151" s="210">
        <f t="shared" si="17"/>
        <v>5</v>
      </c>
      <c r="C151" s="210">
        <f t="shared" si="20"/>
        <v>2015</v>
      </c>
      <c r="D151" s="106">
        <f t="shared" si="18"/>
        <v>42148</v>
      </c>
      <c r="E151" s="230">
        <v>42148</v>
      </c>
      <c r="F151" s="229">
        <v>15.3</v>
      </c>
      <c r="G151" s="229">
        <v>24.2</v>
      </c>
      <c r="H151" s="229">
        <v>6.3</v>
      </c>
      <c r="I151" s="229">
        <v>58</v>
      </c>
      <c r="J151" s="229">
        <v>87.1</v>
      </c>
      <c r="K151" s="229">
        <v>35.6</v>
      </c>
      <c r="L151" s="229">
        <v>28.48</v>
      </c>
      <c r="M151" s="229">
        <v>1.6</v>
      </c>
      <c r="N151" s="229">
        <v>7.2</v>
      </c>
      <c r="O151" s="229">
        <v>12</v>
      </c>
      <c r="P151" s="229">
        <v>0</v>
      </c>
      <c r="Q151" s="229">
        <v>5</v>
      </c>
      <c r="S151" s="122">
        <f t="shared" si="21"/>
        <v>24</v>
      </c>
      <c r="T151" s="122">
        <f t="shared" si="22"/>
        <v>5</v>
      </c>
      <c r="U151" s="122">
        <f>YEAR(Inputs!$I$8)</f>
        <v>2015</v>
      </c>
      <c r="V151" s="108">
        <f t="shared" si="19"/>
        <v>42148</v>
      </c>
      <c r="W151" s="69">
        <v>42148</v>
      </c>
      <c r="X151" s="116">
        <v>15.4</v>
      </c>
      <c r="Y151" s="116">
        <v>22.3</v>
      </c>
      <c r="Z151" s="116">
        <v>8.1</v>
      </c>
      <c r="AA151" s="116">
        <v>55.4</v>
      </c>
      <c r="AB151" s="116">
        <v>89.8</v>
      </c>
      <c r="AC151" s="116">
        <v>27.4</v>
      </c>
      <c r="AD151" s="116">
        <v>25.15</v>
      </c>
      <c r="AE151" s="116">
        <v>2.2000000000000002</v>
      </c>
      <c r="AF151" s="116">
        <v>6.8</v>
      </c>
      <c r="AG151" s="116">
        <v>12.2</v>
      </c>
      <c r="AH151" s="116">
        <v>0</v>
      </c>
      <c r="AI151" s="116">
        <v>4.9000000000000004</v>
      </c>
    </row>
    <row r="152" spans="1:35" s="71" customFormat="1">
      <c r="A152" s="210">
        <f t="shared" si="16"/>
        <v>25</v>
      </c>
      <c r="B152" s="210">
        <f t="shared" si="17"/>
        <v>5</v>
      </c>
      <c r="C152" s="210">
        <f t="shared" si="20"/>
        <v>2015</v>
      </c>
      <c r="D152" s="106">
        <f t="shared" si="18"/>
        <v>42149</v>
      </c>
      <c r="E152" s="230">
        <v>42149</v>
      </c>
      <c r="F152" s="229">
        <v>18.100000000000001</v>
      </c>
      <c r="G152" s="229">
        <v>28</v>
      </c>
      <c r="H152" s="229">
        <v>8.4</v>
      </c>
      <c r="I152" s="229">
        <v>58.8</v>
      </c>
      <c r="J152" s="229">
        <v>92.1</v>
      </c>
      <c r="K152" s="229">
        <v>28.1</v>
      </c>
      <c r="L152" s="229">
        <v>26.79</v>
      </c>
      <c r="M152" s="229">
        <v>2.2999999999999998</v>
      </c>
      <c r="N152" s="229">
        <v>7.9</v>
      </c>
      <c r="O152" s="229">
        <v>12.3</v>
      </c>
      <c r="P152" s="229">
        <v>0</v>
      </c>
      <c r="Q152" s="229">
        <v>5.9</v>
      </c>
      <c r="S152" s="122">
        <f t="shared" si="21"/>
        <v>25</v>
      </c>
      <c r="T152" s="122">
        <f t="shared" si="22"/>
        <v>5</v>
      </c>
      <c r="U152" s="122">
        <f>YEAR(Inputs!$I$8)</f>
        <v>2015</v>
      </c>
      <c r="V152" s="108">
        <f t="shared" si="19"/>
        <v>42149</v>
      </c>
      <c r="W152" s="69">
        <v>42149</v>
      </c>
      <c r="X152" s="116">
        <v>16.399999999999999</v>
      </c>
      <c r="Y152" s="116">
        <v>22.9</v>
      </c>
      <c r="Z152" s="116">
        <v>7</v>
      </c>
      <c r="AA152" s="116">
        <v>56.2</v>
      </c>
      <c r="AB152" s="116">
        <v>87.6</v>
      </c>
      <c r="AC152" s="116">
        <v>31.1</v>
      </c>
      <c r="AD152" s="116">
        <v>24.53</v>
      </c>
      <c r="AE152" s="116">
        <v>1.2</v>
      </c>
      <c r="AF152" s="116">
        <v>5.5</v>
      </c>
      <c r="AG152" s="116">
        <v>12.7</v>
      </c>
      <c r="AH152" s="116">
        <v>0</v>
      </c>
      <c r="AI152" s="116">
        <v>4.4000000000000004</v>
      </c>
    </row>
    <row r="153" spans="1:35" s="71" customFormat="1">
      <c r="A153" s="210">
        <f t="shared" si="16"/>
        <v>26</v>
      </c>
      <c r="B153" s="210">
        <f t="shared" si="17"/>
        <v>5</v>
      </c>
      <c r="C153" s="210">
        <f t="shared" si="20"/>
        <v>2015</v>
      </c>
      <c r="D153" s="106">
        <f t="shared" si="18"/>
        <v>42150</v>
      </c>
      <c r="E153" s="230">
        <v>42150</v>
      </c>
      <c r="F153" s="229">
        <v>17.600000000000001</v>
      </c>
      <c r="G153" s="229">
        <v>25.5</v>
      </c>
      <c r="H153" s="229">
        <v>10.8</v>
      </c>
      <c r="I153" s="229">
        <v>63.3</v>
      </c>
      <c r="J153" s="229">
        <v>91.7</v>
      </c>
      <c r="K153" s="229">
        <v>22.4</v>
      </c>
      <c r="L153" s="229">
        <v>25.36</v>
      </c>
      <c r="M153" s="229">
        <v>2.2999999999999998</v>
      </c>
      <c r="N153" s="229">
        <v>7.3</v>
      </c>
      <c r="O153" s="229">
        <v>12.9</v>
      </c>
      <c r="P153" s="229">
        <v>0</v>
      </c>
      <c r="Q153" s="229">
        <v>5.5</v>
      </c>
      <c r="S153" s="122">
        <f t="shared" si="21"/>
        <v>26</v>
      </c>
      <c r="T153" s="122">
        <f t="shared" si="22"/>
        <v>5</v>
      </c>
      <c r="U153" s="122">
        <f>YEAR(Inputs!$I$8)</f>
        <v>2015</v>
      </c>
      <c r="V153" s="108">
        <f t="shared" si="19"/>
        <v>42150</v>
      </c>
      <c r="W153" s="69">
        <v>42150</v>
      </c>
      <c r="X153" s="116">
        <v>17.899999999999999</v>
      </c>
      <c r="Y153" s="116">
        <v>27.4</v>
      </c>
      <c r="Z153" s="116">
        <v>8.3000000000000007</v>
      </c>
      <c r="AA153" s="116">
        <v>53.3</v>
      </c>
      <c r="AB153" s="116">
        <v>90.5</v>
      </c>
      <c r="AC153" s="116">
        <v>15.7</v>
      </c>
      <c r="AD153" s="116">
        <v>30.59</v>
      </c>
      <c r="AE153" s="116">
        <v>1.6</v>
      </c>
      <c r="AF153" s="116">
        <v>6.2</v>
      </c>
      <c r="AG153" s="116">
        <v>12.8</v>
      </c>
      <c r="AH153" s="116">
        <v>0</v>
      </c>
      <c r="AI153" s="116">
        <v>5.9</v>
      </c>
    </row>
    <row r="154" spans="1:35" s="71" customFormat="1">
      <c r="A154" s="210">
        <f t="shared" si="16"/>
        <v>27</v>
      </c>
      <c r="B154" s="210">
        <f t="shared" si="17"/>
        <v>5</v>
      </c>
      <c r="C154" s="210">
        <f t="shared" si="20"/>
        <v>2015</v>
      </c>
      <c r="D154" s="106">
        <f t="shared" si="18"/>
        <v>42151</v>
      </c>
      <c r="E154" s="230">
        <v>42151</v>
      </c>
      <c r="F154" s="229">
        <v>18.5</v>
      </c>
      <c r="G154" s="229">
        <v>28</v>
      </c>
      <c r="H154" s="229">
        <v>10</v>
      </c>
      <c r="I154" s="229">
        <v>65</v>
      </c>
      <c r="J154" s="229">
        <v>97.8</v>
      </c>
      <c r="K154" s="229">
        <v>31.3</v>
      </c>
      <c r="L154" s="229">
        <v>28.14</v>
      </c>
      <c r="M154" s="229">
        <v>1.6</v>
      </c>
      <c r="N154" s="229">
        <v>7</v>
      </c>
      <c r="O154" s="229">
        <v>12.2</v>
      </c>
      <c r="P154" s="229">
        <v>0</v>
      </c>
      <c r="Q154" s="229">
        <v>5.5</v>
      </c>
      <c r="S154" s="122">
        <f t="shared" si="21"/>
        <v>27</v>
      </c>
      <c r="T154" s="122">
        <f t="shared" si="22"/>
        <v>5</v>
      </c>
      <c r="U154" s="122">
        <f>YEAR(Inputs!$I$8)</f>
        <v>2015</v>
      </c>
      <c r="V154" s="108">
        <f t="shared" si="19"/>
        <v>42151</v>
      </c>
      <c r="W154" s="69">
        <v>42151</v>
      </c>
      <c r="X154" s="116">
        <v>18.399999999999999</v>
      </c>
      <c r="Y154" s="116">
        <v>26.8</v>
      </c>
      <c r="Z154" s="116">
        <v>9.4</v>
      </c>
      <c r="AA154" s="116">
        <v>57.5</v>
      </c>
      <c r="AB154" s="116">
        <v>83.6</v>
      </c>
      <c r="AC154" s="116">
        <v>27.9</v>
      </c>
      <c r="AD154" s="116">
        <v>30.23</v>
      </c>
      <c r="AE154" s="116">
        <v>1.9</v>
      </c>
      <c r="AF154" s="116">
        <v>6.5</v>
      </c>
      <c r="AG154" s="116">
        <v>12.9</v>
      </c>
      <c r="AH154" s="116">
        <v>0</v>
      </c>
      <c r="AI154" s="116">
        <v>5.9</v>
      </c>
    </row>
    <row r="155" spans="1:35" s="71" customFormat="1">
      <c r="A155" s="210">
        <f t="shared" si="16"/>
        <v>28</v>
      </c>
      <c r="B155" s="210">
        <f t="shared" si="17"/>
        <v>5</v>
      </c>
      <c r="C155" s="210">
        <f t="shared" si="20"/>
        <v>2015</v>
      </c>
      <c r="D155" s="106">
        <f t="shared" si="18"/>
        <v>42152</v>
      </c>
      <c r="E155" s="230">
        <v>42152</v>
      </c>
      <c r="F155" s="229">
        <v>19.3</v>
      </c>
      <c r="G155" s="229">
        <v>28.4</v>
      </c>
      <c r="H155" s="229">
        <v>8.6</v>
      </c>
      <c r="I155" s="229">
        <v>58.3</v>
      </c>
      <c r="J155" s="229">
        <v>95.5</v>
      </c>
      <c r="K155" s="229">
        <v>24</v>
      </c>
      <c r="L155" s="229">
        <v>29.41</v>
      </c>
      <c r="M155" s="229">
        <v>2.5</v>
      </c>
      <c r="N155" s="229">
        <v>10.1</v>
      </c>
      <c r="O155" s="229">
        <v>12.9</v>
      </c>
      <c r="P155" s="229">
        <v>0</v>
      </c>
      <c r="Q155" s="229">
        <v>6.4</v>
      </c>
      <c r="S155" s="122">
        <f t="shared" si="21"/>
        <v>28</v>
      </c>
      <c r="T155" s="122">
        <f t="shared" si="22"/>
        <v>5</v>
      </c>
      <c r="U155" s="122">
        <f>YEAR(Inputs!$I$8)</f>
        <v>2015</v>
      </c>
      <c r="V155" s="108">
        <f t="shared" si="19"/>
        <v>42152</v>
      </c>
      <c r="W155" s="69">
        <v>42152</v>
      </c>
      <c r="X155" s="116">
        <v>18.8</v>
      </c>
      <c r="Y155" s="116">
        <v>27</v>
      </c>
      <c r="Z155" s="116">
        <v>10.4</v>
      </c>
      <c r="AA155" s="116">
        <v>57.1</v>
      </c>
      <c r="AB155" s="116">
        <v>94.5</v>
      </c>
      <c r="AC155" s="116">
        <v>28.6</v>
      </c>
      <c r="AD155" s="116">
        <v>29.8</v>
      </c>
      <c r="AE155" s="116">
        <v>2.8</v>
      </c>
      <c r="AF155" s="116">
        <v>6.8</v>
      </c>
      <c r="AG155" s="116">
        <v>12.8</v>
      </c>
      <c r="AH155" s="116">
        <v>0</v>
      </c>
      <c r="AI155" s="116">
        <v>6.3</v>
      </c>
    </row>
    <row r="156" spans="1:35" s="71" customFormat="1">
      <c r="A156" s="210">
        <f t="shared" si="16"/>
        <v>29</v>
      </c>
      <c r="B156" s="210">
        <f t="shared" si="17"/>
        <v>5</v>
      </c>
      <c r="C156" s="210">
        <f t="shared" si="20"/>
        <v>2015</v>
      </c>
      <c r="D156" s="106">
        <f t="shared" si="18"/>
        <v>42153</v>
      </c>
      <c r="E156" s="230">
        <v>42153</v>
      </c>
      <c r="F156" s="229">
        <v>15.8</v>
      </c>
      <c r="G156" s="229">
        <v>24.5</v>
      </c>
      <c r="H156" s="229">
        <v>10.6</v>
      </c>
      <c r="I156" s="229">
        <v>69.900000000000006</v>
      </c>
      <c r="J156" s="229">
        <v>92.1</v>
      </c>
      <c r="K156" s="229">
        <v>30.5</v>
      </c>
      <c r="L156" s="229">
        <v>26.43</v>
      </c>
      <c r="M156" s="229">
        <v>3.3</v>
      </c>
      <c r="N156" s="229">
        <v>14</v>
      </c>
      <c r="O156" s="229">
        <v>12.6</v>
      </c>
      <c r="P156" s="229">
        <v>0.2</v>
      </c>
      <c r="Q156" s="229">
        <v>5.7</v>
      </c>
      <c r="S156" s="122">
        <f t="shared" si="21"/>
        <v>29</v>
      </c>
      <c r="T156" s="122">
        <f t="shared" si="22"/>
        <v>5</v>
      </c>
      <c r="U156" s="122">
        <f>YEAR(Inputs!$I$8)</f>
        <v>2015</v>
      </c>
      <c r="V156" s="108">
        <f t="shared" si="19"/>
        <v>42153</v>
      </c>
      <c r="W156" s="69">
        <v>42153</v>
      </c>
      <c r="X156" s="116">
        <v>19.5</v>
      </c>
      <c r="Y156" s="116">
        <v>28.5</v>
      </c>
      <c r="Z156" s="116">
        <v>11.9</v>
      </c>
      <c r="AA156" s="116">
        <v>52</v>
      </c>
      <c r="AB156" s="116">
        <v>92</v>
      </c>
      <c r="AC156" s="116">
        <v>23.3</v>
      </c>
      <c r="AD156" s="116">
        <v>25.44</v>
      </c>
      <c r="AE156" s="116">
        <v>1.9</v>
      </c>
      <c r="AF156" s="116">
        <v>11.3</v>
      </c>
      <c r="AG156" s="116">
        <v>11.9</v>
      </c>
      <c r="AH156" s="116">
        <v>3.9</v>
      </c>
      <c r="AI156" s="116">
        <v>5.7</v>
      </c>
    </row>
    <row r="157" spans="1:35" s="71" customFormat="1">
      <c r="A157" s="210">
        <f t="shared" si="16"/>
        <v>30</v>
      </c>
      <c r="B157" s="210">
        <f t="shared" si="17"/>
        <v>5</v>
      </c>
      <c r="C157" s="210">
        <f t="shared" si="20"/>
        <v>2015</v>
      </c>
      <c r="D157" s="106">
        <f t="shared" si="18"/>
        <v>42154</v>
      </c>
      <c r="E157" s="230">
        <v>42154</v>
      </c>
      <c r="F157" s="229">
        <v>14.6</v>
      </c>
      <c r="G157" s="229">
        <v>21.3</v>
      </c>
      <c r="H157" s="229">
        <v>8.4</v>
      </c>
      <c r="I157" s="229">
        <v>66.8</v>
      </c>
      <c r="J157" s="229">
        <v>94.5</v>
      </c>
      <c r="K157" s="229">
        <v>35.700000000000003</v>
      </c>
      <c r="L157" s="229">
        <v>22.59</v>
      </c>
      <c r="M157" s="229">
        <v>3.7</v>
      </c>
      <c r="N157" s="229">
        <v>7.9</v>
      </c>
      <c r="O157" s="229">
        <v>12.8</v>
      </c>
      <c r="P157" s="229">
        <v>0</v>
      </c>
      <c r="Q157" s="229">
        <v>4.8</v>
      </c>
      <c r="S157" s="122">
        <f t="shared" si="21"/>
        <v>30</v>
      </c>
      <c r="T157" s="122">
        <f t="shared" si="22"/>
        <v>5</v>
      </c>
      <c r="U157" s="122">
        <f>YEAR(Inputs!$I$8)</f>
        <v>2015</v>
      </c>
      <c r="V157" s="108">
        <f t="shared" si="19"/>
        <v>42154</v>
      </c>
      <c r="W157" s="69">
        <v>42154</v>
      </c>
      <c r="X157" s="116">
        <v>18.600000000000001</v>
      </c>
      <c r="Y157" s="116">
        <v>26.5</v>
      </c>
      <c r="Z157" s="116">
        <v>12.9</v>
      </c>
      <c r="AA157" s="116">
        <v>71.599999999999994</v>
      </c>
      <c r="AB157" s="116">
        <v>96</v>
      </c>
      <c r="AC157" s="116">
        <v>36.700000000000003</v>
      </c>
      <c r="AD157" s="116">
        <v>21.32</v>
      </c>
      <c r="AE157" s="116">
        <v>1.4</v>
      </c>
      <c r="AF157" s="116">
        <v>8.1</v>
      </c>
      <c r="AG157" s="116">
        <v>13.2</v>
      </c>
      <c r="AH157" s="116">
        <v>7.3</v>
      </c>
      <c r="AI157" s="116">
        <v>4.4000000000000004</v>
      </c>
    </row>
    <row r="158" spans="1:35" s="71" customFormat="1">
      <c r="A158" s="210">
        <f t="shared" si="16"/>
        <v>31</v>
      </c>
      <c r="B158" s="210">
        <f t="shared" si="17"/>
        <v>5</v>
      </c>
      <c r="C158" s="210">
        <f t="shared" si="20"/>
        <v>2015</v>
      </c>
      <c r="D158" s="106">
        <f t="shared" si="18"/>
        <v>42155</v>
      </c>
      <c r="E158" s="230">
        <v>42155</v>
      </c>
      <c r="F158" s="229">
        <v>14.8</v>
      </c>
      <c r="G158" s="229">
        <v>22.8</v>
      </c>
      <c r="H158" s="229">
        <v>6.9</v>
      </c>
      <c r="I158" s="229">
        <v>62.5</v>
      </c>
      <c r="J158" s="229">
        <v>93.4</v>
      </c>
      <c r="K158" s="229">
        <v>28.8</v>
      </c>
      <c r="L158" s="229">
        <v>28.93</v>
      </c>
      <c r="M158" s="229">
        <v>2</v>
      </c>
      <c r="N158" s="229">
        <v>7.4</v>
      </c>
      <c r="O158" s="229">
        <v>13</v>
      </c>
      <c r="P158" s="229">
        <v>0</v>
      </c>
      <c r="Q158" s="229">
        <v>5.2</v>
      </c>
      <c r="S158" s="122">
        <f t="shared" si="21"/>
        <v>31</v>
      </c>
      <c r="T158" s="122">
        <f t="shared" si="22"/>
        <v>5</v>
      </c>
      <c r="U158" s="122">
        <f>YEAR(Inputs!$I$8)</f>
        <v>2015</v>
      </c>
      <c r="V158" s="108">
        <f t="shared" si="19"/>
        <v>42155</v>
      </c>
      <c r="W158" s="69">
        <v>42155</v>
      </c>
      <c r="X158" s="116">
        <v>17.5</v>
      </c>
      <c r="Y158" s="116">
        <v>27</v>
      </c>
      <c r="Z158" s="116">
        <v>10.8</v>
      </c>
      <c r="AA158" s="116">
        <v>69.900000000000006</v>
      </c>
      <c r="AB158" s="116">
        <v>95.7</v>
      </c>
      <c r="AC158" s="116">
        <v>30.4</v>
      </c>
      <c r="AD158" s="116">
        <v>21.86</v>
      </c>
      <c r="AE158" s="116">
        <v>1.7</v>
      </c>
      <c r="AF158" s="116">
        <v>9.8000000000000007</v>
      </c>
      <c r="AG158" s="116">
        <v>12.9</v>
      </c>
      <c r="AH158" s="116">
        <v>1.8</v>
      </c>
      <c r="AI158" s="116">
        <v>4.8</v>
      </c>
    </row>
    <row r="159" spans="1:35" s="71" customFormat="1">
      <c r="A159" s="210">
        <f t="shared" si="16"/>
        <v>1</v>
      </c>
      <c r="B159" s="210">
        <f t="shared" si="17"/>
        <v>6</v>
      </c>
      <c r="C159" s="210">
        <f t="shared" si="20"/>
        <v>2015</v>
      </c>
      <c r="D159" s="106">
        <f t="shared" si="18"/>
        <v>42156</v>
      </c>
      <c r="E159" s="230">
        <v>42156</v>
      </c>
      <c r="F159" s="229">
        <v>16</v>
      </c>
      <c r="G159" s="229">
        <v>24.7</v>
      </c>
      <c r="H159" s="229">
        <v>5.8</v>
      </c>
      <c r="I159" s="229">
        <v>57.1</v>
      </c>
      <c r="J159" s="229">
        <v>91.7</v>
      </c>
      <c r="K159" s="229">
        <v>25.4</v>
      </c>
      <c r="L159" s="229">
        <v>30.13</v>
      </c>
      <c r="M159" s="229">
        <v>1.9</v>
      </c>
      <c r="N159" s="229">
        <v>7.4</v>
      </c>
      <c r="O159" s="229">
        <v>13.1</v>
      </c>
      <c r="P159" s="229">
        <v>0</v>
      </c>
      <c r="Q159" s="229">
        <v>5.5</v>
      </c>
      <c r="S159" s="122">
        <f t="shared" si="21"/>
        <v>1</v>
      </c>
      <c r="T159" s="122">
        <f t="shared" si="22"/>
        <v>6</v>
      </c>
      <c r="U159" s="122">
        <f>YEAR(Inputs!$I$8)</f>
        <v>2015</v>
      </c>
      <c r="V159" s="108">
        <f t="shared" si="19"/>
        <v>42156</v>
      </c>
      <c r="W159" s="69">
        <v>42156</v>
      </c>
      <c r="X159" s="116">
        <v>19.5</v>
      </c>
      <c r="Y159" s="116">
        <v>28.6</v>
      </c>
      <c r="Z159" s="116">
        <v>11.7</v>
      </c>
      <c r="AA159" s="116">
        <v>63.7</v>
      </c>
      <c r="AB159" s="116">
        <v>92.1</v>
      </c>
      <c r="AC159" s="116">
        <v>28.2</v>
      </c>
      <c r="AD159" s="116">
        <v>25.19</v>
      </c>
      <c r="AE159" s="116">
        <v>1.8</v>
      </c>
      <c r="AF159" s="116">
        <v>7.7</v>
      </c>
      <c r="AG159" s="116">
        <v>12.3</v>
      </c>
      <c r="AH159" s="116">
        <v>0</v>
      </c>
      <c r="AI159" s="116">
        <v>5.5</v>
      </c>
    </row>
    <row r="160" spans="1:35" s="71" customFormat="1">
      <c r="A160" s="210">
        <f t="shared" si="16"/>
        <v>2</v>
      </c>
      <c r="B160" s="210">
        <f t="shared" si="17"/>
        <v>6</v>
      </c>
      <c r="C160" s="210">
        <f t="shared" si="20"/>
        <v>2015</v>
      </c>
      <c r="D160" s="106">
        <f t="shared" si="18"/>
        <v>42157</v>
      </c>
      <c r="E160" s="230">
        <v>42157</v>
      </c>
      <c r="F160" s="229">
        <v>17</v>
      </c>
      <c r="G160" s="229">
        <v>26.9</v>
      </c>
      <c r="H160" s="229">
        <v>5.8</v>
      </c>
      <c r="I160" s="229">
        <v>50.4</v>
      </c>
      <c r="J160" s="229">
        <v>94</v>
      </c>
      <c r="K160" s="229">
        <v>16</v>
      </c>
      <c r="L160" s="229">
        <v>30.95</v>
      </c>
      <c r="M160" s="229">
        <v>1.6</v>
      </c>
      <c r="N160" s="229">
        <v>5.7</v>
      </c>
      <c r="O160" s="229">
        <v>13.1</v>
      </c>
      <c r="P160" s="229">
        <v>0</v>
      </c>
      <c r="Q160" s="229">
        <v>5.9</v>
      </c>
      <c r="S160" s="122">
        <f t="shared" si="21"/>
        <v>2</v>
      </c>
      <c r="T160" s="122">
        <f t="shared" si="22"/>
        <v>6</v>
      </c>
      <c r="U160" s="122">
        <f>YEAR(Inputs!$I$8)</f>
        <v>2015</v>
      </c>
      <c r="V160" s="108">
        <f t="shared" si="19"/>
        <v>42157</v>
      </c>
      <c r="W160" s="69">
        <v>42157</v>
      </c>
      <c r="X160" s="116">
        <v>20.7</v>
      </c>
      <c r="Y160" s="116">
        <v>29.1</v>
      </c>
      <c r="Z160" s="116">
        <v>11.9</v>
      </c>
      <c r="AA160" s="116">
        <v>59.7</v>
      </c>
      <c r="AB160" s="116">
        <v>94.5</v>
      </c>
      <c r="AC160" s="116">
        <v>24.2</v>
      </c>
      <c r="AD160" s="116">
        <v>29.23</v>
      </c>
      <c r="AE160" s="116">
        <v>1.8</v>
      </c>
      <c r="AF160" s="116">
        <v>6.4</v>
      </c>
      <c r="AG160" s="116">
        <v>12.4</v>
      </c>
      <c r="AH160" s="116">
        <v>0</v>
      </c>
      <c r="AI160" s="116">
        <v>6.1</v>
      </c>
    </row>
    <row r="161" spans="1:35" s="71" customFormat="1">
      <c r="A161" s="210">
        <f t="shared" si="16"/>
        <v>3</v>
      </c>
      <c r="B161" s="210">
        <f t="shared" si="17"/>
        <v>6</v>
      </c>
      <c r="C161" s="210">
        <f t="shared" si="20"/>
        <v>2015</v>
      </c>
      <c r="D161" s="106">
        <f t="shared" si="18"/>
        <v>42158</v>
      </c>
      <c r="E161" s="230">
        <v>42158</v>
      </c>
      <c r="F161" s="229">
        <v>18.899999999999999</v>
      </c>
      <c r="G161" s="229">
        <v>30.1</v>
      </c>
      <c r="H161" s="229">
        <v>6.3</v>
      </c>
      <c r="I161" s="229">
        <v>49.4</v>
      </c>
      <c r="J161" s="229">
        <v>91.2</v>
      </c>
      <c r="K161" s="229">
        <v>16</v>
      </c>
      <c r="L161" s="229">
        <v>29.53</v>
      </c>
      <c r="M161" s="229">
        <v>1.2</v>
      </c>
      <c r="N161" s="229">
        <v>4.7</v>
      </c>
      <c r="O161" s="229">
        <v>12.6</v>
      </c>
      <c r="P161" s="229">
        <v>0</v>
      </c>
      <c r="Q161" s="229">
        <v>5.8</v>
      </c>
      <c r="S161" s="122">
        <f t="shared" si="21"/>
        <v>3</v>
      </c>
      <c r="T161" s="122">
        <f t="shared" si="22"/>
        <v>6</v>
      </c>
      <c r="U161" s="122">
        <f>YEAR(Inputs!$I$8)</f>
        <v>2015</v>
      </c>
      <c r="V161" s="108">
        <f t="shared" si="19"/>
        <v>42158</v>
      </c>
      <c r="W161" s="69">
        <v>42158</v>
      </c>
      <c r="X161" s="116">
        <v>21.3</v>
      </c>
      <c r="Y161" s="116">
        <v>29.6</v>
      </c>
      <c r="Z161" s="116">
        <v>14.1</v>
      </c>
      <c r="AA161" s="116">
        <v>47.6</v>
      </c>
      <c r="AB161" s="116">
        <v>79.2</v>
      </c>
      <c r="AC161" s="116">
        <v>21.1</v>
      </c>
      <c r="AD161" s="116">
        <v>29.61</v>
      </c>
      <c r="AE161" s="116">
        <v>2.1</v>
      </c>
      <c r="AF161" s="116">
        <v>6.5</v>
      </c>
      <c r="AG161" s="116">
        <v>12.2</v>
      </c>
      <c r="AH161" s="116">
        <v>0</v>
      </c>
      <c r="AI161" s="116">
        <v>6.6</v>
      </c>
    </row>
    <row r="162" spans="1:35" s="71" customFormat="1">
      <c r="A162" s="210">
        <f t="shared" si="16"/>
        <v>4</v>
      </c>
      <c r="B162" s="210">
        <f t="shared" si="17"/>
        <v>6</v>
      </c>
      <c r="C162" s="210">
        <f t="shared" si="20"/>
        <v>2015</v>
      </c>
      <c r="D162" s="106">
        <f t="shared" si="18"/>
        <v>42159</v>
      </c>
      <c r="E162" s="230">
        <v>42159</v>
      </c>
      <c r="F162" s="229">
        <v>20.399999999999999</v>
      </c>
      <c r="G162" s="229">
        <v>30.2</v>
      </c>
      <c r="H162" s="229">
        <v>11.2</v>
      </c>
      <c r="I162" s="229">
        <v>53.6</v>
      </c>
      <c r="J162" s="229">
        <v>90.9</v>
      </c>
      <c r="K162" s="229">
        <v>21.2</v>
      </c>
      <c r="L162" s="229">
        <v>26.19</v>
      </c>
      <c r="M162" s="229">
        <v>1.6</v>
      </c>
      <c r="N162" s="229">
        <v>7</v>
      </c>
      <c r="O162" s="229">
        <v>11.6</v>
      </c>
      <c r="P162" s="229">
        <v>0</v>
      </c>
      <c r="Q162" s="229">
        <v>5.7</v>
      </c>
      <c r="S162" s="122">
        <f t="shared" si="21"/>
        <v>4</v>
      </c>
      <c r="T162" s="122">
        <f t="shared" si="22"/>
        <v>6</v>
      </c>
      <c r="U162" s="122">
        <f>YEAR(Inputs!$I$8)</f>
        <v>2015</v>
      </c>
      <c r="V162" s="108">
        <f t="shared" si="19"/>
        <v>42159</v>
      </c>
      <c r="W162" s="69">
        <v>42159</v>
      </c>
      <c r="X162" s="116">
        <v>19.600000000000001</v>
      </c>
      <c r="Y162" s="116">
        <v>28.2</v>
      </c>
      <c r="Z162" s="116">
        <v>10.1</v>
      </c>
      <c r="AA162" s="116">
        <v>48.7</v>
      </c>
      <c r="AB162" s="116">
        <v>85.6</v>
      </c>
      <c r="AC162" s="116">
        <v>15</v>
      </c>
      <c r="AD162" s="116">
        <v>31.16</v>
      </c>
      <c r="AE162" s="116">
        <v>2.2999999999999998</v>
      </c>
      <c r="AF162" s="116">
        <v>6.9</v>
      </c>
      <c r="AG162" s="116">
        <v>13.1</v>
      </c>
      <c r="AH162" s="116">
        <v>0</v>
      </c>
      <c r="AI162" s="116">
        <v>6.8</v>
      </c>
    </row>
    <row r="163" spans="1:35" s="71" customFormat="1">
      <c r="A163" s="210">
        <f t="shared" si="16"/>
        <v>5</v>
      </c>
      <c r="B163" s="210">
        <f t="shared" si="17"/>
        <v>6</v>
      </c>
      <c r="C163" s="210">
        <f t="shared" si="20"/>
        <v>2015</v>
      </c>
      <c r="D163" s="106">
        <f t="shared" si="18"/>
        <v>42160</v>
      </c>
      <c r="E163" s="230">
        <v>42160</v>
      </c>
      <c r="F163" s="229">
        <v>19.399999999999999</v>
      </c>
      <c r="G163" s="229">
        <v>27.1</v>
      </c>
      <c r="H163" s="229">
        <v>12</v>
      </c>
      <c r="I163" s="229">
        <v>62.4</v>
      </c>
      <c r="J163" s="229">
        <v>91.9</v>
      </c>
      <c r="K163" s="229">
        <v>27.2</v>
      </c>
      <c r="L163" s="229">
        <v>24.79</v>
      </c>
      <c r="M163" s="229">
        <v>2</v>
      </c>
      <c r="N163" s="229">
        <v>6.2</v>
      </c>
      <c r="O163" s="229">
        <v>12.8</v>
      </c>
      <c r="P163" s="229">
        <v>0</v>
      </c>
      <c r="Q163" s="229">
        <v>5.4</v>
      </c>
      <c r="S163" s="122">
        <f t="shared" si="21"/>
        <v>5</v>
      </c>
      <c r="T163" s="122">
        <f t="shared" si="22"/>
        <v>6</v>
      </c>
      <c r="U163" s="122">
        <f>YEAR(Inputs!$I$8)</f>
        <v>2015</v>
      </c>
      <c r="V163" s="108">
        <f t="shared" si="19"/>
        <v>42160</v>
      </c>
      <c r="W163" s="69">
        <v>42160</v>
      </c>
      <c r="X163" s="116">
        <v>19.7</v>
      </c>
      <c r="Y163" s="116">
        <v>28.6</v>
      </c>
      <c r="Z163" s="116">
        <v>10.199999999999999</v>
      </c>
      <c r="AA163" s="116">
        <v>49.2</v>
      </c>
      <c r="AB163" s="116">
        <v>84.4</v>
      </c>
      <c r="AC163" s="116">
        <v>15.2</v>
      </c>
      <c r="AD163" s="116">
        <v>31.05</v>
      </c>
      <c r="AE163" s="116">
        <v>1.9</v>
      </c>
      <c r="AF163" s="116">
        <v>5.9</v>
      </c>
      <c r="AG163" s="116">
        <v>13.2</v>
      </c>
      <c r="AH163" s="116">
        <v>0</v>
      </c>
      <c r="AI163" s="116">
        <v>6.5</v>
      </c>
    </row>
    <row r="164" spans="1:35" s="71" customFormat="1">
      <c r="A164" s="210">
        <f t="shared" si="16"/>
        <v>6</v>
      </c>
      <c r="B164" s="210">
        <f t="shared" si="17"/>
        <v>6</v>
      </c>
      <c r="C164" s="210">
        <f t="shared" si="20"/>
        <v>2015</v>
      </c>
      <c r="D164" s="106">
        <f t="shared" si="18"/>
        <v>42161</v>
      </c>
      <c r="E164" s="230">
        <v>42161</v>
      </c>
      <c r="F164" s="229">
        <v>20.2</v>
      </c>
      <c r="G164" s="229">
        <v>29.4</v>
      </c>
      <c r="H164" s="229">
        <v>8.6</v>
      </c>
      <c r="I164" s="229">
        <v>57.9</v>
      </c>
      <c r="J164" s="229">
        <v>96.7</v>
      </c>
      <c r="K164" s="229">
        <v>23.2</v>
      </c>
      <c r="L164" s="229">
        <v>27.94</v>
      </c>
      <c r="M164" s="229">
        <v>1.4</v>
      </c>
      <c r="N164" s="229">
        <v>6.8</v>
      </c>
      <c r="O164" s="229">
        <v>13</v>
      </c>
      <c r="P164" s="229">
        <v>0</v>
      </c>
      <c r="Q164" s="229">
        <v>5.6</v>
      </c>
      <c r="S164" s="122">
        <f t="shared" si="21"/>
        <v>6</v>
      </c>
      <c r="T164" s="122">
        <f t="shared" si="22"/>
        <v>6</v>
      </c>
      <c r="U164" s="122">
        <f>YEAR(Inputs!$I$8)</f>
        <v>2015</v>
      </c>
      <c r="V164" s="108">
        <f t="shared" si="19"/>
        <v>42161</v>
      </c>
      <c r="W164" s="69">
        <v>42161</v>
      </c>
      <c r="X164" s="116">
        <v>20.7</v>
      </c>
      <c r="Y164" s="116">
        <v>29.6</v>
      </c>
      <c r="Z164" s="116">
        <v>10.8</v>
      </c>
      <c r="AA164" s="116">
        <v>46.4</v>
      </c>
      <c r="AB164" s="116">
        <v>87.9</v>
      </c>
      <c r="AC164" s="116">
        <v>17.399999999999999</v>
      </c>
      <c r="AD164" s="116">
        <v>30.68</v>
      </c>
      <c r="AE164" s="116">
        <v>2.1</v>
      </c>
      <c r="AF164" s="116">
        <v>8.5</v>
      </c>
      <c r="AG164" s="116">
        <v>13.1</v>
      </c>
      <c r="AH164" s="116">
        <v>0</v>
      </c>
      <c r="AI164" s="116">
        <v>6.7</v>
      </c>
    </row>
    <row r="165" spans="1:35" s="71" customFormat="1">
      <c r="A165" s="210">
        <f t="shared" si="16"/>
        <v>7</v>
      </c>
      <c r="B165" s="210">
        <f t="shared" si="17"/>
        <v>6</v>
      </c>
      <c r="C165" s="210">
        <f t="shared" si="20"/>
        <v>2015</v>
      </c>
      <c r="D165" s="106">
        <f t="shared" si="18"/>
        <v>42162</v>
      </c>
      <c r="E165" s="230">
        <v>42162</v>
      </c>
      <c r="F165" s="229">
        <v>22.5</v>
      </c>
      <c r="G165" s="229">
        <v>31.4</v>
      </c>
      <c r="H165" s="229">
        <v>13.8</v>
      </c>
      <c r="I165" s="229">
        <v>50.8</v>
      </c>
      <c r="J165" s="229">
        <v>82.6</v>
      </c>
      <c r="K165" s="229">
        <v>20.6</v>
      </c>
      <c r="L165" s="229">
        <v>27.88</v>
      </c>
      <c r="M165" s="229">
        <v>1.4</v>
      </c>
      <c r="N165" s="229">
        <v>5.9</v>
      </c>
      <c r="O165" s="229">
        <v>13</v>
      </c>
      <c r="P165" s="229">
        <v>0</v>
      </c>
      <c r="Q165" s="229">
        <v>6</v>
      </c>
      <c r="S165" s="122">
        <f t="shared" si="21"/>
        <v>7</v>
      </c>
      <c r="T165" s="122">
        <f t="shared" si="22"/>
        <v>6</v>
      </c>
      <c r="U165" s="122">
        <f>YEAR(Inputs!$I$8)</f>
        <v>2015</v>
      </c>
      <c r="V165" s="108">
        <f t="shared" si="19"/>
        <v>42162</v>
      </c>
      <c r="W165" s="69">
        <v>42162</v>
      </c>
      <c r="X165" s="116">
        <v>20.100000000000001</v>
      </c>
      <c r="Y165" s="116">
        <v>29.3</v>
      </c>
      <c r="Z165" s="116">
        <v>10.8</v>
      </c>
      <c r="AA165" s="116">
        <v>46.7</v>
      </c>
      <c r="AB165" s="116">
        <v>81.8</v>
      </c>
      <c r="AC165" s="116">
        <v>16.899999999999999</v>
      </c>
      <c r="AD165" s="116">
        <v>31.75</v>
      </c>
      <c r="AE165" s="116">
        <v>2</v>
      </c>
      <c r="AF165" s="116">
        <v>5.9</v>
      </c>
      <c r="AG165" s="116">
        <v>13.2</v>
      </c>
      <c r="AH165" s="116">
        <v>0</v>
      </c>
      <c r="AI165" s="116">
        <v>6.7</v>
      </c>
    </row>
    <row r="166" spans="1:35" s="71" customFormat="1">
      <c r="A166" s="210">
        <f t="shared" si="16"/>
        <v>8</v>
      </c>
      <c r="B166" s="210">
        <f t="shared" si="17"/>
        <v>6</v>
      </c>
      <c r="C166" s="210">
        <f t="shared" si="20"/>
        <v>2015</v>
      </c>
      <c r="D166" s="106">
        <f t="shared" si="18"/>
        <v>42163</v>
      </c>
      <c r="E166" s="230">
        <v>42163</v>
      </c>
      <c r="F166" s="229">
        <v>22.4</v>
      </c>
      <c r="G166" s="229">
        <v>32.1</v>
      </c>
      <c r="H166" s="229">
        <v>12.8</v>
      </c>
      <c r="I166" s="229">
        <v>50.6</v>
      </c>
      <c r="J166" s="229">
        <v>90.6</v>
      </c>
      <c r="K166" s="229">
        <v>22</v>
      </c>
      <c r="L166" s="229">
        <v>29.9</v>
      </c>
      <c r="M166" s="229">
        <v>1.8</v>
      </c>
      <c r="N166" s="229">
        <v>6.6</v>
      </c>
      <c r="O166" s="229">
        <v>13</v>
      </c>
      <c r="P166" s="229">
        <v>0</v>
      </c>
      <c r="Q166" s="229">
        <v>6.6</v>
      </c>
      <c r="S166" s="122">
        <f t="shared" si="21"/>
        <v>8</v>
      </c>
      <c r="T166" s="122">
        <f t="shared" si="22"/>
        <v>6</v>
      </c>
      <c r="U166" s="122">
        <f>YEAR(Inputs!$I$8)</f>
        <v>2015</v>
      </c>
      <c r="V166" s="108">
        <f t="shared" si="19"/>
        <v>42163</v>
      </c>
      <c r="W166" s="69">
        <v>42163</v>
      </c>
      <c r="X166" s="116">
        <v>20.5</v>
      </c>
      <c r="Y166" s="116">
        <v>29.4</v>
      </c>
      <c r="Z166" s="116">
        <v>9.8000000000000007</v>
      </c>
      <c r="AA166" s="116">
        <v>47.2</v>
      </c>
      <c r="AB166" s="116">
        <v>80.400000000000006</v>
      </c>
      <c r="AC166" s="116">
        <v>22.4</v>
      </c>
      <c r="AD166" s="116">
        <v>30.97</v>
      </c>
      <c r="AE166" s="116">
        <v>1.7</v>
      </c>
      <c r="AF166" s="116">
        <v>5.7</v>
      </c>
      <c r="AG166" s="116">
        <v>13.1</v>
      </c>
      <c r="AH166" s="116">
        <v>0</v>
      </c>
      <c r="AI166" s="116">
        <v>6.3</v>
      </c>
    </row>
    <row r="167" spans="1:35" s="71" customFormat="1">
      <c r="A167" s="210">
        <f t="shared" si="16"/>
        <v>9</v>
      </c>
      <c r="B167" s="210">
        <f t="shared" si="17"/>
        <v>6</v>
      </c>
      <c r="C167" s="210">
        <f t="shared" si="20"/>
        <v>2015</v>
      </c>
      <c r="D167" s="106">
        <f t="shared" si="18"/>
        <v>42164</v>
      </c>
      <c r="E167" s="230">
        <v>42164</v>
      </c>
      <c r="F167" s="229">
        <v>23.6</v>
      </c>
      <c r="G167" s="229">
        <v>34.9</v>
      </c>
      <c r="H167" s="229">
        <v>12.4</v>
      </c>
      <c r="I167" s="229">
        <v>48.3</v>
      </c>
      <c r="J167" s="229">
        <v>86.8</v>
      </c>
      <c r="K167" s="229">
        <v>18.5</v>
      </c>
      <c r="L167" s="229">
        <v>30.17</v>
      </c>
      <c r="M167" s="229">
        <v>1.7</v>
      </c>
      <c r="N167" s="229">
        <v>7.3</v>
      </c>
      <c r="O167" s="229">
        <v>13.1</v>
      </c>
      <c r="P167" s="229">
        <v>0</v>
      </c>
      <c r="Q167" s="229">
        <v>7.1</v>
      </c>
      <c r="S167" s="122">
        <f t="shared" si="21"/>
        <v>9</v>
      </c>
      <c r="T167" s="122">
        <f t="shared" si="22"/>
        <v>6</v>
      </c>
      <c r="U167" s="122">
        <f>YEAR(Inputs!$I$8)</f>
        <v>2015</v>
      </c>
      <c r="V167" s="108">
        <f t="shared" si="19"/>
        <v>42164</v>
      </c>
      <c r="W167" s="69">
        <v>42164</v>
      </c>
      <c r="X167" s="116">
        <v>21.4</v>
      </c>
      <c r="Y167" s="116">
        <v>30.6</v>
      </c>
      <c r="Z167" s="116">
        <v>12.5</v>
      </c>
      <c r="AA167" s="116">
        <v>51.8</v>
      </c>
      <c r="AB167" s="116">
        <v>87.8</v>
      </c>
      <c r="AC167" s="116">
        <v>20.100000000000001</v>
      </c>
      <c r="AD167" s="116">
        <v>26.69</v>
      </c>
      <c r="AE167" s="116">
        <v>1.8</v>
      </c>
      <c r="AF167" s="116">
        <v>7.6</v>
      </c>
      <c r="AG167" s="116">
        <v>11.8</v>
      </c>
      <c r="AH167" s="116">
        <v>5.7</v>
      </c>
      <c r="AI167" s="116">
        <v>6.1</v>
      </c>
    </row>
    <row r="168" spans="1:35" s="71" customFormat="1">
      <c r="A168" s="210">
        <f t="shared" si="16"/>
        <v>10</v>
      </c>
      <c r="B168" s="210">
        <f t="shared" si="17"/>
        <v>6</v>
      </c>
      <c r="C168" s="210">
        <f t="shared" si="20"/>
        <v>2015</v>
      </c>
      <c r="D168" s="106">
        <f t="shared" si="18"/>
        <v>42165</v>
      </c>
      <c r="E168" s="230">
        <v>42165</v>
      </c>
      <c r="F168" s="229">
        <v>24.5</v>
      </c>
      <c r="G168" s="229">
        <v>35.4</v>
      </c>
      <c r="H168" s="229">
        <v>13.1</v>
      </c>
      <c r="I168" s="229">
        <v>45.4</v>
      </c>
      <c r="J168" s="229">
        <v>82.7</v>
      </c>
      <c r="K168" s="229">
        <v>14.5</v>
      </c>
      <c r="L168" s="229">
        <v>29.19</v>
      </c>
      <c r="M168" s="229">
        <v>1.6</v>
      </c>
      <c r="N168" s="229">
        <v>6.6</v>
      </c>
      <c r="O168" s="229">
        <v>12.6</v>
      </c>
      <c r="P168" s="229">
        <v>0</v>
      </c>
      <c r="Q168" s="229">
        <v>6.9</v>
      </c>
      <c r="S168" s="122">
        <f t="shared" si="21"/>
        <v>10</v>
      </c>
      <c r="T168" s="122">
        <f t="shared" si="22"/>
        <v>6</v>
      </c>
      <c r="U168" s="122">
        <f>YEAR(Inputs!$I$8)</f>
        <v>2015</v>
      </c>
      <c r="V168" s="108">
        <f t="shared" si="19"/>
        <v>42165</v>
      </c>
      <c r="W168" s="69">
        <v>42165</v>
      </c>
      <c r="X168" s="116">
        <v>19.7</v>
      </c>
      <c r="Y168" s="116">
        <v>27.4</v>
      </c>
      <c r="Z168" s="116">
        <v>14.9</v>
      </c>
      <c r="AA168" s="116">
        <v>72</v>
      </c>
      <c r="AB168" s="116">
        <v>94</v>
      </c>
      <c r="AC168" s="116">
        <v>34.799999999999997</v>
      </c>
      <c r="AD168" s="116">
        <v>18.420000000000002</v>
      </c>
      <c r="AE168" s="116">
        <v>2.2999999999999998</v>
      </c>
      <c r="AF168" s="116">
        <v>6.8</v>
      </c>
      <c r="AG168" s="116">
        <v>11</v>
      </c>
      <c r="AH168" s="116">
        <v>1</v>
      </c>
      <c r="AI168" s="116">
        <v>4.7</v>
      </c>
    </row>
    <row r="169" spans="1:35" s="71" customFormat="1">
      <c r="A169" s="210">
        <f t="shared" si="16"/>
        <v>11</v>
      </c>
      <c r="B169" s="210">
        <f t="shared" si="17"/>
        <v>6</v>
      </c>
      <c r="C169" s="210">
        <f t="shared" si="20"/>
        <v>2015</v>
      </c>
      <c r="D169" s="106">
        <f t="shared" si="18"/>
        <v>42166</v>
      </c>
      <c r="E169" s="230">
        <v>42166</v>
      </c>
      <c r="F169" s="229">
        <v>23.8</v>
      </c>
      <c r="G169" s="229">
        <v>32.299999999999997</v>
      </c>
      <c r="H169" s="229">
        <v>13.8</v>
      </c>
      <c r="I169" s="229">
        <v>44.9</v>
      </c>
      <c r="J169" s="229">
        <v>83.3</v>
      </c>
      <c r="K169" s="229">
        <v>16.600000000000001</v>
      </c>
      <c r="L169" s="229">
        <v>28.83</v>
      </c>
      <c r="M169" s="229">
        <v>2.6</v>
      </c>
      <c r="N169" s="229">
        <v>9.5</v>
      </c>
      <c r="O169" s="229">
        <v>13</v>
      </c>
      <c r="P169" s="229">
        <v>0</v>
      </c>
      <c r="Q169" s="229">
        <v>7.4</v>
      </c>
      <c r="S169" s="122">
        <f t="shared" si="21"/>
        <v>11</v>
      </c>
      <c r="T169" s="122">
        <f t="shared" si="22"/>
        <v>6</v>
      </c>
      <c r="U169" s="122">
        <f>YEAR(Inputs!$I$8)</f>
        <v>2015</v>
      </c>
      <c r="V169" s="108">
        <f t="shared" si="19"/>
        <v>42166</v>
      </c>
      <c r="W169" s="69">
        <v>42166</v>
      </c>
      <c r="X169" s="116">
        <v>17.3</v>
      </c>
      <c r="Y169" s="116">
        <v>24.3</v>
      </c>
      <c r="Z169" s="116">
        <v>12.8</v>
      </c>
      <c r="AA169" s="116">
        <v>83.6</v>
      </c>
      <c r="AB169" s="116">
        <v>97.1</v>
      </c>
      <c r="AC169" s="116">
        <v>48.6</v>
      </c>
      <c r="AD169" s="116">
        <v>18.5</v>
      </c>
      <c r="AE169" s="116">
        <v>1.9</v>
      </c>
      <c r="AF169" s="116">
        <v>10.4</v>
      </c>
      <c r="AG169" s="116">
        <v>12</v>
      </c>
      <c r="AH169" s="116">
        <v>23.3</v>
      </c>
      <c r="AI169" s="116">
        <v>3.9</v>
      </c>
    </row>
    <row r="170" spans="1:35" s="71" customFormat="1">
      <c r="A170" s="210">
        <f t="shared" si="16"/>
        <v>12</v>
      </c>
      <c r="B170" s="210">
        <f t="shared" si="17"/>
        <v>6</v>
      </c>
      <c r="C170" s="210">
        <f t="shared" si="20"/>
        <v>2015</v>
      </c>
      <c r="D170" s="106">
        <f t="shared" si="18"/>
        <v>42167</v>
      </c>
      <c r="E170" s="230">
        <v>42167</v>
      </c>
      <c r="F170" s="229">
        <v>22.1</v>
      </c>
      <c r="G170" s="229">
        <v>31</v>
      </c>
      <c r="H170" s="229">
        <v>14.4</v>
      </c>
      <c r="I170" s="229">
        <v>51.6</v>
      </c>
      <c r="J170" s="229">
        <v>92.7</v>
      </c>
      <c r="K170" s="229">
        <v>18.600000000000001</v>
      </c>
      <c r="L170" s="229">
        <v>28.2</v>
      </c>
      <c r="M170" s="229">
        <v>1.6</v>
      </c>
      <c r="N170" s="229">
        <v>6.1</v>
      </c>
      <c r="O170" s="229">
        <v>12.2</v>
      </c>
      <c r="P170" s="229">
        <v>0</v>
      </c>
      <c r="Q170" s="229">
        <v>6.2</v>
      </c>
      <c r="S170" s="122">
        <f t="shared" si="21"/>
        <v>12</v>
      </c>
      <c r="T170" s="122">
        <f t="shared" si="22"/>
        <v>6</v>
      </c>
      <c r="U170" s="122">
        <f>YEAR(Inputs!$I$8)</f>
        <v>2015</v>
      </c>
      <c r="V170" s="108">
        <f t="shared" si="19"/>
        <v>42167</v>
      </c>
      <c r="W170" s="69">
        <v>42167</v>
      </c>
      <c r="X170" s="116">
        <v>17.600000000000001</v>
      </c>
      <c r="Y170" s="116">
        <v>23.5</v>
      </c>
      <c r="Z170" s="116">
        <v>10.5</v>
      </c>
      <c r="AA170" s="116">
        <v>72</v>
      </c>
      <c r="AB170" s="116">
        <v>98.2</v>
      </c>
      <c r="AC170" s="116">
        <v>39.700000000000003</v>
      </c>
      <c r="AD170" s="116">
        <v>20.95</v>
      </c>
      <c r="AE170" s="116">
        <v>2.2000000000000002</v>
      </c>
      <c r="AF170" s="116">
        <v>6.6</v>
      </c>
      <c r="AG170" s="116">
        <v>12.9</v>
      </c>
      <c r="AH170" s="116">
        <v>0</v>
      </c>
      <c r="AI170" s="116">
        <v>4.4000000000000004</v>
      </c>
    </row>
    <row r="171" spans="1:35" s="71" customFormat="1">
      <c r="A171" s="210">
        <f t="shared" si="16"/>
        <v>13</v>
      </c>
      <c r="B171" s="210">
        <f t="shared" si="17"/>
        <v>6</v>
      </c>
      <c r="C171" s="210">
        <f t="shared" si="20"/>
        <v>2015</v>
      </c>
      <c r="D171" s="106">
        <f t="shared" si="18"/>
        <v>42168</v>
      </c>
      <c r="E171" s="230">
        <v>42168</v>
      </c>
      <c r="F171" s="229">
        <v>21.9</v>
      </c>
      <c r="G171" s="229">
        <v>31.1</v>
      </c>
      <c r="H171" s="229">
        <v>12.8</v>
      </c>
      <c r="I171" s="229">
        <v>56.4</v>
      </c>
      <c r="J171" s="229">
        <v>96.6</v>
      </c>
      <c r="K171" s="229">
        <v>20.2</v>
      </c>
      <c r="L171" s="229">
        <v>28.31</v>
      </c>
      <c r="M171" s="229">
        <v>1.9</v>
      </c>
      <c r="N171" s="229">
        <v>6.8</v>
      </c>
      <c r="O171" s="229">
        <v>12.7</v>
      </c>
      <c r="P171" s="229">
        <v>0</v>
      </c>
      <c r="Q171" s="229">
        <v>6.4</v>
      </c>
      <c r="S171" s="122">
        <f t="shared" si="21"/>
        <v>13</v>
      </c>
      <c r="T171" s="122">
        <f t="shared" si="22"/>
        <v>6</v>
      </c>
      <c r="U171" s="122">
        <f>YEAR(Inputs!$I$8)</f>
        <v>2015</v>
      </c>
      <c r="V171" s="108">
        <f t="shared" si="19"/>
        <v>42168</v>
      </c>
      <c r="W171" s="69">
        <v>42168</v>
      </c>
      <c r="X171" s="116">
        <v>17.5</v>
      </c>
      <c r="Y171" s="116">
        <v>23.7</v>
      </c>
      <c r="Z171" s="116">
        <v>11.2</v>
      </c>
      <c r="AA171" s="116">
        <v>62.5</v>
      </c>
      <c r="AB171" s="116">
        <v>94.8</v>
      </c>
      <c r="AC171" s="116">
        <v>33.299999999999997</v>
      </c>
      <c r="AD171" s="116">
        <v>25.79</v>
      </c>
      <c r="AE171" s="116">
        <v>2.9</v>
      </c>
      <c r="AF171" s="116">
        <v>11.3</v>
      </c>
      <c r="AG171" s="116">
        <v>13</v>
      </c>
      <c r="AH171" s="116">
        <v>0</v>
      </c>
      <c r="AI171" s="116">
        <v>5.3</v>
      </c>
    </row>
    <row r="172" spans="1:35" s="71" customFormat="1">
      <c r="A172" s="210">
        <f t="shared" si="16"/>
        <v>14</v>
      </c>
      <c r="B172" s="210">
        <f t="shared" si="17"/>
        <v>6</v>
      </c>
      <c r="C172" s="210">
        <f t="shared" si="20"/>
        <v>2015</v>
      </c>
      <c r="D172" s="106">
        <f t="shared" si="18"/>
        <v>42169</v>
      </c>
      <c r="E172" s="230">
        <v>42169</v>
      </c>
      <c r="F172" s="229">
        <v>24.2</v>
      </c>
      <c r="G172" s="229">
        <v>32.799999999999997</v>
      </c>
      <c r="H172" s="229">
        <v>15.9</v>
      </c>
      <c r="I172" s="229">
        <v>48.6</v>
      </c>
      <c r="J172" s="229">
        <v>75</v>
      </c>
      <c r="K172" s="229">
        <v>25.9</v>
      </c>
      <c r="L172" s="229">
        <v>30.06</v>
      </c>
      <c r="M172" s="229">
        <v>3.5</v>
      </c>
      <c r="N172" s="229">
        <v>10.199999999999999</v>
      </c>
      <c r="O172" s="229">
        <v>13.2</v>
      </c>
      <c r="P172" s="229">
        <v>0</v>
      </c>
      <c r="Q172" s="229">
        <v>8.1999999999999993</v>
      </c>
      <c r="S172" s="122">
        <f t="shared" si="21"/>
        <v>14</v>
      </c>
      <c r="T172" s="122">
        <f t="shared" si="22"/>
        <v>6</v>
      </c>
      <c r="U172" s="122">
        <f>YEAR(Inputs!$I$8)</f>
        <v>2015</v>
      </c>
      <c r="V172" s="108">
        <f t="shared" si="19"/>
        <v>42169</v>
      </c>
      <c r="W172" s="69">
        <v>42169</v>
      </c>
      <c r="X172" s="116">
        <v>16</v>
      </c>
      <c r="Y172" s="116">
        <v>22</v>
      </c>
      <c r="Z172" s="116">
        <v>9.6999999999999993</v>
      </c>
      <c r="AA172" s="116">
        <v>59.5</v>
      </c>
      <c r="AB172" s="116">
        <v>85.9</v>
      </c>
      <c r="AC172" s="116">
        <v>33.5</v>
      </c>
      <c r="AD172" s="116">
        <v>26.67</v>
      </c>
      <c r="AE172" s="116">
        <v>2.5</v>
      </c>
      <c r="AF172" s="116">
        <v>7.3</v>
      </c>
      <c r="AG172" s="116">
        <v>13.1</v>
      </c>
      <c r="AH172" s="116">
        <v>0</v>
      </c>
      <c r="AI172" s="116">
        <v>5.0999999999999996</v>
      </c>
    </row>
    <row r="173" spans="1:35" s="71" customFormat="1">
      <c r="A173" s="210">
        <f t="shared" si="16"/>
        <v>15</v>
      </c>
      <c r="B173" s="210">
        <f t="shared" si="17"/>
        <v>6</v>
      </c>
      <c r="C173" s="210">
        <f t="shared" si="20"/>
        <v>2015</v>
      </c>
      <c r="D173" s="106">
        <f t="shared" si="18"/>
        <v>42170</v>
      </c>
      <c r="E173" s="230">
        <v>42170</v>
      </c>
      <c r="F173" s="229">
        <v>23.2</v>
      </c>
      <c r="G173" s="229">
        <v>31.2</v>
      </c>
      <c r="H173" s="229">
        <v>13.8</v>
      </c>
      <c r="I173" s="229">
        <v>43.3</v>
      </c>
      <c r="J173" s="229">
        <v>77.8</v>
      </c>
      <c r="K173" s="229">
        <v>21.4</v>
      </c>
      <c r="L173" s="229">
        <v>30.3</v>
      </c>
      <c r="M173" s="229">
        <v>4</v>
      </c>
      <c r="N173" s="229">
        <v>10.4</v>
      </c>
      <c r="O173" s="229">
        <v>13.3</v>
      </c>
      <c r="P173" s="229">
        <v>0</v>
      </c>
      <c r="Q173" s="229">
        <v>8.3000000000000007</v>
      </c>
      <c r="S173" s="122">
        <f t="shared" si="21"/>
        <v>15</v>
      </c>
      <c r="T173" s="122">
        <f t="shared" si="22"/>
        <v>6</v>
      </c>
      <c r="U173" s="122">
        <f>YEAR(Inputs!$I$8)</f>
        <v>2015</v>
      </c>
      <c r="V173" s="108">
        <f t="shared" si="19"/>
        <v>42170</v>
      </c>
      <c r="W173" s="69">
        <v>42170</v>
      </c>
      <c r="X173" s="116">
        <v>14</v>
      </c>
      <c r="Y173" s="116">
        <v>20</v>
      </c>
      <c r="Z173" s="116">
        <v>9.5</v>
      </c>
      <c r="AA173" s="116">
        <v>81.099999999999994</v>
      </c>
      <c r="AB173" s="116">
        <v>94.4</v>
      </c>
      <c r="AC173" s="116">
        <v>49.1</v>
      </c>
      <c r="AD173" s="116">
        <v>12.64</v>
      </c>
      <c r="AE173" s="116">
        <v>1.3</v>
      </c>
      <c r="AF173" s="116">
        <v>5.7</v>
      </c>
      <c r="AG173" s="116">
        <v>8.3000000000000007</v>
      </c>
      <c r="AH173" s="116">
        <v>3.3</v>
      </c>
      <c r="AI173" s="116">
        <v>2.7</v>
      </c>
    </row>
    <row r="174" spans="1:35" s="71" customFormat="1">
      <c r="A174" s="210">
        <f t="shared" si="16"/>
        <v>16</v>
      </c>
      <c r="B174" s="210">
        <f t="shared" si="17"/>
        <v>6</v>
      </c>
      <c r="C174" s="210">
        <f t="shared" si="20"/>
        <v>2015</v>
      </c>
      <c r="D174" s="106">
        <f t="shared" si="18"/>
        <v>42171</v>
      </c>
      <c r="E174" s="230">
        <v>42171</v>
      </c>
      <c r="F174" s="229">
        <v>19.600000000000001</v>
      </c>
      <c r="G174" s="229">
        <v>25.7</v>
      </c>
      <c r="H174" s="229">
        <v>13.1</v>
      </c>
      <c r="I174" s="229">
        <v>50.7</v>
      </c>
      <c r="J174" s="229">
        <v>84.5</v>
      </c>
      <c r="K174" s="229">
        <v>25.6</v>
      </c>
      <c r="L174" s="229">
        <v>30.31</v>
      </c>
      <c r="M174" s="229">
        <v>4.9000000000000004</v>
      </c>
      <c r="N174" s="229">
        <v>11.5</v>
      </c>
      <c r="O174" s="229">
        <v>12.8</v>
      </c>
      <c r="P174" s="229">
        <v>0</v>
      </c>
      <c r="Q174" s="229">
        <v>7.2</v>
      </c>
      <c r="S174" s="122">
        <f t="shared" si="21"/>
        <v>16</v>
      </c>
      <c r="T174" s="122">
        <f t="shared" si="22"/>
        <v>6</v>
      </c>
      <c r="U174" s="122">
        <f>YEAR(Inputs!$I$8)</f>
        <v>2015</v>
      </c>
      <c r="V174" s="108">
        <f t="shared" si="19"/>
        <v>42171</v>
      </c>
      <c r="W174" s="69">
        <v>42171</v>
      </c>
      <c r="X174" s="116">
        <v>16.399999999999999</v>
      </c>
      <c r="Y174" s="116">
        <v>24.8</v>
      </c>
      <c r="Z174" s="116">
        <v>9.5</v>
      </c>
      <c r="AA174" s="116">
        <v>70</v>
      </c>
      <c r="AB174" s="116">
        <v>96.1</v>
      </c>
      <c r="AC174" s="116">
        <v>34.1</v>
      </c>
      <c r="AD174" s="116">
        <v>22.59</v>
      </c>
      <c r="AE174" s="116">
        <v>1.8</v>
      </c>
      <c r="AF174" s="116">
        <v>7</v>
      </c>
      <c r="AG174" s="116">
        <v>11.9</v>
      </c>
      <c r="AH174" s="116">
        <v>0</v>
      </c>
      <c r="AI174" s="116">
        <v>4.5999999999999996</v>
      </c>
    </row>
    <row r="175" spans="1:35" s="71" customFormat="1">
      <c r="A175" s="210">
        <f t="shared" si="16"/>
        <v>17</v>
      </c>
      <c r="B175" s="210">
        <f t="shared" si="17"/>
        <v>6</v>
      </c>
      <c r="C175" s="210">
        <f t="shared" si="20"/>
        <v>2015</v>
      </c>
      <c r="D175" s="106">
        <f t="shared" si="18"/>
        <v>42172</v>
      </c>
      <c r="E175" s="230">
        <v>42172</v>
      </c>
      <c r="F175" s="229">
        <v>15.1</v>
      </c>
      <c r="G175" s="229">
        <v>21.2</v>
      </c>
      <c r="H175" s="229">
        <v>9.4</v>
      </c>
      <c r="I175" s="229">
        <v>54.6</v>
      </c>
      <c r="J175" s="229">
        <v>78.400000000000006</v>
      </c>
      <c r="K175" s="229">
        <v>30.7</v>
      </c>
      <c r="L175" s="229">
        <v>23.88</v>
      </c>
      <c r="M175" s="229">
        <v>4.5</v>
      </c>
      <c r="N175" s="229">
        <v>9.6999999999999993</v>
      </c>
      <c r="O175" s="229">
        <v>13.1</v>
      </c>
      <c r="P175" s="229">
        <v>0</v>
      </c>
      <c r="Q175" s="229">
        <v>5.5</v>
      </c>
      <c r="S175" s="122">
        <f t="shared" si="21"/>
        <v>17</v>
      </c>
      <c r="T175" s="122">
        <f t="shared" si="22"/>
        <v>6</v>
      </c>
      <c r="U175" s="122">
        <f>YEAR(Inputs!$I$8)</f>
        <v>2015</v>
      </c>
      <c r="V175" s="108">
        <f t="shared" si="19"/>
        <v>42172</v>
      </c>
      <c r="W175" s="69">
        <v>42172</v>
      </c>
      <c r="X175" s="116">
        <v>19.399999999999999</v>
      </c>
      <c r="Y175" s="116">
        <v>27.4</v>
      </c>
      <c r="Z175" s="116">
        <v>9.9</v>
      </c>
      <c r="AA175" s="116">
        <v>59.7</v>
      </c>
      <c r="AB175" s="116">
        <v>95.7</v>
      </c>
      <c r="AC175" s="116">
        <v>25.1</v>
      </c>
      <c r="AD175" s="116">
        <v>30.27</v>
      </c>
      <c r="AE175" s="116">
        <v>1.4</v>
      </c>
      <c r="AF175" s="116">
        <v>5.8</v>
      </c>
      <c r="AG175" s="116">
        <v>13.2</v>
      </c>
      <c r="AH175" s="116">
        <v>0</v>
      </c>
      <c r="AI175" s="116">
        <v>5.7</v>
      </c>
    </row>
    <row r="176" spans="1:35" s="71" customFormat="1">
      <c r="A176" s="210">
        <f t="shared" si="16"/>
        <v>18</v>
      </c>
      <c r="B176" s="210">
        <f t="shared" si="17"/>
        <v>6</v>
      </c>
      <c r="C176" s="210">
        <f t="shared" si="20"/>
        <v>2015</v>
      </c>
      <c r="D176" s="106">
        <f t="shared" si="18"/>
        <v>42173</v>
      </c>
      <c r="E176" s="230">
        <v>42173</v>
      </c>
      <c r="F176" s="229">
        <v>16.600000000000001</v>
      </c>
      <c r="G176" s="229">
        <v>24.7</v>
      </c>
      <c r="H176" s="229">
        <v>8</v>
      </c>
      <c r="I176" s="229">
        <v>52.3</v>
      </c>
      <c r="J176" s="229">
        <v>87.4</v>
      </c>
      <c r="K176" s="229">
        <v>25.2</v>
      </c>
      <c r="L176" s="229">
        <v>26.34</v>
      </c>
      <c r="M176" s="229">
        <v>2.2999999999999998</v>
      </c>
      <c r="N176" s="229">
        <v>7.7</v>
      </c>
      <c r="O176" s="229">
        <v>13.2</v>
      </c>
      <c r="P176" s="229">
        <v>0</v>
      </c>
      <c r="Q176" s="229">
        <v>5.5</v>
      </c>
      <c r="S176" s="122">
        <f t="shared" si="21"/>
        <v>18</v>
      </c>
      <c r="T176" s="122">
        <f t="shared" si="22"/>
        <v>6</v>
      </c>
      <c r="U176" s="122">
        <f>YEAR(Inputs!$I$8)</f>
        <v>2015</v>
      </c>
      <c r="V176" s="108">
        <f t="shared" si="19"/>
        <v>42173</v>
      </c>
      <c r="W176" s="69">
        <v>42173</v>
      </c>
      <c r="X176" s="116">
        <v>20.5</v>
      </c>
      <c r="Y176" s="116">
        <v>28</v>
      </c>
      <c r="Z176" s="116">
        <v>11.8</v>
      </c>
      <c r="AA176" s="116">
        <v>58.9</v>
      </c>
      <c r="AB176" s="116">
        <v>94.8</v>
      </c>
      <c r="AC176" s="116">
        <v>24.8</v>
      </c>
      <c r="AD176" s="116">
        <v>29.98</v>
      </c>
      <c r="AE176" s="116">
        <v>1.4</v>
      </c>
      <c r="AF176" s="116">
        <v>5</v>
      </c>
      <c r="AG176" s="116">
        <v>13.2</v>
      </c>
      <c r="AH176" s="116">
        <v>0</v>
      </c>
      <c r="AI176" s="116">
        <v>5.8</v>
      </c>
    </row>
    <row r="177" spans="1:35" s="71" customFormat="1">
      <c r="A177" s="210">
        <f t="shared" si="16"/>
        <v>19</v>
      </c>
      <c r="B177" s="210">
        <f t="shared" si="17"/>
        <v>6</v>
      </c>
      <c r="C177" s="210">
        <f t="shared" si="20"/>
        <v>2015</v>
      </c>
      <c r="D177" s="106">
        <f t="shared" si="18"/>
        <v>42174</v>
      </c>
      <c r="E177" s="230">
        <v>42174</v>
      </c>
      <c r="F177" s="229">
        <v>17.399999999999999</v>
      </c>
      <c r="G177" s="229">
        <v>24.7</v>
      </c>
      <c r="H177" s="229">
        <v>8.5</v>
      </c>
      <c r="I177" s="229">
        <v>45.8</v>
      </c>
      <c r="J177" s="229">
        <v>81.8</v>
      </c>
      <c r="K177" s="229">
        <v>23.5</v>
      </c>
      <c r="L177" s="229">
        <v>28.92</v>
      </c>
      <c r="M177" s="229">
        <v>2.6</v>
      </c>
      <c r="N177" s="229">
        <v>8.3000000000000007</v>
      </c>
      <c r="O177" s="229">
        <v>13.3</v>
      </c>
      <c r="P177" s="229">
        <v>0</v>
      </c>
      <c r="Q177" s="229">
        <v>6</v>
      </c>
      <c r="S177" s="122">
        <f t="shared" si="21"/>
        <v>19</v>
      </c>
      <c r="T177" s="122">
        <f t="shared" si="22"/>
        <v>6</v>
      </c>
      <c r="U177" s="122">
        <f>YEAR(Inputs!$I$8)</f>
        <v>2015</v>
      </c>
      <c r="V177" s="108">
        <f t="shared" si="19"/>
        <v>42174</v>
      </c>
      <c r="W177" s="69">
        <v>42174</v>
      </c>
      <c r="X177" s="116">
        <v>22.4</v>
      </c>
      <c r="Y177" s="116">
        <v>31.2</v>
      </c>
      <c r="Z177" s="116">
        <v>12.7</v>
      </c>
      <c r="AA177" s="116">
        <v>51.4</v>
      </c>
      <c r="AB177" s="116">
        <v>88.6</v>
      </c>
      <c r="AC177" s="116">
        <v>19.899999999999999</v>
      </c>
      <c r="AD177" s="116">
        <v>30.92</v>
      </c>
      <c r="AE177" s="116">
        <v>1.3</v>
      </c>
      <c r="AF177" s="116">
        <v>4.3</v>
      </c>
      <c r="AG177" s="116">
        <v>13.2</v>
      </c>
      <c r="AH177" s="116">
        <v>0</v>
      </c>
      <c r="AI177" s="116">
        <v>6.3</v>
      </c>
    </row>
    <row r="178" spans="1:35" s="71" customFormat="1">
      <c r="A178" s="210">
        <f t="shared" si="16"/>
        <v>20</v>
      </c>
      <c r="B178" s="210">
        <f t="shared" si="17"/>
        <v>6</v>
      </c>
      <c r="C178" s="210">
        <f t="shared" si="20"/>
        <v>2015</v>
      </c>
      <c r="D178" s="106">
        <f t="shared" si="18"/>
        <v>42175</v>
      </c>
      <c r="E178" s="230">
        <v>42175</v>
      </c>
      <c r="F178" s="229">
        <v>18.3</v>
      </c>
      <c r="G178" s="229">
        <v>27.3</v>
      </c>
      <c r="H178" s="229">
        <v>7.8</v>
      </c>
      <c r="I178" s="229">
        <v>45.9</v>
      </c>
      <c r="J178" s="229">
        <v>86.4</v>
      </c>
      <c r="K178" s="229">
        <v>14.9</v>
      </c>
      <c r="L178" s="229">
        <v>30.43</v>
      </c>
      <c r="M178" s="229">
        <v>2.2999999999999998</v>
      </c>
      <c r="N178" s="229">
        <v>7.8</v>
      </c>
      <c r="O178" s="229">
        <v>12.6</v>
      </c>
      <c r="P178" s="229">
        <v>0</v>
      </c>
      <c r="Q178" s="229">
        <v>6.5</v>
      </c>
      <c r="S178" s="122">
        <f t="shared" si="21"/>
        <v>20</v>
      </c>
      <c r="T178" s="122">
        <f t="shared" si="22"/>
        <v>6</v>
      </c>
      <c r="U178" s="122">
        <f>YEAR(Inputs!$I$8)</f>
        <v>2015</v>
      </c>
      <c r="V178" s="108">
        <f t="shared" si="19"/>
        <v>42175</v>
      </c>
      <c r="W178" s="69">
        <v>42175</v>
      </c>
      <c r="X178" s="116">
        <v>23.1</v>
      </c>
      <c r="Y178" s="116">
        <v>32.9</v>
      </c>
      <c r="Z178" s="116">
        <v>13.4</v>
      </c>
      <c r="AA178" s="116">
        <v>52.2</v>
      </c>
      <c r="AB178" s="116">
        <v>86.3</v>
      </c>
      <c r="AC178" s="116">
        <v>20.3</v>
      </c>
      <c r="AD178" s="116">
        <v>30.73</v>
      </c>
      <c r="AE178" s="116">
        <v>1.7</v>
      </c>
      <c r="AF178" s="116">
        <v>6.4</v>
      </c>
      <c r="AG178" s="116">
        <v>13.2</v>
      </c>
      <c r="AH178" s="116">
        <v>0</v>
      </c>
      <c r="AI178" s="116">
        <v>6.9</v>
      </c>
    </row>
    <row r="179" spans="1:35" s="71" customFormat="1">
      <c r="A179" s="210">
        <f t="shared" si="16"/>
        <v>21</v>
      </c>
      <c r="B179" s="210">
        <f t="shared" si="17"/>
        <v>6</v>
      </c>
      <c r="C179" s="210">
        <f t="shared" si="20"/>
        <v>2015</v>
      </c>
      <c r="D179" s="106">
        <f t="shared" si="18"/>
        <v>42176</v>
      </c>
      <c r="E179" s="230">
        <v>42176</v>
      </c>
      <c r="F179" s="229">
        <v>20</v>
      </c>
      <c r="G179" s="229">
        <v>29.2</v>
      </c>
      <c r="H179" s="229">
        <v>7.9</v>
      </c>
      <c r="I179" s="229">
        <v>46.7</v>
      </c>
      <c r="J179" s="229">
        <v>87.6</v>
      </c>
      <c r="K179" s="229">
        <v>17.7</v>
      </c>
      <c r="L179" s="229">
        <v>30.93</v>
      </c>
      <c r="M179" s="229">
        <v>1.5</v>
      </c>
      <c r="N179" s="229">
        <v>6.9</v>
      </c>
      <c r="O179" s="229">
        <v>13.3</v>
      </c>
      <c r="P179" s="229">
        <v>0</v>
      </c>
      <c r="Q179" s="229">
        <v>6.2</v>
      </c>
      <c r="S179" s="122">
        <f t="shared" si="21"/>
        <v>21</v>
      </c>
      <c r="T179" s="122">
        <f t="shared" si="22"/>
        <v>6</v>
      </c>
      <c r="U179" s="122">
        <f>YEAR(Inputs!$I$8)</f>
        <v>2015</v>
      </c>
      <c r="V179" s="108">
        <f t="shared" si="19"/>
        <v>42176</v>
      </c>
      <c r="W179" s="69">
        <v>42176</v>
      </c>
      <c r="X179" s="116">
        <v>23.7</v>
      </c>
      <c r="Y179" s="116">
        <v>32.1</v>
      </c>
      <c r="Z179" s="116">
        <v>14.2</v>
      </c>
      <c r="AA179" s="116">
        <v>52.1</v>
      </c>
      <c r="AB179" s="116">
        <v>91</v>
      </c>
      <c r="AC179" s="116">
        <v>25.6</v>
      </c>
      <c r="AD179" s="116">
        <v>30.06</v>
      </c>
      <c r="AE179" s="116">
        <v>2.4</v>
      </c>
      <c r="AF179" s="116">
        <v>6.2</v>
      </c>
      <c r="AG179" s="116">
        <v>13</v>
      </c>
      <c r="AH179" s="116">
        <v>0</v>
      </c>
      <c r="AI179" s="116">
        <v>7.1</v>
      </c>
    </row>
    <row r="180" spans="1:35" s="71" customFormat="1">
      <c r="A180" s="210">
        <f t="shared" si="16"/>
        <v>22</v>
      </c>
      <c r="B180" s="210">
        <f t="shared" si="17"/>
        <v>6</v>
      </c>
      <c r="C180" s="210">
        <f t="shared" si="20"/>
        <v>2015</v>
      </c>
      <c r="D180" s="106">
        <f t="shared" si="18"/>
        <v>42177</v>
      </c>
      <c r="E180" s="230">
        <v>42177</v>
      </c>
      <c r="F180" s="229">
        <v>21.9</v>
      </c>
      <c r="G180" s="229">
        <v>31</v>
      </c>
      <c r="H180" s="229">
        <v>11.4</v>
      </c>
      <c r="I180" s="229">
        <v>44.7</v>
      </c>
      <c r="J180" s="229">
        <v>85.8</v>
      </c>
      <c r="K180" s="229">
        <v>16.100000000000001</v>
      </c>
      <c r="L180" s="229">
        <v>30.55</v>
      </c>
      <c r="M180" s="229">
        <v>2.4</v>
      </c>
      <c r="N180" s="229">
        <v>6.9</v>
      </c>
      <c r="O180" s="229">
        <v>13.2</v>
      </c>
      <c r="P180" s="229">
        <v>0</v>
      </c>
      <c r="Q180" s="229">
        <v>7.2</v>
      </c>
      <c r="S180" s="122">
        <f t="shared" si="21"/>
        <v>22</v>
      </c>
      <c r="T180" s="122">
        <f t="shared" si="22"/>
        <v>6</v>
      </c>
      <c r="U180" s="122">
        <f>YEAR(Inputs!$I$8)</f>
        <v>2015</v>
      </c>
      <c r="V180" s="108">
        <f t="shared" si="19"/>
        <v>42177</v>
      </c>
      <c r="W180" s="69">
        <v>42177</v>
      </c>
      <c r="X180" s="116">
        <v>23.6</v>
      </c>
      <c r="Y180" s="116">
        <v>32.799999999999997</v>
      </c>
      <c r="Z180" s="116">
        <v>14.9</v>
      </c>
      <c r="AA180" s="116">
        <v>51.7</v>
      </c>
      <c r="AB180" s="116">
        <v>83.9</v>
      </c>
      <c r="AC180" s="116">
        <v>23.2</v>
      </c>
      <c r="AD180" s="116">
        <v>25.11</v>
      </c>
      <c r="AE180" s="116">
        <v>1.8</v>
      </c>
      <c r="AF180" s="116">
        <v>9</v>
      </c>
      <c r="AG180" s="116">
        <v>12.4</v>
      </c>
      <c r="AH180" s="116">
        <v>2.9</v>
      </c>
      <c r="AI180" s="116">
        <v>6.2</v>
      </c>
    </row>
    <row r="181" spans="1:35" s="71" customFormat="1">
      <c r="A181" s="210">
        <f t="shared" si="16"/>
        <v>23</v>
      </c>
      <c r="B181" s="210">
        <f t="shared" si="17"/>
        <v>6</v>
      </c>
      <c r="C181" s="210">
        <f t="shared" si="20"/>
        <v>2015</v>
      </c>
      <c r="D181" s="106">
        <f t="shared" si="18"/>
        <v>42178</v>
      </c>
      <c r="E181" s="230">
        <v>42178</v>
      </c>
      <c r="F181" s="229">
        <v>21.6</v>
      </c>
      <c r="G181" s="229">
        <v>30.7</v>
      </c>
      <c r="H181" s="229">
        <v>11.8</v>
      </c>
      <c r="I181" s="229">
        <v>44.1</v>
      </c>
      <c r="J181" s="229">
        <v>83.2</v>
      </c>
      <c r="K181" s="229">
        <v>16.7</v>
      </c>
      <c r="L181" s="229">
        <v>30.89</v>
      </c>
      <c r="M181" s="229">
        <v>3</v>
      </c>
      <c r="N181" s="229">
        <v>9.4</v>
      </c>
      <c r="O181" s="229">
        <v>13.3</v>
      </c>
      <c r="P181" s="229">
        <v>0</v>
      </c>
      <c r="Q181" s="229">
        <v>7.6</v>
      </c>
      <c r="S181" s="122">
        <f t="shared" si="21"/>
        <v>23</v>
      </c>
      <c r="T181" s="122">
        <f t="shared" si="22"/>
        <v>6</v>
      </c>
      <c r="U181" s="122">
        <f>YEAR(Inputs!$I$8)</f>
        <v>2015</v>
      </c>
      <c r="V181" s="108">
        <f t="shared" si="19"/>
        <v>42178</v>
      </c>
      <c r="W181" s="69">
        <v>42178</v>
      </c>
      <c r="X181" s="116">
        <v>22.3</v>
      </c>
      <c r="Y181" s="116">
        <v>31.4</v>
      </c>
      <c r="Z181" s="116">
        <v>13.9</v>
      </c>
      <c r="AA181" s="116">
        <v>55</v>
      </c>
      <c r="AB181" s="116">
        <v>86.9</v>
      </c>
      <c r="AC181" s="116">
        <v>16.3</v>
      </c>
      <c r="AD181" s="116">
        <v>29.65</v>
      </c>
      <c r="AE181" s="116">
        <v>2.2000000000000002</v>
      </c>
      <c r="AF181" s="116">
        <v>8.1</v>
      </c>
      <c r="AG181" s="116">
        <v>13</v>
      </c>
      <c r="AH181" s="116">
        <v>0</v>
      </c>
      <c r="AI181" s="116">
        <v>7.1</v>
      </c>
    </row>
    <row r="182" spans="1:35" s="71" customFormat="1">
      <c r="A182" s="210">
        <f t="shared" si="16"/>
        <v>24</v>
      </c>
      <c r="B182" s="210">
        <f t="shared" si="17"/>
        <v>6</v>
      </c>
      <c r="C182" s="210">
        <f t="shared" si="20"/>
        <v>2015</v>
      </c>
      <c r="D182" s="106">
        <f t="shared" si="18"/>
        <v>42179</v>
      </c>
      <c r="E182" s="230">
        <v>42179</v>
      </c>
      <c r="F182" s="229">
        <v>23.3</v>
      </c>
      <c r="G182" s="229">
        <v>34.5</v>
      </c>
      <c r="H182" s="229">
        <v>11.7</v>
      </c>
      <c r="I182" s="229">
        <v>43.9</v>
      </c>
      <c r="J182" s="229">
        <v>81.3</v>
      </c>
      <c r="K182" s="229">
        <v>15.9</v>
      </c>
      <c r="L182" s="229">
        <v>30.47</v>
      </c>
      <c r="M182" s="229">
        <v>2</v>
      </c>
      <c r="N182" s="229">
        <v>6</v>
      </c>
      <c r="O182" s="229">
        <v>13.3</v>
      </c>
      <c r="P182" s="229">
        <v>0</v>
      </c>
      <c r="Q182" s="229">
        <v>7.4</v>
      </c>
      <c r="S182" s="122">
        <f t="shared" si="21"/>
        <v>24</v>
      </c>
      <c r="T182" s="122">
        <f t="shared" si="22"/>
        <v>6</v>
      </c>
      <c r="U182" s="122">
        <f>YEAR(Inputs!$I$8)</f>
        <v>2015</v>
      </c>
      <c r="V182" s="108">
        <f t="shared" si="19"/>
        <v>42179</v>
      </c>
      <c r="W182" s="69">
        <v>42179</v>
      </c>
      <c r="X182" s="116">
        <v>20.2</v>
      </c>
      <c r="Y182" s="116">
        <v>29.9</v>
      </c>
      <c r="Z182" s="116">
        <v>11.2</v>
      </c>
      <c r="AA182" s="116">
        <v>66.3</v>
      </c>
      <c r="AB182" s="116">
        <v>97</v>
      </c>
      <c r="AC182" s="116">
        <v>22.6</v>
      </c>
      <c r="AD182" s="116">
        <v>27.22</v>
      </c>
      <c r="AE182" s="116">
        <v>1.6</v>
      </c>
      <c r="AF182" s="116">
        <v>7.3</v>
      </c>
      <c r="AG182" s="116">
        <v>12.4</v>
      </c>
      <c r="AH182" s="116">
        <v>1.4</v>
      </c>
      <c r="AI182" s="116">
        <v>5.9</v>
      </c>
    </row>
    <row r="183" spans="1:35" s="71" customFormat="1">
      <c r="A183" s="210">
        <f t="shared" si="16"/>
        <v>25</v>
      </c>
      <c r="B183" s="210">
        <f t="shared" si="17"/>
        <v>6</v>
      </c>
      <c r="C183" s="210">
        <f t="shared" si="20"/>
        <v>2015</v>
      </c>
      <c r="D183" s="106">
        <f t="shared" si="18"/>
        <v>42180</v>
      </c>
      <c r="E183" s="230">
        <v>42180</v>
      </c>
      <c r="F183" s="229">
        <v>25.3</v>
      </c>
      <c r="G183" s="229">
        <v>37.299999999999997</v>
      </c>
      <c r="H183" s="229">
        <v>12.5</v>
      </c>
      <c r="I183" s="229">
        <v>42.2</v>
      </c>
      <c r="J183" s="229">
        <v>86.1</v>
      </c>
      <c r="K183" s="229">
        <v>11.1</v>
      </c>
      <c r="L183" s="229">
        <v>29.92</v>
      </c>
      <c r="M183" s="229">
        <v>1.6</v>
      </c>
      <c r="N183" s="229">
        <v>8.1999999999999993</v>
      </c>
      <c r="O183" s="229">
        <v>13</v>
      </c>
      <c r="P183" s="229">
        <v>0</v>
      </c>
      <c r="Q183" s="229">
        <v>7.4</v>
      </c>
      <c r="S183" s="122">
        <f t="shared" si="21"/>
        <v>25</v>
      </c>
      <c r="T183" s="122">
        <f t="shared" si="22"/>
        <v>6</v>
      </c>
      <c r="U183" s="122">
        <f>YEAR(Inputs!$I$8)</f>
        <v>2015</v>
      </c>
      <c r="V183" s="108">
        <f t="shared" si="19"/>
        <v>42180</v>
      </c>
      <c r="W183" s="69">
        <v>42180</v>
      </c>
      <c r="X183" s="116">
        <v>22.4</v>
      </c>
      <c r="Y183" s="116">
        <v>31.1</v>
      </c>
      <c r="Z183" s="116">
        <v>13.9</v>
      </c>
      <c r="AA183" s="116">
        <v>60.2</v>
      </c>
      <c r="AB183" s="116">
        <v>95.1</v>
      </c>
      <c r="AC183" s="116">
        <v>24.7</v>
      </c>
      <c r="AD183" s="116">
        <v>29.81</v>
      </c>
      <c r="AE183" s="116">
        <v>1.8</v>
      </c>
      <c r="AF183" s="116">
        <v>5.4</v>
      </c>
      <c r="AG183" s="116">
        <v>13.1</v>
      </c>
      <c r="AH183" s="116">
        <v>0</v>
      </c>
      <c r="AI183" s="116">
        <v>6.5</v>
      </c>
    </row>
    <row r="184" spans="1:35" s="71" customFormat="1">
      <c r="A184" s="210">
        <f t="shared" si="16"/>
        <v>26</v>
      </c>
      <c r="B184" s="210">
        <f t="shared" si="17"/>
        <v>6</v>
      </c>
      <c r="C184" s="210">
        <f t="shared" si="20"/>
        <v>2015</v>
      </c>
      <c r="D184" s="106">
        <f t="shared" si="18"/>
        <v>42181</v>
      </c>
      <c r="E184" s="230">
        <v>42181</v>
      </c>
      <c r="F184" s="229">
        <v>24.3</v>
      </c>
      <c r="G184" s="229">
        <v>34.9</v>
      </c>
      <c r="H184" s="229">
        <v>14</v>
      </c>
      <c r="I184" s="229">
        <v>42.2</v>
      </c>
      <c r="J184" s="229">
        <v>87.5</v>
      </c>
      <c r="K184" s="229">
        <v>11.3</v>
      </c>
      <c r="L184" s="229">
        <v>27.21</v>
      </c>
      <c r="M184" s="229">
        <v>1.9</v>
      </c>
      <c r="N184" s="229">
        <v>7</v>
      </c>
      <c r="O184" s="229">
        <v>12.9</v>
      </c>
      <c r="P184" s="229">
        <v>0</v>
      </c>
      <c r="Q184" s="229">
        <v>7</v>
      </c>
      <c r="S184" s="122">
        <f t="shared" si="21"/>
        <v>26</v>
      </c>
      <c r="T184" s="122">
        <f t="shared" si="22"/>
        <v>6</v>
      </c>
      <c r="U184" s="122">
        <f>YEAR(Inputs!$I$8)</f>
        <v>2015</v>
      </c>
      <c r="V184" s="108">
        <f t="shared" si="19"/>
        <v>42181</v>
      </c>
      <c r="W184" s="69">
        <v>42181</v>
      </c>
      <c r="X184" s="116">
        <v>24.7</v>
      </c>
      <c r="Y184" s="116">
        <v>34.4</v>
      </c>
      <c r="Z184" s="116">
        <v>14.5</v>
      </c>
      <c r="AA184" s="116">
        <v>49</v>
      </c>
      <c r="AB184" s="116">
        <v>88.3</v>
      </c>
      <c r="AC184" s="116">
        <v>14.3</v>
      </c>
      <c r="AD184" s="116">
        <v>30.49</v>
      </c>
      <c r="AE184" s="116">
        <v>1.3</v>
      </c>
      <c r="AF184" s="116">
        <v>5.0999999999999996</v>
      </c>
      <c r="AG184" s="116">
        <v>13.1</v>
      </c>
      <c r="AH184" s="116">
        <v>0</v>
      </c>
      <c r="AI184" s="116">
        <v>6.6</v>
      </c>
    </row>
    <row r="185" spans="1:35" s="71" customFormat="1">
      <c r="A185" s="210">
        <f t="shared" si="16"/>
        <v>27</v>
      </c>
      <c r="B185" s="210">
        <f t="shared" si="17"/>
        <v>6</v>
      </c>
      <c r="C185" s="210">
        <f t="shared" si="20"/>
        <v>2015</v>
      </c>
      <c r="D185" s="106">
        <f t="shared" si="18"/>
        <v>42182</v>
      </c>
      <c r="E185" s="230">
        <v>42182</v>
      </c>
      <c r="F185" s="229">
        <v>21.7</v>
      </c>
      <c r="G185" s="229">
        <v>31</v>
      </c>
      <c r="H185" s="229">
        <v>13.1</v>
      </c>
      <c r="I185" s="229">
        <v>64.400000000000006</v>
      </c>
      <c r="J185" s="229">
        <v>92.3</v>
      </c>
      <c r="K185" s="229">
        <v>27.2</v>
      </c>
      <c r="L185" s="229">
        <v>29.36</v>
      </c>
      <c r="M185" s="229">
        <v>3.2</v>
      </c>
      <c r="N185" s="229">
        <v>7.7</v>
      </c>
      <c r="O185" s="229">
        <v>12.8</v>
      </c>
      <c r="P185" s="229">
        <v>0</v>
      </c>
      <c r="Q185" s="229">
        <v>7.3</v>
      </c>
      <c r="S185" s="122">
        <f t="shared" si="21"/>
        <v>27</v>
      </c>
      <c r="T185" s="122">
        <f t="shared" si="22"/>
        <v>6</v>
      </c>
      <c r="U185" s="122">
        <f>YEAR(Inputs!$I$8)</f>
        <v>2015</v>
      </c>
      <c r="V185" s="108">
        <f t="shared" si="19"/>
        <v>42182</v>
      </c>
      <c r="W185" s="69">
        <v>42182</v>
      </c>
      <c r="X185" s="116">
        <v>26.3</v>
      </c>
      <c r="Y185" s="116">
        <v>36.4</v>
      </c>
      <c r="Z185" s="116">
        <v>14.9</v>
      </c>
      <c r="AA185" s="116">
        <v>43.3</v>
      </c>
      <c r="AB185" s="116">
        <v>86.3</v>
      </c>
      <c r="AC185" s="116">
        <v>15.5</v>
      </c>
      <c r="AD185" s="116">
        <v>30.39</v>
      </c>
      <c r="AE185" s="116">
        <v>1.2</v>
      </c>
      <c r="AF185" s="116">
        <v>7.3</v>
      </c>
      <c r="AG185" s="116">
        <v>13.1</v>
      </c>
      <c r="AH185" s="116">
        <v>0</v>
      </c>
      <c r="AI185" s="116">
        <v>6.8</v>
      </c>
    </row>
    <row r="186" spans="1:35" s="71" customFormat="1">
      <c r="A186" s="210">
        <f t="shared" si="16"/>
        <v>28</v>
      </c>
      <c r="B186" s="210">
        <f t="shared" si="17"/>
        <v>6</v>
      </c>
      <c r="C186" s="210">
        <f t="shared" si="20"/>
        <v>2015</v>
      </c>
      <c r="D186" s="106">
        <f t="shared" si="18"/>
        <v>42183</v>
      </c>
      <c r="E186" s="230">
        <v>42183</v>
      </c>
      <c r="F186" s="229">
        <v>23.3</v>
      </c>
      <c r="G186" s="229">
        <v>31.2</v>
      </c>
      <c r="H186" s="229">
        <v>14.3</v>
      </c>
      <c r="I186" s="229">
        <v>56.6</v>
      </c>
      <c r="J186" s="229">
        <v>92.7</v>
      </c>
      <c r="K186" s="229">
        <v>29.8</v>
      </c>
      <c r="L186" s="229">
        <v>29.31</v>
      </c>
      <c r="M186" s="229">
        <v>3</v>
      </c>
      <c r="N186" s="229">
        <v>6.7</v>
      </c>
      <c r="O186" s="229">
        <v>13</v>
      </c>
      <c r="P186" s="229">
        <v>0</v>
      </c>
      <c r="Q186" s="229">
        <v>7</v>
      </c>
      <c r="S186" s="122">
        <f t="shared" si="21"/>
        <v>28</v>
      </c>
      <c r="T186" s="122">
        <f t="shared" si="22"/>
        <v>6</v>
      </c>
      <c r="U186" s="122">
        <f>YEAR(Inputs!$I$8)</f>
        <v>2015</v>
      </c>
      <c r="V186" s="108">
        <f t="shared" si="19"/>
        <v>42183</v>
      </c>
      <c r="W186" s="69">
        <v>42183</v>
      </c>
      <c r="X186" s="116">
        <v>27.9</v>
      </c>
      <c r="Y186" s="116">
        <v>38.200000000000003</v>
      </c>
      <c r="Z186" s="116">
        <v>15.4</v>
      </c>
      <c r="AA186" s="116">
        <v>37.299999999999997</v>
      </c>
      <c r="AB186" s="116">
        <v>76.8</v>
      </c>
      <c r="AC186" s="116">
        <v>14.1</v>
      </c>
      <c r="AD186" s="116">
        <v>30.2</v>
      </c>
      <c r="AE186" s="116">
        <v>1.2</v>
      </c>
      <c r="AF186" s="116">
        <v>5.4</v>
      </c>
      <c r="AG186" s="116">
        <v>13.1</v>
      </c>
      <c r="AH186" s="116">
        <v>0</v>
      </c>
      <c r="AI186" s="116">
        <v>7</v>
      </c>
    </row>
    <row r="187" spans="1:35" s="71" customFormat="1">
      <c r="A187" s="210">
        <f t="shared" si="16"/>
        <v>29</v>
      </c>
      <c r="B187" s="210">
        <f t="shared" si="17"/>
        <v>6</v>
      </c>
      <c r="C187" s="210">
        <f t="shared" si="20"/>
        <v>2015</v>
      </c>
      <c r="D187" s="106">
        <f t="shared" si="18"/>
        <v>42184</v>
      </c>
      <c r="E187" s="230">
        <v>42184</v>
      </c>
      <c r="F187" s="229">
        <v>23.1</v>
      </c>
      <c r="G187" s="229">
        <v>29.5</v>
      </c>
      <c r="H187" s="229">
        <v>15.4</v>
      </c>
      <c r="I187" s="229">
        <v>54.1</v>
      </c>
      <c r="J187" s="229">
        <v>91</v>
      </c>
      <c r="K187" s="229">
        <v>30.5</v>
      </c>
      <c r="L187" s="229">
        <v>19.93</v>
      </c>
      <c r="M187" s="229">
        <v>2.8</v>
      </c>
      <c r="N187" s="229">
        <v>7.6</v>
      </c>
      <c r="O187" s="229">
        <v>12.8</v>
      </c>
      <c r="P187" s="229">
        <v>0</v>
      </c>
      <c r="Q187" s="229">
        <v>5.6</v>
      </c>
      <c r="S187" s="122">
        <f t="shared" si="21"/>
        <v>29</v>
      </c>
      <c r="T187" s="122">
        <f t="shared" si="22"/>
        <v>6</v>
      </c>
      <c r="U187" s="122">
        <f>YEAR(Inputs!$I$8)</f>
        <v>2015</v>
      </c>
      <c r="V187" s="108">
        <f t="shared" si="19"/>
        <v>42184</v>
      </c>
      <c r="W187" s="69">
        <v>42184</v>
      </c>
      <c r="X187" s="116">
        <v>27.1</v>
      </c>
      <c r="Y187" s="116">
        <v>35.9</v>
      </c>
      <c r="Z187" s="116">
        <v>16.899999999999999</v>
      </c>
      <c r="AA187" s="116">
        <v>40.799999999999997</v>
      </c>
      <c r="AB187" s="116">
        <v>75.599999999999994</v>
      </c>
      <c r="AC187" s="116">
        <v>19.3</v>
      </c>
      <c r="AD187" s="116">
        <v>29.98</v>
      </c>
      <c r="AE187" s="116">
        <v>2.5</v>
      </c>
      <c r="AF187" s="116">
        <v>7.5</v>
      </c>
      <c r="AG187" s="116">
        <v>13</v>
      </c>
      <c r="AH187" s="116">
        <v>0</v>
      </c>
      <c r="AI187" s="116">
        <v>8</v>
      </c>
    </row>
    <row r="188" spans="1:35" s="71" customFormat="1">
      <c r="A188" s="210">
        <f t="shared" si="16"/>
        <v>30</v>
      </c>
      <c r="B188" s="210">
        <f t="shared" si="17"/>
        <v>6</v>
      </c>
      <c r="C188" s="210">
        <f t="shared" si="20"/>
        <v>2015</v>
      </c>
      <c r="D188" s="106">
        <f t="shared" si="18"/>
        <v>42185</v>
      </c>
      <c r="E188" s="230">
        <v>42185</v>
      </c>
      <c r="F188" s="229">
        <v>23.2</v>
      </c>
      <c r="G188" s="229">
        <v>32.9</v>
      </c>
      <c r="H188" s="229">
        <v>15.2</v>
      </c>
      <c r="I188" s="229">
        <v>54.5</v>
      </c>
      <c r="J188" s="229">
        <v>84</v>
      </c>
      <c r="K188" s="229">
        <v>26.2</v>
      </c>
      <c r="L188" s="229">
        <v>19.21</v>
      </c>
      <c r="M188" s="229">
        <v>1.9</v>
      </c>
      <c r="N188" s="229">
        <v>7.7</v>
      </c>
      <c r="O188" s="229">
        <v>9.9</v>
      </c>
      <c r="P188" s="229">
        <v>0.6</v>
      </c>
      <c r="Q188" s="229">
        <v>5.5</v>
      </c>
      <c r="S188" s="122">
        <f t="shared" si="21"/>
        <v>30</v>
      </c>
      <c r="T188" s="122">
        <f t="shared" si="22"/>
        <v>6</v>
      </c>
      <c r="U188" s="122">
        <f>YEAR(Inputs!$I$8)</f>
        <v>2015</v>
      </c>
      <c r="V188" s="108">
        <f t="shared" si="19"/>
        <v>42185</v>
      </c>
      <c r="W188" s="69">
        <v>42185</v>
      </c>
      <c r="X188" s="116">
        <v>26.9</v>
      </c>
      <c r="Y188" s="116">
        <v>36.1</v>
      </c>
      <c r="Z188" s="116">
        <v>16</v>
      </c>
      <c r="AA188" s="116">
        <v>36.5</v>
      </c>
      <c r="AB188" s="116">
        <v>78.7</v>
      </c>
      <c r="AC188" s="116">
        <v>15.1</v>
      </c>
      <c r="AD188" s="116">
        <v>29.88</v>
      </c>
      <c r="AE188" s="116">
        <v>3.4</v>
      </c>
      <c r="AF188" s="116">
        <v>9.6999999999999993</v>
      </c>
      <c r="AG188" s="116">
        <v>12.9</v>
      </c>
      <c r="AH188" s="116">
        <v>0</v>
      </c>
      <c r="AI188" s="116">
        <v>9</v>
      </c>
    </row>
    <row r="189" spans="1:35" s="71" customFormat="1">
      <c r="A189" s="210">
        <f t="shared" si="16"/>
        <v>1</v>
      </c>
      <c r="B189" s="210">
        <f t="shared" si="17"/>
        <v>7</v>
      </c>
      <c r="C189" s="210">
        <f t="shared" si="20"/>
        <v>2015</v>
      </c>
      <c r="D189" s="106">
        <f t="shared" si="18"/>
        <v>42186</v>
      </c>
      <c r="E189" s="230">
        <v>42186</v>
      </c>
      <c r="F189" s="229">
        <v>25.1</v>
      </c>
      <c r="G189" s="229">
        <v>35</v>
      </c>
      <c r="H189" s="229">
        <v>15.1</v>
      </c>
      <c r="I189" s="229">
        <v>51.9</v>
      </c>
      <c r="J189" s="229">
        <v>91.4</v>
      </c>
      <c r="K189" s="229">
        <v>21.2</v>
      </c>
      <c r="L189" s="229">
        <v>27.05</v>
      </c>
      <c r="M189" s="229">
        <v>2.5</v>
      </c>
      <c r="N189" s="229">
        <v>8.1</v>
      </c>
      <c r="O189" s="229">
        <v>12.1</v>
      </c>
      <c r="P189" s="229">
        <v>0</v>
      </c>
      <c r="Q189" s="229">
        <v>7.4</v>
      </c>
      <c r="S189" s="122">
        <f t="shared" si="21"/>
        <v>1</v>
      </c>
      <c r="T189" s="122">
        <f t="shared" si="22"/>
        <v>7</v>
      </c>
      <c r="U189" s="122">
        <f>YEAR(Inputs!$I$8)</f>
        <v>2015</v>
      </c>
      <c r="V189" s="108">
        <f t="shared" si="19"/>
        <v>42186</v>
      </c>
      <c r="W189" s="69">
        <v>42186</v>
      </c>
      <c r="X189" s="116">
        <v>25.7</v>
      </c>
      <c r="Y189" s="116">
        <v>35.5</v>
      </c>
      <c r="Z189" s="116">
        <v>16.100000000000001</v>
      </c>
      <c r="AA189" s="116">
        <v>41</v>
      </c>
      <c r="AB189" s="116">
        <v>80.3</v>
      </c>
      <c r="AC189" s="116">
        <v>14.7</v>
      </c>
      <c r="AD189" s="116">
        <v>28.03</v>
      </c>
      <c r="AE189" s="116">
        <v>2.6</v>
      </c>
      <c r="AF189" s="116">
        <v>9.1</v>
      </c>
      <c r="AG189" s="116">
        <v>13</v>
      </c>
      <c r="AH189" s="116">
        <v>0</v>
      </c>
      <c r="AI189" s="116">
        <v>8</v>
      </c>
    </row>
    <row r="190" spans="1:35" s="71" customFormat="1">
      <c r="A190" s="210">
        <f t="shared" si="16"/>
        <v>2</v>
      </c>
      <c r="B190" s="210">
        <f t="shared" si="17"/>
        <v>7</v>
      </c>
      <c r="C190" s="210">
        <f t="shared" si="20"/>
        <v>2015</v>
      </c>
      <c r="D190" s="106">
        <f t="shared" si="18"/>
        <v>42187</v>
      </c>
      <c r="E190" s="230">
        <v>42187</v>
      </c>
      <c r="F190" s="229">
        <v>25.1</v>
      </c>
      <c r="G190" s="229">
        <v>33.700000000000003</v>
      </c>
      <c r="H190" s="229">
        <v>13.2</v>
      </c>
      <c r="I190" s="229">
        <v>47.9</v>
      </c>
      <c r="J190" s="229">
        <v>86.9</v>
      </c>
      <c r="K190" s="229">
        <v>22.2</v>
      </c>
      <c r="L190" s="229">
        <v>24</v>
      </c>
      <c r="M190" s="229">
        <v>1.6</v>
      </c>
      <c r="N190" s="229">
        <v>6.8</v>
      </c>
      <c r="O190" s="229">
        <v>12.4</v>
      </c>
      <c r="P190" s="229">
        <v>0</v>
      </c>
      <c r="Q190" s="229">
        <v>6</v>
      </c>
      <c r="S190" s="122">
        <f t="shared" si="21"/>
        <v>2</v>
      </c>
      <c r="T190" s="122">
        <f t="shared" si="22"/>
        <v>7</v>
      </c>
      <c r="U190" s="122">
        <f>YEAR(Inputs!$I$8)</f>
        <v>2015</v>
      </c>
      <c r="V190" s="108">
        <f t="shared" si="19"/>
        <v>42187</v>
      </c>
      <c r="W190" s="69">
        <v>42187</v>
      </c>
      <c r="X190" s="116">
        <v>24.3</v>
      </c>
      <c r="Y190" s="116">
        <v>33.5</v>
      </c>
      <c r="Z190" s="116">
        <v>16.3</v>
      </c>
      <c r="AA190" s="116">
        <v>53.7</v>
      </c>
      <c r="AB190" s="116">
        <v>85.8</v>
      </c>
      <c r="AC190" s="116">
        <v>21.4</v>
      </c>
      <c r="AD190" s="116">
        <v>25.03</v>
      </c>
      <c r="AE190" s="116">
        <v>2.4</v>
      </c>
      <c r="AF190" s="116">
        <v>7.6</v>
      </c>
      <c r="AG190" s="116">
        <v>12.8</v>
      </c>
      <c r="AH190" s="116">
        <v>0</v>
      </c>
      <c r="AI190" s="116">
        <v>6.9</v>
      </c>
    </row>
    <row r="191" spans="1:35" s="71" customFormat="1">
      <c r="A191" s="210">
        <f t="shared" si="16"/>
        <v>3</v>
      </c>
      <c r="B191" s="210">
        <f t="shared" si="17"/>
        <v>7</v>
      </c>
      <c r="C191" s="210">
        <f t="shared" si="20"/>
        <v>2015</v>
      </c>
      <c r="D191" s="106">
        <f t="shared" si="18"/>
        <v>42188</v>
      </c>
      <c r="E191" s="230">
        <v>42188</v>
      </c>
      <c r="F191" s="229">
        <v>25.6</v>
      </c>
      <c r="G191" s="229">
        <v>35.9</v>
      </c>
      <c r="H191" s="229">
        <v>12</v>
      </c>
      <c r="I191" s="229">
        <v>46.4</v>
      </c>
      <c r="J191" s="229">
        <v>92.3</v>
      </c>
      <c r="K191" s="229">
        <v>14.9</v>
      </c>
      <c r="L191" s="229">
        <v>30.04</v>
      </c>
      <c r="M191" s="229">
        <v>1.5</v>
      </c>
      <c r="N191" s="229">
        <v>6.3</v>
      </c>
      <c r="O191" s="229">
        <v>13.1</v>
      </c>
      <c r="P191" s="229">
        <v>0</v>
      </c>
      <c r="Q191" s="229">
        <v>6.9</v>
      </c>
      <c r="S191" s="122">
        <f t="shared" si="21"/>
        <v>3</v>
      </c>
      <c r="T191" s="122">
        <f t="shared" si="22"/>
        <v>7</v>
      </c>
      <c r="U191" s="122">
        <f>YEAR(Inputs!$I$8)</f>
        <v>2015</v>
      </c>
      <c r="V191" s="108">
        <f t="shared" si="19"/>
        <v>42188</v>
      </c>
      <c r="W191" s="69">
        <v>42188</v>
      </c>
      <c r="X191" s="116">
        <v>25</v>
      </c>
      <c r="Y191" s="116">
        <v>34.700000000000003</v>
      </c>
      <c r="Z191" s="116">
        <v>16.7</v>
      </c>
      <c r="AA191" s="116">
        <v>61</v>
      </c>
      <c r="AB191" s="116">
        <v>96.5</v>
      </c>
      <c r="AC191" s="116">
        <v>22.8</v>
      </c>
      <c r="AD191" s="116">
        <v>26.62</v>
      </c>
      <c r="AE191" s="116">
        <v>3</v>
      </c>
      <c r="AF191" s="116">
        <v>8.8000000000000007</v>
      </c>
      <c r="AG191" s="116">
        <v>11.4</v>
      </c>
      <c r="AH191" s="116">
        <v>0</v>
      </c>
      <c r="AI191" s="116">
        <v>7.6</v>
      </c>
    </row>
    <row r="192" spans="1:35" s="71" customFormat="1">
      <c r="A192" s="210">
        <f t="shared" si="16"/>
        <v>4</v>
      </c>
      <c r="B192" s="210">
        <f t="shared" si="17"/>
        <v>7</v>
      </c>
      <c r="C192" s="210">
        <f t="shared" si="20"/>
        <v>2015</v>
      </c>
      <c r="D192" s="106">
        <f t="shared" si="18"/>
        <v>42189</v>
      </c>
      <c r="E192" s="230">
        <v>42189</v>
      </c>
      <c r="F192" s="229">
        <v>24.5</v>
      </c>
      <c r="G192" s="229">
        <v>33.6</v>
      </c>
      <c r="H192" s="229">
        <v>15.7</v>
      </c>
      <c r="I192" s="229">
        <v>56</v>
      </c>
      <c r="J192" s="229">
        <v>82.8</v>
      </c>
      <c r="K192" s="229">
        <v>26</v>
      </c>
      <c r="L192" s="229">
        <v>28.84</v>
      </c>
      <c r="M192" s="229">
        <v>3.6</v>
      </c>
      <c r="N192" s="229">
        <v>7.5</v>
      </c>
      <c r="O192" s="229">
        <v>12.9</v>
      </c>
      <c r="P192" s="229">
        <v>0</v>
      </c>
      <c r="Q192" s="229">
        <v>8.1</v>
      </c>
      <c r="S192" s="122">
        <f t="shared" si="21"/>
        <v>4</v>
      </c>
      <c r="T192" s="122">
        <f t="shared" si="22"/>
        <v>7</v>
      </c>
      <c r="U192" s="122">
        <f>YEAR(Inputs!$I$8)</f>
        <v>2015</v>
      </c>
      <c r="V192" s="108">
        <f t="shared" si="19"/>
        <v>42189</v>
      </c>
      <c r="W192" s="69">
        <v>42189</v>
      </c>
      <c r="X192" s="116">
        <v>26</v>
      </c>
      <c r="Y192" s="116">
        <v>37</v>
      </c>
      <c r="Z192" s="116">
        <v>15.8</v>
      </c>
      <c r="AA192" s="116">
        <v>49.6</v>
      </c>
      <c r="AB192" s="116">
        <v>89.7</v>
      </c>
      <c r="AC192" s="116">
        <v>12.5</v>
      </c>
      <c r="AD192" s="116">
        <v>28.05</v>
      </c>
      <c r="AE192" s="116">
        <v>2.6</v>
      </c>
      <c r="AF192" s="116">
        <v>7.9</v>
      </c>
      <c r="AG192" s="116">
        <v>12.4</v>
      </c>
      <c r="AH192" s="116">
        <v>0</v>
      </c>
      <c r="AI192" s="116">
        <v>8.3000000000000007</v>
      </c>
    </row>
    <row r="193" spans="1:35" s="71" customFormat="1">
      <c r="A193" s="210">
        <f t="shared" si="16"/>
        <v>5</v>
      </c>
      <c r="B193" s="210">
        <f t="shared" si="17"/>
        <v>7</v>
      </c>
      <c r="C193" s="210">
        <f t="shared" si="20"/>
        <v>2015</v>
      </c>
      <c r="D193" s="106">
        <f t="shared" si="18"/>
        <v>42190</v>
      </c>
      <c r="E193" s="230">
        <v>42190</v>
      </c>
      <c r="F193" s="229">
        <v>22.9</v>
      </c>
      <c r="G193" s="229">
        <v>31.6</v>
      </c>
      <c r="H193" s="229">
        <v>14.6</v>
      </c>
      <c r="I193" s="229">
        <v>61.1</v>
      </c>
      <c r="J193" s="229">
        <v>91.7</v>
      </c>
      <c r="K193" s="229">
        <v>29.3</v>
      </c>
      <c r="L193" s="229">
        <v>27.5</v>
      </c>
      <c r="M193" s="229">
        <v>2.2999999999999998</v>
      </c>
      <c r="N193" s="229">
        <v>7.5</v>
      </c>
      <c r="O193" s="229">
        <v>12.5</v>
      </c>
      <c r="P193" s="229">
        <v>0.2</v>
      </c>
      <c r="Q193" s="229">
        <v>6.6</v>
      </c>
      <c r="S193" s="122">
        <f t="shared" si="21"/>
        <v>5</v>
      </c>
      <c r="T193" s="122">
        <f t="shared" si="22"/>
        <v>7</v>
      </c>
      <c r="U193" s="122">
        <f>YEAR(Inputs!$I$8)</f>
        <v>2015</v>
      </c>
      <c r="V193" s="108">
        <f t="shared" si="19"/>
        <v>42190</v>
      </c>
      <c r="W193" s="69">
        <v>42190</v>
      </c>
      <c r="X193" s="116">
        <v>27.8</v>
      </c>
      <c r="Y193" s="116">
        <v>37.299999999999997</v>
      </c>
      <c r="Z193" s="116">
        <v>16.399999999999999</v>
      </c>
      <c r="AA193" s="116">
        <v>39.700000000000003</v>
      </c>
      <c r="AB193" s="116">
        <v>79.599999999999994</v>
      </c>
      <c r="AC193" s="116">
        <v>13</v>
      </c>
      <c r="AD193" s="116">
        <v>26.64</v>
      </c>
      <c r="AE193" s="116">
        <v>2.8</v>
      </c>
      <c r="AF193" s="116">
        <v>10.9</v>
      </c>
      <c r="AG193" s="116">
        <v>12.3</v>
      </c>
      <c r="AH193" s="116">
        <v>0</v>
      </c>
      <c r="AI193" s="116">
        <v>8.4</v>
      </c>
    </row>
    <row r="194" spans="1:35" s="71" customFormat="1">
      <c r="A194" s="210">
        <f t="shared" si="16"/>
        <v>6</v>
      </c>
      <c r="B194" s="210">
        <f t="shared" si="17"/>
        <v>7</v>
      </c>
      <c r="C194" s="210">
        <f t="shared" si="20"/>
        <v>2015</v>
      </c>
      <c r="D194" s="106">
        <f t="shared" si="18"/>
        <v>42191</v>
      </c>
      <c r="E194" s="230">
        <v>42191</v>
      </c>
      <c r="F194" s="229">
        <v>25</v>
      </c>
      <c r="G194" s="229">
        <v>35.1</v>
      </c>
      <c r="H194" s="229">
        <v>14</v>
      </c>
      <c r="I194" s="229">
        <v>50.9</v>
      </c>
      <c r="J194" s="229">
        <v>90</v>
      </c>
      <c r="K194" s="229">
        <v>20.8</v>
      </c>
      <c r="L194" s="229">
        <v>28.6</v>
      </c>
      <c r="M194" s="229">
        <v>1.6</v>
      </c>
      <c r="N194" s="229">
        <v>8.5</v>
      </c>
      <c r="O194" s="229">
        <v>12.7</v>
      </c>
      <c r="P194" s="229">
        <v>0</v>
      </c>
      <c r="Q194" s="229">
        <v>6.8</v>
      </c>
      <c r="S194" s="122">
        <f t="shared" si="21"/>
        <v>6</v>
      </c>
      <c r="T194" s="122">
        <f t="shared" si="22"/>
        <v>7</v>
      </c>
      <c r="U194" s="122">
        <f>YEAR(Inputs!$I$8)</f>
        <v>2015</v>
      </c>
      <c r="V194" s="108">
        <f t="shared" si="19"/>
        <v>42191</v>
      </c>
      <c r="W194" s="69">
        <v>42191</v>
      </c>
      <c r="X194" s="116">
        <v>28.7</v>
      </c>
      <c r="Y194" s="116">
        <v>37.1</v>
      </c>
      <c r="Z194" s="116">
        <v>17.8</v>
      </c>
      <c r="AA194" s="116">
        <v>31.2</v>
      </c>
      <c r="AB194" s="116">
        <v>68.900000000000006</v>
      </c>
      <c r="AC194" s="116">
        <v>13.4</v>
      </c>
      <c r="AD194" s="116">
        <v>27.39</v>
      </c>
      <c r="AE194" s="116">
        <v>2.6</v>
      </c>
      <c r="AF194" s="116">
        <v>7.9</v>
      </c>
      <c r="AG194" s="116">
        <v>11.9</v>
      </c>
      <c r="AH194" s="116">
        <v>0</v>
      </c>
      <c r="AI194" s="116">
        <v>8.1999999999999993</v>
      </c>
    </row>
    <row r="195" spans="1:35" s="71" customFormat="1">
      <c r="A195" s="210">
        <f t="shared" si="16"/>
        <v>7</v>
      </c>
      <c r="B195" s="210">
        <f t="shared" si="17"/>
        <v>7</v>
      </c>
      <c r="C195" s="210">
        <f t="shared" si="20"/>
        <v>2015</v>
      </c>
      <c r="D195" s="106">
        <f t="shared" si="18"/>
        <v>42192</v>
      </c>
      <c r="E195" s="230">
        <v>42192</v>
      </c>
      <c r="F195" s="229">
        <v>25.8</v>
      </c>
      <c r="G195" s="229">
        <v>34.5</v>
      </c>
      <c r="H195" s="229">
        <v>16.600000000000001</v>
      </c>
      <c r="I195" s="229">
        <v>43.7</v>
      </c>
      <c r="J195" s="229">
        <v>71.7</v>
      </c>
      <c r="K195" s="229">
        <v>22.3</v>
      </c>
      <c r="L195" s="229">
        <v>29.34</v>
      </c>
      <c r="M195" s="229">
        <v>2.9</v>
      </c>
      <c r="N195" s="229">
        <v>8.3000000000000007</v>
      </c>
      <c r="O195" s="229">
        <v>13</v>
      </c>
      <c r="P195" s="229">
        <v>0</v>
      </c>
      <c r="Q195" s="229">
        <v>8.1</v>
      </c>
      <c r="S195" s="122">
        <f t="shared" si="21"/>
        <v>7</v>
      </c>
      <c r="T195" s="122">
        <f t="shared" si="22"/>
        <v>7</v>
      </c>
      <c r="U195" s="122">
        <f>YEAR(Inputs!$I$8)</f>
        <v>2015</v>
      </c>
      <c r="V195" s="108">
        <f t="shared" si="19"/>
        <v>42192</v>
      </c>
      <c r="W195" s="69">
        <v>42192</v>
      </c>
      <c r="X195" s="116">
        <v>29.5</v>
      </c>
      <c r="Y195" s="116">
        <v>40.200000000000003</v>
      </c>
      <c r="Z195" s="116">
        <v>16.600000000000001</v>
      </c>
      <c r="AA195" s="116">
        <v>29.6</v>
      </c>
      <c r="AB195" s="116">
        <v>69.2</v>
      </c>
      <c r="AC195" s="116">
        <v>12.9</v>
      </c>
      <c r="AD195" s="116">
        <v>27.48</v>
      </c>
      <c r="AE195" s="116">
        <v>1.6</v>
      </c>
      <c r="AF195" s="116">
        <v>11.6</v>
      </c>
      <c r="AG195" s="116">
        <v>11.4</v>
      </c>
      <c r="AH195" s="116">
        <v>0</v>
      </c>
      <c r="AI195" s="116">
        <v>7.3</v>
      </c>
    </row>
    <row r="196" spans="1:35" s="71" customFormat="1">
      <c r="A196" s="210">
        <f t="shared" si="16"/>
        <v>8</v>
      </c>
      <c r="B196" s="210">
        <f t="shared" si="17"/>
        <v>7</v>
      </c>
      <c r="C196" s="210">
        <f t="shared" si="20"/>
        <v>2015</v>
      </c>
      <c r="D196" s="106">
        <f t="shared" si="18"/>
        <v>42193</v>
      </c>
      <c r="E196" s="230">
        <v>42193</v>
      </c>
      <c r="F196" s="229">
        <v>22.8</v>
      </c>
      <c r="G196" s="229">
        <v>29.5</v>
      </c>
      <c r="H196" s="229">
        <v>16.100000000000001</v>
      </c>
      <c r="I196" s="229">
        <v>56.1</v>
      </c>
      <c r="J196" s="229">
        <v>79.8</v>
      </c>
      <c r="K196" s="229">
        <v>32.700000000000003</v>
      </c>
      <c r="L196" s="229">
        <v>14.84</v>
      </c>
      <c r="M196" s="229">
        <v>2.2000000000000002</v>
      </c>
      <c r="N196" s="229">
        <v>7.9</v>
      </c>
      <c r="O196" s="229">
        <v>11.3</v>
      </c>
      <c r="P196" s="229">
        <v>0</v>
      </c>
      <c r="Q196" s="229">
        <v>4.7</v>
      </c>
      <c r="S196" s="122">
        <f t="shared" si="21"/>
        <v>8</v>
      </c>
      <c r="T196" s="122">
        <f t="shared" si="22"/>
        <v>7</v>
      </c>
      <c r="U196" s="122">
        <f>YEAR(Inputs!$I$8)</f>
        <v>2015</v>
      </c>
      <c r="V196" s="108">
        <f t="shared" si="19"/>
        <v>42193</v>
      </c>
      <c r="W196" s="69">
        <v>42193</v>
      </c>
      <c r="X196" s="116">
        <v>29.6</v>
      </c>
      <c r="Y196" s="116">
        <v>40.200000000000003</v>
      </c>
      <c r="Z196" s="116">
        <v>17.600000000000001</v>
      </c>
      <c r="AA196" s="116">
        <v>31.7</v>
      </c>
      <c r="AB196" s="116">
        <v>63.6</v>
      </c>
      <c r="AC196" s="116">
        <v>11</v>
      </c>
      <c r="AD196" s="116">
        <v>29.32</v>
      </c>
      <c r="AE196" s="116">
        <v>2.2000000000000002</v>
      </c>
      <c r="AF196" s="116">
        <v>6.8</v>
      </c>
      <c r="AG196" s="116">
        <v>12.9</v>
      </c>
      <c r="AH196" s="116">
        <v>0</v>
      </c>
      <c r="AI196" s="116">
        <v>8.6</v>
      </c>
    </row>
    <row r="197" spans="1:35" s="71" customFormat="1">
      <c r="A197" s="210">
        <f t="shared" si="16"/>
        <v>9</v>
      </c>
      <c r="B197" s="210">
        <f t="shared" si="17"/>
        <v>7</v>
      </c>
      <c r="C197" s="210">
        <f t="shared" si="20"/>
        <v>2015</v>
      </c>
      <c r="D197" s="106">
        <f t="shared" si="18"/>
        <v>42194</v>
      </c>
      <c r="E197" s="230">
        <v>42194</v>
      </c>
      <c r="F197" s="229">
        <v>24.6</v>
      </c>
      <c r="G197" s="229">
        <v>32.799999999999997</v>
      </c>
      <c r="H197" s="229">
        <v>13.8</v>
      </c>
      <c r="I197" s="229">
        <v>50.1</v>
      </c>
      <c r="J197" s="229">
        <v>91.3</v>
      </c>
      <c r="K197" s="229">
        <v>23.6</v>
      </c>
      <c r="L197" s="229">
        <v>27.9</v>
      </c>
      <c r="M197" s="229">
        <v>1.6</v>
      </c>
      <c r="N197" s="229">
        <v>5.3</v>
      </c>
      <c r="O197" s="229">
        <v>13.1</v>
      </c>
      <c r="P197" s="229">
        <v>0</v>
      </c>
      <c r="Q197" s="229">
        <v>6.2</v>
      </c>
      <c r="S197" s="122">
        <f t="shared" si="21"/>
        <v>9</v>
      </c>
      <c r="T197" s="122">
        <f t="shared" si="22"/>
        <v>7</v>
      </c>
      <c r="U197" s="122">
        <f>YEAR(Inputs!$I$8)</f>
        <v>2015</v>
      </c>
      <c r="V197" s="108">
        <f t="shared" si="19"/>
        <v>42194</v>
      </c>
      <c r="W197" s="69">
        <v>42194</v>
      </c>
      <c r="X197" s="116">
        <v>27</v>
      </c>
      <c r="Y197" s="116">
        <v>38.799999999999997</v>
      </c>
      <c r="Z197" s="116">
        <v>16.5</v>
      </c>
      <c r="AA197" s="116">
        <v>50.8</v>
      </c>
      <c r="AB197" s="116">
        <v>83.5</v>
      </c>
      <c r="AC197" s="116">
        <v>13.7</v>
      </c>
      <c r="AD197" s="116">
        <v>29.06</v>
      </c>
      <c r="AE197" s="116">
        <v>2.1</v>
      </c>
      <c r="AF197" s="116">
        <v>6.4</v>
      </c>
      <c r="AG197" s="116">
        <v>12.8</v>
      </c>
      <c r="AH197" s="116">
        <v>0</v>
      </c>
      <c r="AI197" s="116">
        <v>8.1</v>
      </c>
    </row>
    <row r="198" spans="1:35" s="71" customFormat="1">
      <c r="A198" s="210">
        <f t="shared" si="16"/>
        <v>10</v>
      </c>
      <c r="B198" s="210">
        <f t="shared" si="17"/>
        <v>7</v>
      </c>
      <c r="C198" s="210">
        <f t="shared" si="20"/>
        <v>2015</v>
      </c>
      <c r="D198" s="106">
        <f t="shared" si="18"/>
        <v>42195</v>
      </c>
      <c r="E198" s="230">
        <v>42195</v>
      </c>
      <c r="F198" s="229">
        <v>25.8</v>
      </c>
      <c r="G198" s="229">
        <v>34.9</v>
      </c>
      <c r="H198" s="229">
        <v>15.9</v>
      </c>
      <c r="I198" s="229">
        <v>47.7</v>
      </c>
      <c r="J198" s="229">
        <v>78.8</v>
      </c>
      <c r="K198" s="229">
        <v>25.6</v>
      </c>
      <c r="L198" s="229">
        <v>28.28</v>
      </c>
      <c r="M198" s="229">
        <v>2</v>
      </c>
      <c r="N198" s="229">
        <v>6.9</v>
      </c>
      <c r="O198" s="229">
        <v>13</v>
      </c>
      <c r="P198" s="229">
        <v>0</v>
      </c>
      <c r="Q198" s="229">
        <v>7</v>
      </c>
      <c r="S198" s="122">
        <f t="shared" si="21"/>
        <v>10</v>
      </c>
      <c r="T198" s="122">
        <f t="shared" si="22"/>
        <v>7</v>
      </c>
      <c r="U198" s="122">
        <f>YEAR(Inputs!$I$8)</f>
        <v>2015</v>
      </c>
      <c r="V198" s="108">
        <f t="shared" si="19"/>
        <v>42195</v>
      </c>
      <c r="W198" s="69">
        <v>42195</v>
      </c>
      <c r="X198" s="116">
        <v>27.5</v>
      </c>
      <c r="Y198" s="116">
        <v>39.1</v>
      </c>
      <c r="Z198" s="116">
        <v>16</v>
      </c>
      <c r="AA198" s="116">
        <v>45.8</v>
      </c>
      <c r="AB198" s="116">
        <v>94.3</v>
      </c>
      <c r="AC198" s="116">
        <v>13.7</v>
      </c>
      <c r="AD198" s="116">
        <v>29.2</v>
      </c>
      <c r="AE198" s="116">
        <v>1.9</v>
      </c>
      <c r="AF198" s="116">
        <v>7.1</v>
      </c>
      <c r="AG198" s="116">
        <v>12.9</v>
      </c>
      <c r="AH198" s="116">
        <v>0</v>
      </c>
      <c r="AI198" s="116">
        <v>7.8</v>
      </c>
    </row>
    <row r="199" spans="1:35" s="71" customFormat="1">
      <c r="A199" s="210">
        <f t="shared" si="16"/>
        <v>11</v>
      </c>
      <c r="B199" s="210">
        <f t="shared" si="17"/>
        <v>7</v>
      </c>
      <c r="C199" s="210">
        <f t="shared" si="20"/>
        <v>2015</v>
      </c>
      <c r="D199" s="106">
        <f t="shared" si="18"/>
        <v>42196</v>
      </c>
      <c r="E199" s="230">
        <v>42196</v>
      </c>
      <c r="F199" s="229">
        <v>27.4</v>
      </c>
      <c r="G199" s="229">
        <v>37.4</v>
      </c>
      <c r="H199" s="229">
        <v>16.7</v>
      </c>
      <c r="I199" s="229">
        <v>45</v>
      </c>
      <c r="J199" s="229">
        <v>81.8</v>
      </c>
      <c r="K199" s="229">
        <v>17.899999999999999</v>
      </c>
      <c r="L199" s="229">
        <v>28.88</v>
      </c>
      <c r="M199" s="229">
        <v>1.6</v>
      </c>
      <c r="N199" s="229">
        <v>5.8</v>
      </c>
      <c r="O199" s="229">
        <v>12.8</v>
      </c>
      <c r="P199" s="229">
        <v>0</v>
      </c>
      <c r="Q199" s="229">
        <v>7.1</v>
      </c>
      <c r="S199" s="122">
        <f t="shared" si="21"/>
        <v>11</v>
      </c>
      <c r="T199" s="122">
        <f t="shared" si="22"/>
        <v>7</v>
      </c>
      <c r="U199" s="122">
        <f>YEAR(Inputs!$I$8)</f>
        <v>2015</v>
      </c>
      <c r="V199" s="108">
        <f t="shared" si="19"/>
        <v>42196</v>
      </c>
      <c r="W199" s="69">
        <v>42196</v>
      </c>
      <c r="X199" s="116">
        <v>26.2</v>
      </c>
      <c r="Y199" s="116">
        <v>35.799999999999997</v>
      </c>
      <c r="Z199" s="116">
        <v>13.7</v>
      </c>
      <c r="AA199" s="116">
        <v>39.6</v>
      </c>
      <c r="AB199" s="116">
        <v>75.7</v>
      </c>
      <c r="AC199" s="116">
        <v>14.5</v>
      </c>
      <c r="AD199" s="116">
        <v>30.01</v>
      </c>
      <c r="AE199" s="116">
        <v>1.6</v>
      </c>
      <c r="AF199" s="116">
        <v>6.2</v>
      </c>
      <c r="AG199" s="116">
        <v>13</v>
      </c>
      <c r="AH199" s="116">
        <v>0</v>
      </c>
      <c r="AI199" s="116">
        <v>7</v>
      </c>
    </row>
    <row r="200" spans="1:35" s="71" customFormat="1">
      <c r="A200" s="210">
        <f t="shared" ref="A200:A263" si="23">DAY(E200)</f>
        <v>12</v>
      </c>
      <c r="B200" s="210">
        <f t="shared" ref="B200:B263" si="24">MONTH(E200)</f>
        <v>7</v>
      </c>
      <c r="C200" s="210">
        <f t="shared" si="20"/>
        <v>2015</v>
      </c>
      <c r="D200" s="106">
        <f t="shared" si="18"/>
        <v>42197</v>
      </c>
      <c r="E200" s="230">
        <v>42197</v>
      </c>
      <c r="F200" s="229">
        <v>28.8</v>
      </c>
      <c r="G200" s="229">
        <v>39.200000000000003</v>
      </c>
      <c r="H200" s="229">
        <v>17.7</v>
      </c>
      <c r="I200" s="229">
        <v>39.9</v>
      </c>
      <c r="J200" s="229">
        <v>73.900000000000006</v>
      </c>
      <c r="K200" s="229">
        <v>14.9</v>
      </c>
      <c r="L200" s="229">
        <v>27.78</v>
      </c>
      <c r="M200" s="229">
        <v>1.8</v>
      </c>
      <c r="N200" s="229">
        <v>7.5</v>
      </c>
      <c r="O200" s="229">
        <v>13.1</v>
      </c>
      <c r="P200" s="229">
        <v>0</v>
      </c>
      <c r="Q200" s="229">
        <v>7.5</v>
      </c>
      <c r="S200" s="122">
        <f t="shared" si="21"/>
        <v>12</v>
      </c>
      <c r="T200" s="122">
        <f t="shared" si="22"/>
        <v>7</v>
      </c>
      <c r="U200" s="122">
        <f>YEAR(Inputs!$I$8)</f>
        <v>2015</v>
      </c>
      <c r="V200" s="108">
        <f t="shared" si="19"/>
        <v>42197</v>
      </c>
      <c r="W200" s="69">
        <v>42197</v>
      </c>
      <c r="X200" s="116">
        <v>26.8</v>
      </c>
      <c r="Y200" s="116">
        <v>37.6</v>
      </c>
      <c r="Z200" s="116">
        <v>17.3</v>
      </c>
      <c r="AA200" s="116">
        <v>51.1</v>
      </c>
      <c r="AB200" s="116">
        <v>93.5</v>
      </c>
      <c r="AC200" s="116">
        <v>12.3</v>
      </c>
      <c r="AD200" s="116">
        <v>29.91</v>
      </c>
      <c r="AE200" s="116">
        <v>1.5</v>
      </c>
      <c r="AF200" s="116">
        <v>6.1</v>
      </c>
      <c r="AG200" s="116">
        <v>13</v>
      </c>
      <c r="AH200" s="116">
        <v>0</v>
      </c>
      <c r="AI200" s="116">
        <v>7.3</v>
      </c>
    </row>
    <row r="201" spans="1:35" s="71" customFormat="1">
      <c r="A201" s="210">
        <f t="shared" si="23"/>
        <v>13</v>
      </c>
      <c r="B201" s="210">
        <f t="shared" si="24"/>
        <v>7</v>
      </c>
      <c r="C201" s="210">
        <f t="shared" si="20"/>
        <v>2015</v>
      </c>
      <c r="D201" s="106">
        <f t="shared" ref="D201:D264" si="25">DATE(C201,B201,A201)</f>
        <v>42198</v>
      </c>
      <c r="E201" s="230">
        <v>42198</v>
      </c>
      <c r="F201" s="229">
        <v>26.6</v>
      </c>
      <c r="G201" s="229">
        <v>36.1</v>
      </c>
      <c r="H201" s="229">
        <v>14.8</v>
      </c>
      <c r="I201" s="229">
        <v>44.7</v>
      </c>
      <c r="J201" s="229">
        <v>86.1</v>
      </c>
      <c r="K201" s="229">
        <v>13.9</v>
      </c>
      <c r="L201" s="229">
        <v>29.8</v>
      </c>
      <c r="M201" s="229">
        <v>2.9</v>
      </c>
      <c r="N201" s="229">
        <v>9.1999999999999993</v>
      </c>
      <c r="O201" s="229">
        <v>13.1</v>
      </c>
      <c r="P201" s="229">
        <v>0</v>
      </c>
      <c r="Q201" s="229">
        <v>8.5</v>
      </c>
      <c r="S201" s="122">
        <f t="shared" si="21"/>
        <v>13</v>
      </c>
      <c r="T201" s="122">
        <f t="shared" si="22"/>
        <v>7</v>
      </c>
      <c r="U201" s="122">
        <f>YEAR(Inputs!$I$8)</f>
        <v>2015</v>
      </c>
      <c r="V201" s="108">
        <f t="shared" ref="V201:V214" si="26">DATE(U201,T201,S201)</f>
        <v>42198</v>
      </c>
      <c r="W201" s="69">
        <v>42198</v>
      </c>
      <c r="X201" s="116">
        <v>27.5</v>
      </c>
      <c r="Y201" s="116">
        <v>37.6</v>
      </c>
      <c r="Z201" s="116">
        <v>15.6</v>
      </c>
      <c r="AA201" s="116">
        <v>47.7</v>
      </c>
      <c r="AB201" s="116">
        <v>87.3</v>
      </c>
      <c r="AC201" s="116">
        <v>12.1</v>
      </c>
      <c r="AD201" s="116">
        <v>29.89</v>
      </c>
      <c r="AE201" s="116">
        <v>1.3</v>
      </c>
      <c r="AF201" s="116">
        <v>5.4</v>
      </c>
      <c r="AG201" s="116">
        <v>13</v>
      </c>
      <c r="AH201" s="116">
        <v>0</v>
      </c>
      <c r="AI201" s="116">
        <v>6.9</v>
      </c>
    </row>
    <row r="202" spans="1:35" s="71" customFormat="1">
      <c r="A202" s="210">
        <f t="shared" si="23"/>
        <v>14</v>
      </c>
      <c r="B202" s="210">
        <f t="shared" si="24"/>
        <v>7</v>
      </c>
      <c r="C202" s="210">
        <f t="shared" ref="C202:C265" si="27">C201</f>
        <v>2015</v>
      </c>
      <c r="D202" s="106">
        <f t="shared" si="25"/>
        <v>42199</v>
      </c>
      <c r="E202" s="230">
        <v>42199</v>
      </c>
      <c r="F202" s="229">
        <v>23.4</v>
      </c>
      <c r="G202" s="229">
        <v>29.8</v>
      </c>
      <c r="H202" s="229">
        <v>16.8</v>
      </c>
      <c r="I202" s="229">
        <v>64.599999999999994</v>
      </c>
      <c r="J202" s="229">
        <v>92.6</v>
      </c>
      <c r="K202" s="229">
        <v>33.700000000000003</v>
      </c>
      <c r="L202" s="229">
        <v>24.74</v>
      </c>
      <c r="M202" s="229">
        <v>2.7</v>
      </c>
      <c r="N202" s="229">
        <v>7.2</v>
      </c>
      <c r="O202" s="229">
        <v>12.2</v>
      </c>
      <c r="P202" s="229">
        <v>0</v>
      </c>
      <c r="Q202" s="229">
        <v>6.1</v>
      </c>
      <c r="S202" s="122">
        <f t="shared" ref="S202:S265" si="28">DAY(W202)</f>
        <v>14</v>
      </c>
      <c r="T202" s="122">
        <f t="shared" ref="T202:T265" si="29">MONTH(W202)</f>
        <v>7</v>
      </c>
      <c r="U202" s="122">
        <f>YEAR(Inputs!$I$8)</f>
        <v>2015</v>
      </c>
      <c r="V202" s="108">
        <f t="shared" si="26"/>
        <v>42199</v>
      </c>
      <c r="W202" s="69">
        <v>42199</v>
      </c>
      <c r="X202" s="116">
        <v>27.8</v>
      </c>
      <c r="Y202" s="116">
        <v>37.6</v>
      </c>
      <c r="Z202" s="116">
        <v>16.8</v>
      </c>
      <c r="AA202" s="116">
        <v>48.7</v>
      </c>
      <c r="AB202" s="116">
        <v>90.8</v>
      </c>
      <c r="AC202" s="116">
        <v>14.6</v>
      </c>
      <c r="AD202" s="116">
        <v>29.15</v>
      </c>
      <c r="AE202" s="116">
        <v>2</v>
      </c>
      <c r="AF202" s="116">
        <v>6.7</v>
      </c>
      <c r="AG202" s="116">
        <v>12.8</v>
      </c>
      <c r="AH202" s="116">
        <v>0</v>
      </c>
      <c r="AI202" s="116">
        <v>7.6</v>
      </c>
    </row>
    <row r="203" spans="1:35" s="71" customFormat="1">
      <c r="A203" s="210">
        <f t="shared" si="23"/>
        <v>15</v>
      </c>
      <c r="B203" s="210">
        <f t="shared" si="24"/>
        <v>7</v>
      </c>
      <c r="C203" s="210">
        <f t="shared" si="27"/>
        <v>2015</v>
      </c>
      <c r="D203" s="106">
        <f t="shared" si="25"/>
        <v>42200</v>
      </c>
      <c r="E203" s="230">
        <v>42200</v>
      </c>
      <c r="F203" s="229">
        <v>23.3</v>
      </c>
      <c r="G203" s="229">
        <v>31.6</v>
      </c>
      <c r="H203" s="229">
        <v>18.5</v>
      </c>
      <c r="I203" s="229">
        <v>58.9</v>
      </c>
      <c r="J203" s="229">
        <v>88</v>
      </c>
      <c r="K203" s="229">
        <v>10</v>
      </c>
      <c r="L203" s="229">
        <v>23.96</v>
      </c>
      <c r="M203" s="229">
        <v>2.8</v>
      </c>
      <c r="N203" s="229">
        <v>7.6</v>
      </c>
      <c r="O203" s="229">
        <v>11.9</v>
      </c>
      <c r="P203" s="229">
        <v>0</v>
      </c>
      <c r="Q203" s="229">
        <v>7.1</v>
      </c>
      <c r="S203" s="122">
        <f t="shared" si="28"/>
        <v>15</v>
      </c>
      <c r="T203" s="122">
        <f t="shared" si="29"/>
        <v>7</v>
      </c>
      <c r="U203" s="122">
        <f>YEAR(Inputs!$I$8)</f>
        <v>2015</v>
      </c>
      <c r="V203" s="108">
        <f t="shared" si="26"/>
        <v>42200</v>
      </c>
      <c r="W203" s="69">
        <v>42200</v>
      </c>
      <c r="X203" s="116">
        <v>27.2</v>
      </c>
      <c r="Y203" s="116">
        <v>37.200000000000003</v>
      </c>
      <c r="Z203" s="116">
        <v>16.5</v>
      </c>
      <c r="AA203" s="116">
        <v>47.2</v>
      </c>
      <c r="AB203" s="116">
        <v>88.9</v>
      </c>
      <c r="AC203" s="116">
        <v>15</v>
      </c>
      <c r="AD203" s="116">
        <v>29.54</v>
      </c>
      <c r="AE203" s="116">
        <v>2</v>
      </c>
      <c r="AF203" s="116">
        <v>7.1</v>
      </c>
      <c r="AG203" s="116">
        <v>13.1</v>
      </c>
      <c r="AH203" s="116">
        <v>0</v>
      </c>
      <c r="AI203" s="116">
        <v>7.7</v>
      </c>
    </row>
    <row r="204" spans="1:35" s="71" customFormat="1">
      <c r="A204" s="210">
        <f t="shared" si="23"/>
        <v>16</v>
      </c>
      <c r="B204" s="210">
        <f t="shared" si="24"/>
        <v>7</v>
      </c>
      <c r="C204" s="210">
        <f t="shared" si="27"/>
        <v>2015</v>
      </c>
      <c r="D204" s="106">
        <f t="shared" si="25"/>
        <v>42201</v>
      </c>
      <c r="E204" s="230">
        <v>42201</v>
      </c>
      <c r="F204" s="229">
        <v>22.2</v>
      </c>
      <c r="G204" s="229">
        <v>29.1</v>
      </c>
      <c r="H204" s="229">
        <v>16.3</v>
      </c>
      <c r="I204" s="229">
        <v>64</v>
      </c>
      <c r="J204" s="229">
        <v>91.8</v>
      </c>
      <c r="K204" s="229">
        <v>33.9</v>
      </c>
      <c r="L204" s="229">
        <v>27.91</v>
      </c>
      <c r="M204" s="229">
        <v>3.2</v>
      </c>
      <c r="N204" s="229">
        <v>6.8</v>
      </c>
      <c r="O204" s="229">
        <v>12.9</v>
      </c>
      <c r="P204" s="229">
        <v>0</v>
      </c>
      <c r="Q204" s="229">
        <v>6.5</v>
      </c>
      <c r="S204" s="122">
        <f t="shared" si="28"/>
        <v>16</v>
      </c>
      <c r="T204" s="122">
        <f t="shared" si="29"/>
        <v>7</v>
      </c>
      <c r="U204" s="122">
        <f>YEAR(Inputs!$I$8)</f>
        <v>2015</v>
      </c>
      <c r="V204" s="108">
        <f t="shared" si="26"/>
        <v>42201</v>
      </c>
      <c r="W204" s="69">
        <v>42201</v>
      </c>
      <c r="X204" s="116">
        <v>27.7</v>
      </c>
      <c r="Y204" s="116">
        <v>36.799999999999997</v>
      </c>
      <c r="Z204" s="116">
        <v>17.2</v>
      </c>
      <c r="AA204" s="116">
        <v>41.2</v>
      </c>
      <c r="AB204" s="116">
        <v>76.8</v>
      </c>
      <c r="AC204" s="116">
        <v>15.7</v>
      </c>
      <c r="AD204" s="116">
        <v>23.24</v>
      </c>
      <c r="AE204" s="116">
        <v>2.1</v>
      </c>
      <c r="AF204" s="116">
        <v>6.5</v>
      </c>
      <c r="AG204" s="116">
        <v>12.7</v>
      </c>
      <c r="AH204" s="116">
        <v>0</v>
      </c>
      <c r="AI204" s="116">
        <v>6.9</v>
      </c>
    </row>
    <row r="205" spans="1:35" s="71" customFormat="1">
      <c r="A205" s="210">
        <f t="shared" si="23"/>
        <v>17</v>
      </c>
      <c r="B205" s="210">
        <f t="shared" si="24"/>
        <v>7</v>
      </c>
      <c r="C205" s="210">
        <f t="shared" si="27"/>
        <v>2015</v>
      </c>
      <c r="D205" s="106">
        <f t="shared" si="25"/>
        <v>42202</v>
      </c>
      <c r="E205" s="230">
        <v>42202</v>
      </c>
      <c r="F205" s="229">
        <v>22</v>
      </c>
      <c r="G205" s="229">
        <v>30.3</v>
      </c>
      <c r="H205" s="229">
        <v>14.6</v>
      </c>
      <c r="I205" s="229">
        <v>56.7</v>
      </c>
      <c r="J205" s="229">
        <v>94.7</v>
      </c>
      <c r="K205" s="229">
        <v>27.4</v>
      </c>
      <c r="L205" s="229">
        <v>28.95</v>
      </c>
      <c r="M205" s="229">
        <v>2.8</v>
      </c>
      <c r="N205" s="229">
        <v>6.5</v>
      </c>
      <c r="O205" s="229">
        <v>12.9</v>
      </c>
      <c r="P205" s="229">
        <v>0</v>
      </c>
      <c r="Q205" s="229">
        <v>6.8</v>
      </c>
      <c r="S205" s="122">
        <f t="shared" si="28"/>
        <v>17</v>
      </c>
      <c r="T205" s="122">
        <f t="shared" si="29"/>
        <v>7</v>
      </c>
      <c r="U205" s="122">
        <f>YEAR(Inputs!$I$8)</f>
        <v>2015</v>
      </c>
      <c r="V205" s="108">
        <f t="shared" si="26"/>
        <v>42202</v>
      </c>
      <c r="W205" s="69">
        <v>42202</v>
      </c>
      <c r="X205" s="116">
        <v>28.1</v>
      </c>
      <c r="Y205" s="116">
        <v>36.299999999999997</v>
      </c>
      <c r="Z205" s="116">
        <v>19</v>
      </c>
      <c r="AA205" s="116">
        <v>40.799999999999997</v>
      </c>
      <c r="AB205" s="116">
        <v>80.099999999999994</v>
      </c>
      <c r="AC205" s="116">
        <v>16.899999999999999</v>
      </c>
      <c r="AD205" s="116">
        <v>23.98</v>
      </c>
      <c r="AE205" s="116">
        <v>2.4</v>
      </c>
      <c r="AF205" s="116">
        <v>7.5</v>
      </c>
      <c r="AG205" s="116">
        <v>12.5</v>
      </c>
      <c r="AH205" s="116">
        <v>0</v>
      </c>
      <c r="AI205" s="116">
        <v>7.3</v>
      </c>
    </row>
    <row r="206" spans="1:35" s="71" customFormat="1">
      <c r="A206" s="210">
        <f t="shared" si="23"/>
        <v>18</v>
      </c>
      <c r="B206" s="210">
        <f t="shared" si="24"/>
        <v>7</v>
      </c>
      <c r="C206" s="210">
        <f t="shared" si="27"/>
        <v>2015</v>
      </c>
      <c r="D206" s="106">
        <f t="shared" si="25"/>
        <v>42203</v>
      </c>
      <c r="E206" s="230">
        <v>42203</v>
      </c>
      <c r="F206" s="229">
        <v>23.3</v>
      </c>
      <c r="G206" s="229">
        <v>33.5</v>
      </c>
      <c r="H206" s="229">
        <v>13.1</v>
      </c>
      <c r="I206" s="229">
        <v>41.6</v>
      </c>
      <c r="J206" s="229">
        <v>79.3</v>
      </c>
      <c r="K206" s="229">
        <v>14.8</v>
      </c>
      <c r="L206" s="229">
        <v>29.39</v>
      </c>
      <c r="M206" s="229">
        <v>2.7</v>
      </c>
      <c r="N206" s="229">
        <v>8.6999999999999993</v>
      </c>
      <c r="O206" s="229">
        <v>13</v>
      </c>
      <c r="P206" s="229">
        <v>0</v>
      </c>
      <c r="Q206" s="229">
        <v>7.8</v>
      </c>
      <c r="S206" s="122">
        <f t="shared" si="28"/>
        <v>18</v>
      </c>
      <c r="T206" s="122">
        <f t="shared" si="29"/>
        <v>7</v>
      </c>
      <c r="U206" s="122">
        <f>YEAR(Inputs!$I$8)</f>
        <v>2015</v>
      </c>
      <c r="V206" s="108">
        <f t="shared" si="26"/>
        <v>42203</v>
      </c>
      <c r="W206" s="69">
        <v>42203</v>
      </c>
      <c r="X206" s="116">
        <v>26.2</v>
      </c>
      <c r="Y206" s="116">
        <v>34.700000000000003</v>
      </c>
      <c r="Z206" s="116">
        <v>18.399999999999999</v>
      </c>
      <c r="AA206" s="116">
        <v>45.9</v>
      </c>
      <c r="AB206" s="116">
        <v>86.8</v>
      </c>
      <c r="AC206" s="116">
        <v>20.399999999999999</v>
      </c>
      <c r="AD206" s="116">
        <v>26</v>
      </c>
      <c r="AE206" s="116">
        <v>1.7</v>
      </c>
      <c r="AF206" s="116">
        <v>7.6</v>
      </c>
      <c r="AG206" s="116">
        <v>12.5</v>
      </c>
      <c r="AH206" s="116">
        <v>0</v>
      </c>
      <c r="AI206" s="116">
        <v>6.5</v>
      </c>
    </row>
    <row r="207" spans="1:35" s="71" customFormat="1">
      <c r="A207" s="210">
        <f t="shared" si="23"/>
        <v>19</v>
      </c>
      <c r="B207" s="210">
        <f t="shared" si="24"/>
        <v>7</v>
      </c>
      <c r="C207" s="210">
        <f t="shared" si="27"/>
        <v>2015</v>
      </c>
      <c r="D207" s="106">
        <f t="shared" si="25"/>
        <v>42204</v>
      </c>
      <c r="E207" s="230">
        <v>42204</v>
      </c>
      <c r="F207" s="229">
        <v>23.7</v>
      </c>
      <c r="G207" s="229">
        <v>33.9</v>
      </c>
      <c r="H207" s="229">
        <v>12.7</v>
      </c>
      <c r="I207" s="229">
        <v>42</v>
      </c>
      <c r="J207" s="229">
        <v>72.5</v>
      </c>
      <c r="K207" s="229">
        <v>15.9</v>
      </c>
      <c r="L207" s="229">
        <v>29.11</v>
      </c>
      <c r="M207" s="229">
        <v>2.9</v>
      </c>
      <c r="N207" s="229">
        <v>7.2</v>
      </c>
      <c r="O207" s="229">
        <v>12.9</v>
      </c>
      <c r="P207" s="229">
        <v>0</v>
      </c>
      <c r="Q207" s="229">
        <v>8</v>
      </c>
      <c r="S207" s="122">
        <f t="shared" si="28"/>
        <v>19</v>
      </c>
      <c r="T207" s="122">
        <f t="shared" si="29"/>
        <v>7</v>
      </c>
      <c r="U207" s="122">
        <f>YEAR(Inputs!$I$8)</f>
        <v>2015</v>
      </c>
      <c r="V207" s="108">
        <f t="shared" si="26"/>
        <v>42204</v>
      </c>
      <c r="W207" s="69">
        <v>42204</v>
      </c>
      <c r="X207" s="116">
        <v>25.5</v>
      </c>
      <c r="Y207" s="116">
        <v>34.6</v>
      </c>
      <c r="Z207" s="116">
        <v>15.8</v>
      </c>
      <c r="AA207" s="116">
        <v>49.5</v>
      </c>
      <c r="AB207" s="116">
        <v>91.1</v>
      </c>
      <c r="AC207" s="116">
        <v>20.100000000000001</v>
      </c>
      <c r="AD207" s="116">
        <v>21.56</v>
      </c>
      <c r="AE207" s="116">
        <v>1.6</v>
      </c>
      <c r="AF207" s="116">
        <v>6.1</v>
      </c>
      <c r="AG207" s="116">
        <v>12.8</v>
      </c>
      <c r="AH207" s="116">
        <v>0</v>
      </c>
      <c r="AI207" s="116">
        <v>5.7</v>
      </c>
    </row>
    <row r="208" spans="1:35" s="71" customFormat="1">
      <c r="A208" s="210">
        <f t="shared" si="23"/>
        <v>20</v>
      </c>
      <c r="B208" s="210">
        <f t="shared" si="24"/>
        <v>7</v>
      </c>
      <c r="C208" s="210">
        <f t="shared" si="27"/>
        <v>2015</v>
      </c>
      <c r="D208" s="106">
        <f t="shared" si="25"/>
        <v>42205</v>
      </c>
      <c r="E208" s="230">
        <v>42205</v>
      </c>
      <c r="F208" s="229">
        <v>25.6</v>
      </c>
      <c r="G208" s="229">
        <v>35.700000000000003</v>
      </c>
      <c r="H208" s="229">
        <v>13.9</v>
      </c>
      <c r="I208" s="229">
        <v>43.4</v>
      </c>
      <c r="J208" s="229">
        <v>72.8</v>
      </c>
      <c r="K208" s="229">
        <v>18.2</v>
      </c>
      <c r="L208" s="229">
        <v>24.31</v>
      </c>
      <c r="M208" s="229">
        <v>2.4</v>
      </c>
      <c r="N208" s="229">
        <v>5.7</v>
      </c>
      <c r="O208" s="229">
        <v>12.5</v>
      </c>
      <c r="P208" s="229">
        <v>0</v>
      </c>
      <c r="Q208" s="229">
        <v>7.2</v>
      </c>
      <c r="S208" s="122">
        <f t="shared" si="28"/>
        <v>20</v>
      </c>
      <c r="T208" s="122">
        <f t="shared" si="29"/>
        <v>7</v>
      </c>
      <c r="U208" s="122">
        <f>YEAR(Inputs!$I$8)</f>
        <v>2015</v>
      </c>
      <c r="V208" s="108">
        <f t="shared" si="26"/>
        <v>42205</v>
      </c>
      <c r="W208" s="69">
        <v>42205</v>
      </c>
      <c r="X208" s="116">
        <v>27.3</v>
      </c>
      <c r="Y208" s="116">
        <v>37.299999999999997</v>
      </c>
      <c r="Z208" s="116">
        <v>15.3</v>
      </c>
      <c r="AA208" s="116">
        <v>44.4</v>
      </c>
      <c r="AB208" s="116">
        <v>83.5</v>
      </c>
      <c r="AC208" s="116">
        <v>17.5</v>
      </c>
      <c r="AD208" s="116">
        <v>27.57</v>
      </c>
      <c r="AE208" s="116">
        <v>1.4</v>
      </c>
      <c r="AF208" s="116">
        <v>5.9</v>
      </c>
      <c r="AG208" s="116">
        <v>12.4</v>
      </c>
      <c r="AH208" s="116">
        <v>0</v>
      </c>
      <c r="AI208" s="116">
        <v>6.6</v>
      </c>
    </row>
    <row r="209" spans="1:35" s="71" customFormat="1">
      <c r="A209" s="210">
        <f t="shared" si="23"/>
        <v>21</v>
      </c>
      <c r="B209" s="210">
        <f t="shared" si="24"/>
        <v>7</v>
      </c>
      <c r="C209" s="210">
        <f t="shared" si="27"/>
        <v>2015</v>
      </c>
      <c r="D209" s="106">
        <f t="shared" si="25"/>
        <v>42206</v>
      </c>
      <c r="E209" s="230">
        <v>42206</v>
      </c>
      <c r="F209" s="229">
        <v>25.6</v>
      </c>
      <c r="G209" s="229">
        <v>34.299999999999997</v>
      </c>
      <c r="H209" s="229">
        <v>18.8</v>
      </c>
      <c r="I209" s="229">
        <v>52.1</v>
      </c>
      <c r="J209" s="229">
        <v>82.9</v>
      </c>
      <c r="K209" s="229">
        <v>23.5</v>
      </c>
      <c r="L209" s="229">
        <v>10.31</v>
      </c>
      <c r="M209" s="229">
        <v>2.8</v>
      </c>
      <c r="N209" s="229">
        <v>10.8</v>
      </c>
      <c r="O209" s="229">
        <v>9.8000000000000007</v>
      </c>
      <c r="P209" s="229">
        <v>0.4</v>
      </c>
      <c r="Q209" s="229">
        <v>5.6</v>
      </c>
      <c r="S209" s="122">
        <f t="shared" si="28"/>
        <v>21</v>
      </c>
      <c r="T209" s="122">
        <f t="shared" si="29"/>
        <v>7</v>
      </c>
      <c r="U209" s="122">
        <f>YEAR(Inputs!$I$8)</f>
        <v>2015</v>
      </c>
      <c r="V209" s="108">
        <f t="shared" si="26"/>
        <v>42206</v>
      </c>
      <c r="W209" s="69">
        <v>42206</v>
      </c>
      <c r="X209" s="116">
        <v>28.3</v>
      </c>
      <c r="Y209" s="116">
        <v>37.4</v>
      </c>
      <c r="Z209" s="116">
        <v>18.5</v>
      </c>
      <c r="AA209" s="116">
        <v>47.1</v>
      </c>
      <c r="AB209" s="116">
        <v>90.8</v>
      </c>
      <c r="AC209" s="116">
        <v>12.7</v>
      </c>
      <c r="AD209" s="116">
        <v>26.89</v>
      </c>
      <c r="AE209" s="116">
        <v>1.7</v>
      </c>
      <c r="AF209" s="116">
        <v>6.3</v>
      </c>
      <c r="AG209" s="116">
        <v>12.7</v>
      </c>
      <c r="AH209" s="116">
        <v>0</v>
      </c>
      <c r="AI209" s="116">
        <v>7</v>
      </c>
    </row>
    <row r="210" spans="1:35" s="71" customFormat="1">
      <c r="A210" s="210">
        <f t="shared" si="23"/>
        <v>22</v>
      </c>
      <c r="B210" s="210">
        <f t="shared" si="24"/>
        <v>7</v>
      </c>
      <c r="C210" s="210">
        <f t="shared" si="27"/>
        <v>2015</v>
      </c>
      <c r="D210" s="106">
        <f t="shared" si="25"/>
        <v>42207</v>
      </c>
      <c r="E210" s="230">
        <v>42207</v>
      </c>
      <c r="F210" s="229">
        <v>27.6</v>
      </c>
      <c r="G210" s="229">
        <v>37.1</v>
      </c>
      <c r="H210" s="229">
        <v>17.600000000000001</v>
      </c>
      <c r="I210" s="229">
        <v>36.1</v>
      </c>
      <c r="J210" s="229">
        <v>76.400000000000006</v>
      </c>
      <c r="K210" s="229">
        <v>13.6</v>
      </c>
      <c r="L210" s="229">
        <v>26.58</v>
      </c>
      <c r="M210" s="229">
        <v>2</v>
      </c>
      <c r="N210" s="229">
        <v>8</v>
      </c>
      <c r="O210" s="229">
        <v>12.7</v>
      </c>
      <c r="P210" s="229">
        <v>0</v>
      </c>
      <c r="Q210" s="229">
        <v>7.4</v>
      </c>
      <c r="S210" s="122">
        <f t="shared" si="28"/>
        <v>22</v>
      </c>
      <c r="T210" s="122">
        <f t="shared" si="29"/>
        <v>7</v>
      </c>
      <c r="U210" s="122">
        <f>YEAR(Inputs!$I$8)</f>
        <v>2015</v>
      </c>
      <c r="V210" s="108">
        <f t="shared" si="26"/>
        <v>42207</v>
      </c>
      <c r="W210" s="69">
        <v>42207</v>
      </c>
      <c r="X210" s="116">
        <v>25.6</v>
      </c>
      <c r="Y210" s="116">
        <v>36.1</v>
      </c>
      <c r="Z210" s="116">
        <v>16.8</v>
      </c>
      <c r="AA210" s="116">
        <v>48.6</v>
      </c>
      <c r="AB210" s="116">
        <v>86.3</v>
      </c>
      <c r="AC210" s="116">
        <v>14.7</v>
      </c>
      <c r="AD210" s="116">
        <v>28.82</v>
      </c>
      <c r="AE210" s="116">
        <v>1.9</v>
      </c>
      <c r="AF210" s="116">
        <v>8.1</v>
      </c>
      <c r="AG210" s="116">
        <v>12.7</v>
      </c>
      <c r="AH210" s="116">
        <v>0</v>
      </c>
      <c r="AI210" s="116">
        <v>7.3</v>
      </c>
    </row>
    <row r="211" spans="1:35" s="71" customFormat="1">
      <c r="A211" s="210">
        <f t="shared" si="23"/>
        <v>23</v>
      </c>
      <c r="B211" s="210">
        <f t="shared" si="24"/>
        <v>7</v>
      </c>
      <c r="C211" s="210">
        <f t="shared" si="27"/>
        <v>2015</v>
      </c>
      <c r="D211" s="106">
        <f t="shared" si="25"/>
        <v>42208</v>
      </c>
      <c r="E211" s="230">
        <v>42208</v>
      </c>
      <c r="F211" s="229">
        <v>24.4</v>
      </c>
      <c r="G211" s="229">
        <v>34.1</v>
      </c>
      <c r="H211" s="229">
        <v>13.1</v>
      </c>
      <c r="I211" s="229">
        <v>47</v>
      </c>
      <c r="J211" s="229">
        <v>81.599999999999994</v>
      </c>
      <c r="K211" s="229">
        <v>16.3</v>
      </c>
      <c r="L211" s="229">
        <v>28.61</v>
      </c>
      <c r="M211" s="229">
        <v>2.9</v>
      </c>
      <c r="N211" s="229">
        <v>8.8000000000000007</v>
      </c>
      <c r="O211" s="229">
        <v>12.8</v>
      </c>
      <c r="P211" s="229">
        <v>0</v>
      </c>
      <c r="Q211" s="229">
        <v>7.8</v>
      </c>
      <c r="S211" s="122">
        <f t="shared" si="28"/>
        <v>23</v>
      </c>
      <c r="T211" s="122">
        <f t="shared" si="29"/>
        <v>7</v>
      </c>
      <c r="U211" s="122">
        <f>YEAR(Inputs!$I$8)</f>
        <v>2015</v>
      </c>
      <c r="V211" s="108">
        <f t="shared" si="26"/>
        <v>42208</v>
      </c>
      <c r="W211" s="69">
        <v>42208</v>
      </c>
      <c r="X211" s="116">
        <v>25.7</v>
      </c>
      <c r="Y211" s="116">
        <v>33.4</v>
      </c>
      <c r="Z211" s="116">
        <v>16.8</v>
      </c>
      <c r="AA211" s="116">
        <v>51.6</v>
      </c>
      <c r="AB211" s="116">
        <v>78.099999999999994</v>
      </c>
      <c r="AC211" s="116">
        <v>26</v>
      </c>
      <c r="AD211" s="116">
        <v>23.09</v>
      </c>
      <c r="AE211" s="116">
        <v>2.1</v>
      </c>
      <c r="AF211" s="116">
        <v>7</v>
      </c>
      <c r="AG211" s="116">
        <v>12.2</v>
      </c>
      <c r="AH211" s="116">
        <v>0</v>
      </c>
      <c r="AI211" s="116">
        <v>6.2</v>
      </c>
    </row>
    <row r="212" spans="1:35" s="71" customFormat="1">
      <c r="A212" s="210">
        <f t="shared" si="23"/>
        <v>24</v>
      </c>
      <c r="B212" s="210">
        <f t="shared" si="24"/>
        <v>7</v>
      </c>
      <c r="C212" s="210">
        <f t="shared" si="27"/>
        <v>2015</v>
      </c>
      <c r="D212" s="106">
        <f t="shared" si="25"/>
        <v>42209</v>
      </c>
      <c r="E212" s="230">
        <v>42209</v>
      </c>
      <c r="F212" s="229">
        <v>23.7</v>
      </c>
      <c r="G212" s="229">
        <v>31.7</v>
      </c>
      <c r="H212" s="229">
        <v>15.1</v>
      </c>
      <c r="I212" s="229">
        <v>55.2</v>
      </c>
      <c r="J212" s="229">
        <v>89.5</v>
      </c>
      <c r="K212" s="229">
        <v>24.6</v>
      </c>
      <c r="L212" s="229">
        <v>27.3</v>
      </c>
      <c r="M212" s="229">
        <v>1.9</v>
      </c>
      <c r="N212" s="229">
        <v>6.3</v>
      </c>
      <c r="O212" s="229">
        <v>12.7</v>
      </c>
      <c r="P212" s="229">
        <v>0</v>
      </c>
      <c r="Q212" s="229">
        <v>6.2</v>
      </c>
      <c r="S212" s="122">
        <f t="shared" si="28"/>
        <v>24</v>
      </c>
      <c r="T212" s="122">
        <f t="shared" si="29"/>
        <v>7</v>
      </c>
      <c r="U212" s="122">
        <f>YEAR(Inputs!$I$8)</f>
        <v>2015</v>
      </c>
      <c r="V212" s="108">
        <f t="shared" si="26"/>
        <v>42209</v>
      </c>
      <c r="W212" s="69">
        <v>42209</v>
      </c>
      <c r="X212" s="116">
        <v>28.1</v>
      </c>
      <c r="Y212" s="116">
        <v>37.200000000000003</v>
      </c>
      <c r="Z212" s="116">
        <v>16.600000000000001</v>
      </c>
      <c r="AA212" s="116">
        <v>34.6</v>
      </c>
      <c r="AB212" s="116">
        <v>81.5</v>
      </c>
      <c r="AC212" s="116">
        <v>13.2</v>
      </c>
      <c r="AD212" s="116">
        <v>28.78</v>
      </c>
      <c r="AE212" s="116">
        <v>3.2</v>
      </c>
      <c r="AF212" s="116">
        <v>9.6999999999999993</v>
      </c>
      <c r="AG212" s="116">
        <v>12.8</v>
      </c>
      <c r="AH212" s="116">
        <v>0</v>
      </c>
      <c r="AI212" s="116">
        <v>8.8000000000000007</v>
      </c>
    </row>
    <row r="213" spans="1:35" s="71" customFormat="1">
      <c r="A213" s="210">
        <f t="shared" si="23"/>
        <v>25</v>
      </c>
      <c r="B213" s="210">
        <f t="shared" si="24"/>
        <v>7</v>
      </c>
      <c r="C213" s="210">
        <f t="shared" si="27"/>
        <v>2015</v>
      </c>
      <c r="D213" s="106">
        <f t="shared" si="25"/>
        <v>42210</v>
      </c>
      <c r="E213" s="230">
        <v>42210</v>
      </c>
      <c r="F213" s="229">
        <v>24</v>
      </c>
      <c r="G213" s="229">
        <v>31.9</v>
      </c>
      <c r="H213" s="229">
        <v>15.4</v>
      </c>
      <c r="I213" s="229">
        <v>52.5</v>
      </c>
      <c r="J213" s="229">
        <v>87.6</v>
      </c>
      <c r="K213" s="229">
        <v>26.7</v>
      </c>
      <c r="L213" s="229">
        <v>27.82</v>
      </c>
      <c r="M213" s="229">
        <v>2.8</v>
      </c>
      <c r="N213" s="229">
        <v>7</v>
      </c>
      <c r="O213" s="229">
        <v>12.7</v>
      </c>
      <c r="P213" s="229">
        <v>0</v>
      </c>
      <c r="Q213" s="229">
        <v>7</v>
      </c>
      <c r="S213" s="122">
        <f t="shared" si="28"/>
        <v>25</v>
      </c>
      <c r="T213" s="122">
        <f t="shared" si="29"/>
        <v>7</v>
      </c>
      <c r="U213" s="122">
        <f>YEAR(Inputs!$I$8)</f>
        <v>2015</v>
      </c>
      <c r="V213" s="108">
        <f t="shared" si="26"/>
        <v>42210</v>
      </c>
      <c r="W213" s="69">
        <v>42210</v>
      </c>
      <c r="X213" s="116">
        <v>26</v>
      </c>
      <c r="Y213" s="116">
        <v>34.200000000000003</v>
      </c>
      <c r="Z213" s="116">
        <v>17</v>
      </c>
      <c r="AA213" s="116">
        <v>49.2</v>
      </c>
      <c r="AB213" s="116">
        <v>80.900000000000006</v>
      </c>
      <c r="AC213" s="116">
        <v>21.3</v>
      </c>
      <c r="AD213" s="116">
        <v>28.02</v>
      </c>
      <c r="AE213" s="116">
        <v>1.6</v>
      </c>
      <c r="AF213" s="116">
        <v>5.4</v>
      </c>
      <c r="AG213" s="116">
        <v>12.8</v>
      </c>
      <c r="AH213" s="116">
        <v>0</v>
      </c>
      <c r="AI213" s="116">
        <v>6.5</v>
      </c>
    </row>
    <row r="214" spans="1:35" s="71" customFormat="1">
      <c r="A214" s="210">
        <f t="shared" si="23"/>
        <v>26</v>
      </c>
      <c r="B214" s="210">
        <f t="shared" si="24"/>
        <v>7</v>
      </c>
      <c r="C214" s="210">
        <f t="shared" si="27"/>
        <v>2015</v>
      </c>
      <c r="D214" s="106">
        <f t="shared" si="25"/>
        <v>42211</v>
      </c>
      <c r="E214" s="230">
        <v>42211</v>
      </c>
      <c r="F214" s="229">
        <v>26</v>
      </c>
      <c r="G214" s="229">
        <v>35.4</v>
      </c>
      <c r="H214" s="229">
        <v>15.8</v>
      </c>
      <c r="I214" s="229">
        <v>43.9</v>
      </c>
      <c r="J214" s="229">
        <v>72.599999999999994</v>
      </c>
      <c r="K214" s="229">
        <v>20.100000000000001</v>
      </c>
      <c r="L214" s="229">
        <v>28.15</v>
      </c>
      <c r="M214" s="229">
        <v>2.8</v>
      </c>
      <c r="N214" s="229">
        <v>7.2</v>
      </c>
      <c r="O214" s="229">
        <v>12.7</v>
      </c>
      <c r="P214" s="229">
        <v>0</v>
      </c>
      <c r="Q214" s="229">
        <v>7.9</v>
      </c>
      <c r="S214" s="122">
        <f t="shared" si="28"/>
        <v>26</v>
      </c>
      <c r="T214" s="122">
        <f t="shared" si="29"/>
        <v>7</v>
      </c>
      <c r="U214" s="122">
        <f>YEAR(Inputs!$I$8)</f>
        <v>2015</v>
      </c>
      <c r="V214" s="108">
        <f t="shared" si="26"/>
        <v>42211</v>
      </c>
      <c r="W214" s="69">
        <v>42211</v>
      </c>
      <c r="X214" s="116">
        <v>27.6</v>
      </c>
      <c r="Y214" s="116">
        <v>37.1</v>
      </c>
      <c r="Z214" s="116">
        <v>19.7</v>
      </c>
      <c r="AA214" s="116">
        <v>50.1</v>
      </c>
      <c r="AB214" s="116">
        <v>92.2</v>
      </c>
      <c r="AC214" s="116">
        <v>14.5</v>
      </c>
      <c r="AD214" s="116">
        <v>28.45</v>
      </c>
      <c r="AE214" s="116">
        <v>2.2000000000000002</v>
      </c>
      <c r="AF214" s="116">
        <v>7.5</v>
      </c>
      <c r="AG214" s="116">
        <v>12.7</v>
      </c>
      <c r="AH214" s="116">
        <v>0</v>
      </c>
      <c r="AI214" s="116">
        <v>7.7</v>
      </c>
    </row>
    <row r="215" spans="1:35" s="71" customFormat="1">
      <c r="A215" s="210">
        <f t="shared" si="23"/>
        <v>27</v>
      </c>
      <c r="B215" s="210">
        <f t="shared" si="24"/>
        <v>7</v>
      </c>
      <c r="C215" s="210">
        <f t="shared" si="27"/>
        <v>2015</v>
      </c>
      <c r="D215" s="106">
        <f t="shared" si="25"/>
        <v>42212</v>
      </c>
      <c r="E215" s="230">
        <v>42212</v>
      </c>
      <c r="F215" s="229">
        <v>26.9</v>
      </c>
      <c r="G215" s="229">
        <v>36.200000000000003</v>
      </c>
      <c r="H215" s="229">
        <v>16.399999999999999</v>
      </c>
      <c r="I215" s="229">
        <v>43.1</v>
      </c>
      <c r="J215" s="229">
        <v>76.2</v>
      </c>
      <c r="K215" s="229">
        <v>19.399999999999999</v>
      </c>
      <c r="L215" s="229">
        <v>27.57</v>
      </c>
      <c r="M215" s="229">
        <v>2.8</v>
      </c>
      <c r="N215" s="229">
        <v>7.5</v>
      </c>
      <c r="O215" s="229">
        <v>12.6</v>
      </c>
      <c r="P215" s="229">
        <v>0</v>
      </c>
      <c r="Q215" s="229">
        <v>8</v>
      </c>
      <c r="S215" s="122">
        <f t="shared" si="28"/>
        <v>27</v>
      </c>
      <c r="T215" s="122">
        <f t="shared" si="29"/>
        <v>7</v>
      </c>
      <c r="U215" s="122">
        <f>YEAR(Inputs!$I$8)</f>
        <v>2015</v>
      </c>
      <c r="V215" s="109">
        <f>SUM(O215:Q215)</f>
        <v>20.6</v>
      </c>
      <c r="W215" s="69">
        <v>42212</v>
      </c>
      <c r="X215" s="116">
        <v>28.3</v>
      </c>
      <c r="Y215" s="116">
        <v>37.9</v>
      </c>
      <c r="Z215" s="116">
        <v>16.8</v>
      </c>
      <c r="AA215" s="116">
        <v>33.200000000000003</v>
      </c>
      <c r="AB215" s="116">
        <v>74.7</v>
      </c>
      <c r="AC215" s="116">
        <v>15.1</v>
      </c>
      <c r="AD215" s="116">
        <v>28.56</v>
      </c>
      <c r="AE215" s="116">
        <v>2.2999999999999998</v>
      </c>
      <c r="AF215" s="116">
        <v>10.199999999999999</v>
      </c>
      <c r="AG215" s="116">
        <v>12.8</v>
      </c>
      <c r="AH215" s="116">
        <v>0</v>
      </c>
      <c r="AI215" s="116">
        <v>7.9</v>
      </c>
    </row>
    <row r="216" spans="1:35" s="71" customFormat="1">
      <c r="A216" s="210">
        <f t="shared" si="23"/>
        <v>28</v>
      </c>
      <c r="B216" s="210">
        <f t="shared" si="24"/>
        <v>7</v>
      </c>
      <c r="C216" s="210">
        <f t="shared" si="27"/>
        <v>2015</v>
      </c>
      <c r="D216" s="106">
        <f t="shared" si="25"/>
        <v>42213</v>
      </c>
      <c r="E216" s="230">
        <v>42213</v>
      </c>
      <c r="F216" s="229">
        <v>26.9</v>
      </c>
      <c r="G216" s="229">
        <v>36.200000000000003</v>
      </c>
      <c r="H216" s="229">
        <v>18.100000000000001</v>
      </c>
      <c r="I216" s="229">
        <v>42.7</v>
      </c>
      <c r="J216" s="229">
        <v>83.3</v>
      </c>
      <c r="K216" s="229">
        <v>18.399999999999999</v>
      </c>
      <c r="L216" s="229">
        <v>26.31</v>
      </c>
      <c r="M216" s="229">
        <v>2.6</v>
      </c>
      <c r="N216" s="229">
        <v>7.2</v>
      </c>
      <c r="O216" s="229">
        <v>12.6</v>
      </c>
      <c r="P216" s="229">
        <v>0</v>
      </c>
      <c r="Q216" s="229">
        <v>7.7</v>
      </c>
      <c r="S216" s="122">
        <f t="shared" si="28"/>
        <v>28</v>
      </c>
      <c r="T216" s="122">
        <f t="shared" si="29"/>
        <v>7</v>
      </c>
      <c r="U216" s="122">
        <f>YEAR(Inputs!$I$8)</f>
        <v>2015</v>
      </c>
      <c r="V216" s="109"/>
      <c r="W216" s="69">
        <v>42213</v>
      </c>
      <c r="X216" s="116">
        <v>27.7</v>
      </c>
      <c r="Y216" s="116">
        <v>38.4</v>
      </c>
      <c r="Z216" s="116">
        <v>17.100000000000001</v>
      </c>
      <c r="AA216" s="116">
        <v>52.9</v>
      </c>
      <c r="AB216" s="116">
        <v>89.4</v>
      </c>
      <c r="AC216" s="116">
        <v>17.7</v>
      </c>
      <c r="AD216" s="116">
        <v>28.08</v>
      </c>
      <c r="AE216" s="116">
        <v>1.5</v>
      </c>
      <c r="AF216" s="116">
        <v>5.7</v>
      </c>
      <c r="AG216" s="116">
        <v>12.6</v>
      </c>
      <c r="AH216" s="116">
        <v>0</v>
      </c>
      <c r="AI216" s="116">
        <v>6.9</v>
      </c>
    </row>
    <row r="217" spans="1:35" s="71" customFormat="1">
      <c r="A217" s="210">
        <f t="shared" si="23"/>
        <v>29</v>
      </c>
      <c r="B217" s="210">
        <f t="shared" si="24"/>
        <v>7</v>
      </c>
      <c r="C217" s="210">
        <f t="shared" si="27"/>
        <v>2015</v>
      </c>
      <c r="D217" s="106">
        <f t="shared" si="25"/>
        <v>42214</v>
      </c>
      <c r="E217" s="230">
        <v>42214</v>
      </c>
      <c r="F217" s="229">
        <v>26</v>
      </c>
      <c r="G217" s="229">
        <v>34.6</v>
      </c>
      <c r="H217" s="229">
        <v>17.399999999999999</v>
      </c>
      <c r="I217" s="229">
        <v>47.7</v>
      </c>
      <c r="J217" s="229">
        <v>88.4</v>
      </c>
      <c r="K217" s="229">
        <v>19.100000000000001</v>
      </c>
      <c r="L217" s="229">
        <v>27.53</v>
      </c>
      <c r="M217" s="229">
        <v>2.8</v>
      </c>
      <c r="N217" s="229">
        <v>6.7</v>
      </c>
      <c r="O217" s="229">
        <v>12.5</v>
      </c>
      <c r="P217" s="229">
        <v>0</v>
      </c>
      <c r="Q217" s="229">
        <v>7.6</v>
      </c>
      <c r="S217" s="122">
        <f t="shared" si="28"/>
        <v>29</v>
      </c>
      <c r="T217" s="122">
        <f t="shared" si="29"/>
        <v>7</v>
      </c>
      <c r="U217" s="122">
        <f>YEAR(Inputs!$I$8)</f>
        <v>2015</v>
      </c>
      <c r="V217" s="109"/>
      <c r="W217" s="69">
        <v>42214</v>
      </c>
      <c r="X217" s="116">
        <v>27.8</v>
      </c>
      <c r="Y217" s="116">
        <v>39.200000000000003</v>
      </c>
      <c r="Z217" s="116">
        <v>18.2</v>
      </c>
      <c r="AA217" s="116">
        <v>47</v>
      </c>
      <c r="AB217" s="116">
        <v>97.9</v>
      </c>
      <c r="AC217" s="116">
        <v>13</v>
      </c>
      <c r="AD217" s="116">
        <v>27.15</v>
      </c>
      <c r="AE217" s="116">
        <v>2</v>
      </c>
      <c r="AF217" s="116">
        <v>8.4</v>
      </c>
      <c r="AG217" s="116">
        <v>12.4</v>
      </c>
      <c r="AH217" s="116">
        <v>0</v>
      </c>
      <c r="AI217" s="116">
        <v>7.6</v>
      </c>
    </row>
    <row r="218" spans="1:35" s="71" customFormat="1">
      <c r="A218" s="210">
        <f t="shared" si="23"/>
        <v>30</v>
      </c>
      <c r="B218" s="210">
        <f t="shared" si="24"/>
        <v>7</v>
      </c>
      <c r="C218" s="210">
        <f t="shared" si="27"/>
        <v>2015</v>
      </c>
      <c r="D218" s="106">
        <f t="shared" si="25"/>
        <v>42215</v>
      </c>
      <c r="E218" s="230">
        <v>42215</v>
      </c>
      <c r="F218" s="229">
        <v>27.7</v>
      </c>
      <c r="G218" s="229">
        <v>36.200000000000003</v>
      </c>
      <c r="H218" s="229">
        <v>16.8</v>
      </c>
      <c r="I218" s="229">
        <v>37.299999999999997</v>
      </c>
      <c r="J218" s="229">
        <v>70.400000000000006</v>
      </c>
      <c r="K218" s="229">
        <v>15.7</v>
      </c>
      <c r="L218" s="229">
        <v>27.29</v>
      </c>
      <c r="M218" s="229">
        <v>3.1</v>
      </c>
      <c r="N218" s="229">
        <v>6.8</v>
      </c>
      <c r="O218" s="229">
        <v>12.3</v>
      </c>
      <c r="P218" s="229">
        <v>0</v>
      </c>
      <c r="Q218" s="229">
        <v>8.3000000000000007</v>
      </c>
      <c r="S218" s="122">
        <f t="shared" si="28"/>
        <v>30</v>
      </c>
      <c r="T218" s="122">
        <f t="shared" si="29"/>
        <v>7</v>
      </c>
      <c r="U218" s="122">
        <f>YEAR(Inputs!$I$8)</f>
        <v>2015</v>
      </c>
      <c r="V218" s="109"/>
      <c r="W218" s="69">
        <v>42215</v>
      </c>
      <c r="X218" s="116">
        <v>25.8</v>
      </c>
      <c r="Y218" s="116">
        <v>34</v>
      </c>
      <c r="Z218" s="116">
        <v>17.600000000000001</v>
      </c>
      <c r="AA218" s="116">
        <v>58.7</v>
      </c>
      <c r="AB218" s="116">
        <v>95.2</v>
      </c>
      <c r="AC218" s="116">
        <v>18.399999999999999</v>
      </c>
      <c r="AD218" s="116">
        <v>24.7</v>
      </c>
      <c r="AE218" s="116">
        <v>1.9</v>
      </c>
      <c r="AF218" s="116">
        <v>7.2</v>
      </c>
      <c r="AG218" s="116">
        <v>12.8</v>
      </c>
      <c r="AH218" s="116">
        <v>0</v>
      </c>
      <c r="AI218" s="116">
        <v>6.3</v>
      </c>
    </row>
    <row r="219" spans="1:35" s="71" customFormat="1">
      <c r="A219" s="210">
        <f t="shared" si="23"/>
        <v>31</v>
      </c>
      <c r="B219" s="210">
        <f t="shared" si="24"/>
        <v>7</v>
      </c>
      <c r="C219" s="210">
        <f t="shared" si="27"/>
        <v>2015</v>
      </c>
      <c r="D219" s="106">
        <f t="shared" si="25"/>
        <v>42216</v>
      </c>
      <c r="E219" s="230">
        <v>42216</v>
      </c>
      <c r="F219" s="229">
        <v>28.4</v>
      </c>
      <c r="G219" s="229">
        <v>37.4</v>
      </c>
      <c r="H219" s="229">
        <v>18.100000000000001</v>
      </c>
      <c r="I219" s="229">
        <v>31.4</v>
      </c>
      <c r="J219" s="229">
        <v>62.9</v>
      </c>
      <c r="K219" s="229">
        <v>10.8</v>
      </c>
      <c r="L219" s="229">
        <v>27.69</v>
      </c>
      <c r="M219" s="229">
        <v>2.9</v>
      </c>
      <c r="N219" s="229">
        <v>10.4</v>
      </c>
      <c r="O219" s="229">
        <v>12.6</v>
      </c>
      <c r="P219" s="229">
        <v>0</v>
      </c>
      <c r="Q219" s="229">
        <v>8.6999999999999993</v>
      </c>
      <c r="S219" s="122">
        <f t="shared" si="28"/>
        <v>31</v>
      </c>
      <c r="T219" s="122">
        <f t="shared" si="29"/>
        <v>7</v>
      </c>
      <c r="U219" s="122">
        <f>YEAR(Inputs!$I$8)</f>
        <v>2015</v>
      </c>
      <c r="V219" s="109"/>
      <c r="W219" s="69">
        <v>42216</v>
      </c>
      <c r="X219" s="116">
        <v>25.1</v>
      </c>
      <c r="Y219" s="116">
        <v>31.1</v>
      </c>
      <c r="Z219" s="116">
        <v>20.2</v>
      </c>
      <c r="AA219" s="116">
        <v>69</v>
      </c>
      <c r="AB219" s="116">
        <v>92.1</v>
      </c>
      <c r="AC219" s="116">
        <v>39</v>
      </c>
      <c r="AD219" s="116">
        <v>25.44</v>
      </c>
      <c r="AE219" s="116">
        <v>3</v>
      </c>
      <c r="AF219" s="116">
        <v>9.5</v>
      </c>
      <c r="AG219" s="116">
        <v>12.5</v>
      </c>
      <c r="AH219" s="116">
        <v>0</v>
      </c>
      <c r="AI219" s="116">
        <v>6.3</v>
      </c>
    </row>
    <row r="220" spans="1:35" s="71" customFormat="1">
      <c r="A220" s="210">
        <f t="shared" si="23"/>
        <v>1</v>
      </c>
      <c r="B220" s="210">
        <f t="shared" si="24"/>
        <v>8</v>
      </c>
      <c r="C220" s="210">
        <f t="shared" si="27"/>
        <v>2015</v>
      </c>
      <c r="D220" s="106">
        <f t="shared" si="25"/>
        <v>42217</v>
      </c>
      <c r="E220" s="230">
        <v>42217</v>
      </c>
      <c r="F220" s="229">
        <v>26.8</v>
      </c>
      <c r="G220" s="229">
        <v>35.799999999999997</v>
      </c>
      <c r="H220" s="229">
        <v>18.600000000000001</v>
      </c>
      <c r="I220" s="229">
        <v>26.9</v>
      </c>
      <c r="J220" s="229">
        <v>48.6</v>
      </c>
      <c r="K220" s="229">
        <v>13.1</v>
      </c>
      <c r="L220" s="229">
        <v>26.64</v>
      </c>
      <c r="M220" s="229">
        <v>3.2</v>
      </c>
      <c r="N220" s="229">
        <v>10.9</v>
      </c>
      <c r="O220" s="229">
        <v>11.6</v>
      </c>
      <c r="P220" s="229">
        <v>0</v>
      </c>
      <c r="Q220" s="229">
        <v>8.9</v>
      </c>
      <c r="S220" s="122">
        <f t="shared" si="28"/>
        <v>1</v>
      </c>
      <c r="T220" s="122">
        <f t="shared" si="29"/>
        <v>8</v>
      </c>
      <c r="U220" s="122">
        <f>YEAR(Inputs!$I$8)</f>
        <v>2015</v>
      </c>
      <c r="V220" s="109"/>
      <c r="W220" s="69">
        <v>42217</v>
      </c>
      <c r="X220" s="116">
        <v>24</v>
      </c>
      <c r="Y220" s="116">
        <v>31.6</v>
      </c>
      <c r="Z220" s="116">
        <v>16.7</v>
      </c>
      <c r="AA220" s="116">
        <v>65.5</v>
      </c>
      <c r="AB220" s="116">
        <v>98.3</v>
      </c>
      <c r="AC220" s="116">
        <v>25.7</v>
      </c>
      <c r="AD220" s="116">
        <v>27.48</v>
      </c>
      <c r="AE220" s="116">
        <v>2</v>
      </c>
      <c r="AF220" s="116">
        <v>7.8</v>
      </c>
      <c r="AG220" s="116">
        <v>12.3</v>
      </c>
      <c r="AH220" s="116">
        <v>0</v>
      </c>
      <c r="AI220" s="116">
        <v>6.3</v>
      </c>
    </row>
    <row r="221" spans="1:35" s="71" customFormat="1">
      <c r="A221" s="210">
        <f t="shared" si="23"/>
        <v>2</v>
      </c>
      <c r="B221" s="210">
        <f t="shared" si="24"/>
        <v>8</v>
      </c>
      <c r="C221" s="210">
        <f t="shared" si="27"/>
        <v>2015</v>
      </c>
      <c r="D221" s="106">
        <f t="shared" si="25"/>
        <v>42218</v>
      </c>
      <c r="E221" s="230">
        <v>42218</v>
      </c>
      <c r="F221" s="229">
        <v>25.3</v>
      </c>
      <c r="G221" s="229">
        <v>35.200000000000003</v>
      </c>
      <c r="H221" s="229">
        <v>13.9</v>
      </c>
      <c r="I221" s="229">
        <v>44.9</v>
      </c>
      <c r="J221" s="229">
        <v>84.1</v>
      </c>
      <c r="K221" s="229">
        <v>18.8</v>
      </c>
      <c r="L221" s="229">
        <v>27.63</v>
      </c>
      <c r="M221" s="229">
        <v>1.8</v>
      </c>
      <c r="N221" s="229">
        <v>6.2</v>
      </c>
      <c r="O221" s="229">
        <v>12.5</v>
      </c>
      <c r="P221" s="229">
        <v>0</v>
      </c>
      <c r="Q221" s="229">
        <v>6.7</v>
      </c>
      <c r="S221" s="122">
        <f t="shared" si="28"/>
        <v>2</v>
      </c>
      <c r="T221" s="122">
        <f t="shared" si="29"/>
        <v>8</v>
      </c>
      <c r="U221" s="122">
        <f>YEAR(Inputs!$I$8)</f>
        <v>2015</v>
      </c>
      <c r="V221" s="109"/>
      <c r="W221" s="69">
        <v>42218</v>
      </c>
      <c r="X221" s="116">
        <v>24.5</v>
      </c>
      <c r="Y221" s="116">
        <v>31.8</v>
      </c>
      <c r="Z221" s="116">
        <v>16.600000000000001</v>
      </c>
      <c r="AA221" s="116">
        <v>64.3</v>
      </c>
      <c r="AB221" s="116">
        <v>92.6</v>
      </c>
      <c r="AC221" s="116">
        <v>34.299999999999997</v>
      </c>
      <c r="AD221" s="116">
        <v>27.42</v>
      </c>
      <c r="AE221" s="116">
        <v>2.7</v>
      </c>
      <c r="AF221" s="116">
        <v>6.4</v>
      </c>
      <c r="AG221" s="116">
        <v>12.5</v>
      </c>
      <c r="AH221" s="116">
        <v>0</v>
      </c>
      <c r="AI221" s="116">
        <v>6.5</v>
      </c>
    </row>
    <row r="222" spans="1:35" s="71" customFormat="1">
      <c r="A222" s="210">
        <f t="shared" si="23"/>
        <v>3</v>
      </c>
      <c r="B222" s="210">
        <f t="shared" si="24"/>
        <v>8</v>
      </c>
      <c r="C222" s="210">
        <f t="shared" si="27"/>
        <v>2015</v>
      </c>
      <c r="D222" s="106">
        <f t="shared" si="25"/>
        <v>42219</v>
      </c>
      <c r="E222" s="230">
        <v>42219</v>
      </c>
      <c r="F222" s="229">
        <v>26.3</v>
      </c>
      <c r="G222" s="229">
        <v>35.799999999999997</v>
      </c>
      <c r="H222" s="229">
        <v>17</v>
      </c>
      <c r="I222" s="229">
        <v>50.7</v>
      </c>
      <c r="J222" s="229">
        <v>88.3</v>
      </c>
      <c r="K222" s="229">
        <v>16.899999999999999</v>
      </c>
      <c r="L222" s="229">
        <v>27.65</v>
      </c>
      <c r="M222" s="229">
        <v>3</v>
      </c>
      <c r="N222" s="229">
        <v>6.4</v>
      </c>
      <c r="O222" s="229">
        <v>12.5</v>
      </c>
      <c r="P222" s="229">
        <v>0</v>
      </c>
      <c r="Q222" s="229">
        <v>8</v>
      </c>
      <c r="S222" s="122">
        <f t="shared" si="28"/>
        <v>3</v>
      </c>
      <c r="T222" s="122">
        <f t="shared" si="29"/>
        <v>8</v>
      </c>
      <c r="U222" s="122">
        <f>YEAR(Inputs!$I$8)</f>
        <v>2015</v>
      </c>
      <c r="V222" s="109"/>
      <c r="W222" s="69">
        <v>42219</v>
      </c>
      <c r="X222" s="116">
        <v>26</v>
      </c>
      <c r="Y222" s="116">
        <v>32.5</v>
      </c>
      <c r="Z222" s="116">
        <v>18.399999999999999</v>
      </c>
      <c r="AA222" s="116">
        <v>52.7</v>
      </c>
      <c r="AB222" s="116">
        <v>91.6</v>
      </c>
      <c r="AC222" s="116">
        <v>30.2</v>
      </c>
      <c r="AD222" s="116">
        <v>18.97</v>
      </c>
      <c r="AE222" s="116">
        <v>3</v>
      </c>
      <c r="AF222" s="116">
        <v>8.9</v>
      </c>
      <c r="AG222" s="116">
        <v>11.5</v>
      </c>
      <c r="AH222" s="116">
        <v>0</v>
      </c>
      <c r="AI222" s="116">
        <v>5.9</v>
      </c>
    </row>
    <row r="223" spans="1:35" s="71" customFormat="1">
      <c r="A223" s="210">
        <f t="shared" si="23"/>
        <v>4</v>
      </c>
      <c r="B223" s="210">
        <f t="shared" si="24"/>
        <v>8</v>
      </c>
      <c r="C223" s="210">
        <f t="shared" si="27"/>
        <v>2015</v>
      </c>
      <c r="D223" s="106">
        <f t="shared" si="25"/>
        <v>42220</v>
      </c>
      <c r="E223" s="230">
        <v>42220</v>
      </c>
      <c r="F223" s="229">
        <v>27.2</v>
      </c>
      <c r="G223" s="229">
        <v>36.299999999999997</v>
      </c>
      <c r="H223" s="229">
        <v>16.899999999999999</v>
      </c>
      <c r="I223" s="229">
        <v>45.2</v>
      </c>
      <c r="J223" s="229">
        <v>82.8</v>
      </c>
      <c r="K223" s="229">
        <v>21</v>
      </c>
      <c r="L223" s="229">
        <v>25.46</v>
      </c>
      <c r="M223" s="229">
        <v>2.4</v>
      </c>
      <c r="N223" s="229">
        <v>7.2</v>
      </c>
      <c r="O223" s="229">
        <v>12.3</v>
      </c>
      <c r="P223" s="229">
        <v>0</v>
      </c>
      <c r="Q223" s="229">
        <v>7.2</v>
      </c>
      <c r="S223" s="122">
        <f t="shared" si="28"/>
        <v>4</v>
      </c>
      <c r="T223" s="122">
        <f t="shared" si="29"/>
        <v>8</v>
      </c>
      <c r="U223" s="122">
        <f>YEAR(Inputs!$I$8)</f>
        <v>2015</v>
      </c>
      <c r="V223" s="109"/>
      <c r="W223" s="69">
        <v>42220</v>
      </c>
      <c r="X223" s="116">
        <v>27.9</v>
      </c>
      <c r="Y223" s="116">
        <v>36.6</v>
      </c>
      <c r="Z223" s="116">
        <v>19.899999999999999</v>
      </c>
      <c r="AA223" s="116">
        <v>53</v>
      </c>
      <c r="AB223" s="116">
        <v>87.4</v>
      </c>
      <c r="AC223" s="116">
        <v>25.5</v>
      </c>
      <c r="AD223" s="116">
        <v>25.43</v>
      </c>
      <c r="AE223" s="116">
        <v>1.7</v>
      </c>
      <c r="AF223" s="116">
        <v>5.6</v>
      </c>
      <c r="AG223" s="116">
        <v>12.2</v>
      </c>
      <c r="AH223" s="116">
        <v>0</v>
      </c>
      <c r="AI223" s="116">
        <v>6.5</v>
      </c>
    </row>
    <row r="224" spans="1:35" s="71" customFormat="1">
      <c r="A224" s="210">
        <f t="shared" si="23"/>
        <v>5</v>
      </c>
      <c r="B224" s="210">
        <f t="shared" si="24"/>
        <v>8</v>
      </c>
      <c r="C224" s="210">
        <f t="shared" si="27"/>
        <v>2015</v>
      </c>
      <c r="D224" s="106">
        <f t="shared" si="25"/>
        <v>42221</v>
      </c>
      <c r="E224" s="230">
        <v>42221</v>
      </c>
      <c r="F224" s="229">
        <v>27.3</v>
      </c>
      <c r="G224" s="229">
        <v>36.9</v>
      </c>
      <c r="H224" s="229">
        <v>15.7</v>
      </c>
      <c r="I224" s="229">
        <v>33.5</v>
      </c>
      <c r="J224" s="229">
        <v>72.7</v>
      </c>
      <c r="K224" s="229">
        <v>13.4</v>
      </c>
      <c r="L224" s="229">
        <v>27.09</v>
      </c>
      <c r="M224" s="229">
        <v>2.7</v>
      </c>
      <c r="N224" s="229">
        <v>8.6</v>
      </c>
      <c r="O224" s="229">
        <v>12.4</v>
      </c>
      <c r="P224" s="229">
        <v>0</v>
      </c>
      <c r="Q224" s="229">
        <v>8.1</v>
      </c>
      <c r="S224" s="122">
        <f t="shared" si="28"/>
        <v>5</v>
      </c>
      <c r="T224" s="122">
        <f t="shared" si="29"/>
        <v>8</v>
      </c>
      <c r="U224" s="122">
        <f>YEAR(Inputs!$I$8)</f>
        <v>2015</v>
      </c>
      <c r="V224" s="109"/>
      <c r="W224" s="69">
        <v>42221</v>
      </c>
      <c r="X224" s="116">
        <v>28.2</v>
      </c>
      <c r="Y224" s="116">
        <v>40.1</v>
      </c>
      <c r="Z224" s="116">
        <v>17.8</v>
      </c>
      <c r="AA224" s="116">
        <v>53.1</v>
      </c>
      <c r="AB224" s="116">
        <v>94.9</v>
      </c>
      <c r="AC224" s="116">
        <v>13.1</v>
      </c>
      <c r="AD224" s="116">
        <v>26.52</v>
      </c>
      <c r="AE224" s="116">
        <v>2</v>
      </c>
      <c r="AF224" s="116">
        <v>7.2</v>
      </c>
      <c r="AG224" s="116">
        <v>12.3</v>
      </c>
      <c r="AH224" s="116">
        <v>0</v>
      </c>
      <c r="AI224" s="116">
        <v>7.6</v>
      </c>
    </row>
    <row r="225" spans="1:35" s="71" customFormat="1">
      <c r="A225" s="210">
        <f t="shared" si="23"/>
        <v>6</v>
      </c>
      <c r="B225" s="210">
        <f t="shared" si="24"/>
        <v>8</v>
      </c>
      <c r="C225" s="210">
        <f t="shared" si="27"/>
        <v>2015</v>
      </c>
      <c r="D225" s="106">
        <f t="shared" si="25"/>
        <v>42222</v>
      </c>
      <c r="E225" s="230">
        <v>42222</v>
      </c>
      <c r="F225" s="229">
        <v>25.6</v>
      </c>
      <c r="G225" s="229">
        <v>32.1</v>
      </c>
      <c r="H225" s="229">
        <v>19</v>
      </c>
      <c r="I225" s="229">
        <v>53.2</v>
      </c>
      <c r="J225" s="229">
        <v>79.7</v>
      </c>
      <c r="K225" s="229">
        <v>36</v>
      </c>
      <c r="L225" s="229">
        <v>25.4</v>
      </c>
      <c r="M225" s="229">
        <v>2.8</v>
      </c>
      <c r="N225" s="229">
        <v>7.5</v>
      </c>
      <c r="O225" s="229">
        <v>12.5</v>
      </c>
      <c r="P225" s="229">
        <v>0</v>
      </c>
      <c r="Q225" s="229">
        <v>6.6</v>
      </c>
      <c r="S225" s="122">
        <f t="shared" si="28"/>
        <v>6</v>
      </c>
      <c r="T225" s="122">
        <f t="shared" si="29"/>
        <v>8</v>
      </c>
      <c r="U225" s="122">
        <f>YEAR(Inputs!$I$8)</f>
        <v>2015</v>
      </c>
      <c r="V225" s="109"/>
      <c r="W225" s="69">
        <v>42222</v>
      </c>
      <c r="X225" s="116">
        <v>27</v>
      </c>
      <c r="Y225" s="116">
        <v>39.799999999999997</v>
      </c>
      <c r="Z225" s="116">
        <v>17.2</v>
      </c>
      <c r="AA225" s="116">
        <v>57.5</v>
      </c>
      <c r="AB225" s="116">
        <v>93.9</v>
      </c>
      <c r="AC225" s="116">
        <v>14.7</v>
      </c>
      <c r="AD225" s="116">
        <v>22.4</v>
      </c>
      <c r="AE225" s="116">
        <v>1.7</v>
      </c>
      <c r="AF225" s="116">
        <v>8.5</v>
      </c>
      <c r="AG225" s="116">
        <v>10.5</v>
      </c>
      <c r="AH225" s="116">
        <v>4.9000000000000004</v>
      </c>
      <c r="AI225" s="116">
        <v>6.7</v>
      </c>
    </row>
    <row r="226" spans="1:35" s="71" customFormat="1">
      <c r="A226" s="210">
        <f t="shared" si="23"/>
        <v>7</v>
      </c>
      <c r="B226" s="210">
        <f t="shared" si="24"/>
        <v>8</v>
      </c>
      <c r="C226" s="210">
        <f t="shared" si="27"/>
        <v>2015</v>
      </c>
      <c r="D226" s="106">
        <f t="shared" si="25"/>
        <v>42223</v>
      </c>
      <c r="E226" s="230">
        <v>42223</v>
      </c>
      <c r="F226" s="229">
        <v>25</v>
      </c>
      <c r="G226" s="229">
        <v>33.299999999999997</v>
      </c>
      <c r="H226" s="229">
        <v>16.899999999999999</v>
      </c>
      <c r="I226" s="229">
        <v>56.4</v>
      </c>
      <c r="J226" s="229">
        <v>88.8</v>
      </c>
      <c r="K226" s="229">
        <v>22.4</v>
      </c>
      <c r="L226" s="229">
        <v>26.94</v>
      </c>
      <c r="M226" s="229">
        <v>2.4</v>
      </c>
      <c r="N226" s="229">
        <v>7</v>
      </c>
      <c r="O226" s="229">
        <v>12.4</v>
      </c>
      <c r="P226" s="229">
        <v>0</v>
      </c>
      <c r="Q226" s="229">
        <v>6.9</v>
      </c>
      <c r="S226" s="122">
        <f t="shared" si="28"/>
        <v>7</v>
      </c>
      <c r="T226" s="122">
        <f t="shared" si="29"/>
        <v>8</v>
      </c>
      <c r="U226" s="122">
        <f>YEAR(Inputs!$I$8)</f>
        <v>2015</v>
      </c>
      <c r="V226" s="109"/>
      <c r="W226" s="69">
        <v>42223</v>
      </c>
      <c r="X226" s="116">
        <v>26.4</v>
      </c>
      <c r="Y226" s="116">
        <v>36.799999999999997</v>
      </c>
      <c r="Z226" s="116">
        <v>19.7</v>
      </c>
      <c r="AA226" s="116">
        <v>57.1</v>
      </c>
      <c r="AB226" s="116">
        <v>88.7</v>
      </c>
      <c r="AC226" s="116">
        <v>20.2</v>
      </c>
      <c r="AD226" s="116">
        <v>15.82</v>
      </c>
      <c r="AE226" s="116">
        <v>1.9</v>
      </c>
      <c r="AF226" s="116">
        <v>10.5</v>
      </c>
      <c r="AG226" s="116">
        <v>8.3000000000000007</v>
      </c>
      <c r="AH226" s="116">
        <v>0</v>
      </c>
      <c r="AI226" s="116">
        <v>5.6</v>
      </c>
    </row>
    <row r="227" spans="1:35" s="71" customFormat="1">
      <c r="A227" s="210">
        <f t="shared" si="23"/>
        <v>8</v>
      </c>
      <c r="B227" s="210">
        <f t="shared" si="24"/>
        <v>8</v>
      </c>
      <c r="C227" s="210">
        <f t="shared" si="27"/>
        <v>2015</v>
      </c>
      <c r="D227" s="106">
        <f t="shared" si="25"/>
        <v>42224</v>
      </c>
      <c r="E227" s="230">
        <v>42224</v>
      </c>
      <c r="F227" s="229">
        <v>23.8</v>
      </c>
      <c r="G227" s="229">
        <v>31.6</v>
      </c>
      <c r="H227" s="229">
        <v>15.3</v>
      </c>
      <c r="I227" s="229">
        <v>52.7</v>
      </c>
      <c r="J227" s="229">
        <v>87.4</v>
      </c>
      <c r="K227" s="229">
        <v>26</v>
      </c>
      <c r="L227" s="229">
        <v>27.2</v>
      </c>
      <c r="M227" s="229">
        <v>2.4</v>
      </c>
      <c r="N227" s="229">
        <v>7.2</v>
      </c>
      <c r="O227" s="229">
        <v>12.4</v>
      </c>
      <c r="P227" s="229">
        <v>0</v>
      </c>
      <c r="Q227" s="229">
        <v>6.5</v>
      </c>
      <c r="S227" s="122">
        <f t="shared" si="28"/>
        <v>8</v>
      </c>
      <c r="T227" s="122">
        <f t="shared" si="29"/>
        <v>8</v>
      </c>
      <c r="U227" s="122">
        <f>YEAR(Inputs!$I$8)</f>
        <v>2015</v>
      </c>
      <c r="V227" s="109"/>
      <c r="W227" s="69">
        <v>42224</v>
      </c>
      <c r="X227" s="116">
        <v>22.3</v>
      </c>
      <c r="Y227" s="116">
        <v>27.7</v>
      </c>
      <c r="Z227" s="116">
        <v>18.399999999999999</v>
      </c>
      <c r="AA227" s="116">
        <v>74.2</v>
      </c>
      <c r="AB227" s="116">
        <v>90.7</v>
      </c>
      <c r="AC227" s="116">
        <v>50.2</v>
      </c>
      <c r="AD227" s="116">
        <v>10.07</v>
      </c>
      <c r="AE227" s="116">
        <v>1.4</v>
      </c>
      <c r="AF227" s="116">
        <v>6</v>
      </c>
      <c r="AG227" s="116">
        <v>10.199999999999999</v>
      </c>
      <c r="AH227" s="116">
        <v>0.4</v>
      </c>
      <c r="AI227" s="116">
        <v>2.9</v>
      </c>
    </row>
    <row r="228" spans="1:35" s="71" customFormat="1">
      <c r="A228" s="210">
        <f t="shared" si="23"/>
        <v>9</v>
      </c>
      <c r="B228" s="210">
        <f t="shared" si="24"/>
        <v>8</v>
      </c>
      <c r="C228" s="210">
        <f t="shared" si="27"/>
        <v>2015</v>
      </c>
      <c r="D228" s="106">
        <f t="shared" si="25"/>
        <v>42225</v>
      </c>
      <c r="E228" s="230">
        <v>42225</v>
      </c>
      <c r="F228" s="229">
        <v>23.6</v>
      </c>
      <c r="G228" s="229">
        <v>32.9</v>
      </c>
      <c r="H228" s="229">
        <v>13.6</v>
      </c>
      <c r="I228" s="229">
        <v>48</v>
      </c>
      <c r="J228" s="229">
        <v>87.7</v>
      </c>
      <c r="K228" s="229">
        <v>18.3</v>
      </c>
      <c r="L228" s="229">
        <v>27.26</v>
      </c>
      <c r="M228" s="229">
        <v>2</v>
      </c>
      <c r="N228" s="229">
        <v>7.4</v>
      </c>
      <c r="O228" s="229">
        <v>12.4</v>
      </c>
      <c r="P228" s="229">
        <v>0</v>
      </c>
      <c r="Q228" s="229">
        <v>6.5</v>
      </c>
      <c r="S228" s="122">
        <f t="shared" si="28"/>
        <v>9</v>
      </c>
      <c r="T228" s="122">
        <f t="shared" si="29"/>
        <v>8</v>
      </c>
      <c r="U228" s="122">
        <f>YEAR(Inputs!$I$8)</f>
        <v>2015</v>
      </c>
      <c r="V228" s="109"/>
      <c r="W228" s="69">
        <v>42225</v>
      </c>
      <c r="X228" s="116">
        <v>25.2</v>
      </c>
      <c r="Y228" s="116">
        <v>35.1</v>
      </c>
      <c r="Z228" s="116">
        <v>17.7</v>
      </c>
      <c r="AA228" s="116">
        <v>65.099999999999994</v>
      </c>
      <c r="AB228" s="116">
        <v>98.1</v>
      </c>
      <c r="AC228" s="116">
        <v>26.7</v>
      </c>
      <c r="AD228" s="116">
        <v>22.44</v>
      </c>
      <c r="AE228" s="116">
        <v>2.2999999999999998</v>
      </c>
      <c r="AF228" s="116">
        <v>8.1999999999999993</v>
      </c>
      <c r="AG228" s="116">
        <v>11.2</v>
      </c>
      <c r="AH228" s="116">
        <v>0</v>
      </c>
      <c r="AI228" s="116">
        <v>6.3</v>
      </c>
    </row>
    <row r="229" spans="1:35" s="71" customFormat="1">
      <c r="A229" s="210">
        <f t="shared" si="23"/>
        <v>10</v>
      </c>
      <c r="B229" s="210">
        <f t="shared" si="24"/>
        <v>8</v>
      </c>
      <c r="C229" s="210">
        <f t="shared" si="27"/>
        <v>2015</v>
      </c>
      <c r="D229" s="106">
        <f t="shared" si="25"/>
        <v>42226</v>
      </c>
      <c r="E229" s="230">
        <v>42226</v>
      </c>
      <c r="F229" s="229">
        <v>24.4</v>
      </c>
      <c r="G229" s="229">
        <v>33.299999999999997</v>
      </c>
      <c r="H229" s="229">
        <v>13.8</v>
      </c>
      <c r="I229" s="229">
        <v>39.6</v>
      </c>
      <c r="J229" s="229">
        <v>72</v>
      </c>
      <c r="K229" s="229">
        <v>16.3</v>
      </c>
      <c r="L229" s="229">
        <v>26.69</v>
      </c>
      <c r="M229" s="229">
        <v>2.4</v>
      </c>
      <c r="N229" s="229">
        <v>6.9</v>
      </c>
      <c r="O229" s="229">
        <v>12</v>
      </c>
      <c r="P229" s="229">
        <v>0</v>
      </c>
      <c r="Q229" s="229">
        <v>7</v>
      </c>
      <c r="S229" s="122">
        <f t="shared" si="28"/>
        <v>10</v>
      </c>
      <c r="T229" s="122">
        <f t="shared" si="29"/>
        <v>8</v>
      </c>
      <c r="U229" s="122">
        <f>YEAR(Inputs!$I$8)</f>
        <v>2015</v>
      </c>
      <c r="V229" s="109"/>
      <c r="W229" s="69">
        <v>42226</v>
      </c>
      <c r="X229" s="116">
        <v>26.1</v>
      </c>
      <c r="Y229" s="116">
        <v>35.799999999999997</v>
      </c>
      <c r="Z229" s="116">
        <v>17.3</v>
      </c>
      <c r="AA229" s="116">
        <v>61.1</v>
      </c>
      <c r="AB229" s="116">
        <v>99.5</v>
      </c>
      <c r="AC229" s="116">
        <v>19.8</v>
      </c>
      <c r="AD229" s="116">
        <v>24.71</v>
      </c>
      <c r="AE229" s="116">
        <v>2.2999999999999998</v>
      </c>
      <c r="AF229" s="116">
        <v>8.3000000000000007</v>
      </c>
      <c r="AG229" s="116">
        <v>11.4</v>
      </c>
      <c r="AH229" s="116">
        <v>0</v>
      </c>
      <c r="AI229" s="116">
        <v>6.8</v>
      </c>
    </row>
    <row r="230" spans="1:35" s="71" customFormat="1">
      <c r="A230" s="210">
        <f t="shared" si="23"/>
        <v>11</v>
      </c>
      <c r="B230" s="210">
        <f t="shared" si="24"/>
        <v>8</v>
      </c>
      <c r="C230" s="210">
        <f t="shared" si="27"/>
        <v>2015</v>
      </c>
      <c r="D230" s="106">
        <f t="shared" si="25"/>
        <v>42227</v>
      </c>
      <c r="E230" s="230">
        <v>42227</v>
      </c>
      <c r="F230" s="229">
        <v>20.3</v>
      </c>
      <c r="G230" s="229">
        <v>25.2</v>
      </c>
      <c r="H230" s="229">
        <v>17</v>
      </c>
      <c r="I230" s="229">
        <v>76.099999999999994</v>
      </c>
      <c r="J230" s="229">
        <v>95.8</v>
      </c>
      <c r="K230" s="229">
        <v>55.9</v>
      </c>
      <c r="L230" s="229">
        <v>15.77</v>
      </c>
      <c r="M230" s="229">
        <v>3.2</v>
      </c>
      <c r="N230" s="229">
        <v>8.1999999999999993</v>
      </c>
      <c r="O230" s="229">
        <v>8.3000000000000007</v>
      </c>
      <c r="P230" s="229">
        <v>4.7</v>
      </c>
      <c r="Q230" s="229">
        <v>3.8</v>
      </c>
      <c r="S230" s="122">
        <f t="shared" si="28"/>
        <v>11</v>
      </c>
      <c r="T230" s="122">
        <f t="shared" si="29"/>
        <v>8</v>
      </c>
      <c r="U230" s="122">
        <f>YEAR(Inputs!$I$8)</f>
        <v>2015</v>
      </c>
      <c r="V230" s="109"/>
      <c r="W230" s="69">
        <v>42227</v>
      </c>
      <c r="X230" s="116">
        <v>26.5</v>
      </c>
      <c r="Y230" s="116">
        <v>35.299999999999997</v>
      </c>
      <c r="Z230" s="116">
        <v>19.100000000000001</v>
      </c>
      <c r="AA230" s="116">
        <v>60.7</v>
      </c>
      <c r="AB230" s="116">
        <v>98.4</v>
      </c>
      <c r="AC230" s="116">
        <v>18.899999999999999</v>
      </c>
      <c r="AD230" s="116">
        <v>21.25</v>
      </c>
      <c r="AE230" s="116">
        <v>1.8</v>
      </c>
      <c r="AF230" s="116">
        <v>6.8</v>
      </c>
      <c r="AG230" s="116">
        <v>11.8</v>
      </c>
      <c r="AH230" s="116">
        <v>0</v>
      </c>
      <c r="AI230" s="116">
        <v>5.9</v>
      </c>
    </row>
    <row r="231" spans="1:35" s="71" customFormat="1">
      <c r="A231" s="210">
        <f t="shared" si="23"/>
        <v>12</v>
      </c>
      <c r="B231" s="210">
        <f t="shared" si="24"/>
        <v>8</v>
      </c>
      <c r="C231" s="210">
        <f t="shared" si="27"/>
        <v>2015</v>
      </c>
      <c r="D231" s="106">
        <f t="shared" si="25"/>
        <v>42228</v>
      </c>
      <c r="E231" s="230">
        <v>42228</v>
      </c>
      <c r="F231" s="229">
        <v>21.4</v>
      </c>
      <c r="G231" s="229">
        <v>28.7</v>
      </c>
      <c r="H231" s="229">
        <v>13.4</v>
      </c>
      <c r="I231" s="229">
        <v>65.8</v>
      </c>
      <c r="J231" s="229">
        <v>98.2</v>
      </c>
      <c r="K231" s="229">
        <v>31.2</v>
      </c>
      <c r="L231" s="229">
        <v>26.31</v>
      </c>
      <c r="M231" s="229">
        <v>2.1</v>
      </c>
      <c r="N231" s="229">
        <v>6.9</v>
      </c>
      <c r="O231" s="229">
        <v>12.1</v>
      </c>
      <c r="P231" s="229">
        <v>0</v>
      </c>
      <c r="Q231" s="229">
        <v>5.5</v>
      </c>
      <c r="S231" s="122">
        <f t="shared" si="28"/>
        <v>12</v>
      </c>
      <c r="T231" s="122">
        <f t="shared" si="29"/>
        <v>8</v>
      </c>
      <c r="U231" s="122">
        <f>YEAR(Inputs!$I$8)</f>
        <v>2015</v>
      </c>
      <c r="V231" s="109"/>
      <c r="W231" s="69">
        <v>42228</v>
      </c>
      <c r="X231" s="116">
        <v>27.1</v>
      </c>
      <c r="Y231" s="116">
        <v>37.1</v>
      </c>
      <c r="Z231" s="116">
        <v>17.8</v>
      </c>
      <c r="AA231" s="116">
        <v>44</v>
      </c>
      <c r="AB231" s="116">
        <v>90.6</v>
      </c>
      <c r="AC231" s="116">
        <v>10.3</v>
      </c>
      <c r="AD231" s="116">
        <v>25.71</v>
      </c>
      <c r="AE231" s="116">
        <v>1.7</v>
      </c>
      <c r="AF231" s="116">
        <v>9.1999999999999993</v>
      </c>
      <c r="AG231" s="116">
        <v>12.4</v>
      </c>
      <c r="AH231" s="116">
        <v>0</v>
      </c>
      <c r="AI231" s="116">
        <v>6.7</v>
      </c>
    </row>
    <row r="232" spans="1:35" s="71" customFormat="1">
      <c r="A232" s="210">
        <f t="shared" si="23"/>
        <v>13</v>
      </c>
      <c r="B232" s="210">
        <f t="shared" si="24"/>
        <v>8</v>
      </c>
      <c r="C232" s="210">
        <f t="shared" si="27"/>
        <v>2015</v>
      </c>
      <c r="D232" s="106">
        <f t="shared" si="25"/>
        <v>42229</v>
      </c>
      <c r="E232" s="230">
        <v>42229</v>
      </c>
      <c r="F232" s="229">
        <v>22</v>
      </c>
      <c r="G232" s="229">
        <v>28.8</v>
      </c>
      <c r="H232" s="229">
        <v>15.4</v>
      </c>
      <c r="I232" s="229">
        <v>59.7</v>
      </c>
      <c r="J232" s="229">
        <v>94.4</v>
      </c>
      <c r="K232" s="229">
        <v>30.1</v>
      </c>
      <c r="L232" s="229">
        <v>26.11</v>
      </c>
      <c r="M232" s="229">
        <v>2.6</v>
      </c>
      <c r="N232" s="229">
        <v>7.3</v>
      </c>
      <c r="O232" s="229">
        <v>12.1</v>
      </c>
      <c r="P232" s="229">
        <v>0</v>
      </c>
      <c r="Q232" s="229">
        <v>5.9</v>
      </c>
      <c r="S232" s="122">
        <f t="shared" si="28"/>
        <v>13</v>
      </c>
      <c r="T232" s="122">
        <f t="shared" si="29"/>
        <v>8</v>
      </c>
      <c r="U232" s="122">
        <f>YEAR(Inputs!$I$8)</f>
        <v>2015</v>
      </c>
      <c r="V232" s="109"/>
      <c r="W232" s="69">
        <v>42229</v>
      </c>
      <c r="X232" s="116">
        <v>22.9</v>
      </c>
      <c r="Y232" s="116">
        <v>30</v>
      </c>
      <c r="Z232" s="116">
        <v>16.3</v>
      </c>
      <c r="AA232" s="116">
        <v>34.700000000000003</v>
      </c>
      <c r="AB232" s="116">
        <v>62.3</v>
      </c>
      <c r="AC232" s="116">
        <v>10.8</v>
      </c>
      <c r="AD232" s="116">
        <v>27.5</v>
      </c>
      <c r="AE232" s="116">
        <v>4.0999999999999996</v>
      </c>
      <c r="AF232" s="116">
        <v>12.1</v>
      </c>
      <c r="AG232" s="116">
        <v>12.4</v>
      </c>
      <c r="AH232" s="116">
        <v>0</v>
      </c>
      <c r="AI232" s="116">
        <v>8.3000000000000007</v>
      </c>
    </row>
    <row r="233" spans="1:35" s="71" customFormat="1">
      <c r="A233" s="210">
        <f t="shared" si="23"/>
        <v>14</v>
      </c>
      <c r="B233" s="210">
        <f t="shared" si="24"/>
        <v>8</v>
      </c>
      <c r="C233" s="210">
        <f t="shared" si="27"/>
        <v>2015</v>
      </c>
      <c r="D233" s="106">
        <f t="shared" si="25"/>
        <v>42230</v>
      </c>
      <c r="E233" s="230">
        <v>42230</v>
      </c>
      <c r="F233" s="229">
        <v>21.9</v>
      </c>
      <c r="G233" s="229">
        <v>31.1</v>
      </c>
      <c r="H233" s="229">
        <v>12.6</v>
      </c>
      <c r="I233" s="229">
        <v>51.2</v>
      </c>
      <c r="J233" s="229">
        <v>91.4</v>
      </c>
      <c r="K233" s="229">
        <v>22.8</v>
      </c>
      <c r="L233" s="229">
        <v>26.51</v>
      </c>
      <c r="M233" s="229">
        <v>2.2999999999999998</v>
      </c>
      <c r="N233" s="229">
        <v>6.8</v>
      </c>
      <c r="O233" s="229">
        <v>12.2</v>
      </c>
      <c r="P233" s="229">
        <v>0</v>
      </c>
      <c r="Q233" s="229">
        <v>6.3</v>
      </c>
      <c r="S233" s="122">
        <f t="shared" si="28"/>
        <v>14</v>
      </c>
      <c r="T233" s="122">
        <f t="shared" si="29"/>
        <v>8</v>
      </c>
      <c r="U233" s="122">
        <f>YEAR(Inputs!$I$8)</f>
        <v>2015</v>
      </c>
      <c r="V233" s="109"/>
      <c r="W233" s="69">
        <v>42230</v>
      </c>
      <c r="X233" s="116">
        <v>21.3</v>
      </c>
      <c r="Y233" s="116">
        <v>27.7</v>
      </c>
      <c r="Z233" s="116">
        <v>14.4</v>
      </c>
      <c r="AA233" s="116">
        <v>42.1</v>
      </c>
      <c r="AB233" s="116">
        <v>63.4</v>
      </c>
      <c r="AC233" s="116">
        <v>26.4</v>
      </c>
      <c r="AD233" s="116">
        <v>24.12</v>
      </c>
      <c r="AE233" s="116">
        <v>3</v>
      </c>
      <c r="AF233" s="116">
        <v>7.6</v>
      </c>
      <c r="AG233" s="116">
        <v>11.4</v>
      </c>
      <c r="AH233" s="116">
        <v>0</v>
      </c>
      <c r="AI233" s="116">
        <v>6.2</v>
      </c>
    </row>
    <row r="234" spans="1:35" s="71" customFormat="1">
      <c r="A234" s="210">
        <f t="shared" si="23"/>
        <v>15</v>
      </c>
      <c r="B234" s="210">
        <f t="shared" si="24"/>
        <v>8</v>
      </c>
      <c r="C234" s="210">
        <f t="shared" si="27"/>
        <v>2015</v>
      </c>
      <c r="D234" s="106">
        <f t="shared" si="25"/>
        <v>42231</v>
      </c>
      <c r="E234" s="230">
        <v>42231</v>
      </c>
      <c r="F234" s="229">
        <v>21.6</v>
      </c>
      <c r="G234" s="229">
        <v>31</v>
      </c>
      <c r="H234" s="229">
        <v>10.7</v>
      </c>
      <c r="I234" s="229">
        <v>52.1</v>
      </c>
      <c r="J234" s="229">
        <v>86.1</v>
      </c>
      <c r="K234" s="229">
        <v>22.8</v>
      </c>
      <c r="L234" s="229">
        <v>26.69</v>
      </c>
      <c r="M234" s="229">
        <v>2.7</v>
      </c>
      <c r="N234" s="229">
        <v>7.5</v>
      </c>
      <c r="O234" s="229">
        <v>12.1</v>
      </c>
      <c r="P234" s="229">
        <v>0</v>
      </c>
      <c r="Q234" s="229">
        <v>6.6</v>
      </c>
      <c r="S234" s="122">
        <f t="shared" si="28"/>
        <v>15</v>
      </c>
      <c r="T234" s="122">
        <f t="shared" si="29"/>
        <v>8</v>
      </c>
      <c r="U234" s="122">
        <f>YEAR(Inputs!$I$8)</f>
        <v>2015</v>
      </c>
      <c r="V234" s="109"/>
      <c r="W234" s="69">
        <v>42231</v>
      </c>
      <c r="X234" s="116">
        <v>21.6</v>
      </c>
      <c r="Y234" s="116">
        <v>28.2</v>
      </c>
      <c r="Z234" s="116">
        <v>15.6</v>
      </c>
      <c r="AA234" s="116">
        <v>46.3</v>
      </c>
      <c r="AB234" s="116">
        <v>88.3</v>
      </c>
      <c r="AC234" s="116">
        <v>19.600000000000001</v>
      </c>
      <c r="AD234" s="116">
        <v>22.78</v>
      </c>
      <c r="AE234" s="116">
        <v>2.4</v>
      </c>
      <c r="AF234" s="116">
        <v>5</v>
      </c>
      <c r="AG234" s="116">
        <v>11.6</v>
      </c>
      <c r="AH234" s="116">
        <v>0</v>
      </c>
      <c r="AI234" s="116">
        <v>5.6</v>
      </c>
    </row>
    <row r="235" spans="1:35" s="71" customFormat="1">
      <c r="A235" s="210">
        <f t="shared" si="23"/>
        <v>16</v>
      </c>
      <c r="B235" s="210">
        <f t="shared" si="24"/>
        <v>8</v>
      </c>
      <c r="C235" s="210">
        <f t="shared" si="27"/>
        <v>2015</v>
      </c>
      <c r="D235" s="106">
        <f t="shared" si="25"/>
        <v>42232</v>
      </c>
      <c r="E235" s="230">
        <v>42232</v>
      </c>
      <c r="F235" s="229">
        <v>23.9</v>
      </c>
      <c r="G235" s="229">
        <v>32.5</v>
      </c>
      <c r="H235" s="229">
        <v>14.3</v>
      </c>
      <c r="I235" s="229">
        <v>48.3</v>
      </c>
      <c r="J235" s="229">
        <v>86.8</v>
      </c>
      <c r="K235" s="229">
        <v>18.5</v>
      </c>
      <c r="L235" s="229">
        <v>21.38</v>
      </c>
      <c r="M235" s="229">
        <v>2.8</v>
      </c>
      <c r="N235" s="229">
        <v>6.8</v>
      </c>
      <c r="O235" s="229">
        <v>11.6</v>
      </c>
      <c r="P235" s="229">
        <v>0</v>
      </c>
      <c r="Q235" s="229">
        <v>6.4</v>
      </c>
      <c r="S235" s="122">
        <f t="shared" si="28"/>
        <v>16</v>
      </c>
      <c r="T235" s="122">
        <f t="shared" si="29"/>
        <v>8</v>
      </c>
      <c r="U235" s="122">
        <f>YEAR(Inputs!$I$8)</f>
        <v>2015</v>
      </c>
      <c r="V235" s="109"/>
      <c r="W235" s="69">
        <v>42232</v>
      </c>
      <c r="X235" s="116">
        <v>21.8</v>
      </c>
      <c r="Y235" s="116">
        <v>30.6</v>
      </c>
      <c r="Z235" s="116">
        <v>12.3</v>
      </c>
      <c r="AA235" s="116">
        <v>62.1</v>
      </c>
      <c r="AB235" s="116">
        <v>95.5</v>
      </c>
      <c r="AC235" s="116">
        <v>24.9</v>
      </c>
      <c r="AD235" s="116">
        <v>19.86</v>
      </c>
      <c r="AE235" s="116">
        <v>1.8</v>
      </c>
      <c r="AF235" s="116">
        <v>6.4</v>
      </c>
      <c r="AG235" s="116">
        <v>10.6</v>
      </c>
      <c r="AH235" s="116">
        <v>0</v>
      </c>
      <c r="AI235" s="116">
        <v>5</v>
      </c>
    </row>
    <row r="236" spans="1:35" s="71" customFormat="1">
      <c r="A236" s="210">
        <f t="shared" si="23"/>
        <v>17</v>
      </c>
      <c r="B236" s="210">
        <f t="shared" si="24"/>
        <v>8</v>
      </c>
      <c r="C236" s="210">
        <f t="shared" si="27"/>
        <v>2015</v>
      </c>
      <c r="D236" s="106">
        <f t="shared" si="25"/>
        <v>42233</v>
      </c>
      <c r="E236" s="230">
        <v>42233</v>
      </c>
      <c r="F236" s="229">
        <v>22.4</v>
      </c>
      <c r="G236" s="229">
        <v>28</v>
      </c>
      <c r="H236" s="229">
        <v>18.2</v>
      </c>
      <c r="I236" s="229">
        <v>65.5</v>
      </c>
      <c r="J236" s="229">
        <v>89.8</v>
      </c>
      <c r="K236" s="229">
        <v>38.9</v>
      </c>
      <c r="L236" s="229">
        <v>13.02</v>
      </c>
      <c r="M236" s="229">
        <v>2.2000000000000002</v>
      </c>
      <c r="N236" s="229">
        <v>6</v>
      </c>
      <c r="O236" s="229">
        <v>8.5</v>
      </c>
      <c r="P236" s="229">
        <v>1.2</v>
      </c>
      <c r="Q236" s="229">
        <v>3.9</v>
      </c>
      <c r="S236" s="122">
        <f t="shared" si="28"/>
        <v>17</v>
      </c>
      <c r="T236" s="122">
        <f t="shared" si="29"/>
        <v>8</v>
      </c>
      <c r="U236" s="122">
        <f>YEAR(Inputs!$I$8)</f>
        <v>2015</v>
      </c>
      <c r="V236" s="109"/>
      <c r="W236" s="69">
        <v>42233</v>
      </c>
      <c r="X236" s="116">
        <v>25.3</v>
      </c>
      <c r="Y236" s="116">
        <v>31.8</v>
      </c>
      <c r="Z236" s="116">
        <v>19.600000000000001</v>
      </c>
      <c r="AA236" s="116">
        <v>52.8</v>
      </c>
      <c r="AB236" s="116">
        <v>87.5</v>
      </c>
      <c r="AC236" s="116">
        <v>27.9</v>
      </c>
      <c r="AD236" s="116">
        <v>24.51</v>
      </c>
      <c r="AE236" s="116">
        <v>2</v>
      </c>
      <c r="AF236" s="116">
        <v>7.2</v>
      </c>
      <c r="AG236" s="116">
        <v>12</v>
      </c>
      <c r="AH236" s="116">
        <v>0</v>
      </c>
      <c r="AI236" s="116">
        <v>5.9</v>
      </c>
    </row>
    <row r="237" spans="1:35" s="71" customFormat="1">
      <c r="A237" s="210">
        <f t="shared" si="23"/>
        <v>18</v>
      </c>
      <c r="B237" s="210">
        <f t="shared" si="24"/>
        <v>8</v>
      </c>
      <c r="C237" s="210">
        <f t="shared" si="27"/>
        <v>2015</v>
      </c>
      <c r="D237" s="106">
        <f t="shared" si="25"/>
        <v>42234</v>
      </c>
      <c r="E237" s="230">
        <v>42234</v>
      </c>
      <c r="F237" s="229">
        <v>25.1</v>
      </c>
      <c r="G237" s="229">
        <v>34.4</v>
      </c>
      <c r="H237" s="229">
        <v>14.9</v>
      </c>
      <c r="I237" s="229">
        <v>44.5</v>
      </c>
      <c r="J237" s="229">
        <v>87.3</v>
      </c>
      <c r="K237" s="229">
        <v>15.3</v>
      </c>
      <c r="L237" s="229">
        <v>25.14</v>
      </c>
      <c r="M237" s="229">
        <v>2</v>
      </c>
      <c r="N237" s="229">
        <v>7.8</v>
      </c>
      <c r="O237" s="229">
        <v>11.8</v>
      </c>
      <c r="P237" s="229">
        <v>0</v>
      </c>
      <c r="Q237" s="229">
        <v>6.4</v>
      </c>
      <c r="S237" s="122">
        <f t="shared" si="28"/>
        <v>18</v>
      </c>
      <c r="T237" s="122">
        <f t="shared" si="29"/>
        <v>8</v>
      </c>
      <c r="U237" s="122">
        <f>YEAR(Inputs!$I$8)</f>
        <v>2015</v>
      </c>
      <c r="V237" s="109"/>
      <c r="W237" s="69">
        <v>42234</v>
      </c>
      <c r="X237" s="116">
        <v>24</v>
      </c>
      <c r="Y237" s="116">
        <v>33</v>
      </c>
      <c r="Z237" s="116">
        <v>17.100000000000001</v>
      </c>
      <c r="AA237" s="116">
        <v>62.7</v>
      </c>
      <c r="AB237" s="116">
        <v>97.5</v>
      </c>
      <c r="AC237" s="116">
        <v>21.2</v>
      </c>
      <c r="AD237" s="116">
        <v>24.42</v>
      </c>
      <c r="AE237" s="116">
        <v>2.2999999999999998</v>
      </c>
      <c r="AF237" s="116">
        <v>6.8</v>
      </c>
      <c r="AG237" s="116">
        <v>11.5</v>
      </c>
      <c r="AH237" s="116">
        <v>0</v>
      </c>
      <c r="AI237" s="116">
        <v>6.3</v>
      </c>
    </row>
    <row r="238" spans="1:35" s="71" customFormat="1">
      <c r="A238" s="210">
        <f t="shared" si="23"/>
        <v>19</v>
      </c>
      <c r="B238" s="210">
        <f t="shared" si="24"/>
        <v>8</v>
      </c>
      <c r="C238" s="210">
        <f t="shared" si="27"/>
        <v>2015</v>
      </c>
      <c r="D238" s="106">
        <f t="shared" si="25"/>
        <v>42235</v>
      </c>
      <c r="E238" s="230">
        <v>42235</v>
      </c>
      <c r="F238" s="229">
        <v>25.9</v>
      </c>
      <c r="G238" s="229">
        <v>35.799999999999997</v>
      </c>
      <c r="H238" s="229">
        <v>14.9</v>
      </c>
      <c r="I238" s="229">
        <v>37.9</v>
      </c>
      <c r="J238" s="229">
        <v>63.7</v>
      </c>
      <c r="K238" s="229">
        <v>19.2</v>
      </c>
      <c r="L238" s="229">
        <v>25.54</v>
      </c>
      <c r="M238" s="229">
        <v>1.7</v>
      </c>
      <c r="N238" s="229">
        <v>8.6999999999999993</v>
      </c>
      <c r="O238" s="229">
        <v>12.1</v>
      </c>
      <c r="P238" s="229">
        <v>0</v>
      </c>
      <c r="Q238" s="229">
        <v>6.4</v>
      </c>
      <c r="S238" s="122">
        <f t="shared" si="28"/>
        <v>19</v>
      </c>
      <c r="T238" s="122">
        <f t="shared" si="29"/>
        <v>8</v>
      </c>
      <c r="U238" s="122">
        <f>YEAR(Inputs!$I$8)</f>
        <v>2015</v>
      </c>
      <c r="V238" s="109"/>
      <c r="W238" s="69">
        <v>42235</v>
      </c>
      <c r="X238" s="116">
        <v>24.2</v>
      </c>
      <c r="Y238" s="116">
        <v>30.5</v>
      </c>
      <c r="Z238" s="116">
        <v>20</v>
      </c>
      <c r="AA238" s="116">
        <v>67.3</v>
      </c>
      <c r="AB238" s="116">
        <v>87.6</v>
      </c>
      <c r="AC238" s="116">
        <v>36.200000000000003</v>
      </c>
      <c r="AD238" s="116">
        <v>19.64</v>
      </c>
      <c r="AE238" s="116">
        <v>2.8</v>
      </c>
      <c r="AF238" s="116">
        <v>7.2</v>
      </c>
      <c r="AG238" s="116">
        <v>10.8</v>
      </c>
      <c r="AH238" s="116">
        <v>0</v>
      </c>
      <c r="AI238" s="116">
        <v>5.5</v>
      </c>
    </row>
    <row r="239" spans="1:35" s="71" customFormat="1">
      <c r="A239" s="210">
        <f t="shared" si="23"/>
        <v>20</v>
      </c>
      <c r="B239" s="210">
        <f t="shared" si="24"/>
        <v>8</v>
      </c>
      <c r="C239" s="210">
        <f t="shared" si="27"/>
        <v>2015</v>
      </c>
      <c r="D239" s="106">
        <f t="shared" si="25"/>
        <v>42236</v>
      </c>
      <c r="E239" s="230">
        <v>42236</v>
      </c>
      <c r="F239" s="229">
        <v>25.9</v>
      </c>
      <c r="G239" s="229">
        <v>36</v>
      </c>
      <c r="H239" s="229">
        <v>14.8</v>
      </c>
      <c r="I239" s="229">
        <v>42.6</v>
      </c>
      <c r="J239" s="229">
        <v>88.6</v>
      </c>
      <c r="K239" s="229">
        <v>18.3</v>
      </c>
      <c r="L239" s="229">
        <v>25.73</v>
      </c>
      <c r="M239" s="229">
        <v>1.7</v>
      </c>
      <c r="N239" s="229">
        <v>8.5</v>
      </c>
      <c r="O239" s="229">
        <v>12</v>
      </c>
      <c r="P239" s="229">
        <v>0</v>
      </c>
      <c r="Q239" s="229">
        <v>6.3</v>
      </c>
      <c r="S239" s="122">
        <f t="shared" si="28"/>
        <v>20</v>
      </c>
      <c r="T239" s="122">
        <f t="shared" si="29"/>
        <v>8</v>
      </c>
      <c r="U239" s="122">
        <f>YEAR(Inputs!$I$8)</f>
        <v>2015</v>
      </c>
      <c r="V239" s="109"/>
      <c r="W239" s="69">
        <v>42236</v>
      </c>
      <c r="X239" s="116">
        <v>25.4</v>
      </c>
      <c r="Y239" s="116">
        <v>32.700000000000003</v>
      </c>
      <c r="Z239" s="116">
        <v>19.8</v>
      </c>
      <c r="AA239" s="116">
        <v>63</v>
      </c>
      <c r="AB239" s="116">
        <v>91.1</v>
      </c>
      <c r="AC239" s="116">
        <v>29.7</v>
      </c>
      <c r="AD239" s="116">
        <v>24.33</v>
      </c>
      <c r="AE239" s="116">
        <v>2.6</v>
      </c>
      <c r="AF239" s="116">
        <v>7.4</v>
      </c>
      <c r="AG239" s="116">
        <v>11.8</v>
      </c>
      <c r="AH239" s="116">
        <v>0</v>
      </c>
      <c r="AI239" s="116">
        <v>6.3</v>
      </c>
    </row>
    <row r="240" spans="1:35" s="71" customFormat="1">
      <c r="A240" s="210">
        <f t="shared" si="23"/>
        <v>21</v>
      </c>
      <c r="B240" s="210">
        <f t="shared" si="24"/>
        <v>8</v>
      </c>
      <c r="C240" s="210">
        <f t="shared" si="27"/>
        <v>2015</v>
      </c>
      <c r="D240" s="106">
        <f t="shared" si="25"/>
        <v>42237</v>
      </c>
      <c r="E240" s="230">
        <v>42237</v>
      </c>
      <c r="F240" s="229">
        <v>25.4</v>
      </c>
      <c r="G240" s="229">
        <v>34.5</v>
      </c>
      <c r="H240" s="229">
        <v>15.3</v>
      </c>
      <c r="I240" s="229">
        <v>45.9</v>
      </c>
      <c r="J240" s="229">
        <v>82.5</v>
      </c>
      <c r="K240" s="229">
        <v>22.7</v>
      </c>
      <c r="L240" s="229">
        <v>24.22</v>
      </c>
      <c r="M240" s="229">
        <v>2.2000000000000002</v>
      </c>
      <c r="N240" s="229">
        <v>8.6</v>
      </c>
      <c r="O240" s="229">
        <v>12</v>
      </c>
      <c r="P240" s="229">
        <v>0</v>
      </c>
      <c r="Q240" s="229">
        <v>6.4</v>
      </c>
      <c r="S240" s="122">
        <f t="shared" si="28"/>
        <v>21</v>
      </c>
      <c r="T240" s="122">
        <f t="shared" si="29"/>
        <v>8</v>
      </c>
      <c r="U240" s="122">
        <f>YEAR(Inputs!$I$8)</f>
        <v>2015</v>
      </c>
      <c r="V240" s="109"/>
      <c r="W240" s="69">
        <v>42237</v>
      </c>
      <c r="X240" s="116">
        <v>24.7</v>
      </c>
      <c r="Y240" s="116">
        <v>32.9</v>
      </c>
      <c r="Z240" s="116">
        <v>17.8</v>
      </c>
      <c r="AA240" s="116">
        <v>57.9</v>
      </c>
      <c r="AB240" s="116">
        <v>86.1</v>
      </c>
      <c r="AC240" s="116">
        <v>25.9</v>
      </c>
      <c r="AD240" s="116">
        <v>19.600000000000001</v>
      </c>
      <c r="AE240" s="116">
        <v>2.6</v>
      </c>
      <c r="AF240" s="116">
        <v>6.4</v>
      </c>
      <c r="AG240" s="116">
        <v>10.199999999999999</v>
      </c>
      <c r="AH240" s="116">
        <v>0</v>
      </c>
      <c r="AI240" s="116">
        <v>5.9</v>
      </c>
    </row>
    <row r="241" spans="1:35" s="71" customFormat="1">
      <c r="A241" s="210">
        <f t="shared" si="23"/>
        <v>22</v>
      </c>
      <c r="B241" s="210">
        <f t="shared" si="24"/>
        <v>8</v>
      </c>
      <c r="C241" s="210">
        <f t="shared" si="27"/>
        <v>2015</v>
      </c>
      <c r="D241" s="106">
        <f t="shared" si="25"/>
        <v>42238</v>
      </c>
      <c r="E241" s="230">
        <v>42238</v>
      </c>
      <c r="F241" s="229">
        <v>24.2</v>
      </c>
      <c r="G241" s="229">
        <v>30.9</v>
      </c>
      <c r="H241" s="229">
        <v>17.399999999999999</v>
      </c>
      <c r="I241" s="229">
        <v>69.2</v>
      </c>
      <c r="J241" s="229">
        <v>93.1</v>
      </c>
      <c r="K241" s="229">
        <v>38.6</v>
      </c>
      <c r="L241" s="229">
        <v>23</v>
      </c>
      <c r="M241" s="229">
        <v>1.8</v>
      </c>
      <c r="N241" s="229">
        <v>6.9</v>
      </c>
      <c r="O241" s="229">
        <v>11.1</v>
      </c>
      <c r="P241" s="229">
        <v>0</v>
      </c>
      <c r="Q241" s="229">
        <v>5.2</v>
      </c>
      <c r="S241" s="122">
        <f t="shared" si="28"/>
        <v>22</v>
      </c>
      <c r="T241" s="122">
        <f t="shared" si="29"/>
        <v>8</v>
      </c>
      <c r="U241" s="122">
        <f>YEAR(Inputs!$I$8)</f>
        <v>2015</v>
      </c>
      <c r="V241" s="109"/>
      <c r="W241" s="69">
        <v>42238</v>
      </c>
      <c r="X241" s="116">
        <v>22.9</v>
      </c>
      <c r="Y241" s="116">
        <v>31.4</v>
      </c>
      <c r="Z241" s="116">
        <v>17.2</v>
      </c>
      <c r="AA241" s="116">
        <v>65.7</v>
      </c>
      <c r="AB241" s="116">
        <v>92.2</v>
      </c>
      <c r="AC241" s="116">
        <v>32</v>
      </c>
      <c r="AD241" s="116">
        <v>20.65</v>
      </c>
      <c r="AE241" s="116">
        <v>1.6</v>
      </c>
      <c r="AF241" s="116">
        <v>7.4</v>
      </c>
      <c r="AG241" s="116">
        <v>11.7</v>
      </c>
      <c r="AH241" s="116">
        <v>2</v>
      </c>
      <c r="AI241" s="116">
        <v>4.9000000000000004</v>
      </c>
    </row>
    <row r="242" spans="1:35" s="71" customFormat="1">
      <c r="A242" s="210">
        <f t="shared" si="23"/>
        <v>23</v>
      </c>
      <c r="B242" s="210">
        <f t="shared" si="24"/>
        <v>8</v>
      </c>
      <c r="C242" s="210">
        <f t="shared" si="27"/>
        <v>2015</v>
      </c>
      <c r="D242" s="106">
        <f t="shared" si="25"/>
        <v>42239</v>
      </c>
      <c r="E242" s="230">
        <v>42239</v>
      </c>
      <c r="F242" s="229">
        <v>25</v>
      </c>
      <c r="G242" s="229">
        <v>32.799999999999997</v>
      </c>
      <c r="H242" s="229">
        <v>17.5</v>
      </c>
      <c r="I242" s="229">
        <v>60.9</v>
      </c>
      <c r="J242" s="229">
        <v>95.3</v>
      </c>
      <c r="K242" s="229">
        <v>25.7</v>
      </c>
      <c r="L242" s="229">
        <v>24.55</v>
      </c>
      <c r="M242" s="229">
        <v>2.1</v>
      </c>
      <c r="N242" s="229">
        <v>6.4</v>
      </c>
      <c r="O242" s="229">
        <v>11.6</v>
      </c>
      <c r="P242" s="229">
        <v>0</v>
      </c>
      <c r="Q242" s="229">
        <v>5.9</v>
      </c>
      <c r="S242" s="122">
        <f t="shared" si="28"/>
        <v>23</v>
      </c>
      <c r="T242" s="122">
        <f t="shared" si="29"/>
        <v>8</v>
      </c>
      <c r="U242" s="122">
        <f>YEAR(Inputs!$I$8)</f>
        <v>2015</v>
      </c>
      <c r="V242" s="109"/>
      <c r="W242" s="69">
        <v>42239</v>
      </c>
      <c r="X242" s="116">
        <v>21.3</v>
      </c>
      <c r="Y242" s="116">
        <v>27.4</v>
      </c>
      <c r="Z242" s="116">
        <v>16.2</v>
      </c>
      <c r="AA242" s="116">
        <v>52.1</v>
      </c>
      <c r="AB242" s="116">
        <v>82.2</v>
      </c>
      <c r="AC242" s="116">
        <v>26.8</v>
      </c>
      <c r="AD242" s="116">
        <v>18.71</v>
      </c>
      <c r="AE242" s="116">
        <v>4</v>
      </c>
      <c r="AF242" s="116">
        <v>10</v>
      </c>
      <c r="AG242" s="116">
        <v>12</v>
      </c>
      <c r="AH242" s="116">
        <v>0</v>
      </c>
      <c r="AI242" s="116">
        <v>6</v>
      </c>
    </row>
    <row r="243" spans="1:35" s="71" customFormat="1">
      <c r="A243" s="210">
        <f t="shared" si="23"/>
        <v>24</v>
      </c>
      <c r="B243" s="210">
        <f t="shared" si="24"/>
        <v>8</v>
      </c>
      <c r="C243" s="210">
        <f t="shared" si="27"/>
        <v>2015</v>
      </c>
      <c r="D243" s="106">
        <f t="shared" si="25"/>
        <v>42240</v>
      </c>
      <c r="E243" s="230">
        <v>42240</v>
      </c>
      <c r="F243" s="229">
        <v>24.5</v>
      </c>
      <c r="G243" s="229">
        <v>33.799999999999997</v>
      </c>
      <c r="H243" s="229">
        <v>14.8</v>
      </c>
      <c r="I243" s="229">
        <v>54.6</v>
      </c>
      <c r="J243" s="229">
        <v>90.6</v>
      </c>
      <c r="K243" s="229">
        <v>20.3</v>
      </c>
      <c r="L243" s="229">
        <v>25.48</v>
      </c>
      <c r="M243" s="229">
        <v>1.6</v>
      </c>
      <c r="N243" s="229">
        <v>6.8</v>
      </c>
      <c r="O243" s="229">
        <v>11.9</v>
      </c>
      <c r="P243" s="229">
        <v>0</v>
      </c>
      <c r="Q243" s="229">
        <v>5.8</v>
      </c>
      <c r="S243" s="122">
        <f t="shared" si="28"/>
        <v>24</v>
      </c>
      <c r="T243" s="122">
        <f t="shared" si="29"/>
        <v>8</v>
      </c>
      <c r="U243" s="122">
        <f>YEAR(Inputs!$I$8)</f>
        <v>2015</v>
      </c>
      <c r="V243" s="109"/>
      <c r="W243" s="69">
        <v>42240</v>
      </c>
      <c r="X243" s="116">
        <v>19.600000000000001</v>
      </c>
      <c r="Y243" s="116">
        <v>26.8</v>
      </c>
      <c r="Z243" s="116">
        <v>12.8</v>
      </c>
      <c r="AA243" s="116">
        <v>53.7</v>
      </c>
      <c r="AB243" s="116">
        <v>78.5</v>
      </c>
      <c r="AC243" s="116">
        <v>30.7</v>
      </c>
      <c r="AD243" s="116">
        <v>18.78</v>
      </c>
      <c r="AE243" s="116">
        <v>3.4</v>
      </c>
      <c r="AF243" s="116">
        <v>9.5</v>
      </c>
      <c r="AG243" s="116">
        <v>11.9</v>
      </c>
      <c r="AH243" s="116">
        <v>0</v>
      </c>
      <c r="AI243" s="116">
        <v>5.4</v>
      </c>
    </row>
    <row r="244" spans="1:35" s="71" customFormat="1">
      <c r="A244" s="210">
        <f t="shared" si="23"/>
        <v>25</v>
      </c>
      <c r="B244" s="210">
        <f t="shared" si="24"/>
        <v>8</v>
      </c>
      <c r="C244" s="210">
        <f t="shared" si="27"/>
        <v>2015</v>
      </c>
      <c r="D244" s="106">
        <f t="shared" si="25"/>
        <v>42241</v>
      </c>
      <c r="E244" s="230">
        <v>42241</v>
      </c>
      <c r="F244" s="229">
        <v>22.9</v>
      </c>
      <c r="G244" s="229">
        <v>31.2</v>
      </c>
      <c r="H244" s="229">
        <v>14.3</v>
      </c>
      <c r="I244" s="229">
        <v>51.8</v>
      </c>
      <c r="J244" s="229">
        <v>96.3</v>
      </c>
      <c r="K244" s="229">
        <v>17.8</v>
      </c>
      <c r="L244" s="229">
        <v>25.35</v>
      </c>
      <c r="M244" s="229">
        <v>2.1</v>
      </c>
      <c r="N244" s="229">
        <v>3.1</v>
      </c>
      <c r="O244" s="229">
        <v>11.8</v>
      </c>
      <c r="P244" s="229">
        <v>0</v>
      </c>
      <c r="Q244" s="229">
        <v>5.9</v>
      </c>
      <c r="S244" s="122">
        <f t="shared" si="28"/>
        <v>25</v>
      </c>
      <c r="T244" s="122">
        <f t="shared" si="29"/>
        <v>8</v>
      </c>
      <c r="U244" s="122">
        <f>YEAR(Inputs!$I$8)</f>
        <v>2015</v>
      </c>
      <c r="V244" s="109"/>
      <c r="W244" s="69">
        <v>42241</v>
      </c>
      <c r="X244" s="116">
        <v>20.5</v>
      </c>
      <c r="Y244" s="116">
        <v>30.3</v>
      </c>
      <c r="Z244" s="116">
        <v>8.8000000000000007</v>
      </c>
      <c r="AA244" s="116">
        <v>54.5</v>
      </c>
      <c r="AB244" s="116">
        <v>84</v>
      </c>
      <c r="AC244" s="116">
        <v>25</v>
      </c>
      <c r="AD244" s="116">
        <v>25.39</v>
      </c>
      <c r="AE244" s="116">
        <v>1.4</v>
      </c>
      <c r="AF244" s="116">
        <v>5.9</v>
      </c>
      <c r="AG244" s="116">
        <v>11.8</v>
      </c>
      <c r="AH244" s="116">
        <v>0</v>
      </c>
      <c r="AI244" s="116">
        <v>5.0999999999999996</v>
      </c>
    </row>
    <row r="245" spans="1:35" s="71" customFormat="1">
      <c r="A245" s="210">
        <f t="shared" si="23"/>
        <v>26</v>
      </c>
      <c r="B245" s="210">
        <f t="shared" si="24"/>
        <v>8</v>
      </c>
      <c r="C245" s="210">
        <f t="shared" si="27"/>
        <v>2015</v>
      </c>
      <c r="D245" s="106">
        <f t="shared" si="25"/>
        <v>42242</v>
      </c>
      <c r="E245" s="230">
        <v>42242</v>
      </c>
      <c r="F245" s="229">
        <v>22.7</v>
      </c>
      <c r="G245" s="229">
        <v>31.9</v>
      </c>
      <c r="H245" s="229">
        <v>12.9</v>
      </c>
      <c r="I245" s="229">
        <v>50.6</v>
      </c>
      <c r="J245" s="229">
        <v>91.1</v>
      </c>
      <c r="K245" s="229">
        <v>17.600000000000001</v>
      </c>
      <c r="L245" s="229">
        <v>25.21</v>
      </c>
      <c r="M245" s="229">
        <v>2.2000000000000002</v>
      </c>
      <c r="N245" s="229">
        <v>3.4</v>
      </c>
      <c r="O245" s="229">
        <v>11.6</v>
      </c>
      <c r="P245" s="229">
        <v>0</v>
      </c>
      <c r="Q245" s="229">
        <v>6.1</v>
      </c>
      <c r="S245" s="122">
        <f t="shared" si="28"/>
        <v>26</v>
      </c>
      <c r="T245" s="122">
        <f t="shared" si="29"/>
        <v>8</v>
      </c>
      <c r="U245" s="122">
        <f>YEAR(Inputs!$I$8)</f>
        <v>2015</v>
      </c>
      <c r="V245" s="109"/>
      <c r="W245" s="69">
        <v>42242</v>
      </c>
      <c r="X245" s="116">
        <v>23.5</v>
      </c>
      <c r="Y245" s="116">
        <v>32.799999999999997</v>
      </c>
      <c r="Z245" s="116">
        <v>15.1</v>
      </c>
      <c r="AA245" s="116">
        <v>60.3</v>
      </c>
      <c r="AB245" s="116">
        <v>94.2</v>
      </c>
      <c r="AC245" s="116">
        <v>25.2</v>
      </c>
      <c r="AD245" s="116">
        <v>24.78</v>
      </c>
      <c r="AE245" s="116">
        <v>2.1</v>
      </c>
      <c r="AF245" s="116">
        <v>5.9</v>
      </c>
      <c r="AG245" s="116">
        <v>11.6</v>
      </c>
      <c r="AH245" s="116">
        <v>0</v>
      </c>
      <c r="AI245" s="116">
        <v>6</v>
      </c>
    </row>
    <row r="246" spans="1:35" s="71" customFormat="1">
      <c r="A246" s="210">
        <f t="shared" si="23"/>
        <v>27</v>
      </c>
      <c r="B246" s="210">
        <f t="shared" si="24"/>
        <v>8</v>
      </c>
      <c r="C246" s="210">
        <f t="shared" si="27"/>
        <v>2015</v>
      </c>
      <c r="D246" s="106">
        <f t="shared" si="25"/>
        <v>42243</v>
      </c>
      <c r="E246" s="230">
        <v>42243</v>
      </c>
      <c r="F246" s="229">
        <v>23.7</v>
      </c>
      <c r="G246" s="229">
        <v>32.799999999999997</v>
      </c>
      <c r="H246" s="229">
        <v>14.5</v>
      </c>
      <c r="I246" s="229">
        <v>47.5</v>
      </c>
      <c r="J246" s="229">
        <v>79.599999999999994</v>
      </c>
      <c r="K246" s="229">
        <v>18.8</v>
      </c>
      <c r="L246" s="229">
        <v>23.93</v>
      </c>
      <c r="M246" s="229">
        <v>2.1</v>
      </c>
      <c r="N246" s="229">
        <v>3</v>
      </c>
      <c r="O246" s="229">
        <v>11.2</v>
      </c>
      <c r="P246" s="229">
        <v>0</v>
      </c>
      <c r="Q246" s="229">
        <v>6.1</v>
      </c>
      <c r="R246" s="122"/>
      <c r="S246" s="122">
        <f t="shared" si="28"/>
        <v>27</v>
      </c>
      <c r="T246" s="122">
        <f t="shared" si="29"/>
        <v>8</v>
      </c>
      <c r="U246" s="122">
        <f>YEAR(Inputs!$I$8)</f>
        <v>2015</v>
      </c>
      <c r="V246" s="72"/>
      <c r="W246" s="69">
        <v>42243</v>
      </c>
      <c r="X246" s="116">
        <v>24.7</v>
      </c>
      <c r="Y246" s="116">
        <v>34.299999999999997</v>
      </c>
      <c r="Z246" s="116">
        <v>14.5</v>
      </c>
      <c r="AA246" s="116">
        <v>53.1</v>
      </c>
      <c r="AB246" s="116">
        <v>96.9</v>
      </c>
      <c r="AC246" s="116">
        <v>21.5</v>
      </c>
      <c r="AD246" s="116">
        <v>23.98</v>
      </c>
      <c r="AE246" s="116">
        <v>1.7</v>
      </c>
      <c r="AF246" s="116">
        <v>5.6</v>
      </c>
      <c r="AG246" s="116">
        <v>11.7</v>
      </c>
      <c r="AH246" s="116">
        <v>0</v>
      </c>
      <c r="AI246" s="116">
        <v>5.7</v>
      </c>
    </row>
    <row r="247" spans="1:35" s="71" customFormat="1">
      <c r="A247" s="210">
        <f t="shared" si="23"/>
        <v>28</v>
      </c>
      <c r="B247" s="210">
        <f t="shared" si="24"/>
        <v>8</v>
      </c>
      <c r="C247" s="210">
        <f t="shared" si="27"/>
        <v>2015</v>
      </c>
      <c r="D247" s="106">
        <f t="shared" si="25"/>
        <v>42244</v>
      </c>
      <c r="E247" s="230">
        <v>42244</v>
      </c>
      <c r="F247" s="229">
        <v>26.2</v>
      </c>
      <c r="G247" s="229">
        <v>36.700000000000003</v>
      </c>
      <c r="H247" s="229">
        <v>15.9</v>
      </c>
      <c r="I247" s="229">
        <v>48</v>
      </c>
      <c r="J247" s="229">
        <v>86.8</v>
      </c>
      <c r="K247" s="229">
        <v>19.3</v>
      </c>
      <c r="L247" s="229">
        <v>23.64</v>
      </c>
      <c r="M247" s="229">
        <v>1.8</v>
      </c>
      <c r="N247" s="229">
        <v>2.9</v>
      </c>
      <c r="O247" s="229">
        <v>11.5</v>
      </c>
      <c r="P247" s="229">
        <v>0</v>
      </c>
      <c r="Q247" s="229">
        <v>6.2</v>
      </c>
      <c r="R247" s="122"/>
      <c r="S247" s="122">
        <f t="shared" si="28"/>
        <v>28</v>
      </c>
      <c r="T247" s="122">
        <f t="shared" si="29"/>
        <v>8</v>
      </c>
      <c r="U247" s="122">
        <f>YEAR(Inputs!$I$8)</f>
        <v>2015</v>
      </c>
      <c r="V247" s="72"/>
      <c r="W247" s="69">
        <v>42244</v>
      </c>
      <c r="X247" s="116">
        <v>24.9</v>
      </c>
      <c r="Y247" s="116">
        <v>33.9</v>
      </c>
      <c r="Z247" s="116">
        <v>15.8</v>
      </c>
      <c r="AA247" s="116">
        <v>50.8</v>
      </c>
      <c r="AB247" s="116">
        <v>87.8</v>
      </c>
      <c r="AC247" s="116">
        <v>21.4</v>
      </c>
      <c r="AD247" s="116">
        <v>22.74</v>
      </c>
      <c r="AE247" s="116">
        <v>2</v>
      </c>
      <c r="AF247" s="116">
        <v>7.2</v>
      </c>
      <c r="AG247" s="116">
        <v>11.1</v>
      </c>
      <c r="AH247" s="116">
        <v>0</v>
      </c>
      <c r="AI247" s="116">
        <v>5.9</v>
      </c>
    </row>
    <row r="248" spans="1:35" s="71" customFormat="1">
      <c r="A248" s="210">
        <f t="shared" si="23"/>
        <v>29</v>
      </c>
      <c r="B248" s="210">
        <f t="shared" si="24"/>
        <v>8</v>
      </c>
      <c r="C248" s="210">
        <f t="shared" si="27"/>
        <v>2015</v>
      </c>
      <c r="D248" s="106">
        <f t="shared" si="25"/>
        <v>42245</v>
      </c>
      <c r="E248" s="230">
        <v>42245</v>
      </c>
      <c r="F248" s="229">
        <v>27.2</v>
      </c>
      <c r="G248" s="229">
        <v>38.200000000000003</v>
      </c>
      <c r="H248" s="229">
        <v>17.399999999999999</v>
      </c>
      <c r="I248" s="229">
        <v>44.4</v>
      </c>
      <c r="J248" s="229">
        <v>83.7</v>
      </c>
      <c r="K248" s="229">
        <v>17.3</v>
      </c>
      <c r="L248" s="229">
        <v>21.59</v>
      </c>
      <c r="M248" s="229">
        <v>1.4</v>
      </c>
      <c r="N248" s="229">
        <v>3.6</v>
      </c>
      <c r="O248" s="229">
        <v>10.9</v>
      </c>
      <c r="P248" s="229">
        <v>0</v>
      </c>
      <c r="Q248" s="229">
        <v>5.7</v>
      </c>
      <c r="R248" s="122"/>
      <c r="S248" s="122">
        <f t="shared" si="28"/>
        <v>29</v>
      </c>
      <c r="T248" s="122">
        <f t="shared" si="29"/>
        <v>8</v>
      </c>
      <c r="U248" s="122">
        <f>YEAR(Inputs!$I$8)</f>
        <v>2015</v>
      </c>
      <c r="V248" s="72"/>
      <c r="W248" s="69">
        <v>42245</v>
      </c>
      <c r="X248" s="116">
        <v>23.8</v>
      </c>
      <c r="Y248" s="116">
        <v>31.7</v>
      </c>
      <c r="Z248" s="116">
        <v>17.100000000000001</v>
      </c>
      <c r="AA248" s="116">
        <v>57.7</v>
      </c>
      <c r="AB248" s="116">
        <v>94.9</v>
      </c>
      <c r="AC248" s="116">
        <v>25.2</v>
      </c>
      <c r="AD248" s="116">
        <v>23.54</v>
      </c>
      <c r="AE248" s="116">
        <v>2.9</v>
      </c>
      <c r="AF248" s="116">
        <v>8</v>
      </c>
      <c r="AG248" s="116">
        <v>11.3</v>
      </c>
      <c r="AH248" s="116">
        <v>0</v>
      </c>
      <c r="AI248" s="116">
        <v>6.2</v>
      </c>
    </row>
    <row r="249" spans="1:35" s="71" customFormat="1">
      <c r="A249" s="210">
        <f t="shared" si="23"/>
        <v>30</v>
      </c>
      <c r="B249" s="210">
        <f t="shared" si="24"/>
        <v>8</v>
      </c>
      <c r="C249" s="210">
        <f t="shared" si="27"/>
        <v>2015</v>
      </c>
      <c r="D249" s="106">
        <f t="shared" si="25"/>
        <v>42246</v>
      </c>
      <c r="E249" s="230">
        <v>42246</v>
      </c>
      <c r="F249" s="229">
        <v>25.7</v>
      </c>
      <c r="G249" s="229">
        <v>36</v>
      </c>
      <c r="H249" s="229">
        <v>14.9</v>
      </c>
      <c r="I249" s="229">
        <v>37.799999999999997</v>
      </c>
      <c r="J249" s="229">
        <v>84.9</v>
      </c>
      <c r="K249" s="229">
        <v>14.2</v>
      </c>
      <c r="L249" s="229">
        <v>24.64</v>
      </c>
      <c r="M249" s="229">
        <v>1.5</v>
      </c>
      <c r="N249" s="229">
        <v>3</v>
      </c>
      <c r="O249" s="229">
        <v>11.7</v>
      </c>
      <c r="P249" s="229">
        <v>0</v>
      </c>
      <c r="Q249" s="229">
        <v>5.9</v>
      </c>
      <c r="R249" s="122"/>
      <c r="S249" s="122">
        <f t="shared" si="28"/>
        <v>30</v>
      </c>
      <c r="T249" s="122">
        <f t="shared" si="29"/>
        <v>8</v>
      </c>
      <c r="U249" s="122">
        <f>YEAR(Inputs!$I$8)</f>
        <v>2015</v>
      </c>
      <c r="V249" s="72"/>
      <c r="W249" s="69">
        <v>42246</v>
      </c>
      <c r="X249" s="116">
        <v>23</v>
      </c>
      <c r="Y249" s="116">
        <v>31.5</v>
      </c>
      <c r="Z249" s="116">
        <v>16</v>
      </c>
      <c r="AA249" s="116">
        <v>64.3</v>
      </c>
      <c r="AB249" s="116">
        <v>90</v>
      </c>
      <c r="AC249" s="116">
        <v>37.799999999999997</v>
      </c>
      <c r="AD249" s="116">
        <v>21.63</v>
      </c>
      <c r="AE249" s="116">
        <v>3</v>
      </c>
      <c r="AF249" s="116">
        <v>12.8</v>
      </c>
      <c r="AG249" s="116">
        <v>9.9</v>
      </c>
      <c r="AH249" s="116">
        <v>0</v>
      </c>
      <c r="AI249" s="116">
        <v>5.7</v>
      </c>
    </row>
    <row r="250" spans="1:35" s="71" customFormat="1">
      <c r="A250" s="210">
        <f t="shared" si="23"/>
        <v>31</v>
      </c>
      <c r="B250" s="210">
        <f t="shared" si="24"/>
        <v>8</v>
      </c>
      <c r="C250" s="210">
        <f t="shared" si="27"/>
        <v>2015</v>
      </c>
      <c r="D250" s="106">
        <f t="shared" si="25"/>
        <v>42247</v>
      </c>
      <c r="E250" s="230">
        <v>42247</v>
      </c>
      <c r="F250" s="229">
        <v>24.9</v>
      </c>
      <c r="G250" s="229">
        <v>32.299999999999997</v>
      </c>
      <c r="H250" s="229">
        <v>19</v>
      </c>
      <c r="I250" s="229">
        <v>62.8</v>
      </c>
      <c r="J250" s="229">
        <v>87</v>
      </c>
      <c r="K250" s="229">
        <v>32.299999999999997</v>
      </c>
      <c r="L250" s="229">
        <v>22.74</v>
      </c>
      <c r="M250" s="229">
        <v>2.5</v>
      </c>
      <c r="N250" s="229">
        <v>3.8</v>
      </c>
      <c r="O250" s="229">
        <v>11.2</v>
      </c>
      <c r="P250" s="229">
        <v>0</v>
      </c>
      <c r="Q250" s="229">
        <v>5.9</v>
      </c>
      <c r="R250" s="122"/>
      <c r="S250" s="122">
        <f t="shared" si="28"/>
        <v>31</v>
      </c>
      <c r="T250" s="122">
        <f t="shared" si="29"/>
        <v>8</v>
      </c>
      <c r="U250" s="122">
        <f>YEAR(Inputs!$I$8)</f>
        <v>2015</v>
      </c>
      <c r="V250" s="72"/>
      <c r="W250" s="69">
        <v>42247</v>
      </c>
      <c r="X250" s="116">
        <v>22.6</v>
      </c>
      <c r="Y250" s="116">
        <v>30</v>
      </c>
      <c r="Z250" s="116">
        <v>15.8</v>
      </c>
      <c r="AA250" s="116">
        <v>72.599999999999994</v>
      </c>
      <c r="AB250" s="116">
        <v>93.1</v>
      </c>
      <c r="AC250" s="116">
        <v>41.9</v>
      </c>
      <c r="AD250" s="116">
        <v>16.05</v>
      </c>
      <c r="AE250" s="116">
        <v>1.9</v>
      </c>
      <c r="AF250" s="116">
        <v>7.7</v>
      </c>
      <c r="AG250" s="116">
        <v>10.199999999999999</v>
      </c>
      <c r="AH250" s="116">
        <v>0.6</v>
      </c>
      <c r="AI250" s="116">
        <v>4.0999999999999996</v>
      </c>
    </row>
    <row r="251" spans="1:35" s="71" customFormat="1">
      <c r="A251" s="210">
        <f t="shared" si="23"/>
        <v>1</v>
      </c>
      <c r="B251" s="210">
        <f t="shared" si="24"/>
        <v>9</v>
      </c>
      <c r="C251" s="210">
        <f t="shared" si="27"/>
        <v>2015</v>
      </c>
      <c r="D251" s="106">
        <f t="shared" si="25"/>
        <v>42248</v>
      </c>
      <c r="E251" s="230">
        <v>42248</v>
      </c>
      <c r="F251" s="229">
        <v>23.6</v>
      </c>
      <c r="G251" s="229">
        <v>32.5</v>
      </c>
      <c r="H251" s="229">
        <v>16.100000000000001</v>
      </c>
      <c r="I251" s="229">
        <v>60.2</v>
      </c>
      <c r="J251" s="229">
        <v>95</v>
      </c>
      <c r="K251" s="229">
        <v>20.3</v>
      </c>
      <c r="L251" s="229">
        <v>22.84</v>
      </c>
      <c r="M251" s="229">
        <v>2.2000000000000002</v>
      </c>
      <c r="N251" s="229">
        <v>3.9</v>
      </c>
      <c r="O251" s="229">
        <v>10.8</v>
      </c>
      <c r="P251" s="229">
        <v>0</v>
      </c>
      <c r="Q251" s="229">
        <v>5.9</v>
      </c>
      <c r="R251" s="122"/>
      <c r="S251" s="122">
        <f t="shared" si="28"/>
        <v>1</v>
      </c>
      <c r="T251" s="122">
        <f t="shared" si="29"/>
        <v>9</v>
      </c>
      <c r="U251" s="122">
        <f>YEAR(Inputs!$I$8)</f>
        <v>2015</v>
      </c>
      <c r="V251" s="72"/>
      <c r="W251" s="69">
        <v>42248</v>
      </c>
      <c r="X251" s="116">
        <v>22.2</v>
      </c>
      <c r="Y251" s="116">
        <v>29</v>
      </c>
      <c r="Z251" s="116">
        <v>15.8</v>
      </c>
      <c r="AA251" s="116">
        <v>72.3</v>
      </c>
      <c r="AB251" s="116">
        <v>97.1</v>
      </c>
      <c r="AC251" s="116">
        <v>36.200000000000003</v>
      </c>
      <c r="AD251" s="116">
        <v>18.14</v>
      </c>
      <c r="AE251" s="116">
        <v>1.4</v>
      </c>
      <c r="AF251" s="116">
        <v>6.5</v>
      </c>
      <c r="AG251" s="116">
        <v>10.8</v>
      </c>
      <c r="AH251" s="116">
        <v>0</v>
      </c>
      <c r="AI251" s="116">
        <v>4</v>
      </c>
    </row>
    <row r="252" spans="1:35" s="71" customFormat="1">
      <c r="A252" s="210">
        <f t="shared" si="23"/>
        <v>2</v>
      </c>
      <c r="B252" s="210">
        <f t="shared" si="24"/>
        <v>9</v>
      </c>
      <c r="C252" s="210">
        <f t="shared" si="27"/>
        <v>2015</v>
      </c>
      <c r="D252" s="106">
        <f t="shared" si="25"/>
        <v>42249</v>
      </c>
      <c r="E252" s="230">
        <v>42249</v>
      </c>
      <c r="F252" s="229">
        <v>22.3</v>
      </c>
      <c r="G252" s="229">
        <v>30</v>
      </c>
      <c r="H252" s="229">
        <v>15.3</v>
      </c>
      <c r="I252" s="229">
        <v>63.9</v>
      </c>
      <c r="J252" s="229">
        <v>95.1</v>
      </c>
      <c r="K252" s="229">
        <v>35.6</v>
      </c>
      <c r="L252" s="229">
        <v>22.87</v>
      </c>
      <c r="M252" s="229">
        <v>1.9</v>
      </c>
      <c r="N252" s="229">
        <v>3.6</v>
      </c>
      <c r="O252" s="229">
        <v>11.4</v>
      </c>
      <c r="P252" s="229">
        <v>0</v>
      </c>
      <c r="Q252" s="229">
        <v>5</v>
      </c>
      <c r="R252" s="122"/>
      <c r="S252" s="122">
        <f t="shared" si="28"/>
        <v>2</v>
      </c>
      <c r="T252" s="122">
        <f t="shared" si="29"/>
        <v>9</v>
      </c>
      <c r="U252" s="122">
        <f>YEAR(Inputs!$I$8)</f>
        <v>2015</v>
      </c>
      <c r="V252" s="72"/>
      <c r="W252" s="69">
        <v>42249</v>
      </c>
      <c r="X252" s="116">
        <v>23.4</v>
      </c>
      <c r="Y252" s="116">
        <v>30.9</v>
      </c>
      <c r="Z252" s="116">
        <v>15.6</v>
      </c>
      <c r="AA252" s="116">
        <v>63.9</v>
      </c>
      <c r="AB252" s="116">
        <v>95.8</v>
      </c>
      <c r="AC252" s="116">
        <v>23.4</v>
      </c>
      <c r="AD252" s="116">
        <v>23.66</v>
      </c>
      <c r="AE252" s="116">
        <v>1.8</v>
      </c>
      <c r="AF252" s="116">
        <v>6.1</v>
      </c>
      <c r="AG252" s="116">
        <v>11</v>
      </c>
      <c r="AH252" s="116">
        <v>0</v>
      </c>
      <c r="AI252" s="116">
        <v>5.3</v>
      </c>
    </row>
    <row r="253" spans="1:35" s="71" customFormat="1">
      <c r="A253" s="210">
        <f t="shared" si="23"/>
        <v>3</v>
      </c>
      <c r="B253" s="210">
        <f t="shared" si="24"/>
        <v>9</v>
      </c>
      <c r="C253" s="210">
        <f t="shared" si="27"/>
        <v>2015</v>
      </c>
      <c r="D253" s="106">
        <f t="shared" si="25"/>
        <v>42250</v>
      </c>
      <c r="E253" s="230">
        <v>42250</v>
      </c>
      <c r="F253" s="229">
        <v>24.1</v>
      </c>
      <c r="G253" s="229">
        <v>33</v>
      </c>
      <c r="H253" s="229">
        <v>15.8</v>
      </c>
      <c r="I253" s="229">
        <v>55.7</v>
      </c>
      <c r="J253" s="229">
        <v>93.8</v>
      </c>
      <c r="K253" s="229">
        <v>20.3</v>
      </c>
      <c r="L253" s="229">
        <v>23.31</v>
      </c>
      <c r="M253" s="229">
        <v>0.5</v>
      </c>
      <c r="N253" s="229">
        <v>4.5999999999999996</v>
      </c>
      <c r="O253" s="229">
        <v>11.4</v>
      </c>
      <c r="P253" s="229">
        <v>0</v>
      </c>
      <c r="Q253" s="229">
        <v>4.2</v>
      </c>
      <c r="R253" s="122"/>
      <c r="S253" s="122">
        <f t="shared" si="28"/>
        <v>3</v>
      </c>
      <c r="T253" s="122">
        <f t="shared" si="29"/>
        <v>9</v>
      </c>
      <c r="U253" s="122">
        <f>YEAR(Inputs!$I$8)</f>
        <v>2015</v>
      </c>
      <c r="V253" s="72"/>
      <c r="W253" s="69">
        <v>42250</v>
      </c>
      <c r="X253" s="116">
        <v>21.6</v>
      </c>
      <c r="Y253" s="116">
        <v>27.8</v>
      </c>
      <c r="Z253" s="116">
        <v>14.2</v>
      </c>
      <c r="AA253" s="116">
        <v>57.4</v>
      </c>
      <c r="AB253" s="116">
        <v>90.6</v>
      </c>
      <c r="AC253" s="116">
        <v>30.2</v>
      </c>
      <c r="AD253" s="116">
        <v>22.2</v>
      </c>
      <c r="AE253" s="116">
        <v>1.9</v>
      </c>
      <c r="AF253" s="116">
        <v>6.2</v>
      </c>
      <c r="AG253" s="116">
        <v>10.9</v>
      </c>
      <c r="AH253" s="116">
        <v>0</v>
      </c>
      <c r="AI253" s="116">
        <v>4.7</v>
      </c>
    </row>
    <row r="254" spans="1:35" s="71" customFormat="1">
      <c r="A254" s="210">
        <f t="shared" si="23"/>
        <v>4</v>
      </c>
      <c r="B254" s="210">
        <f t="shared" si="24"/>
        <v>9</v>
      </c>
      <c r="C254" s="210">
        <f t="shared" si="27"/>
        <v>2015</v>
      </c>
      <c r="D254" s="106">
        <f t="shared" si="25"/>
        <v>42251</v>
      </c>
      <c r="E254" s="230">
        <v>42251</v>
      </c>
      <c r="F254" s="229">
        <v>25.4</v>
      </c>
      <c r="G254" s="229">
        <v>34.799999999999997</v>
      </c>
      <c r="H254" s="229">
        <v>15.8</v>
      </c>
      <c r="I254" s="229">
        <v>45.4</v>
      </c>
      <c r="J254" s="229">
        <v>84.9</v>
      </c>
      <c r="K254" s="229">
        <v>13.7</v>
      </c>
      <c r="L254" s="229">
        <v>23.5</v>
      </c>
      <c r="M254" s="229">
        <v>1.5</v>
      </c>
      <c r="N254" s="229">
        <v>6.6</v>
      </c>
      <c r="O254" s="229">
        <v>11.3</v>
      </c>
      <c r="P254" s="229">
        <v>0</v>
      </c>
      <c r="Q254" s="229">
        <v>5.6</v>
      </c>
      <c r="R254" s="122"/>
      <c r="S254" s="122">
        <f t="shared" si="28"/>
        <v>4</v>
      </c>
      <c r="T254" s="122">
        <f t="shared" si="29"/>
        <v>9</v>
      </c>
      <c r="U254" s="122">
        <f>YEAR(Inputs!$I$8)</f>
        <v>2015</v>
      </c>
      <c r="V254" s="72"/>
      <c r="W254" s="69">
        <v>42251</v>
      </c>
      <c r="X254" s="116">
        <v>20.5</v>
      </c>
      <c r="Y254" s="116">
        <v>27.3</v>
      </c>
      <c r="Z254" s="116">
        <v>16.7</v>
      </c>
      <c r="AA254" s="116">
        <v>66.5</v>
      </c>
      <c r="AB254" s="116">
        <v>92.2</v>
      </c>
      <c r="AC254" s="116">
        <v>28.1</v>
      </c>
      <c r="AD254" s="116">
        <v>15.83</v>
      </c>
      <c r="AE254" s="116">
        <v>2</v>
      </c>
      <c r="AF254" s="116">
        <v>6.1</v>
      </c>
      <c r="AG254" s="116">
        <v>8.9</v>
      </c>
      <c r="AH254" s="116">
        <v>0.8</v>
      </c>
      <c r="AI254" s="116">
        <v>4.2</v>
      </c>
    </row>
    <row r="255" spans="1:35" s="71" customFormat="1">
      <c r="A255" s="210">
        <f t="shared" si="23"/>
        <v>5</v>
      </c>
      <c r="B255" s="210">
        <f t="shared" si="24"/>
        <v>9</v>
      </c>
      <c r="C255" s="210">
        <f t="shared" si="27"/>
        <v>2015</v>
      </c>
      <c r="D255" s="106">
        <f t="shared" si="25"/>
        <v>42252</v>
      </c>
      <c r="E255" s="230">
        <v>42252</v>
      </c>
      <c r="F255" s="229">
        <v>27.2</v>
      </c>
      <c r="G255" s="229">
        <v>37.6</v>
      </c>
      <c r="H255" s="229">
        <v>15.7</v>
      </c>
      <c r="I255" s="229">
        <v>34.1</v>
      </c>
      <c r="J255" s="229">
        <v>64.5</v>
      </c>
      <c r="K255" s="229">
        <v>15.3</v>
      </c>
      <c r="L255" s="229">
        <v>22.47</v>
      </c>
      <c r="M255" s="229">
        <v>0.7</v>
      </c>
      <c r="N255" s="229">
        <v>3.9</v>
      </c>
      <c r="O255" s="229">
        <v>11.2</v>
      </c>
      <c r="P255" s="229">
        <v>0</v>
      </c>
      <c r="Q255" s="229">
        <v>4.5999999999999996</v>
      </c>
      <c r="R255" s="122"/>
      <c r="S255" s="122">
        <f t="shared" si="28"/>
        <v>5</v>
      </c>
      <c r="T255" s="122">
        <f t="shared" si="29"/>
        <v>9</v>
      </c>
      <c r="U255" s="122">
        <f>YEAR(Inputs!$I$8)</f>
        <v>2015</v>
      </c>
      <c r="V255" s="72"/>
      <c r="W255" s="69">
        <v>42252</v>
      </c>
      <c r="X255" s="116">
        <v>17.2</v>
      </c>
      <c r="Y255" s="116">
        <v>24</v>
      </c>
      <c r="Z255" s="116">
        <v>13.2</v>
      </c>
      <c r="AA255" s="116">
        <v>84.3</v>
      </c>
      <c r="AB255" s="116">
        <v>97.1</v>
      </c>
      <c r="AC255" s="116">
        <v>52.9</v>
      </c>
      <c r="AD255" s="116">
        <v>12.31</v>
      </c>
      <c r="AE255" s="116">
        <v>2.1</v>
      </c>
      <c r="AF255" s="116">
        <v>6.9</v>
      </c>
      <c r="AG255" s="116">
        <v>8.6</v>
      </c>
      <c r="AH255" s="116">
        <v>38.6</v>
      </c>
      <c r="AI255" s="116">
        <v>2.9</v>
      </c>
    </row>
    <row r="256" spans="1:35" s="71" customFormat="1">
      <c r="A256" s="210">
        <f t="shared" si="23"/>
        <v>6</v>
      </c>
      <c r="B256" s="210">
        <f t="shared" si="24"/>
        <v>9</v>
      </c>
      <c r="C256" s="210">
        <f t="shared" si="27"/>
        <v>2015</v>
      </c>
      <c r="D256" s="106">
        <f t="shared" si="25"/>
        <v>42253</v>
      </c>
      <c r="E256" s="230">
        <v>42253</v>
      </c>
      <c r="F256" s="229">
        <v>27.6</v>
      </c>
      <c r="G256" s="229">
        <v>38.200000000000003</v>
      </c>
      <c r="H256" s="229">
        <v>16.399999999999999</v>
      </c>
      <c r="I256" s="229">
        <v>31.7</v>
      </c>
      <c r="J256" s="229">
        <v>58.8</v>
      </c>
      <c r="K256" s="229">
        <v>15</v>
      </c>
      <c r="L256" s="229">
        <v>22.46</v>
      </c>
      <c r="M256" s="229">
        <v>1.2</v>
      </c>
      <c r="N256" s="229">
        <v>7.3</v>
      </c>
      <c r="O256" s="229">
        <v>11.4</v>
      </c>
      <c r="P256" s="229">
        <v>0</v>
      </c>
      <c r="Q256" s="229">
        <v>5.4</v>
      </c>
      <c r="R256" s="122"/>
      <c r="S256" s="122">
        <f t="shared" si="28"/>
        <v>6</v>
      </c>
      <c r="T256" s="122">
        <f t="shared" si="29"/>
        <v>9</v>
      </c>
      <c r="U256" s="122">
        <f>YEAR(Inputs!$I$8)</f>
        <v>2015</v>
      </c>
      <c r="V256" s="72"/>
      <c r="W256" s="69">
        <v>42253</v>
      </c>
      <c r="X256" s="116">
        <v>17.2</v>
      </c>
      <c r="Y256" s="116">
        <v>20.6</v>
      </c>
      <c r="Z256" s="116">
        <v>14.2</v>
      </c>
      <c r="AA256" s="116">
        <v>87.6</v>
      </c>
      <c r="AB256" s="116">
        <v>97.3</v>
      </c>
      <c r="AC256" s="116">
        <v>73.3</v>
      </c>
      <c r="AD256" s="116">
        <v>10.99</v>
      </c>
      <c r="AE256" s="116">
        <v>1.6</v>
      </c>
      <c r="AF256" s="116">
        <v>4.9000000000000004</v>
      </c>
      <c r="AG256" s="116">
        <v>9.5</v>
      </c>
      <c r="AH256" s="116">
        <v>1</v>
      </c>
      <c r="AI256" s="116">
        <v>2.1</v>
      </c>
    </row>
    <row r="257" spans="1:35" s="71" customFormat="1">
      <c r="A257" s="210">
        <f t="shared" si="23"/>
        <v>7</v>
      </c>
      <c r="B257" s="210">
        <f t="shared" si="24"/>
        <v>9</v>
      </c>
      <c r="C257" s="210">
        <f t="shared" si="27"/>
        <v>2015</v>
      </c>
      <c r="D257" s="106">
        <f t="shared" si="25"/>
        <v>42254</v>
      </c>
      <c r="E257" s="230">
        <v>42254</v>
      </c>
      <c r="F257" s="229">
        <v>27.2</v>
      </c>
      <c r="G257" s="229">
        <v>39.6</v>
      </c>
      <c r="H257" s="229">
        <v>16.100000000000001</v>
      </c>
      <c r="I257" s="229">
        <v>33.299999999999997</v>
      </c>
      <c r="J257" s="229">
        <v>63.3</v>
      </c>
      <c r="K257" s="229">
        <v>9.4</v>
      </c>
      <c r="L257" s="229">
        <v>21.53</v>
      </c>
      <c r="M257" s="229">
        <v>1.8</v>
      </c>
      <c r="N257" s="229">
        <v>6.1</v>
      </c>
      <c r="O257" s="229">
        <v>10.6</v>
      </c>
      <c r="P257" s="229">
        <v>0.2</v>
      </c>
      <c r="Q257" s="229">
        <v>6.5</v>
      </c>
      <c r="R257" s="122"/>
      <c r="S257" s="122">
        <f t="shared" si="28"/>
        <v>7</v>
      </c>
      <c r="T257" s="122">
        <f t="shared" si="29"/>
        <v>9</v>
      </c>
      <c r="U257" s="122">
        <f>YEAR(Inputs!$I$8)</f>
        <v>2015</v>
      </c>
      <c r="V257" s="72"/>
      <c r="W257" s="69">
        <v>42254</v>
      </c>
      <c r="X257" s="116">
        <v>16.7</v>
      </c>
      <c r="Y257" s="116">
        <v>21.7</v>
      </c>
      <c r="Z257" s="116">
        <v>12.7</v>
      </c>
      <c r="AA257" s="116">
        <v>89.7</v>
      </c>
      <c r="AB257" s="116">
        <v>99.4</v>
      </c>
      <c r="AC257" s="116">
        <v>68.400000000000006</v>
      </c>
      <c r="AD257" s="116">
        <v>13</v>
      </c>
      <c r="AE257" s="116">
        <v>1.8</v>
      </c>
      <c r="AF257" s="116">
        <v>7.2</v>
      </c>
      <c r="AG257" s="116">
        <v>6.9</v>
      </c>
      <c r="AH257" s="116">
        <v>29.6</v>
      </c>
      <c r="AI257" s="116">
        <v>2.4</v>
      </c>
    </row>
    <row r="258" spans="1:35" s="71" customFormat="1">
      <c r="A258" s="210">
        <f t="shared" si="23"/>
        <v>8</v>
      </c>
      <c r="B258" s="210">
        <f t="shared" si="24"/>
        <v>9</v>
      </c>
      <c r="C258" s="210">
        <f t="shared" si="27"/>
        <v>2015</v>
      </c>
      <c r="D258" s="106">
        <f t="shared" si="25"/>
        <v>42255</v>
      </c>
      <c r="E258" s="230">
        <v>42255</v>
      </c>
      <c r="F258" s="229">
        <v>26.7</v>
      </c>
      <c r="G258" s="229">
        <v>38.799999999999997</v>
      </c>
      <c r="H258" s="229">
        <v>15.9</v>
      </c>
      <c r="I258" s="229">
        <v>44.6</v>
      </c>
      <c r="J258" s="229">
        <v>83.9</v>
      </c>
      <c r="K258" s="229">
        <v>11.3</v>
      </c>
      <c r="L258" s="229">
        <v>22.83</v>
      </c>
      <c r="M258" s="229">
        <v>2</v>
      </c>
      <c r="N258" s="229">
        <v>8.4</v>
      </c>
      <c r="O258" s="229">
        <v>11.1</v>
      </c>
      <c r="P258" s="229">
        <v>0</v>
      </c>
      <c r="Q258" s="229">
        <v>6.7</v>
      </c>
      <c r="R258" s="122"/>
      <c r="S258" s="122">
        <f t="shared" si="28"/>
        <v>8</v>
      </c>
      <c r="T258" s="122">
        <f t="shared" si="29"/>
        <v>9</v>
      </c>
      <c r="U258" s="122">
        <f>YEAR(Inputs!$I$8)</f>
        <v>2015</v>
      </c>
      <c r="V258" s="72"/>
      <c r="W258" s="69">
        <v>42255</v>
      </c>
      <c r="X258" s="116">
        <v>17.399999999999999</v>
      </c>
      <c r="Y258" s="116">
        <v>24.5</v>
      </c>
      <c r="Z258" s="116">
        <v>12.5</v>
      </c>
      <c r="AA258" s="116">
        <v>79</v>
      </c>
      <c r="AB258" s="116">
        <v>97.6</v>
      </c>
      <c r="AC258" s="116">
        <v>40.200000000000003</v>
      </c>
      <c r="AD258" s="116">
        <v>21.37</v>
      </c>
      <c r="AE258" s="116">
        <v>1.2</v>
      </c>
      <c r="AF258" s="116">
        <v>3.8</v>
      </c>
      <c r="AG258" s="116">
        <v>11</v>
      </c>
      <c r="AH258" s="116">
        <v>0</v>
      </c>
      <c r="AI258" s="116">
        <v>3.7</v>
      </c>
    </row>
    <row r="259" spans="1:35" s="71" customFormat="1">
      <c r="A259" s="210">
        <f t="shared" si="23"/>
        <v>9</v>
      </c>
      <c r="B259" s="210">
        <f t="shared" si="24"/>
        <v>9</v>
      </c>
      <c r="C259" s="210">
        <f t="shared" si="27"/>
        <v>2015</v>
      </c>
      <c r="D259" s="106">
        <f t="shared" si="25"/>
        <v>42256</v>
      </c>
      <c r="E259" s="230">
        <v>42256</v>
      </c>
      <c r="F259" s="229">
        <v>25.1</v>
      </c>
      <c r="G259" s="229">
        <v>35.6</v>
      </c>
      <c r="H259" s="229">
        <v>14.5</v>
      </c>
      <c r="I259" s="229">
        <v>54.9</v>
      </c>
      <c r="J259" s="229">
        <v>96.5</v>
      </c>
      <c r="K259" s="229">
        <v>13.3</v>
      </c>
      <c r="L259" s="229">
        <v>23.21</v>
      </c>
      <c r="M259" s="229">
        <v>1.9</v>
      </c>
      <c r="N259" s="229">
        <v>7.2</v>
      </c>
      <c r="O259" s="229">
        <v>11.1</v>
      </c>
      <c r="P259" s="229">
        <v>0</v>
      </c>
      <c r="Q259" s="229">
        <v>6</v>
      </c>
      <c r="R259" s="122"/>
      <c r="S259" s="122">
        <f t="shared" si="28"/>
        <v>9</v>
      </c>
      <c r="T259" s="122">
        <f t="shared" si="29"/>
        <v>9</v>
      </c>
      <c r="U259" s="122">
        <f>YEAR(Inputs!$I$8)</f>
        <v>2015</v>
      </c>
      <c r="V259" s="72"/>
      <c r="W259" s="69">
        <v>42256</v>
      </c>
      <c r="X259" s="116">
        <v>18.899999999999999</v>
      </c>
      <c r="Y259" s="116">
        <v>27.2</v>
      </c>
      <c r="Z259" s="116">
        <v>11.9</v>
      </c>
      <c r="AA259" s="116">
        <v>74.3</v>
      </c>
      <c r="AB259" s="116">
        <v>99.6</v>
      </c>
      <c r="AC259" s="116">
        <v>29.5</v>
      </c>
      <c r="AD259" s="116">
        <v>22</v>
      </c>
      <c r="AE259" s="116">
        <v>1.3</v>
      </c>
      <c r="AF259" s="116">
        <v>5.9</v>
      </c>
      <c r="AG259" s="116">
        <v>10.9</v>
      </c>
      <c r="AH259" s="116">
        <v>0.2</v>
      </c>
      <c r="AI259" s="116">
        <v>4.0999999999999996</v>
      </c>
    </row>
    <row r="260" spans="1:35" s="71" customFormat="1">
      <c r="A260" s="210">
        <f t="shared" si="23"/>
        <v>10</v>
      </c>
      <c r="B260" s="210">
        <f t="shared" si="24"/>
        <v>9</v>
      </c>
      <c r="C260" s="210">
        <f t="shared" si="27"/>
        <v>2015</v>
      </c>
      <c r="D260" s="106">
        <f t="shared" si="25"/>
        <v>42257</v>
      </c>
      <c r="E260" s="230">
        <v>42257</v>
      </c>
      <c r="F260" s="229">
        <v>23.4</v>
      </c>
      <c r="G260" s="229">
        <v>33.299999999999997</v>
      </c>
      <c r="H260" s="229">
        <v>14.9</v>
      </c>
      <c r="I260" s="229">
        <v>48.8</v>
      </c>
      <c r="J260" s="229">
        <v>92.2</v>
      </c>
      <c r="K260" s="229">
        <v>18.5</v>
      </c>
      <c r="L260" s="229">
        <v>23.13</v>
      </c>
      <c r="M260" s="229">
        <v>2.1</v>
      </c>
      <c r="N260" s="229">
        <v>7.7</v>
      </c>
      <c r="O260" s="229">
        <v>11.2</v>
      </c>
      <c r="P260" s="229">
        <v>0</v>
      </c>
      <c r="Q260" s="229">
        <v>5.8</v>
      </c>
      <c r="R260" s="122"/>
      <c r="S260" s="122">
        <f t="shared" si="28"/>
        <v>10</v>
      </c>
      <c r="T260" s="122">
        <f t="shared" si="29"/>
        <v>9</v>
      </c>
      <c r="U260" s="122">
        <f>YEAR(Inputs!$I$8)</f>
        <v>2015</v>
      </c>
      <c r="V260" s="72"/>
      <c r="W260" s="69">
        <v>42257</v>
      </c>
      <c r="X260" s="116">
        <v>21.4</v>
      </c>
      <c r="Y260" s="116">
        <v>28.4</v>
      </c>
      <c r="Z260" s="116">
        <v>15.2</v>
      </c>
      <c r="AA260" s="116">
        <v>63.7</v>
      </c>
      <c r="AB260" s="116">
        <v>98.1</v>
      </c>
      <c r="AC260" s="116">
        <v>31.5</v>
      </c>
      <c r="AD260" s="116">
        <v>19.05</v>
      </c>
      <c r="AE260" s="116">
        <v>1.7</v>
      </c>
      <c r="AF260" s="116">
        <v>6.7</v>
      </c>
      <c r="AG260" s="116">
        <v>10.6</v>
      </c>
      <c r="AH260" s="116">
        <v>0</v>
      </c>
      <c r="AI260" s="116">
        <v>4.2</v>
      </c>
    </row>
    <row r="261" spans="1:35" s="71" customFormat="1">
      <c r="A261" s="210">
        <f t="shared" si="23"/>
        <v>11</v>
      </c>
      <c r="B261" s="210">
        <f t="shared" si="24"/>
        <v>9</v>
      </c>
      <c r="C261" s="210">
        <f t="shared" si="27"/>
        <v>2015</v>
      </c>
      <c r="D261" s="106">
        <f t="shared" si="25"/>
        <v>42258</v>
      </c>
      <c r="E261" s="230">
        <v>42258</v>
      </c>
      <c r="F261" s="229">
        <v>21.7</v>
      </c>
      <c r="G261" s="229">
        <v>30.7</v>
      </c>
      <c r="H261" s="229">
        <v>10.6</v>
      </c>
      <c r="I261" s="229">
        <v>39.700000000000003</v>
      </c>
      <c r="J261" s="229">
        <v>80.3</v>
      </c>
      <c r="K261" s="229">
        <v>18.399999999999999</v>
      </c>
      <c r="L261" s="229">
        <v>22.96</v>
      </c>
      <c r="M261" s="229">
        <v>1</v>
      </c>
      <c r="N261" s="229">
        <v>4.5999999999999996</v>
      </c>
      <c r="O261" s="229">
        <v>11.2</v>
      </c>
      <c r="P261" s="229">
        <v>0</v>
      </c>
      <c r="Q261" s="229">
        <v>4.3</v>
      </c>
      <c r="R261" s="122"/>
      <c r="S261" s="122">
        <f t="shared" si="28"/>
        <v>11</v>
      </c>
      <c r="T261" s="122">
        <f t="shared" si="29"/>
        <v>9</v>
      </c>
      <c r="U261" s="122">
        <f>YEAR(Inputs!$I$8)</f>
        <v>2015</v>
      </c>
      <c r="V261" s="72"/>
      <c r="W261" s="69">
        <v>42258</v>
      </c>
      <c r="X261" s="116">
        <v>20.8</v>
      </c>
      <c r="Y261" s="116">
        <v>29</v>
      </c>
      <c r="Z261" s="116">
        <v>14.3</v>
      </c>
      <c r="AA261" s="116">
        <v>73.7</v>
      </c>
      <c r="AB261" s="116">
        <v>100</v>
      </c>
      <c r="AC261" s="116">
        <v>33.799999999999997</v>
      </c>
      <c r="AD261" s="116">
        <v>21.09</v>
      </c>
      <c r="AE261" s="116">
        <v>1.9</v>
      </c>
      <c r="AF261" s="116">
        <v>6.5</v>
      </c>
      <c r="AG261" s="116">
        <v>10.5</v>
      </c>
      <c r="AH261" s="116">
        <v>0.2</v>
      </c>
      <c r="AI261" s="116">
        <v>4.5</v>
      </c>
    </row>
    <row r="262" spans="1:35" s="71" customFormat="1">
      <c r="A262" s="210">
        <f t="shared" si="23"/>
        <v>12</v>
      </c>
      <c r="B262" s="210">
        <f t="shared" si="24"/>
        <v>9</v>
      </c>
      <c r="C262" s="210">
        <f t="shared" si="27"/>
        <v>2015</v>
      </c>
      <c r="D262" s="106">
        <f t="shared" si="25"/>
        <v>42259</v>
      </c>
      <c r="E262" s="230">
        <v>42259</v>
      </c>
      <c r="F262" s="229">
        <v>23.3</v>
      </c>
      <c r="G262" s="229">
        <v>31.5</v>
      </c>
      <c r="H262" s="229">
        <v>16.2</v>
      </c>
      <c r="I262" s="229">
        <v>60.4</v>
      </c>
      <c r="J262" s="229">
        <v>93.2</v>
      </c>
      <c r="K262" s="229">
        <v>21.7</v>
      </c>
      <c r="L262" s="229">
        <v>22.67</v>
      </c>
      <c r="M262" s="229">
        <v>2.6</v>
      </c>
      <c r="N262" s="229">
        <v>6.5</v>
      </c>
      <c r="O262" s="229">
        <v>10.8</v>
      </c>
      <c r="P262" s="229">
        <v>0</v>
      </c>
      <c r="Q262" s="229">
        <v>5.8</v>
      </c>
      <c r="R262" s="122"/>
      <c r="S262" s="122">
        <f t="shared" si="28"/>
        <v>12</v>
      </c>
      <c r="T262" s="122">
        <f t="shared" si="29"/>
        <v>9</v>
      </c>
      <c r="U262" s="122">
        <f>YEAR(Inputs!$I$8)</f>
        <v>2015</v>
      </c>
      <c r="V262" s="72"/>
      <c r="W262" s="69">
        <v>42259</v>
      </c>
      <c r="X262" s="116">
        <v>19.3</v>
      </c>
      <c r="Y262" s="116">
        <v>24.6</v>
      </c>
      <c r="Z262" s="116">
        <v>14.2</v>
      </c>
      <c r="AA262" s="116">
        <v>70.8</v>
      </c>
      <c r="AB262" s="116">
        <v>89.3</v>
      </c>
      <c r="AC262" s="116">
        <v>42.2</v>
      </c>
      <c r="AD262" s="116">
        <v>12.49</v>
      </c>
      <c r="AE262" s="116">
        <v>1.4</v>
      </c>
      <c r="AF262" s="116">
        <v>4.3</v>
      </c>
      <c r="AG262" s="116">
        <v>11</v>
      </c>
      <c r="AH262" s="116">
        <v>2</v>
      </c>
      <c r="AI262" s="116">
        <v>2.9</v>
      </c>
    </row>
    <row r="263" spans="1:35" s="71" customFormat="1">
      <c r="A263" s="210">
        <f t="shared" si="23"/>
        <v>13</v>
      </c>
      <c r="B263" s="210">
        <f t="shared" si="24"/>
        <v>9</v>
      </c>
      <c r="C263" s="210">
        <f t="shared" si="27"/>
        <v>2015</v>
      </c>
      <c r="D263" s="106">
        <f t="shared" si="25"/>
        <v>42260</v>
      </c>
      <c r="E263" s="230">
        <v>42260</v>
      </c>
      <c r="F263" s="229">
        <v>23.4</v>
      </c>
      <c r="G263" s="229">
        <v>31.5</v>
      </c>
      <c r="H263" s="229">
        <v>16.399999999999999</v>
      </c>
      <c r="I263" s="229">
        <v>55.7</v>
      </c>
      <c r="J263" s="229">
        <v>92.5</v>
      </c>
      <c r="K263" s="229">
        <v>19.8</v>
      </c>
      <c r="L263" s="229">
        <v>21.29</v>
      </c>
      <c r="M263" s="229">
        <v>2.9</v>
      </c>
      <c r="N263" s="229">
        <v>7.4</v>
      </c>
      <c r="O263" s="229">
        <v>11</v>
      </c>
      <c r="P263" s="229">
        <v>0</v>
      </c>
      <c r="Q263" s="229">
        <v>6</v>
      </c>
      <c r="R263" s="122"/>
      <c r="S263" s="122">
        <f t="shared" si="28"/>
        <v>13</v>
      </c>
      <c r="T263" s="122">
        <f t="shared" si="29"/>
        <v>9</v>
      </c>
      <c r="U263" s="122">
        <f>YEAR(Inputs!$I$8)</f>
        <v>2015</v>
      </c>
      <c r="V263" s="72"/>
      <c r="W263" s="69">
        <v>42260</v>
      </c>
      <c r="X263" s="116">
        <v>20.2</v>
      </c>
      <c r="Y263" s="116">
        <v>27.3</v>
      </c>
      <c r="Z263" s="116">
        <v>15.4</v>
      </c>
      <c r="AA263" s="116">
        <v>52.1</v>
      </c>
      <c r="AB263" s="116">
        <v>78.099999999999994</v>
      </c>
      <c r="AC263" s="116">
        <v>20.6</v>
      </c>
      <c r="AD263" s="116">
        <v>18.989999999999998</v>
      </c>
      <c r="AE263" s="116">
        <v>3.4</v>
      </c>
      <c r="AF263" s="116">
        <v>8.6</v>
      </c>
      <c r="AG263" s="116">
        <v>11</v>
      </c>
      <c r="AH263" s="116">
        <v>0.2</v>
      </c>
      <c r="AI263" s="116">
        <v>5.7</v>
      </c>
    </row>
    <row r="264" spans="1:35" s="71" customFormat="1">
      <c r="A264" s="210">
        <f t="shared" ref="A264:A281" si="30">DAY(E264)</f>
        <v>14</v>
      </c>
      <c r="B264" s="210">
        <f t="shared" ref="B264:B281" si="31">MONTH(E264)</f>
        <v>9</v>
      </c>
      <c r="C264" s="210">
        <f t="shared" si="27"/>
        <v>2015</v>
      </c>
      <c r="D264" s="106">
        <f t="shared" si="25"/>
        <v>42261</v>
      </c>
      <c r="E264" s="230">
        <v>42261</v>
      </c>
      <c r="F264" s="229">
        <v>20</v>
      </c>
      <c r="G264" s="229">
        <v>30.5</v>
      </c>
      <c r="H264" s="229">
        <v>13.9</v>
      </c>
      <c r="I264" s="229">
        <v>66.099999999999994</v>
      </c>
      <c r="J264" s="229">
        <v>89.9</v>
      </c>
      <c r="K264" s="229">
        <v>17.899999999999999</v>
      </c>
      <c r="L264" s="229">
        <v>19.59</v>
      </c>
      <c r="M264" s="229">
        <v>3.4</v>
      </c>
      <c r="N264" s="229">
        <v>14.9</v>
      </c>
      <c r="O264" s="229">
        <v>9.9</v>
      </c>
      <c r="P264" s="229">
        <v>0</v>
      </c>
      <c r="Q264" s="229">
        <v>6.3</v>
      </c>
      <c r="R264" s="122"/>
      <c r="S264" s="122">
        <f t="shared" si="28"/>
        <v>14</v>
      </c>
      <c r="T264" s="122">
        <f t="shared" si="29"/>
        <v>9</v>
      </c>
      <c r="U264" s="122">
        <f>YEAR(Inputs!$I$8)</f>
        <v>2015</v>
      </c>
      <c r="V264" s="72"/>
      <c r="W264" s="69">
        <v>42261</v>
      </c>
      <c r="X264" s="116">
        <v>18.399999999999999</v>
      </c>
      <c r="Y264" s="116">
        <v>25.1</v>
      </c>
      <c r="Z264" s="116">
        <v>13.3</v>
      </c>
      <c r="AA264" s="116">
        <v>58.2</v>
      </c>
      <c r="AB264" s="116">
        <v>83.6</v>
      </c>
      <c r="AC264" s="116">
        <v>30.9</v>
      </c>
      <c r="AD264" s="116">
        <v>21.23</v>
      </c>
      <c r="AE264" s="116">
        <v>3.3</v>
      </c>
      <c r="AF264" s="116">
        <v>8.9</v>
      </c>
      <c r="AG264" s="116">
        <v>10.6</v>
      </c>
      <c r="AH264" s="116">
        <v>0</v>
      </c>
      <c r="AI264" s="116">
        <v>5</v>
      </c>
    </row>
    <row r="265" spans="1:35" s="71" customFormat="1">
      <c r="A265" s="210">
        <f t="shared" si="30"/>
        <v>15</v>
      </c>
      <c r="B265" s="210">
        <f t="shared" si="31"/>
        <v>9</v>
      </c>
      <c r="C265" s="210">
        <f t="shared" si="27"/>
        <v>2015</v>
      </c>
      <c r="D265" s="106">
        <f t="shared" ref="D265:D328" si="32">DATE(C265,B265,A265)</f>
        <v>42262</v>
      </c>
      <c r="E265" s="230">
        <v>42262</v>
      </c>
      <c r="F265" s="229">
        <v>14.6</v>
      </c>
      <c r="G265" s="229">
        <v>19.7</v>
      </c>
      <c r="H265" s="229">
        <v>8.6</v>
      </c>
      <c r="I265" s="229">
        <v>57.1</v>
      </c>
      <c r="J265" s="229">
        <v>85</v>
      </c>
      <c r="K265" s="229">
        <v>32</v>
      </c>
      <c r="L265" s="229">
        <v>19.510000000000002</v>
      </c>
      <c r="M265" s="229">
        <v>3.6</v>
      </c>
      <c r="N265" s="229">
        <v>10.199999999999999</v>
      </c>
      <c r="O265" s="229">
        <v>11.1</v>
      </c>
      <c r="P265" s="229">
        <v>0</v>
      </c>
      <c r="Q265" s="229">
        <v>4.0999999999999996</v>
      </c>
      <c r="R265" s="122"/>
      <c r="S265" s="122">
        <f t="shared" si="28"/>
        <v>15</v>
      </c>
      <c r="T265" s="122">
        <f t="shared" si="29"/>
        <v>9</v>
      </c>
      <c r="U265" s="122">
        <f>YEAR(Inputs!$I$8)</f>
        <v>2015</v>
      </c>
      <c r="V265" s="72"/>
      <c r="W265" s="69">
        <v>42262</v>
      </c>
      <c r="X265" s="116">
        <v>18.100000000000001</v>
      </c>
      <c r="Y265" s="116">
        <v>25.2</v>
      </c>
      <c r="Z265" s="116">
        <v>10.3</v>
      </c>
      <c r="AA265" s="116">
        <v>60.1</v>
      </c>
      <c r="AB265" s="116">
        <v>90.7</v>
      </c>
      <c r="AC265" s="116">
        <v>34.9</v>
      </c>
      <c r="AD265" s="116">
        <v>19.010000000000002</v>
      </c>
      <c r="AE265" s="116">
        <v>2.5</v>
      </c>
      <c r="AF265" s="116">
        <v>8</v>
      </c>
      <c r="AG265" s="116">
        <v>10.4</v>
      </c>
      <c r="AH265" s="116">
        <v>0</v>
      </c>
      <c r="AI265" s="116">
        <v>4.2</v>
      </c>
    </row>
    <row r="266" spans="1:35" s="71" customFormat="1">
      <c r="A266" s="210">
        <f t="shared" si="30"/>
        <v>16</v>
      </c>
      <c r="B266" s="210">
        <f t="shared" si="31"/>
        <v>9</v>
      </c>
      <c r="C266" s="210">
        <f t="shared" ref="C266:C329" si="33">C265</f>
        <v>2015</v>
      </c>
      <c r="D266" s="106">
        <f t="shared" si="32"/>
        <v>42263</v>
      </c>
      <c r="E266" s="230">
        <v>42263</v>
      </c>
      <c r="F266" s="229">
        <v>13.5</v>
      </c>
      <c r="G266" s="229">
        <v>20</v>
      </c>
      <c r="H266" s="229">
        <v>6.4</v>
      </c>
      <c r="I266" s="229">
        <v>52.1</v>
      </c>
      <c r="J266" s="229">
        <v>77.099999999999994</v>
      </c>
      <c r="K266" s="229">
        <v>30</v>
      </c>
      <c r="L266" s="229">
        <v>15.84</v>
      </c>
      <c r="M266" s="229">
        <v>2.5</v>
      </c>
      <c r="N266" s="229">
        <v>9</v>
      </c>
      <c r="O266" s="229">
        <v>10.7</v>
      </c>
      <c r="P266" s="229">
        <v>0</v>
      </c>
      <c r="Q266" s="229">
        <v>3.6</v>
      </c>
      <c r="R266" s="122"/>
      <c r="S266" s="122">
        <f t="shared" ref="S266:S329" si="34">DAY(W266)</f>
        <v>16</v>
      </c>
      <c r="T266" s="122">
        <f t="shared" ref="T266:T329" si="35">MONTH(W266)</f>
        <v>9</v>
      </c>
      <c r="U266" s="122">
        <f>YEAR(Inputs!$I$8)</f>
        <v>2015</v>
      </c>
      <c r="V266" s="72"/>
      <c r="W266" s="69">
        <v>42263</v>
      </c>
      <c r="X266" s="116">
        <v>19.100000000000001</v>
      </c>
      <c r="Y266" s="116">
        <v>25.4</v>
      </c>
      <c r="Z266" s="116">
        <v>13.6</v>
      </c>
      <c r="AA266" s="116">
        <v>64.7</v>
      </c>
      <c r="AB266" s="116">
        <v>89</v>
      </c>
      <c r="AC266" s="116">
        <v>45.1</v>
      </c>
      <c r="AD266" s="116">
        <v>20.6</v>
      </c>
      <c r="AE266" s="116">
        <v>3.5</v>
      </c>
      <c r="AF266" s="116">
        <v>10</v>
      </c>
      <c r="AG266" s="116">
        <v>11.1</v>
      </c>
      <c r="AH266" s="116">
        <v>0</v>
      </c>
      <c r="AI266" s="116">
        <v>4.5</v>
      </c>
    </row>
    <row r="267" spans="1:35" s="71" customFormat="1">
      <c r="A267" s="210">
        <f t="shared" si="30"/>
        <v>17</v>
      </c>
      <c r="B267" s="210">
        <f t="shared" si="31"/>
        <v>9</v>
      </c>
      <c r="C267" s="210">
        <f t="shared" si="33"/>
        <v>2015</v>
      </c>
      <c r="D267" s="106">
        <f t="shared" si="32"/>
        <v>42264</v>
      </c>
      <c r="E267" s="230">
        <v>42264</v>
      </c>
      <c r="F267" s="229">
        <v>16</v>
      </c>
      <c r="G267" s="229">
        <v>24.7</v>
      </c>
      <c r="H267" s="229">
        <v>6.1</v>
      </c>
      <c r="I267" s="229">
        <v>53</v>
      </c>
      <c r="J267" s="229">
        <v>83.7</v>
      </c>
      <c r="K267" s="229">
        <v>27.3</v>
      </c>
      <c r="L267" s="229">
        <v>22.7</v>
      </c>
      <c r="M267" s="229">
        <v>2.8</v>
      </c>
      <c r="N267" s="229">
        <v>9.1999999999999993</v>
      </c>
      <c r="O267" s="229">
        <v>11.1</v>
      </c>
      <c r="P267" s="229">
        <v>0</v>
      </c>
      <c r="Q267" s="229">
        <v>4.8</v>
      </c>
      <c r="R267" s="122"/>
      <c r="S267" s="122">
        <f t="shared" si="34"/>
        <v>17</v>
      </c>
      <c r="T267" s="122">
        <f t="shared" si="35"/>
        <v>9</v>
      </c>
      <c r="U267" s="122">
        <f>YEAR(Inputs!$I$8)</f>
        <v>2015</v>
      </c>
      <c r="V267" s="72"/>
      <c r="W267" s="69">
        <v>42264</v>
      </c>
      <c r="X267" s="116">
        <v>15.3</v>
      </c>
      <c r="Y267" s="116">
        <v>20.9</v>
      </c>
      <c r="Z267" s="116">
        <v>9.1999999999999993</v>
      </c>
      <c r="AA267" s="116">
        <v>64.8</v>
      </c>
      <c r="AB267" s="116">
        <v>93.6</v>
      </c>
      <c r="AC267" s="116">
        <v>30.9</v>
      </c>
      <c r="AD267" s="116">
        <v>22.35</v>
      </c>
      <c r="AE267" s="116">
        <v>3.3</v>
      </c>
      <c r="AF267" s="116">
        <v>8.9</v>
      </c>
      <c r="AG267" s="116">
        <v>11</v>
      </c>
      <c r="AH267" s="116">
        <v>0.2</v>
      </c>
      <c r="AI267" s="116">
        <v>4.3</v>
      </c>
    </row>
    <row r="268" spans="1:35" s="71" customFormat="1">
      <c r="A268" s="210">
        <f t="shared" si="30"/>
        <v>18</v>
      </c>
      <c r="B268" s="210">
        <f t="shared" si="31"/>
        <v>9</v>
      </c>
      <c r="C268" s="210">
        <f t="shared" si="33"/>
        <v>2015</v>
      </c>
      <c r="D268" s="106">
        <f t="shared" si="32"/>
        <v>42265</v>
      </c>
      <c r="E268" s="230">
        <v>42265</v>
      </c>
      <c r="F268" s="229">
        <v>17.100000000000001</v>
      </c>
      <c r="G268" s="229">
        <v>25</v>
      </c>
      <c r="H268" s="229">
        <v>7.5</v>
      </c>
      <c r="I268" s="229">
        <v>51.5</v>
      </c>
      <c r="J268" s="229">
        <v>81.099999999999994</v>
      </c>
      <c r="K268" s="229">
        <v>29.9</v>
      </c>
      <c r="L268" s="229">
        <v>19.510000000000002</v>
      </c>
      <c r="M268" s="229">
        <v>2</v>
      </c>
      <c r="N268" s="229">
        <v>4.8</v>
      </c>
      <c r="O268" s="229">
        <v>10.9</v>
      </c>
      <c r="P268" s="229">
        <v>0</v>
      </c>
      <c r="Q268" s="229">
        <v>4.0999999999999996</v>
      </c>
      <c r="R268" s="122"/>
      <c r="S268" s="122">
        <f t="shared" si="34"/>
        <v>18</v>
      </c>
      <c r="T268" s="122">
        <f t="shared" si="35"/>
        <v>9</v>
      </c>
      <c r="U268" s="122">
        <f>YEAR(Inputs!$I$8)</f>
        <v>2015</v>
      </c>
      <c r="V268" s="72"/>
      <c r="W268" s="69">
        <v>42265</v>
      </c>
      <c r="X268" s="116">
        <v>15.5</v>
      </c>
      <c r="Y268" s="116">
        <v>24.2</v>
      </c>
      <c r="Z268" s="116">
        <v>5.8</v>
      </c>
      <c r="AA268" s="116">
        <v>65.8</v>
      </c>
      <c r="AB268" s="116">
        <v>90.4</v>
      </c>
      <c r="AC268" s="116">
        <v>33.5</v>
      </c>
      <c r="AD268" s="116">
        <v>20.29</v>
      </c>
      <c r="AE268" s="116">
        <v>1.8</v>
      </c>
      <c r="AF268" s="116">
        <v>6.2</v>
      </c>
      <c r="AG268" s="116">
        <v>10.9</v>
      </c>
      <c r="AH268" s="116">
        <v>0</v>
      </c>
      <c r="AI268" s="116">
        <v>3.8</v>
      </c>
    </row>
    <row r="269" spans="1:35" s="71" customFormat="1">
      <c r="A269" s="210">
        <f t="shared" si="30"/>
        <v>19</v>
      </c>
      <c r="B269" s="210">
        <f t="shared" si="31"/>
        <v>9</v>
      </c>
      <c r="C269" s="210">
        <f t="shared" si="33"/>
        <v>2015</v>
      </c>
      <c r="D269" s="106">
        <f t="shared" si="32"/>
        <v>42266</v>
      </c>
      <c r="E269" s="230">
        <v>42266</v>
      </c>
      <c r="F269" s="229">
        <v>15.9</v>
      </c>
      <c r="G269" s="229">
        <v>24.5</v>
      </c>
      <c r="H269" s="229">
        <v>7</v>
      </c>
      <c r="I269" s="229">
        <v>48.1</v>
      </c>
      <c r="J269" s="229">
        <v>77.099999999999994</v>
      </c>
      <c r="K269" s="229">
        <v>24.4</v>
      </c>
      <c r="L269" s="229">
        <v>22.34</v>
      </c>
      <c r="M269" s="229">
        <v>2.1</v>
      </c>
      <c r="N269" s="229">
        <v>7.9</v>
      </c>
      <c r="O269" s="229">
        <v>10.9</v>
      </c>
      <c r="P269" s="229">
        <v>0</v>
      </c>
      <c r="Q269" s="229">
        <v>4.4000000000000004</v>
      </c>
      <c r="R269" s="122"/>
      <c r="S269" s="122">
        <f t="shared" si="34"/>
        <v>19</v>
      </c>
      <c r="T269" s="122">
        <f t="shared" si="35"/>
        <v>9</v>
      </c>
      <c r="U269" s="122">
        <f>YEAR(Inputs!$I$8)</f>
        <v>2015</v>
      </c>
      <c r="V269" s="72"/>
      <c r="W269" s="69">
        <v>42266</v>
      </c>
      <c r="X269" s="116">
        <v>17.3</v>
      </c>
      <c r="Y269" s="116">
        <v>24.8</v>
      </c>
      <c r="Z269" s="116">
        <v>9.3000000000000007</v>
      </c>
      <c r="AA269" s="116">
        <v>71.8</v>
      </c>
      <c r="AB269" s="116">
        <v>99.2</v>
      </c>
      <c r="AC269" s="116">
        <v>36.6</v>
      </c>
      <c r="AD269" s="116">
        <v>21.16</v>
      </c>
      <c r="AE269" s="116">
        <v>1.4</v>
      </c>
      <c r="AF269" s="116">
        <v>5.8</v>
      </c>
      <c r="AG269" s="116">
        <v>10.7</v>
      </c>
      <c r="AH269" s="116">
        <v>0</v>
      </c>
      <c r="AI269" s="116">
        <v>3.6</v>
      </c>
    </row>
    <row r="270" spans="1:35" s="71" customFormat="1">
      <c r="A270" s="210">
        <f t="shared" si="30"/>
        <v>20</v>
      </c>
      <c r="B270" s="210">
        <f t="shared" si="31"/>
        <v>9</v>
      </c>
      <c r="C270" s="210">
        <f t="shared" si="33"/>
        <v>2015</v>
      </c>
      <c r="D270" s="106">
        <f t="shared" si="32"/>
        <v>42267</v>
      </c>
      <c r="E270" s="230">
        <v>42267</v>
      </c>
      <c r="F270" s="229">
        <v>16.600000000000001</v>
      </c>
      <c r="G270" s="229">
        <v>25.8</v>
      </c>
      <c r="H270" s="229">
        <v>5.8</v>
      </c>
      <c r="I270" s="229">
        <v>42.4</v>
      </c>
      <c r="J270" s="229">
        <v>74.599999999999994</v>
      </c>
      <c r="K270" s="229">
        <v>17.600000000000001</v>
      </c>
      <c r="L270" s="229">
        <v>22.47</v>
      </c>
      <c r="M270" s="229">
        <v>2</v>
      </c>
      <c r="N270" s="229">
        <v>7.6</v>
      </c>
      <c r="O270" s="229">
        <v>10.9</v>
      </c>
      <c r="P270" s="229">
        <v>0</v>
      </c>
      <c r="Q270" s="229">
        <v>4.5999999999999996</v>
      </c>
      <c r="R270" s="122"/>
      <c r="S270" s="122">
        <f t="shared" si="34"/>
        <v>20</v>
      </c>
      <c r="T270" s="122">
        <f t="shared" si="35"/>
        <v>9</v>
      </c>
      <c r="U270" s="122">
        <f>YEAR(Inputs!$I$8)</f>
        <v>2015</v>
      </c>
      <c r="V270" s="72"/>
      <c r="W270" s="69">
        <v>42267</v>
      </c>
      <c r="X270" s="116">
        <v>18.2</v>
      </c>
      <c r="Y270" s="116">
        <v>28</v>
      </c>
      <c r="Z270" s="116">
        <v>10</v>
      </c>
      <c r="AA270" s="116">
        <v>64.7</v>
      </c>
      <c r="AB270" s="116">
        <v>98.7</v>
      </c>
      <c r="AC270" s="116">
        <v>21.6</v>
      </c>
      <c r="AD270" s="116">
        <v>20.8</v>
      </c>
      <c r="AE270" s="116">
        <v>1.5</v>
      </c>
      <c r="AF270" s="116">
        <v>7.1</v>
      </c>
      <c r="AG270" s="116">
        <v>10.8</v>
      </c>
      <c r="AH270" s="116">
        <v>0.2</v>
      </c>
      <c r="AI270" s="116">
        <v>4.2</v>
      </c>
    </row>
    <row r="271" spans="1:35" s="71" customFormat="1">
      <c r="A271" s="210">
        <f t="shared" si="30"/>
        <v>21</v>
      </c>
      <c r="B271" s="210">
        <f t="shared" si="31"/>
        <v>9</v>
      </c>
      <c r="C271" s="210">
        <f t="shared" si="33"/>
        <v>2015</v>
      </c>
      <c r="D271" s="106">
        <f t="shared" si="32"/>
        <v>42268</v>
      </c>
      <c r="E271" s="230">
        <v>42268</v>
      </c>
      <c r="F271" s="229">
        <v>18</v>
      </c>
      <c r="G271" s="229">
        <v>28.1</v>
      </c>
      <c r="H271" s="229">
        <v>8.8000000000000007</v>
      </c>
      <c r="I271" s="229">
        <v>47.6</v>
      </c>
      <c r="J271" s="229">
        <v>80.3</v>
      </c>
      <c r="K271" s="229">
        <v>20.399999999999999</v>
      </c>
      <c r="L271" s="229">
        <v>18.100000000000001</v>
      </c>
      <c r="M271" s="229">
        <v>1.6</v>
      </c>
      <c r="N271" s="229">
        <v>8.9</v>
      </c>
      <c r="O271" s="229">
        <v>10.5</v>
      </c>
      <c r="P271" s="229">
        <v>0</v>
      </c>
      <c r="Q271" s="229">
        <v>4.0999999999999996</v>
      </c>
      <c r="R271" s="122"/>
      <c r="S271" s="122">
        <f t="shared" si="34"/>
        <v>21</v>
      </c>
      <c r="T271" s="122">
        <f t="shared" si="35"/>
        <v>9</v>
      </c>
      <c r="U271" s="122">
        <f>YEAR(Inputs!$I$8)</f>
        <v>2015</v>
      </c>
      <c r="V271" s="72"/>
      <c r="W271" s="69">
        <v>42268</v>
      </c>
      <c r="X271" s="116">
        <v>19.600000000000001</v>
      </c>
      <c r="Y271" s="116">
        <v>29.8</v>
      </c>
      <c r="Z271" s="116">
        <v>9</v>
      </c>
      <c r="AA271" s="116">
        <v>52.5</v>
      </c>
      <c r="AB271" s="116">
        <v>87.7</v>
      </c>
      <c r="AC271" s="116">
        <v>25</v>
      </c>
      <c r="AD271" s="116">
        <v>20.64</v>
      </c>
      <c r="AE271" s="116">
        <v>1.9</v>
      </c>
      <c r="AF271" s="116">
        <v>8.6999999999999993</v>
      </c>
      <c r="AG271" s="116">
        <v>10.3</v>
      </c>
      <c r="AH271" s="116">
        <v>0</v>
      </c>
      <c r="AI271" s="116">
        <v>4.5999999999999996</v>
      </c>
    </row>
    <row r="272" spans="1:35" s="71" customFormat="1">
      <c r="A272" s="210">
        <f t="shared" si="30"/>
        <v>22</v>
      </c>
      <c r="B272" s="210">
        <f t="shared" si="31"/>
        <v>9</v>
      </c>
      <c r="C272" s="210">
        <f t="shared" si="33"/>
        <v>2015</v>
      </c>
      <c r="D272" s="106">
        <f t="shared" si="32"/>
        <v>42269</v>
      </c>
      <c r="E272" s="230">
        <v>42269</v>
      </c>
      <c r="F272" s="229">
        <v>19</v>
      </c>
      <c r="G272" s="229">
        <v>29.1</v>
      </c>
      <c r="H272" s="229">
        <v>8.8000000000000007</v>
      </c>
      <c r="I272" s="229">
        <v>55.2</v>
      </c>
      <c r="J272" s="229">
        <v>97.3</v>
      </c>
      <c r="K272" s="229">
        <v>18.8</v>
      </c>
      <c r="L272" s="229">
        <v>21.04</v>
      </c>
      <c r="M272" s="229">
        <v>1.2</v>
      </c>
      <c r="N272" s="229">
        <v>7.6</v>
      </c>
      <c r="O272" s="229">
        <v>10.5</v>
      </c>
      <c r="P272" s="229">
        <v>0</v>
      </c>
      <c r="Q272" s="229">
        <v>3.9</v>
      </c>
      <c r="R272" s="122"/>
      <c r="S272" s="122">
        <f t="shared" si="34"/>
        <v>22</v>
      </c>
      <c r="T272" s="122">
        <f t="shared" si="35"/>
        <v>9</v>
      </c>
      <c r="U272" s="122">
        <f>YEAR(Inputs!$I$8)</f>
        <v>2015</v>
      </c>
      <c r="V272" s="72"/>
      <c r="W272" s="69">
        <v>42269</v>
      </c>
      <c r="X272" s="116">
        <v>20.7</v>
      </c>
      <c r="Y272" s="116">
        <v>30</v>
      </c>
      <c r="Z272" s="116">
        <v>11</v>
      </c>
      <c r="AA272" s="116">
        <v>39.6</v>
      </c>
      <c r="AB272" s="116">
        <v>74.599999999999994</v>
      </c>
      <c r="AC272" s="116">
        <v>10.8</v>
      </c>
      <c r="AD272" s="116">
        <v>21.79</v>
      </c>
      <c r="AE272" s="116">
        <v>3.3</v>
      </c>
      <c r="AF272" s="116">
        <v>10.3</v>
      </c>
      <c r="AG272" s="116">
        <v>10.8</v>
      </c>
      <c r="AH272" s="116">
        <v>0</v>
      </c>
      <c r="AI272" s="116">
        <v>6.4</v>
      </c>
    </row>
    <row r="273" spans="1:35" s="71" customFormat="1">
      <c r="A273" s="210">
        <f t="shared" si="30"/>
        <v>23</v>
      </c>
      <c r="B273" s="210">
        <f t="shared" si="31"/>
        <v>9</v>
      </c>
      <c r="C273" s="210">
        <f t="shared" si="33"/>
        <v>2015</v>
      </c>
      <c r="D273" s="106">
        <f t="shared" si="32"/>
        <v>42270</v>
      </c>
      <c r="E273" s="230">
        <v>42270</v>
      </c>
      <c r="F273" s="229">
        <v>19.5</v>
      </c>
      <c r="G273" s="229">
        <v>28.7</v>
      </c>
      <c r="H273" s="229">
        <v>6.9</v>
      </c>
      <c r="I273" s="229">
        <v>44.8</v>
      </c>
      <c r="J273" s="229">
        <v>81</v>
      </c>
      <c r="K273" s="229">
        <v>17.100000000000001</v>
      </c>
      <c r="L273" s="229">
        <v>20.83</v>
      </c>
      <c r="M273" s="229">
        <v>1.4</v>
      </c>
      <c r="N273" s="229">
        <v>7.2</v>
      </c>
      <c r="O273" s="229">
        <v>10.6</v>
      </c>
      <c r="P273" s="229">
        <v>0</v>
      </c>
      <c r="Q273" s="229">
        <v>4</v>
      </c>
      <c r="R273" s="122"/>
      <c r="S273" s="122">
        <f t="shared" si="34"/>
        <v>23</v>
      </c>
      <c r="T273" s="122">
        <f t="shared" si="35"/>
        <v>9</v>
      </c>
      <c r="U273" s="122">
        <f>YEAR(Inputs!$I$8)</f>
        <v>2015</v>
      </c>
      <c r="V273" s="72"/>
      <c r="W273" s="69">
        <v>42270</v>
      </c>
      <c r="X273" s="116">
        <v>18.899999999999999</v>
      </c>
      <c r="Y273" s="116">
        <v>27.5</v>
      </c>
      <c r="Z273" s="116">
        <v>11.3</v>
      </c>
      <c r="AA273" s="116">
        <v>44.4</v>
      </c>
      <c r="AB273" s="116">
        <v>64.599999999999994</v>
      </c>
      <c r="AC273" s="116">
        <v>21</v>
      </c>
      <c r="AD273" s="116">
        <v>20.93</v>
      </c>
      <c r="AE273" s="116">
        <v>2.9</v>
      </c>
      <c r="AF273" s="116">
        <v>7.7</v>
      </c>
      <c r="AG273" s="116">
        <v>10.7</v>
      </c>
      <c r="AH273" s="116">
        <v>0</v>
      </c>
      <c r="AI273" s="116">
        <v>5.5</v>
      </c>
    </row>
    <row r="274" spans="1:35" s="71" customFormat="1">
      <c r="A274" s="210">
        <f t="shared" si="30"/>
        <v>24</v>
      </c>
      <c r="B274" s="210">
        <f t="shared" si="31"/>
        <v>9</v>
      </c>
      <c r="C274" s="210">
        <f t="shared" si="33"/>
        <v>2015</v>
      </c>
      <c r="D274" s="106">
        <f t="shared" si="32"/>
        <v>42271</v>
      </c>
      <c r="E274" s="230">
        <v>42271</v>
      </c>
      <c r="F274" s="229">
        <v>18.7</v>
      </c>
      <c r="G274" s="229">
        <v>27.7</v>
      </c>
      <c r="H274" s="229">
        <v>10.4</v>
      </c>
      <c r="I274" s="229">
        <v>64</v>
      </c>
      <c r="J274" s="229">
        <v>96.8</v>
      </c>
      <c r="K274" s="229">
        <v>21.5</v>
      </c>
      <c r="L274" s="229">
        <v>18.760000000000002</v>
      </c>
      <c r="M274" s="229">
        <v>1.7</v>
      </c>
      <c r="N274" s="229">
        <v>9.4</v>
      </c>
      <c r="O274" s="229">
        <v>10.3</v>
      </c>
      <c r="P274" s="229">
        <v>0</v>
      </c>
      <c r="Q274" s="229">
        <v>4</v>
      </c>
      <c r="R274" s="122"/>
      <c r="S274" s="122">
        <f t="shared" si="34"/>
        <v>24</v>
      </c>
      <c r="T274" s="122">
        <f t="shared" si="35"/>
        <v>9</v>
      </c>
      <c r="U274" s="122">
        <f>YEAR(Inputs!$I$8)</f>
        <v>2015</v>
      </c>
      <c r="V274" s="72"/>
      <c r="W274" s="69">
        <v>42271</v>
      </c>
      <c r="X274" s="116">
        <v>16.399999999999999</v>
      </c>
      <c r="Y274" s="116">
        <v>25.2</v>
      </c>
      <c r="Z274" s="116">
        <v>8.3000000000000007</v>
      </c>
      <c r="AA274" s="116">
        <v>56.4</v>
      </c>
      <c r="AB274" s="116">
        <v>82.6</v>
      </c>
      <c r="AC274" s="116">
        <v>29.6</v>
      </c>
      <c r="AD274" s="116">
        <v>20.34</v>
      </c>
      <c r="AE274" s="116">
        <v>0.8</v>
      </c>
      <c r="AF274" s="116">
        <v>3.1</v>
      </c>
      <c r="AG274" s="116">
        <v>10.6</v>
      </c>
      <c r="AH274" s="116">
        <v>0</v>
      </c>
      <c r="AI274" s="116">
        <v>3.2</v>
      </c>
    </row>
    <row r="275" spans="1:35" s="71" customFormat="1">
      <c r="A275" s="210">
        <f t="shared" si="30"/>
        <v>25</v>
      </c>
      <c r="B275" s="210">
        <f t="shared" si="31"/>
        <v>9</v>
      </c>
      <c r="C275" s="210">
        <f t="shared" si="33"/>
        <v>2015</v>
      </c>
      <c r="D275" s="106">
        <f t="shared" si="32"/>
        <v>42272</v>
      </c>
      <c r="E275" s="230">
        <v>42272</v>
      </c>
      <c r="F275" s="229">
        <v>19.5</v>
      </c>
      <c r="G275" s="229">
        <v>27.7</v>
      </c>
      <c r="H275" s="229">
        <v>11.8</v>
      </c>
      <c r="I275" s="229">
        <v>59</v>
      </c>
      <c r="J275" s="229">
        <v>88.7</v>
      </c>
      <c r="K275" s="229">
        <v>24.8</v>
      </c>
      <c r="L275" s="229">
        <v>18.39</v>
      </c>
      <c r="M275" s="229">
        <v>2</v>
      </c>
      <c r="N275" s="229">
        <v>6.5</v>
      </c>
      <c r="O275" s="229">
        <v>10.3</v>
      </c>
      <c r="P275" s="229">
        <v>0</v>
      </c>
      <c r="Q275" s="229">
        <v>4.2</v>
      </c>
      <c r="R275" s="122"/>
      <c r="S275" s="122">
        <f t="shared" si="34"/>
        <v>25</v>
      </c>
      <c r="T275" s="122">
        <f t="shared" si="35"/>
        <v>9</v>
      </c>
      <c r="U275" s="122">
        <f>YEAR(Inputs!$I$8)</f>
        <v>2015</v>
      </c>
      <c r="V275" s="72"/>
      <c r="W275" s="69">
        <v>42272</v>
      </c>
      <c r="X275" s="116">
        <v>17.399999999999999</v>
      </c>
      <c r="Y275" s="116">
        <v>28.4</v>
      </c>
      <c r="Z275" s="116">
        <v>6.7</v>
      </c>
      <c r="AA275" s="116">
        <v>49.1</v>
      </c>
      <c r="AB275" s="116">
        <v>80</v>
      </c>
      <c r="AC275" s="116">
        <v>16.2</v>
      </c>
      <c r="AD275" s="116">
        <v>19.77</v>
      </c>
      <c r="AE275" s="116">
        <v>1.1000000000000001</v>
      </c>
      <c r="AF275" s="116">
        <v>4.5</v>
      </c>
      <c r="AG275" s="116">
        <v>10.1</v>
      </c>
      <c r="AH275" s="116">
        <v>0</v>
      </c>
      <c r="AI275" s="116">
        <v>3.6</v>
      </c>
    </row>
    <row r="276" spans="1:35" s="71" customFormat="1">
      <c r="A276" s="210">
        <f t="shared" si="30"/>
        <v>26</v>
      </c>
      <c r="B276" s="210">
        <f t="shared" si="31"/>
        <v>9</v>
      </c>
      <c r="C276" s="210">
        <f t="shared" si="33"/>
        <v>2015</v>
      </c>
      <c r="D276" s="106">
        <f t="shared" si="32"/>
        <v>42273</v>
      </c>
      <c r="E276" s="230">
        <v>42273</v>
      </c>
      <c r="F276" s="229">
        <v>20.8</v>
      </c>
      <c r="G276" s="229">
        <v>28.1</v>
      </c>
      <c r="H276" s="229">
        <v>14.1</v>
      </c>
      <c r="I276" s="229">
        <v>59.4</v>
      </c>
      <c r="J276" s="229">
        <v>92.8</v>
      </c>
      <c r="K276" s="229">
        <v>22.5</v>
      </c>
      <c r="L276" s="229">
        <v>18.059999999999999</v>
      </c>
      <c r="M276" s="229">
        <v>2.1</v>
      </c>
      <c r="N276" s="229">
        <v>5.8</v>
      </c>
      <c r="O276" s="229">
        <v>9.9</v>
      </c>
      <c r="P276" s="229">
        <v>0</v>
      </c>
      <c r="Q276" s="229">
        <v>4.3</v>
      </c>
      <c r="R276" s="122"/>
      <c r="S276" s="122">
        <f t="shared" si="34"/>
        <v>26</v>
      </c>
      <c r="T276" s="122">
        <f t="shared" si="35"/>
        <v>9</v>
      </c>
      <c r="U276" s="122">
        <f>YEAR(Inputs!$I$8)</f>
        <v>2015</v>
      </c>
      <c r="V276" s="72"/>
      <c r="W276" s="69">
        <v>42273</v>
      </c>
      <c r="X276" s="116">
        <v>18</v>
      </c>
      <c r="Y276" s="116">
        <v>28.8</v>
      </c>
      <c r="Z276" s="116">
        <v>7.8</v>
      </c>
      <c r="AA276" s="116">
        <v>51.2</v>
      </c>
      <c r="AB276" s="116">
        <v>86</v>
      </c>
      <c r="AC276" s="116">
        <v>14.9</v>
      </c>
      <c r="AD276" s="116">
        <v>19.62</v>
      </c>
      <c r="AE276" s="116">
        <v>1.2</v>
      </c>
      <c r="AF276" s="116">
        <v>7.1</v>
      </c>
      <c r="AG276" s="116">
        <v>10.4</v>
      </c>
      <c r="AH276" s="116">
        <v>0</v>
      </c>
      <c r="AI276" s="116">
        <v>3.8</v>
      </c>
    </row>
    <row r="277" spans="1:35" s="71" customFormat="1">
      <c r="A277" s="210">
        <f t="shared" si="30"/>
        <v>27</v>
      </c>
      <c r="B277" s="210">
        <f t="shared" si="31"/>
        <v>9</v>
      </c>
      <c r="C277" s="210">
        <f t="shared" si="33"/>
        <v>2015</v>
      </c>
      <c r="D277" s="106">
        <f t="shared" si="32"/>
        <v>42274</v>
      </c>
      <c r="E277" s="230">
        <v>42274</v>
      </c>
      <c r="F277" s="229">
        <v>20.8</v>
      </c>
      <c r="G277" s="229">
        <v>26.8</v>
      </c>
      <c r="H277" s="229">
        <v>16.7</v>
      </c>
      <c r="I277" s="229">
        <v>63.5</v>
      </c>
      <c r="J277" s="229">
        <v>84.4</v>
      </c>
      <c r="K277" s="229">
        <v>33.799999999999997</v>
      </c>
      <c r="L277" s="229">
        <v>16.18</v>
      </c>
      <c r="M277" s="229">
        <v>2.5</v>
      </c>
      <c r="N277" s="229">
        <v>6.6</v>
      </c>
      <c r="O277" s="229">
        <v>9.3000000000000007</v>
      </c>
      <c r="P277" s="229">
        <v>0</v>
      </c>
      <c r="Q277" s="229">
        <v>4.2</v>
      </c>
      <c r="R277" s="122"/>
      <c r="S277" s="122">
        <f t="shared" si="34"/>
        <v>27</v>
      </c>
      <c r="T277" s="122">
        <f t="shared" si="35"/>
        <v>9</v>
      </c>
      <c r="U277" s="122">
        <f>YEAR(Inputs!$I$8)</f>
        <v>2015</v>
      </c>
      <c r="V277" s="72"/>
      <c r="W277" s="69">
        <v>42274</v>
      </c>
      <c r="X277" s="116">
        <v>17.2</v>
      </c>
      <c r="Y277" s="116">
        <v>27.7</v>
      </c>
      <c r="Z277" s="116">
        <v>11.6</v>
      </c>
      <c r="AA277" s="116">
        <v>60.3</v>
      </c>
      <c r="AB277" s="116">
        <v>85.6</v>
      </c>
      <c r="AC277" s="116">
        <v>21.2</v>
      </c>
      <c r="AD277" s="116">
        <v>18.66</v>
      </c>
      <c r="AE277" s="116">
        <v>2</v>
      </c>
      <c r="AF277" s="116">
        <v>9.3000000000000007</v>
      </c>
      <c r="AG277" s="116">
        <v>10.1</v>
      </c>
      <c r="AH277" s="116">
        <v>0</v>
      </c>
      <c r="AI277" s="116">
        <v>4.4000000000000004</v>
      </c>
    </row>
    <row r="278" spans="1:35" s="71" customFormat="1">
      <c r="A278" s="210">
        <f t="shared" si="30"/>
        <v>28</v>
      </c>
      <c r="B278" s="210">
        <f t="shared" si="31"/>
        <v>9</v>
      </c>
      <c r="C278" s="210">
        <f t="shared" si="33"/>
        <v>2015</v>
      </c>
      <c r="D278" s="106">
        <f t="shared" si="32"/>
        <v>42275</v>
      </c>
      <c r="E278" s="230">
        <v>42275</v>
      </c>
      <c r="F278" s="229">
        <v>20.2</v>
      </c>
      <c r="G278" s="229">
        <v>26.7</v>
      </c>
      <c r="H278" s="229">
        <v>14.8</v>
      </c>
      <c r="I278" s="229">
        <v>67.2</v>
      </c>
      <c r="J278" s="229">
        <v>96.3</v>
      </c>
      <c r="K278" s="229">
        <v>30</v>
      </c>
      <c r="L278" s="229">
        <v>18.149999999999999</v>
      </c>
      <c r="M278" s="229">
        <v>1.9</v>
      </c>
      <c r="N278" s="229">
        <v>5.5</v>
      </c>
      <c r="O278" s="229">
        <v>10.1</v>
      </c>
      <c r="P278" s="229">
        <v>0</v>
      </c>
      <c r="Q278" s="229">
        <v>3.8</v>
      </c>
      <c r="R278" s="122"/>
      <c r="S278" s="122">
        <f t="shared" si="34"/>
        <v>28</v>
      </c>
      <c r="T278" s="122">
        <f t="shared" si="35"/>
        <v>9</v>
      </c>
      <c r="U278" s="122">
        <f>YEAR(Inputs!$I$8)</f>
        <v>2015</v>
      </c>
      <c r="V278" s="72"/>
      <c r="W278" s="69">
        <v>42275</v>
      </c>
      <c r="X278" s="116">
        <v>15.2</v>
      </c>
      <c r="Y278" s="116">
        <v>22.5</v>
      </c>
      <c r="Z278" s="116">
        <v>8.8000000000000007</v>
      </c>
      <c r="AA278" s="116">
        <v>74.5</v>
      </c>
      <c r="AB278" s="116">
        <v>100</v>
      </c>
      <c r="AC278" s="116">
        <v>42</v>
      </c>
      <c r="AD278" s="116">
        <v>17.47</v>
      </c>
      <c r="AE278" s="116">
        <v>2.2999999999999998</v>
      </c>
      <c r="AF278" s="116">
        <v>7.3</v>
      </c>
      <c r="AG278" s="116">
        <v>9.3000000000000007</v>
      </c>
      <c r="AH278" s="116">
        <v>0.2</v>
      </c>
      <c r="AI278" s="116">
        <v>3.2</v>
      </c>
    </row>
    <row r="279" spans="1:35" s="71" customFormat="1">
      <c r="A279" s="210">
        <f t="shared" si="30"/>
        <v>29</v>
      </c>
      <c r="B279" s="210">
        <f t="shared" si="31"/>
        <v>9</v>
      </c>
      <c r="C279" s="210">
        <f t="shared" si="33"/>
        <v>2015</v>
      </c>
      <c r="D279" s="106">
        <f t="shared" si="32"/>
        <v>42276</v>
      </c>
      <c r="E279" s="230">
        <v>42276</v>
      </c>
      <c r="F279" s="229">
        <v>17.600000000000001</v>
      </c>
      <c r="G279" s="229">
        <v>22.5</v>
      </c>
      <c r="H279" s="229">
        <v>13.7</v>
      </c>
      <c r="I279" s="229">
        <v>70.5</v>
      </c>
      <c r="J279" s="229">
        <v>90.4</v>
      </c>
      <c r="K279" s="229">
        <v>40.700000000000003</v>
      </c>
      <c r="L279" s="229">
        <v>13.03</v>
      </c>
      <c r="M279" s="229">
        <v>4.0999999999999996</v>
      </c>
      <c r="N279" s="229">
        <v>10.1</v>
      </c>
      <c r="O279" s="229">
        <v>9.6999999999999993</v>
      </c>
      <c r="P279" s="229">
        <v>0</v>
      </c>
      <c r="Q279" s="229">
        <v>3.8</v>
      </c>
      <c r="R279" s="122"/>
      <c r="S279" s="122">
        <f t="shared" si="34"/>
        <v>29</v>
      </c>
      <c r="T279" s="122">
        <f t="shared" si="35"/>
        <v>9</v>
      </c>
      <c r="U279" s="122">
        <f>YEAR(Inputs!$I$8)</f>
        <v>2015</v>
      </c>
      <c r="V279" s="72"/>
      <c r="W279" s="69">
        <v>42276</v>
      </c>
      <c r="X279" s="116">
        <v>14</v>
      </c>
      <c r="Y279" s="116">
        <v>20.7</v>
      </c>
      <c r="Z279" s="116">
        <v>8.1</v>
      </c>
      <c r="AA279" s="116">
        <v>78.900000000000006</v>
      </c>
      <c r="AB279" s="116">
        <v>99.6</v>
      </c>
      <c r="AC279" s="116">
        <v>47.1</v>
      </c>
      <c r="AD279" s="116">
        <v>12.94</v>
      </c>
      <c r="AE279" s="116">
        <v>1.6</v>
      </c>
      <c r="AF279" s="116">
        <v>5.3</v>
      </c>
      <c r="AG279" s="116">
        <v>9.1999999999999993</v>
      </c>
      <c r="AH279" s="116">
        <v>0</v>
      </c>
      <c r="AI279" s="116">
        <v>2.4</v>
      </c>
    </row>
    <row r="280" spans="1:35" s="71" customFormat="1">
      <c r="A280" s="210">
        <f t="shared" si="30"/>
        <v>30</v>
      </c>
      <c r="B280" s="210">
        <f t="shared" si="31"/>
        <v>9</v>
      </c>
      <c r="C280" s="210">
        <f t="shared" si="33"/>
        <v>2015</v>
      </c>
      <c r="D280" s="106">
        <f t="shared" si="32"/>
        <v>42277</v>
      </c>
      <c r="E280" s="230">
        <v>42277</v>
      </c>
      <c r="F280" s="229">
        <v>17.600000000000001</v>
      </c>
      <c r="G280" s="229">
        <v>25.2</v>
      </c>
      <c r="H280" s="229">
        <v>10.7</v>
      </c>
      <c r="I280" s="229">
        <v>68.7</v>
      </c>
      <c r="J280" s="229">
        <v>94.6</v>
      </c>
      <c r="K280" s="229">
        <v>32.799999999999997</v>
      </c>
      <c r="L280" s="229">
        <v>18.05</v>
      </c>
      <c r="M280" s="229">
        <v>2.2999999999999998</v>
      </c>
      <c r="N280" s="229">
        <v>7.6</v>
      </c>
      <c r="O280" s="229">
        <v>9.9</v>
      </c>
      <c r="P280" s="229">
        <v>0</v>
      </c>
      <c r="Q280" s="229">
        <v>3.8</v>
      </c>
      <c r="R280" s="122"/>
      <c r="S280" s="122">
        <f t="shared" si="34"/>
        <v>30</v>
      </c>
      <c r="T280" s="122">
        <f t="shared" si="35"/>
        <v>9</v>
      </c>
      <c r="U280" s="122">
        <f>YEAR(Inputs!$I$8)</f>
        <v>2015</v>
      </c>
      <c r="V280" s="72"/>
      <c r="W280" s="69">
        <v>42277</v>
      </c>
      <c r="X280" s="116">
        <v>16</v>
      </c>
      <c r="Y280" s="116">
        <v>23.6</v>
      </c>
      <c r="Z280" s="116">
        <v>10.7</v>
      </c>
      <c r="AA280" s="116">
        <v>71.599999999999994</v>
      </c>
      <c r="AB280" s="116">
        <v>97</v>
      </c>
      <c r="AC280" s="116">
        <v>33.9</v>
      </c>
      <c r="AD280" s="116">
        <v>16.62</v>
      </c>
      <c r="AE280" s="116">
        <v>1</v>
      </c>
      <c r="AF280" s="116">
        <v>4.4000000000000004</v>
      </c>
      <c r="AG280" s="116">
        <v>9.6</v>
      </c>
      <c r="AH280" s="116">
        <v>0</v>
      </c>
      <c r="AI280" s="116">
        <v>2.8</v>
      </c>
    </row>
    <row r="281" spans="1:35" s="71" customFormat="1">
      <c r="A281" s="210">
        <f t="shared" si="30"/>
        <v>1</v>
      </c>
      <c r="B281" s="210">
        <f t="shared" si="31"/>
        <v>10</v>
      </c>
      <c r="C281" s="210">
        <f t="shared" si="33"/>
        <v>2015</v>
      </c>
      <c r="D281" s="106">
        <f t="shared" si="32"/>
        <v>42278</v>
      </c>
      <c r="E281" s="230">
        <v>42278</v>
      </c>
      <c r="F281" s="229">
        <v>16.5</v>
      </c>
      <c r="G281" s="229">
        <v>25</v>
      </c>
      <c r="H281" s="229">
        <v>10.3</v>
      </c>
      <c r="I281" s="229">
        <v>67.400000000000006</v>
      </c>
      <c r="J281" s="229">
        <v>97.5</v>
      </c>
      <c r="K281" s="229">
        <v>23.2</v>
      </c>
      <c r="L281" s="229">
        <v>17.77</v>
      </c>
      <c r="M281" s="229">
        <v>1.6</v>
      </c>
      <c r="N281" s="229">
        <v>5.0999999999999996</v>
      </c>
      <c r="O281" s="229">
        <v>10.1</v>
      </c>
      <c r="P281" s="229">
        <v>0.2</v>
      </c>
      <c r="Q281" s="229">
        <v>3.5</v>
      </c>
      <c r="R281" s="122"/>
      <c r="S281" s="122">
        <f t="shared" si="34"/>
        <v>1</v>
      </c>
      <c r="T281" s="122">
        <f t="shared" si="35"/>
        <v>10</v>
      </c>
      <c r="U281" s="122">
        <f>YEAR(Inputs!$I$8)</f>
        <v>2015</v>
      </c>
      <c r="V281" s="72"/>
      <c r="W281" s="69">
        <v>42278</v>
      </c>
      <c r="X281" s="116">
        <v>15.8</v>
      </c>
      <c r="Y281" s="116">
        <v>25.6</v>
      </c>
      <c r="Z281" s="116">
        <v>8</v>
      </c>
      <c r="AA281" s="116">
        <v>66</v>
      </c>
      <c r="AB281" s="116">
        <v>100</v>
      </c>
      <c r="AC281" s="116">
        <v>26.6</v>
      </c>
      <c r="AD281" s="116">
        <v>17.79</v>
      </c>
      <c r="AE281" s="116">
        <v>1.8</v>
      </c>
      <c r="AF281" s="116">
        <v>8</v>
      </c>
      <c r="AG281" s="116">
        <v>9.5</v>
      </c>
      <c r="AH281" s="116">
        <v>0.2</v>
      </c>
      <c r="AI281" s="116">
        <v>3.6</v>
      </c>
    </row>
    <row r="282" spans="1:35" s="71" customFormat="1">
      <c r="A282" s="210">
        <f t="shared" ref="A282:A345" si="36">DAY(E282)</f>
        <v>2</v>
      </c>
      <c r="B282" s="210">
        <f t="shared" ref="B282:B345" si="37">MONTH(E282)</f>
        <v>10</v>
      </c>
      <c r="C282" s="210">
        <f t="shared" si="33"/>
        <v>2015</v>
      </c>
      <c r="D282" s="106">
        <f t="shared" si="32"/>
        <v>42279</v>
      </c>
      <c r="E282" s="230">
        <v>42279</v>
      </c>
      <c r="F282" s="229">
        <v>18</v>
      </c>
      <c r="G282" s="229">
        <v>27.5</v>
      </c>
      <c r="H282" s="229">
        <v>10.6</v>
      </c>
      <c r="I282" s="229">
        <v>57.8</v>
      </c>
      <c r="J282" s="229">
        <v>96</v>
      </c>
      <c r="K282" s="229">
        <v>21.3</v>
      </c>
      <c r="L282" s="229">
        <v>18.05</v>
      </c>
      <c r="M282" s="229">
        <v>1.7</v>
      </c>
      <c r="N282" s="229">
        <v>7.3</v>
      </c>
      <c r="O282" s="229">
        <v>9.1</v>
      </c>
      <c r="P282" s="229">
        <v>0</v>
      </c>
      <c r="Q282" s="229">
        <v>3.8</v>
      </c>
      <c r="R282" s="122"/>
      <c r="S282" s="122">
        <f t="shared" si="34"/>
        <v>2</v>
      </c>
      <c r="T282" s="122">
        <f t="shared" si="35"/>
        <v>10</v>
      </c>
      <c r="U282" s="122">
        <f>YEAR(Inputs!$I$8)</f>
        <v>2015</v>
      </c>
      <c r="V282" s="106"/>
      <c r="W282" s="69">
        <v>42279</v>
      </c>
      <c r="X282" s="116">
        <v>16.899999999999999</v>
      </c>
      <c r="Y282" s="116">
        <v>25.8</v>
      </c>
      <c r="Z282" s="116">
        <v>6.8</v>
      </c>
      <c r="AA282" s="116">
        <v>49.5</v>
      </c>
      <c r="AB282" s="116">
        <v>77.099999999999994</v>
      </c>
      <c r="AC282" s="116">
        <v>28.1</v>
      </c>
      <c r="AD282" s="116">
        <v>15.98</v>
      </c>
      <c r="AE282" s="116">
        <v>2.2999999999999998</v>
      </c>
      <c r="AF282" s="116">
        <v>10</v>
      </c>
      <c r="AG282" s="116">
        <v>10.199999999999999</v>
      </c>
      <c r="AH282" s="116">
        <v>0</v>
      </c>
      <c r="AI282" s="116">
        <v>4</v>
      </c>
    </row>
    <row r="283" spans="1:35" s="71" customFormat="1">
      <c r="A283" s="210">
        <f t="shared" si="36"/>
        <v>3</v>
      </c>
      <c r="B283" s="210">
        <f t="shared" si="37"/>
        <v>10</v>
      </c>
      <c r="C283" s="210">
        <f t="shared" si="33"/>
        <v>2015</v>
      </c>
      <c r="D283" s="106">
        <f t="shared" si="32"/>
        <v>42280</v>
      </c>
      <c r="E283" s="230">
        <v>42280</v>
      </c>
      <c r="F283" s="229">
        <v>19.399999999999999</v>
      </c>
      <c r="G283" s="229">
        <v>28.5</v>
      </c>
      <c r="H283" s="229">
        <v>10.1</v>
      </c>
      <c r="I283" s="229">
        <v>45.6</v>
      </c>
      <c r="J283" s="229">
        <v>71.599999999999994</v>
      </c>
      <c r="K283" s="229">
        <v>22.8</v>
      </c>
      <c r="L283" s="229">
        <v>18.98</v>
      </c>
      <c r="M283" s="229">
        <v>1</v>
      </c>
      <c r="N283" s="229">
        <v>6.8</v>
      </c>
      <c r="O283" s="229">
        <v>10.199999999999999</v>
      </c>
      <c r="P283" s="229">
        <v>0</v>
      </c>
      <c r="Q283" s="229">
        <v>3.4</v>
      </c>
      <c r="R283" s="122"/>
      <c r="S283" s="122">
        <f t="shared" si="34"/>
        <v>3</v>
      </c>
      <c r="T283" s="122">
        <f t="shared" si="35"/>
        <v>10</v>
      </c>
      <c r="U283" s="122">
        <f>YEAR(Inputs!$I$8)</f>
        <v>2015</v>
      </c>
      <c r="V283" s="106"/>
      <c r="W283" s="69">
        <v>42280</v>
      </c>
      <c r="X283" s="116">
        <v>17.399999999999999</v>
      </c>
      <c r="Y283" s="116">
        <v>25.4</v>
      </c>
      <c r="Z283" s="116">
        <v>11.5</v>
      </c>
      <c r="AA283" s="116">
        <v>59.7</v>
      </c>
      <c r="AB283" s="116">
        <v>83.7</v>
      </c>
      <c r="AC283" s="116">
        <v>33.9</v>
      </c>
      <c r="AD283" s="116">
        <v>8.1300000000000008</v>
      </c>
      <c r="AE283" s="116">
        <v>1.3</v>
      </c>
      <c r="AF283" s="116">
        <v>6.9</v>
      </c>
      <c r="AG283" s="116">
        <v>6.9</v>
      </c>
      <c r="AH283" s="116">
        <v>0.8</v>
      </c>
      <c r="AI283" s="116">
        <v>2.5</v>
      </c>
    </row>
    <row r="284" spans="1:35" s="71" customFormat="1">
      <c r="A284" s="210">
        <f t="shared" si="36"/>
        <v>4</v>
      </c>
      <c r="B284" s="210">
        <f t="shared" si="37"/>
        <v>10</v>
      </c>
      <c r="C284" s="210">
        <f t="shared" si="33"/>
        <v>2015</v>
      </c>
      <c r="D284" s="106">
        <f t="shared" si="32"/>
        <v>42281</v>
      </c>
      <c r="E284" s="230">
        <v>42281</v>
      </c>
      <c r="F284" s="229">
        <v>19.2</v>
      </c>
      <c r="G284" s="229">
        <v>27.7</v>
      </c>
      <c r="H284" s="229">
        <v>11.5</v>
      </c>
      <c r="I284" s="229">
        <v>54</v>
      </c>
      <c r="J284" s="229">
        <v>91.8</v>
      </c>
      <c r="K284" s="229">
        <v>20.6</v>
      </c>
      <c r="L284" s="229">
        <v>19.440000000000001</v>
      </c>
      <c r="M284" s="229">
        <v>2.6</v>
      </c>
      <c r="N284" s="229">
        <v>7.1</v>
      </c>
      <c r="O284" s="229">
        <v>10.199999999999999</v>
      </c>
      <c r="P284" s="229">
        <v>0</v>
      </c>
      <c r="Q284" s="229">
        <v>4.7</v>
      </c>
      <c r="R284" s="122"/>
      <c r="S284" s="122">
        <f t="shared" si="34"/>
        <v>4</v>
      </c>
      <c r="T284" s="122">
        <f t="shared" si="35"/>
        <v>10</v>
      </c>
      <c r="U284" s="122">
        <f>YEAR(Inputs!$I$8)</f>
        <v>2015</v>
      </c>
      <c r="V284" s="106"/>
      <c r="W284" s="69">
        <v>42281</v>
      </c>
      <c r="X284" s="116">
        <v>20.100000000000001</v>
      </c>
      <c r="Y284" s="116">
        <v>27.2</v>
      </c>
      <c r="Z284" s="116">
        <v>12.8</v>
      </c>
      <c r="AA284" s="116">
        <v>61.5</v>
      </c>
      <c r="AB284" s="116">
        <v>83.7</v>
      </c>
      <c r="AC284" s="116">
        <v>39.5</v>
      </c>
      <c r="AD284" s="116">
        <v>12.18</v>
      </c>
      <c r="AE284" s="116">
        <v>2.2999999999999998</v>
      </c>
      <c r="AF284" s="116">
        <v>9.6</v>
      </c>
      <c r="AG284" s="116">
        <v>9.3000000000000007</v>
      </c>
      <c r="AH284" s="116">
        <v>0</v>
      </c>
      <c r="AI284" s="116">
        <v>3.5</v>
      </c>
    </row>
    <row r="285" spans="1:35" s="71" customFormat="1">
      <c r="A285" s="210">
        <f t="shared" si="36"/>
        <v>5</v>
      </c>
      <c r="B285" s="210">
        <f t="shared" si="37"/>
        <v>10</v>
      </c>
      <c r="C285" s="210">
        <f t="shared" si="33"/>
        <v>2015</v>
      </c>
      <c r="D285" s="106">
        <f t="shared" si="32"/>
        <v>42282</v>
      </c>
      <c r="E285" s="230">
        <v>42282</v>
      </c>
      <c r="F285" s="229">
        <v>18.8</v>
      </c>
      <c r="G285" s="229">
        <v>29</v>
      </c>
      <c r="H285" s="229">
        <v>10.199999999999999</v>
      </c>
      <c r="I285" s="229">
        <v>60.4</v>
      </c>
      <c r="J285" s="229">
        <v>97.5</v>
      </c>
      <c r="K285" s="229">
        <v>22.4</v>
      </c>
      <c r="L285" s="229">
        <v>18.059999999999999</v>
      </c>
      <c r="M285" s="229">
        <v>1.3</v>
      </c>
      <c r="N285" s="229">
        <v>5.0999999999999996</v>
      </c>
      <c r="O285" s="229">
        <v>9.6</v>
      </c>
      <c r="P285" s="229">
        <v>0</v>
      </c>
      <c r="Q285" s="229">
        <v>3.6</v>
      </c>
      <c r="R285" s="122"/>
      <c r="S285" s="122">
        <f t="shared" si="34"/>
        <v>5</v>
      </c>
      <c r="T285" s="122">
        <f t="shared" si="35"/>
        <v>10</v>
      </c>
      <c r="U285" s="122">
        <f>YEAR(Inputs!$I$8)</f>
        <v>2015</v>
      </c>
      <c r="V285" s="106"/>
      <c r="W285" s="69">
        <v>42282</v>
      </c>
      <c r="X285" s="116">
        <v>19.600000000000001</v>
      </c>
      <c r="Y285" s="116">
        <v>23.7</v>
      </c>
      <c r="Z285" s="116">
        <v>17</v>
      </c>
      <c r="AA285" s="116">
        <v>70.400000000000006</v>
      </c>
      <c r="AB285" s="116">
        <v>85</v>
      </c>
      <c r="AC285" s="116">
        <v>54.2</v>
      </c>
      <c r="AD285" s="116">
        <v>5.48</v>
      </c>
      <c r="AE285" s="116">
        <v>3.5</v>
      </c>
      <c r="AF285" s="116">
        <v>12.6</v>
      </c>
      <c r="AG285" s="116">
        <v>6.6</v>
      </c>
      <c r="AH285" s="116">
        <v>0</v>
      </c>
      <c r="AI285" s="116">
        <v>2.8</v>
      </c>
    </row>
    <row r="286" spans="1:35" s="71" customFormat="1">
      <c r="A286" s="210">
        <f t="shared" si="36"/>
        <v>6</v>
      </c>
      <c r="B286" s="210">
        <f t="shared" si="37"/>
        <v>10</v>
      </c>
      <c r="C286" s="210">
        <f t="shared" si="33"/>
        <v>2015</v>
      </c>
      <c r="D286" s="106">
        <f t="shared" si="32"/>
        <v>42283</v>
      </c>
      <c r="E286" s="230">
        <v>42283</v>
      </c>
      <c r="F286" s="229">
        <v>18.5</v>
      </c>
      <c r="G286" s="229">
        <v>25.4</v>
      </c>
      <c r="H286" s="229">
        <v>12.5</v>
      </c>
      <c r="I286" s="229">
        <v>68.8</v>
      </c>
      <c r="J286" s="229">
        <v>95.3</v>
      </c>
      <c r="K286" s="229">
        <v>32.5</v>
      </c>
      <c r="L286" s="229">
        <v>15.66</v>
      </c>
      <c r="M286" s="229">
        <v>2.5</v>
      </c>
      <c r="N286" s="229">
        <v>7.2</v>
      </c>
      <c r="O286" s="229">
        <v>9.6</v>
      </c>
      <c r="P286" s="229">
        <v>0.2</v>
      </c>
      <c r="Q286" s="229">
        <v>3.7</v>
      </c>
      <c r="R286" s="122"/>
      <c r="S286" s="122">
        <f t="shared" si="34"/>
        <v>6</v>
      </c>
      <c r="T286" s="122">
        <f t="shared" si="35"/>
        <v>10</v>
      </c>
      <c r="U286" s="122">
        <f>YEAR(Inputs!$I$8)</f>
        <v>2015</v>
      </c>
      <c r="V286" s="106"/>
      <c r="W286" s="69">
        <v>42283</v>
      </c>
      <c r="X286" s="116">
        <v>18.5</v>
      </c>
      <c r="Y286" s="116">
        <v>24</v>
      </c>
      <c r="Z286" s="116">
        <v>12.7</v>
      </c>
      <c r="AA286" s="116">
        <v>60.9</v>
      </c>
      <c r="AB286" s="116">
        <v>88.7</v>
      </c>
      <c r="AC286" s="116">
        <v>36.6</v>
      </c>
      <c r="AD286" s="116">
        <v>16.39</v>
      </c>
      <c r="AE286" s="116">
        <v>4.7</v>
      </c>
      <c r="AF286" s="116">
        <v>11.4</v>
      </c>
      <c r="AG286" s="116">
        <v>9.3000000000000007</v>
      </c>
      <c r="AH286" s="116">
        <v>0</v>
      </c>
      <c r="AI286" s="116">
        <v>4.5</v>
      </c>
    </row>
    <row r="287" spans="1:35" s="71" customFormat="1">
      <c r="A287" s="210">
        <f t="shared" si="36"/>
        <v>7</v>
      </c>
      <c r="B287" s="210">
        <f t="shared" si="37"/>
        <v>10</v>
      </c>
      <c r="C287" s="210">
        <f t="shared" si="33"/>
        <v>2015</v>
      </c>
      <c r="D287" s="106">
        <f t="shared" si="32"/>
        <v>42284</v>
      </c>
      <c r="E287" s="230">
        <v>42284</v>
      </c>
      <c r="F287" s="229">
        <v>20</v>
      </c>
      <c r="G287" s="229">
        <v>28.8</v>
      </c>
      <c r="H287" s="229">
        <v>13.3</v>
      </c>
      <c r="I287" s="229">
        <v>53</v>
      </c>
      <c r="J287" s="229">
        <v>90.5</v>
      </c>
      <c r="K287" s="229">
        <v>18.7</v>
      </c>
      <c r="L287" s="229">
        <v>15.9</v>
      </c>
      <c r="M287" s="229">
        <v>2.8</v>
      </c>
      <c r="N287" s="229">
        <v>9.9</v>
      </c>
      <c r="O287" s="229">
        <v>9.6</v>
      </c>
      <c r="P287" s="229">
        <v>0</v>
      </c>
      <c r="Q287" s="229">
        <v>4.8</v>
      </c>
      <c r="R287" s="122"/>
      <c r="S287" s="122">
        <f t="shared" si="34"/>
        <v>7</v>
      </c>
      <c r="T287" s="122">
        <f t="shared" si="35"/>
        <v>10</v>
      </c>
      <c r="U287" s="122">
        <f>YEAR(Inputs!$I$8)</f>
        <v>2015</v>
      </c>
      <c r="V287" s="106"/>
      <c r="W287" s="69">
        <v>42284</v>
      </c>
      <c r="X287" s="116">
        <v>14.5</v>
      </c>
      <c r="Y287" s="116">
        <v>22.2</v>
      </c>
      <c r="Z287" s="116">
        <v>7.8</v>
      </c>
      <c r="AA287" s="116">
        <v>63.3</v>
      </c>
      <c r="AB287" s="116">
        <v>89.2</v>
      </c>
      <c r="AC287" s="116">
        <v>36.200000000000003</v>
      </c>
      <c r="AD287" s="116">
        <v>15.84</v>
      </c>
      <c r="AE287" s="116">
        <v>1.1000000000000001</v>
      </c>
      <c r="AF287" s="116">
        <v>5.4</v>
      </c>
      <c r="AG287" s="116">
        <v>9.6</v>
      </c>
      <c r="AH287" s="116">
        <v>0</v>
      </c>
      <c r="AI287" s="116">
        <v>2.5</v>
      </c>
    </row>
    <row r="288" spans="1:35" s="71" customFormat="1">
      <c r="A288" s="210">
        <f t="shared" si="36"/>
        <v>8</v>
      </c>
      <c r="B288" s="210">
        <f t="shared" si="37"/>
        <v>10</v>
      </c>
      <c r="C288" s="210">
        <f t="shared" si="33"/>
        <v>2015</v>
      </c>
      <c r="D288" s="106">
        <f t="shared" si="32"/>
        <v>42285</v>
      </c>
      <c r="E288" s="230">
        <v>42285</v>
      </c>
      <c r="F288" s="229">
        <v>16.899999999999999</v>
      </c>
      <c r="G288" s="229">
        <v>28.1</v>
      </c>
      <c r="H288" s="229">
        <v>8.6999999999999993</v>
      </c>
      <c r="I288" s="229">
        <v>59.7</v>
      </c>
      <c r="J288" s="229">
        <v>97.8</v>
      </c>
      <c r="K288" s="229">
        <v>19.399999999999999</v>
      </c>
      <c r="L288" s="229">
        <v>17.61</v>
      </c>
      <c r="M288" s="229">
        <v>1.3</v>
      </c>
      <c r="N288" s="229">
        <v>6.7</v>
      </c>
      <c r="O288" s="229">
        <v>9.5</v>
      </c>
      <c r="P288" s="229">
        <v>0.2</v>
      </c>
      <c r="Q288" s="229">
        <v>3.4</v>
      </c>
      <c r="R288" s="122"/>
      <c r="S288" s="122">
        <f t="shared" si="34"/>
        <v>8</v>
      </c>
      <c r="T288" s="122">
        <f t="shared" si="35"/>
        <v>10</v>
      </c>
      <c r="U288" s="122">
        <f>YEAR(Inputs!$I$8)</f>
        <v>2015</v>
      </c>
      <c r="V288" s="106"/>
      <c r="W288" s="69">
        <v>42285</v>
      </c>
      <c r="X288" s="116">
        <v>14.1</v>
      </c>
      <c r="Y288" s="116">
        <v>20.3</v>
      </c>
      <c r="Z288" s="116">
        <v>9</v>
      </c>
      <c r="AA288" s="116">
        <v>82.4</v>
      </c>
      <c r="AB288" s="116">
        <v>98.3</v>
      </c>
      <c r="AC288" s="116">
        <v>50.3</v>
      </c>
      <c r="AD288" s="116">
        <v>8.7200000000000006</v>
      </c>
      <c r="AE288" s="116">
        <v>1.6</v>
      </c>
      <c r="AF288" s="116">
        <v>6.2</v>
      </c>
      <c r="AG288" s="116">
        <v>7</v>
      </c>
      <c r="AH288" s="116">
        <v>0.8</v>
      </c>
      <c r="AI288" s="116">
        <v>2</v>
      </c>
    </row>
    <row r="289" spans="1:35" s="71" customFormat="1">
      <c r="A289" s="210">
        <f t="shared" si="36"/>
        <v>9</v>
      </c>
      <c r="B289" s="210">
        <f t="shared" si="37"/>
        <v>10</v>
      </c>
      <c r="C289" s="210">
        <f t="shared" si="33"/>
        <v>2015</v>
      </c>
      <c r="D289" s="106">
        <f t="shared" si="32"/>
        <v>42286</v>
      </c>
      <c r="E289" s="230">
        <v>42286</v>
      </c>
      <c r="F289" s="229">
        <v>17.399999999999999</v>
      </c>
      <c r="G289" s="229">
        <v>28.1</v>
      </c>
      <c r="H289" s="229">
        <v>6.1</v>
      </c>
      <c r="I289" s="229">
        <v>40.1</v>
      </c>
      <c r="J289" s="229">
        <v>84.1</v>
      </c>
      <c r="K289" s="229">
        <v>19.7</v>
      </c>
      <c r="L289" s="229">
        <v>17.600000000000001</v>
      </c>
      <c r="M289" s="229">
        <v>1</v>
      </c>
      <c r="N289" s="229">
        <v>5.7</v>
      </c>
      <c r="O289" s="229">
        <v>9.9</v>
      </c>
      <c r="P289" s="229">
        <v>0</v>
      </c>
      <c r="Q289" s="229">
        <v>3.1</v>
      </c>
      <c r="R289" s="122"/>
      <c r="S289" s="122">
        <f t="shared" si="34"/>
        <v>9</v>
      </c>
      <c r="T289" s="122">
        <f t="shared" si="35"/>
        <v>10</v>
      </c>
      <c r="U289" s="122">
        <f>YEAR(Inputs!$I$8)</f>
        <v>2015</v>
      </c>
      <c r="V289" s="106"/>
      <c r="W289" s="69">
        <v>42286</v>
      </c>
      <c r="X289" s="116">
        <v>13.5</v>
      </c>
      <c r="Y289" s="116">
        <v>21.1</v>
      </c>
      <c r="Z289" s="116">
        <v>6.3</v>
      </c>
      <c r="AA289" s="116">
        <v>79.900000000000006</v>
      </c>
      <c r="AB289" s="116">
        <v>100</v>
      </c>
      <c r="AC289" s="116">
        <v>44.8</v>
      </c>
      <c r="AD289" s="116">
        <v>16.72</v>
      </c>
      <c r="AE289" s="116">
        <v>0.9</v>
      </c>
      <c r="AF289" s="116">
        <v>4.5999999999999996</v>
      </c>
      <c r="AG289" s="116">
        <v>9.6</v>
      </c>
      <c r="AH289" s="116">
        <v>0.2</v>
      </c>
      <c r="AI289" s="116">
        <v>2.2999999999999998</v>
      </c>
    </row>
    <row r="290" spans="1:35" s="71" customFormat="1">
      <c r="A290" s="210">
        <f t="shared" si="36"/>
        <v>10</v>
      </c>
      <c r="B290" s="210">
        <f t="shared" si="37"/>
        <v>10</v>
      </c>
      <c r="C290" s="210">
        <f t="shared" si="33"/>
        <v>2015</v>
      </c>
      <c r="D290" s="106">
        <f t="shared" si="32"/>
        <v>42287</v>
      </c>
      <c r="E290" s="230">
        <v>42287</v>
      </c>
      <c r="F290" s="229">
        <v>18.600000000000001</v>
      </c>
      <c r="G290" s="229">
        <v>26.7</v>
      </c>
      <c r="H290" s="229">
        <v>12.4</v>
      </c>
      <c r="I290" s="229">
        <v>66.599999999999994</v>
      </c>
      <c r="J290" s="229">
        <v>95</v>
      </c>
      <c r="K290" s="229">
        <v>27.3</v>
      </c>
      <c r="L290" s="229">
        <v>17.55</v>
      </c>
      <c r="M290" s="229">
        <v>1.8</v>
      </c>
      <c r="N290" s="229">
        <v>5.9</v>
      </c>
      <c r="O290" s="229">
        <v>9.6999999999999993</v>
      </c>
      <c r="P290" s="229">
        <v>0</v>
      </c>
      <c r="Q290" s="229">
        <v>3.6</v>
      </c>
      <c r="R290" s="122"/>
      <c r="S290" s="122">
        <f t="shared" si="34"/>
        <v>10</v>
      </c>
      <c r="T290" s="122">
        <f t="shared" si="35"/>
        <v>10</v>
      </c>
      <c r="U290" s="122">
        <f>YEAR(Inputs!$I$8)</f>
        <v>2015</v>
      </c>
      <c r="V290" s="106"/>
      <c r="W290" s="69">
        <v>42287</v>
      </c>
      <c r="X290" s="116">
        <v>14.9</v>
      </c>
      <c r="Y290" s="116">
        <v>23.3</v>
      </c>
      <c r="Z290" s="116">
        <v>6.2</v>
      </c>
      <c r="AA290" s="116">
        <v>75.5</v>
      </c>
      <c r="AB290" s="116">
        <v>100</v>
      </c>
      <c r="AC290" s="116">
        <v>38.799999999999997</v>
      </c>
      <c r="AD290" s="116">
        <v>15.55</v>
      </c>
      <c r="AE290" s="116">
        <v>1</v>
      </c>
      <c r="AF290" s="116">
        <v>3.8</v>
      </c>
      <c r="AG290" s="116">
        <v>9.1</v>
      </c>
      <c r="AH290" s="116">
        <v>0.2</v>
      </c>
      <c r="AI290" s="116">
        <v>2.4</v>
      </c>
    </row>
    <row r="291" spans="1:35" s="71" customFormat="1">
      <c r="A291" s="210">
        <f t="shared" si="36"/>
        <v>11</v>
      </c>
      <c r="B291" s="210">
        <f t="shared" si="37"/>
        <v>10</v>
      </c>
      <c r="C291" s="210">
        <f t="shared" si="33"/>
        <v>2015</v>
      </c>
      <c r="D291" s="106">
        <f t="shared" si="32"/>
        <v>42288</v>
      </c>
      <c r="E291" s="230">
        <v>42288</v>
      </c>
      <c r="F291" s="229">
        <v>16</v>
      </c>
      <c r="G291" s="229">
        <v>25.9</v>
      </c>
      <c r="H291" s="229">
        <v>6.6</v>
      </c>
      <c r="I291" s="229">
        <v>58.6</v>
      </c>
      <c r="J291" s="229">
        <v>97.5</v>
      </c>
      <c r="K291" s="229">
        <v>20.399999999999999</v>
      </c>
      <c r="L291" s="229">
        <v>17.71</v>
      </c>
      <c r="M291" s="229">
        <v>1.4</v>
      </c>
      <c r="N291" s="229">
        <v>7.4</v>
      </c>
      <c r="O291" s="229">
        <v>9.8000000000000007</v>
      </c>
      <c r="P291" s="229">
        <v>0</v>
      </c>
      <c r="Q291" s="229">
        <v>3.2</v>
      </c>
      <c r="R291" s="122"/>
      <c r="S291" s="122">
        <f t="shared" si="34"/>
        <v>11</v>
      </c>
      <c r="T291" s="122">
        <f t="shared" si="35"/>
        <v>10</v>
      </c>
      <c r="U291" s="122">
        <f>YEAR(Inputs!$I$8)</f>
        <v>2015</v>
      </c>
      <c r="V291" s="106"/>
      <c r="W291" s="69">
        <v>42288</v>
      </c>
      <c r="X291" s="116">
        <v>16.899999999999999</v>
      </c>
      <c r="Y291" s="116">
        <v>23.1</v>
      </c>
      <c r="Z291" s="116">
        <v>13.7</v>
      </c>
      <c r="AA291" s="116">
        <v>73</v>
      </c>
      <c r="AB291" s="116">
        <v>94.7</v>
      </c>
      <c r="AC291" s="116">
        <v>44.5</v>
      </c>
      <c r="AD291" s="116">
        <v>9.5500000000000007</v>
      </c>
      <c r="AE291" s="116">
        <v>1.7</v>
      </c>
      <c r="AF291" s="116">
        <v>7.9</v>
      </c>
      <c r="AG291" s="116">
        <v>7.8</v>
      </c>
      <c r="AH291" s="116">
        <v>0.6</v>
      </c>
      <c r="AI291" s="116">
        <v>2.4</v>
      </c>
    </row>
    <row r="292" spans="1:35" s="71" customFormat="1">
      <c r="A292" s="210">
        <f t="shared" si="36"/>
        <v>12</v>
      </c>
      <c r="B292" s="210">
        <f t="shared" si="37"/>
        <v>10</v>
      </c>
      <c r="C292" s="210">
        <f t="shared" si="33"/>
        <v>2015</v>
      </c>
      <c r="D292" s="106">
        <f t="shared" si="32"/>
        <v>42289</v>
      </c>
      <c r="E292" s="230">
        <v>42289</v>
      </c>
      <c r="F292" s="229">
        <v>16.2</v>
      </c>
      <c r="G292" s="229">
        <v>26.1</v>
      </c>
      <c r="H292" s="229">
        <v>6</v>
      </c>
      <c r="I292" s="229">
        <v>44.7</v>
      </c>
      <c r="J292" s="229">
        <v>70</v>
      </c>
      <c r="K292" s="229">
        <v>18.100000000000001</v>
      </c>
      <c r="L292" s="229">
        <v>18.16</v>
      </c>
      <c r="M292" s="229">
        <v>2</v>
      </c>
      <c r="N292" s="229">
        <v>8</v>
      </c>
      <c r="O292" s="229">
        <v>9.9</v>
      </c>
      <c r="P292" s="229">
        <v>0</v>
      </c>
      <c r="Q292" s="229">
        <v>3.9</v>
      </c>
      <c r="R292" s="122"/>
      <c r="S292" s="122">
        <f t="shared" si="34"/>
        <v>12</v>
      </c>
      <c r="T292" s="122">
        <f t="shared" si="35"/>
        <v>10</v>
      </c>
      <c r="U292" s="122">
        <f>YEAR(Inputs!$I$8)</f>
        <v>2015</v>
      </c>
      <c r="V292" s="106"/>
      <c r="W292" s="69">
        <v>42289</v>
      </c>
      <c r="X292" s="116">
        <v>17.399999999999999</v>
      </c>
      <c r="Y292" s="116">
        <v>23.1</v>
      </c>
      <c r="Z292" s="116">
        <v>13</v>
      </c>
      <c r="AA292" s="116">
        <v>70.5</v>
      </c>
      <c r="AB292" s="116">
        <v>91.8</v>
      </c>
      <c r="AC292" s="116">
        <v>42.5</v>
      </c>
      <c r="AD292" s="116">
        <v>11.13</v>
      </c>
      <c r="AE292" s="116">
        <v>1.8</v>
      </c>
      <c r="AF292" s="116">
        <v>6.8</v>
      </c>
      <c r="AG292" s="116">
        <v>8.5</v>
      </c>
      <c r="AH292" s="116">
        <v>0</v>
      </c>
      <c r="AI292" s="116">
        <v>2.6</v>
      </c>
    </row>
    <row r="293" spans="1:35" s="71" customFormat="1">
      <c r="A293" s="210">
        <f t="shared" si="36"/>
        <v>13</v>
      </c>
      <c r="B293" s="210">
        <f t="shared" si="37"/>
        <v>10</v>
      </c>
      <c r="C293" s="210">
        <f t="shared" si="33"/>
        <v>2015</v>
      </c>
      <c r="D293" s="106">
        <f t="shared" si="32"/>
        <v>42290</v>
      </c>
      <c r="E293" s="230">
        <v>42290</v>
      </c>
      <c r="F293" s="229">
        <v>12.9</v>
      </c>
      <c r="G293" s="229">
        <v>17.100000000000001</v>
      </c>
      <c r="H293" s="229">
        <v>7.2</v>
      </c>
      <c r="I293" s="229">
        <v>78.2</v>
      </c>
      <c r="J293" s="229">
        <v>95.8</v>
      </c>
      <c r="K293" s="229">
        <v>49.6</v>
      </c>
      <c r="L293" s="229">
        <v>5.72</v>
      </c>
      <c r="M293" s="229">
        <v>1.3</v>
      </c>
      <c r="N293" s="229">
        <v>6.2</v>
      </c>
      <c r="O293" s="229">
        <v>5.8</v>
      </c>
      <c r="P293" s="229">
        <v>6.7</v>
      </c>
      <c r="Q293" s="229">
        <v>1.5</v>
      </c>
      <c r="R293" s="122"/>
      <c r="S293" s="122">
        <f t="shared" si="34"/>
        <v>13</v>
      </c>
      <c r="T293" s="122">
        <f t="shared" si="35"/>
        <v>10</v>
      </c>
      <c r="U293" s="122">
        <f>YEAR(Inputs!$I$8)</f>
        <v>2015</v>
      </c>
      <c r="V293" s="106"/>
      <c r="W293" s="69">
        <v>42290</v>
      </c>
      <c r="X293" s="116">
        <v>16.2</v>
      </c>
      <c r="Y293" s="116">
        <v>22.3</v>
      </c>
      <c r="Z293" s="116">
        <v>10.3</v>
      </c>
      <c r="AA293" s="116">
        <v>69.400000000000006</v>
      </c>
      <c r="AB293" s="116">
        <v>92.8</v>
      </c>
      <c r="AC293" s="116">
        <v>39</v>
      </c>
      <c r="AD293" s="116">
        <v>12.82</v>
      </c>
      <c r="AE293" s="116">
        <v>2</v>
      </c>
      <c r="AF293" s="116">
        <v>6.8</v>
      </c>
      <c r="AG293" s="116">
        <v>8.9</v>
      </c>
      <c r="AH293" s="116">
        <v>0.2</v>
      </c>
      <c r="AI293" s="116">
        <v>2.7</v>
      </c>
    </row>
    <row r="294" spans="1:35" s="71" customFormat="1">
      <c r="A294" s="210">
        <f t="shared" si="36"/>
        <v>14</v>
      </c>
      <c r="B294" s="210">
        <f t="shared" si="37"/>
        <v>10</v>
      </c>
      <c r="C294" s="210">
        <f t="shared" si="33"/>
        <v>2015</v>
      </c>
      <c r="D294" s="106">
        <f t="shared" si="32"/>
        <v>42291</v>
      </c>
      <c r="E294" s="230">
        <v>42291</v>
      </c>
      <c r="F294" s="229">
        <v>12.2</v>
      </c>
      <c r="G294" s="229">
        <v>14.6</v>
      </c>
      <c r="H294" s="229">
        <v>10.199999999999999</v>
      </c>
      <c r="I294" s="229">
        <v>89.5</v>
      </c>
      <c r="J294" s="229">
        <v>96.5</v>
      </c>
      <c r="K294" s="229">
        <v>76.2</v>
      </c>
      <c r="L294" s="229">
        <v>5.17</v>
      </c>
      <c r="M294" s="229">
        <v>1.8</v>
      </c>
      <c r="N294" s="229">
        <v>6</v>
      </c>
      <c r="O294" s="229">
        <v>7.2</v>
      </c>
      <c r="P294" s="229">
        <v>6.9</v>
      </c>
      <c r="Q294" s="229">
        <v>1.1000000000000001</v>
      </c>
      <c r="R294" s="122"/>
      <c r="S294" s="122">
        <f t="shared" si="34"/>
        <v>14</v>
      </c>
      <c r="T294" s="122">
        <f t="shared" si="35"/>
        <v>10</v>
      </c>
      <c r="U294" s="122">
        <f>YEAR(Inputs!$I$8)</f>
        <v>2015</v>
      </c>
      <c r="V294" s="106"/>
      <c r="W294" s="69">
        <v>42291</v>
      </c>
      <c r="X294" s="116">
        <v>11.5</v>
      </c>
      <c r="Y294" s="116">
        <v>19.5</v>
      </c>
      <c r="Z294" s="116">
        <v>4.8</v>
      </c>
      <c r="AA294" s="116">
        <v>69</v>
      </c>
      <c r="AB294" s="116">
        <v>97.3</v>
      </c>
      <c r="AC294" s="116">
        <v>32.6</v>
      </c>
      <c r="AD294" s="116">
        <v>16.920000000000002</v>
      </c>
      <c r="AE294" s="116">
        <v>2.7</v>
      </c>
      <c r="AF294" s="116">
        <v>7.9</v>
      </c>
      <c r="AG294" s="116">
        <v>9.8000000000000007</v>
      </c>
      <c r="AH294" s="116">
        <v>0.2</v>
      </c>
      <c r="AI294" s="116">
        <v>3.1</v>
      </c>
    </row>
    <row r="295" spans="1:35" s="71" customFormat="1">
      <c r="A295" s="210">
        <f t="shared" si="36"/>
        <v>15</v>
      </c>
      <c r="B295" s="210">
        <f t="shared" si="37"/>
        <v>10</v>
      </c>
      <c r="C295" s="210">
        <f t="shared" si="33"/>
        <v>2015</v>
      </c>
      <c r="D295" s="106">
        <f t="shared" si="32"/>
        <v>42292</v>
      </c>
      <c r="E295" s="230">
        <v>42292</v>
      </c>
      <c r="F295" s="229">
        <v>12.9</v>
      </c>
      <c r="G295" s="229">
        <v>18.600000000000001</v>
      </c>
      <c r="H295" s="229">
        <v>7.8</v>
      </c>
      <c r="I295" s="229">
        <v>79.099999999999994</v>
      </c>
      <c r="J295" s="229">
        <v>90.7</v>
      </c>
      <c r="K295" s="229">
        <v>51.5</v>
      </c>
      <c r="L295" s="229">
        <v>13.17</v>
      </c>
      <c r="M295" s="229">
        <v>3.7</v>
      </c>
      <c r="N295" s="229">
        <v>8.9</v>
      </c>
      <c r="O295" s="229">
        <v>8.3000000000000007</v>
      </c>
      <c r="P295" s="229">
        <v>0</v>
      </c>
      <c r="Q295" s="229">
        <v>2.7</v>
      </c>
      <c r="R295" s="122"/>
      <c r="S295" s="122">
        <f t="shared" si="34"/>
        <v>15</v>
      </c>
      <c r="T295" s="122">
        <f t="shared" si="35"/>
        <v>10</v>
      </c>
      <c r="U295" s="122">
        <f>YEAR(Inputs!$I$8)</f>
        <v>2015</v>
      </c>
      <c r="V295" s="106"/>
      <c r="W295" s="69">
        <v>42292</v>
      </c>
      <c r="X295" s="116">
        <v>11.5</v>
      </c>
      <c r="Y295" s="116">
        <v>22.8</v>
      </c>
      <c r="Z295" s="116">
        <v>1.3</v>
      </c>
      <c r="AA295" s="116">
        <v>56.2</v>
      </c>
      <c r="AB295" s="116">
        <v>92.6</v>
      </c>
      <c r="AC295" s="116">
        <v>24.3</v>
      </c>
      <c r="AD295" s="116">
        <v>16.97</v>
      </c>
      <c r="AE295" s="116">
        <v>1.5</v>
      </c>
      <c r="AF295" s="116">
        <v>7.8</v>
      </c>
      <c r="AG295" s="116">
        <v>9.6999999999999993</v>
      </c>
      <c r="AH295" s="116">
        <v>0</v>
      </c>
      <c r="AI295" s="116">
        <v>2.8</v>
      </c>
    </row>
    <row r="296" spans="1:35" s="71" customFormat="1">
      <c r="A296" s="210">
        <f t="shared" si="36"/>
        <v>16</v>
      </c>
      <c r="B296" s="210">
        <f t="shared" si="37"/>
        <v>10</v>
      </c>
      <c r="C296" s="210">
        <f t="shared" si="33"/>
        <v>2015</v>
      </c>
      <c r="D296" s="106">
        <f t="shared" si="32"/>
        <v>42293</v>
      </c>
      <c r="E296" s="230">
        <v>42293</v>
      </c>
      <c r="F296" s="229">
        <v>11.8</v>
      </c>
      <c r="G296" s="229">
        <v>19.8</v>
      </c>
      <c r="H296" s="229">
        <v>4.5</v>
      </c>
      <c r="I296" s="229">
        <v>73.3</v>
      </c>
      <c r="J296" s="229">
        <v>96.9</v>
      </c>
      <c r="K296" s="229">
        <v>37.4</v>
      </c>
      <c r="L296" s="229">
        <v>17.239999999999998</v>
      </c>
      <c r="M296" s="229">
        <v>0.8</v>
      </c>
      <c r="N296" s="229">
        <v>3.6</v>
      </c>
      <c r="O296" s="229">
        <v>9.6999999999999993</v>
      </c>
      <c r="P296" s="229">
        <v>0</v>
      </c>
      <c r="Q296" s="229">
        <v>2.1</v>
      </c>
      <c r="R296" s="122"/>
      <c r="S296" s="122">
        <f t="shared" si="34"/>
        <v>16</v>
      </c>
      <c r="T296" s="122">
        <f t="shared" si="35"/>
        <v>10</v>
      </c>
      <c r="U296" s="122">
        <f>YEAR(Inputs!$I$8)</f>
        <v>2015</v>
      </c>
      <c r="V296" s="106"/>
      <c r="W296" s="69">
        <v>42293</v>
      </c>
      <c r="X296" s="116">
        <v>14</v>
      </c>
      <c r="Y296" s="116">
        <v>22.3</v>
      </c>
      <c r="Z296" s="116">
        <v>5.7</v>
      </c>
      <c r="AA296" s="116">
        <v>74</v>
      </c>
      <c r="AB296" s="116">
        <v>96.9</v>
      </c>
      <c r="AC296" s="116">
        <v>37.4</v>
      </c>
      <c r="AD296" s="116">
        <v>12.72</v>
      </c>
      <c r="AE296" s="116">
        <v>1.4</v>
      </c>
      <c r="AF296" s="116">
        <v>5.9</v>
      </c>
      <c r="AG296" s="116">
        <v>8.4</v>
      </c>
      <c r="AH296" s="116">
        <v>0</v>
      </c>
      <c r="AI296" s="116">
        <v>2.4</v>
      </c>
    </row>
    <row r="297" spans="1:35" s="71" customFormat="1">
      <c r="A297" s="210">
        <f t="shared" si="36"/>
        <v>17</v>
      </c>
      <c r="B297" s="210">
        <f t="shared" si="37"/>
        <v>10</v>
      </c>
      <c r="C297" s="210">
        <f t="shared" si="33"/>
        <v>2015</v>
      </c>
      <c r="D297" s="106">
        <f t="shared" si="32"/>
        <v>42294</v>
      </c>
      <c r="E297" s="230">
        <v>42294</v>
      </c>
      <c r="F297" s="229">
        <v>14.3</v>
      </c>
      <c r="G297" s="229">
        <v>22.9</v>
      </c>
      <c r="H297" s="229">
        <v>6.8</v>
      </c>
      <c r="I297" s="229">
        <v>71.400000000000006</v>
      </c>
      <c r="J297" s="229">
        <v>94.7</v>
      </c>
      <c r="K297" s="229">
        <v>37.6</v>
      </c>
      <c r="L297" s="229">
        <v>15.54</v>
      </c>
      <c r="M297" s="229">
        <v>1.6</v>
      </c>
      <c r="N297" s="229">
        <v>4.5999999999999996</v>
      </c>
      <c r="O297" s="229">
        <v>9.6</v>
      </c>
      <c r="P297" s="229">
        <v>0</v>
      </c>
      <c r="Q297" s="229">
        <v>2.6</v>
      </c>
      <c r="R297" s="122"/>
      <c r="S297" s="122">
        <f t="shared" si="34"/>
        <v>17</v>
      </c>
      <c r="T297" s="122">
        <f t="shared" si="35"/>
        <v>10</v>
      </c>
      <c r="U297" s="122">
        <f>YEAR(Inputs!$I$8)</f>
        <v>2015</v>
      </c>
      <c r="V297" s="106"/>
      <c r="W297" s="69">
        <v>42294</v>
      </c>
      <c r="X297" s="116">
        <v>16.100000000000001</v>
      </c>
      <c r="Y297" s="116">
        <v>22.1</v>
      </c>
      <c r="Z297" s="116">
        <v>10.8</v>
      </c>
      <c r="AA297" s="116">
        <v>78.7</v>
      </c>
      <c r="AB297" s="116">
        <v>100</v>
      </c>
      <c r="AC297" s="116">
        <v>51.2</v>
      </c>
      <c r="AD297" s="116">
        <v>13.01</v>
      </c>
      <c r="AE297" s="116">
        <v>2.7</v>
      </c>
      <c r="AF297" s="116">
        <v>7.9</v>
      </c>
      <c r="AG297" s="116">
        <v>9.1999999999999993</v>
      </c>
      <c r="AH297" s="116">
        <v>0.4</v>
      </c>
      <c r="AI297" s="116">
        <v>2.6</v>
      </c>
    </row>
    <row r="298" spans="1:35" s="71" customFormat="1">
      <c r="A298" s="210">
        <f t="shared" si="36"/>
        <v>18</v>
      </c>
      <c r="B298" s="210">
        <f t="shared" si="37"/>
        <v>10</v>
      </c>
      <c r="C298" s="210">
        <f t="shared" si="33"/>
        <v>2015</v>
      </c>
      <c r="D298" s="106">
        <f t="shared" si="32"/>
        <v>42295</v>
      </c>
      <c r="E298" s="230">
        <v>42295</v>
      </c>
      <c r="F298" s="229">
        <v>15.9</v>
      </c>
      <c r="G298" s="229">
        <v>21.4</v>
      </c>
      <c r="H298" s="229">
        <v>10.9</v>
      </c>
      <c r="I298" s="229">
        <v>79.2</v>
      </c>
      <c r="J298" s="229">
        <v>97.5</v>
      </c>
      <c r="K298" s="229">
        <v>48.7</v>
      </c>
      <c r="L298" s="229">
        <v>9.3800000000000008</v>
      </c>
      <c r="M298" s="229">
        <v>1.2</v>
      </c>
      <c r="N298" s="229">
        <v>4</v>
      </c>
      <c r="O298" s="229">
        <v>6.3</v>
      </c>
      <c r="P298" s="229">
        <v>0.2</v>
      </c>
      <c r="Q298" s="229">
        <v>1.9</v>
      </c>
      <c r="R298" s="122"/>
      <c r="S298" s="122">
        <f t="shared" si="34"/>
        <v>18</v>
      </c>
      <c r="T298" s="122">
        <f t="shared" si="35"/>
        <v>10</v>
      </c>
      <c r="U298" s="122">
        <f>YEAR(Inputs!$I$8)</f>
        <v>2015</v>
      </c>
      <c r="V298" s="106"/>
      <c r="W298" s="69">
        <v>42295</v>
      </c>
      <c r="X298" s="116">
        <v>16.7</v>
      </c>
      <c r="Y298" s="116">
        <v>23.2</v>
      </c>
      <c r="Z298" s="116">
        <v>11.1</v>
      </c>
      <c r="AA298" s="116">
        <v>73</v>
      </c>
      <c r="AB298" s="116">
        <v>96.6</v>
      </c>
      <c r="AC298" s="116">
        <v>42.6</v>
      </c>
      <c r="AD298" s="116">
        <v>10.77</v>
      </c>
      <c r="AE298" s="116">
        <v>2</v>
      </c>
      <c r="AF298" s="116">
        <v>6.3</v>
      </c>
      <c r="AG298" s="116">
        <v>8.1</v>
      </c>
      <c r="AH298" s="116">
        <v>0.8</v>
      </c>
      <c r="AI298" s="116">
        <v>2.5</v>
      </c>
    </row>
    <row r="299" spans="1:35" s="71" customFormat="1">
      <c r="A299" s="210">
        <f t="shared" si="36"/>
        <v>19</v>
      </c>
      <c r="B299" s="210">
        <f t="shared" si="37"/>
        <v>10</v>
      </c>
      <c r="C299" s="210">
        <f t="shared" si="33"/>
        <v>2015</v>
      </c>
      <c r="D299" s="106">
        <f t="shared" si="32"/>
        <v>42296</v>
      </c>
      <c r="E299" s="230">
        <v>42296</v>
      </c>
      <c r="F299" s="229">
        <v>16.2</v>
      </c>
      <c r="G299" s="229">
        <v>20.3</v>
      </c>
      <c r="H299" s="229">
        <v>13.6</v>
      </c>
      <c r="I299" s="229">
        <v>82.4</v>
      </c>
      <c r="J299" s="229">
        <v>96.4</v>
      </c>
      <c r="K299" s="229">
        <v>57.4</v>
      </c>
      <c r="L299" s="229">
        <v>7.16</v>
      </c>
      <c r="M299" s="229">
        <v>1.7</v>
      </c>
      <c r="N299" s="229">
        <v>5.8</v>
      </c>
      <c r="O299" s="229">
        <v>6.8</v>
      </c>
      <c r="P299" s="229">
        <v>5.5</v>
      </c>
      <c r="Q299" s="229">
        <v>1.7</v>
      </c>
      <c r="R299" s="122"/>
      <c r="S299" s="122">
        <f t="shared" si="34"/>
        <v>19</v>
      </c>
      <c r="T299" s="122">
        <f t="shared" si="35"/>
        <v>10</v>
      </c>
      <c r="U299" s="122">
        <f>YEAR(Inputs!$I$8)</f>
        <v>2015</v>
      </c>
      <c r="V299" s="106"/>
      <c r="W299" s="69">
        <v>42296</v>
      </c>
      <c r="X299" s="116">
        <v>16</v>
      </c>
      <c r="Y299" s="116">
        <v>22.1</v>
      </c>
      <c r="Z299" s="116">
        <v>11.3</v>
      </c>
      <c r="AA299" s="116">
        <v>80.3</v>
      </c>
      <c r="AB299" s="116">
        <v>98.1</v>
      </c>
      <c r="AC299" s="116">
        <v>44.4</v>
      </c>
      <c r="AD299" s="116">
        <v>13.88</v>
      </c>
      <c r="AE299" s="116">
        <v>1.3</v>
      </c>
      <c r="AF299" s="116">
        <v>4.0999999999999996</v>
      </c>
      <c r="AG299" s="116">
        <v>8.6</v>
      </c>
      <c r="AH299" s="116">
        <v>2.4</v>
      </c>
      <c r="AI299" s="116">
        <v>2.2000000000000002</v>
      </c>
    </row>
    <row r="300" spans="1:35" s="71" customFormat="1">
      <c r="A300" s="210">
        <f t="shared" si="36"/>
        <v>20</v>
      </c>
      <c r="B300" s="210">
        <f t="shared" si="37"/>
        <v>10</v>
      </c>
      <c r="C300" s="210">
        <f t="shared" si="33"/>
        <v>2015</v>
      </c>
      <c r="D300" s="106">
        <f t="shared" si="32"/>
        <v>42297</v>
      </c>
      <c r="E300" s="230">
        <v>42297</v>
      </c>
      <c r="F300" s="229">
        <v>15.5</v>
      </c>
      <c r="G300" s="229">
        <v>20.3</v>
      </c>
      <c r="H300" s="229">
        <v>13.3</v>
      </c>
      <c r="I300" s="229">
        <v>91.5</v>
      </c>
      <c r="J300" s="229">
        <v>97.1</v>
      </c>
      <c r="K300" s="229">
        <v>66.400000000000006</v>
      </c>
      <c r="L300" s="229">
        <v>6.07</v>
      </c>
      <c r="M300" s="229">
        <v>1.2</v>
      </c>
      <c r="N300" s="229">
        <v>4.4000000000000004</v>
      </c>
      <c r="O300" s="229">
        <v>6</v>
      </c>
      <c r="P300" s="229">
        <v>8.1</v>
      </c>
      <c r="Q300" s="229">
        <v>1.4</v>
      </c>
      <c r="R300" s="122"/>
      <c r="S300" s="122">
        <f t="shared" si="34"/>
        <v>20</v>
      </c>
      <c r="T300" s="122">
        <f t="shared" si="35"/>
        <v>10</v>
      </c>
      <c r="U300" s="122">
        <f>YEAR(Inputs!$I$8)</f>
        <v>2015</v>
      </c>
      <c r="V300" s="106"/>
      <c r="W300" s="69">
        <v>42297</v>
      </c>
      <c r="X300" s="116">
        <v>14.2</v>
      </c>
      <c r="Y300" s="116">
        <v>19.3</v>
      </c>
      <c r="Z300" s="116">
        <v>10.4</v>
      </c>
      <c r="AA300" s="116">
        <v>89.9</v>
      </c>
      <c r="AB300" s="116">
        <v>99.4</v>
      </c>
      <c r="AC300" s="116">
        <v>64.2</v>
      </c>
      <c r="AD300" s="116">
        <v>7.71</v>
      </c>
      <c r="AE300" s="116">
        <v>1.4</v>
      </c>
      <c r="AF300" s="116">
        <v>4.8</v>
      </c>
      <c r="AG300" s="116">
        <v>7.1</v>
      </c>
      <c r="AH300" s="116">
        <v>1.6</v>
      </c>
      <c r="AI300" s="116">
        <v>1.5</v>
      </c>
    </row>
    <row r="301" spans="1:35" s="71" customFormat="1">
      <c r="A301" s="210">
        <f t="shared" si="36"/>
        <v>21</v>
      </c>
      <c r="B301" s="210">
        <f t="shared" si="37"/>
        <v>10</v>
      </c>
      <c r="C301" s="210">
        <f t="shared" si="33"/>
        <v>2015</v>
      </c>
      <c r="D301" s="106">
        <f t="shared" si="32"/>
        <v>42298</v>
      </c>
      <c r="E301" s="230">
        <v>42298</v>
      </c>
      <c r="F301" s="229">
        <v>13.9</v>
      </c>
      <c r="G301" s="229">
        <v>17.3</v>
      </c>
      <c r="H301" s="229">
        <v>11.5</v>
      </c>
      <c r="I301" s="229">
        <v>94.4</v>
      </c>
      <c r="J301" s="229">
        <v>98</v>
      </c>
      <c r="K301" s="229">
        <v>77.400000000000006</v>
      </c>
      <c r="L301" s="229">
        <v>4.07</v>
      </c>
      <c r="M301" s="229">
        <v>0.8</v>
      </c>
      <c r="N301" s="229">
        <v>4.0999999999999996</v>
      </c>
      <c r="O301" s="229">
        <v>4.3</v>
      </c>
      <c r="P301" s="229">
        <v>7.5</v>
      </c>
      <c r="Q301" s="229">
        <v>0.9</v>
      </c>
      <c r="R301" s="122"/>
      <c r="S301" s="122">
        <f t="shared" si="34"/>
        <v>21</v>
      </c>
      <c r="T301" s="122">
        <f t="shared" si="35"/>
        <v>10</v>
      </c>
      <c r="U301" s="122">
        <f>YEAR(Inputs!$I$8)</f>
        <v>2015</v>
      </c>
      <c r="V301" s="106"/>
      <c r="W301" s="69">
        <v>42298</v>
      </c>
      <c r="X301" s="116">
        <v>11.2</v>
      </c>
      <c r="Y301" s="116">
        <v>17.600000000000001</v>
      </c>
      <c r="Z301" s="116">
        <v>5.8</v>
      </c>
      <c r="AA301" s="116">
        <v>74.400000000000006</v>
      </c>
      <c r="AB301" s="116">
        <v>99.2</v>
      </c>
      <c r="AC301" s="116">
        <v>43.2</v>
      </c>
      <c r="AD301" s="116">
        <v>14.68</v>
      </c>
      <c r="AE301" s="116">
        <v>1.7</v>
      </c>
      <c r="AF301" s="116">
        <v>5.6</v>
      </c>
      <c r="AG301" s="116">
        <v>8.8000000000000007</v>
      </c>
      <c r="AH301" s="116">
        <v>0</v>
      </c>
      <c r="AI301" s="116">
        <v>2.1</v>
      </c>
    </row>
    <row r="302" spans="1:35" s="71" customFormat="1">
      <c r="A302" s="210">
        <f t="shared" si="36"/>
        <v>22</v>
      </c>
      <c r="B302" s="210">
        <f t="shared" si="37"/>
        <v>10</v>
      </c>
      <c r="C302" s="210">
        <f t="shared" si="33"/>
        <v>2015</v>
      </c>
      <c r="D302" s="106">
        <f t="shared" si="32"/>
        <v>42299</v>
      </c>
      <c r="E302" s="230">
        <v>42299</v>
      </c>
      <c r="F302" s="229">
        <v>14.4</v>
      </c>
      <c r="G302" s="229">
        <v>19</v>
      </c>
      <c r="H302" s="229">
        <v>11.1</v>
      </c>
      <c r="I302" s="229">
        <v>91.8</v>
      </c>
      <c r="J302" s="229">
        <v>98</v>
      </c>
      <c r="K302" s="229">
        <v>72.8</v>
      </c>
      <c r="L302" s="229">
        <v>7.98</v>
      </c>
      <c r="M302" s="229">
        <v>2.1</v>
      </c>
      <c r="N302" s="229">
        <v>4.8</v>
      </c>
      <c r="O302" s="229">
        <v>7.5</v>
      </c>
      <c r="P302" s="229">
        <v>4</v>
      </c>
      <c r="Q302" s="229">
        <v>1.5</v>
      </c>
      <c r="R302" s="122"/>
      <c r="S302" s="122">
        <f t="shared" si="34"/>
        <v>22</v>
      </c>
      <c r="T302" s="122">
        <f t="shared" si="35"/>
        <v>10</v>
      </c>
      <c r="U302" s="122">
        <f>YEAR(Inputs!$I$8)</f>
        <v>2015</v>
      </c>
      <c r="V302" s="106"/>
      <c r="W302" s="69">
        <v>42299</v>
      </c>
      <c r="X302" s="116">
        <v>10.5</v>
      </c>
      <c r="Y302" s="116">
        <v>19.100000000000001</v>
      </c>
      <c r="Z302" s="116">
        <v>1.3</v>
      </c>
      <c r="AA302" s="116">
        <v>68</v>
      </c>
      <c r="AB302" s="116">
        <v>96</v>
      </c>
      <c r="AC302" s="116">
        <v>37.799999999999997</v>
      </c>
      <c r="AD302" s="116">
        <v>15.42</v>
      </c>
      <c r="AE302" s="116">
        <v>2.9</v>
      </c>
      <c r="AF302" s="116">
        <v>8.4</v>
      </c>
      <c r="AG302" s="116">
        <v>9.4</v>
      </c>
      <c r="AH302" s="116">
        <v>0.2</v>
      </c>
      <c r="AI302" s="116">
        <v>2.8</v>
      </c>
    </row>
    <row r="303" spans="1:35" s="71" customFormat="1">
      <c r="A303" s="210">
        <f t="shared" si="36"/>
        <v>23</v>
      </c>
      <c r="B303" s="210">
        <f t="shared" si="37"/>
        <v>10</v>
      </c>
      <c r="C303" s="210">
        <f t="shared" si="33"/>
        <v>2015</v>
      </c>
      <c r="D303" s="106">
        <f t="shared" si="32"/>
        <v>42300</v>
      </c>
      <c r="E303" s="230">
        <v>42300</v>
      </c>
      <c r="F303" s="229">
        <v>16</v>
      </c>
      <c r="G303" s="229">
        <v>21.3</v>
      </c>
      <c r="H303" s="229">
        <v>12.5</v>
      </c>
      <c r="I303" s="229">
        <v>83.4</v>
      </c>
      <c r="J303" s="229">
        <v>96.6</v>
      </c>
      <c r="K303" s="229">
        <v>55.5</v>
      </c>
      <c r="L303" s="229">
        <v>9.15</v>
      </c>
      <c r="M303" s="229">
        <v>1.7</v>
      </c>
      <c r="N303" s="229">
        <v>6.9</v>
      </c>
      <c r="O303" s="229">
        <v>7.9</v>
      </c>
      <c r="P303" s="229">
        <v>0</v>
      </c>
      <c r="Q303" s="229">
        <v>1.9</v>
      </c>
      <c r="R303" s="122"/>
      <c r="S303" s="122">
        <f t="shared" si="34"/>
        <v>23</v>
      </c>
      <c r="T303" s="122">
        <f t="shared" si="35"/>
        <v>10</v>
      </c>
      <c r="U303" s="122">
        <f>YEAR(Inputs!$I$8)</f>
        <v>2015</v>
      </c>
      <c r="V303" s="106"/>
      <c r="W303" s="69">
        <v>42300</v>
      </c>
      <c r="X303" s="116">
        <v>12.3</v>
      </c>
      <c r="Y303" s="116">
        <v>20.7</v>
      </c>
      <c r="Z303" s="116">
        <v>4.5999999999999996</v>
      </c>
      <c r="AA303" s="116">
        <v>71.900000000000006</v>
      </c>
      <c r="AB303" s="116">
        <v>92.5</v>
      </c>
      <c r="AC303" s="116">
        <v>44.2</v>
      </c>
      <c r="AD303" s="116">
        <v>12.19</v>
      </c>
      <c r="AE303" s="116">
        <v>1.2</v>
      </c>
      <c r="AF303" s="116">
        <v>3.9</v>
      </c>
      <c r="AG303" s="116">
        <v>8.6999999999999993</v>
      </c>
      <c r="AH303" s="116">
        <v>0</v>
      </c>
      <c r="AI303" s="116">
        <v>1.9</v>
      </c>
    </row>
    <row r="304" spans="1:35" s="71" customFormat="1">
      <c r="A304" s="210">
        <f t="shared" si="36"/>
        <v>24</v>
      </c>
      <c r="B304" s="210">
        <f t="shared" si="37"/>
        <v>10</v>
      </c>
      <c r="C304" s="210">
        <f t="shared" si="33"/>
        <v>2015</v>
      </c>
      <c r="D304" s="106">
        <f t="shared" si="32"/>
        <v>42301</v>
      </c>
      <c r="E304" s="230">
        <v>42301</v>
      </c>
      <c r="F304" s="229">
        <v>15.6</v>
      </c>
      <c r="G304" s="229">
        <v>22.5</v>
      </c>
      <c r="H304" s="229">
        <v>11.5</v>
      </c>
      <c r="I304" s="229">
        <v>81.2</v>
      </c>
      <c r="J304" s="229">
        <v>97</v>
      </c>
      <c r="K304" s="229">
        <v>47.9</v>
      </c>
      <c r="L304" s="229">
        <v>9.5</v>
      </c>
      <c r="M304" s="229">
        <v>1.6</v>
      </c>
      <c r="N304" s="229">
        <v>8.1</v>
      </c>
      <c r="O304" s="229">
        <v>7.9</v>
      </c>
      <c r="P304" s="229">
        <v>1.4</v>
      </c>
      <c r="Q304" s="229">
        <v>2.1</v>
      </c>
      <c r="R304" s="122"/>
      <c r="S304" s="122">
        <f t="shared" si="34"/>
        <v>24</v>
      </c>
      <c r="T304" s="122">
        <f t="shared" si="35"/>
        <v>10</v>
      </c>
      <c r="U304" s="122">
        <f>YEAR(Inputs!$I$8)</f>
        <v>2015</v>
      </c>
      <c r="V304" s="106"/>
      <c r="W304" s="69">
        <v>42301</v>
      </c>
      <c r="X304" s="116">
        <v>14.2</v>
      </c>
      <c r="Y304" s="116">
        <v>18</v>
      </c>
      <c r="Z304" s="116">
        <v>10.8</v>
      </c>
      <c r="AA304" s="116">
        <v>79.400000000000006</v>
      </c>
      <c r="AB304" s="116">
        <v>96.4</v>
      </c>
      <c r="AC304" s="116">
        <v>53.4</v>
      </c>
      <c r="AD304" s="116">
        <v>8.9700000000000006</v>
      </c>
      <c r="AE304" s="116">
        <v>2.5</v>
      </c>
      <c r="AF304" s="116">
        <v>6.6</v>
      </c>
      <c r="AG304" s="116">
        <v>8.1999999999999993</v>
      </c>
      <c r="AH304" s="116">
        <v>0</v>
      </c>
      <c r="AI304" s="116">
        <v>2</v>
      </c>
    </row>
    <row r="305" spans="1:35" s="71" customFormat="1">
      <c r="A305" s="210">
        <f t="shared" si="36"/>
        <v>25</v>
      </c>
      <c r="B305" s="210">
        <f t="shared" si="37"/>
        <v>10</v>
      </c>
      <c r="C305" s="210">
        <f t="shared" si="33"/>
        <v>2015</v>
      </c>
      <c r="D305" s="106">
        <f t="shared" si="32"/>
        <v>42302</v>
      </c>
      <c r="E305" s="230">
        <v>42302</v>
      </c>
      <c r="F305" s="229">
        <v>12.5</v>
      </c>
      <c r="G305" s="229">
        <v>15.9</v>
      </c>
      <c r="H305" s="229">
        <v>9.1999999999999993</v>
      </c>
      <c r="I305" s="229">
        <v>89.8</v>
      </c>
      <c r="J305" s="229">
        <v>96.9</v>
      </c>
      <c r="K305" s="229">
        <v>75.900000000000006</v>
      </c>
      <c r="L305" s="229">
        <v>6.15</v>
      </c>
      <c r="M305" s="229">
        <v>1.3</v>
      </c>
      <c r="N305" s="229">
        <v>6.6</v>
      </c>
      <c r="O305" s="229">
        <v>7</v>
      </c>
      <c r="P305" s="229">
        <v>2.6</v>
      </c>
      <c r="Q305" s="229">
        <v>1.1000000000000001</v>
      </c>
      <c r="R305" s="122"/>
      <c r="S305" s="122">
        <f t="shared" si="34"/>
        <v>25</v>
      </c>
      <c r="T305" s="122">
        <f t="shared" si="35"/>
        <v>10</v>
      </c>
      <c r="U305" s="122">
        <f>YEAR(Inputs!$I$8)</f>
        <v>2015</v>
      </c>
      <c r="V305" s="106"/>
      <c r="W305" s="69">
        <v>42302</v>
      </c>
      <c r="X305" s="116">
        <v>13.8</v>
      </c>
      <c r="Y305" s="116">
        <v>16.899999999999999</v>
      </c>
      <c r="Z305" s="116">
        <v>11.7</v>
      </c>
      <c r="AA305" s="116">
        <v>85.9</v>
      </c>
      <c r="AB305" s="116">
        <v>94.4</v>
      </c>
      <c r="AC305" s="116">
        <v>70.599999999999994</v>
      </c>
      <c r="AD305" s="116">
        <v>5.7</v>
      </c>
      <c r="AE305" s="116">
        <v>1.9</v>
      </c>
      <c r="AF305" s="116">
        <v>5.0999999999999996</v>
      </c>
      <c r="AG305" s="116">
        <v>6.3</v>
      </c>
      <c r="AH305" s="116">
        <v>0</v>
      </c>
      <c r="AI305" s="116">
        <v>1.3</v>
      </c>
    </row>
    <row r="306" spans="1:35" s="71" customFormat="1">
      <c r="A306" s="210">
        <f t="shared" si="36"/>
        <v>26</v>
      </c>
      <c r="B306" s="210">
        <f t="shared" si="37"/>
        <v>10</v>
      </c>
      <c r="C306" s="210">
        <f t="shared" si="33"/>
        <v>2015</v>
      </c>
      <c r="D306" s="106">
        <f t="shared" si="32"/>
        <v>42303</v>
      </c>
      <c r="E306" s="230">
        <v>42303</v>
      </c>
      <c r="F306" s="229">
        <v>16.3</v>
      </c>
      <c r="G306" s="229">
        <v>21</v>
      </c>
      <c r="H306" s="229">
        <v>13.5</v>
      </c>
      <c r="I306" s="229">
        <v>90</v>
      </c>
      <c r="J306" s="229">
        <v>96.6</v>
      </c>
      <c r="K306" s="229">
        <v>72.8</v>
      </c>
      <c r="L306" s="229">
        <v>7.79</v>
      </c>
      <c r="M306" s="229">
        <v>2.7</v>
      </c>
      <c r="N306" s="229">
        <v>6.2</v>
      </c>
      <c r="O306" s="229">
        <v>7.9</v>
      </c>
      <c r="P306" s="229">
        <v>0.2</v>
      </c>
      <c r="Q306" s="229">
        <v>1.6</v>
      </c>
      <c r="R306" s="122"/>
      <c r="S306" s="122">
        <f t="shared" si="34"/>
        <v>26</v>
      </c>
      <c r="T306" s="122">
        <f t="shared" si="35"/>
        <v>10</v>
      </c>
      <c r="U306" s="122">
        <f>YEAR(Inputs!$I$8)</f>
        <v>2015</v>
      </c>
      <c r="V306" s="106"/>
      <c r="W306" s="69">
        <v>42303</v>
      </c>
      <c r="X306" s="116">
        <v>13.6</v>
      </c>
      <c r="Y306" s="116">
        <v>17.399999999999999</v>
      </c>
      <c r="Z306" s="116">
        <v>10.1</v>
      </c>
      <c r="AA306" s="116">
        <v>86.8</v>
      </c>
      <c r="AB306" s="116">
        <v>98.5</v>
      </c>
      <c r="AC306" s="116">
        <v>69.099999999999994</v>
      </c>
      <c r="AD306" s="116">
        <v>6.67</v>
      </c>
      <c r="AE306" s="116">
        <v>1.7</v>
      </c>
      <c r="AF306" s="116">
        <v>5.9</v>
      </c>
      <c r="AG306" s="116">
        <v>8</v>
      </c>
      <c r="AH306" s="116">
        <v>0</v>
      </c>
      <c r="AI306" s="116">
        <v>1.3</v>
      </c>
    </row>
    <row r="307" spans="1:35" s="71" customFormat="1">
      <c r="A307" s="210">
        <f t="shared" si="36"/>
        <v>27</v>
      </c>
      <c r="B307" s="210">
        <f t="shared" si="37"/>
        <v>10</v>
      </c>
      <c r="C307" s="210">
        <f t="shared" si="33"/>
        <v>2015</v>
      </c>
      <c r="D307" s="106">
        <f t="shared" si="32"/>
        <v>42304</v>
      </c>
      <c r="E307" s="230">
        <v>42304</v>
      </c>
      <c r="F307" s="229">
        <v>17.2</v>
      </c>
      <c r="G307" s="229">
        <v>24.2</v>
      </c>
      <c r="H307" s="229">
        <v>12.3</v>
      </c>
      <c r="I307" s="229">
        <v>82.4</v>
      </c>
      <c r="J307" s="229">
        <v>97.7</v>
      </c>
      <c r="K307" s="229">
        <v>51</v>
      </c>
      <c r="L307" s="229">
        <v>11.69</v>
      </c>
      <c r="M307" s="229">
        <v>1.6</v>
      </c>
      <c r="N307" s="229">
        <v>4.4000000000000004</v>
      </c>
      <c r="O307" s="229">
        <v>8.1999999999999993</v>
      </c>
      <c r="P307" s="229">
        <v>0.2</v>
      </c>
      <c r="Q307" s="229">
        <v>2.2000000000000002</v>
      </c>
      <c r="R307" s="122"/>
      <c r="S307" s="122">
        <f t="shared" si="34"/>
        <v>27</v>
      </c>
      <c r="T307" s="122">
        <f t="shared" si="35"/>
        <v>10</v>
      </c>
      <c r="U307" s="122">
        <f>YEAR(Inputs!$I$8)</f>
        <v>2015</v>
      </c>
      <c r="V307" s="106"/>
      <c r="W307" s="69">
        <v>42304</v>
      </c>
      <c r="X307" s="116">
        <v>13</v>
      </c>
      <c r="Y307" s="116">
        <v>19.5</v>
      </c>
      <c r="Z307" s="116">
        <v>8.6999999999999993</v>
      </c>
      <c r="AA307" s="116">
        <v>88.7</v>
      </c>
      <c r="AB307" s="116">
        <v>99.5</v>
      </c>
      <c r="AC307" s="116">
        <v>60.4</v>
      </c>
      <c r="AD307" s="116">
        <v>7.42</v>
      </c>
      <c r="AE307" s="116">
        <v>2</v>
      </c>
      <c r="AF307" s="116">
        <v>9</v>
      </c>
      <c r="AG307" s="116">
        <v>7.3</v>
      </c>
      <c r="AH307" s="116">
        <v>3.9</v>
      </c>
      <c r="AI307" s="116">
        <v>1.6</v>
      </c>
    </row>
    <row r="308" spans="1:35" s="71" customFormat="1">
      <c r="A308" s="210">
        <f t="shared" si="36"/>
        <v>28</v>
      </c>
      <c r="B308" s="210">
        <f t="shared" si="37"/>
        <v>10</v>
      </c>
      <c r="C308" s="210">
        <f t="shared" si="33"/>
        <v>2015</v>
      </c>
      <c r="D308" s="106">
        <f t="shared" si="32"/>
        <v>42305</v>
      </c>
      <c r="E308" s="230">
        <v>42305</v>
      </c>
      <c r="F308" s="229">
        <v>16.8</v>
      </c>
      <c r="G308" s="229">
        <v>23.9</v>
      </c>
      <c r="H308" s="229">
        <v>11.1</v>
      </c>
      <c r="I308" s="229">
        <v>81.2</v>
      </c>
      <c r="J308" s="229">
        <v>97.4</v>
      </c>
      <c r="K308" s="229">
        <v>51.3</v>
      </c>
      <c r="L308" s="229">
        <v>13.57</v>
      </c>
      <c r="M308" s="229">
        <v>1.8</v>
      </c>
      <c r="N308" s="229">
        <v>5.2</v>
      </c>
      <c r="O308" s="229">
        <v>8.6999999999999993</v>
      </c>
      <c r="P308" s="229">
        <v>0</v>
      </c>
      <c r="Q308" s="229">
        <v>2.2999999999999998</v>
      </c>
      <c r="R308" s="122"/>
      <c r="S308" s="122">
        <f t="shared" si="34"/>
        <v>28</v>
      </c>
      <c r="T308" s="122">
        <f t="shared" si="35"/>
        <v>10</v>
      </c>
      <c r="U308" s="122">
        <f>YEAR(Inputs!$I$8)</f>
        <v>2015</v>
      </c>
      <c r="V308" s="106"/>
      <c r="W308" s="69">
        <v>42305</v>
      </c>
      <c r="X308" s="116">
        <v>10.8</v>
      </c>
      <c r="Y308" s="116">
        <v>16.3</v>
      </c>
      <c r="Z308" s="116">
        <v>6</v>
      </c>
      <c r="AA308" s="116">
        <v>81.400000000000006</v>
      </c>
      <c r="AB308" s="116">
        <v>95.9</v>
      </c>
      <c r="AC308" s="116">
        <v>54.3</v>
      </c>
      <c r="AD308" s="116">
        <v>9.0500000000000007</v>
      </c>
      <c r="AE308" s="116">
        <v>3.9</v>
      </c>
      <c r="AF308" s="116">
        <v>11.1</v>
      </c>
      <c r="AG308" s="116">
        <v>8.6</v>
      </c>
      <c r="AH308" s="116">
        <v>0.2</v>
      </c>
      <c r="AI308" s="116">
        <v>2.1</v>
      </c>
    </row>
    <row r="309" spans="1:35" s="71" customFormat="1">
      <c r="A309" s="210">
        <f t="shared" si="36"/>
        <v>29</v>
      </c>
      <c r="B309" s="210">
        <f t="shared" si="37"/>
        <v>10</v>
      </c>
      <c r="C309" s="210">
        <f t="shared" si="33"/>
        <v>2015</v>
      </c>
      <c r="D309" s="106">
        <f t="shared" si="32"/>
        <v>42306</v>
      </c>
      <c r="E309" s="230">
        <v>42306</v>
      </c>
      <c r="F309" s="229">
        <v>16.899999999999999</v>
      </c>
      <c r="G309" s="229">
        <v>22.7</v>
      </c>
      <c r="H309" s="229">
        <v>10.3</v>
      </c>
      <c r="I309" s="229">
        <v>79.900000000000006</v>
      </c>
      <c r="J309" s="229">
        <v>95</v>
      </c>
      <c r="K309" s="229">
        <v>48.2</v>
      </c>
      <c r="L309" s="229">
        <v>11.95</v>
      </c>
      <c r="M309" s="229">
        <v>2.2999999999999998</v>
      </c>
      <c r="N309" s="229">
        <v>6.8</v>
      </c>
      <c r="O309" s="229">
        <v>8.6999999999999993</v>
      </c>
      <c r="P309" s="229">
        <v>0</v>
      </c>
      <c r="Q309" s="229">
        <v>2.4</v>
      </c>
      <c r="R309" s="122"/>
      <c r="S309" s="122">
        <f t="shared" si="34"/>
        <v>29</v>
      </c>
      <c r="T309" s="122">
        <f t="shared" si="35"/>
        <v>10</v>
      </c>
      <c r="U309" s="122">
        <f>YEAR(Inputs!$I$8)</f>
        <v>2015</v>
      </c>
      <c r="V309" s="106"/>
      <c r="W309" s="69">
        <v>42306</v>
      </c>
      <c r="X309" s="116">
        <v>10.9</v>
      </c>
      <c r="Y309" s="116">
        <v>18.600000000000001</v>
      </c>
      <c r="Z309" s="116">
        <v>3.8</v>
      </c>
      <c r="AA309" s="116">
        <v>81.5</v>
      </c>
      <c r="AB309" s="116">
        <v>99.4</v>
      </c>
      <c r="AC309" s="116">
        <v>52.8</v>
      </c>
      <c r="AD309" s="116">
        <v>13.33</v>
      </c>
      <c r="AE309" s="116">
        <v>1.6</v>
      </c>
      <c r="AF309" s="116">
        <v>6.2</v>
      </c>
      <c r="AG309" s="116">
        <v>9</v>
      </c>
      <c r="AH309" s="116">
        <v>0</v>
      </c>
      <c r="AI309" s="116">
        <v>1.8</v>
      </c>
    </row>
    <row r="310" spans="1:35" s="71" customFormat="1">
      <c r="A310" s="210">
        <f t="shared" si="36"/>
        <v>30</v>
      </c>
      <c r="B310" s="210">
        <f t="shared" si="37"/>
        <v>10</v>
      </c>
      <c r="C310" s="210">
        <f t="shared" si="33"/>
        <v>2015</v>
      </c>
      <c r="D310" s="106">
        <f t="shared" si="32"/>
        <v>42307</v>
      </c>
      <c r="E310" s="230">
        <v>42307</v>
      </c>
      <c r="F310" s="229">
        <v>12.6</v>
      </c>
      <c r="G310" s="229">
        <v>21.9</v>
      </c>
      <c r="H310" s="229">
        <v>7</v>
      </c>
      <c r="I310" s="229">
        <v>76.400000000000006</v>
      </c>
      <c r="J310" s="229">
        <v>98.1</v>
      </c>
      <c r="K310" s="229">
        <v>33.200000000000003</v>
      </c>
      <c r="L310" s="229">
        <v>13.12</v>
      </c>
      <c r="M310" s="229">
        <v>1.3</v>
      </c>
      <c r="N310" s="229">
        <v>4.5</v>
      </c>
      <c r="O310" s="229">
        <v>8.3000000000000007</v>
      </c>
      <c r="P310" s="229">
        <v>0.2</v>
      </c>
      <c r="Q310" s="229">
        <v>2.1</v>
      </c>
      <c r="R310" s="122"/>
      <c r="S310" s="122">
        <f t="shared" si="34"/>
        <v>30</v>
      </c>
      <c r="T310" s="122">
        <f t="shared" si="35"/>
        <v>10</v>
      </c>
      <c r="U310" s="122">
        <f>YEAR(Inputs!$I$8)</f>
        <v>2015</v>
      </c>
      <c r="V310" s="106"/>
      <c r="W310" s="69">
        <v>42307</v>
      </c>
      <c r="X310" s="116">
        <v>13.4</v>
      </c>
      <c r="Y310" s="116">
        <v>21.6</v>
      </c>
      <c r="Z310" s="116">
        <v>5.2</v>
      </c>
      <c r="AA310" s="116">
        <v>77.900000000000006</v>
      </c>
      <c r="AB310" s="116">
        <v>98.9</v>
      </c>
      <c r="AC310" s="116">
        <v>48.1</v>
      </c>
      <c r="AD310" s="116">
        <v>13.8</v>
      </c>
      <c r="AE310" s="116">
        <v>2.1</v>
      </c>
      <c r="AF310" s="116">
        <v>7.4</v>
      </c>
      <c r="AG310" s="116">
        <v>9</v>
      </c>
      <c r="AH310" s="116">
        <v>0</v>
      </c>
      <c r="AI310" s="116">
        <v>2.2000000000000002</v>
      </c>
    </row>
    <row r="311" spans="1:35" s="71" customFormat="1">
      <c r="A311" s="210">
        <f t="shared" si="36"/>
        <v>31</v>
      </c>
      <c r="B311" s="210">
        <f t="shared" si="37"/>
        <v>10</v>
      </c>
      <c r="C311" s="210">
        <f t="shared" si="33"/>
        <v>2015</v>
      </c>
      <c r="D311" s="106">
        <f t="shared" si="32"/>
        <v>42308</v>
      </c>
      <c r="E311" s="230">
        <v>42308</v>
      </c>
      <c r="F311" s="229">
        <v>12.2</v>
      </c>
      <c r="G311" s="229">
        <v>24.8</v>
      </c>
      <c r="H311" s="229">
        <v>2.6</v>
      </c>
      <c r="I311" s="229">
        <v>61.2</v>
      </c>
      <c r="J311" s="229">
        <v>94.2</v>
      </c>
      <c r="K311" s="229">
        <v>15.1</v>
      </c>
      <c r="L311" s="229">
        <v>15.14</v>
      </c>
      <c r="M311" s="229">
        <v>0.6</v>
      </c>
      <c r="N311" s="229">
        <v>2.2999999999999998</v>
      </c>
      <c r="O311" s="229">
        <v>9.1999999999999993</v>
      </c>
      <c r="P311" s="229">
        <v>0.2</v>
      </c>
      <c r="Q311" s="229">
        <v>1.7</v>
      </c>
      <c r="R311" s="122"/>
      <c r="S311" s="122">
        <f t="shared" si="34"/>
        <v>31</v>
      </c>
      <c r="T311" s="122">
        <f t="shared" si="35"/>
        <v>10</v>
      </c>
      <c r="U311" s="122">
        <f>YEAR(Inputs!$I$8)</f>
        <v>2015</v>
      </c>
      <c r="V311" s="106"/>
      <c r="W311" s="69">
        <v>42308</v>
      </c>
      <c r="X311" s="116">
        <v>15</v>
      </c>
      <c r="Y311" s="116">
        <v>19.7</v>
      </c>
      <c r="Z311" s="116">
        <v>10</v>
      </c>
      <c r="AA311" s="116">
        <v>75.5</v>
      </c>
      <c r="AB311" s="116">
        <v>95.6</v>
      </c>
      <c r="AC311" s="116">
        <v>53.6</v>
      </c>
      <c r="AD311" s="116">
        <v>13.6</v>
      </c>
      <c r="AE311" s="116">
        <v>2.8</v>
      </c>
      <c r="AF311" s="116">
        <v>7.6</v>
      </c>
      <c r="AG311" s="116">
        <v>8.8000000000000007</v>
      </c>
      <c r="AH311" s="116">
        <v>0</v>
      </c>
      <c r="AI311" s="116">
        <v>2.2000000000000002</v>
      </c>
    </row>
    <row r="312" spans="1:35" s="71" customFormat="1">
      <c r="A312" s="210">
        <f t="shared" si="36"/>
        <v>1</v>
      </c>
      <c r="B312" s="210">
        <f t="shared" si="37"/>
        <v>11</v>
      </c>
      <c r="C312" s="210">
        <f t="shared" si="33"/>
        <v>2015</v>
      </c>
      <c r="D312" s="106">
        <f t="shared" si="32"/>
        <v>42309</v>
      </c>
      <c r="E312" s="230">
        <v>42309</v>
      </c>
      <c r="F312" s="229">
        <v>10.5</v>
      </c>
      <c r="G312" s="229">
        <v>19.2</v>
      </c>
      <c r="H312" s="229">
        <v>3.1</v>
      </c>
      <c r="I312" s="229">
        <v>82.8</v>
      </c>
      <c r="J312" s="229">
        <v>98</v>
      </c>
      <c r="K312" s="229">
        <v>45</v>
      </c>
      <c r="L312" s="229">
        <v>12.41</v>
      </c>
      <c r="M312" s="229">
        <v>1.7</v>
      </c>
      <c r="N312" s="229">
        <v>5.7</v>
      </c>
      <c r="O312" s="229">
        <v>8.3000000000000007</v>
      </c>
      <c r="P312" s="229">
        <v>0.2</v>
      </c>
      <c r="Q312" s="229">
        <v>1.9</v>
      </c>
      <c r="R312" s="122"/>
      <c r="S312" s="122">
        <f t="shared" si="34"/>
        <v>1</v>
      </c>
      <c r="T312" s="122">
        <f t="shared" si="35"/>
        <v>11</v>
      </c>
      <c r="U312" s="122">
        <f>YEAR(Inputs!$I$8)</f>
        <v>2015</v>
      </c>
      <c r="V312" s="106"/>
      <c r="W312" s="69">
        <v>42309</v>
      </c>
      <c r="X312" s="116">
        <v>13.3</v>
      </c>
      <c r="Y312" s="116">
        <v>17.100000000000001</v>
      </c>
      <c r="Z312" s="116">
        <v>9</v>
      </c>
      <c r="AA312" s="116">
        <v>80.599999999999994</v>
      </c>
      <c r="AB312" s="116">
        <v>95.3</v>
      </c>
      <c r="AC312" s="116">
        <v>60</v>
      </c>
      <c r="AD312" s="116">
        <v>7.74</v>
      </c>
      <c r="AE312" s="116">
        <v>5.2</v>
      </c>
      <c r="AF312" s="116">
        <v>12</v>
      </c>
      <c r="AG312" s="116">
        <v>8.3000000000000007</v>
      </c>
      <c r="AH312" s="116">
        <v>1</v>
      </c>
      <c r="AI312" s="116">
        <v>2.1</v>
      </c>
    </row>
    <row r="313" spans="1:35" s="71" customFormat="1">
      <c r="A313" s="210">
        <f t="shared" si="36"/>
        <v>2</v>
      </c>
      <c r="B313" s="210">
        <f t="shared" si="37"/>
        <v>11</v>
      </c>
      <c r="C313" s="210">
        <f t="shared" si="33"/>
        <v>2015</v>
      </c>
      <c r="D313" s="106">
        <f t="shared" si="32"/>
        <v>42310</v>
      </c>
      <c r="E313" s="230">
        <v>42310</v>
      </c>
      <c r="F313" s="229">
        <v>12.7</v>
      </c>
      <c r="G313" s="229">
        <v>21.3</v>
      </c>
      <c r="H313" s="229">
        <v>6</v>
      </c>
      <c r="I313" s="229">
        <v>73.7</v>
      </c>
      <c r="J313" s="229">
        <v>97.1</v>
      </c>
      <c r="K313" s="229">
        <v>34.799999999999997</v>
      </c>
      <c r="L313" s="229">
        <v>13.06</v>
      </c>
      <c r="M313" s="229">
        <v>1.5</v>
      </c>
      <c r="N313" s="229">
        <v>5.2</v>
      </c>
      <c r="O313" s="229">
        <v>8.6999999999999993</v>
      </c>
      <c r="P313" s="229">
        <v>0</v>
      </c>
      <c r="Q313" s="229">
        <v>2.1</v>
      </c>
      <c r="R313" s="122"/>
      <c r="S313" s="122">
        <f t="shared" si="34"/>
        <v>2</v>
      </c>
      <c r="T313" s="122">
        <f t="shared" si="35"/>
        <v>11</v>
      </c>
      <c r="U313" s="122">
        <f>YEAR(Inputs!$I$8)</f>
        <v>2015</v>
      </c>
      <c r="V313" s="106"/>
      <c r="W313" s="69">
        <v>42310</v>
      </c>
      <c r="X313" s="116">
        <v>11.7</v>
      </c>
      <c r="Y313" s="116">
        <v>16.100000000000001</v>
      </c>
      <c r="Z313" s="116">
        <v>7</v>
      </c>
      <c r="AA313" s="116">
        <v>86.9</v>
      </c>
      <c r="AB313" s="116">
        <v>99.2</v>
      </c>
      <c r="AC313" s="116">
        <v>61.5</v>
      </c>
      <c r="AD313" s="116">
        <v>9.92</v>
      </c>
      <c r="AE313" s="116">
        <v>2.8</v>
      </c>
      <c r="AF313" s="116">
        <v>13.1</v>
      </c>
      <c r="AG313" s="116">
        <v>7.8</v>
      </c>
      <c r="AH313" s="116">
        <v>27.8</v>
      </c>
      <c r="AI313" s="116">
        <v>1.6</v>
      </c>
    </row>
    <row r="314" spans="1:35" s="71" customFormat="1">
      <c r="A314" s="210">
        <f t="shared" si="36"/>
        <v>3</v>
      </c>
      <c r="B314" s="210">
        <f t="shared" si="37"/>
        <v>11</v>
      </c>
      <c r="C314" s="210">
        <f t="shared" si="33"/>
        <v>2015</v>
      </c>
      <c r="D314" s="106">
        <f t="shared" si="32"/>
        <v>42311</v>
      </c>
      <c r="E314" s="230">
        <v>42311</v>
      </c>
      <c r="F314" s="229">
        <v>13.1</v>
      </c>
      <c r="G314" s="229">
        <v>23.3</v>
      </c>
      <c r="H314" s="229">
        <v>4.8</v>
      </c>
      <c r="I314" s="229">
        <v>67</v>
      </c>
      <c r="J314" s="229">
        <v>93.9</v>
      </c>
      <c r="K314" s="229">
        <v>30.2</v>
      </c>
      <c r="L314" s="229">
        <v>13.21</v>
      </c>
      <c r="M314" s="229">
        <v>1.2</v>
      </c>
      <c r="N314" s="229">
        <v>6.3</v>
      </c>
      <c r="O314" s="229">
        <v>8.6999999999999993</v>
      </c>
      <c r="P314" s="229">
        <v>0</v>
      </c>
      <c r="Q314" s="229">
        <v>2.1</v>
      </c>
      <c r="R314" s="122"/>
      <c r="S314" s="122">
        <f t="shared" si="34"/>
        <v>3</v>
      </c>
      <c r="T314" s="122">
        <f t="shared" si="35"/>
        <v>11</v>
      </c>
      <c r="U314" s="122">
        <f>YEAR(Inputs!$I$8)</f>
        <v>2015</v>
      </c>
      <c r="V314" s="106"/>
      <c r="W314" s="69">
        <v>42311</v>
      </c>
      <c r="X314" s="116">
        <v>11.3</v>
      </c>
      <c r="Y314" s="116">
        <v>15.9</v>
      </c>
      <c r="Z314" s="116">
        <v>6.8</v>
      </c>
      <c r="AA314" s="116">
        <v>89.6</v>
      </c>
      <c r="AB314" s="116">
        <v>98.1</v>
      </c>
      <c r="AC314" s="116">
        <v>76.400000000000006</v>
      </c>
      <c r="AD314" s="116">
        <v>6.37</v>
      </c>
      <c r="AE314" s="116">
        <v>2.2000000000000002</v>
      </c>
      <c r="AF314" s="116">
        <v>7.4</v>
      </c>
      <c r="AG314" s="116">
        <v>8.3000000000000007</v>
      </c>
      <c r="AH314" s="116">
        <v>5.3</v>
      </c>
      <c r="AI314" s="116">
        <v>1.1000000000000001</v>
      </c>
    </row>
    <row r="315" spans="1:35" s="71" customFormat="1">
      <c r="A315" s="210">
        <f t="shared" si="36"/>
        <v>4</v>
      </c>
      <c r="B315" s="210">
        <f t="shared" si="37"/>
        <v>11</v>
      </c>
      <c r="C315" s="210">
        <f t="shared" si="33"/>
        <v>2015</v>
      </c>
      <c r="D315" s="106">
        <f t="shared" si="32"/>
        <v>42312</v>
      </c>
      <c r="E315" s="230">
        <v>42312</v>
      </c>
      <c r="F315" s="229">
        <v>13.6</v>
      </c>
      <c r="G315" s="229">
        <v>23.5</v>
      </c>
      <c r="H315" s="229">
        <v>5.0999999999999996</v>
      </c>
      <c r="I315" s="229">
        <v>68</v>
      </c>
      <c r="J315" s="229">
        <v>95.3</v>
      </c>
      <c r="K315" s="229">
        <v>33.799999999999997</v>
      </c>
      <c r="L315" s="229">
        <v>12.36</v>
      </c>
      <c r="M315" s="229">
        <v>0.6</v>
      </c>
      <c r="N315" s="229">
        <v>3</v>
      </c>
      <c r="O315" s="229">
        <v>8.1999999999999993</v>
      </c>
      <c r="P315" s="229">
        <v>0.2</v>
      </c>
      <c r="Q315" s="229">
        <v>1.5</v>
      </c>
      <c r="R315" s="122"/>
      <c r="S315" s="122">
        <f t="shared" si="34"/>
        <v>4</v>
      </c>
      <c r="T315" s="122">
        <f t="shared" si="35"/>
        <v>11</v>
      </c>
      <c r="U315" s="122">
        <f>YEAR(Inputs!$I$8)</f>
        <v>2015</v>
      </c>
      <c r="V315" s="106"/>
      <c r="W315" s="69">
        <v>42312</v>
      </c>
      <c r="X315" s="116">
        <v>11.6</v>
      </c>
      <c r="Y315" s="116">
        <v>18.2</v>
      </c>
      <c r="Z315" s="116">
        <v>5.0999999999999996</v>
      </c>
      <c r="AA315" s="116">
        <v>88.7</v>
      </c>
      <c r="AB315" s="116">
        <v>100</v>
      </c>
      <c r="AC315" s="116">
        <v>62.7</v>
      </c>
      <c r="AD315" s="116">
        <v>10.19</v>
      </c>
      <c r="AE315" s="116">
        <v>0.6</v>
      </c>
      <c r="AF315" s="116">
        <v>3.7</v>
      </c>
      <c r="AG315" s="116">
        <v>7.8</v>
      </c>
      <c r="AH315" s="116">
        <v>0.2</v>
      </c>
      <c r="AI315" s="116">
        <v>1.1000000000000001</v>
      </c>
    </row>
    <row r="316" spans="1:35" s="71" customFormat="1">
      <c r="A316" s="210">
        <f t="shared" si="36"/>
        <v>5</v>
      </c>
      <c r="B316" s="210">
        <f t="shared" si="37"/>
        <v>11</v>
      </c>
      <c r="C316" s="210">
        <f t="shared" si="33"/>
        <v>2015</v>
      </c>
      <c r="D316" s="106">
        <f t="shared" si="32"/>
        <v>42313</v>
      </c>
      <c r="E316" s="230">
        <v>42313</v>
      </c>
      <c r="F316" s="229">
        <v>13.6</v>
      </c>
      <c r="G316" s="229">
        <v>17.5</v>
      </c>
      <c r="H316" s="229">
        <v>9.8000000000000007</v>
      </c>
      <c r="I316" s="229">
        <v>80</v>
      </c>
      <c r="J316" s="229">
        <v>92.2</v>
      </c>
      <c r="K316" s="229">
        <v>64.5</v>
      </c>
      <c r="L316" s="229">
        <v>5.49</v>
      </c>
      <c r="M316" s="229">
        <v>1.2</v>
      </c>
      <c r="N316" s="229">
        <v>4.4000000000000004</v>
      </c>
      <c r="O316" s="229">
        <v>5.9</v>
      </c>
      <c r="P316" s="229">
        <v>0.2</v>
      </c>
      <c r="Q316" s="229">
        <v>1.2</v>
      </c>
      <c r="R316" s="122"/>
      <c r="S316" s="122">
        <f t="shared" si="34"/>
        <v>5</v>
      </c>
      <c r="T316" s="122">
        <f t="shared" si="35"/>
        <v>11</v>
      </c>
      <c r="U316" s="122">
        <f>YEAR(Inputs!$I$8)</f>
        <v>2015</v>
      </c>
      <c r="V316" s="106"/>
      <c r="W316" s="69">
        <v>42313</v>
      </c>
      <c r="X316" s="116">
        <v>12.9</v>
      </c>
      <c r="Y316" s="116">
        <v>18</v>
      </c>
      <c r="Z316" s="116">
        <v>9.1999999999999993</v>
      </c>
      <c r="AA316" s="116">
        <v>88.3</v>
      </c>
      <c r="AB316" s="116">
        <v>97.1</v>
      </c>
      <c r="AC316" s="116">
        <v>72.5</v>
      </c>
      <c r="AD316" s="116">
        <v>9.74</v>
      </c>
      <c r="AE316" s="116">
        <v>1.9</v>
      </c>
      <c r="AF316" s="116">
        <v>6.9</v>
      </c>
      <c r="AG316" s="116">
        <v>8.4</v>
      </c>
      <c r="AH316" s="116">
        <v>0.2</v>
      </c>
      <c r="AI316" s="116">
        <v>1.3</v>
      </c>
    </row>
    <row r="317" spans="1:35" s="71" customFormat="1">
      <c r="A317" s="210">
        <f t="shared" si="36"/>
        <v>6</v>
      </c>
      <c r="B317" s="210">
        <f t="shared" si="37"/>
        <v>11</v>
      </c>
      <c r="C317" s="210">
        <f t="shared" si="33"/>
        <v>2015</v>
      </c>
      <c r="D317" s="106">
        <f t="shared" si="32"/>
        <v>42314</v>
      </c>
      <c r="E317" s="230">
        <v>42314</v>
      </c>
      <c r="F317" s="229">
        <v>13.8</v>
      </c>
      <c r="G317" s="229">
        <v>17.5</v>
      </c>
      <c r="H317" s="229">
        <v>9.3000000000000007</v>
      </c>
      <c r="I317" s="229">
        <v>80.2</v>
      </c>
      <c r="J317" s="229">
        <v>96.1</v>
      </c>
      <c r="K317" s="229">
        <v>60.4</v>
      </c>
      <c r="L317" s="229">
        <v>8.25</v>
      </c>
      <c r="M317" s="229">
        <v>2.9</v>
      </c>
      <c r="N317" s="229">
        <v>10.4</v>
      </c>
      <c r="O317" s="229">
        <v>7.8</v>
      </c>
      <c r="P317" s="229">
        <v>9.9</v>
      </c>
      <c r="Q317" s="229">
        <v>1.7</v>
      </c>
      <c r="R317" s="122"/>
      <c r="S317" s="122">
        <f t="shared" si="34"/>
        <v>6</v>
      </c>
      <c r="T317" s="122">
        <f t="shared" si="35"/>
        <v>11</v>
      </c>
      <c r="U317" s="122">
        <f>YEAR(Inputs!$I$8)</f>
        <v>2015</v>
      </c>
      <c r="V317" s="106"/>
      <c r="W317" s="69">
        <v>42314</v>
      </c>
      <c r="X317" s="116">
        <v>13.6</v>
      </c>
      <c r="Y317" s="116">
        <v>20.399999999999999</v>
      </c>
      <c r="Z317" s="116">
        <v>8.4</v>
      </c>
      <c r="AA317" s="116">
        <v>86.5</v>
      </c>
      <c r="AB317" s="116">
        <v>98.7</v>
      </c>
      <c r="AC317" s="116">
        <v>58.9</v>
      </c>
      <c r="AD317" s="116">
        <v>12.7</v>
      </c>
      <c r="AE317" s="116">
        <v>1</v>
      </c>
      <c r="AF317" s="116">
        <v>3.3</v>
      </c>
      <c r="AG317" s="116">
        <v>8.6999999999999993</v>
      </c>
      <c r="AH317" s="116">
        <v>0</v>
      </c>
      <c r="AI317" s="116">
        <v>1.5</v>
      </c>
    </row>
    <row r="318" spans="1:35" s="71" customFormat="1">
      <c r="A318" s="210">
        <f t="shared" si="36"/>
        <v>7</v>
      </c>
      <c r="B318" s="210">
        <f t="shared" si="37"/>
        <v>11</v>
      </c>
      <c r="C318" s="210">
        <f t="shared" si="33"/>
        <v>2015</v>
      </c>
      <c r="D318" s="106">
        <f t="shared" si="32"/>
        <v>42315</v>
      </c>
      <c r="E318" s="230">
        <v>42315</v>
      </c>
      <c r="F318" s="229">
        <v>8.5</v>
      </c>
      <c r="G318" s="229">
        <v>11.6</v>
      </c>
      <c r="H318" s="229">
        <v>5.4</v>
      </c>
      <c r="I318" s="229">
        <v>79.8</v>
      </c>
      <c r="J318" s="229">
        <v>96.1</v>
      </c>
      <c r="K318" s="229">
        <v>56.1</v>
      </c>
      <c r="L318" s="229">
        <v>13.27</v>
      </c>
      <c r="M318" s="229">
        <v>3.8</v>
      </c>
      <c r="N318" s="229">
        <v>8.6</v>
      </c>
      <c r="O318" s="229">
        <v>8.3000000000000007</v>
      </c>
      <c r="P318" s="229">
        <v>0.4</v>
      </c>
      <c r="Q318" s="229">
        <v>1.6</v>
      </c>
      <c r="R318" s="122"/>
      <c r="S318" s="122">
        <f t="shared" si="34"/>
        <v>7</v>
      </c>
      <c r="T318" s="122">
        <f t="shared" si="35"/>
        <v>11</v>
      </c>
      <c r="U318" s="122">
        <f>YEAR(Inputs!$I$8)</f>
        <v>2015</v>
      </c>
      <c r="V318" s="106"/>
      <c r="W318" s="69">
        <v>42315</v>
      </c>
      <c r="X318" s="116">
        <v>13.2</v>
      </c>
      <c r="Y318" s="116">
        <v>21.5</v>
      </c>
      <c r="Z318" s="116">
        <v>6.9</v>
      </c>
      <c r="AA318" s="116">
        <v>87</v>
      </c>
      <c r="AB318" s="116">
        <v>100</v>
      </c>
      <c r="AC318" s="116">
        <v>55.2</v>
      </c>
      <c r="AD318" s="116">
        <v>12.4</v>
      </c>
      <c r="AE318" s="116">
        <v>1.1000000000000001</v>
      </c>
      <c r="AF318" s="116">
        <v>4.4000000000000004</v>
      </c>
      <c r="AG318" s="116">
        <v>8.4</v>
      </c>
      <c r="AH318" s="116">
        <v>0.4</v>
      </c>
      <c r="AI318" s="116">
        <v>1.6</v>
      </c>
    </row>
    <row r="319" spans="1:35" s="71" customFormat="1">
      <c r="A319" s="210">
        <f t="shared" si="36"/>
        <v>8</v>
      </c>
      <c r="B319" s="210">
        <f t="shared" si="37"/>
        <v>11</v>
      </c>
      <c r="C319" s="210">
        <f t="shared" si="33"/>
        <v>2015</v>
      </c>
      <c r="D319" s="106">
        <f t="shared" si="32"/>
        <v>42316</v>
      </c>
      <c r="E319" s="230">
        <v>42316</v>
      </c>
      <c r="F319" s="229">
        <v>5.2</v>
      </c>
      <c r="G319" s="229">
        <v>10.5</v>
      </c>
      <c r="H319" s="229">
        <v>0.1</v>
      </c>
      <c r="I319" s="229">
        <v>78.400000000000006</v>
      </c>
      <c r="J319" s="229">
        <v>96.1</v>
      </c>
      <c r="K319" s="229">
        <v>47.8</v>
      </c>
      <c r="L319" s="229">
        <v>11.43</v>
      </c>
      <c r="M319" s="229">
        <v>2.9</v>
      </c>
      <c r="N319" s="229">
        <v>8.6</v>
      </c>
      <c r="O319" s="229">
        <v>8.8000000000000007</v>
      </c>
      <c r="P319" s="229">
        <v>0</v>
      </c>
      <c r="Q319" s="229">
        <v>1.5</v>
      </c>
      <c r="R319" s="122"/>
      <c r="S319" s="122">
        <f t="shared" si="34"/>
        <v>8</v>
      </c>
      <c r="T319" s="122">
        <f t="shared" si="35"/>
        <v>11</v>
      </c>
      <c r="U319" s="122">
        <f>YEAR(Inputs!$I$8)</f>
        <v>2015</v>
      </c>
      <c r="V319" s="106"/>
      <c r="W319" s="69">
        <v>42316</v>
      </c>
      <c r="X319" s="116">
        <v>12</v>
      </c>
      <c r="Y319" s="116">
        <v>19.2</v>
      </c>
      <c r="Z319" s="116">
        <v>6.6</v>
      </c>
      <c r="AA319" s="116">
        <v>87.5</v>
      </c>
      <c r="AB319" s="116">
        <v>100</v>
      </c>
      <c r="AC319" s="116">
        <v>55.3</v>
      </c>
      <c r="AD319" s="116">
        <v>12.97</v>
      </c>
      <c r="AE319" s="116">
        <v>1.9</v>
      </c>
      <c r="AF319" s="116">
        <v>6</v>
      </c>
      <c r="AG319" s="116">
        <v>8.6999999999999993</v>
      </c>
      <c r="AH319" s="116">
        <v>0.2</v>
      </c>
      <c r="AI319" s="116">
        <v>1.7</v>
      </c>
    </row>
    <row r="320" spans="1:35" s="71" customFormat="1">
      <c r="A320" s="210">
        <f t="shared" si="36"/>
        <v>9</v>
      </c>
      <c r="B320" s="210">
        <f t="shared" si="37"/>
        <v>11</v>
      </c>
      <c r="C320" s="210">
        <f t="shared" si="33"/>
        <v>2015</v>
      </c>
      <c r="D320" s="106">
        <f t="shared" si="32"/>
        <v>42317</v>
      </c>
      <c r="E320" s="230">
        <v>42317</v>
      </c>
      <c r="F320" s="229">
        <v>4.8</v>
      </c>
      <c r="G320" s="229">
        <v>10.3</v>
      </c>
      <c r="H320" s="229">
        <v>0.5</v>
      </c>
      <c r="I320" s="229">
        <v>71.5</v>
      </c>
      <c r="J320" s="229">
        <v>88.2</v>
      </c>
      <c r="K320" s="229">
        <v>42.6</v>
      </c>
      <c r="L320" s="229">
        <v>13.6</v>
      </c>
      <c r="M320" s="229">
        <v>4.9000000000000004</v>
      </c>
      <c r="N320" s="229">
        <v>11.9</v>
      </c>
      <c r="O320" s="229">
        <v>8.8000000000000007</v>
      </c>
      <c r="P320" s="229">
        <v>0.2</v>
      </c>
      <c r="Q320" s="229">
        <v>2.1</v>
      </c>
      <c r="R320" s="122"/>
      <c r="S320" s="122">
        <f t="shared" si="34"/>
        <v>9</v>
      </c>
      <c r="T320" s="122">
        <f t="shared" si="35"/>
        <v>11</v>
      </c>
      <c r="U320" s="122">
        <f>YEAR(Inputs!$I$8)</f>
        <v>2015</v>
      </c>
      <c r="V320" s="106"/>
      <c r="W320" s="69">
        <v>42317</v>
      </c>
      <c r="X320" s="116">
        <v>10.5</v>
      </c>
      <c r="Y320" s="116">
        <v>19.399999999999999</v>
      </c>
      <c r="Z320" s="116">
        <v>5</v>
      </c>
      <c r="AA320" s="116">
        <v>90</v>
      </c>
      <c r="AB320" s="116">
        <v>100</v>
      </c>
      <c r="AC320" s="116">
        <v>55</v>
      </c>
      <c r="AD320" s="116">
        <v>9.5500000000000007</v>
      </c>
      <c r="AE320" s="116">
        <v>1.4</v>
      </c>
      <c r="AF320" s="116">
        <v>4.2</v>
      </c>
      <c r="AG320" s="116">
        <v>7.7</v>
      </c>
      <c r="AH320" s="116">
        <v>0.2</v>
      </c>
      <c r="AI320" s="116">
        <v>1.4</v>
      </c>
    </row>
    <row r="321" spans="1:35" s="71" customFormat="1">
      <c r="A321" s="210">
        <f t="shared" si="36"/>
        <v>10</v>
      </c>
      <c r="B321" s="210">
        <f t="shared" si="37"/>
        <v>11</v>
      </c>
      <c r="C321" s="210">
        <f t="shared" si="33"/>
        <v>2015</v>
      </c>
      <c r="D321" s="106">
        <f t="shared" si="32"/>
        <v>42318</v>
      </c>
      <c r="E321" s="230">
        <v>42318</v>
      </c>
      <c r="F321" s="229">
        <v>8.3000000000000007</v>
      </c>
      <c r="G321" s="229">
        <v>12.5</v>
      </c>
      <c r="H321" s="229">
        <v>4.4000000000000004</v>
      </c>
      <c r="I321" s="229">
        <v>80.8</v>
      </c>
      <c r="J321" s="229">
        <v>93.9</v>
      </c>
      <c r="K321" s="229">
        <v>72.099999999999994</v>
      </c>
      <c r="L321" s="229">
        <v>3.81</v>
      </c>
      <c r="M321" s="229">
        <v>5</v>
      </c>
      <c r="N321" s="229">
        <v>11.2</v>
      </c>
      <c r="O321" s="229">
        <v>6.4</v>
      </c>
      <c r="P321" s="229">
        <v>0</v>
      </c>
      <c r="Q321" s="229">
        <v>1.3</v>
      </c>
      <c r="R321" s="122"/>
      <c r="S321" s="122">
        <f t="shared" si="34"/>
        <v>10</v>
      </c>
      <c r="T321" s="122">
        <f t="shared" si="35"/>
        <v>11</v>
      </c>
      <c r="U321" s="122">
        <f>YEAR(Inputs!$I$8)</f>
        <v>2015</v>
      </c>
      <c r="V321" s="106"/>
      <c r="W321" s="69">
        <v>42318</v>
      </c>
      <c r="X321" s="116">
        <v>10</v>
      </c>
      <c r="Y321" s="116">
        <v>21</v>
      </c>
      <c r="Z321" s="116">
        <v>2</v>
      </c>
      <c r="AA321" s="116">
        <v>81.599999999999994</v>
      </c>
      <c r="AB321" s="116">
        <v>100</v>
      </c>
      <c r="AC321" s="116">
        <v>40</v>
      </c>
      <c r="AD321" s="116">
        <v>12.85</v>
      </c>
      <c r="AE321" s="116">
        <v>0.6</v>
      </c>
      <c r="AF321" s="116">
        <v>2.6</v>
      </c>
      <c r="AG321" s="116">
        <v>8.6</v>
      </c>
      <c r="AH321" s="116">
        <v>0.2</v>
      </c>
      <c r="AI321" s="116">
        <v>1.3</v>
      </c>
    </row>
    <row r="322" spans="1:35" s="71" customFormat="1">
      <c r="A322" s="210">
        <f t="shared" si="36"/>
        <v>11</v>
      </c>
      <c r="B322" s="210">
        <f t="shared" si="37"/>
        <v>11</v>
      </c>
      <c r="C322" s="210">
        <f t="shared" si="33"/>
        <v>2015</v>
      </c>
      <c r="D322" s="106">
        <f t="shared" si="32"/>
        <v>42319</v>
      </c>
      <c r="E322" s="230">
        <v>42319</v>
      </c>
      <c r="F322" s="229">
        <v>7.3</v>
      </c>
      <c r="G322" s="229">
        <v>13.2</v>
      </c>
      <c r="H322" s="229">
        <v>1.5</v>
      </c>
      <c r="I322" s="229">
        <v>77.3</v>
      </c>
      <c r="J322" s="229">
        <v>96.4</v>
      </c>
      <c r="K322" s="229">
        <v>48</v>
      </c>
      <c r="L322" s="229">
        <v>13.07</v>
      </c>
      <c r="M322" s="229">
        <v>2.9</v>
      </c>
      <c r="N322" s="229">
        <v>7.5</v>
      </c>
      <c r="O322" s="229">
        <v>8.6999999999999993</v>
      </c>
      <c r="P322" s="229">
        <v>0</v>
      </c>
      <c r="Q322" s="229">
        <v>1.7</v>
      </c>
      <c r="R322" s="122"/>
      <c r="S322" s="122">
        <f t="shared" si="34"/>
        <v>11</v>
      </c>
      <c r="T322" s="122">
        <f t="shared" si="35"/>
        <v>11</v>
      </c>
      <c r="U322" s="122">
        <f>YEAR(Inputs!$I$8)</f>
        <v>2015</v>
      </c>
      <c r="V322" s="106"/>
      <c r="W322" s="69">
        <v>42319</v>
      </c>
      <c r="X322" s="116">
        <v>9.8000000000000007</v>
      </c>
      <c r="Y322" s="116">
        <v>21</v>
      </c>
      <c r="Z322" s="116">
        <v>0.9</v>
      </c>
      <c r="AA322" s="116">
        <v>78.2</v>
      </c>
      <c r="AB322" s="116">
        <v>100</v>
      </c>
      <c r="AC322" s="116">
        <v>34.299999999999997</v>
      </c>
      <c r="AD322" s="116">
        <v>12.73</v>
      </c>
      <c r="AE322" s="116">
        <v>0.8</v>
      </c>
      <c r="AF322" s="116">
        <v>3.2</v>
      </c>
      <c r="AG322" s="116">
        <v>8.6</v>
      </c>
      <c r="AH322" s="116">
        <v>0.2</v>
      </c>
      <c r="AI322" s="116">
        <v>1.4</v>
      </c>
    </row>
    <row r="323" spans="1:35" s="71" customFormat="1">
      <c r="A323" s="210">
        <f t="shared" si="36"/>
        <v>12</v>
      </c>
      <c r="B323" s="210">
        <f t="shared" si="37"/>
        <v>11</v>
      </c>
      <c r="C323" s="210">
        <f t="shared" si="33"/>
        <v>2015</v>
      </c>
      <c r="D323" s="106">
        <f t="shared" si="32"/>
        <v>42320</v>
      </c>
      <c r="E323" s="230">
        <v>42320</v>
      </c>
      <c r="F323" s="229">
        <v>6.6</v>
      </c>
      <c r="G323" s="229">
        <v>14.8</v>
      </c>
      <c r="H323" s="229">
        <v>-0.2</v>
      </c>
      <c r="I323" s="229">
        <v>75.2</v>
      </c>
      <c r="J323" s="229">
        <v>94.7</v>
      </c>
      <c r="K323" s="229">
        <v>44.5</v>
      </c>
      <c r="L323" s="229">
        <v>12.96</v>
      </c>
      <c r="M323" s="229">
        <v>3.2</v>
      </c>
      <c r="N323" s="229">
        <v>8.3000000000000007</v>
      </c>
      <c r="O323" s="229">
        <v>8.6999999999999993</v>
      </c>
      <c r="P323" s="229">
        <v>0</v>
      </c>
      <c r="Q323" s="229">
        <v>2</v>
      </c>
      <c r="R323" s="122"/>
      <c r="S323" s="122">
        <f t="shared" si="34"/>
        <v>12</v>
      </c>
      <c r="T323" s="122">
        <f t="shared" si="35"/>
        <v>11</v>
      </c>
      <c r="U323" s="122">
        <f>YEAR(Inputs!$I$8)</f>
        <v>2015</v>
      </c>
      <c r="V323" s="106"/>
      <c r="W323" s="69">
        <v>42320</v>
      </c>
      <c r="X323" s="116">
        <v>9.4</v>
      </c>
      <c r="Y323" s="116">
        <v>20</v>
      </c>
      <c r="Z323" s="116">
        <v>1.3</v>
      </c>
      <c r="AA323" s="116">
        <v>77.900000000000006</v>
      </c>
      <c r="AB323" s="116">
        <v>98</v>
      </c>
      <c r="AC323" s="116">
        <v>33</v>
      </c>
      <c r="AD323" s="116">
        <v>12.49</v>
      </c>
      <c r="AE323" s="116">
        <v>1.1000000000000001</v>
      </c>
      <c r="AF323" s="116">
        <v>4.7</v>
      </c>
      <c r="AG323" s="116">
        <v>8.6</v>
      </c>
      <c r="AH323" s="116">
        <v>0.2</v>
      </c>
      <c r="AI323" s="116">
        <v>1.6</v>
      </c>
    </row>
    <row r="324" spans="1:35" s="71" customFormat="1">
      <c r="A324" s="210">
        <f t="shared" si="36"/>
        <v>13</v>
      </c>
      <c r="B324" s="210">
        <f t="shared" si="37"/>
        <v>11</v>
      </c>
      <c r="C324" s="210">
        <f t="shared" si="33"/>
        <v>2015</v>
      </c>
      <c r="D324" s="106">
        <f t="shared" si="32"/>
        <v>42321</v>
      </c>
      <c r="E324" s="230">
        <v>42321</v>
      </c>
      <c r="F324" s="229">
        <v>7</v>
      </c>
      <c r="G324" s="229">
        <v>15.4</v>
      </c>
      <c r="H324" s="229">
        <v>-0.3</v>
      </c>
      <c r="I324" s="229">
        <v>76.599999999999994</v>
      </c>
      <c r="J324" s="229">
        <v>96.2</v>
      </c>
      <c r="K324" s="229">
        <v>41.3</v>
      </c>
      <c r="L324" s="229">
        <v>11.56</v>
      </c>
      <c r="M324" s="229">
        <v>1.6</v>
      </c>
      <c r="N324" s="229">
        <v>4.9000000000000004</v>
      </c>
      <c r="O324" s="229">
        <v>8.1999999999999993</v>
      </c>
      <c r="P324" s="229">
        <v>0</v>
      </c>
      <c r="Q324" s="229">
        <v>1.5</v>
      </c>
      <c r="R324" s="122"/>
      <c r="S324" s="122">
        <f t="shared" si="34"/>
        <v>13</v>
      </c>
      <c r="T324" s="122">
        <f t="shared" si="35"/>
        <v>11</v>
      </c>
      <c r="U324" s="122">
        <f>YEAR(Inputs!$I$8)</f>
        <v>2015</v>
      </c>
      <c r="V324" s="106"/>
      <c r="W324" s="69">
        <v>42321</v>
      </c>
      <c r="X324" s="116">
        <v>8.5</v>
      </c>
      <c r="Y324" s="116">
        <v>17</v>
      </c>
      <c r="Z324" s="116">
        <v>1.9</v>
      </c>
      <c r="AA324" s="116">
        <v>87.7</v>
      </c>
      <c r="AB324" s="116">
        <v>100</v>
      </c>
      <c r="AC324" s="116">
        <v>55.2</v>
      </c>
      <c r="AD324" s="116">
        <v>11.38</v>
      </c>
      <c r="AE324" s="116">
        <v>0.8</v>
      </c>
      <c r="AF324" s="116">
        <v>3.5</v>
      </c>
      <c r="AG324" s="116">
        <v>8.1</v>
      </c>
      <c r="AH324" s="116">
        <v>0.2</v>
      </c>
      <c r="AI324" s="116">
        <v>1.1000000000000001</v>
      </c>
    </row>
    <row r="325" spans="1:35" s="71" customFormat="1">
      <c r="A325" s="210">
        <f t="shared" si="36"/>
        <v>14</v>
      </c>
      <c r="B325" s="210">
        <f t="shared" si="37"/>
        <v>11</v>
      </c>
      <c r="C325" s="210">
        <f t="shared" si="33"/>
        <v>2015</v>
      </c>
      <c r="D325" s="106">
        <f t="shared" si="32"/>
        <v>42322</v>
      </c>
      <c r="E325" s="230">
        <v>42322</v>
      </c>
      <c r="F325" s="229">
        <v>10</v>
      </c>
      <c r="G325" s="229">
        <v>17.899999999999999</v>
      </c>
      <c r="H325" s="229">
        <v>2.7</v>
      </c>
      <c r="I325" s="229">
        <v>72.8</v>
      </c>
      <c r="J325" s="229">
        <v>95.2</v>
      </c>
      <c r="K325" s="229">
        <v>33.4</v>
      </c>
      <c r="L325" s="229">
        <v>12.09</v>
      </c>
      <c r="M325" s="229">
        <v>0.9</v>
      </c>
      <c r="N325" s="229">
        <v>4.8</v>
      </c>
      <c r="O325" s="229">
        <v>8.1999999999999993</v>
      </c>
      <c r="P325" s="229">
        <v>0</v>
      </c>
      <c r="Q325" s="229">
        <v>1.3</v>
      </c>
      <c r="R325" s="122"/>
      <c r="S325" s="122">
        <f t="shared" si="34"/>
        <v>14</v>
      </c>
      <c r="T325" s="122">
        <f t="shared" si="35"/>
        <v>11</v>
      </c>
      <c r="U325" s="122">
        <f>YEAR(Inputs!$I$8)</f>
        <v>2015</v>
      </c>
      <c r="V325" s="106"/>
      <c r="W325" s="69">
        <v>42322</v>
      </c>
      <c r="X325" s="116">
        <v>8.9</v>
      </c>
      <c r="Y325" s="116">
        <v>16.3</v>
      </c>
      <c r="Z325" s="116">
        <v>3.4</v>
      </c>
      <c r="AA325" s="116">
        <v>89.4</v>
      </c>
      <c r="AB325" s="116">
        <v>100</v>
      </c>
      <c r="AC325" s="116">
        <v>57.8</v>
      </c>
      <c r="AD325" s="116">
        <v>9.91</v>
      </c>
      <c r="AE325" s="116">
        <v>1.3</v>
      </c>
      <c r="AF325" s="116">
        <v>5.5</v>
      </c>
      <c r="AG325" s="116">
        <v>7.9</v>
      </c>
      <c r="AH325" s="116">
        <v>0.2</v>
      </c>
      <c r="AI325" s="116">
        <v>1.2</v>
      </c>
    </row>
    <row r="326" spans="1:35" s="71" customFormat="1">
      <c r="A326" s="210">
        <f t="shared" si="36"/>
        <v>15</v>
      </c>
      <c r="B326" s="210">
        <f t="shared" si="37"/>
        <v>11</v>
      </c>
      <c r="C326" s="210">
        <f t="shared" si="33"/>
        <v>2015</v>
      </c>
      <c r="D326" s="106">
        <f t="shared" si="32"/>
        <v>42323</v>
      </c>
      <c r="E326" s="230">
        <v>42323</v>
      </c>
      <c r="F326" s="229">
        <v>6.8</v>
      </c>
      <c r="G326" s="229">
        <v>14.7</v>
      </c>
      <c r="H326" s="229">
        <v>0.4</v>
      </c>
      <c r="I326" s="229">
        <v>74.8</v>
      </c>
      <c r="J326" s="229">
        <v>96.2</v>
      </c>
      <c r="K326" s="229">
        <v>38</v>
      </c>
      <c r="L326" s="229">
        <v>12.37</v>
      </c>
      <c r="M326" s="229">
        <v>2.2000000000000002</v>
      </c>
      <c r="N326" s="229">
        <v>7.6</v>
      </c>
      <c r="O326" s="229">
        <v>8.6</v>
      </c>
      <c r="P326" s="229">
        <v>0.2</v>
      </c>
      <c r="Q326" s="229">
        <v>1.7</v>
      </c>
      <c r="R326" s="122"/>
      <c r="S326" s="122">
        <f t="shared" si="34"/>
        <v>15</v>
      </c>
      <c r="T326" s="122">
        <f t="shared" si="35"/>
        <v>11</v>
      </c>
      <c r="U326" s="122">
        <f>YEAR(Inputs!$I$8)</f>
        <v>2015</v>
      </c>
      <c r="V326" s="106"/>
      <c r="W326" s="69">
        <v>42323</v>
      </c>
      <c r="X326" s="116">
        <v>8.4</v>
      </c>
      <c r="Y326" s="116">
        <v>15.1</v>
      </c>
      <c r="Z326" s="116">
        <v>3.6</v>
      </c>
      <c r="AA326" s="116">
        <v>94.9</v>
      </c>
      <c r="AB326" s="116">
        <v>100</v>
      </c>
      <c r="AC326" s="116">
        <v>70.8</v>
      </c>
      <c r="AD326" s="116">
        <v>6.96</v>
      </c>
      <c r="AE326" s="116">
        <v>1</v>
      </c>
      <c r="AF326" s="116">
        <v>3.5</v>
      </c>
      <c r="AG326" s="116">
        <v>6.4</v>
      </c>
      <c r="AH326" s="116">
        <v>0.2</v>
      </c>
      <c r="AI326" s="116">
        <v>0.9</v>
      </c>
    </row>
    <row r="327" spans="1:35" s="71" customFormat="1">
      <c r="A327" s="210">
        <f t="shared" si="36"/>
        <v>16</v>
      </c>
      <c r="B327" s="210">
        <f t="shared" si="37"/>
        <v>11</v>
      </c>
      <c r="C327" s="210">
        <f t="shared" si="33"/>
        <v>2015</v>
      </c>
      <c r="D327" s="106">
        <f t="shared" si="32"/>
        <v>42324</v>
      </c>
      <c r="E327" s="230">
        <v>42324</v>
      </c>
      <c r="F327" s="229">
        <v>5.3</v>
      </c>
      <c r="G327" s="229">
        <v>13.7</v>
      </c>
      <c r="H327" s="229">
        <v>-2.4</v>
      </c>
      <c r="I327" s="229">
        <v>73.7</v>
      </c>
      <c r="J327" s="229">
        <v>96.1</v>
      </c>
      <c r="K327" s="229">
        <v>39.6</v>
      </c>
      <c r="L327" s="229">
        <v>12.29</v>
      </c>
      <c r="M327" s="229">
        <v>0.9</v>
      </c>
      <c r="N327" s="229">
        <v>3.2</v>
      </c>
      <c r="O327" s="229">
        <v>8.6</v>
      </c>
      <c r="P327" s="229">
        <v>0</v>
      </c>
      <c r="Q327" s="229">
        <v>1.1000000000000001</v>
      </c>
      <c r="R327" s="122"/>
      <c r="S327" s="122">
        <f t="shared" si="34"/>
        <v>16</v>
      </c>
      <c r="T327" s="122">
        <f t="shared" si="35"/>
        <v>11</v>
      </c>
      <c r="U327" s="122">
        <f>YEAR(Inputs!$I$8)</f>
        <v>2015</v>
      </c>
      <c r="V327" s="106"/>
      <c r="W327" s="69">
        <v>42324</v>
      </c>
      <c r="X327" s="116">
        <v>7.9</v>
      </c>
      <c r="Y327" s="116">
        <v>18</v>
      </c>
      <c r="Z327" s="116">
        <v>0.4</v>
      </c>
      <c r="AA327" s="116">
        <v>84.2</v>
      </c>
      <c r="AB327" s="116">
        <v>100</v>
      </c>
      <c r="AC327" s="116">
        <v>48</v>
      </c>
      <c r="AD327" s="116">
        <v>11.73</v>
      </c>
      <c r="AE327" s="116">
        <v>2.2000000000000002</v>
      </c>
      <c r="AF327" s="116">
        <v>6.6</v>
      </c>
      <c r="AG327" s="116">
        <v>8.5</v>
      </c>
      <c r="AH327" s="116">
        <v>0.2</v>
      </c>
      <c r="AI327" s="116">
        <v>1.8</v>
      </c>
    </row>
    <row r="328" spans="1:35" s="71" customFormat="1">
      <c r="A328" s="210">
        <f t="shared" si="36"/>
        <v>17</v>
      </c>
      <c r="B328" s="210">
        <f t="shared" si="37"/>
        <v>11</v>
      </c>
      <c r="C328" s="210">
        <f t="shared" si="33"/>
        <v>2015</v>
      </c>
      <c r="D328" s="106">
        <f t="shared" si="32"/>
        <v>42325</v>
      </c>
      <c r="E328" s="230">
        <v>42325</v>
      </c>
      <c r="F328" s="229">
        <v>4.4000000000000004</v>
      </c>
      <c r="G328" s="229">
        <v>14.4</v>
      </c>
      <c r="H328" s="229">
        <v>-3.1</v>
      </c>
      <c r="I328" s="229">
        <v>77</v>
      </c>
      <c r="J328" s="229">
        <v>98.3</v>
      </c>
      <c r="K328" s="229">
        <v>36.1</v>
      </c>
      <c r="L328" s="229">
        <v>11.38</v>
      </c>
      <c r="M328" s="229">
        <v>0.7</v>
      </c>
      <c r="N328" s="229">
        <v>2.9</v>
      </c>
      <c r="O328" s="229">
        <v>8</v>
      </c>
      <c r="P328" s="229">
        <v>0.2</v>
      </c>
      <c r="Q328" s="229">
        <v>1</v>
      </c>
      <c r="R328" s="122"/>
      <c r="S328" s="122">
        <f t="shared" si="34"/>
        <v>17</v>
      </c>
      <c r="T328" s="122">
        <f t="shared" si="35"/>
        <v>11</v>
      </c>
      <c r="U328" s="122">
        <f>YEAR(Inputs!$I$8)</f>
        <v>2015</v>
      </c>
      <c r="V328" s="106"/>
      <c r="W328" s="69">
        <v>42325</v>
      </c>
      <c r="X328" s="116">
        <v>8</v>
      </c>
      <c r="Y328" s="116">
        <v>18</v>
      </c>
      <c r="Z328" s="116">
        <v>0.9</v>
      </c>
      <c r="AA328" s="116">
        <v>82.3</v>
      </c>
      <c r="AB328" s="116">
        <v>100</v>
      </c>
      <c r="AC328" s="116">
        <v>46.1</v>
      </c>
      <c r="AD328" s="116">
        <v>11.48</v>
      </c>
      <c r="AE328" s="116">
        <v>2</v>
      </c>
      <c r="AF328" s="116">
        <v>5.7</v>
      </c>
      <c r="AG328" s="116">
        <v>8.3000000000000007</v>
      </c>
      <c r="AH328" s="116">
        <v>0</v>
      </c>
      <c r="AI328" s="116">
        <v>1.7</v>
      </c>
    </row>
    <row r="329" spans="1:35" s="71" customFormat="1">
      <c r="A329" s="210">
        <f t="shared" si="36"/>
        <v>18</v>
      </c>
      <c r="B329" s="210">
        <f t="shared" si="37"/>
        <v>11</v>
      </c>
      <c r="C329" s="210">
        <f t="shared" si="33"/>
        <v>2015</v>
      </c>
      <c r="D329" s="106">
        <f t="shared" ref="D329:D372" si="38">DATE(C329,B329,A329)</f>
        <v>42326</v>
      </c>
      <c r="E329" s="230">
        <v>42326</v>
      </c>
      <c r="F329" s="229">
        <v>6.9</v>
      </c>
      <c r="G329" s="229">
        <v>18.2</v>
      </c>
      <c r="H329" s="229">
        <v>-2.4</v>
      </c>
      <c r="I329" s="229">
        <v>70.400000000000006</v>
      </c>
      <c r="J329" s="229">
        <v>93.9</v>
      </c>
      <c r="K329" s="229">
        <v>35.9</v>
      </c>
      <c r="L329" s="229">
        <v>12.04</v>
      </c>
      <c r="M329" s="229">
        <v>0.8</v>
      </c>
      <c r="N329" s="229">
        <v>3.3</v>
      </c>
      <c r="O329" s="229">
        <v>8.4</v>
      </c>
      <c r="P329" s="229">
        <v>0</v>
      </c>
      <c r="Q329" s="229">
        <v>1.2</v>
      </c>
      <c r="R329" s="122"/>
      <c r="S329" s="122">
        <f t="shared" si="34"/>
        <v>18</v>
      </c>
      <c r="T329" s="122">
        <f t="shared" si="35"/>
        <v>11</v>
      </c>
      <c r="U329" s="122">
        <f>YEAR(Inputs!$I$8)</f>
        <v>2015</v>
      </c>
      <c r="V329" s="106"/>
      <c r="W329" s="69">
        <v>42326</v>
      </c>
      <c r="X329" s="116">
        <v>7.5</v>
      </c>
      <c r="Y329" s="116">
        <v>18.899999999999999</v>
      </c>
      <c r="Z329" s="116">
        <v>-1</v>
      </c>
      <c r="AA329" s="116">
        <v>78</v>
      </c>
      <c r="AB329" s="116">
        <v>100</v>
      </c>
      <c r="AC329" s="116">
        <v>32.700000000000003</v>
      </c>
      <c r="AD329" s="116">
        <v>11.19</v>
      </c>
      <c r="AE329" s="116">
        <v>0.8</v>
      </c>
      <c r="AF329" s="116">
        <v>2.5</v>
      </c>
      <c r="AG329" s="116">
        <v>8</v>
      </c>
      <c r="AH329" s="116">
        <v>0.2</v>
      </c>
      <c r="AI329" s="116">
        <v>1.3</v>
      </c>
    </row>
    <row r="330" spans="1:35" s="71" customFormat="1">
      <c r="A330" s="210">
        <f t="shared" si="36"/>
        <v>19</v>
      </c>
      <c r="B330" s="210">
        <f t="shared" si="37"/>
        <v>11</v>
      </c>
      <c r="C330" s="210">
        <f t="shared" ref="C330:C372" si="39">C329</f>
        <v>2015</v>
      </c>
      <c r="D330" s="106">
        <f t="shared" si="38"/>
        <v>42327</v>
      </c>
      <c r="E330" s="230">
        <v>42327</v>
      </c>
      <c r="F330" s="229">
        <v>8.9</v>
      </c>
      <c r="G330" s="229">
        <v>18.8</v>
      </c>
      <c r="H330" s="229">
        <v>-0.5</v>
      </c>
      <c r="I330" s="229">
        <v>71.7</v>
      </c>
      <c r="J330" s="229">
        <v>95.2</v>
      </c>
      <c r="K330" s="229">
        <v>41.9</v>
      </c>
      <c r="L330" s="229">
        <v>10.9</v>
      </c>
      <c r="M330" s="229">
        <v>1.6</v>
      </c>
      <c r="N330" s="229">
        <v>7.2</v>
      </c>
      <c r="O330" s="229">
        <v>7.9</v>
      </c>
      <c r="P330" s="229">
        <v>0</v>
      </c>
      <c r="Q330" s="229">
        <v>1.6</v>
      </c>
      <c r="R330" s="122"/>
      <c r="S330" s="122">
        <f t="shared" ref="S330:S372" si="40">DAY(W330)</f>
        <v>19</v>
      </c>
      <c r="T330" s="122">
        <f t="shared" ref="T330:T372" si="41">MONTH(W330)</f>
        <v>11</v>
      </c>
      <c r="U330" s="122">
        <f>YEAR(Inputs!$I$8)</f>
        <v>2015</v>
      </c>
      <c r="V330" s="106"/>
      <c r="W330" s="69">
        <v>42327</v>
      </c>
      <c r="X330" s="116">
        <v>10.4</v>
      </c>
      <c r="Y330" s="116">
        <v>21.3</v>
      </c>
      <c r="Z330" s="116">
        <v>2.8</v>
      </c>
      <c r="AA330" s="116">
        <v>75.7</v>
      </c>
      <c r="AB330" s="116">
        <v>96.1</v>
      </c>
      <c r="AC330" s="116">
        <v>44.1</v>
      </c>
      <c r="AD330" s="116">
        <v>11.11</v>
      </c>
      <c r="AE330" s="116">
        <v>1.6</v>
      </c>
      <c r="AF330" s="116">
        <v>4.3</v>
      </c>
      <c r="AG330" s="116">
        <v>8.1999999999999993</v>
      </c>
      <c r="AH330" s="116">
        <v>0</v>
      </c>
      <c r="AI330" s="116">
        <v>1.7</v>
      </c>
    </row>
    <row r="331" spans="1:35" s="71" customFormat="1">
      <c r="A331" s="210">
        <f t="shared" si="36"/>
        <v>20</v>
      </c>
      <c r="B331" s="210">
        <f t="shared" si="37"/>
        <v>11</v>
      </c>
      <c r="C331" s="210">
        <f t="shared" si="39"/>
        <v>2015</v>
      </c>
      <c r="D331" s="106">
        <f t="shared" si="38"/>
        <v>42328</v>
      </c>
      <c r="E331" s="230">
        <v>42328</v>
      </c>
      <c r="F331" s="229">
        <v>8.6999999999999993</v>
      </c>
      <c r="G331" s="229">
        <v>15.4</v>
      </c>
      <c r="H331" s="229">
        <v>3</v>
      </c>
      <c r="I331" s="229">
        <v>77.900000000000006</v>
      </c>
      <c r="J331" s="229">
        <v>96.7</v>
      </c>
      <c r="K331" s="229">
        <v>49.3</v>
      </c>
      <c r="L331" s="229">
        <v>10.89</v>
      </c>
      <c r="M331" s="229">
        <v>1.7</v>
      </c>
      <c r="N331" s="229">
        <v>5.2</v>
      </c>
      <c r="O331" s="229">
        <v>8.1</v>
      </c>
      <c r="P331" s="229">
        <v>0</v>
      </c>
      <c r="Q331" s="229">
        <v>1.3</v>
      </c>
      <c r="R331" s="122"/>
      <c r="S331" s="122">
        <f t="shared" si="40"/>
        <v>20</v>
      </c>
      <c r="T331" s="122">
        <f t="shared" si="41"/>
        <v>11</v>
      </c>
      <c r="U331" s="122">
        <f>YEAR(Inputs!$I$8)</f>
        <v>2015</v>
      </c>
      <c r="V331" s="106"/>
      <c r="W331" s="69">
        <v>42328</v>
      </c>
      <c r="X331" s="116">
        <v>11.6</v>
      </c>
      <c r="Y331" s="116">
        <v>21.3</v>
      </c>
      <c r="Z331" s="116">
        <v>3.1</v>
      </c>
      <c r="AA331" s="116">
        <v>75.400000000000006</v>
      </c>
      <c r="AB331" s="116">
        <v>97.8</v>
      </c>
      <c r="AC331" s="116">
        <v>41</v>
      </c>
      <c r="AD331" s="116">
        <v>10.77</v>
      </c>
      <c r="AE331" s="116">
        <v>2.5</v>
      </c>
      <c r="AF331" s="116">
        <v>8.1</v>
      </c>
      <c r="AG331" s="116">
        <v>8.1999999999999993</v>
      </c>
      <c r="AH331" s="116">
        <v>0</v>
      </c>
      <c r="AI331" s="116">
        <v>2.2999999999999998</v>
      </c>
    </row>
    <row r="332" spans="1:35" s="71" customFormat="1">
      <c r="A332" s="210">
        <f t="shared" si="36"/>
        <v>21</v>
      </c>
      <c r="B332" s="210">
        <f t="shared" si="37"/>
        <v>11</v>
      </c>
      <c r="C332" s="210">
        <f t="shared" si="39"/>
        <v>2015</v>
      </c>
      <c r="D332" s="106">
        <f t="shared" si="38"/>
        <v>42329</v>
      </c>
      <c r="E332" s="230">
        <v>42329</v>
      </c>
      <c r="F332" s="229">
        <v>9.6999999999999993</v>
      </c>
      <c r="G332" s="229">
        <v>13.1</v>
      </c>
      <c r="H332" s="229">
        <v>4.2</v>
      </c>
      <c r="I332" s="229">
        <v>81.400000000000006</v>
      </c>
      <c r="J332" s="229">
        <v>91.7</v>
      </c>
      <c r="K332" s="229">
        <v>58</v>
      </c>
      <c r="L332" s="229">
        <v>4.51</v>
      </c>
      <c r="M332" s="229">
        <v>2.1</v>
      </c>
      <c r="N332" s="229">
        <v>6.9</v>
      </c>
      <c r="O332" s="229">
        <v>5.6</v>
      </c>
      <c r="P332" s="229">
        <v>0.2</v>
      </c>
      <c r="Q332" s="229">
        <v>1.2</v>
      </c>
      <c r="R332" s="122"/>
      <c r="S332" s="122">
        <f t="shared" si="40"/>
        <v>21</v>
      </c>
      <c r="T332" s="122">
        <f t="shared" si="41"/>
        <v>11</v>
      </c>
      <c r="U332" s="122">
        <f>YEAR(Inputs!$I$8)</f>
        <v>2015</v>
      </c>
      <c r="V332" s="106"/>
      <c r="W332" s="69">
        <v>42329</v>
      </c>
      <c r="X332" s="116">
        <v>10.3</v>
      </c>
      <c r="Y332" s="116">
        <v>16.100000000000001</v>
      </c>
      <c r="Z332" s="116">
        <v>2.7</v>
      </c>
      <c r="AA332" s="116">
        <v>63.2</v>
      </c>
      <c r="AB332" s="116">
        <v>90.6</v>
      </c>
      <c r="AC332" s="116">
        <v>35.6</v>
      </c>
      <c r="AD332" s="116">
        <v>9.5399999999999991</v>
      </c>
      <c r="AE332" s="116">
        <v>6.4</v>
      </c>
      <c r="AF332" s="116">
        <v>14.7</v>
      </c>
      <c r="AG332" s="116">
        <v>7.8</v>
      </c>
      <c r="AH332" s="116">
        <v>0.4</v>
      </c>
      <c r="AI332" s="116">
        <v>3.1</v>
      </c>
    </row>
    <row r="333" spans="1:35" s="71" customFormat="1">
      <c r="A333" s="210">
        <f t="shared" si="36"/>
        <v>22</v>
      </c>
      <c r="B333" s="210">
        <f t="shared" si="37"/>
        <v>11</v>
      </c>
      <c r="C333" s="210">
        <f t="shared" si="39"/>
        <v>2015</v>
      </c>
      <c r="D333" s="106">
        <f t="shared" si="38"/>
        <v>42330</v>
      </c>
      <c r="E333" s="230">
        <v>42330</v>
      </c>
      <c r="F333" s="229">
        <v>11.5</v>
      </c>
      <c r="G333" s="229">
        <v>15.1</v>
      </c>
      <c r="H333" s="229">
        <v>8.6</v>
      </c>
      <c r="I333" s="229">
        <v>88.2</v>
      </c>
      <c r="J333" s="229">
        <v>96.8</v>
      </c>
      <c r="K333" s="229">
        <v>77.599999999999994</v>
      </c>
      <c r="L333" s="229">
        <v>2.89</v>
      </c>
      <c r="M333" s="229">
        <v>2.2999999999999998</v>
      </c>
      <c r="N333" s="229">
        <v>11.8</v>
      </c>
      <c r="O333" s="229">
        <v>4.3</v>
      </c>
      <c r="P333" s="229">
        <v>3.8</v>
      </c>
      <c r="Q333" s="229">
        <v>0.9</v>
      </c>
      <c r="R333" s="122"/>
      <c r="S333" s="122">
        <f t="shared" si="40"/>
        <v>22</v>
      </c>
      <c r="T333" s="122">
        <f t="shared" si="41"/>
        <v>11</v>
      </c>
      <c r="U333" s="122">
        <f>YEAR(Inputs!$I$8)</f>
        <v>2015</v>
      </c>
      <c r="V333" s="106"/>
      <c r="W333" s="69">
        <v>42330</v>
      </c>
      <c r="X333" s="116">
        <v>4.0999999999999996</v>
      </c>
      <c r="Y333" s="116">
        <v>9.6</v>
      </c>
      <c r="Z333" s="116">
        <v>-0.6</v>
      </c>
      <c r="AA333" s="116">
        <v>66.2</v>
      </c>
      <c r="AB333" s="116">
        <v>84.1</v>
      </c>
      <c r="AC333" s="116">
        <v>43.4</v>
      </c>
      <c r="AD333" s="116">
        <v>11.37</v>
      </c>
      <c r="AE333" s="116">
        <v>3.8</v>
      </c>
      <c r="AF333" s="116">
        <v>8.9</v>
      </c>
      <c r="AG333" s="116">
        <v>8.1</v>
      </c>
      <c r="AH333" s="116">
        <v>0</v>
      </c>
      <c r="AI333" s="116">
        <v>1.7</v>
      </c>
    </row>
    <row r="334" spans="1:35" s="71" customFormat="1">
      <c r="A334" s="210">
        <f t="shared" si="36"/>
        <v>23</v>
      </c>
      <c r="B334" s="210">
        <f t="shared" si="37"/>
        <v>11</v>
      </c>
      <c r="C334" s="210">
        <f t="shared" si="39"/>
        <v>2015</v>
      </c>
      <c r="D334" s="106">
        <f t="shared" si="38"/>
        <v>42331</v>
      </c>
      <c r="E334" s="230">
        <v>42331</v>
      </c>
      <c r="F334" s="229">
        <v>8</v>
      </c>
      <c r="G334" s="229">
        <v>9.9</v>
      </c>
      <c r="H334" s="229">
        <v>6.5</v>
      </c>
      <c r="I334" s="229">
        <v>94.2</v>
      </c>
      <c r="J334" s="229">
        <v>96.8</v>
      </c>
      <c r="K334" s="229">
        <v>89.2</v>
      </c>
      <c r="L334" s="229">
        <v>1.1399999999999999</v>
      </c>
      <c r="M334" s="229">
        <v>1.6</v>
      </c>
      <c r="N334" s="229">
        <v>8.6999999999999993</v>
      </c>
      <c r="O334" s="229">
        <v>0</v>
      </c>
      <c r="P334" s="229">
        <v>12.1</v>
      </c>
      <c r="Q334" s="229">
        <v>0.5</v>
      </c>
      <c r="R334" s="122"/>
      <c r="S334" s="122">
        <f t="shared" si="40"/>
        <v>23</v>
      </c>
      <c r="T334" s="122">
        <f t="shared" si="41"/>
        <v>11</v>
      </c>
      <c r="U334" s="122">
        <f>YEAR(Inputs!$I$8)</f>
        <v>2015</v>
      </c>
      <c r="V334" s="106"/>
      <c r="W334" s="69">
        <v>42331</v>
      </c>
      <c r="X334" s="116">
        <v>2.2999999999999998</v>
      </c>
      <c r="Y334" s="116">
        <v>8.6999999999999993</v>
      </c>
      <c r="Z334" s="116">
        <v>-2.7</v>
      </c>
      <c r="AA334" s="116">
        <v>68.3</v>
      </c>
      <c r="AB334" s="116">
        <v>96.8</v>
      </c>
      <c r="AC334" s="116">
        <v>35.6</v>
      </c>
      <c r="AD334" s="116">
        <v>10.39</v>
      </c>
      <c r="AE334" s="116">
        <v>1.8</v>
      </c>
      <c r="AF334" s="116">
        <v>6.8</v>
      </c>
      <c r="AG334" s="116">
        <v>8</v>
      </c>
      <c r="AH334" s="116">
        <v>0</v>
      </c>
      <c r="AI334" s="116">
        <v>1.2</v>
      </c>
    </row>
    <row r="335" spans="1:35" s="71" customFormat="1">
      <c r="A335" s="210">
        <f t="shared" si="36"/>
        <v>24</v>
      </c>
      <c r="B335" s="210">
        <f t="shared" si="37"/>
        <v>11</v>
      </c>
      <c r="C335" s="210">
        <f t="shared" si="39"/>
        <v>2015</v>
      </c>
      <c r="D335" s="106">
        <f t="shared" si="38"/>
        <v>42332</v>
      </c>
      <c r="E335" s="230">
        <v>42332</v>
      </c>
      <c r="F335" s="229">
        <v>6.3</v>
      </c>
      <c r="G335" s="229">
        <v>7.9</v>
      </c>
      <c r="H335" s="229">
        <v>2.9</v>
      </c>
      <c r="I335" s="229">
        <v>93.1</v>
      </c>
      <c r="J335" s="229">
        <v>97.5</v>
      </c>
      <c r="K335" s="229">
        <v>82.8</v>
      </c>
      <c r="L335" s="229">
        <v>3.17</v>
      </c>
      <c r="M335" s="229">
        <v>2.7</v>
      </c>
      <c r="N335" s="229">
        <v>9.5</v>
      </c>
      <c r="O335" s="229">
        <v>4.8</v>
      </c>
      <c r="P335" s="229">
        <v>0.6</v>
      </c>
      <c r="Q335" s="229">
        <v>0.6</v>
      </c>
      <c r="R335" s="122"/>
      <c r="S335" s="122">
        <f t="shared" si="40"/>
        <v>24</v>
      </c>
      <c r="T335" s="122">
        <f t="shared" si="41"/>
        <v>11</v>
      </c>
      <c r="U335" s="122">
        <f>YEAR(Inputs!$I$8)</f>
        <v>2015</v>
      </c>
      <c r="V335" s="106"/>
      <c r="W335" s="69">
        <v>42332</v>
      </c>
      <c r="X335" s="116">
        <v>4.0999999999999996</v>
      </c>
      <c r="Y335" s="116">
        <v>11.1</v>
      </c>
      <c r="Z335" s="116">
        <v>-1.6</v>
      </c>
      <c r="AA335" s="116">
        <v>68.099999999999994</v>
      </c>
      <c r="AB335" s="116">
        <v>86.1</v>
      </c>
      <c r="AC335" s="116">
        <v>42.5</v>
      </c>
      <c r="AD335" s="116">
        <v>10.59</v>
      </c>
      <c r="AE335" s="116">
        <v>3.7</v>
      </c>
      <c r="AF335" s="116">
        <v>9.1</v>
      </c>
      <c r="AG335" s="116">
        <v>7.9</v>
      </c>
      <c r="AH335" s="116">
        <v>0</v>
      </c>
      <c r="AI335" s="116">
        <v>1.8</v>
      </c>
    </row>
    <row r="336" spans="1:35" s="71" customFormat="1">
      <c r="A336" s="210">
        <f t="shared" si="36"/>
        <v>25</v>
      </c>
      <c r="B336" s="210">
        <f t="shared" si="37"/>
        <v>11</v>
      </c>
      <c r="C336" s="210">
        <f t="shared" si="39"/>
        <v>2015</v>
      </c>
      <c r="D336" s="106">
        <f t="shared" si="38"/>
        <v>42333</v>
      </c>
      <c r="E336" s="230">
        <v>42333</v>
      </c>
      <c r="F336" s="229">
        <v>4.4000000000000004</v>
      </c>
      <c r="G336" s="229">
        <v>10</v>
      </c>
      <c r="H336" s="229">
        <v>0.9</v>
      </c>
      <c r="I336" s="229">
        <v>85.5</v>
      </c>
      <c r="J336" s="229">
        <v>95</v>
      </c>
      <c r="K336" s="229">
        <v>52.3</v>
      </c>
      <c r="L336" s="229">
        <v>8.73</v>
      </c>
      <c r="M336" s="229">
        <v>2</v>
      </c>
      <c r="N336" s="229">
        <v>9.6999999999999993</v>
      </c>
      <c r="O336" s="229">
        <v>7.3</v>
      </c>
      <c r="P336" s="229">
        <v>1.6</v>
      </c>
      <c r="Q336" s="229">
        <v>1.1000000000000001</v>
      </c>
      <c r="R336" s="122"/>
      <c r="S336" s="122">
        <f t="shared" si="40"/>
        <v>25</v>
      </c>
      <c r="T336" s="122">
        <f t="shared" si="41"/>
        <v>11</v>
      </c>
      <c r="U336" s="122">
        <f>YEAR(Inputs!$I$8)</f>
        <v>2015</v>
      </c>
      <c r="V336" s="106"/>
      <c r="W336" s="69">
        <v>42333</v>
      </c>
      <c r="X336" s="116">
        <v>8.6999999999999993</v>
      </c>
      <c r="Y336" s="116">
        <v>14.4</v>
      </c>
      <c r="Z336" s="116">
        <v>1.7</v>
      </c>
      <c r="AA336" s="116">
        <v>67.2</v>
      </c>
      <c r="AB336" s="116">
        <v>85.6</v>
      </c>
      <c r="AC336" s="116">
        <v>49.1</v>
      </c>
      <c r="AD336" s="116">
        <v>9.68</v>
      </c>
      <c r="AE336" s="116">
        <v>5.6</v>
      </c>
      <c r="AF336" s="116">
        <v>12.7</v>
      </c>
      <c r="AG336" s="116">
        <v>6.4</v>
      </c>
      <c r="AH336" s="116">
        <v>0</v>
      </c>
      <c r="AI336" s="116">
        <v>2.2999999999999998</v>
      </c>
    </row>
    <row r="337" spans="1:35" s="71" customFormat="1">
      <c r="A337" s="210">
        <f t="shared" si="36"/>
        <v>26</v>
      </c>
      <c r="B337" s="210">
        <f t="shared" si="37"/>
        <v>11</v>
      </c>
      <c r="C337" s="210">
        <f t="shared" si="39"/>
        <v>2015</v>
      </c>
      <c r="D337" s="106">
        <f t="shared" si="38"/>
        <v>42334</v>
      </c>
      <c r="E337" s="230">
        <v>42334</v>
      </c>
      <c r="F337" s="229">
        <v>5</v>
      </c>
      <c r="G337" s="229">
        <v>8.8000000000000007</v>
      </c>
      <c r="H337" s="229">
        <v>0.3</v>
      </c>
      <c r="I337" s="229">
        <v>86.4</v>
      </c>
      <c r="J337" s="229">
        <v>97</v>
      </c>
      <c r="K337" s="229">
        <v>61.3</v>
      </c>
      <c r="L337" s="229">
        <v>4.99</v>
      </c>
      <c r="M337" s="229">
        <v>1.7</v>
      </c>
      <c r="N337" s="229">
        <v>4.9000000000000004</v>
      </c>
      <c r="O337" s="229">
        <v>5.5</v>
      </c>
      <c r="P337" s="229">
        <v>0.2</v>
      </c>
      <c r="Q337" s="229">
        <v>0.9</v>
      </c>
      <c r="R337" s="122"/>
      <c r="S337" s="122">
        <f t="shared" si="40"/>
        <v>26</v>
      </c>
      <c r="T337" s="122">
        <f t="shared" si="41"/>
        <v>11</v>
      </c>
      <c r="U337" s="122">
        <f>YEAR(Inputs!$I$8)</f>
        <v>2015</v>
      </c>
      <c r="V337" s="106"/>
      <c r="W337" s="69">
        <v>42334</v>
      </c>
      <c r="X337" s="116">
        <v>9.6999999999999993</v>
      </c>
      <c r="Y337" s="116">
        <v>15.6</v>
      </c>
      <c r="Z337" s="116">
        <v>5.2</v>
      </c>
      <c r="AA337" s="116">
        <v>55</v>
      </c>
      <c r="AB337" s="116">
        <v>74.900000000000006</v>
      </c>
      <c r="AC337" s="116">
        <v>30.7</v>
      </c>
      <c r="AD337" s="116">
        <v>11.7</v>
      </c>
      <c r="AE337" s="116">
        <v>5.6</v>
      </c>
      <c r="AF337" s="116">
        <v>12.1</v>
      </c>
      <c r="AG337" s="116">
        <v>7.5</v>
      </c>
      <c r="AH337" s="116">
        <v>0</v>
      </c>
      <c r="AI337" s="116">
        <v>3.3</v>
      </c>
    </row>
    <row r="338" spans="1:35" s="71" customFormat="1">
      <c r="A338" s="210">
        <f t="shared" si="36"/>
        <v>27</v>
      </c>
      <c r="B338" s="210">
        <f t="shared" si="37"/>
        <v>11</v>
      </c>
      <c r="C338" s="210">
        <f t="shared" si="39"/>
        <v>2015</v>
      </c>
      <c r="D338" s="106">
        <f t="shared" si="38"/>
        <v>42335</v>
      </c>
      <c r="E338" s="230">
        <v>42335</v>
      </c>
      <c r="F338" s="229">
        <v>8</v>
      </c>
      <c r="G338" s="229">
        <v>11.2</v>
      </c>
      <c r="H338" s="229">
        <v>5.2</v>
      </c>
      <c r="I338" s="229">
        <v>93.2</v>
      </c>
      <c r="J338" s="229">
        <v>96.4</v>
      </c>
      <c r="K338" s="229">
        <v>84</v>
      </c>
      <c r="L338" s="229">
        <v>2.72</v>
      </c>
      <c r="M338" s="229">
        <v>3.4</v>
      </c>
      <c r="N338" s="229">
        <v>6.5</v>
      </c>
      <c r="O338" s="229">
        <v>3.9</v>
      </c>
      <c r="P338" s="229">
        <v>12.5</v>
      </c>
      <c r="Q338" s="229">
        <v>0.7</v>
      </c>
      <c r="R338" s="122"/>
      <c r="S338" s="122">
        <f t="shared" si="40"/>
        <v>27</v>
      </c>
      <c r="T338" s="122">
        <f t="shared" si="41"/>
        <v>11</v>
      </c>
      <c r="U338" s="122">
        <f>YEAR(Inputs!$I$8)</f>
        <v>2015</v>
      </c>
      <c r="V338" s="106"/>
      <c r="W338" s="69">
        <v>42335</v>
      </c>
      <c r="X338" s="116">
        <v>8.6</v>
      </c>
      <c r="Y338" s="116">
        <v>15.2</v>
      </c>
      <c r="Z338" s="116">
        <v>4.5999999999999996</v>
      </c>
      <c r="AA338" s="116">
        <v>72.400000000000006</v>
      </c>
      <c r="AB338" s="116">
        <v>90.2</v>
      </c>
      <c r="AC338" s="116">
        <v>45.9</v>
      </c>
      <c r="AD338" s="116">
        <v>10.15</v>
      </c>
      <c r="AE338" s="116">
        <v>3.2</v>
      </c>
      <c r="AF338" s="116">
        <v>9.1</v>
      </c>
      <c r="AG338" s="116">
        <v>7.9</v>
      </c>
      <c r="AH338" s="116">
        <v>0</v>
      </c>
      <c r="AI338" s="116">
        <v>1.9</v>
      </c>
    </row>
    <row r="339" spans="1:35" s="71" customFormat="1">
      <c r="A339" s="210">
        <f t="shared" si="36"/>
        <v>28</v>
      </c>
      <c r="B339" s="210">
        <f t="shared" si="37"/>
        <v>11</v>
      </c>
      <c r="C339" s="210">
        <f t="shared" si="39"/>
        <v>2015</v>
      </c>
      <c r="D339" s="106">
        <f t="shared" si="38"/>
        <v>42336</v>
      </c>
      <c r="E339" s="230">
        <v>42336</v>
      </c>
      <c r="F339" s="229">
        <v>8.1999999999999993</v>
      </c>
      <c r="G339" s="229">
        <v>10.3</v>
      </c>
      <c r="H339" s="229">
        <v>6.4</v>
      </c>
      <c r="I339" s="229">
        <v>94.1</v>
      </c>
      <c r="J339" s="229">
        <v>96.9</v>
      </c>
      <c r="K339" s="229">
        <v>87.7</v>
      </c>
      <c r="L339" s="229">
        <v>1.99</v>
      </c>
      <c r="M339" s="229">
        <v>2.6</v>
      </c>
      <c r="N339" s="229">
        <v>6.4</v>
      </c>
      <c r="O339" s="229">
        <v>1.5</v>
      </c>
      <c r="P339" s="229">
        <v>10.1</v>
      </c>
      <c r="Q339" s="229">
        <v>0.6</v>
      </c>
      <c r="R339" s="122"/>
      <c r="S339" s="122">
        <f t="shared" si="40"/>
        <v>28</v>
      </c>
      <c r="T339" s="122">
        <f t="shared" si="41"/>
        <v>11</v>
      </c>
      <c r="U339" s="122">
        <f>YEAR(Inputs!$I$8)</f>
        <v>2015</v>
      </c>
      <c r="V339" s="106"/>
      <c r="W339" s="69">
        <v>42336</v>
      </c>
      <c r="X339" s="116">
        <v>6.9</v>
      </c>
      <c r="Y339" s="116">
        <v>15.8</v>
      </c>
      <c r="Z339" s="116">
        <v>0.1</v>
      </c>
      <c r="AA339" s="116">
        <v>75.5</v>
      </c>
      <c r="AB339" s="116">
        <v>94.6</v>
      </c>
      <c r="AC339" s="116">
        <v>46.7</v>
      </c>
      <c r="AD339" s="116">
        <v>10.54</v>
      </c>
      <c r="AE339" s="116">
        <v>2.4</v>
      </c>
      <c r="AF339" s="116">
        <v>6.4</v>
      </c>
      <c r="AG339" s="116">
        <v>8</v>
      </c>
      <c r="AH339" s="116">
        <v>0</v>
      </c>
      <c r="AI339" s="116">
        <v>1.6</v>
      </c>
    </row>
    <row r="340" spans="1:35" s="71" customFormat="1">
      <c r="A340" s="210">
        <f t="shared" si="36"/>
        <v>29</v>
      </c>
      <c r="B340" s="210">
        <f t="shared" si="37"/>
        <v>11</v>
      </c>
      <c r="C340" s="210">
        <f t="shared" si="39"/>
        <v>2015</v>
      </c>
      <c r="D340" s="106">
        <f t="shared" si="38"/>
        <v>42337</v>
      </c>
      <c r="E340" s="230">
        <v>42337</v>
      </c>
      <c r="F340" s="229">
        <v>8</v>
      </c>
      <c r="G340" s="229">
        <v>10.1</v>
      </c>
      <c r="H340" s="229">
        <v>6.3</v>
      </c>
      <c r="I340" s="229">
        <v>90</v>
      </c>
      <c r="J340" s="229">
        <v>96.3</v>
      </c>
      <c r="K340" s="229">
        <v>77.2</v>
      </c>
      <c r="L340" s="229">
        <v>2.95</v>
      </c>
      <c r="M340" s="229">
        <v>1.1000000000000001</v>
      </c>
      <c r="N340" s="229">
        <v>6.1</v>
      </c>
      <c r="O340" s="229">
        <v>4</v>
      </c>
      <c r="P340" s="229">
        <v>0.6</v>
      </c>
      <c r="Q340" s="229">
        <v>0.7</v>
      </c>
      <c r="R340" s="122"/>
      <c r="S340" s="122">
        <f t="shared" si="40"/>
        <v>29</v>
      </c>
      <c r="T340" s="122">
        <f t="shared" si="41"/>
        <v>11</v>
      </c>
      <c r="U340" s="122">
        <f>YEAR(Inputs!$I$8)</f>
        <v>2015</v>
      </c>
      <c r="V340" s="106"/>
      <c r="W340" s="69">
        <v>42337</v>
      </c>
      <c r="X340" s="116">
        <v>3.7</v>
      </c>
      <c r="Y340" s="116">
        <v>14.9</v>
      </c>
      <c r="Z340" s="116">
        <v>-5</v>
      </c>
      <c r="AA340" s="116">
        <v>71.599999999999994</v>
      </c>
      <c r="AB340" s="116">
        <v>97.3</v>
      </c>
      <c r="AC340" s="116">
        <v>30.3</v>
      </c>
      <c r="AD340" s="116">
        <v>10.74</v>
      </c>
      <c r="AE340" s="116">
        <v>0.6</v>
      </c>
      <c r="AF340" s="116">
        <v>2.7</v>
      </c>
      <c r="AG340" s="116">
        <v>8</v>
      </c>
      <c r="AH340" s="116">
        <v>0</v>
      </c>
      <c r="AI340" s="116">
        <v>0.9</v>
      </c>
    </row>
    <row r="341" spans="1:35" s="71" customFormat="1">
      <c r="A341" s="210">
        <f t="shared" si="36"/>
        <v>30</v>
      </c>
      <c r="B341" s="210">
        <f t="shared" si="37"/>
        <v>11</v>
      </c>
      <c r="C341" s="210">
        <f t="shared" si="39"/>
        <v>2015</v>
      </c>
      <c r="D341" s="106">
        <f t="shared" si="38"/>
        <v>42338</v>
      </c>
      <c r="E341" s="230">
        <v>42338</v>
      </c>
      <c r="F341" s="229">
        <v>9</v>
      </c>
      <c r="G341" s="229">
        <v>12.1</v>
      </c>
      <c r="H341" s="229">
        <v>6.4</v>
      </c>
      <c r="I341" s="229">
        <v>92.5</v>
      </c>
      <c r="J341" s="229">
        <v>97.6</v>
      </c>
      <c r="K341" s="229">
        <v>74.3</v>
      </c>
      <c r="L341" s="229">
        <v>5.52</v>
      </c>
      <c r="M341" s="229">
        <v>2.1</v>
      </c>
      <c r="N341" s="229">
        <v>6.5</v>
      </c>
      <c r="O341" s="229">
        <v>7.1</v>
      </c>
      <c r="P341" s="229">
        <v>2</v>
      </c>
      <c r="Q341" s="229">
        <v>0.8</v>
      </c>
      <c r="R341" s="122"/>
      <c r="S341" s="122">
        <f t="shared" si="40"/>
        <v>30</v>
      </c>
      <c r="T341" s="122">
        <f t="shared" si="41"/>
        <v>11</v>
      </c>
      <c r="U341" s="122">
        <f>YEAR(Inputs!$I$8)</f>
        <v>2015</v>
      </c>
      <c r="V341" s="106"/>
      <c r="W341" s="69">
        <v>42338</v>
      </c>
      <c r="X341" s="116">
        <v>4.5999999999999996</v>
      </c>
      <c r="Y341" s="116">
        <v>17.600000000000001</v>
      </c>
      <c r="Z341" s="116">
        <v>-5.0999999999999996</v>
      </c>
      <c r="AA341" s="116">
        <v>67.5</v>
      </c>
      <c r="AB341" s="116">
        <v>93.6</v>
      </c>
      <c r="AC341" s="116">
        <v>24.4</v>
      </c>
      <c r="AD341" s="116">
        <v>10.66</v>
      </c>
      <c r="AE341" s="116">
        <v>1.2</v>
      </c>
      <c r="AF341" s="116">
        <v>4.0999999999999996</v>
      </c>
      <c r="AG341" s="116">
        <v>8</v>
      </c>
      <c r="AH341" s="116">
        <v>0</v>
      </c>
      <c r="AI341" s="116">
        <v>1.5</v>
      </c>
    </row>
    <row r="342" spans="1:35" s="71" customFormat="1">
      <c r="A342" s="210">
        <f t="shared" si="36"/>
        <v>1</v>
      </c>
      <c r="B342" s="210">
        <f t="shared" si="37"/>
        <v>12</v>
      </c>
      <c r="C342" s="210">
        <f t="shared" si="39"/>
        <v>2015</v>
      </c>
      <c r="D342" s="106">
        <f t="shared" si="38"/>
        <v>42339</v>
      </c>
      <c r="E342" s="230">
        <v>42339</v>
      </c>
      <c r="F342" s="229">
        <v>9.1</v>
      </c>
      <c r="G342" s="229">
        <v>13.2</v>
      </c>
      <c r="H342" s="229">
        <v>6.1</v>
      </c>
      <c r="I342" s="229">
        <v>90.6</v>
      </c>
      <c r="J342" s="229">
        <v>96.1</v>
      </c>
      <c r="K342" s="229">
        <v>73.2</v>
      </c>
      <c r="L342" s="229">
        <v>6.18</v>
      </c>
      <c r="M342" s="229">
        <v>4.0999999999999996</v>
      </c>
      <c r="N342" s="229">
        <v>9.3000000000000007</v>
      </c>
      <c r="O342" s="229">
        <v>6.3</v>
      </c>
      <c r="P342" s="229">
        <v>2.4</v>
      </c>
      <c r="Q342" s="229">
        <v>1.1000000000000001</v>
      </c>
      <c r="R342" s="122"/>
      <c r="S342" s="122">
        <f t="shared" si="40"/>
        <v>1</v>
      </c>
      <c r="T342" s="122">
        <f t="shared" si="41"/>
        <v>12</v>
      </c>
      <c r="U342" s="122">
        <f>YEAR(Inputs!$I$8)</f>
        <v>2015</v>
      </c>
      <c r="V342" s="106"/>
      <c r="W342" s="69">
        <v>42339</v>
      </c>
      <c r="X342" s="116">
        <v>4.3</v>
      </c>
      <c r="Y342" s="116">
        <v>16.8</v>
      </c>
      <c r="Z342" s="116">
        <v>-4.7</v>
      </c>
      <c r="AA342" s="116">
        <v>67.7</v>
      </c>
      <c r="AB342" s="116">
        <v>92.6</v>
      </c>
      <c r="AC342" s="116">
        <v>31.1</v>
      </c>
      <c r="AD342" s="116">
        <v>10.49</v>
      </c>
      <c r="AE342" s="116">
        <v>0.7</v>
      </c>
      <c r="AF342" s="116">
        <v>2.8</v>
      </c>
      <c r="AG342" s="116">
        <v>7.8</v>
      </c>
      <c r="AH342" s="116">
        <v>0</v>
      </c>
      <c r="AI342" s="116">
        <v>1</v>
      </c>
    </row>
    <row r="343" spans="1:35" s="71" customFormat="1">
      <c r="A343" s="210">
        <f t="shared" si="36"/>
        <v>2</v>
      </c>
      <c r="B343" s="210">
        <f t="shared" si="37"/>
        <v>12</v>
      </c>
      <c r="C343" s="210">
        <f t="shared" si="39"/>
        <v>2015</v>
      </c>
      <c r="D343" s="106">
        <f t="shared" si="38"/>
        <v>42340</v>
      </c>
      <c r="E343" s="230">
        <v>42340</v>
      </c>
      <c r="F343" s="229">
        <v>8</v>
      </c>
      <c r="G343" s="229">
        <v>10.7</v>
      </c>
      <c r="H343" s="229">
        <v>5.4</v>
      </c>
      <c r="I343" s="229">
        <v>91.7</v>
      </c>
      <c r="J343" s="229">
        <v>96.7</v>
      </c>
      <c r="K343" s="229">
        <v>78</v>
      </c>
      <c r="L343" s="229">
        <v>2.86</v>
      </c>
      <c r="M343" s="229">
        <v>1.9</v>
      </c>
      <c r="N343" s="229">
        <v>5.0999999999999996</v>
      </c>
      <c r="O343" s="229">
        <v>3.7</v>
      </c>
      <c r="P343" s="229">
        <v>0</v>
      </c>
      <c r="Q343" s="229">
        <v>0.7</v>
      </c>
      <c r="R343" s="122"/>
      <c r="S343" s="122">
        <f t="shared" si="40"/>
        <v>2</v>
      </c>
      <c r="T343" s="122">
        <f t="shared" si="41"/>
        <v>12</v>
      </c>
      <c r="U343" s="122">
        <f>YEAR(Inputs!$I$8)</f>
        <v>2015</v>
      </c>
      <c r="V343" s="106"/>
      <c r="W343" s="69">
        <v>42340</v>
      </c>
      <c r="X343" s="116">
        <v>5.5</v>
      </c>
      <c r="Y343" s="116">
        <v>16.3</v>
      </c>
      <c r="Z343" s="116">
        <v>-3</v>
      </c>
      <c r="AA343" s="116">
        <v>68.3</v>
      </c>
      <c r="AB343" s="116">
        <v>89.5</v>
      </c>
      <c r="AC343" s="116">
        <v>33.200000000000003</v>
      </c>
      <c r="AD343" s="116">
        <v>9.3699999999999992</v>
      </c>
      <c r="AE343" s="116">
        <v>1.6</v>
      </c>
      <c r="AF343" s="116">
        <v>5.4</v>
      </c>
      <c r="AG343" s="116">
        <v>7.4</v>
      </c>
      <c r="AH343" s="116">
        <v>0</v>
      </c>
      <c r="AI343" s="116">
        <v>1.6</v>
      </c>
    </row>
    <row r="344" spans="1:35" s="71" customFormat="1">
      <c r="A344" s="210">
        <f t="shared" si="36"/>
        <v>3</v>
      </c>
      <c r="B344" s="210">
        <f t="shared" si="37"/>
        <v>12</v>
      </c>
      <c r="C344" s="210">
        <f t="shared" si="39"/>
        <v>2015</v>
      </c>
      <c r="D344" s="106">
        <f t="shared" si="38"/>
        <v>42341</v>
      </c>
      <c r="E344" s="230">
        <v>42341</v>
      </c>
      <c r="F344" s="229">
        <v>8.4</v>
      </c>
      <c r="G344" s="229">
        <v>13.2</v>
      </c>
      <c r="H344" s="229">
        <v>4.3</v>
      </c>
      <c r="I344" s="229">
        <v>92</v>
      </c>
      <c r="J344" s="229">
        <v>97.5</v>
      </c>
      <c r="K344" s="229">
        <v>76.099999999999994</v>
      </c>
      <c r="L344" s="229">
        <v>7.19</v>
      </c>
      <c r="M344" s="229">
        <v>0.8</v>
      </c>
      <c r="N344" s="229">
        <v>3.5</v>
      </c>
      <c r="O344" s="229">
        <v>6.2</v>
      </c>
      <c r="P344" s="229">
        <v>0.2</v>
      </c>
      <c r="Q344" s="229">
        <v>0.6</v>
      </c>
      <c r="R344" s="122"/>
      <c r="S344" s="122">
        <f t="shared" si="40"/>
        <v>3</v>
      </c>
      <c r="T344" s="122">
        <f t="shared" si="41"/>
        <v>12</v>
      </c>
      <c r="U344" s="122">
        <f>YEAR(Inputs!$I$8)</f>
        <v>2015</v>
      </c>
      <c r="V344" s="106"/>
      <c r="W344" s="69">
        <v>42341</v>
      </c>
      <c r="X344" s="116">
        <v>6.2</v>
      </c>
      <c r="Y344" s="116">
        <v>17.2</v>
      </c>
      <c r="Z344" s="116">
        <v>-2.6</v>
      </c>
      <c r="AA344" s="116">
        <v>70.599999999999994</v>
      </c>
      <c r="AB344" s="116">
        <v>96.4</v>
      </c>
      <c r="AC344" s="116">
        <v>33.700000000000003</v>
      </c>
      <c r="AD344" s="116">
        <v>9.99</v>
      </c>
      <c r="AE344" s="116">
        <v>0.8</v>
      </c>
      <c r="AF344" s="116">
        <v>2.7</v>
      </c>
      <c r="AG344" s="116">
        <v>7.8</v>
      </c>
      <c r="AH344" s="116">
        <v>0</v>
      </c>
      <c r="AI344" s="116">
        <v>1</v>
      </c>
    </row>
    <row r="345" spans="1:35" s="71" customFormat="1">
      <c r="A345" s="210">
        <f t="shared" si="36"/>
        <v>4</v>
      </c>
      <c r="B345" s="210">
        <f t="shared" si="37"/>
        <v>12</v>
      </c>
      <c r="C345" s="210">
        <f t="shared" si="39"/>
        <v>2015</v>
      </c>
      <c r="D345" s="106">
        <f t="shared" si="38"/>
        <v>42342</v>
      </c>
      <c r="E345" s="230">
        <v>42342</v>
      </c>
      <c r="F345" s="229">
        <v>7.2</v>
      </c>
      <c r="G345" s="229">
        <v>12.1</v>
      </c>
      <c r="H345" s="229">
        <v>2.1</v>
      </c>
      <c r="I345" s="229">
        <v>93.8</v>
      </c>
      <c r="J345" s="229">
        <v>98.2</v>
      </c>
      <c r="K345" s="229">
        <v>80.8</v>
      </c>
      <c r="L345" s="229">
        <v>7.19</v>
      </c>
      <c r="M345" s="229">
        <v>2.4</v>
      </c>
      <c r="N345" s="229">
        <v>7.1</v>
      </c>
      <c r="O345" s="229">
        <v>6.5</v>
      </c>
      <c r="P345" s="229">
        <v>0.6</v>
      </c>
      <c r="Q345" s="229">
        <v>0.7</v>
      </c>
      <c r="R345" s="122"/>
      <c r="S345" s="122">
        <f t="shared" si="40"/>
        <v>4</v>
      </c>
      <c r="T345" s="122">
        <f t="shared" si="41"/>
        <v>12</v>
      </c>
      <c r="U345" s="122">
        <f>YEAR(Inputs!$I$8)</f>
        <v>2015</v>
      </c>
      <c r="V345" s="106"/>
      <c r="W345" s="69">
        <v>42342</v>
      </c>
      <c r="X345" s="116">
        <v>6.8</v>
      </c>
      <c r="Y345" s="116">
        <v>18.8</v>
      </c>
      <c r="Z345" s="116">
        <v>-2</v>
      </c>
      <c r="AA345" s="116">
        <v>70.7</v>
      </c>
      <c r="AB345" s="116">
        <v>93.8</v>
      </c>
      <c r="AC345" s="116">
        <v>36.5</v>
      </c>
      <c r="AD345" s="116">
        <v>9.81</v>
      </c>
      <c r="AE345" s="116">
        <v>0.7</v>
      </c>
      <c r="AF345" s="116">
        <v>3.6</v>
      </c>
      <c r="AG345" s="116">
        <v>7.8</v>
      </c>
      <c r="AH345" s="116">
        <v>0</v>
      </c>
      <c r="AI345" s="116">
        <v>1</v>
      </c>
    </row>
    <row r="346" spans="1:35" s="71" customFormat="1">
      <c r="A346" s="210">
        <f t="shared" ref="A346:A372" si="42">DAY(E346)</f>
        <v>5</v>
      </c>
      <c r="B346" s="210">
        <f t="shared" ref="B346:B372" si="43">MONTH(E346)</f>
        <v>12</v>
      </c>
      <c r="C346" s="210">
        <f t="shared" si="39"/>
        <v>2015</v>
      </c>
      <c r="D346" s="106">
        <f t="shared" si="38"/>
        <v>42343</v>
      </c>
      <c r="E346" s="230">
        <v>42343</v>
      </c>
      <c r="F346" s="229">
        <v>9.5</v>
      </c>
      <c r="G346" s="229">
        <v>10.4</v>
      </c>
      <c r="H346" s="229">
        <v>8.5</v>
      </c>
      <c r="I346" s="229">
        <v>96</v>
      </c>
      <c r="J346" s="229">
        <v>97</v>
      </c>
      <c r="K346" s="229">
        <v>94.6</v>
      </c>
      <c r="L346" s="229">
        <v>1.31</v>
      </c>
      <c r="M346" s="229">
        <v>3.2</v>
      </c>
      <c r="N346" s="229">
        <v>6.1</v>
      </c>
      <c r="O346" s="229">
        <v>0</v>
      </c>
      <c r="P346" s="229">
        <v>17</v>
      </c>
      <c r="Q346" s="229">
        <v>0.5</v>
      </c>
      <c r="R346" s="122"/>
      <c r="S346" s="122">
        <f t="shared" si="40"/>
        <v>5</v>
      </c>
      <c r="T346" s="122">
        <f t="shared" si="41"/>
        <v>12</v>
      </c>
      <c r="U346" s="122">
        <f>YEAR(Inputs!$I$8)</f>
        <v>2015</v>
      </c>
      <c r="V346" s="106"/>
      <c r="W346" s="69">
        <v>42343</v>
      </c>
      <c r="X346" s="116">
        <v>7</v>
      </c>
      <c r="Y346" s="116">
        <v>18.899999999999999</v>
      </c>
      <c r="Z346" s="116">
        <v>-1.1000000000000001</v>
      </c>
      <c r="AA346" s="116">
        <v>74.2</v>
      </c>
      <c r="AB346" s="116">
        <v>95.4</v>
      </c>
      <c r="AC346" s="116">
        <v>36.5</v>
      </c>
      <c r="AD346" s="116">
        <v>9.26</v>
      </c>
      <c r="AE346" s="116">
        <v>0.8</v>
      </c>
      <c r="AF346" s="116">
        <v>2.7</v>
      </c>
      <c r="AG346" s="116">
        <v>7.4</v>
      </c>
      <c r="AH346" s="116">
        <v>0</v>
      </c>
      <c r="AI346" s="116">
        <v>1.1000000000000001</v>
      </c>
    </row>
    <row r="347" spans="1:35" s="71" customFormat="1">
      <c r="A347" s="210">
        <f t="shared" si="42"/>
        <v>6</v>
      </c>
      <c r="B347" s="210">
        <f t="shared" si="43"/>
        <v>12</v>
      </c>
      <c r="C347" s="210">
        <f t="shared" si="39"/>
        <v>2015</v>
      </c>
      <c r="D347" s="106">
        <f t="shared" si="38"/>
        <v>42344</v>
      </c>
      <c r="E347" s="230">
        <v>42344</v>
      </c>
      <c r="F347" s="229">
        <v>10.5</v>
      </c>
      <c r="G347" s="229">
        <v>12.1</v>
      </c>
      <c r="H347" s="229">
        <v>8.9</v>
      </c>
      <c r="I347" s="229">
        <v>93</v>
      </c>
      <c r="J347" s="229">
        <v>96.7</v>
      </c>
      <c r="K347" s="229">
        <v>87.2</v>
      </c>
      <c r="L347" s="229">
        <v>2.41</v>
      </c>
      <c r="M347" s="229">
        <v>3.1</v>
      </c>
      <c r="N347" s="229">
        <v>7.7</v>
      </c>
      <c r="O347" s="229">
        <v>2.2000000000000002</v>
      </c>
      <c r="P347" s="229">
        <v>2</v>
      </c>
      <c r="Q347" s="229">
        <v>0.7</v>
      </c>
      <c r="R347" s="122"/>
      <c r="S347" s="122">
        <f t="shared" si="40"/>
        <v>6</v>
      </c>
      <c r="T347" s="122">
        <f t="shared" si="41"/>
        <v>12</v>
      </c>
      <c r="U347" s="122">
        <f>YEAR(Inputs!$I$8)</f>
        <v>2015</v>
      </c>
      <c r="V347" s="106"/>
      <c r="W347" s="69">
        <v>42344</v>
      </c>
      <c r="X347" s="116">
        <v>7.4</v>
      </c>
      <c r="Y347" s="116">
        <v>14.4</v>
      </c>
      <c r="Z347" s="116">
        <v>2.6</v>
      </c>
      <c r="AA347" s="116">
        <v>91.2</v>
      </c>
      <c r="AB347" s="116">
        <v>100</v>
      </c>
      <c r="AC347" s="116">
        <v>60.2</v>
      </c>
      <c r="AD347" s="116">
        <v>6.57</v>
      </c>
      <c r="AE347" s="116">
        <v>2.2999999999999998</v>
      </c>
      <c r="AF347" s="116">
        <v>6.2</v>
      </c>
      <c r="AG347" s="116">
        <v>6.1</v>
      </c>
      <c r="AH347" s="116">
        <v>0.2</v>
      </c>
      <c r="AI347" s="116">
        <v>1.2</v>
      </c>
    </row>
    <row r="348" spans="1:35" s="71" customFormat="1">
      <c r="A348" s="210">
        <f t="shared" si="42"/>
        <v>7</v>
      </c>
      <c r="B348" s="210">
        <f t="shared" si="43"/>
        <v>12</v>
      </c>
      <c r="C348" s="210">
        <f t="shared" si="39"/>
        <v>2015</v>
      </c>
      <c r="D348" s="106">
        <f t="shared" si="38"/>
        <v>42345</v>
      </c>
      <c r="E348" s="230">
        <v>42345</v>
      </c>
      <c r="F348" s="229">
        <v>8.6999999999999993</v>
      </c>
      <c r="G348" s="229">
        <v>13.5</v>
      </c>
      <c r="H348" s="229">
        <v>4.2</v>
      </c>
      <c r="I348" s="229">
        <v>87.3</v>
      </c>
      <c r="J348" s="229">
        <v>96.6</v>
      </c>
      <c r="K348" s="229">
        <v>66.7</v>
      </c>
      <c r="L348" s="229">
        <v>7.09</v>
      </c>
      <c r="M348" s="229">
        <v>0.9</v>
      </c>
      <c r="N348" s="229">
        <v>3.9</v>
      </c>
      <c r="O348" s="229">
        <v>7.6</v>
      </c>
      <c r="P348" s="229">
        <v>0</v>
      </c>
      <c r="Q348" s="229">
        <v>0.7</v>
      </c>
      <c r="R348" s="122"/>
      <c r="S348" s="122">
        <f t="shared" si="40"/>
        <v>7</v>
      </c>
      <c r="T348" s="122">
        <f t="shared" si="41"/>
        <v>12</v>
      </c>
      <c r="U348" s="122">
        <f>YEAR(Inputs!$I$8)</f>
        <v>2015</v>
      </c>
      <c r="V348" s="106"/>
      <c r="W348" s="69">
        <v>42345</v>
      </c>
      <c r="X348" s="116">
        <v>10</v>
      </c>
      <c r="Y348" s="116">
        <v>14.3</v>
      </c>
      <c r="Z348" s="116">
        <v>7</v>
      </c>
      <c r="AA348" s="116">
        <v>82</v>
      </c>
      <c r="AB348" s="116">
        <v>96.5</v>
      </c>
      <c r="AC348" s="116">
        <v>63</v>
      </c>
      <c r="AD348" s="116">
        <v>7.52</v>
      </c>
      <c r="AE348" s="116">
        <v>2.4</v>
      </c>
      <c r="AF348" s="116">
        <v>6.9</v>
      </c>
      <c r="AG348" s="116">
        <v>6.9</v>
      </c>
      <c r="AH348" s="116">
        <v>0</v>
      </c>
      <c r="AI348" s="116">
        <v>1.1000000000000001</v>
      </c>
    </row>
    <row r="349" spans="1:35" s="71" customFormat="1">
      <c r="A349" s="210">
        <f t="shared" si="42"/>
        <v>8</v>
      </c>
      <c r="B349" s="210">
        <f t="shared" si="43"/>
        <v>12</v>
      </c>
      <c r="C349" s="210">
        <f t="shared" si="39"/>
        <v>2015</v>
      </c>
      <c r="D349" s="106">
        <f t="shared" si="38"/>
        <v>42346</v>
      </c>
      <c r="E349" s="230">
        <v>42346</v>
      </c>
      <c r="F349" s="229">
        <v>5.2</v>
      </c>
      <c r="G349" s="229">
        <v>10</v>
      </c>
      <c r="H349" s="229">
        <v>1.5</v>
      </c>
      <c r="I349" s="229">
        <v>97.7</v>
      </c>
      <c r="J349" s="229">
        <v>98.4</v>
      </c>
      <c r="K349" s="229">
        <v>95.7</v>
      </c>
      <c r="L349" s="229">
        <v>4.75</v>
      </c>
      <c r="M349" s="229">
        <v>1</v>
      </c>
      <c r="N349" s="229">
        <v>3.6</v>
      </c>
      <c r="O349" s="229">
        <v>6.7</v>
      </c>
      <c r="P349" s="229">
        <v>0.4</v>
      </c>
      <c r="Q349" s="229">
        <v>0.4</v>
      </c>
      <c r="R349" s="122"/>
      <c r="S349" s="122">
        <f t="shared" si="40"/>
        <v>8</v>
      </c>
      <c r="T349" s="122">
        <f t="shared" si="41"/>
        <v>12</v>
      </c>
      <c r="U349" s="122">
        <f>YEAR(Inputs!$I$8)</f>
        <v>2015</v>
      </c>
      <c r="V349" s="106"/>
      <c r="W349" s="69">
        <v>42346</v>
      </c>
      <c r="X349" s="116">
        <v>7.6</v>
      </c>
      <c r="Y349" s="116">
        <v>16</v>
      </c>
      <c r="Z349" s="116">
        <v>1.7</v>
      </c>
      <c r="AA349" s="116">
        <v>82.4</v>
      </c>
      <c r="AB349" s="116">
        <v>100</v>
      </c>
      <c r="AC349" s="116">
        <v>45.9</v>
      </c>
      <c r="AD349" s="116">
        <v>7.12</v>
      </c>
      <c r="AE349" s="116">
        <v>1.1000000000000001</v>
      </c>
      <c r="AF349" s="116">
        <v>3.1</v>
      </c>
      <c r="AG349" s="116">
        <v>6.4</v>
      </c>
      <c r="AH349" s="116">
        <v>0</v>
      </c>
      <c r="AI349" s="116">
        <v>1</v>
      </c>
    </row>
    <row r="350" spans="1:35" s="71" customFormat="1">
      <c r="A350" s="210">
        <f t="shared" si="42"/>
        <v>9</v>
      </c>
      <c r="B350" s="210">
        <f t="shared" si="43"/>
        <v>12</v>
      </c>
      <c r="C350" s="210">
        <f t="shared" si="39"/>
        <v>2015</v>
      </c>
      <c r="D350" s="106">
        <f t="shared" si="38"/>
        <v>42347</v>
      </c>
      <c r="E350" s="230">
        <v>42347</v>
      </c>
      <c r="F350" s="229">
        <v>6.5</v>
      </c>
      <c r="G350" s="229">
        <v>10.199999999999999</v>
      </c>
      <c r="H350" s="229">
        <v>1.6</v>
      </c>
      <c r="I350" s="229">
        <v>95.2</v>
      </c>
      <c r="J350" s="229">
        <v>98.8</v>
      </c>
      <c r="K350" s="229">
        <v>88.3</v>
      </c>
      <c r="L350" s="229">
        <v>2.95</v>
      </c>
      <c r="M350" s="229">
        <v>1.7</v>
      </c>
      <c r="N350" s="229">
        <v>5.6</v>
      </c>
      <c r="O350" s="229">
        <v>4.4000000000000004</v>
      </c>
      <c r="P350" s="229">
        <v>0.4</v>
      </c>
      <c r="Q350" s="229">
        <v>0.5</v>
      </c>
      <c r="R350" s="122"/>
      <c r="S350" s="122">
        <f t="shared" si="40"/>
        <v>9</v>
      </c>
      <c r="T350" s="122">
        <f t="shared" si="41"/>
        <v>12</v>
      </c>
      <c r="U350" s="122">
        <f>YEAR(Inputs!$I$8)</f>
        <v>2015</v>
      </c>
      <c r="V350" s="106"/>
      <c r="W350" s="69">
        <v>42347</v>
      </c>
      <c r="X350" s="116">
        <v>6.4</v>
      </c>
      <c r="Y350" s="116">
        <v>13.9</v>
      </c>
      <c r="Z350" s="116">
        <v>-0.1</v>
      </c>
      <c r="AA350" s="116">
        <v>86.2</v>
      </c>
      <c r="AB350" s="116">
        <v>97.6</v>
      </c>
      <c r="AC350" s="116">
        <v>64.599999999999994</v>
      </c>
      <c r="AD350" s="116">
        <v>7.04</v>
      </c>
      <c r="AE350" s="116">
        <v>1.6</v>
      </c>
      <c r="AF350" s="116">
        <v>6.2</v>
      </c>
      <c r="AG350" s="116">
        <v>6.9</v>
      </c>
      <c r="AH350" s="116">
        <v>0</v>
      </c>
      <c r="AI350" s="116">
        <v>0.9</v>
      </c>
    </row>
    <row r="351" spans="1:35" s="71" customFormat="1">
      <c r="A351" s="210">
        <f t="shared" si="42"/>
        <v>10</v>
      </c>
      <c r="B351" s="210">
        <f t="shared" si="43"/>
        <v>12</v>
      </c>
      <c r="C351" s="210">
        <f t="shared" si="39"/>
        <v>2015</v>
      </c>
      <c r="D351" s="106">
        <f t="shared" si="38"/>
        <v>42348</v>
      </c>
      <c r="E351" s="230">
        <v>42348</v>
      </c>
      <c r="F351" s="229">
        <v>9.6</v>
      </c>
      <c r="G351" s="229">
        <v>13.4</v>
      </c>
      <c r="H351" s="229">
        <v>5</v>
      </c>
      <c r="I351" s="229">
        <v>91.4</v>
      </c>
      <c r="J351" s="229">
        <v>97.6</v>
      </c>
      <c r="K351" s="229">
        <v>81.099999999999994</v>
      </c>
      <c r="L351" s="229">
        <v>5.08</v>
      </c>
      <c r="M351" s="229">
        <v>0.9</v>
      </c>
      <c r="N351" s="229">
        <v>3.4</v>
      </c>
      <c r="O351" s="229">
        <v>5.5</v>
      </c>
      <c r="P351" s="229">
        <v>0</v>
      </c>
      <c r="Q351" s="229">
        <v>0.6</v>
      </c>
      <c r="R351" s="122"/>
      <c r="S351" s="122">
        <f t="shared" si="40"/>
        <v>10</v>
      </c>
      <c r="T351" s="122">
        <f t="shared" si="41"/>
        <v>12</v>
      </c>
      <c r="U351" s="122">
        <f>YEAR(Inputs!$I$8)</f>
        <v>2015</v>
      </c>
      <c r="V351" s="106"/>
      <c r="W351" s="69">
        <v>42348</v>
      </c>
      <c r="X351" s="116">
        <v>8.4</v>
      </c>
      <c r="Y351" s="116">
        <v>14.1</v>
      </c>
      <c r="Z351" s="116">
        <v>3.4</v>
      </c>
      <c r="AA351" s="116">
        <v>91.9</v>
      </c>
      <c r="AB351" s="116">
        <v>99.6</v>
      </c>
      <c r="AC351" s="116">
        <v>67.400000000000006</v>
      </c>
      <c r="AD351" s="116">
        <v>6.04</v>
      </c>
      <c r="AE351" s="116">
        <v>1.9</v>
      </c>
      <c r="AF351" s="116">
        <v>5.5</v>
      </c>
      <c r="AG351" s="116">
        <v>6.3</v>
      </c>
      <c r="AH351" s="116">
        <v>0.4</v>
      </c>
      <c r="AI351" s="116">
        <v>0.9</v>
      </c>
    </row>
    <row r="352" spans="1:35" s="71" customFormat="1">
      <c r="A352" s="210">
        <f t="shared" si="42"/>
        <v>11</v>
      </c>
      <c r="B352" s="210">
        <f t="shared" si="43"/>
        <v>12</v>
      </c>
      <c r="C352" s="210">
        <f t="shared" si="39"/>
        <v>2015</v>
      </c>
      <c r="D352" s="106">
        <f t="shared" si="38"/>
        <v>42349</v>
      </c>
      <c r="E352" s="230">
        <v>42349</v>
      </c>
      <c r="F352" s="229">
        <v>8.9</v>
      </c>
      <c r="G352" s="229">
        <v>14.3</v>
      </c>
      <c r="H352" s="229">
        <v>2.8</v>
      </c>
      <c r="I352" s="229">
        <v>90.1</v>
      </c>
      <c r="J352" s="229">
        <v>98.1</v>
      </c>
      <c r="K352" s="229">
        <v>68.7</v>
      </c>
      <c r="L352" s="229">
        <v>9.7200000000000006</v>
      </c>
      <c r="M352" s="229">
        <v>1.1000000000000001</v>
      </c>
      <c r="N352" s="229">
        <v>4.3</v>
      </c>
      <c r="O352" s="229">
        <v>7.5</v>
      </c>
      <c r="P352" s="229">
        <v>0.2</v>
      </c>
      <c r="Q352" s="229">
        <v>0.7</v>
      </c>
      <c r="R352" s="122"/>
      <c r="S352" s="122">
        <f t="shared" si="40"/>
        <v>11</v>
      </c>
      <c r="T352" s="122">
        <f t="shared" si="41"/>
        <v>12</v>
      </c>
      <c r="U352" s="122">
        <f>YEAR(Inputs!$I$8)</f>
        <v>2015</v>
      </c>
      <c r="V352" s="106"/>
      <c r="W352" s="69">
        <v>42349</v>
      </c>
      <c r="X352" s="116">
        <v>8.6</v>
      </c>
      <c r="Y352" s="116">
        <v>12.5</v>
      </c>
      <c r="Z352" s="116">
        <v>4.3</v>
      </c>
      <c r="AA352" s="116">
        <v>89.9</v>
      </c>
      <c r="AB352" s="116">
        <v>100</v>
      </c>
      <c r="AC352" s="116">
        <v>70.3</v>
      </c>
      <c r="AD352" s="116">
        <v>5.07</v>
      </c>
      <c r="AE352" s="116">
        <v>2.4</v>
      </c>
      <c r="AF352" s="116">
        <v>5.0999999999999996</v>
      </c>
      <c r="AG352" s="116">
        <v>6.5</v>
      </c>
      <c r="AH352" s="116">
        <v>0.2</v>
      </c>
      <c r="AI352" s="116">
        <v>0.9</v>
      </c>
    </row>
    <row r="353" spans="1:35" s="71" customFormat="1">
      <c r="A353" s="210">
        <f t="shared" si="42"/>
        <v>12</v>
      </c>
      <c r="B353" s="210">
        <f t="shared" si="43"/>
        <v>12</v>
      </c>
      <c r="C353" s="210">
        <f t="shared" si="39"/>
        <v>2015</v>
      </c>
      <c r="D353" s="106">
        <f t="shared" si="38"/>
        <v>42350</v>
      </c>
      <c r="E353" s="230">
        <v>42350</v>
      </c>
      <c r="F353" s="229">
        <v>6</v>
      </c>
      <c r="G353" s="229">
        <v>12.3</v>
      </c>
      <c r="H353" s="229">
        <v>0.8</v>
      </c>
      <c r="I353" s="229">
        <v>94.3</v>
      </c>
      <c r="J353" s="229">
        <v>98.8</v>
      </c>
      <c r="K353" s="229">
        <v>76.8</v>
      </c>
      <c r="L353" s="229">
        <v>9.3000000000000007</v>
      </c>
      <c r="M353" s="229">
        <v>2.1</v>
      </c>
      <c r="N353" s="229">
        <v>5</v>
      </c>
      <c r="O353" s="229">
        <v>7.6</v>
      </c>
      <c r="P353" s="229">
        <v>0.4</v>
      </c>
      <c r="Q353" s="229">
        <v>0.7</v>
      </c>
      <c r="R353" s="122"/>
      <c r="S353" s="122">
        <f t="shared" si="40"/>
        <v>12</v>
      </c>
      <c r="T353" s="122">
        <f t="shared" si="41"/>
        <v>12</v>
      </c>
      <c r="U353" s="122">
        <f>YEAR(Inputs!$I$8)</f>
        <v>2015</v>
      </c>
      <c r="V353" s="106"/>
      <c r="W353" s="69">
        <v>42350</v>
      </c>
      <c r="X353" s="116">
        <v>6</v>
      </c>
      <c r="Y353" s="116">
        <v>12.6</v>
      </c>
      <c r="Z353" s="116">
        <v>0.1</v>
      </c>
      <c r="AA353" s="116">
        <v>89.5</v>
      </c>
      <c r="AB353" s="116">
        <v>100</v>
      </c>
      <c r="AC353" s="116">
        <v>61.1</v>
      </c>
      <c r="AD353" s="116">
        <v>5.83</v>
      </c>
      <c r="AE353" s="116">
        <v>1.6</v>
      </c>
      <c r="AF353" s="116">
        <v>5.5</v>
      </c>
      <c r="AG353" s="116">
        <v>6.9</v>
      </c>
      <c r="AH353" s="116">
        <v>0</v>
      </c>
      <c r="AI353" s="116">
        <v>0.9</v>
      </c>
    </row>
    <row r="354" spans="1:35" s="71" customFormat="1">
      <c r="A354" s="210">
        <f t="shared" si="42"/>
        <v>13</v>
      </c>
      <c r="B354" s="210">
        <f t="shared" si="43"/>
        <v>12</v>
      </c>
      <c r="C354" s="210">
        <f t="shared" si="39"/>
        <v>2015</v>
      </c>
      <c r="D354" s="106">
        <f t="shared" si="38"/>
        <v>42351</v>
      </c>
      <c r="E354" s="230">
        <v>42351</v>
      </c>
      <c r="F354" s="229">
        <v>5.0999999999999996</v>
      </c>
      <c r="G354" s="229">
        <v>10</v>
      </c>
      <c r="H354" s="229">
        <v>1.9</v>
      </c>
      <c r="I354" s="229">
        <v>97.3</v>
      </c>
      <c r="J354" s="229">
        <v>98.5</v>
      </c>
      <c r="K354" s="229">
        <v>89</v>
      </c>
      <c r="L354" s="229">
        <v>5.58</v>
      </c>
      <c r="M354" s="229">
        <v>2.1</v>
      </c>
      <c r="N354" s="229">
        <v>5.4</v>
      </c>
      <c r="O354" s="229">
        <v>6.5</v>
      </c>
      <c r="P354" s="229">
        <v>0.2</v>
      </c>
      <c r="Q354" s="229">
        <v>0.5</v>
      </c>
      <c r="R354" s="122"/>
      <c r="S354" s="122">
        <f t="shared" si="40"/>
        <v>13</v>
      </c>
      <c r="T354" s="122">
        <f t="shared" si="41"/>
        <v>12</v>
      </c>
      <c r="U354" s="122">
        <f>YEAR(Inputs!$I$8)</f>
        <v>2015</v>
      </c>
      <c r="V354" s="106"/>
      <c r="W354" s="69">
        <v>42351</v>
      </c>
      <c r="X354" s="116">
        <v>5.6</v>
      </c>
      <c r="Y354" s="116">
        <v>12.9</v>
      </c>
      <c r="Z354" s="116">
        <v>-0.5</v>
      </c>
      <c r="AA354" s="116">
        <v>88.4</v>
      </c>
      <c r="AB354" s="116">
        <v>100</v>
      </c>
      <c r="AC354" s="116">
        <v>67.099999999999994</v>
      </c>
      <c r="AD354" s="116">
        <v>6</v>
      </c>
      <c r="AE354" s="116">
        <v>1.1000000000000001</v>
      </c>
      <c r="AF354" s="116">
        <v>5.0999999999999996</v>
      </c>
      <c r="AG354" s="116">
        <v>6.1</v>
      </c>
      <c r="AH354" s="116">
        <v>0</v>
      </c>
      <c r="AI354" s="116">
        <v>0.7</v>
      </c>
    </row>
    <row r="355" spans="1:35" s="71" customFormat="1">
      <c r="A355" s="210">
        <f t="shared" si="42"/>
        <v>14</v>
      </c>
      <c r="B355" s="210">
        <f t="shared" si="43"/>
        <v>12</v>
      </c>
      <c r="C355" s="210">
        <f t="shared" si="39"/>
        <v>2015</v>
      </c>
      <c r="D355" s="106">
        <f t="shared" si="38"/>
        <v>42352</v>
      </c>
      <c r="E355" s="230">
        <v>42352</v>
      </c>
      <c r="F355" s="229">
        <v>4.2</v>
      </c>
      <c r="G355" s="229">
        <v>6.7</v>
      </c>
      <c r="H355" s="229">
        <v>1.4</v>
      </c>
      <c r="I355" s="229">
        <v>98.7</v>
      </c>
      <c r="J355" s="229">
        <v>99.1</v>
      </c>
      <c r="K355" s="229">
        <v>98.2</v>
      </c>
      <c r="L355" s="229">
        <v>3.14</v>
      </c>
      <c r="M355" s="229">
        <v>0.7</v>
      </c>
      <c r="N355" s="229">
        <v>2.5</v>
      </c>
      <c r="O355" s="229">
        <v>4.5999999999999996</v>
      </c>
      <c r="P355" s="229">
        <v>0.4</v>
      </c>
      <c r="Q355" s="229">
        <v>0.4</v>
      </c>
      <c r="R355" s="122"/>
      <c r="S355" s="122">
        <f t="shared" si="40"/>
        <v>14</v>
      </c>
      <c r="T355" s="122">
        <f t="shared" si="41"/>
        <v>12</v>
      </c>
      <c r="U355" s="122">
        <f>YEAR(Inputs!$I$8)</f>
        <v>2015</v>
      </c>
      <c r="V355" s="106"/>
      <c r="W355" s="69">
        <v>42352</v>
      </c>
      <c r="X355" s="116">
        <v>7.2</v>
      </c>
      <c r="Y355" s="116">
        <v>16.100000000000001</v>
      </c>
      <c r="Z355" s="116">
        <v>1</v>
      </c>
      <c r="AA355" s="116">
        <v>80</v>
      </c>
      <c r="AB355" s="116">
        <v>99.1</v>
      </c>
      <c r="AC355" s="116">
        <v>42.4</v>
      </c>
      <c r="AD355" s="116">
        <v>6.46</v>
      </c>
      <c r="AE355" s="116">
        <v>1</v>
      </c>
      <c r="AF355" s="116">
        <v>6.4</v>
      </c>
      <c r="AG355" s="116">
        <v>5.8</v>
      </c>
      <c r="AH355" s="116">
        <v>0.2</v>
      </c>
      <c r="AI355" s="116">
        <v>1</v>
      </c>
    </row>
    <row r="356" spans="1:35" s="71" customFormat="1">
      <c r="A356" s="210">
        <f t="shared" si="42"/>
        <v>15</v>
      </c>
      <c r="B356" s="210">
        <f t="shared" si="43"/>
        <v>12</v>
      </c>
      <c r="C356" s="210">
        <f t="shared" si="39"/>
        <v>2015</v>
      </c>
      <c r="D356" s="106">
        <f t="shared" si="38"/>
        <v>42353</v>
      </c>
      <c r="E356" s="230">
        <v>42353</v>
      </c>
      <c r="F356" s="229">
        <v>4.9000000000000004</v>
      </c>
      <c r="G356" s="229">
        <v>8.9</v>
      </c>
      <c r="H356" s="229">
        <v>1.5</v>
      </c>
      <c r="I356" s="229">
        <v>96</v>
      </c>
      <c r="J356" s="229">
        <v>99.6</v>
      </c>
      <c r="K356" s="229">
        <v>87.4</v>
      </c>
      <c r="L356" s="229">
        <v>5.66</v>
      </c>
      <c r="M356" s="229">
        <v>1.1000000000000001</v>
      </c>
      <c r="N356" s="229">
        <v>3.2</v>
      </c>
      <c r="O356" s="229">
        <v>6.1</v>
      </c>
      <c r="P356" s="229">
        <v>0.2</v>
      </c>
      <c r="Q356" s="229">
        <v>0.5</v>
      </c>
      <c r="R356" s="122"/>
      <c r="S356" s="122">
        <f t="shared" si="40"/>
        <v>15</v>
      </c>
      <c r="T356" s="122">
        <f t="shared" si="41"/>
        <v>12</v>
      </c>
      <c r="U356" s="122">
        <f>YEAR(Inputs!$I$8)</f>
        <v>2015</v>
      </c>
      <c r="V356" s="106"/>
      <c r="W356" s="69">
        <v>42353</v>
      </c>
      <c r="X356" s="116">
        <v>8.6</v>
      </c>
      <c r="Y356" s="116">
        <v>18.7</v>
      </c>
      <c r="Z356" s="116">
        <v>2.1</v>
      </c>
      <c r="AA356" s="116">
        <v>67</v>
      </c>
      <c r="AB356" s="116">
        <v>92</v>
      </c>
      <c r="AC356" s="116">
        <v>31.2</v>
      </c>
      <c r="AD356" s="116">
        <v>8.65</v>
      </c>
      <c r="AE356" s="116">
        <v>1.2</v>
      </c>
      <c r="AF356" s="116">
        <v>5.6</v>
      </c>
      <c r="AG356" s="116">
        <v>7.3</v>
      </c>
      <c r="AH356" s="116">
        <v>0</v>
      </c>
      <c r="AI356" s="116">
        <v>1.4</v>
      </c>
    </row>
    <row r="357" spans="1:35" s="71" customFormat="1">
      <c r="A357" s="210">
        <f t="shared" si="42"/>
        <v>16</v>
      </c>
      <c r="B357" s="210">
        <f t="shared" si="43"/>
        <v>12</v>
      </c>
      <c r="C357" s="210">
        <f t="shared" si="39"/>
        <v>2015</v>
      </c>
      <c r="D357" s="106">
        <f t="shared" si="38"/>
        <v>42354</v>
      </c>
      <c r="E357" s="230">
        <v>42354</v>
      </c>
      <c r="F357" s="229">
        <v>6</v>
      </c>
      <c r="G357" s="229">
        <v>8.1999999999999993</v>
      </c>
      <c r="H357" s="229">
        <v>2.9</v>
      </c>
      <c r="I357" s="229">
        <v>92</v>
      </c>
      <c r="J357" s="229">
        <v>97.3</v>
      </c>
      <c r="K357" s="229">
        <v>85</v>
      </c>
      <c r="L357" s="229">
        <v>3.02</v>
      </c>
      <c r="M357" s="229">
        <v>0.9</v>
      </c>
      <c r="N357" s="229">
        <v>2.8</v>
      </c>
      <c r="O357" s="229">
        <v>3.1</v>
      </c>
      <c r="P357" s="229">
        <v>0</v>
      </c>
      <c r="Q357" s="229">
        <v>0.5</v>
      </c>
      <c r="R357" s="122"/>
      <c r="S357" s="122">
        <f t="shared" si="40"/>
        <v>16</v>
      </c>
      <c r="T357" s="122">
        <f t="shared" si="41"/>
        <v>12</v>
      </c>
      <c r="U357" s="122">
        <f>YEAR(Inputs!$I$8)</f>
        <v>2015</v>
      </c>
      <c r="V357" s="106"/>
      <c r="W357" s="69">
        <v>42354</v>
      </c>
      <c r="X357" s="116">
        <v>7.6</v>
      </c>
      <c r="Y357" s="116">
        <v>18.399999999999999</v>
      </c>
      <c r="Z357" s="116">
        <v>-0.4</v>
      </c>
      <c r="AA357" s="116">
        <v>68.7</v>
      </c>
      <c r="AB357" s="116">
        <v>91.3</v>
      </c>
      <c r="AC357" s="116">
        <v>35.700000000000003</v>
      </c>
      <c r="AD357" s="116">
        <v>8.85</v>
      </c>
      <c r="AE357" s="116">
        <v>1</v>
      </c>
      <c r="AF357" s="116">
        <v>3.7</v>
      </c>
      <c r="AG357" s="116">
        <v>7.4</v>
      </c>
      <c r="AH357" s="116">
        <v>0</v>
      </c>
      <c r="AI357" s="116">
        <v>1.2</v>
      </c>
    </row>
    <row r="358" spans="1:35" s="71" customFormat="1">
      <c r="A358" s="210">
        <f t="shared" si="42"/>
        <v>17</v>
      </c>
      <c r="B358" s="210">
        <f t="shared" si="43"/>
        <v>12</v>
      </c>
      <c r="C358" s="210">
        <f t="shared" si="39"/>
        <v>2015</v>
      </c>
      <c r="D358" s="106">
        <f t="shared" si="38"/>
        <v>42355</v>
      </c>
      <c r="E358" s="230">
        <v>42355</v>
      </c>
      <c r="F358" s="229">
        <v>7.2</v>
      </c>
      <c r="G358" s="229">
        <v>9.4</v>
      </c>
      <c r="H358" s="229">
        <v>5</v>
      </c>
      <c r="I358" s="229">
        <v>91.6</v>
      </c>
      <c r="J358" s="229">
        <v>98.2</v>
      </c>
      <c r="K358" s="229">
        <v>78.900000000000006</v>
      </c>
      <c r="L358" s="229">
        <v>2.83</v>
      </c>
      <c r="M358" s="229">
        <v>2.6</v>
      </c>
      <c r="N358" s="229">
        <v>6.9</v>
      </c>
      <c r="O358" s="229">
        <v>3</v>
      </c>
      <c r="P358" s="229">
        <v>0.4</v>
      </c>
      <c r="Q358" s="229">
        <v>0.7</v>
      </c>
      <c r="R358" s="122"/>
      <c r="S358" s="122">
        <f t="shared" si="40"/>
        <v>17</v>
      </c>
      <c r="T358" s="122">
        <f t="shared" si="41"/>
        <v>12</v>
      </c>
      <c r="U358" s="122">
        <f>YEAR(Inputs!$I$8)</f>
        <v>2015</v>
      </c>
      <c r="V358" s="106"/>
      <c r="W358" s="69">
        <v>42355</v>
      </c>
      <c r="X358" s="116">
        <v>7.3</v>
      </c>
      <c r="Y358" s="116">
        <v>17.5</v>
      </c>
      <c r="Z358" s="116">
        <v>-0.9</v>
      </c>
      <c r="AA358" s="116">
        <v>70.900000000000006</v>
      </c>
      <c r="AB358" s="116">
        <v>92.2</v>
      </c>
      <c r="AC358" s="116">
        <v>37.200000000000003</v>
      </c>
      <c r="AD358" s="116">
        <v>7.52</v>
      </c>
      <c r="AE358" s="116">
        <v>1</v>
      </c>
      <c r="AF358" s="116">
        <v>3.3</v>
      </c>
      <c r="AG358" s="116">
        <v>7.2</v>
      </c>
      <c r="AH358" s="116">
        <v>0</v>
      </c>
      <c r="AI358" s="116">
        <v>1.1000000000000001</v>
      </c>
    </row>
    <row r="359" spans="1:35" s="71" customFormat="1">
      <c r="A359" s="210">
        <f t="shared" si="42"/>
        <v>18</v>
      </c>
      <c r="B359" s="210">
        <f t="shared" si="43"/>
        <v>12</v>
      </c>
      <c r="C359" s="210">
        <f t="shared" si="39"/>
        <v>2015</v>
      </c>
      <c r="D359" s="106">
        <f t="shared" si="38"/>
        <v>42356</v>
      </c>
      <c r="E359" s="230">
        <v>42356</v>
      </c>
      <c r="F359" s="229">
        <v>7.8</v>
      </c>
      <c r="G359" s="229">
        <v>9.6</v>
      </c>
      <c r="H359" s="229">
        <v>6.5</v>
      </c>
      <c r="I359" s="229">
        <v>91.8</v>
      </c>
      <c r="J359" s="229">
        <v>96.7</v>
      </c>
      <c r="K359" s="229">
        <v>82.4</v>
      </c>
      <c r="L359" s="229">
        <v>1.96</v>
      </c>
      <c r="M359" s="229">
        <v>5.4</v>
      </c>
      <c r="N359" s="229">
        <v>10.6</v>
      </c>
      <c r="O359" s="229">
        <v>0.6</v>
      </c>
      <c r="P359" s="229">
        <v>26.5</v>
      </c>
      <c r="Q359" s="229">
        <v>0.8</v>
      </c>
      <c r="R359" s="122"/>
      <c r="S359" s="122">
        <f t="shared" si="40"/>
        <v>18</v>
      </c>
      <c r="T359" s="122">
        <f t="shared" si="41"/>
        <v>12</v>
      </c>
      <c r="U359" s="122">
        <f>YEAR(Inputs!$I$8)</f>
        <v>2015</v>
      </c>
      <c r="V359" s="106"/>
      <c r="W359" s="69">
        <v>42356</v>
      </c>
      <c r="X359" s="116">
        <v>6.6</v>
      </c>
      <c r="Y359" s="116">
        <v>18</v>
      </c>
      <c r="Z359" s="116">
        <v>-0.7</v>
      </c>
      <c r="AA359" s="116">
        <v>67.400000000000006</v>
      </c>
      <c r="AB359" s="116">
        <v>89.2</v>
      </c>
      <c r="AC359" s="116">
        <v>30.4</v>
      </c>
      <c r="AD359" s="116">
        <v>8</v>
      </c>
      <c r="AE359" s="116">
        <v>1.1000000000000001</v>
      </c>
      <c r="AF359" s="116">
        <v>4.2</v>
      </c>
      <c r="AG359" s="116">
        <v>7.1</v>
      </c>
      <c r="AH359" s="116">
        <v>0</v>
      </c>
      <c r="AI359" s="116">
        <v>1.3</v>
      </c>
    </row>
    <row r="360" spans="1:35" s="71" customFormat="1">
      <c r="A360" s="210">
        <f t="shared" si="42"/>
        <v>19</v>
      </c>
      <c r="B360" s="210">
        <f t="shared" si="43"/>
        <v>12</v>
      </c>
      <c r="C360" s="210">
        <f t="shared" si="39"/>
        <v>2015</v>
      </c>
      <c r="D360" s="106">
        <f t="shared" si="38"/>
        <v>42357</v>
      </c>
      <c r="E360" s="230">
        <v>42357</v>
      </c>
      <c r="F360" s="229">
        <v>6.4</v>
      </c>
      <c r="G360" s="229">
        <v>7.9</v>
      </c>
      <c r="H360" s="229">
        <v>4.5</v>
      </c>
      <c r="I360" s="229">
        <v>88.7</v>
      </c>
      <c r="J360" s="229">
        <v>94.8</v>
      </c>
      <c r="K360" s="229">
        <v>80.7</v>
      </c>
      <c r="L360" s="229">
        <v>1.81</v>
      </c>
      <c r="M360" s="229">
        <v>5</v>
      </c>
      <c r="N360" s="229">
        <v>9</v>
      </c>
      <c r="O360" s="229">
        <v>0.6</v>
      </c>
      <c r="P360" s="229">
        <v>1</v>
      </c>
      <c r="Q360" s="229">
        <v>0.8</v>
      </c>
      <c r="R360" s="122"/>
      <c r="S360" s="122">
        <f t="shared" si="40"/>
        <v>19</v>
      </c>
      <c r="T360" s="122">
        <f t="shared" si="41"/>
        <v>12</v>
      </c>
      <c r="U360" s="122">
        <f>YEAR(Inputs!$I$8)</f>
        <v>2015</v>
      </c>
      <c r="V360" s="106"/>
      <c r="W360" s="69">
        <v>42357</v>
      </c>
      <c r="X360" s="116">
        <v>7.1</v>
      </c>
      <c r="Y360" s="116">
        <v>18.8</v>
      </c>
      <c r="Z360" s="116">
        <v>-1.2</v>
      </c>
      <c r="AA360" s="116">
        <v>67.900000000000006</v>
      </c>
      <c r="AB360" s="116">
        <v>90</v>
      </c>
      <c r="AC360" s="116">
        <v>31.4</v>
      </c>
      <c r="AD360" s="116">
        <v>9.44</v>
      </c>
      <c r="AE360" s="116">
        <v>0.6</v>
      </c>
      <c r="AF360" s="116">
        <v>2.7</v>
      </c>
      <c r="AG360" s="116">
        <v>7.6</v>
      </c>
      <c r="AH360" s="116">
        <v>0</v>
      </c>
      <c r="AI360" s="116">
        <v>0.8</v>
      </c>
    </row>
    <row r="361" spans="1:35" s="71" customFormat="1">
      <c r="A361" s="210">
        <f t="shared" si="42"/>
        <v>20</v>
      </c>
      <c r="B361" s="210">
        <f t="shared" si="43"/>
        <v>12</v>
      </c>
      <c r="C361" s="210">
        <f t="shared" si="39"/>
        <v>2015</v>
      </c>
      <c r="D361" s="106">
        <f t="shared" si="38"/>
        <v>42358</v>
      </c>
      <c r="E361" s="230">
        <v>42358</v>
      </c>
      <c r="F361" s="229">
        <v>5.8</v>
      </c>
      <c r="G361" s="229">
        <v>7.5</v>
      </c>
      <c r="H361" s="229">
        <v>3.4</v>
      </c>
      <c r="I361" s="229">
        <v>91.1</v>
      </c>
      <c r="J361" s="229">
        <v>96.1</v>
      </c>
      <c r="K361" s="229">
        <v>81.599999999999994</v>
      </c>
      <c r="L361" s="229">
        <v>1.78</v>
      </c>
      <c r="M361" s="229">
        <v>2.8</v>
      </c>
      <c r="N361" s="229">
        <v>7.4</v>
      </c>
      <c r="O361" s="229">
        <v>1.3</v>
      </c>
      <c r="P361" s="229">
        <v>6.3</v>
      </c>
      <c r="Q361" s="229">
        <v>0.6</v>
      </c>
      <c r="R361" s="122"/>
      <c r="S361" s="122">
        <f t="shared" si="40"/>
        <v>20</v>
      </c>
      <c r="T361" s="122">
        <f t="shared" si="41"/>
        <v>12</v>
      </c>
      <c r="U361" s="122">
        <f>YEAR(Inputs!$I$8)</f>
        <v>2015</v>
      </c>
      <c r="V361" s="106"/>
      <c r="W361" s="69">
        <v>42358</v>
      </c>
      <c r="X361" s="116">
        <v>7</v>
      </c>
      <c r="Y361" s="116">
        <v>18.8</v>
      </c>
      <c r="Z361" s="116">
        <v>-1.8</v>
      </c>
      <c r="AA361" s="116">
        <v>67.8</v>
      </c>
      <c r="AB361" s="116">
        <v>93.5</v>
      </c>
      <c r="AC361" s="116">
        <v>30</v>
      </c>
      <c r="AD361" s="116">
        <v>8.9700000000000006</v>
      </c>
      <c r="AE361" s="116">
        <v>1</v>
      </c>
      <c r="AF361" s="116">
        <v>6.3</v>
      </c>
      <c r="AG361" s="116">
        <v>7.6</v>
      </c>
      <c r="AH361" s="116">
        <v>0</v>
      </c>
      <c r="AI361" s="116">
        <v>1.2</v>
      </c>
    </row>
    <row r="362" spans="1:35" s="71" customFormat="1">
      <c r="A362" s="210">
        <f t="shared" si="42"/>
        <v>21</v>
      </c>
      <c r="B362" s="210">
        <f t="shared" si="43"/>
        <v>12</v>
      </c>
      <c r="C362" s="210">
        <f t="shared" si="39"/>
        <v>2015</v>
      </c>
      <c r="D362" s="106">
        <f t="shared" si="38"/>
        <v>42359</v>
      </c>
      <c r="E362" s="230">
        <v>42359</v>
      </c>
      <c r="F362" s="229">
        <v>3.7</v>
      </c>
      <c r="G362" s="229">
        <v>8</v>
      </c>
      <c r="H362" s="229">
        <v>0.1</v>
      </c>
      <c r="I362" s="229">
        <v>87.4</v>
      </c>
      <c r="J362" s="229">
        <v>97</v>
      </c>
      <c r="K362" s="229">
        <v>75.099999999999994</v>
      </c>
      <c r="L362" s="229">
        <v>9.1999999999999993</v>
      </c>
      <c r="M362" s="229">
        <v>3.9</v>
      </c>
      <c r="N362" s="229">
        <v>8.5</v>
      </c>
      <c r="O362" s="229">
        <v>7.6</v>
      </c>
      <c r="P362" s="229">
        <v>0.2</v>
      </c>
      <c r="Q362" s="229">
        <v>0.8</v>
      </c>
      <c r="R362" s="122"/>
      <c r="S362" s="122">
        <f t="shared" si="40"/>
        <v>21</v>
      </c>
      <c r="T362" s="122">
        <f t="shared" si="41"/>
        <v>12</v>
      </c>
      <c r="U362" s="122">
        <f>YEAR(Inputs!$I$8)</f>
        <v>2015</v>
      </c>
      <c r="V362" s="106"/>
      <c r="W362" s="69">
        <v>42359</v>
      </c>
      <c r="X362" s="116">
        <v>6.6</v>
      </c>
      <c r="Y362" s="116">
        <v>16.100000000000001</v>
      </c>
      <c r="Z362" s="116">
        <v>-0.7</v>
      </c>
      <c r="AA362" s="116">
        <v>77.3</v>
      </c>
      <c r="AB362" s="116">
        <v>96.1</v>
      </c>
      <c r="AC362" s="116">
        <v>48.7</v>
      </c>
      <c r="AD362" s="116">
        <v>9.16</v>
      </c>
      <c r="AE362" s="116">
        <v>0.7</v>
      </c>
      <c r="AF362" s="116">
        <v>2.9</v>
      </c>
      <c r="AG362" s="116">
        <v>7.6</v>
      </c>
      <c r="AH362" s="116">
        <v>0</v>
      </c>
      <c r="AI362" s="116">
        <v>0.8</v>
      </c>
    </row>
    <row r="363" spans="1:35" s="71" customFormat="1">
      <c r="A363" s="210">
        <f t="shared" si="42"/>
        <v>22</v>
      </c>
      <c r="B363" s="210">
        <f t="shared" si="43"/>
        <v>12</v>
      </c>
      <c r="C363" s="210">
        <f t="shared" si="39"/>
        <v>2015</v>
      </c>
      <c r="D363" s="106">
        <f t="shared" si="38"/>
        <v>42360</v>
      </c>
      <c r="E363" s="230">
        <v>42360</v>
      </c>
      <c r="F363" s="229">
        <v>4.3</v>
      </c>
      <c r="G363" s="229">
        <v>10.7</v>
      </c>
      <c r="H363" s="229">
        <v>0.9</v>
      </c>
      <c r="I363" s="229">
        <v>86.3</v>
      </c>
      <c r="J363" s="229">
        <v>96.3</v>
      </c>
      <c r="K363" s="229">
        <v>60.8</v>
      </c>
      <c r="L363" s="229">
        <v>9.17</v>
      </c>
      <c r="M363" s="229">
        <v>2.8</v>
      </c>
      <c r="N363" s="229">
        <v>6.3</v>
      </c>
      <c r="O363" s="229">
        <v>7.6</v>
      </c>
      <c r="P363" s="229">
        <v>0</v>
      </c>
      <c r="Q363" s="229">
        <v>1</v>
      </c>
      <c r="R363" s="122"/>
      <c r="S363" s="122">
        <f t="shared" si="40"/>
        <v>22</v>
      </c>
      <c r="T363" s="122">
        <f t="shared" si="41"/>
        <v>12</v>
      </c>
      <c r="U363" s="122">
        <f>YEAR(Inputs!$I$8)</f>
        <v>2015</v>
      </c>
      <c r="V363" s="106"/>
      <c r="W363" s="69">
        <v>42360</v>
      </c>
      <c r="X363" s="116">
        <v>6.4</v>
      </c>
      <c r="Y363" s="116">
        <v>17.399999999999999</v>
      </c>
      <c r="Z363" s="116">
        <v>-0.7</v>
      </c>
      <c r="AA363" s="116">
        <v>81</v>
      </c>
      <c r="AB363" s="116">
        <v>100</v>
      </c>
      <c r="AC363" s="116">
        <v>36.9</v>
      </c>
      <c r="AD363" s="116">
        <v>9.08</v>
      </c>
      <c r="AE363" s="116">
        <v>1.4</v>
      </c>
      <c r="AF363" s="116">
        <v>5.5</v>
      </c>
      <c r="AG363" s="116">
        <v>7.4</v>
      </c>
      <c r="AH363" s="116">
        <v>0</v>
      </c>
      <c r="AI363" s="116">
        <v>1.3</v>
      </c>
    </row>
    <row r="364" spans="1:35" s="71" customFormat="1">
      <c r="A364" s="210">
        <f t="shared" si="42"/>
        <v>23</v>
      </c>
      <c r="B364" s="210">
        <f t="shared" si="43"/>
        <v>12</v>
      </c>
      <c r="C364" s="210">
        <f t="shared" si="39"/>
        <v>2015</v>
      </c>
      <c r="D364" s="106">
        <f t="shared" si="38"/>
        <v>42361</v>
      </c>
      <c r="E364" s="230">
        <v>42361</v>
      </c>
      <c r="F364" s="229">
        <v>4.2</v>
      </c>
      <c r="G364" s="229">
        <v>11.2</v>
      </c>
      <c r="H364" s="229">
        <v>-0.7</v>
      </c>
      <c r="I364" s="229">
        <v>90.2</v>
      </c>
      <c r="J364" s="229">
        <v>98.3</v>
      </c>
      <c r="K364" s="229">
        <v>65.099999999999994</v>
      </c>
      <c r="L364" s="229">
        <v>9.36</v>
      </c>
      <c r="M364" s="229">
        <v>1.4</v>
      </c>
      <c r="N364" s="229">
        <v>4.3</v>
      </c>
      <c r="O364" s="229">
        <v>7.9</v>
      </c>
      <c r="P364" s="229">
        <v>0.2</v>
      </c>
      <c r="Q364" s="229">
        <v>0.7</v>
      </c>
      <c r="R364" s="122"/>
      <c r="S364" s="122">
        <f t="shared" si="40"/>
        <v>23</v>
      </c>
      <c r="T364" s="122">
        <f t="shared" si="41"/>
        <v>12</v>
      </c>
      <c r="U364" s="122">
        <f>YEAR(Inputs!$I$8)</f>
        <v>2015</v>
      </c>
      <c r="V364" s="106"/>
      <c r="W364" s="69">
        <v>42361</v>
      </c>
      <c r="X364" s="116">
        <v>6.6</v>
      </c>
      <c r="Y364" s="116">
        <v>15</v>
      </c>
      <c r="Z364" s="116">
        <v>0.4</v>
      </c>
      <c r="AA364" s="116">
        <v>90.1</v>
      </c>
      <c r="AB364" s="116">
        <v>100</v>
      </c>
      <c r="AC364" s="116">
        <v>55</v>
      </c>
      <c r="AD364" s="116">
        <v>7.82</v>
      </c>
      <c r="AE364" s="116">
        <v>1.7</v>
      </c>
      <c r="AF364" s="116">
        <v>6.1</v>
      </c>
      <c r="AG364" s="116">
        <v>6.7</v>
      </c>
      <c r="AH364" s="116">
        <v>0.4</v>
      </c>
      <c r="AI364" s="116">
        <v>1.1000000000000001</v>
      </c>
    </row>
    <row r="365" spans="1:35" s="71" customFormat="1">
      <c r="A365" s="210">
        <f t="shared" si="42"/>
        <v>24</v>
      </c>
      <c r="B365" s="210">
        <f t="shared" si="43"/>
        <v>12</v>
      </c>
      <c r="C365" s="210">
        <f t="shared" si="39"/>
        <v>2015</v>
      </c>
      <c r="D365" s="106">
        <f t="shared" si="38"/>
        <v>42362</v>
      </c>
      <c r="E365" s="230">
        <v>42362</v>
      </c>
      <c r="F365" s="229">
        <v>4.5999999999999996</v>
      </c>
      <c r="G365" s="229">
        <v>13.4</v>
      </c>
      <c r="H365" s="229">
        <v>-1.1000000000000001</v>
      </c>
      <c r="I365" s="229">
        <v>90.5</v>
      </c>
      <c r="J365" s="229">
        <v>98.8</v>
      </c>
      <c r="K365" s="229">
        <v>65.5</v>
      </c>
      <c r="L365" s="229">
        <v>9.5</v>
      </c>
      <c r="M365" s="229">
        <v>1</v>
      </c>
      <c r="N365" s="229">
        <v>2.6</v>
      </c>
      <c r="O365" s="229">
        <v>7.8</v>
      </c>
      <c r="P365" s="229">
        <v>0.2</v>
      </c>
      <c r="Q365" s="229">
        <v>0.7</v>
      </c>
      <c r="R365" s="122"/>
      <c r="S365" s="122">
        <f t="shared" si="40"/>
        <v>24</v>
      </c>
      <c r="T365" s="122">
        <f t="shared" si="41"/>
        <v>12</v>
      </c>
      <c r="U365" s="122">
        <f>YEAR(Inputs!$I$8)</f>
        <v>2015</v>
      </c>
      <c r="V365" s="106"/>
      <c r="W365" s="69">
        <v>42362</v>
      </c>
      <c r="X365" s="116">
        <v>6.5</v>
      </c>
      <c r="Y365" s="116">
        <v>13</v>
      </c>
      <c r="Z365" s="116">
        <v>0.9</v>
      </c>
      <c r="AA365" s="116">
        <v>89.1</v>
      </c>
      <c r="AB365" s="116">
        <v>99.5</v>
      </c>
      <c r="AC365" s="116">
        <v>62.1</v>
      </c>
      <c r="AD365" s="116">
        <v>7.1</v>
      </c>
      <c r="AE365" s="116">
        <v>1.3</v>
      </c>
      <c r="AF365" s="116">
        <v>5.4</v>
      </c>
      <c r="AG365" s="116">
        <v>6.1</v>
      </c>
      <c r="AH365" s="116">
        <v>0</v>
      </c>
      <c r="AI365" s="116">
        <v>0.8</v>
      </c>
    </row>
    <row r="366" spans="1:35" s="71" customFormat="1">
      <c r="A366" s="210">
        <f t="shared" si="42"/>
        <v>25</v>
      </c>
      <c r="B366" s="210">
        <f t="shared" si="43"/>
        <v>12</v>
      </c>
      <c r="C366" s="210">
        <f t="shared" si="39"/>
        <v>2015</v>
      </c>
      <c r="D366" s="106">
        <f t="shared" si="38"/>
        <v>42363</v>
      </c>
      <c r="E366" s="230">
        <v>42363</v>
      </c>
      <c r="F366" s="229">
        <v>4.3</v>
      </c>
      <c r="G366" s="229">
        <v>12.2</v>
      </c>
      <c r="H366" s="229">
        <v>-1.5</v>
      </c>
      <c r="I366" s="229">
        <v>90.3</v>
      </c>
      <c r="J366" s="229">
        <v>99.1</v>
      </c>
      <c r="K366" s="229">
        <v>66.5</v>
      </c>
      <c r="L366" s="229">
        <v>9.57</v>
      </c>
      <c r="M366" s="229">
        <v>0.7</v>
      </c>
      <c r="N366" s="229">
        <v>3.2</v>
      </c>
      <c r="O366" s="229">
        <v>7.8</v>
      </c>
      <c r="P366" s="229">
        <v>0.2</v>
      </c>
      <c r="Q366" s="229">
        <v>0.5</v>
      </c>
      <c r="R366" s="122"/>
      <c r="S366" s="122">
        <f t="shared" si="40"/>
        <v>25</v>
      </c>
      <c r="T366" s="122">
        <f t="shared" si="41"/>
        <v>12</v>
      </c>
      <c r="U366" s="122">
        <f>YEAR(Inputs!$I$8)</f>
        <v>2015</v>
      </c>
      <c r="V366" s="106"/>
      <c r="W366" s="69">
        <v>42363</v>
      </c>
      <c r="X366" s="116">
        <v>3.7</v>
      </c>
      <c r="Y366" s="116">
        <v>12.3</v>
      </c>
      <c r="Z366" s="116">
        <v>-1.3</v>
      </c>
      <c r="AA366" s="116">
        <v>95.1</v>
      </c>
      <c r="AB366" s="116">
        <v>100</v>
      </c>
      <c r="AC366" s="116">
        <v>73</v>
      </c>
      <c r="AD366" s="116">
        <v>6.61</v>
      </c>
      <c r="AE366" s="116">
        <v>1.2</v>
      </c>
      <c r="AF366" s="116">
        <v>3</v>
      </c>
      <c r="AG366" s="116">
        <v>6.4</v>
      </c>
      <c r="AH366" s="116">
        <v>0.2</v>
      </c>
      <c r="AI366" s="116">
        <v>0.6</v>
      </c>
    </row>
    <row r="367" spans="1:35" s="71" customFormat="1">
      <c r="A367" s="210">
        <f t="shared" si="42"/>
        <v>26</v>
      </c>
      <c r="B367" s="210">
        <f t="shared" si="43"/>
        <v>12</v>
      </c>
      <c r="C367" s="210">
        <f t="shared" si="39"/>
        <v>2015</v>
      </c>
      <c r="D367" s="106">
        <f t="shared" si="38"/>
        <v>42364</v>
      </c>
      <c r="E367" s="230">
        <v>42364</v>
      </c>
      <c r="F367" s="229">
        <v>3.5</v>
      </c>
      <c r="G367" s="229">
        <v>12.2</v>
      </c>
      <c r="H367" s="229">
        <v>-2.6</v>
      </c>
      <c r="I367" s="229">
        <v>90.9</v>
      </c>
      <c r="J367" s="229">
        <v>99.5</v>
      </c>
      <c r="K367" s="229">
        <v>64.2</v>
      </c>
      <c r="L367" s="229">
        <v>9.43</v>
      </c>
      <c r="M367" s="229">
        <v>0.5</v>
      </c>
      <c r="N367" s="229">
        <v>2.1</v>
      </c>
      <c r="O367" s="229">
        <v>7.6</v>
      </c>
      <c r="P367" s="229">
        <v>0.2</v>
      </c>
      <c r="Q367" s="229">
        <v>0.5</v>
      </c>
      <c r="R367" s="122"/>
      <c r="S367" s="122">
        <f t="shared" si="40"/>
        <v>26</v>
      </c>
      <c r="T367" s="122">
        <f t="shared" si="41"/>
        <v>12</v>
      </c>
      <c r="U367" s="122">
        <f>YEAR(Inputs!$I$8)</f>
        <v>2015</v>
      </c>
      <c r="V367" s="106"/>
      <c r="W367" s="69">
        <v>42364</v>
      </c>
      <c r="X367" s="116">
        <v>7.6</v>
      </c>
      <c r="Y367" s="116">
        <v>13.7</v>
      </c>
      <c r="Z367" s="116">
        <v>3</v>
      </c>
      <c r="AA367" s="116">
        <v>86.8</v>
      </c>
      <c r="AB367" s="116">
        <v>100</v>
      </c>
      <c r="AC367" s="116">
        <v>61</v>
      </c>
      <c r="AD367" s="116">
        <v>8.26</v>
      </c>
      <c r="AE367" s="116">
        <v>3</v>
      </c>
      <c r="AF367" s="116">
        <v>6.8</v>
      </c>
      <c r="AG367" s="116">
        <v>6.9</v>
      </c>
      <c r="AH367" s="116">
        <v>0</v>
      </c>
      <c r="AI367" s="116">
        <v>1.2</v>
      </c>
    </row>
    <row r="368" spans="1:35" s="71" customFormat="1">
      <c r="A368" s="210">
        <f t="shared" si="42"/>
        <v>27</v>
      </c>
      <c r="B368" s="210">
        <f t="shared" si="43"/>
        <v>12</v>
      </c>
      <c r="C368" s="210">
        <f t="shared" si="39"/>
        <v>2015</v>
      </c>
      <c r="D368" s="106">
        <f t="shared" si="38"/>
        <v>42365</v>
      </c>
      <c r="E368" s="230">
        <v>42365</v>
      </c>
      <c r="F368" s="229">
        <v>4.0999999999999996</v>
      </c>
      <c r="G368" s="229">
        <v>13.2</v>
      </c>
      <c r="H368" s="229">
        <v>-2.6</v>
      </c>
      <c r="I368" s="229">
        <v>90.3</v>
      </c>
      <c r="J368" s="229">
        <v>99.4</v>
      </c>
      <c r="K368" s="229">
        <v>67.3</v>
      </c>
      <c r="L368" s="229">
        <v>9.9</v>
      </c>
      <c r="M368" s="229">
        <v>0.7</v>
      </c>
      <c r="N368" s="229">
        <v>2.4</v>
      </c>
      <c r="O368" s="229">
        <v>7.8</v>
      </c>
      <c r="P368" s="229">
        <v>0.2</v>
      </c>
      <c r="Q368" s="229">
        <v>0.6</v>
      </c>
      <c r="R368" s="122"/>
      <c r="S368" s="122">
        <f t="shared" si="40"/>
        <v>27</v>
      </c>
      <c r="T368" s="122">
        <f t="shared" si="41"/>
        <v>12</v>
      </c>
      <c r="U368" s="122">
        <f>YEAR(Inputs!$I$8)</f>
        <v>2015</v>
      </c>
      <c r="V368" s="106"/>
      <c r="W368" s="69">
        <v>42365</v>
      </c>
      <c r="X368" s="116">
        <v>7.4</v>
      </c>
      <c r="Y368" s="116">
        <v>13.1</v>
      </c>
      <c r="Z368" s="116">
        <v>1.7</v>
      </c>
      <c r="AA368" s="116">
        <v>86.9</v>
      </c>
      <c r="AB368" s="116">
        <v>100</v>
      </c>
      <c r="AC368" s="116">
        <v>66.3</v>
      </c>
      <c r="AD368" s="116">
        <v>7.1</v>
      </c>
      <c r="AE368" s="116">
        <v>3.6</v>
      </c>
      <c r="AF368" s="116">
        <v>8.8000000000000007</v>
      </c>
      <c r="AG368" s="116">
        <v>7.3</v>
      </c>
      <c r="AH368" s="116">
        <v>0.2</v>
      </c>
      <c r="AI368" s="116">
        <v>1.1000000000000001</v>
      </c>
    </row>
    <row r="369" spans="1:35" s="71" customFormat="1">
      <c r="A369" s="210">
        <f t="shared" si="42"/>
        <v>28</v>
      </c>
      <c r="B369" s="210">
        <f t="shared" si="43"/>
        <v>12</v>
      </c>
      <c r="C369" s="210">
        <f t="shared" si="39"/>
        <v>2015</v>
      </c>
      <c r="D369" s="106">
        <f t="shared" si="38"/>
        <v>42366</v>
      </c>
      <c r="E369" s="230">
        <v>42366</v>
      </c>
      <c r="F369" s="229">
        <v>5</v>
      </c>
      <c r="G369" s="229">
        <v>14</v>
      </c>
      <c r="H369" s="229">
        <v>-2.1</v>
      </c>
      <c r="I369" s="229">
        <v>86.2</v>
      </c>
      <c r="J369" s="229">
        <v>99</v>
      </c>
      <c r="K369" s="229">
        <v>53.9</v>
      </c>
      <c r="L369" s="229">
        <v>8.83</v>
      </c>
      <c r="M369" s="229">
        <v>1.1000000000000001</v>
      </c>
      <c r="N369" s="229">
        <v>3.8</v>
      </c>
      <c r="O369" s="229">
        <v>7.6</v>
      </c>
      <c r="P369" s="229">
        <v>0.2</v>
      </c>
      <c r="Q369" s="229">
        <v>0.8</v>
      </c>
      <c r="R369" s="122"/>
      <c r="S369" s="122">
        <f t="shared" si="40"/>
        <v>28</v>
      </c>
      <c r="T369" s="122">
        <f t="shared" si="41"/>
        <v>12</v>
      </c>
      <c r="U369" s="122">
        <f>YEAR(Inputs!$I$8)</f>
        <v>2015</v>
      </c>
      <c r="V369" s="106"/>
      <c r="W369" s="69">
        <v>42366</v>
      </c>
      <c r="X369" s="116">
        <v>8.8000000000000007</v>
      </c>
      <c r="Y369" s="116">
        <v>14.1</v>
      </c>
      <c r="Z369" s="116">
        <v>3.9</v>
      </c>
      <c r="AA369" s="116">
        <v>83.2</v>
      </c>
      <c r="AB369" s="116">
        <v>97.4</v>
      </c>
      <c r="AC369" s="116">
        <v>59.4</v>
      </c>
      <c r="AD369" s="116">
        <v>7.71</v>
      </c>
      <c r="AE369" s="116">
        <v>2.6</v>
      </c>
      <c r="AF369" s="116">
        <v>7.1</v>
      </c>
      <c r="AG369" s="116">
        <v>6.5</v>
      </c>
      <c r="AH369" s="116">
        <v>0</v>
      </c>
      <c r="AI369" s="116">
        <v>1.2</v>
      </c>
    </row>
    <row r="370" spans="1:35" s="71" customFormat="1">
      <c r="A370" s="210">
        <f t="shared" si="42"/>
        <v>29</v>
      </c>
      <c r="B370" s="210">
        <f t="shared" si="43"/>
        <v>12</v>
      </c>
      <c r="C370" s="210">
        <f t="shared" si="39"/>
        <v>2015</v>
      </c>
      <c r="D370" s="106">
        <f t="shared" si="38"/>
        <v>42367</v>
      </c>
      <c r="E370" s="230">
        <v>42367</v>
      </c>
      <c r="F370" s="229">
        <v>4.3</v>
      </c>
      <c r="G370" s="229">
        <v>8.4</v>
      </c>
      <c r="H370" s="229">
        <v>-1.4</v>
      </c>
      <c r="I370" s="229">
        <v>89.6</v>
      </c>
      <c r="J370" s="229">
        <v>98.3</v>
      </c>
      <c r="K370" s="229">
        <v>75.599999999999994</v>
      </c>
      <c r="L370" s="229">
        <v>3.24</v>
      </c>
      <c r="M370" s="229">
        <v>1.6</v>
      </c>
      <c r="N370" s="229">
        <v>6</v>
      </c>
      <c r="O370" s="229">
        <v>3.2</v>
      </c>
      <c r="P370" s="229">
        <v>0</v>
      </c>
      <c r="Q370" s="229">
        <v>0.6</v>
      </c>
      <c r="R370" s="122"/>
      <c r="S370" s="122">
        <f t="shared" si="40"/>
        <v>29</v>
      </c>
      <c r="T370" s="122">
        <f t="shared" si="41"/>
        <v>12</v>
      </c>
      <c r="U370" s="122">
        <f>YEAR(Inputs!$I$8)</f>
        <v>2015</v>
      </c>
      <c r="V370" s="106"/>
      <c r="W370" s="69">
        <v>42367</v>
      </c>
      <c r="X370" s="116">
        <v>8.4</v>
      </c>
      <c r="Y370" s="116">
        <v>13.3</v>
      </c>
      <c r="Z370" s="116">
        <v>1.9</v>
      </c>
      <c r="AA370" s="116">
        <v>88</v>
      </c>
      <c r="AB370" s="116">
        <v>97.9</v>
      </c>
      <c r="AC370" s="116">
        <v>71.099999999999994</v>
      </c>
      <c r="AD370" s="116">
        <v>6.77</v>
      </c>
      <c r="AE370" s="116">
        <v>2.1</v>
      </c>
      <c r="AF370" s="116">
        <v>7.9</v>
      </c>
      <c r="AG370" s="116">
        <v>5.6</v>
      </c>
      <c r="AH370" s="116">
        <v>0.6</v>
      </c>
      <c r="AI370" s="116">
        <v>0.9</v>
      </c>
    </row>
    <row r="371" spans="1:35" s="71" customFormat="1">
      <c r="A371" s="210">
        <f t="shared" si="42"/>
        <v>30</v>
      </c>
      <c r="B371" s="210">
        <f t="shared" si="43"/>
        <v>12</v>
      </c>
      <c r="C371" s="210">
        <f t="shared" si="39"/>
        <v>2015</v>
      </c>
      <c r="D371" s="106">
        <f t="shared" si="38"/>
        <v>42368</v>
      </c>
      <c r="E371" s="230">
        <v>42368</v>
      </c>
      <c r="F371" s="229">
        <v>3.9</v>
      </c>
      <c r="G371" s="229">
        <v>12.7</v>
      </c>
      <c r="H371" s="229">
        <v>-2.6</v>
      </c>
      <c r="I371" s="229">
        <v>86.6</v>
      </c>
      <c r="J371" s="229">
        <v>98.5</v>
      </c>
      <c r="K371" s="229">
        <v>57.6</v>
      </c>
      <c r="L371" s="229">
        <v>10.19</v>
      </c>
      <c r="M371" s="229">
        <v>1.1000000000000001</v>
      </c>
      <c r="N371" s="229">
        <v>3.6</v>
      </c>
      <c r="O371" s="229">
        <v>7.7</v>
      </c>
      <c r="P371" s="229">
        <v>0.2</v>
      </c>
      <c r="Q371" s="229">
        <v>0.8</v>
      </c>
      <c r="R371" s="122"/>
      <c r="S371" s="122">
        <f t="shared" si="40"/>
        <v>30</v>
      </c>
      <c r="T371" s="122">
        <f t="shared" si="41"/>
        <v>12</v>
      </c>
      <c r="U371" s="122">
        <f>YEAR(Inputs!$I$8)</f>
        <v>2015</v>
      </c>
      <c r="V371" s="106"/>
      <c r="W371" s="69">
        <v>42368</v>
      </c>
      <c r="X371" s="116">
        <v>3.4</v>
      </c>
      <c r="Y371" s="116">
        <v>9.3000000000000007</v>
      </c>
      <c r="Z371" s="116">
        <v>-1.6</v>
      </c>
      <c r="AA371" s="116">
        <v>94.4</v>
      </c>
      <c r="AB371" s="116">
        <v>100</v>
      </c>
      <c r="AC371" s="116">
        <v>78.8</v>
      </c>
      <c r="AD371" s="116">
        <v>8.15</v>
      </c>
      <c r="AE371" s="116">
        <v>2.2000000000000002</v>
      </c>
      <c r="AF371" s="116">
        <v>8.3000000000000007</v>
      </c>
      <c r="AG371" s="116">
        <v>6.9</v>
      </c>
      <c r="AH371" s="116">
        <v>0.2</v>
      </c>
      <c r="AI371" s="116">
        <v>0.6</v>
      </c>
    </row>
    <row r="372" spans="1:35" s="71" customFormat="1">
      <c r="A372" s="210">
        <f t="shared" si="42"/>
        <v>31</v>
      </c>
      <c r="B372" s="210">
        <f t="shared" si="43"/>
        <v>12</v>
      </c>
      <c r="C372" s="210">
        <f t="shared" si="39"/>
        <v>2015</v>
      </c>
      <c r="D372" s="106">
        <f t="shared" si="38"/>
        <v>42369</v>
      </c>
      <c r="E372" s="230">
        <v>42369</v>
      </c>
      <c r="F372" s="229">
        <v>0.1</v>
      </c>
      <c r="G372" s="229">
        <v>4.8</v>
      </c>
      <c r="H372" s="229">
        <v>-3.7</v>
      </c>
      <c r="I372" s="229">
        <v>98.4</v>
      </c>
      <c r="J372" s="229">
        <v>99.6</v>
      </c>
      <c r="K372" s="229">
        <v>97.5</v>
      </c>
      <c r="L372" s="229">
        <v>3.66</v>
      </c>
      <c r="M372" s="229">
        <v>0.9</v>
      </c>
      <c r="N372" s="229">
        <v>3.4</v>
      </c>
      <c r="O372" s="229">
        <v>5.7</v>
      </c>
      <c r="P372" s="229">
        <v>0.4</v>
      </c>
      <c r="Q372" s="229">
        <v>0.3</v>
      </c>
      <c r="R372" s="122"/>
      <c r="S372" s="122">
        <f t="shared" si="40"/>
        <v>31</v>
      </c>
      <c r="T372" s="122">
        <f t="shared" si="41"/>
        <v>12</v>
      </c>
      <c r="U372" s="122">
        <f>YEAR(Inputs!$I$8)</f>
        <v>2015</v>
      </c>
      <c r="V372" s="106"/>
      <c r="W372" s="69">
        <v>42369</v>
      </c>
      <c r="X372" s="116">
        <v>10.199999999999999</v>
      </c>
      <c r="Y372" s="116">
        <v>15.2</v>
      </c>
      <c r="Z372" s="116">
        <v>6</v>
      </c>
      <c r="AA372" s="116">
        <v>85.3</v>
      </c>
      <c r="AB372" s="116">
        <v>94.2</v>
      </c>
      <c r="AC372" s="116">
        <v>69.7</v>
      </c>
      <c r="AD372" s="116">
        <v>4.82</v>
      </c>
      <c r="AE372" s="116">
        <v>2.2000000000000002</v>
      </c>
      <c r="AF372" s="116">
        <v>8.3000000000000007</v>
      </c>
      <c r="AG372" s="116">
        <v>5.0999999999999996</v>
      </c>
      <c r="AH372" s="116">
        <v>0</v>
      </c>
      <c r="AI372" s="116">
        <v>1</v>
      </c>
    </row>
    <row r="373" spans="1:35">
      <c r="A373" s="122"/>
      <c r="B373" s="122"/>
      <c r="C373" s="62"/>
      <c r="D373" s="106"/>
      <c r="E373" s="230">
        <v>42370</v>
      </c>
      <c r="F373" s="229">
        <v>2.8</v>
      </c>
      <c r="G373" s="229">
        <v>9.5</v>
      </c>
      <c r="H373" s="229">
        <v>-2.2000000000000002</v>
      </c>
      <c r="I373" s="229">
        <v>90.8</v>
      </c>
      <c r="J373" s="229">
        <v>100</v>
      </c>
      <c r="K373" s="229">
        <v>69.5</v>
      </c>
      <c r="L373" s="229">
        <v>8.77</v>
      </c>
      <c r="M373" s="229">
        <v>1.8</v>
      </c>
      <c r="N373" s="229">
        <v>5.4</v>
      </c>
      <c r="O373" s="229">
        <v>7</v>
      </c>
      <c r="P373" s="229">
        <v>0.2</v>
      </c>
      <c r="Q373" s="229">
        <v>0</v>
      </c>
      <c r="R373" s="122"/>
      <c r="S373" s="122"/>
      <c r="T373" s="122"/>
      <c r="U373" s="62"/>
      <c r="V373" s="69"/>
      <c r="W373" s="116"/>
      <c r="X373" s="116"/>
      <c r="Y373" s="116"/>
      <c r="Z373" s="116"/>
      <c r="AA373" s="116"/>
      <c r="AB373" s="116"/>
      <c r="AC373" s="116"/>
      <c r="AD373" s="116"/>
      <c r="AE373" s="116"/>
      <c r="AF373" s="116"/>
      <c r="AG373" s="116"/>
      <c r="AH373" s="116"/>
    </row>
    <row r="374" spans="1:35">
      <c r="A374" s="122"/>
      <c r="B374" s="122"/>
      <c r="C374" s="62"/>
      <c r="D374" s="72"/>
      <c r="E374" s="136"/>
      <c r="F374" s="136"/>
      <c r="G374" s="211"/>
      <c r="H374" s="136"/>
      <c r="I374" s="211"/>
      <c r="J374" s="211"/>
      <c r="K374" s="211"/>
      <c r="L374" s="136"/>
      <c r="M374" s="136"/>
      <c r="N374" s="136"/>
      <c r="O374" s="212"/>
      <c r="P374" s="116"/>
      <c r="R374" s="122"/>
      <c r="S374" s="122"/>
      <c r="T374" s="122"/>
      <c r="U374" s="62"/>
      <c r="V374" s="69"/>
      <c r="W374" s="116"/>
      <c r="X374" s="116"/>
      <c r="Y374" s="116"/>
      <c r="Z374" s="116"/>
      <c r="AA374" s="116"/>
      <c r="AB374" s="116"/>
      <c r="AC374" s="116"/>
      <c r="AD374" s="116"/>
      <c r="AE374" s="116"/>
      <c r="AF374" s="116"/>
      <c r="AG374" s="116"/>
      <c r="AH374" s="116"/>
    </row>
    <row r="375" spans="1:35">
      <c r="A375" s="122"/>
      <c r="B375" s="122"/>
      <c r="C375" s="62"/>
      <c r="D375" s="72"/>
      <c r="E375" s="136"/>
      <c r="F375" s="136"/>
      <c r="G375" s="211"/>
      <c r="H375" s="136"/>
      <c r="I375" s="211"/>
      <c r="J375" s="211"/>
      <c r="K375" s="211"/>
      <c r="L375" s="136"/>
      <c r="M375" s="136"/>
      <c r="N375" s="136"/>
      <c r="O375" s="212"/>
      <c r="P375" s="116"/>
      <c r="R375" s="122"/>
      <c r="S375" s="122"/>
      <c r="T375" s="122"/>
      <c r="U375" s="62"/>
      <c r="V375" s="69"/>
      <c r="W375" s="116"/>
      <c r="X375" s="116"/>
      <c r="Y375" s="116"/>
      <c r="Z375" s="116"/>
      <c r="AA375" s="116"/>
      <c r="AB375" s="116"/>
      <c r="AC375" s="116"/>
      <c r="AD375" s="116"/>
      <c r="AE375" s="116"/>
      <c r="AF375" s="116"/>
      <c r="AG375" s="116"/>
      <c r="AH375" s="116"/>
    </row>
    <row r="376" spans="1:35">
      <c r="A376" s="122"/>
      <c r="B376" s="122"/>
      <c r="C376" s="62"/>
      <c r="D376" s="72"/>
      <c r="E376" s="136"/>
      <c r="F376" s="136"/>
      <c r="G376" s="211"/>
      <c r="H376" s="136"/>
      <c r="I376" s="211"/>
      <c r="J376" s="211"/>
      <c r="K376" s="211"/>
      <c r="L376" s="136"/>
      <c r="M376" s="136"/>
      <c r="N376" s="136"/>
      <c r="O376" s="212"/>
      <c r="P376" s="116"/>
      <c r="R376" s="122"/>
      <c r="S376" s="122"/>
      <c r="T376" s="122"/>
      <c r="U376" s="62"/>
      <c r="V376" s="69"/>
      <c r="W376" s="116"/>
      <c r="X376" s="116"/>
      <c r="Y376" s="116"/>
      <c r="Z376" s="116"/>
      <c r="AA376" s="116"/>
      <c r="AB376" s="116"/>
      <c r="AC376" s="116"/>
      <c r="AD376" s="116"/>
      <c r="AE376" s="116"/>
      <c r="AF376" s="116"/>
      <c r="AG376" s="116"/>
      <c r="AH376" s="116"/>
    </row>
    <row r="377" spans="1:35">
      <c r="A377" s="122"/>
      <c r="B377" s="122"/>
      <c r="C377" s="62"/>
      <c r="D377" s="72"/>
      <c r="E377" s="136"/>
      <c r="F377" s="136"/>
      <c r="G377" s="211"/>
      <c r="H377" s="136"/>
      <c r="I377" s="211"/>
      <c r="J377" s="211"/>
      <c r="K377" s="211"/>
      <c r="L377" s="136"/>
      <c r="M377" s="136"/>
      <c r="N377" s="136"/>
      <c r="O377" s="212"/>
      <c r="P377" s="116"/>
      <c r="R377" s="122"/>
      <c r="S377" s="122"/>
      <c r="T377" s="122"/>
      <c r="U377" s="62"/>
      <c r="V377" s="69"/>
      <c r="W377" s="116"/>
      <c r="X377" s="116"/>
      <c r="Y377" s="116"/>
      <c r="Z377" s="116"/>
      <c r="AA377" s="116"/>
      <c r="AB377" s="116"/>
      <c r="AC377" s="116"/>
      <c r="AD377" s="116"/>
      <c r="AE377" s="116"/>
      <c r="AF377" s="116"/>
      <c r="AG377" s="116"/>
      <c r="AH377" s="116"/>
    </row>
    <row r="378" spans="1:35">
      <c r="A378" s="122"/>
      <c r="B378" s="122"/>
      <c r="C378" s="62"/>
      <c r="D378" s="72"/>
      <c r="E378" s="136"/>
      <c r="F378" s="136"/>
      <c r="G378" s="211"/>
      <c r="H378" s="136"/>
      <c r="I378" s="211"/>
      <c r="J378" s="211"/>
      <c r="K378" s="211"/>
      <c r="L378" s="136"/>
      <c r="M378" s="136"/>
      <c r="N378" s="136"/>
      <c r="O378" s="212"/>
      <c r="P378" s="116"/>
      <c r="R378" s="122"/>
      <c r="S378" s="122"/>
      <c r="T378" s="122"/>
      <c r="U378" s="62"/>
      <c r="V378" s="69"/>
      <c r="W378" s="116"/>
      <c r="X378" s="116"/>
      <c r="Y378" s="116"/>
      <c r="Z378" s="116"/>
      <c r="AA378" s="116"/>
      <c r="AB378" s="116"/>
      <c r="AC378" s="116"/>
      <c r="AD378" s="116"/>
      <c r="AE378" s="116"/>
      <c r="AF378" s="116"/>
      <c r="AG378" s="116"/>
      <c r="AH378" s="116"/>
    </row>
    <row r="379" spans="1:35">
      <c r="A379" s="122"/>
      <c r="B379" s="122"/>
      <c r="C379" s="62"/>
      <c r="D379" s="72"/>
      <c r="E379" s="136"/>
      <c r="F379" s="136"/>
      <c r="G379" s="211"/>
      <c r="H379" s="136"/>
      <c r="I379" s="211"/>
      <c r="J379" s="211"/>
      <c r="K379" s="211"/>
      <c r="L379" s="136"/>
      <c r="M379" s="136"/>
      <c r="N379" s="136"/>
      <c r="O379" s="212"/>
      <c r="P379" s="116"/>
      <c r="R379" s="122"/>
      <c r="S379" s="122"/>
      <c r="T379" s="122"/>
      <c r="U379" s="62"/>
      <c r="V379" s="69"/>
      <c r="W379" s="116"/>
      <c r="X379" s="116"/>
      <c r="Y379" s="116"/>
      <c r="Z379" s="116"/>
      <c r="AA379" s="116"/>
      <c r="AB379" s="116"/>
      <c r="AC379" s="116"/>
      <c r="AD379" s="116"/>
      <c r="AE379" s="116"/>
      <c r="AF379" s="116"/>
      <c r="AG379" s="116"/>
      <c r="AH379" s="116"/>
    </row>
    <row r="380" spans="1:35">
      <c r="A380" s="122"/>
      <c r="B380" s="122"/>
      <c r="C380" s="62"/>
      <c r="D380" s="72"/>
      <c r="E380" s="136"/>
      <c r="F380" s="136"/>
      <c r="G380" s="211"/>
      <c r="H380" s="136"/>
      <c r="I380" s="211"/>
      <c r="J380" s="211"/>
      <c r="K380" s="211"/>
      <c r="L380" s="136"/>
      <c r="M380" s="136"/>
      <c r="N380" s="136"/>
      <c r="O380" s="212"/>
      <c r="P380" s="116"/>
      <c r="R380" s="122"/>
      <c r="S380" s="122"/>
      <c r="T380" s="122"/>
      <c r="U380" s="62"/>
      <c r="V380" s="69"/>
      <c r="W380" s="116"/>
      <c r="X380" s="116"/>
      <c r="Y380" s="116"/>
      <c r="Z380" s="116"/>
      <c r="AA380" s="116"/>
      <c r="AB380" s="116"/>
      <c r="AC380" s="116"/>
      <c r="AD380" s="116"/>
      <c r="AE380" s="116"/>
      <c r="AF380" s="116"/>
      <c r="AG380" s="116"/>
      <c r="AH380" s="116"/>
    </row>
    <row r="381" spans="1:35">
      <c r="A381" s="122"/>
      <c r="B381" s="122"/>
      <c r="C381" s="62"/>
      <c r="D381" s="72"/>
      <c r="E381" s="136"/>
      <c r="F381" s="136"/>
      <c r="G381" s="211"/>
      <c r="H381" s="136"/>
      <c r="I381" s="211"/>
      <c r="J381" s="211"/>
      <c r="K381" s="211"/>
      <c r="L381" s="136"/>
      <c r="M381" s="136"/>
      <c r="N381" s="136"/>
      <c r="O381" s="212"/>
      <c r="P381" s="116"/>
      <c r="R381" s="122"/>
      <c r="S381" s="122"/>
      <c r="T381" s="122"/>
      <c r="U381" s="62"/>
      <c r="V381" s="69"/>
      <c r="W381" s="116"/>
      <c r="X381" s="116"/>
      <c r="Y381" s="116"/>
      <c r="Z381" s="116"/>
      <c r="AA381" s="116"/>
      <c r="AB381" s="116"/>
      <c r="AC381" s="116"/>
      <c r="AD381" s="116"/>
      <c r="AE381" s="116"/>
      <c r="AF381" s="116"/>
      <c r="AG381" s="116"/>
      <c r="AH381" s="116"/>
    </row>
    <row r="382" spans="1:35">
      <c r="A382" s="122"/>
      <c r="B382" s="122"/>
      <c r="C382" s="62"/>
      <c r="D382" s="72"/>
      <c r="E382" s="136"/>
      <c r="F382" s="136"/>
      <c r="G382" s="211"/>
      <c r="H382" s="136"/>
      <c r="I382" s="211"/>
      <c r="J382" s="211"/>
      <c r="K382" s="211"/>
      <c r="L382" s="136"/>
      <c r="M382" s="136"/>
      <c r="N382" s="136"/>
      <c r="O382" s="212"/>
      <c r="P382" s="116"/>
      <c r="R382" s="122"/>
      <c r="S382" s="122"/>
      <c r="T382" s="122"/>
      <c r="U382" s="62"/>
      <c r="V382" s="69"/>
      <c r="W382" s="116"/>
      <c r="X382" s="116"/>
      <c r="Y382" s="116"/>
      <c r="Z382" s="116"/>
      <c r="AA382" s="116"/>
      <c r="AB382" s="116"/>
      <c r="AC382" s="116"/>
      <c r="AD382" s="116"/>
      <c r="AE382" s="116"/>
      <c r="AF382" s="116"/>
      <c r="AG382" s="116"/>
      <c r="AH382" s="116"/>
    </row>
    <row r="383" spans="1:35">
      <c r="A383" s="122"/>
      <c r="B383" s="122"/>
      <c r="C383" s="62"/>
      <c r="D383" s="72"/>
      <c r="E383" s="136"/>
      <c r="F383" s="136"/>
      <c r="G383" s="211"/>
      <c r="H383" s="136"/>
      <c r="I383" s="211"/>
      <c r="J383" s="211"/>
      <c r="K383" s="211"/>
      <c r="L383" s="136"/>
      <c r="M383" s="136"/>
      <c r="N383" s="136"/>
      <c r="O383" s="212"/>
      <c r="P383" s="116"/>
      <c r="R383" s="122"/>
      <c r="S383" s="122"/>
      <c r="T383" s="122"/>
      <c r="U383" s="62"/>
      <c r="V383" s="69"/>
      <c r="W383" s="116"/>
      <c r="X383" s="116"/>
      <c r="Y383" s="116"/>
      <c r="Z383" s="116"/>
      <c r="AA383" s="116"/>
      <c r="AB383" s="116"/>
      <c r="AC383" s="116"/>
      <c r="AD383" s="116"/>
      <c r="AE383" s="116"/>
      <c r="AF383" s="116"/>
      <c r="AG383" s="116"/>
      <c r="AH383" s="116"/>
    </row>
    <row r="384" spans="1:35" hidden="1">
      <c r="A384" s="122"/>
      <c r="B384" s="122"/>
      <c r="C384" s="62"/>
      <c r="D384" s="72"/>
      <c r="E384" s="136"/>
      <c r="F384" s="136"/>
      <c r="G384" s="211"/>
      <c r="H384" s="136"/>
      <c r="I384" s="211"/>
      <c r="J384" s="211"/>
      <c r="K384" s="211"/>
      <c r="L384" s="136"/>
      <c r="M384" s="136"/>
      <c r="N384" s="136"/>
      <c r="O384" s="212"/>
      <c r="P384" s="116"/>
      <c r="R384" s="122"/>
      <c r="S384" s="122"/>
      <c r="T384" s="122"/>
      <c r="U384" s="62"/>
      <c r="V384" s="69"/>
      <c r="W384" s="116"/>
      <c r="X384" s="116"/>
      <c r="Y384" s="116"/>
      <c r="Z384" s="116"/>
      <c r="AA384" s="116"/>
      <c r="AB384" s="116"/>
      <c r="AC384" s="116"/>
      <c r="AD384" s="116"/>
      <c r="AE384" s="116"/>
      <c r="AF384" s="116"/>
      <c r="AG384" s="116"/>
      <c r="AH384" s="116"/>
    </row>
    <row r="385" spans="1:34" hidden="1">
      <c r="A385" s="122"/>
      <c r="B385" s="122"/>
      <c r="C385" s="62"/>
      <c r="D385" s="72"/>
      <c r="E385" s="136"/>
      <c r="F385" s="136"/>
      <c r="G385" s="211"/>
      <c r="H385" s="136"/>
      <c r="I385" s="211"/>
      <c r="J385" s="211"/>
      <c r="K385" s="211"/>
      <c r="L385" s="136"/>
      <c r="M385" s="136"/>
      <c r="N385" s="136"/>
      <c r="O385" s="212"/>
      <c r="P385" s="116"/>
      <c r="R385" s="122"/>
      <c r="S385" s="122"/>
      <c r="T385" s="122"/>
      <c r="U385" s="62"/>
      <c r="V385" s="69"/>
      <c r="W385" s="116"/>
      <c r="X385" s="116"/>
      <c r="Y385" s="116"/>
      <c r="Z385" s="116"/>
      <c r="AA385" s="116"/>
      <c r="AB385" s="116"/>
      <c r="AC385" s="116"/>
      <c r="AD385" s="116"/>
      <c r="AE385" s="116"/>
      <c r="AF385" s="116"/>
      <c r="AG385" s="116"/>
      <c r="AH385" s="116"/>
    </row>
    <row r="386" spans="1:34" hidden="1">
      <c r="A386" s="122"/>
      <c r="B386" s="122"/>
      <c r="C386" s="62"/>
      <c r="D386" s="72"/>
      <c r="E386" s="136"/>
      <c r="F386" s="136"/>
      <c r="G386" s="211"/>
      <c r="H386" s="136"/>
      <c r="I386" s="211"/>
      <c r="J386" s="211"/>
      <c r="K386" s="211"/>
      <c r="L386" s="136"/>
      <c r="M386" s="136"/>
      <c r="N386" s="136"/>
      <c r="O386" s="212"/>
      <c r="P386" s="116"/>
      <c r="R386" s="122"/>
      <c r="S386" s="122"/>
      <c r="T386" s="122"/>
      <c r="U386" s="62"/>
      <c r="V386" s="69"/>
      <c r="W386" s="116"/>
      <c r="X386" s="116"/>
      <c r="Y386" s="116"/>
      <c r="Z386" s="116"/>
      <c r="AA386" s="116"/>
      <c r="AB386" s="116"/>
      <c r="AC386" s="116"/>
      <c r="AD386" s="116"/>
      <c r="AE386" s="116"/>
      <c r="AF386" s="116"/>
      <c r="AG386" s="116"/>
      <c r="AH386" s="116"/>
    </row>
    <row r="387" spans="1:34" hidden="1">
      <c r="A387" s="122"/>
      <c r="B387" s="122"/>
      <c r="C387" s="62"/>
      <c r="D387" s="72"/>
      <c r="E387" s="136"/>
      <c r="F387" s="136"/>
      <c r="G387" s="211"/>
      <c r="H387" s="136"/>
      <c r="I387" s="211"/>
      <c r="J387" s="211"/>
      <c r="K387" s="211"/>
      <c r="L387" s="136"/>
      <c r="M387" s="136"/>
      <c r="N387" s="136"/>
      <c r="O387" s="212"/>
      <c r="P387" s="116"/>
      <c r="R387" s="122"/>
      <c r="S387" s="122"/>
      <c r="T387" s="122"/>
      <c r="U387" s="62"/>
      <c r="V387" s="69"/>
      <c r="W387" s="116"/>
      <c r="X387" s="116"/>
      <c r="Y387" s="116"/>
      <c r="Z387" s="116"/>
      <c r="AA387" s="116"/>
      <c r="AB387" s="116"/>
      <c r="AC387" s="116"/>
      <c r="AD387" s="116"/>
      <c r="AE387" s="116"/>
      <c r="AF387" s="116"/>
      <c r="AG387" s="116"/>
      <c r="AH387" s="116"/>
    </row>
    <row r="388" spans="1:34" hidden="1">
      <c r="A388" s="122"/>
      <c r="B388" s="122"/>
      <c r="C388" s="62"/>
      <c r="D388" s="72"/>
      <c r="E388" s="136"/>
      <c r="F388" s="136"/>
      <c r="G388" s="211"/>
      <c r="H388" s="136"/>
      <c r="I388" s="211"/>
      <c r="J388" s="211"/>
      <c r="K388" s="211"/>
      <c r="L388" s="136"/>
      <c r="M388" s="136"/>
      <c r="N388" s="136"/>
      <c r="O388" s="212"/>
      <c r="P388" s="116"/>
      <c r="R388" s="122"/>
      <c r="S388" s="122"/>
      <c r="T388" s="122"/>
      <c r="U388" s="62"/>
      <c r="V388" s="69"/>
      <c r="W388" s="116"/>
      <c r="X388" s="116"/>
      <c r="Y388" s="116"/>
      <c r="Z388" s="116"/>
      <c r="AA388" s="116"/>
      <c r="AB388" s="116"/>
      <c r="AC388" s="116"/>
      <c r="AD388" s="116"/>
      <c r="AE388" s="116"/>
      <c r="AF388" s="116"/>
      <c r="AG388" s="116"/>
      <c r="AH388" s="116"/>
    </row>
    <row r="389" spans="1:34" hidden="1">
      <c r="A389" s="122"/>
      <c r="B389" s="122"/>
      <c r="C389" s="62"/>
      <c r="D389" s="72"/>
      <c r="E389" s="136"/>
      <c r="F389" s="136"/>
      <c r="G389" s="211"/>
      <c r="H389" s="136"/>
      <c r="I389" s="211"/>
      <c r="J389" s="211"/>
      <c r="K389" s="211"/>
      <c r="L389" s="136"/>
      <c r="M389" s="136"/>
      <c r="N389" s="136"/>
      <c r="O389" s="212"/>
      <c r="P389" s="116"/>
      <c r="R389" s="122"/>
      <c r="S389" s="122"/>
      <c r="T389" s="122"/>
      <c r="U389" s="62"/>
      <c r="V389" s="69"/>
      <c r="W389" s="116"/>
      <c r="X389" s="116"/>
      <c r="Y389" s="116"/>
      <c r="Z389" s="116"/>
      <c r="AA389" s="116"/>
      <c r="AB389" s="116"/>
      <c r="AC389" s="116"/>
      <c r="AD389" s="116"/>
      <c r="AE389" s="116"/>
      <c r="AF389" s="116"/>
      <c r="AG389" s="116"/>
      <c r="AH389" s="116"/>
    </row>
    <row r="390" spans="1:34" hidden="1">
      <c r="A390" s="122"/>
      <c r="B390" s="122"/>
      <c r="C390" s="62"/>
      <c r="D390" s="72"/>
      <c r="E390" s="136"/>
      <c r="F390" s="136"/>
      <c r="G390" s="211"/>
      <c r="H390" s="136"/>
      <c r="I390" s="211"/>
      <c r="J390" s="211"/>
      <c r="K390" s="211"/>
      <c r="L390" s="136"/>
      <c r="M390" s="136"/>
      <c r="N390" s="136"/>
      <c r="O390" s="212"/>
      <c r="P390" s="116"/>
      <c r="R390" s="122"/>
      <c r="S390" s="122"/>
      <c r="T390" s="122"/>
      <c r="U390" s="62"/>
      <c r="V390" s="69"/>
      <c r="W390" s="116"/>
      <c r="X390" s="116"/>
      <c r="Y390" s="116"/>
      <c r="Z390" s="116"/>
      <c r="AA390" s="116"/>
      <c r="AB390" s="116"/>
      <c r="AC390" s="116"/>
      <c r="AD390" s="116"/>
      <c r="AE390" s="116"/>
      <c r="AF390" s="116"/>
      <c r="AG390" s="116"/>
      <c r="AH390" s="116"/>
    </row>
    <row r="391" spans="1:34" hidden="1">
      <c r="A391" s="122"/>
      <c r="B391" s="122"/>
      <c r="C391" s="62"/>
      <c r="D391" s="72"/>
      <c r="E391" s="136"/>
      <c r="F391" s="136"/>
      <c r="G391" s="211"/>
      <c r="H391" s="136"/>
      <c r="I391" s="211"/>
      <c r="J391" s="211"/>
      <c r="K391" s="211"/>
      <c r="L391" s="136"/>
      <c r="M391" s="136"/>
      <c r="N391" s="136"/>
      <c r="O391" s="212"/>
      <c r="P391" s="116"/>
      <c r="R391" s="122"/>
      <c r="S391" s="122"/>
      <c r="T391" s="122"/>
      <c r="U391" s="62"/>
      <c r="V391" s="69"/>
      <c r="W391" s="116"/>
      <c r="X391" s="116"/>
      <c r="Y391" s="116"/>
      <c r="Z391" s="116"/>
      <c r="AA391" s="116"/>
      <c r="AB391" s="116"/>
      <c r="AC391" s="116"/>
      <c r="AD391" s="116"/>
      <c r="AE391" s="116"/>
      <c r="AF391" s="116"/>
      <c r="AG391" s="116"/>
      <c r="AH391" s="116"/>
    </row>
    <row r="392" spans="1:34" hidden="1">
      <c r="A392" s="122"/>
      <c r="B392" s="122"/>
      <c r="C392" s="62"/>
      <c r="D392" s="72"/>
      <c r="E392" s="136"/>
      <c r="F392" s="136"/>
      <c r="G392" s="211"/>
      <c r="H392" s="136"/>
      <c r="I392" s="211"/>
      <c r="J392" s="211"/>
      <c r="K392" s="211"/>
      <c r="L392" s="136"/>
      <c r="M392" s="136"/>
      <c r="N392" s="136"/>
      <c r="O392" s="212"/>
      <c r="P392" s="116"/>
      <c r="R392" s="122"/>
      <c r="S392" s="122"/>
      <c r="T392" s="122"/>
      <c r="U392" s="62"/>
      <c r="V392" s="69"/>
      <c r="W392" s="116"/>
      <c r="X392" s="116"/>
      <c r="Y392" s="116"/>
      <c r="Z392" s="116"/>
      <c r="AA392" s="116"/>
      <c r="AB392" s="116"/>
      <c r="AC392" s="116"/>
      <c r="AD392" s="116"/>
      <c r="AE392" s="116"/>
      <c r="AF392" s="116"/>
      <c r="AG392" s="116"/>
      <c r="AH392" s="116"/>
    </row>
    <row r="393" spans="1:34" hidden="1">
      <c r="A393" s="122"/>
      <c r="B393" s="122"/>
      <c r="C393" s="62"/>
      <c r="D393" s="72"/>
      <c r="E393" s="136"/>
      <c r="F393" s="136"/>
      <c r="G393" s="211"/>
      <c r="H393" s="136"/>
      <c r="I393" s="211"/>
      <c r="J393" s="211"/>
      <c r="K393" s="211"/>
      <c r="L393" s="136"/>
      <c r="M393" s="136"/>
      <c r="N393" s="136"/>
      <c r="O393" s="212"/>
      <c r="P393" s="116"/>
      <c r="R393" s="122"/>
      <c r="S393" s="122"/>
      <c r="T393" s="122"/>
      <c r="U393" s="62"/>
      <c r="V393" s="69"/>
      <c r="W393" s="116"/>
      <c r="X393" s="116"/>
      <c r="Y393" s="116"/>
      <c r="Z393" s="116"/>
      <c r="AA393" s="116"/>
      <c r="AB393" s="116"/>
      <c r="AC393" s="116"/>
      <c r="AD393" s="116"/>
      <c r="AE393" s="116"/>
      <c r="AF393" s="116"/>
      <c r="AG393" s="116"/>
      <c r="AH393" s="116"/>
    </row>
    <row r="394" spans="1:34" hidden="1">
      <c r="A394" s="122"/>
      <c r="B394" s="122"/>
      <c r="C394" s="62"/>
      <c r="D394" s="72"/>
      <c r="E394" s="136"/>
      <c r="F394" s="136"/>
      <c r="G394" s="211"/>
      <c r="H394" s="136"/>
      <c r="I394" s="211"/>
      <c r="J394" s="211"/>
      <c r="K394" s="211"/>
      <c r="L394" s="136"/>
      <c r="M394" s="136"/>
      <c r="N394" s="136"/>
      <c r="O394" s="212"/>
      <c r="P394" s="116"/>
      <c r="R394" s="122"/>
      <c r="S394" s="122"/>
      <c r="T394" s="122"/>
      <c r="U394" s="62"/>
      <c r="V394" s="69"/>
      <c r="W394" s="116"/>
      <c r="X394" s="116"/>
      <c r="Y394" s="116"/>
      <c r="Z394" s="116"/>
      <c r="AA394" s="116"/>
      <c r="AB394" s="116"/>
      <c r="AC394" s="116"/>
      <c r="AD394" s="116"/>
      <c r="AE394" s="116"/>
      <c r="AF394" s="116"/>
      <c r="AG394" s="116"/>
      <c r="AH394" s="116"/>
    </row>
    <row r="395" spans="1:34" hidden="1">
      <c r="A395" s="122"/>
      <c r="B395" s="122"/>
      <c r="C395" s="62"/>
      <c r="D395" s="72"/>
      <c r="E395" s="136"/>
      <c r="F395" s="136"/>
      <c r="G395" s="211"/>
      <c r="H395" s="136"/>
      <c r="I395" s="211"/>
      <c r="J395" s="211"/>
      <c r="K395" s="211"/>
      <c r="L395" s="136"/>
      <c r="M395" s="136"/>
      <c r="N395" s="136"/>
      <c r="O395" s="212"/>
      <c r="P395" s="116"/>
      <c r="R395" s="122"/>
      <c r="S395" s="122"/>
      <c r="T395" s="122"/>
      <c r="U395" s="62"/>
      <c r="V395" s="69"/>
      <c r="W395" s="116"/>
      <c r="X395" s="116"/>
      <c r="Y395" s="116"/>
      <c r="Z395" s="116"/>
      <c r="AA395" s="116"/>
      <c r="AB395" s="116"/>
      <c r="AC395" s="116"/>
      <c r="AD395" s="116"/>
      <c r="AE395" s="116"/>
      <c r="AF395" s="116"/>
      <c r="AG395" s="116"/>
      <c r="AH395" s="116"/>
    </row>
    <row r="396" spans="1:34" hidden="1">
      <c r="A396" s="122"/>
      <c r="B396" s="122"/>
      <c r="C396" s="62"/>
      <c r="D396" s="72"/>
      <c r="E396" s="136"/>
      <c r="F396" s="136"/>
      <c r="G396" s="211"/>
      <c r="H396" s="136"/>
      <c r="I396" s="211"/>
      <c r="J396" s="211"/>
      <c r="K396" s="211"/>
      <c r="L396" s="136"/>
      <c r="M396" s="136"/>
      <c r="N396" s="136"/>
      <c r="O396" s="212"/>
      <c r="P396" s="116"/>
      <c r="R396" s="122"/>
      <c r="S396" s="122"/>
      <c r="T396" s="122"/>
      <c r="U396" s="62"/>
      <c r="V396" s="69"/>
      <c r="W396" s="116"/>
      <c r="X396" s="116"/>
      <c r="Y396" s="116"/>
      <c r="Z396" s="116"/>
      <c r="AA396" s="116"/>
      <c r="AB396" s="116"/>
      <c r="AC396" s="116"/>
      <c r="AD396" s="116"/>
      <c r="AE396" s="116"/>
      <c r="AF396" s="116"/>
      <c r="AG396" s="116"/>
      <c r="AH396" s="116"/>
    </row>
    <row r="397" spans="1:34" hidden="1">
      <c r="A397" s="122"/>
      <c r="B397" s="122"/>
      <c r="C397" s="62"/>
      <c r="D397" s="72"/>
      <c r="E397" s="136"/>
      <c r="F397" s="136"/>
      <c r="G397" s="211"/>
      <c r="H397" s="136"/>
      <c r="I397" s="211"/>
      <c r="J397" s="211"/>
      <c r="K397" s="211"/>
      <c r="L397" s="136"/>
      <c r="M397" s="136"/>
      <c r="N397" s="136"/>
      <c r="O397" s="212"/>
      <c r="P397" s="116"/>
      <c r="R397" s="122"/>
      <c r="S397" s="122"/>
      <c r="T397" s="122"/>
      <c r="U397" s="62"/>
      <c r="V397" s="69"/>
      <c r="W397" s="116"/>
      <c r="X397" s="116"/>
      <c r="Y397" s="116"/>
      <c r="Z397" s="116"/>
      <c r="AA397" s="116"/>
      <c r="AB397" s="116"/>
      <c r="AC397" s="116"/>
      <c r="AD397" s="116"/>
      <c r="AE397" s="116"/>
      <c r="AF397" s="116"/>
      <c r="AG397" s="116"/>
      <c r="AH397" s="116"/>
    </row>
    <row r="398" spans="1:34" hidden="1">
      <c r="A398" s="122"/>
      <c r="B398" s="122"/>
      <c r="C398" s="62"/>
      <c r="D398" s="72"/>
      <c r="E398" s="136"/>
      <c r="F398" s="136"/>
      <c r="G398" s="211"/>
      <c r="H398" s="136"/>
      <c r="I398" s="211"/>
      <c r="J398" s="211"/>
      <c r="K398" s="211"/>
      <c r="L398" s="136"/>
      <c r="M398" s="136"/>
      <c r="N398" s="136"/>
      <c r="O398" s="212"/>
      <c r="P398" s="116"/>
      <c r="R398" s="122"/>
      <c r="S398" s="122"/>
      <c r="T398" s="122"/>
      <c r="U398" s="62"/>
      <c r="V398" s="69"/>
      <c r="W398" s="116"/>
      <c r="X398" s="116"/>
      <c r="Y398" s="116"/>
      <c r="Z398" s="116"/>
      <c r="AA398" s="116"/>
      <c r="AB398" s="116"/>
      <c r="AC398" s="116"/>
      <c r="AD398" s="116"/>
      <c r="AE398" s="116"/>
      <c r="AF398" s="116"/>
      <c r="AG398" s="116"/>
      <c r="AH398" s="116"/>
    </row>
    <row r="399" spans="1:34" hidden="1">
      <c r="A399" s="122"/>
      <c r="B399" s="122"/>
      <c r="C399" s="62"/>
      <c r="D399" s="72"/>
      <c r="E399" s="136"/>
      <c r="F399" s="136"/>
      <c r="G399" s="211"/>
      <c r="H399" s="136"/>
      <c r="I399" s="211"/>
      <c r="J399" s="211"/>
      <c r="K399" s="211"/>
      <c r="L399" s="136"/>
      <c r="M399" s="136"/>
      <c r="N399" s="136"/>
      <c r="O399" s="212"/>
      <c r="P399" s="116"/>
      <c r="R399" s="122"/>
      <c r="S399" s="122"/>
      <c r="T399" s="122"/>
      <c r="U399" s="62"/>
      <c r="V399" s="69"/>
      <c r="W399" s="116"/>
      <c r="X399" s="116"/>
      <c r="Y399" s="116"/>
      <c r="Z399" s="116"/>
      <c r="AA399" s="116"/>
      <c r="AB399" s="116"/>
      <c r="AC399" s="116"/>
      <c r="AD399" s="116"/>
      <c r="AE399" s="116"/>
      <c r="AF399" s="116"/>
      <c r="AG399" s="116"/>
      <c r="AH399" s="116"/>
    </row>
    <row r="400" spans="1:34" hidden="1">
      <c r="A400" s="122"/>
      <c r="B400" s="122"/>
      <c r="C400" s="62"/>
      <c r="D400" s="72"/>
      <c r="E400" s="136"/>
      <c r="F400" s="136"/>
      <c r="G400" s="211"/>
      <c r="H400" s="136"/>
      <c r="I400" s="211"/>
      <c r="J400" s="211"/>
      <c r="K400" s="211"/>
      <c r="L400" s="136"/>
      <c r="M400" s="136"/>
      <c r="N400" s="136"/>
      <c r="O400" s="212"/>
      <c r="P400" s="116"/>
      <c r="R400" s="122"/>
      <c r="S400" s="122"/>
      <c r="T400" s="122"/>
      <c r="U400" s="62"/>
      <c r="V400" s="69"/>
      <c r="W400" s="116"/>
      <c r="X400" s="116"/>
      <c r="Y400" s="116"/>
      <c r="Z400" s="116"/>
      <c r="AA400" s="116"/>
      <c r="AB400" s="116"/>
      <c r="AC400" s="116"/>
      <c r="AD400" s="116"/>
      <c r="AE400" s="116"/>
      <c r="AF400" s="116"/>
      <c r="AG400" s="116"/>
      <c r="AH400" s="116"/>
    </row>
    <row r="401" spans="1:34" hidden="1">
      <c r="A401" s="122"/>
      <c r="B401" s="122"/>
      <c r="C401" s="62"/>
      <c r="D401" s="72"/>
      <c r="E401" s="136"/>
      <c r="F401" s="136"/>
      <c r="G401" s="211"/>
      <c r="H401" s="136"/>
      <c r="I401" s="211"/>
      <c r="J401" s="211"/>
      <c r="K401" s="211"/>
      <c r="L401" s="136"/>
      <c r="M401" s="136"/>
      <c r="N401" s="136"/>
      <c r="O401" s="212"/>
      <c r="P401" s="116"/>
      <c r="R401" s="122"/>
      <c r="S401" s="122"/>
      <c r="T401" s="122"/>
      <c r="U401" s="62"/>
      <c r="V401" s="69"/>
      <c r="W401" s="116"/>
      <c r="X401" s="116"/>
      <c r="Y401" s="116"/>
      <c r="Z401" s="116"/>
      <c r="AA401" s="116"/>
      <c r="AB401" s="116"/>
      <c r="AC401" s="116"/>
      <c r="AD401" s="116"/>
      <c r="AE401" s="116"/>
      <c r="AF401" s="116"/>
      <c r="AG401" s="116"/>
      <c r="AH401" s="116"/>
    </row>
    <row r="402" spans="1:34" hidden="1">
      <c r="A402" s="122"/>
      <c r="B402" s="122"/>
      <c r="C402" s="62"/>
      <c r="D402" s="72"/>
      <c r="E402" s="136"/>
      <c r="F402" s="136"/>
      <c r="G402" s="211"/>
      <c r="H402" s="136"/>
      <c r="I402" s="211"/>
      <c r="J402" s="211"/>
      <c r="K402" s="211"/>
      <c r="L402" s="136"/>
      <c r="M402" s="136"/>
      <c r="N402" s="136"/>
      <c r="O402" s="212"/>
      <c r="P402" s="116"/>
      <c r="R402" s="122"/>
      <c r="S402" s="122"/>
      <c r="T402" s="122"/>
      <c r="U402" s="62"/>
      <c r="V402" s="69"/>
      <c r="W402" s="116"/>
      <c r="X402" s="116"/>
      <c r="Y402" s="116"/>
      <c r="Z402" s="116"/>
      <c r="AA402" s="116"/>
      <c r="AB402" s="116"/>
      <c r="AC402" s="116"/>
      <c r="AD402" s="116"/>
      <c r="AE402" s="116"/>
      <c r="AF402" s="116"/>
      <c r="AG402" s="116"/>
      <c r="AH402" s="116"/>
    </row>
    <row r="403" spans="1:34" hidden="1">
      <c r="A403" s="122"/>
      <c r="B403" s="122"/>
      <c r="C403" s="62"/>
      <c r="D403" s="72"/>
      <c r="E403" s="136"/>
      <c r="F403" s="136"/>
      <c r="G403" s="211"/>
      <c r="H403" s="136"/>
      <c r="I403" s="211"/>
      <c r="J403" s="211"/>
      <c r="K403" s="211"/>
      <c r="L403" s="136"/>
      <c r="M403" s="136"/>
      <c r="N403" s="136"/>
      <c r="O403" s="212"/>
      <c r="P403" s="116"/>
      <c r="R403" s="122"/>
      <c r="S403" s="122"/>
      <c r="T403" s="122"/>
      <c r="U403" s="62"/>
      <c r="V403" s="69"/>
      <c r="W403" s="116"/>
      <c r="X403" s="116"/>
      <c r="Y403" s="116"/>
      <c r="Z403" s="116"/>
      <c r="AA403" s="116"/>
      <c r="AB403" s="116"/>
      <c r="AC403" s="116"/>
      <c r="AD403" s="116"/>
      <c r="AE403" s="116"/>
      <c r="AF403" s="116"/>
      <c r="AG403" s="116"/>
      <c r="AH403" s="116"/>
    </row>
    <row r="404" spans="1:34" hidden="1">
      <c r="A404" s="122"/>
      <c r="B404" s="122"/>
      <c r="C404" s="62"/>
      <c r="D404" s="72"/>
      <c r="E404" s="136"/>
      <c r="F404" s="136"/>
      <c r="G404" s="211"/>
      <c r="H404" s="136"/>
      <c r="I404" s="211"/>
      <c r="J404" s="211"/>
      <c r="K404" s="211"/>
      <c r="L404" s="136"/>
      <c r="M404" s="136"/>
      <c r="N404" s="136"/>
      <c r="O404" s="212"/>
      <c r="P404" s="116"/>
      <c r="R404" s="122"/>
      <c r="S404" s="122"/>
      <c r="T404" s="122"/>
      <c r="U404" s="62"/>
      <c r="V404" s="69"/>
      <c r="W404" s="116"/>
      <c r="X404" s="116"/>
      <c r="Y404" s="116"/>
      <c r="Z404" s="116"/>
      <c r="AA404" s="116"/>
      <c r="AB404" s="116"/>
      <c r="AC404" s="116"/>
      <c r="AD404" s="116"/>
      <c r="AE404" s="116"/>
      <c r="AF404" s="116"/>
      <c r="AG404" s="116"/>
      <c r="AH404" s="116"/>
    </row>
    <row r="405" spans="1:34" hidden="1">
      <c r="A405" s="122"/>
      <c r="B405" s="122"/>
      <c r="C405" s="62"/>
      <c r="D405" s="72"/>
      <c r="E405" s="136"/>
      <c r="F405" s="136"/>
      <c r="G405" s="211"/>
      <c r="H405" s="136"/>
      <c r="I405" s="211"/>
      <c r="J405" s="211"/>
      <c r="K405" s="211"/>
      <c r="L405" s="136"/>
      <c r="M405" s="136"/>
      <c r="N405" s="136"/>
      <c r="O405" s="212"/>
      <c r="P405" s="116"/>
      <c r="R405" s="122"/>
      <c r="S405" s="122"/>
      <c r="T405" s="122"/>
      <c r="U405" s="62"/>
      <c r="V405" s="69"/>
      <c r="W405" s="116"/>
      <c r="X405" s="116"/>
      <c r="Y405" s="116"/>
      <c r="Z405" s="116"/>
      <c r="AA405" s="116"/>
      <c r="AB405" s="116"/>
      <c r="AC405" s="116"/>
      <c r="AD405" s="116"/>
      <c r="AE405" s="116"/>
      <c r="AF405" s="116"/>
      <c r="AG405" s="116"/>
      <c r="AH405" s="116"/>
    </row>
    <row r="406" spans="1:34" hidden="1">
      <c r="A406" s="122"/>
      <c r="B406" s="122"/>
      <c r="C406" s="62"/>
      <c r="D406" s="72"/>
      <c r="E406" s="136"/>
      <c r="F406" s="136"/>
      <c r="G406" s="211"/>
      <c r="H406" s="136"/>
      <c r="I406" s="211"/>
      <c r="J406" s="211"/>
      <c r="K406" s="211"/>
      <c r="L406" s="136"/>
      <c r="M406" s="136"/>
      <c r="N406" s="136"/>
      <c r="O406" s="212"/>
      <c r="P406" s="116"/>
      <c r="R406" s="122"/>
      <c r="S406" s="122"/>
      <c r="T406" s="122"/>
      <c r="U406" s="62"/>
      <c r="V406" s="69"/>
      <c r="W406" s="116"/>
      <c r="X406" s="116"/>
      <c r="Y406" s="116"/>
      <c r="Z406" s="116"/>
      <c r="AA406" s="116"/>
      <c r="AB406" s="116"/>
      <c r="AC406" s="116"/>
      <c r="AD406" s="116"/>
      <c r="AE406" s="116"/>
      <c r="AF406" s="116"/>
      <c r="AG406" s="116"/>
      <c r="AH406" s="116"/>
    </row>
    <row r="407" spans="1:34" hidden="1">
      <c r="A407" s="122"/>
      <c r="B407" s="122"/>
      <c r="C407" s="62"/>
      <c r="D407" s="72"/>
      <c r="E407" s="136"/>
      <c r="F407" s="136"/>
      <c r="G407" s="211"/>
      <c r="H407" s="136"/>
      <c r="I407" s="211"/>
      <c r="J407" s="211"/>
      <c r="K407" s="211"/>
      <c r="L407" s="136"/>
      <c r="M407" s="136"/>
      <c r="N407" s="136"/>
      <c r="O407" s="212"/>
      <c r="P407" s="116"/>
      <c r="R407" s="122"/>
      <c r="S407" s="122"/>
      <c r="T407" s="122"/>
      <c r="U407" s="62"/>
      <c r="V407" s="69"/>
      <c r="W407" s="116"/>
      <c r="X407" s="116"/>
      <c r="Y407" s="116"/>
      <c r="Z407" s="116"/>
      <c r="AA407" s="116"/>
      <c r="AB407" s="116"/>
      <c r="AC407" s="116"/>
      <c r="AD407" s="116"/>
      <c r="AE407" s="116"/>
      <c r="AF407" s="116"/>
      <c r="AG407" s="116"/>
      <c r="AH407" s="116"/>
    </row>
    <row r="408" spans="1:34" hidden="1">
      <c r="A408" s="122"/>
      <c r="B408" s="122"/>
      <c r="C408" s="62"/>
      <c r="D408" s="72"/>
      <c r="E408" s="136"/>
      <c r="F408" s="136"/>
      <c r="G408" s="211"/>
      <c r="H408" s="136"/>
      <c r="I408" s="211"/>
      <c r="J408" s="211"/>
      <c r="K408" s="211"/>
      <c r="L408" s="136"/>
      <c r="M408" s="136"/>
      <c r="N408" s="136"/>
      <c r="O408" s="212"/>
      <c r="P408" s="116"/>
      <c r="R408" s="122"/>
      <c r="S408" s="122"/>
      <c r="T408" s="122"/>
      <c r="U408" s="62"/>
      <c r="V408" s="69"/>
      <c r="W408" s="116"/>
      <c r="X408" s="116"/>
      <c r="Y408" s="116"/>
      <c r="Z408" s="116"/>
      <c r="AA408" s="116"/>
      <c r="AB408" s="116"/>
      <c r="AC408" s="116"/>
      <c r="AD408" s="116"/>
      <c r="AE408" s="116"/>
      <c r="AF408" s="116"/>
      <c r="AG408" s="116"/>
      <c r="AH408" s="116"/>
    </row>
    <row r="409" spans="1:34" hidden="1">
      <c r="A409" s="122"/>
      <c r="B409" s="122"/>
      <c r="C409" s="62"/>
      <c r="D409" s="72"/>
      <c r="E409" s="136"/>
      <c r="F409" s="136"/>
      <c r="G409" s="211"/>
      <c r="H409" s="136"/>
      <c r="I409" s="211"/>
      <c r="J409" s="211"/>
      <c r="K409" s="211"/>
      <c r="L409" s="136"/>
      <c r="M409" s="136"/>
      <c r="N409" s="136"/>
      <c r="O409" s="212"/>
      <c r="P409" s="116"/>
      <c r="R409" s="122"/>
      <c r="S409" s="122"/>
      <c r="T409" s="122"/>
      <c r="U409" s="62"/>
      <c r="V409" s="69"/>
      <c r="W409" s="116"/>
      <c r="X409" s="116"/>
      <c r="Y409" s="116"/>
      <c r="Z409" s="116"/>
      <c r="AA409" s="116"/>
      <c r="AB409" s="116"/>
      <c r="AC409" s="116"/>
      <c r="AD409" s="116"/>
      <c r="AE409" s="116"/>
      <c r="AF409" s="116"/>
      <c r="AG409" s="116"/>
      <c r="AH409" s="116"/>
    </row>
    <row r="410" spans="1:34" hidden="1">
      <c r="A410" s="122"/>
      <c r="B410" s="122"/>
      <c r="C410" s="62"/>
      <c r="D410" s="72"/>
      <c r="E410" s="136"/>
      <c r="F410" s="136"/>
      <c r="G410" s="211"/>
      <c r="H410" s="136"/>
      <c r="I410" s="211"/>
      <c r="J410" s="211"/>
      <c r="K410" s="211"/>
      <c r="L410" s="136"/>
      <c r="M410" s="136"/>
      <c r="N410" s="136"/>
      <c r="O410" s="212"/>
      <c r="P410" s="116"/>
      <c r="R410" s="122"/>
      <c r="S410" s="122"/>
      <c r="T410" s="122"/>
      <c r="U410" s="62"/>
      <c r="V410" s="69"/>
      <c r="W410" s="116"/>
      <c r="X410" s="116"/>
      <c r="Y410" s="116"/>
      <c r="Z410" s="116"/>
      <c r="AA410" s="116"/>
      <c r="AB410" s="116"/>
      <c r="AC410" s="116"/>
      <c r="AD410" s="116"/>
      <c r="AE410" s="116"/>
      <c r="AF410" s="116"/>
      <c r="AG410" s="116"/>
      <c r="AH410" s="116"/>
    </row>
    <row r="411" spans="1:34" hidden="1">
      <c r="A411" s="122"/>
      <c r="B411" s="122"/>
      <c r="C411" s="62"/>
      <c r="D411" s="72"/>
      <c r="E411" s="136"/>
      <c r="F411" s="136"/>
      <c r="G411" s="211"/>
      <c r="H411" s="136"/>
      <c r="I411" s="211"/>
      <c r="J411" s="211"/>
      <c r="K411" s="211"/>
      <c r="L411" s="136"/>
      <c r="M411" s="136"/>
      <c r="N411" s="136"/>
      <c r="O411" s="212"/>
      <c r="P411" s="116"/>
      <c r="R411" s="122"/>
      <c r="S411" s="122"/>
      <c r="T411" s="122"/>
      <c r="U411" s="62"/>
      <c r="V411" s="69"/>
      <c r="W411" s="116"/>
      <c r="X411" s="116"/>
      <c r="Y411" s="116"/>
      <c r="Z411" s="116"/>
      <c r="AA411" s="116"/>
      <c r="AB411" s="116"/>
      <c r="AC411" s="116"/>
      <c r="AD411" s="116"/>
      <c r="AE411" s="116"/>
      <c r="AF411" s="116"/>
      <c r="AG411" s="116"/>
      <c r="AH411" s="116"/>
    </row>
    <row r="412" spans="1:34" hidden="1">
      <c r="A412" s="122"/>
      <c r="B412" s="122"/>
      <c r="C412" s="62"/>
      <c r="D412" s="72"/>
      <c r="E412" s="136"/>
      <c r="F412" s="136"/>
      <c r="G412" s="211"/>
      <c r="H412" s="136"/>
      <c r="I412" s="211"/>
      <c r="J412" s="211"/>
      <c r="K412" s="211"/>
      <c r="L412" s="136"/>
      <c r="M412" s="136"/>
      <c r="N412" s="136"/>
      <c r="O412" s="212"/>
      <c r="P412" s="116"/>
      <c r="R412" s="122"/>
      <c r="S412" s="122"/>
      <c r="T412" s="122"/>
      <c r="U412" s="62"/>
      <c r="V412" s="69"/>
      <c r="W412" s="116"/>
      <c r="X412" s="116"/>
      <c r="Y412" s="116"/>
      <c r="Z412" s="116"/>
      <c r="AA412" s="116"/>
      <c r="AB412" s="116"/>
      <c r="AC412" s="116"/>
      <c r="AD412" s="116"/>
      <c r="AE412" s="116"/>
      <c r="AF412" s="116"/>
      <c r="AG412" s="116"/>
      <c r="AH412" s="116"/>
    </row>
    <row r="413" spans="1:34" hidden="1">
      <c r="A413" s="122"/>
      <c r="B413" s="122"/>
      <c r="C413" s="62"/>
      <c r="D413" s="72"/>
      <c r="E413" s="136"/>
      <c r="F413" s="136"/>
      <c r="G413" s="211"/>
      <c r="H413" s="136"/>
      <c r="I413" s="211"/>
      <c r="J413" s="211"/>
      <c r="K413" s="211"/>
      <c r="L413" s="136"/>
      <c r="M413" s="136"/>
      <c r="N413" s="136"/>
      <c r="O413" s="212"/>
      <c r="P413" s="116"/>
      <c r="R413" s="122"/>
      <c r="S413" s="122"/>
      <c r="T413" s="122"/>
      <c r="U413" s="62"/>
      <c r="V413" s="69"/>
      <c r="W413" s="116"/>
      <c r="X413" s="116"/>
      <c r="Y413" s="116"/>
      <c r="Z413" s="116"/>
      <c r="AA413" s="116"/>
      <c r="AB413" s="116"/>
      <c r="AC413" s="116"/>
      <c r="AD413" s="116"/>
      <c r="AE413" s="116"/>
      <c r="AF413" s="116"/>
      <c r="AG413" s="116"/>
      <c r="AH413" s="116"/>
    </row>
    <row r="414" spans="1:34" hidden="1">
      <c r="A414" s="122"/>
      <c r="B414" s="122"/>
      <c r="C414" s="62"/>
      <c r="D414" s="72"/>
      <c r="E414" s="136"/>
      <c r="F414" s="136"/>
      <c r="G414" s="211"/>
      <c r="H414" s="136"/>
      <c r="I414" s="211"/>
      <c r="J414" s="211"/>
      <c r="K414" s="211"/>
      <c r="L414" s="136"/>
      <c r="M414" s="136"/>
      <c r="N414" s="136"/>
      <c r="O414" s="212"/>
      <c r="P414" s="116"/>
      <c r="R414" s="122"/>
      <c r="S414" s="122"/>
      <c r="T414" s="122"/>
      <c r="U414" s="62"/>
      <c r="V414" s="69"/>
      <c r="W414" s="116"/>
      <c r="X414" s="116"/>
      <c r="Y414" s="116"/>
      <c r="Z414" s="116"/>
      <c r="AA414" s="116"/>
      <c r="AB414" s="116"/>
      <c r="AC414" s="116"/>
      <c r="AD414" s="116"/>
      <c r="AE414" s="116"/>
      <c r="AF414" s="116"/>
      <c r="AG414" s="116"/>
      <c r="AH414" s="116"/>
    </row>
    <row r="415" spans="1:34" hidden="1">
      <c r="A415" s="122"/>
      <c r="B415" s="122"/>
      <c r="C415" s="62"/>
      <c r="D415" s="72"/>
      <c r="E415" s="136"/>
      <c r="F415" s="136"/>
      <c r="G415" s="211"/>
      <c r="H415" s="136"/>
      <c r="I415" s="211"/>
      <c r="J415" s="211"/>
      <c r="K415" s="211"/>
      <c r="L415" s="136"/>
      <c r="M415" s="136"/>
      <c r="N415" s="136"/>
      <c r="O415" s="212"/>
      <c r="P415" s="116"/>
      <c r="R415" s="122"/>
      <c r="S415" s="122"/>
      <c r="T415" s="122"/>
      <c r="U415" s="62"/>
      <c r="V415" s="69"/>
      <c r="W415" s="116"/>
      <c r="X415" s="116"/>
      <c r="Y415" s="116"/>
      <c r="Z415" s="116"/>
      <c r="AA415" s="116"/>
      <c r="AB415" s="116"/>
      <c r="AC415" s="116"/>
      <c r="AD415" s="116"/>
      <c r="AE415" s="116"/>
      <c r="AF415" s="116"/>
      <c r="AG415" s="116"/>
      <c r="AH415" s="116"/>
    </row>
    <row r="416" spans="1:34" hidden="1">
      <c r="A416" s="122"/>
      <c r="B416" s="122"/>
      <c r="C416" s="62"/>
      <c r="D416" s="72"/>
      <c r="E416" s="136"/>
      <c r="F416" s="136"/>
      <c r="G416" s="211"/>
      <c r="H416" s="136"/>
      <c r="I416" s="211"/>
      <c r="J416" s="211"/>
      <c r="K416" s="211"/>
      <c r="L416" s="136"/>
      <c r="M416" s="136"/>
      <c r="N416" s="136"/>
      <c r="O416" s="212"/>
      <c r="P416" s="116"/>
      <c r="R416" s="122"/>
      <c r="S416" s="122"/>
      <c r="T416" s="122"/>
      <c r="U416" s="62"/>
      <c r="V416" s="69"/>
      <c r="W416" s="116"/>
      <c r="X416" s="116"/>
      <c r="Y416" s="116"/>
      <c r="Z416" s="116"/>
      <c r="AA416" s="116"/>
      <c r="AB416" s="116"/>
      <c r="AC416" s="116"/>
      <c r="AD416" s="116"/>
      <c r="AE416" s="116"/>
      <c r="AF416" s="116"/>
      <c r="AG416" s="116"/>
      <c r="AH416" s="116"/>
    </row>
    <row r="417" spans="1:34" hidden="1">
      <c r="A417" s="122"/>
      <c r="B417" s="122"/>
      <c r="C417" s="62"/>
      <c r="D417" s="72"/>
      <c r="E417" s="136"/>
      <c r="F417" s="136"/>
      <c r="G417" s="211"/>
      <c r="H417" s="136"/>
      <c r="I417" s="211"/>
      <c r="J417" s="211"/>
      <c r="K417" s="211"/>
      <c r="L417" s="136"/>
      <c r="M417" s="136"/>
      <c r="N417" s="136"/>
      <c r="O417" s="212"/>
      <c r="P417" s="116"/>
      <c r="R417" s="122"/>
      <c r="S417" s="122"/>
      <c r="T417" s="122"/>
      <c r="U417" s="62"/>
      <c r="V417" s="69"/>
      <c r="W417" s="116"/>
      <c r="X417" s="116"/>
      <c r="Y417" s="116"/>
      <c r="Z417" s="116"/>
      <c r="AA417" s="116"/>
      <c r="AB417" s="116"/>
      <c r="AC417" s="116"/>
      <c r="AD417" s="116"/>
      <c r="AE417" s="116"/>
      <c r="AF417" s="116"/>
      <c r="AG417" s="116"/>
      <c r="AH417" s="116"/>
    </row>
    <row r="418" spans="1:34" hidden="1">
      <c r="A418" s="122"/>
      <c r="B418" s="122"/>
      <c r="C418" s="62"/>
      <c r="D418" s="72"/>
      <c r="E418" s="136"/>
      <c r="F418" s="136"/>
      <c r="G418" s="211"/>
      <c r="H418" s="136"/>
      <c r="I418" s="211"/>
      <c r="J418" s="211"/>
      <c r="K418" s="211"/>
      <c r="L418" s="136"/>
      <c r="M418" s="136"/>
      <c r="N418" s="136"/>
      <c r="O418" s="212"/>
      <c r="P418" s="116"/>
      <c r="R418" s="122"/>
      <c r="S418" s="122"/>
      <c r="T418" s="122"/>
      <c r="U418" s="62"/>
      <c r="V418" s="69"/>
      <c r="W418" s="116"/>
      <c r="X418" s="116"/>
      <c r="Y418" s="116"/>
      <c r="Z418" s="116"/>
      <c r="AA418" s="116"/>
      <c r="AB418" s="116"/>
      <c r="AC418" s="116"/>
      <c r="AD418" s="116"/>
      <c r="AE418" s="116"/>
      <c r="AF418" s="116"/>
      <c r="AG418" s="116"/>
      <c r="AH418" s="116"/>
    </row>
    <row r="419" spans="1:34" hidden="1">
      <c r="A419" s="122"/>
      <c r="B419" s="122"/>
      <c r="C419" s="62"/>
      <c r="D419" s="72"/>
      <c r="E419" s="136"/>
      <c r="F419" s="136"/>
      <c r="G419" s="211"/>
      <c r="H419" s="136"/>
      <c r="I419" s="211"/>
      <c r="J419" s="211"/>
      <c r="K419" s="211"/>
      <c r="L419" s="136"/>
      <c r="M419" s="136"/>
      <c r="N419" s="136"/>
      <c r="O419" s="212"/>
      <c r="P419" s="116"/>
      <c r="R419" s="122"/>
      <c r="S419" s="122"/>
      <c r="T419" s="122"/>
      <c r="U419" s="62"/>
      <c r="V419" s="69"/>
      <c r="W419" s="116"/>
      <c r="X419" s="116"/>
      <c r="Y419" s="116"/>
      <c r="Z419" s="116"/>
      <c r="AA419" s="116"/>
      <c r="AB419" s="116"/>
      <c r="AC419" s="116"/>
      <c r="AD419" s="116"/>
      <c r="AE419" s="116"/>
      <c r="AF419" s="116"/>
      <c r="AG419" s="116"/>
      <c r="AH419" s="116"/>
    </row>
    <row r="420" spans="1:34" hidden="1">
      <c r="A420" s="122"/>
      <c r="B420" s="122"/>
      <c r="C420" s="62"/>
      <c r="D420" s="72"/>
      <c r="E420" s="136"/>
      <c r="F420" s="136"/>
      <c r="G420" s="211"/>
      <c r="H420" s="136"/>
      <c r="I420" s="211"/>
      <c r="J420" s="211"/>
      <c r="K420" s="211"/>
      <c r="L420" s="136"/>
      <c r="M420" s="136"/>
      <c r="N420" s="136"/>
      <c r="O420" s="212"/>
      <c r="P420" s="116"/>
      <c r="R420" s="122"/>
      <c r="S420" s="122"/>
      <c r="T420" s="122"/>
      <c r="U420" s="62"/>
      <c r="V420" s="69"/>
      <c r="W420" s="116"/>
      <c r="X420" s="116"/>
      <c r="Y420" s="116"/>
      <c r="Z420" s="116"/>
      <c r="AA420" s="116"/>
      <c r="AB420" s="116"/>
      <c r="AC420" s="116"/>
      <c r="AD420" s="116"/>
      <c r="AE420" s="116"/>
      <c r="AF420" s="116"/>
      <c r="AG420" s="116"/>
      <c r="AH420" s="116"/>
    </row>
    <row r="421" spans="1:34" hidden="1">
      <c r="A421" s="122"/>
      <c r="B421" s="122"/>
      <c r="C421" s="62"/>
      <c r="D421" s="72"/>
      <c r="E421" s="136"/>
      <c r="F421" s="136"/>
      <c r="G421" s="211"/>
      <c r="H421" s="136"/>
      <c r="I421" s="211"/>
      <c r="J421" s="211"/>
      <c r="K421" s="211"/>
      <c r="L421" s="136"/>
      <c r="M421" s="136"/>
      <c r="N421" s="136"/>
      <c r="O421" s="212"/>
      <c r="P421" s="116"/>
      <c r="R421" s="122"/>
      <c r="S421" s="122"/>
      <c r="T421" s="122"/>
      <c r="U421" s="62"/>
      <c r="V421" s="69"/>
      <c r="W421" s="116"/>
      <c r="X421" s="116"/>
      <c r="Y421" s="116"/>
      <c r="Z421" s="116"/>
      <c r="AA421" s="116"/>
      <c r="AB421" s="116"/>
      <c r="AC421" s="116"/>
      <c r="AD421" s="116"/>
      <c r="AE421" s="116"/>
      <c r="AF421" s="116"/>
      <c r="AG421" s="116"/>
      <c r="AH421" s="116"/>
    </row>
    <row r="422" spans="1:34" hidden="1">
      <c r="A422" s="122"/>
      <c r="B422" s="122"/>
      <c r="C422" s="62"/>
      <c r="D422" s="72"/>
      <c r="E422" s="136"/>
      <c r="F422" s="136"/>
      <c r="G422" s="211"/>
      <c r="H422" s="136"/>
      <c r="I422" s="211"/>
      <c r="J422" s="211"/>
      <c r="K422" s="211"/>
      <c r="L422" s="136"/>
      <c r="M422" s="136"/>
      <c r="N422" s="136"/>
      <c r="O422" s="212"/>
      <c r="P422" s="116"/>
      <c r="R422" s="122"/>
      <c r="S422" s="122"/>
      <c r="T422" s="122"/>
      <c r="U422" s="62"/>
      <c r="V422" s="69"/>
      <c r="W422" s="116"/>
      <c r="X422" s="116"/>
      <c r="Y422" s="116"/>
      <c r="Z422" s="116"/>
      <c r="AA422" s="116"/>
      <c r="AB422" s="116"/>
      <c r="AC422" s="116"/>
      <c r="AD422" s="116"/>
      <c r="AE422" s="116"/>
      <c r="AF422" s="116"/>
      <c r="AG422" s="116"/>
      <c r="AH422" s="116"/>
    </row>
    <row r="423" spans="1:34" hidden="1">
      <c r="A423" s="122"/>
      <c r="B423" s="122"/>
      <c r="C423" s="62"/>
      <c r="D423" s="72"/>
      <c r="E423" s="136"/>
      <c r="F423" s="136"/>
      <c r="G423" s="211"/>
      <c r="H423" s="136"/>
      <c r="I423" s="211"/>
      <c r="J423" s="211"/>
      <c r="K423" s="211"/>
      <c r="L423" s="136"/>
      <c r="M423" s="136"/>
      <c r="N423" s="136"/>
      <c r="O423" s="212"/>
      <c r="P423" s="116"/>
      <c r="R423" s="122"/>
      <c r="S423" s="122"/>
      <c r="T423" s="122"/>
      <c r="U423" s="62"/>
      <c r="V423" s="69"/>
      <c r="W423" s="116"/>
      <c r="X423" s="116"/>
      <c r="Y423" s="116"/>
      <c r="Z423" s="116"/>
      <c r="AA423" s="116"/>
      <c r="AB423" s="116"/>
      <c r="AC423" s="116"/>
      <c r="AD423" s="116"/>
      <c r="AE423" s="116"/>
      <c r="AF423" s="116"/>
      <c r="AG423" s="116"/>
      <c r="AH423" s="116"/>
    </row>
    <row r="424" spans="1:34" hidden="1">
      <c r="A424" s="122"/>
      <c r="B424" s="122"/>
      <c r="C424" s="62"/>
      <c r="D424" s="72"/>
      <c r="E424" s="136"/>
      <c r="F424" s="136"/>
      <c r="G424" s="211"/>
      <c r="H424" s="136"/>
      <c r="I424" s="211"/>
      <c r="J424" s="211"/>
      <c r="K424" s="211"/>
      <c r="L424" s="136"/>
      <c r="M424" s="136"/>
      <c r="N424" s="136"/>
      <c r="O424" s="212"/>
      <c r="P424" s="116"/>
      <c r="R424" s="122"/>
      <c r="S424" s="122"/>
      <c r="T424" s="122"/>
      <c r="U424" s="62"/>
      <c r="V424" s="69"/>
      <c r="W424" s="116"/>
      <c r="X424" s="116"/>
      <c r="Y424" s="116"/>
      <c r="Z424" s="116"/>
      <c r="AA424" s="116"/>
      <c r="AB424" s="116"/>
      <c r="AC424" s="116"/>
      <c r="AD424" s="116"/>
      <c r="AE424" s="116"/>
      <c r="AF424" s="116"/>
      <c r="AG424" s="116"/>
      <c r="AH424" s="116"/>
    </row>
    <row r="425" spans="1:34" hidden="1">
      <c r="A425" s="122"/>
      <c r="B425" s="122"/>
      <c r="C425" s="62"/>
      <c r="D425" s="72"/>
      <c r="E425" s="136"/>
      <c r="F425" s="136"/>
      <c r="G425" s="211"/>
      <c r="H425" s="136"/>
      <c r="I425" s="211"/>
      <c r="J425" s="211"/>
      <c r="K425" s="211"/>
      <c r="L425" s="136"/>
      <c r="M425" s="136"/>
      <c r="N425" s="136"/>
      <c r="O425" s="212"/>
      <c r="P425" s="116"/>
      <c r="R425" s="122"/>
      <c r="S425" s="122"/>
      <c r="T425" s="122"/>
      <c r="U425" s="62"/>
      <c r="V425" s="69"/>
      <c r="W425" s="116"/>
      <c r="X425" s="116"/>
      <c r="Y425" s="116"/>
      <c r="Z425" s="116"/>
      <c r="AA425" s="116"/>
      <c r="AB425" s="116"/>
      <c r="AC425" s="116"/>
      <c r="AD425" s="116"/>
      <c r="AE425" s="116"/>
      <c r="AF425" s="116"/>
      <c r="AG425" s="116"/>
      <c r="AH425" s="116"/>
    </row>
    <row r="426" spans="1:34" hidden="1">
      <c r="A426" s="122"/>
      <c r="B426" s="122"/>
      <c r="C426" s="62"/>
      <c r="D426" s="72"/>
      <c r="E426" s="136"/>
      <c r="F426" s="136"/>
      <c r="G426" s="211"/>
      <c r="H426" s="136"/>
      <c r="I426" s="211"/>
      <c r="J426" s="211"/>
      <c r="K426" s="211"/>
      <c r="L426" s="136"/>
      <c r="M426" s="136"/>
      <c r="N426" s="136"/>
      <c r="O426" s="212"/>
      <c r="P426" s="116"/>
      <c r="R426" s="122"/>
      <c r="S426" s="122"/>
      <c r="T426" s="122"/>
      <c r="U426" s="62"/>
      <c r="V426" s="69"/>
      <c r="W426" s="116"/>
      <c r="X426" s="116"/>
      <c r="Y426" s="116"/>
      <c r="Z426" s="116"/>
      <c r="AA426" s="116"/>
      <c r="AB426" s="116"/>
      <c r="AC426" s="116"/>
      <c r="AD426" s="116"/>
      <c r="AE426" s="116"/>
      <c r="AF426" s="116"/>
      <c r="AG426" s="116"/>
      <c r="AH426" s="116"/>
    </row>
    <row r="427" spans="1:34" hidden="1">
      <c r="A427" s="122"/>
      <c r="B427" s="122"/>
      <c r="C427" s="62"/>
      <c r="D427" s="72"/>
      <c r="E427" s="136"/>
      <c r="F427" s="136"/>
      <c r="G427" s="211"/>
      <c r="H427" s="136"/>
      <c r="I427" s="211"/>
      <c r="J427" s="211"/>
      <c r="K427" s="211"/>
      <c r="L427" s="136"/>
      <c r="M427" s="136"/>
      <c r="N427" s="136"/>
      <c r="O427" s="212"/>
      <c r="P427" s="116"/>
      <c r="R427" s="122"/>
      <c r="S427" s="122"/>
      <c r="T427" s="122"/>
      <c r="U427" s="62"/>
      <c r="V427" s="69"/>
      <c r="W427" s="116"/>
      <c r="X427" s="116"/>
      <c r="Y427" s="116"/>
      <c r="Z427" s="116"/>
      <c r="AA427" s="116"/>
      <c r="AB427" s="116"/>
      <c r="AC427" s="116"/>
      <c r="AD427" s="116"/>
      <c r="AE427" s="116"/>
      <c r="AF427" s="116"/>
      <c r="AG427" s="116"/>
      <c r="AH427" s="116"/>
    </row>
    <row r="428" spans="1:34" hidden="1">
      <c r="A428" s="122"/>
      <c r="B428" s="122"/>
      <c r="C428" s="62"/>
      <c r="D428" s="72"/>
      <c r="E428" s="136"/>
      <c r="F428" s="136"/>
      <c r="G428" s="211"/>
      <c r="H428" s="136"/>
      <c r="I428" s="211"/>
      <c r="J428" s="211"/>
      <c r="K428" s="211"/>
      <c r="L428" s="136"/>
      <c r="M428" s="136"/>
      <c r="N428" s="136"/>
      <c r="O428" s="212"/>
      <c r="P428" s="116"/>
      <c r="R428" s="122"/>
      <c r="S428" s="122"/>
      <c r="T428" s="122"/>
      <c r="U428" s="62"/>
      <c r="V428" s="69"/>
      <c r="W428" s="116"/>
      <c r="X428" s="116"/>
      <c r="Y428" s="116"/>
      <c r="Z428" s="116"/>
      <c r="AA428" s="116"/>
      <c r="AB428" s="116"/>
      <c r="AC428" s="116"/>
      <c r="AD428" s="116"/>
      <c r="AE428" s="116"/>
      <c r="AF428" s="116"/>
      <c r="AG428" s="116"/>
      <c r="AH428" s="116"/>
    </row>
    <row r="429" spans="1:34" hidden="1">
      <c r="A429" s="122"/>
      <c r="B429" s="122"/>
      <c r="C429" s="62"/>
      <c r="D429" s="72"/>
      <c r="E429" s="136"/>
      <c r="F429" s="136"/>
      <c r="G429" s="211"/>
      <c r="H429" s="136"/>
      <c r="I429" s="211"/>
      <c r="J429" s="211"/>
      <c r="K429" s="211"/>
      <c r="L429" s="136"/>
      <c r="M429" s="136"/>
      <c r="N429" s="136"/>
      <c r="O429" s="212"/>
      <c r="P429" s="116"/>
      <c r="R429" s="122"/>
      <c r="S429" s="122"/>
      <c r="T429" s="122"/>
      <c r="U429" s="62"/>
      <c r="V429" s="69"/>
      <c r="W429" s="116"/>
      <c r="X429" s="116"/>
      <c r="Y429" s="116"/>
      <c r="Z429" s="116"/>
      <c r="AA429" s="116"/>
      <c r="AB429" s="116"/>
      <c r="AC429" s="116"/>
      <c r="AD429" s="116"/>
      <c r="AE429" s="116"/>
      <c r="AF429" s="116"/>
      <c r="AG429" s="116"/>
      <c r="AH429" s="116"/>
    </row>
    <row r="430" spans="1:34" hidden="1">
      <c r="A430" s="122"/>
      <c r="B430" s="122"/>
      <c r="C430" s="62"/>
      <c r="D430" s="72"/>
      <c r="E430" s="136"/>
      <c r="F430" s="136"/>
      <c r="G430" s="211"/>
      <c r="H430" s="136"/>
      <c r="I430" s="211"/>
      <c r="J430" s="211"/>
      <c r="K430" s="211"/>
      <c r="L430" s="136"/>
      <c r="M430" s="136"/>
      <c r="N430" s="136"/>
      <c r="O430" s="212"/>
      <c r="P430" s="116"/>
      <c r="R430" s="122"/>
      <c r="S430" s="122"/>
      <c r="T430" s="122"/>
      <c r="U430" s="62"/>
      <c r="V430" s="69"/>
      <c r="W430" s="116"/>
      <c r="X430" s="116"/>
      <c r="Y430" s="116"/>
      <c r="Z430" s="116"/>
      <c r="AA430" s="116"/>
      <c r="AB430" s="116"/>
      <c r="AC430" s="116"/>
      <c r="AD430" s="116"/>
      <c r="AE430" s="116"/>
      <c r="AF430" s="116"/>
      <c r="AG430" s="116"/>
      <c r="AH430" s="116"/>
    </row>
    <row r="431" spans="1:34" hidden="1">
      <c r="A431" s="122"/>
      <c r="B431" s="122"/>
      <c r="C431" s="62"/>
      <c r="D431" s="72"/>
      <c r="E431" s="136"/>
      <c r="F431" s="136"/>
      <c r="G431" s="211"/>
      <c r="H431" s="136"/>
      <c r="I431" s="211"/>
      <c r="J431" s="211"/>
      <c r="K431" s="211"/>
      <c r="L431" s="136"/>
      <c r="M431" s="136"/>
      <c r="N431" s="136"/>
      <c r="O431" s="212"/>
      <c r="P431" s="116"/>
      <c r="R431" s="122"/>
      <c r="S431" s="122"/>
      <c r="T431" s="122"/>
      <c r="U431" s="62"/>
      <c r="V431" s="69"/>
      <c r="W431" s="116"/>
      <c r="X431" s="116"/>
      <c r="Y431" s="116"/>
      <c r="Z431" s="116"/>
      <c r="AA431" s="116"/>
      <c r="AB431" s="116"/>
      <c r="AC431" s="116"/>
      <c r="AD431" s="116"/>
      <c r="AE431" s="116"/>
      <c r="AF431" s="116"/>
      <c r="AG431" s="116"/>
      <c r="AH431" s="116"/>
    </row>
    <row r="432" spans="1:34" hidden="1">
      <c r="A432" s="122"/>
      <c r="B432" s="122"/>
      <c r="C432" s="62"/>
      <c r="D432" s="72"/>
      <c r="E432" s="136"/>
      <c r="F432" s="136"/>
      <c r="G432" s="211"/>
      <c r="H432" s="136"/>
      <c r="I432" s="211"/>
      <c r="J432" s="211"/>
      <c r="K432" s="211"/>
      <c r="L432" s="136"/>
      <c r="M432" s="136"/>
      <c r="N432" s="136"/>
      <c r="O432" s="212"/>
      <c r="P432" s="116"/>
      <c r="R432" s="122"/>
      <c r="S432" s="122"/>
      <c r="T432" s="122"/>
      <c r="U432" s="62"/>
      <c r="V432" s="69"/>
      <c r="W432" s="116"/>
      <c r="X432" s="116"/>
      <c r="Y432" s="116"/>
      <c r="Z432" s="116"/>
      <c r="AA432" s="116"/>
      <c r="AB432" s="116"/>
      <c r="AC432" s="116"/>
      <c r="AD432" s="116"/>
      <c r="AE432" s="116"/>
      <c r="AF432" s="116"/>
      <c r="AG432" s="116"/>
      <c r="AH432" s="116"/>
    </row>
    <row r="433" spans="1:34" hidden="1">
      <c r="A433" s="122"/>
      <c r="B433" s="122"/>
      <c r="C433" s="62"/>
      <c r="D433" s="72"/>
      <c r="E433" s="136"/>
      <c r="F433" s="136"/>
      <c r="G433" s="211"/>
      <c r="H433" s="136"/>
      <c r="I433" s="211"/>
      <c r="J433" s="211"/>
      <c r="K433" s="211"/>
      <c r="L433" s="136"/>
      <c r="M433" s="136"/>
      <c r="N433" s="136"/>
      <c r="O433" s="212"/>
      <c r="P433" s="116"/>
      <c r="R433" s="122"/>
      <c r="S433" s="122"/>
      <c r="T433" s="122"/>
      <c r="U433" s="62"/>
      <c r="V433" s="69"/>
      <c r="W433" s="116"/>
      <c r="X433" s="116"/>
      <c r="Y433" s="116"/>
      <c r="Z433" s="116"/>
      <c r="AA433" s="116"/>
      <c r="AB433" s="116"/>
      <c r="AC433" s="116"/>
      <c r="AD433" s="116"/>
      <c r="AE433" s="116"/>
      <c r="AF433" s="116"/>
      <c r="AG433" s="116"/>
      <c r="AH433" s="116"/>
    </row>
    <row r="434" spans="1:34" hidden="1">
      <c r="A434" s="122"/>
      <c r="B434" s="122"/>
      <c r="C434" s="62"/>
      <c r="D434" s="72"/>
      <c r="E434" s="136"/>
      <c r="F434" s="136"/>
      <c r="G434" s="211"/>
      <c r="H434" s="136"/>
      <c r="I434" s="211"/>
      <c r="J434" s="211"/>
      <c r="K434" s="211"/>
      <c r="L434" s="136"/>
      <c r="M434" s="136"/>
      <c r="N434" s="136"/>
      <c r="O434" s="212"/>
      <c r="P434" s="116"/>
      <c r="R434" s="122"/>
      <c r="S434" s="122"/>
      <c r="T434" s="122"/>
      <c r="U434" s="62"/>
      <c r="V434" s="69"/>
      <c r="W434" s="116"/>
      <c r="X434" s="116"/>
      <c r="Y434" s="116"/>
      <c r="Z434" s="116"/>
      <c r="AA434" s="116"/>
      <c r="AB434" s="116"/>
      <c r="AC434" s="116"/>
      <c r="AD434" s="116"/>
      <c r="AE434" s="116"/>
      <c r="AF434" s="116"/>
      <c r="AG434" s="116"/>
      <c r="AH434" s="116"/>
    </row>
    <row r="435" spans="1:34" hidden="1">
      <c r="A435" s="122"/>
      <c r="B435" s="122"/>
      <c r="C435" s="62"/>
      <c r="D435" s="72"/>
      <c r="E435" s="136"/>
      <c r="F435" s="136"/>
      <c r="G435" s="211"/>
      <c r="H435" s="136"/>
      <c r="I435" s="211"/>
      <c r="J435" s="211"/>
      <c r="K435" s="211"/>
      <c r="L435" s="136"/>
      <c r="M435" s="136"/>
      <c r="N435" s="136"/>
      <c r="O435" s="212"/>
      <c r="P435" s="116"/>
      <c r="R435" s="122"/>
      <c r="S435" s="122"/>
      <c r="T435" s="122"/>
      <c r="U435" s="62"/>
      <c r="V435" s="69"/>
      <c r="W435" s="116"/>
      <c r="X435" s="116"/>
      <c r="Y435" s="116"/>
      <c r="Z435" s="116"/>
      <c r="AA435" s="116"/>
      <c r="AB435" s="116"/>
      <c r="AC435" s="116"/>
      <c r="AD435" s="116"/>
      <c r="AE435" s="116"/>
      <c r="AF435" s="116"/>
      <c r="AG435" s="116"/>
      <c r="AH435" s="116"/>
    </row>
    <row r="436" spans="1:34" hidden="1">
      <c r="A436" s="122"/>
      <c r="B436" s="122"/>
      <c r="C436" s="62"/>
      <c r="D436" s="72"/>
      <c r="E436" s="136"/>
      <c r="F436" s="136"/>
      <c r="G436" s="211"/>
      <c r="H436" s="136"/>
      <c r="I436" s="211"/>
      <c r="J436" s="211"/>
      <c r="K436" s="211"/>
      <c r="L436" s="136"/>
      <c r="M436" s="136"/>
      <c r="N436" s="136"/>
      <c r="O436" s="212"/>
      <c r="P436" s="116"/>
      <c r="R436" s="122"/>
      <c r="S436" s="122"/>
      <c r="T436" s="122"/>
      <c r="U436" s="62"/>
      <c r="V436" s="69"/>
      <c r="W436" s="116"/>
      <c r="X436" s="116"/>
      <c r="Y436" s="116"/>
      <c r="Z436" s="116"/>
      <c r="AA436" s="116"/>
      <c r="AB436" s="116"/>
      <c r="AC436" s="116"/>
      <c r="AD436" s="116"/>
      <c r="AE436" s="116"/>
      <c r="AF436" s="116"/>
      <c r="AG436" s="116"/>
      <c r="AH436" s="116"/>
    </row>
    <row r="437" spans="1:34" hidden="1">
      <c r="A437" s="122"/>
      <c r="B437" s="122"/>
      <c r="C437" s="62"/>
      <c r="D437" s="72"/>
      <c r="E437" s="136"/>
      <c r="F437" s="136"/>
      <c r="G437" s="211"/>
      <c r="H437" s="136"/>
      <c r="I437" s="211"/>
      <c r="J437" s="211"/>
      <c r="K437" s="211"/>
      <c r="L437" s="136"/>
      <c r="M437" s="136"/>
      <c r="N437" s="136"/>
      <c r="O437" s="212"/>
      <c r="P437" s="116"/>
      <c r="R437" s="122"/>
      <c r="S437" s="122"/>
      <c r="T437" s="122"/>
      <c r="U437" s="62"/>
      <c r="V437" s="69"/>
      <c r="W437" s="116"/>
      <c r="X437" s="116"/>
      <c r="Y437" s="116"/>
      <c r="Z437" s="116"/>
      <c r="AA437" s="116"/>
      <c r="AB437" s="116"/>
      <c r="AC437" s="116"/>
      <c r="AD437" s="116"/>
      <c r="AE437" s="116"/>
      <c r="AF437" s="116"/>
      <c r="AG437" s="116"/>
      <c r="AH437" s="116"/>
    </row>
    <row r="438" spans="1:34" hidden="1">
      <c r="A438" s="122"/>
      <c r="B438" s="122"/>
      <c r="C438" s="62"/>
      <c r="D438" s="72"/>
      <c r="E438" s="136"/>
      <c r="F438" s="136"/>
      <c r="G438" s="211"/>
      <c r="H438" s="136"/>
      <c r="I438" s="211"/>
      <c r="J438" s="211"/>
      <c r="K438" s="211"/>
      <c r="L438" s="136"/>
      <c r="M438" s="136"/>
      <c r="N438" s="136"/>
      <c r="O438" s="212"/>
      <c r="P438" s="116"/>
      <c r="R438" s="122"/>
      <c r="S438" s="122"/>
      <c r="T438" s="122"/>
      <c r="U438" s="62"/>
      <c r="V438" s="69"/>
      <c r="W438" s="116"/>
      <c r="X438" s="116"/>
      <c r="Y438" s="116"/>
      <c r="Z438" s="116"/>
      <c r="AA438" s="116"/>
      <c r="AB438" s="116"/>
      <c r="AC438" s="116"/>
      <c r="AD438" s="116"/>
      <c r="AE438" s="116"/>
      <c r="AF438" s="116"/>
      <c r="AG438" s="116"/>
      <c r="AH438" s="116"/>
    </row>
    <row r="439" spans="1:34" hidden="1">
      <c r="A439" s="122"/>
      <c r="B439" s="122"/>
      <c r="C439" s="62"/>
      <c r="D439" s="72"/>
      <c r="E439" s="136"/>
      <c r="F439" s="136"/>
      <c r="G439" s="211"/>
      <c r="H439" s="136"/>
      <c r="I439" s="211"/>
      <c r="J439" s="211"/>
      <c r="K439" s="211"/>
      <c r="L439" s="136"/>
      <c r="M439" s="136"/>
      <c r="N439" s="136"/>
      <c r="O439" s="212"/>
      <c r="P439" s="116"/>
      <c r="R439" s="122"/>
      <c r="S439" s="122"/>
      <c r="T439" s="122"/>
      <c r="U439" s="62"/>
      <c r="V439" s="69"/>
      <c r="W439" s="116"/>
      <c r="X439" s="116"/>
      <c r="Y439" s="116"/>
      <c r="Z439" s="116"/>
      <c r="AA439" s="116"/>
      <c r="AB439" s="116"/>
      <c r="AC439" s="116"/>
      <c r="AD439" s="116"/>
      <c r="AE439" s="116"/>
      <c r="AF439" s="116"/>
      <c r="AG439" s="116"/>
      <c r="AH439" s="116"/>
    </row>
    <row r="440" spans="1:34" hidden="1">
      <c r="A440" s="122"/>
      <c r="B440" s="122"/>
      <c r="C440" s="62"/>
      <c r="D440" s="72"/>
      <c r="E440" s="136"/>
      <c r="F440" s="136"/>
      <c r="G440" s="211"/>
      <c r="H440" s="136"/>
      <c r="I440" s="211"/>
      <c r="J440" s="211"/>
      <c r="K440" s="211"/>
      <c r="L440" s="136"/>
      <c r="M440" s="136"/>
      <c r="N440" s="136"/>
      <c r="O440" s="212"/>
      <c r="P440" s="116"/>
      <c r="R440" s="122"/>
      <c r="S440" s="122"/>
      <c r="T440" s="122"/>
      <c r="U440" s="62"/>
      <c r="V440" s="69"/>
      <c r="W440" s="116"/>
      <c r="X440" s="116"/>
      <c r="Y440" s="116"/>
      <c r="Z440" s="116"/>
      <c r="AA440" s="116"/>
      <c r="AB440" s="116"/>
      <c r="AC440" s="116"/>
      <c r="AD440" s="116"/>
      <c r="AE440" s="116"/>
      <c r="AF440" s="116"/>
      <c r="AG440" s="116"/>
      <c r="AH440" s="116"/>
    </row>
    <row r="441" spans="1:34" hidden="1">
      <c r="A441" s="122"/>
      <c r="B441" s="122"/>
      <c r="C441" s="62"/>
      <c r="D441" s="72"/>
      <c r="E441" s="136"/>
      <c r="F441" s="136"/>
      <c r="G441" s="211"/>
      <c r="H441" s="136"/>
      <c r="I441" s="211"/>
      <c r="J441" s="211"/>
      <c r="K441" s="211"/>
      <c r="L441" s="136"/>
      <c r="M441" s="136"/>
      <c r="N441" s="136"/>
      <c r="O441" s="212"/>
      <c r="P441" s="116"/>
      <c r="R441" s="122"/>
      <c r="S441" s="122"/>
      <c r="T441" s="122"/>
      <c r="U441" s="62"/>
      <c r="V441" s="69"/>
      <c r="W441" s="116"/>
      <c r="X441" s="116"/>
      <c r="Y441" s="116"/>
      <c r="Z441" s="116"/>
      <c r="AA441" s="116"/>
      <c r="AB441" s="116"/>
      <c r="AC441" s="116"/>
      <c r="AD441" s="116"/>
      <c r="AE441" s="116"/>
      <c r="AF441" s="116"/>
      <c r="AG441" s="116"/>
      <c r="AH441" s="116"/>
    </row>
    <row r="442" spans="1:34" hidden="1">
      <c r="A442" s="122"/>
      <c r="B442" s="122"/>
      <c r="C442" s="62"/>
      <c r="D442" s="72"/>
      <c r="E442" s="136"/>
      <c r="F442" s="136"/>
      <c r="G442" s="211"/>
      <c r="H442" s="136"/>
      <c r="I442" s="211"/>
      <c r="J442" s="211"/>
      <c r="K442" s="211"/>
      <c r="L442" s="136"/>
      <c r="M442" s="136"/>
      <c r="N442" s="136"/>
      <c r="O442" s="212"/>
      <c r="P442" s="116"/>
      <c r="R442" s="122"/>
      <c r="S442" s="122"/>
      <c r="T442" s="122"/>
      <c r="U442" s="62"/>
      <c r="V442" s="69"/>
      <c r="W442" s="116"/>
      <c r="X442" s="116"/>
      <c r="Y442" s="116"/>
      <c r="Z442" s="116"/>
      <c r="AA442" s="116"/>
      <c r="AB442" s="116"/>
      <c r="AC442" s="116"/>
      <c r="AD442" s="116"/>
      <c r="AE442" s="116"/>
      <c r="AF442" s="116"/>
      <c r="AG442" s="116"/>
      <c r="AH442" s="116"/>
    </row>
    <row r="443" spans="1:34" hidden="1">
      <c r="A443" s="122"/>
      <c r="B443" s="122"/>
      <c r="C443" s="62"/>
      <c r="D443" s="72"/>
      <c r="E443" s="136"/>
      <c r="F443" s="136"/>
      <c r="G443" s="211"/>
      <c r="H443" s="136"/>
      <c r="I443" s="211"/>
      <c r="J443" s="211"/>
      <c r="K443" s="211"/>
      <c r="L443" s="136"/>
      <c r="M443" s="136"/>
      <c r="N443" s="136"/>
      <c r="O443" s="212"/>
      <c r="P443" s="116"/>
      <c r="R443" s="122"/>
      <c r="S443" s="122"/>
      <c r="T443" s="122"/>
      <c r="U443" s="62"/>
      <c r="V443" s="69"/>
      <c r="W443" s="116"/>
      <c r="X443" s="116"/>
      <c r="Y443" s="116"/>
      <c r="Z443" s="116"/>
      <c r="AA443" s="116"/>
      <c r="AB443" s="116"/>
      <c r="AC443" s="116"/>
      <c r="AD443" s="116"/>
      <c r="AE443" s="116"/>
      <c r="AF443" s="116"/>
      <c r="AG443" s="116"/>
      <c r="AH443" s="116"/>
    </row>
    <row r="444" spans="1:34" hidden="1">
      <c r="A444" s="122"/>
      <c r="B444" s="122"/>
      <c r="C444" s="62"/>
      <c r="D444" s="72"/>
      <c r="E444" s="136"/>
      <c r="F444" s="136"/>
      <c r="G444" s="211"/>
      <c r="H444" s="136"/>
      <c r="I444" s="211"/>
      <c r="J444" s="211"/>
      <c r="K444" s="211"/>
      <c r="L444" s="136"/>
      <c r="M444" s="136"/>
      <c r="N444" s="136"/>
      <c r="O444" s="212"/>
      <c r="P444" s="116"/>
      <c r="R444" s="122"/>
      <c r="S444" s="122"/>
      <c r="T444" s="122"/>
      <c r="U444" s="62"/>
      <c r="V444" s="69"/>
      <c r="W444" s="116"/>
      <c r="X444" s="116"/>
      <c r="Y444" s="116"/>
      <c r="Z444" s="116"/>
      <c r="AA444" s="116"/>
      <c r="AB444" s="116"/>
      <c r="AC444" s="116"/>
      <c r="AD444" s="116"/>
      <c r="AE444" s="116"/>
      <c r="AF444" s="116"/>
      <c r="AG444" s="116"/>
      <c r="AH444" s="116"/>
    </row>
    <row r="445" spans="1:34" hidden="1">
      <c r="A445" s="122"/>
      <c r="B445" s="122"/>
      <c r="C445" s="62"/>
      <c r="D445" s="72"/>
      <c r="E445" s="136"/>
      <c r="F445" s="136"/>
      <c r="G445" s="211"/>
      <c r="H445" s="136"/>
      <c r="I445" s="211"/>
      <c r="J445" s="211"/>
      <c r="K445" s="211"/>
      <c r="L445" s="136"/>
      <c r="M445" s="136"/>
      <c r="N445" s="136"/>
      <c r="O445" s="212"/>
      <c r="P445" s="116"/>
      <c r="R445" s="122"/>
      <c r="S445" s="122"/>
      <c r="T445" s="122"/>
      <c r="U445" s="62"/>
      <c r="V445" s="69"/>
      <c r="W445" s="116"/>
      <c r="X445" s="116"/>
      <c r="Y445" s="116"/>
      <c r="Z445" s="116"/>
      <c r="AA445" s="116"/>
      <c r="AB445" s="116"/>
      <c r="AC445" s="116"/>
      <c r="AD445" s="116"/>
      <c r="AE445" s="116"/>
      <c r="AF445" s="116"/>
      <c r="AG445" s="116"/>
      <c r="AH445" s="116"/>
    </row>
    <row r="446" spans="1:34" hidden="1">
      <c r="A446" s="122"/>
      <c r="B446" s="122"/>
      <c r="C446" s="62"/>
      <c r="D446" s="72"/>
      <c r="E446" s="136"/>
      <c r="F446" s="136"/>
      <c r="G446" s="211"/>
      <c r="H446" s="136"/>
      <c r="I446" s="211"/>
      <c r="J446" s="211"/>
      <c r="K446" s="211"/>
      <c r="L446" s="136"/>
      <c r="M446" s="136"/>
      <c r="N446" s="136"/>
      <c r="O446" s="212"/>
      <c r="P446" s="116"/>
      <c r="R446" s="122"/>
      <c r="S446" s="122"/>
      <c r="T446" s="122"/>
      <c r="U446" s="62"/>
      <c r="V446" s="69"/>
      <c r="W446" s="116"/>
      <c r="X446" s="116"/>
      <c r="Y446" s="116"/>
      <c r="Z446" s="116"/>
      <c r="AA446" s="116"/>
      <c r="AB446" s="116"/>
      <c r="AC446" s="116"/>
      <c r="AD446" s="116"/>
      <c r="AE446" s="116"/>
      <c r="AF446" s="116"/>
      <c r="AG446" s="116"/>
      <c r="AH446" s="116"/>
    </row>
    <row r="447" spans="1:34" hidden="1">
      <c r="A447" s="122"/>
      <c r="B447" s="122"/>
      <c r="C447" s="62"/>
      <c r="D447" s="72"/>
      <c r="E447" s="136"/>
      <c r="F447" s="136"/>
      <c r="G447" s="211"/>
      <c r="H447" s="136"/>
      <c r="I447" s="211"/>
      <c r="J447" s="211"/>
      <c r="K447" s="211"/>
      <c r="L447" s="136"/>
      <c r="M447" s="136"/>
      <c r="N447" s="136"/>
      <c r="O447" s="212"/>
      <c r="P447" s="116"/>
      <c r="R447" s="122"/>
      <c r="S447" s="122"/>
      <c r="T447" s="122"/>
      <c r="U447" s="62"/>
      <c r="V447" s="69"/>
      <c r="W447" s="116"/>
      <c r="X447" s="116"/>
      <c r="Y447" s="116"/>
      <c r="Z447" s="116"/>
      <c r="AA447" s="116"/>
      <c r="AB447" s="116"/>
      <c r="AC447" s="116"/>
      <c r="AD447" s="116"/>
      <c r="AE447" s="116"/>
      <c r="AF447" s="116"/>
      <c r="AG447" s="116"/>
      <c r="AH447" s="116"/>
    </row>
    <row r="448" spans="1:34" hidden="1">
      <c r="A448" s="122"/>
      <c r="B448" s="122"/>
      <c r="C448" s="62"/>
      <c r="D448" s="72"/>
      <c r="E448" s="136"/>
      <c r="F448" s="136"/>
      <c r="G448" s="211"/>
      <c r="H448" s="136"/>
      <c r="I448" s="211"/>
      <c r="J448" s="211"/>
      <c r="K448" s="211"/>
      <c r="L448" s="136"/>
      <c r="M448" s="136"/>
      <c r="N448" s="136"/>
      <c r="O448" s="212"/>
      <c r="P448" s="116"/>
      <c r="R448" s="122"/>
      <c r="S448" s="122"/>
      <c r="T448" s="122"/>
      <c r="U448" s="62"/>
      <c r="V448" s="69"/>
      <c r="W448" s="116"/>
      <c r="X448" s="116"/>
      <c r="Y448" s="116"/>
      <c r="Z448" s="116"/>
      <c r="AA448" s="116"/>
      <c r="AB448" s="116"/>
      <c r="AC448" s="116"/>
      <c r="AD448" s="116"/>
      <c r="AE448" s="116"/>
      <c r="AF448" s="116"/>
      <c r="AG448" s="116"/>
      <c r="AH448" s="116"/>
    </row>
    <row r="449" spans="1:34" hidden="1">
      <c r="A449" s="122"/>
      <c r="B449" s="122"/>
      <c r="C449" s="62"/>
      <c r="D449" s="72"/>
      <c r="E449" s="136"/>
      <c r="F449" s="136"/>
      <c r="G449" s="211"/>
      <c r="H449" s="136"/>
      <c r="I449" s="211"/>
      <c r="J449" s="211"/>
      <c r="K449" s="211"/>
      <c r="L449" s="136"/>
      <c r="M449" s="136"/>
      <c r="N449" s="136"/>
      <c r="O449" s="212"/>
      <c r="P449" s="116"/>
      <c r="R449" s="110"/>
      <c r="S449" s="110"/>
      <c r="T449" s="110"/>
      <c r="U449" s="62"/>
      <c r="V449" s="69"/>
      <c r="W449" s="116"/>
      <c r="X449" s="116"/>
      <c r="Y449" s="116"/>
      <c r="Z449" s="116"/>
      <c r="AA449" s="116"/>
      <c r="AB449" s="116"/>
      <c r="AC449" s="116"/>
      <c r="AD449" s="116"/>
      <c r="AE449" s="116"/>
      <c r="AF449" s="116"/>
      <c r="AG449" s="116"/>
      <c r="AH449" s="116"/>
    </row>
    <row r="450" spans="1:34" hidden="1">
      <c r="A450" s="122"/>
      <c r="B450" s="122"/>
      <c r="C450" s="62"/>
      <c r="D450" s="72"/>
      <c r="E450" s="136"/>
      <c r="F450" s="136"/>
      <c r="G450" s="211"/>
      <c r="H450" s="136"/>
      <c r="I450" s="211"/>
      <c r="J450" s="211"/>
      <c r="K450" s="211"/>
      <c r="L450" s="136"/>
      <c r="M450" s="136"/>
      <c r="N450" s="136"/>
      <c r="O450" s="212"/>
      <c r="P450" s="116"/>
      <c r="R450" s="110"/>
      <c r="S450" s="110"/>
      <c r="T450" s="110"/>
      <c r="U450" s="62"/>
      <c r="V450" s="69"/>
      <c r="W450" s="116"/>
      <c r="X450" s="116"/>
      <c r="Y450" s="116"/>
      <c r="Z450" s="116"/>
      <c r="AA450" s="116"/>
      <c r="AB450" s="116"/>
      <c r="AC450" s="116"/>
      <c r="AD450" s="116"/>
      <c r="AE450" s="116"/>
      <c r="AF450" s="116"/>
      <c r="AG450" s="116"/>
      <c r="AH450" s="116"/>
    </row>
    <row r="451" spans="1:34" hidden="1">
      <c r="A451" s="122"/>
      <c r="B451" s="122"/>
      <c r="C451" s="62"/>
      <c r="D451" s="72"/>
      <c r="E451" s="136"/>
      <c r="F451" s="136"/>
      <c r="G451" s="211"/>
      <c r="H451" s="136"/>
      <c r="I451" s="211"/>
      <c r="J451" s="211"/>
      <c r="K451" s="211"/>
      <c r="L451" s="136"/>
      <c r="M451" s="136"/>
      <c r="N451" s="136"/>
      <c r="O451" s="212"/>
      <c r="P451" s="116"/>
      <c r="R451" s="110"/>
      <c r="S451" s="110"/>
      <c r="T451" s="110"/>
      <c r="U451" s="62"/>
      <c r="V451" s="69"/>
      <c r="W451" s="116"/>
      <c r="X451" s="116"/>
      <c r="Y451" s="116"/>
      <c r="Z451" s="116"/>
      <c r="AA451" s="116"/>
      <c r="AB451" s="116"/>
      <c r="AC451" s="116"/>
      <c r="AD451" s="116"/>
      <c r="AE451" s="116"/>
      <c r="AF451" s="116"/>
      <c r="AG451" s="116"/>
      <c r="AH451" s="116"/>
    </row>
    <row r="452" spans="1:34" hidden="1">
      <c r="A452" s="122"/>
      <c r="B452" s="122"/>
      <c r="C452" s="62"/>
      <c r="D452" s="72"/>
      <c r="E452" s="136"/>
      <c r="F452" s="136"/>
      <c r="G452" s="211"/>
      <c r="H452" s="136"/>
      <c r="I452" s="211"/>
      <c r="J452" s="211"/>
      <c r="K452" s="211"/>
      <c r="L452" s="136"/>
      <c r="M452" s="136"/>
      <c r="N452" s="136"/>
      <c r="O452" s="212"/>
      <c r="P452" s="116"/>
      <c r="R452" s="110"/>
      <c r="S452" s="110"/>
      <c r="T452" s="110"/>
      <c r="U452" s="62"/>
      <c r="V452" s="69"/>
      <c r="W452" s="116"/>
      <c r="X452" s="116"/>
      <c r="Y452" s="116"/>
      <c r="Z452" s="116"/>
      <c r="AA452" s="116"/>
      <c r="AB452" s="116"/>
      <c r="AC452" s="116"/>
      <c r="AD452" s="116"/>
      <c r="AE452" s="116"/>
      <c r="AF452" s="116"/>
      <c r="AG452" s="116"/>
      <c r="AH452" s="116"/>
    </row>
    <row r="453" spans="1:34" hidden="1">
      <c r="A453" s="122"/>
      <c r="B453" s="122"/>
      <c r="C453" s="62"/>
      <c r="D453" s="72"/>
      <c r="E453" s="136"/>
      <c r="F453" s="136"/>
      <c r="G453" s="211"/>
      <c r="H453" s="136"/>
      <c r="I453" s="211"/>
      <c r="J453" s="211"/>
      <c r="K453" s="211"/>
      <c r="L453" s="136"/>
      <c r="M453" s="136"/>
      <c r="N453" s="136"/>
      <c r="O453" s="212"/>
      <c r="P453" s="116"/>
      <c r="R453" s="110"/>
      <c r="S453" s="110"/>
      <c r="T453" s="110"/>
      <c r="U453" s="62"/>
      <c r="V453" s="69"/>
      <c r="W453" s="116"/>
      <c r="X453" s="116"/>
      <c r="Y453" s="116"/>
      <c r="Z453" s="116"/>
      <c r="AA453" s="116"/>
      <c r="AB453" s="116"/>
      <c r="AC453" s="116"/>
      <c r="AD453" s="116"/>
      <c r="AE453" s="116"/>
      <c r="AF453" s="116"/>
      <c r="AG453" s="116"/>
      <c r="AH453" s="116"/>
    </row>
    <row r="454" spans="1:34" hidden="1">
      <c r="A454" s="122"/>
      <c r="B454" s="122"/>
      <c r="C454" s="62"/>
      <c r="D454" s="72"/>
      <c r="E454" s="136"/>
      <c r="F454" s="136"/>
      <c r="G454" s="211"/>
      <c r="H454" s="136"/>
      <c r="I454" s="211"/>
      <c r="J454" s="211"/>
      <c r="K454" s="211"/>
      <c r="L454" s="136"/>
      <c r="M454" s="136"/>
      <c r="N454" s="136"/>
      <c r="O454" s="212"/>
      <c r="P454" s="116"/>
      <c r="R454" s="110"/>
      <c r="S454" s="110"/>
      <c r="T454" s="110"/>
      <c r="U454" s="62"/>
      <c r="V454" s="69"/>
      <c r="W454" s="116"/>
      <c r="X454" s="116"/>
      <c r="Y454" s="116"/>
      <c r="Z454" s="116"/>
      <c r="AA454" s="116"/>
      <c r="AB454" s="116"/>
      <c r="AC454" s="116"/>
      <c r="AD454" s="116"/>
      <c r="AE454" s="116"/>
      <c r="AF454" s="116"/>
      <c r="AG454" s="116"/>
      <c r="AH454" s="116"/>
    </row>
    <row r="455" spans="1:34" hidden="1">
      <c r="A455" s="122"/>
      <c r="B455" s="122"/>
      <c r="C455" s="62"/>
      <c r="D455" s="72"/>
      <c r="E455" s="136"/>
      <c r="F455" s="136"/>
      <c r="G455" s="211"/>
      <c r="H455" s="136"/>
      <c r="I455" s="211"/>
      <c r="J455" s="211"/>
      <c r="K455" s="211"/>
      <c r="L455" s="136"/>
      <c r="M455" s="136"/>
      <c r="N455" s="136"/>
      <c r="O455" s="212"/>
      <c r="P455" s="116"/>
      <c r="R455" s="110"/>
      <c r="S455" s="110"/>
      <c r="T455" s="110"/>
      <c r="U455" s="62"/>
      <c r="V455" s="69"/>
      <c r="W455" s="116"/>
      <c r="X455" s="116"/>
      <c r="Y455" s="116"/>
      <c r="Z455" s="116"/>
      <c r="AA455" s="116"/>
      <c r="AB455" s="116"/>
      <c r="AC455" s="116"/>
      <c r="AD455" s="116"/>
      <c r="AE455" s="116"/>
      <c r="AF455" s="116"/>
      <c r="AG455" s="116"/>
      <c r="AH455" s="116"/>
    </row>
    <row r="456" spans="1:34" hidden="1">
      <c r="A456" s="122"/>
      <c r="B456" s="122"/>
      <c r="C456" s="62"/>
      <c r="D456" s="72"/>
      <c r="E456" s="136"/>
      <c r="F456" s="136"/>
      <c r="G456" s="211"/>
      <c r="H456" s="136"/>
      <c r="I456" s="211"/>
      <c r="J456" s="211"/>
      <c r="K456" s="211"/>
      <c r="L456" s="136"/>
      <c r="M456" s="136"/>
      <c r="N456" s="136"/>
      <c r="O456" s="212"/>
      <c r="P456" s="116"/>
      <c r="R456" s="110"/>
      <c r="S456" s="110"/>
      <c r="T456" s="110"/>
      <c r="U456" s="62"/>
      <c r="V456" s="69"/>
      <c r="W456" s="116"/>
      <c r="X456" s="116"/>
      <c r="Y456" s="116"/>
      <c r="Z456" s="116"/>
      <c r="AA456" s="116"/>
      <c r="AB456" s="116"/>
      <c r="AC456" s="116"/>
      <c r="AD456" s="116"/>
      <c r="AE456" s="116"/>
      <c r="AF456" s="116"/>
      <c r="AG456" s="116"/>
      <c r="AH456" s="116"/>
    </row>
    <row r="457" spans="1:34" hidden="1">
      <c r="A457" s="122"/>
      <c r="B457" s="122"/>
      <c r="C457" s="62"/>
      <c r="D457" s="72"/>
      <c r="E457" s="136"/>
      <c r="F457" s="136"/>
      <c r="G457" s="211"/>
      <c r="H457" s="136"/>
      <c r="I457" s="211"/>
      <c r="J457" s="211"/>
      <c r="K457" s="211"/>
      <c r="L457" s="136"/>
      <c r="M457" s="136"/>
      <c r="N457" s="136"/>
      <c r="O457" s="212"/>
      <c r="P457" s="116"/>
      <c r="R457" s="110"/>
      <c r="S457" s="110"/>
      <c r="T457" s="110"/>
      <c r="U457" s="62"/>
      <c r="V457" s="69"/>
      <c r="W457" s="116"/>
      <c r="X457" s="116"/>
      <c r="Y457" s="116"/>
      <c r="Z457" s="116"/>
      <c r="AA457" s="116"/>
      <c r="AB457" s="116"/>
      <c r="AC457" s="116"/>
      <c r="AD457" s="116"/>
      <c r="AE457" s="116"/>
      <c r="AF457" s="116"/>
      <c r="AG457" s="116"/>
      <c r="AH457" s="116"/>
    </row>
    <row r="458" spans="1:34" hidden="1">
      <c r="A458" s="122"/>
      <c r="B458" s="122"/>
      <c r="C458" s="62"/>
      <c r="D458" s="72"/>
      <c r="E458" s="136"/>
      <c r="F458" s="136"/>
      <c r="G458" s="211"/>
      <c r="H458" s="136"/>
      <c r="I458" s="211"/>
      <c r="J458" s="211"/>
      <c r="K458" s="211"/>
      <c r="L458" s="136"/>
      <c r="M458" s="136"/>
      <c r="N458" s="136"/>
      <c r="O458" s="212"/>
      <c r="P458" s="116"/>
      <c r="R458" s="110"/>
      <c r="S458" s="110"/>
      <c r="T458" s="110"/>
      <c r="U458" s="62"/>
      <c r="V458" s="69"/>
      <c r="W458" s="116"/>
      <c r="X458" s="116"/>
      <c r="Y458" s="116"/>
      <c r="Z458" s="116"/>
      <c r="AA458" s="116"/>
      <c r="AB458" s="116"/>
      <c r="AC458" s="116"/>
      <c r="AD458" s="116"/>
      <c r="AE458" s="116"/>
      <c r="AF458" s="116"/>
      <c r="AG458" s="116"/>
      <c r="AH458" s="116"/>
    </row>
    <row r="459" spans="1:34" hidden="1">
      <c r="A459" s="122"/>
      <c r="B459" s="122"/>
      <c r="C459" s="62"/>
      <c r="D459" s="72"/>
      <c r="E459" s="136"/>
      <c r="F459" s="136"/>
      <c r="G459" s="211"/>
      <c r="H459" s="136"/>
      <c r="I459" s="211"/>
      <c r="J459" s="211"/>
      <c r="K459" s="211"/>
      <c r="L459" s="136"/>
      <c r="M459" s="136"/>
      <c r="N459" s="136"/>
      <c r="O459" s="212"/>
      <c r="P459" s="116"/>
      <c r="R459" s="110"/>
      <c r="S459" s="110"/>
      <c r="T459" s="110"/>
      <c r="U459" s="62"/>
      <c r="V459" s="69"/>
      <c r="W459" s="116"/>
      <c r="X459" s="116"/>
      <c r="Y459" s="116"/>
      <c r="Z459" s="116"/>
      <c r="AA459" s="116"/>
      <c r="AB459" s="116"/>
      <c r="AC459" s="116"/>
      <c r="AD459" s="116"/>
      <c r="AE459" s="116"/>
      <c r="AF459" s="116"/>
      <c r="AG459" s="116"/>
      <c r="AH459" s="116"/>
    </row>
    <row r="460" spans="1:34" hidden="1">
      <c r="A460" s="122"/>
      <c r="B460" s="122"/>
      <c r="C460" s="62"/>
      <c r="D460" s="72"/>
      <c r="E460" s="136"/>
      <c r="F460" s="136"/>
      <c r="G460" s="211"/>
      <c r="H460" s="136"/>
      <c r="I460" s="211"/>
      <c r="J460" s="211"/>
      <c r="K460" s="211"/>
      <c r="L460" s="136"/>
      <c r="M460" s="136"/>
      <c r="N460" s="136"/>
      <c r="O460" s="212"/>
      <c r="P460" s="116"/>
      <c r="R460" s="110"/>
      <c r="S460" s="110"/>
      <c r="T460" s="110"/>
      <c r="U460" s="62"/>
      <c r="V460" s="69"/>
      <c r="W460" s="116"/>
      <c r="X460" s="116"/>
      <c r="Y460" s="116"/>
      <c r="Z460" s="116"/>
      <c r="AA460" s="116"/>
      <c r="AB460" s="116"/>
      <c r="AC460" s="116"/>
      <c r="AD460" s="116"/>
      <c r="AE460" s="116"/>
      <c r="AF460" s="116"/>
      <c r="AG460" s="116"/>
      <c r="AH460" s="116"/>
    </row>
    <row r="461" spans="1:34" hidden="1">
      <c r="A461" s="122"/>
      <c r="B461" s="122"/>
      <c r="C461" s="62"/>
      <c r="D461" s="72"/>
      <c r="E461" s="136"/>
      <c r="F461" s="136"/>
      <c r="G461" s="211"/>
      <c r="H461" s="136"/>
      <c r="I461" s="211"/>
      <c r="J461" s="211"/>
      <c r="K461" s="211"/>
      <c r="L461" s="136"/>
      <c r="M461" s="136"/>
      <c r="N461" s="136"/>
      <c r="O461" s="212"/>
      <c r="P461" s="116"/>
      <c r="R461" s="110"/>
      <c r="S461" s="110"/>
      <c r="T461" s="110"/>
      <c r="U461" s="62"/>
      <c r="V461" s="69"/>
      <c r="W461" s="116"/>
      <c r="X461" s="116"/>
      <c r="Y461" s="116"/>
      <c r="Z461" s="116"/>
      <c r="AA461" s="116"/>
      <c r="AB461" s="116"/>
      <c r="AC461" s="116"/>
      <c r="AD461" s="116"/>
      <c r="AE461" s="116"/>
      <c r="AF461" s="116"/>
      <c r="AG461" s="116"/>
      <c r="AH461" s="116"/>
    </row>
    <row r="462" spans="1:34" hidden="1">
      <c r="A462" s="122"/>
      <c r="B462" s="122"/>
      <c r="C462" s="62"/>
      <c r="D462" s="72"/>
      <c r="E462" s="136"/>
      <c r="F462" s="136"/>
      <c r="G462" s="211"/>
      <c r="H462" s="136"/>
      <c r="I462" s="211"/>
      <c r="J462" s="211"/>
      <c r="K462" s="211"/>
      <c r="L462" s="136"/>
      <c r="M462" s="136"/>
      <c r="N462" s="136"/>
      <c r="O462" s="212"/>
      <c r="P462" s="116"/>
      <c r="R462" s="110"/>
      <c r="S462" s="110"/>
      <c r="T462" s="110"/>
      <c r="U462" s="62"/>
      <c r="V462" s="69"/>
      <c r="W462" s="116"/>
      <c r="X462" s="116"/>
      <c r="Y462" s="116"/>
      <c r="Z462" s="116"/>
      <c r="AA462" s="116"/>
      <c r="AB462" s="116"/>
      <c r="AC462" s="116"/>
      <c r="AD462" s="116"/>
      <c r="AE462" s="116"/>
      <c r="AF462" s="116"/>
      <c r="AG462" s="116"/>
      <c r="AH462" s="116"/>
    </row>
    <row r="463" spans="1:34" hidden="1">
      <c r="A463" s="122"/>
      <c r="B463" s="122"/>
      <c r="C463" s="62"/>
      <c r="D463" s="72"/>
      <c r="E463" s="136"/>
      <c r="F463" s="136"/>
      <c r="G463" s="211"/>
      <c r="H463" s="136"/>
      <c r="I463" s="211"/>
      <c r="J463" s="211"/>
      <c r="K463" s="211"/>
      <c r="L463" s="136"/>
      <c r="M463" s="136"/>
      <c r="N463" s="136"/>
      <c r="O463" s="212"/>
      <c r="P463" s="116"/>
      <c r="R463" s="110"/>
      <c r="S463" s="110"/>
      <c r="T463" s="110"/>
      <c r="U463" s="62"/>
      <c r="V463" s="69"/>
      <c r="W463" s="116"/>
      <c r="X463" s="116"/>
      <c r="Y463" s="116"/>
      <c r="Z463" s="116"/>
      <c r="AA463" s="116"/>
      <c r="AB463" s="116"/>
      <c r="AC463" s="116"/>
      <c r="AD463" s="116"/>
      <c r="AE463" s="116"/>
      <c r="AF463" s="116"/>
      <c r="AG463" s="116"/>
      <c r="AH463" s="116"/>
    </row>
    <row r="464" spans="1:34" hidden="1">
      <c r="A464" s="122"/>
      <c r="B464" s="122"/>
      <c r="C464" s="62"/>
      <c r="D464" s="72"/>
      <c r="E464" s="136"/>
      <c r="F464" s="136"/>
      <c r="G464" s="211"/>
      <c r="H464" s="136"/>
      <c r="I464" s="211"/>
      <c r="J464" s="211"/>
      <c r="K464" s="211"/>
      <c r="L464" s="136"/>
      <c r="M464" s="136"/>
      <c r="N464" s="136"/>
      <c r="O464" s="212"/>
      <c r="P464" s="116"/>
      <c r="R464" s="110"/>
      <c r="S464" s="110"/>
      <c r="T464" s="110"/>
      <c r="U464" s="62"/>
      <c r="V464" s="69"/>
      <c r="W464" s="116"/>
      <c r="X464" s="116"/>
      <c r="Y464" s="116"/>
      <c r="Z464" s="116"/>
      <c r="AA464" s="116"/>
      <c r="AB464" s="116"/>
      <c r="AC464" s="116"/>
      <c r="AD464" s="116"/>
      <c r="AE464" s="116"/>
      <c r="AF464" s="116"/>
      <c r="AG464" s="116"/>
      <c r="AH464" s="116"/>
    </row>
    <row r="465" spans="1:34" hidden="1">
      <c r="A465" s="122"/>
      <c r="B465" s="122"/>
      <c r="C465" s="62"/>
      <c r="D465" s="72"/>
      <c r="E465" s="136"/>
      <c r="F465" s="136"/>
      <c r="G465" s="211"/>
      <c r="H465" s="136"/>
      <c r="I465" s="211"/>
      <c r="J465" s="211"/>
      <c r="K465" s="211"/>
      <c r="L465" s="136"/>
      <c r="M465" s="136"/>
      <c r="N465" s="136"/>
      <c r="O465" s="212"/>
      <c r="P465" s="116"/>
      <c r="R465" s="110"/>
      <c r="S465" s="110"/>
      <c r="T465" s="110"/>
      <c r="U465" s="62"/>
      <c r="V465" s="69"/>
      <c r="W465" s="116"/>
      <c r="X465" s="116"/>
      <c r="Y465" s="116"/>
      <c r="Z465" s="116"/>
      <c r="AA465" s="116"/>
      <c r="AB465" s="116"/>
      <c r="AC465" s="116"/>
      <c r="AD465" s="116"/>
      <c r="AE465" s="116"/>
      <c r="AF465" s="116"/>
      <c r="AG465" s="116"/>
      <c r="AH465" s="116"/>
    </row>
    <row r="466" spans="1:34" hidden="1">
      <c r="A466" s="122"/>
      <c r="B466" s="122"/>
      <c r="C466" s="62"/>
      <c r="D466" s="72"/>
      <c r="E466" s="136"/>
      <c r="F466" s="136"/>
      <c r="G466" s="211"/>
      <c r="H466" s="136"/>
      <c r="I466" s="211"/>
      <c r="J466" s="211"/>
      <c r="K466" s="211"/>
      <c r="L466" s="136"/>
      <c r="M466" s="136"/>
      <c r="N466" s="136"/>
      <c r="O466" s="212"/>
      <c r="P466" s="116"/>
      <c r="R466" s="110"/>
      <c r="S466" s="110"/>
      <c r="T466" s="110"/>
      <c r="U466" s="62"/>
      <c r="V466" s="69"/>
      <c r="W466" s="116"/>
      <c r="X466" s="116"/>
      <c r="Y466" s="116"/>
      <c r="Z466" s="116"/>
      <c r="AA466" s="116"/>
      <c r="AB466" s="116"/>
      <c r="AC466" s="116"/>
      <c r="AD466" s="116"/>
      <c r="AE466" s="116"/>
      <c r="AF466" s="116"/>
      <c r="AG466" s="116"/>
      <c r="AH466" s="116"/>
    </row>
    <row r="467" spans="1:34" hidden="1">
      <c r="A467" s="122"/>
      <c r="B467" s="122"/>
      <c r="C467" s="62"/>
      <c r="D467" s="72"/>
      <c r="E467" s="136"/>
      <c r="F467" s="136"/>
      <c r="G467" s="211"/>
      <c r="H467" s="136"/>
      <c r="I467" s="211"/>
      <c r="J467" s="211"/>
      <c r="K467" s="211"/>
      <c r="L467" s="136"/>
      <c r="M467" s="136"/>
      <c r="N467" s="136"/>
      <c r="O467" s="212"/>
      <c r="P467" s="116"/>
      <c r="R467" s="110"/>
      <c r="S467" s="110"/>
      <c r="T467" s="110"/>
      <c r="U467" s="62"/>
      <c r="V467" s="69"/>
      <c r="W467" s="116"/>
      <c r="X467" s="116"/>
      <c r="Y467" s="116"/>
      <c r="Z467" s="116"/>
      <c r="AA467" s="116"/>
      <c r="AB467" s="116"/>
      <c r="AC467" s="116"/>
      <c r="AD467" s="116"/>
      <c r="AE467" s="116"/>
      <c r="AF467" s="116"/>
      <c r="AG467" s="116"/>
      <c r="AH467" s="116"/>
    </row>
    <row r="468" spans="1:34" hidden="1">
      <c r="A468" s="122"/>
      <c r="B468" s="122"/>
      <c r="C468" s="62"/>
      <c r="D468" s="72"/>
      <c r="E468" s="136"/>
      <c r="F468" s="136"/>
      <c r="G468" s="211"/>
      <c r="H468" s="136"/>
      <c r="I468" s="211"/>
      <c r="J468" s="211"/>
      <c r="K468" s="211"/>
      <c r="L468" s="136"/>
      <c r="M468" s="136"/>
      <c r="N468" s="136"/>
      <c r="O468" s="212"/>
      <c r="P468" s="116"/>
      <c r="R468" s="110"/>
      <c r="S468" s="110"/>
      <c r="T468" s="110"/>
      <c r="U468" s="62"/>
      <c r="V468" s="69"/>
      <c r="W468" s="116"/>
      <c r="X468" s="116"/>
      <c r="Y468" s="116"/>
      <c r="Z468" s="116"/>
      <c r="AA468" s="116"/>
      <c r="AB468" s="116"/>
      <c r="AC468" s="116"/>
      <c r="AD468" s="116"/>
      <c r="AE468" s="116"/>
      <c r="AF468" s="116"/>
      <c r="AG468" s="116"/>
      <c r="AH468" s="116"/>
    </row>
    <row r="469" spans="1:34" hidden="1">
      <c r="A469" s="122"/>
      <c r="B469" s="122"/>
      <c r="C469" s="62"/>
      <c r="D469" s="72"/>
      <c r="E469" s="136"/>
      <c r="F469" s="136"/>
      <c r="G469" s="211"/>
      <c r="H469" s="136"/>
      <c r="I469" s="211"/>
      <c r="J469" s="211"/>
      <c r="K469" s="211"/>
      <c r="L469" s="136"/>
      <c r="M469" s="136"/>
      <c r="N469" s="136"/>
      <c r="O469" s="212"/>
      <c r="P469" s="116"/>
      <c r="R469" s="110"/>
      <c r="S469" s="110"/>
      <c r="T469" s="110"/>
      <c r="U469" s="62"/>
      <c r="V469" s="69"/>
      <c r="W469" s="116"/>
      <c r="X469" s="116"/>
      <c r="Y469" s="116"/>
      <c r="Z469" s="116"/>
      <c r="AA469" s="116"/>
      <c r="AB469" s="116"/>
      <c r="AC469" s="116"/>
      <c r="AD469" s="116"/>
      <c r="AE469" s="116"/>
      <c r="AF469" s="116"/>
      <c r="AG469" s="116"/>
      <c r="AH469" s="116"/>
    </row>
    <row r="470" spans="1:34" hidden="1">
      <c r="A470" s="122"/>
      <c r="B470" s="122"/>
      <c r="C470" s="62"/>
      <c r="D470" s="72"/>
      <c r="E470" s="136"/>
      <c r="F470" s="136"/>
      <c r="G470" s="211"/>
      <c r="H470" s="136"/>
      <c r="I470" s="211"/>
      <c r="J470" s="211"/>
      <c r="K470" s="211"/>
      <c r="L470" s="136"/>
      <c r="M470" s="136"/>
      <c r="N470" s="136"/>
      <c r="O470" s="212"/>
      <c r="P470" s="116"/>
      <c r="R470" s="110"/>
      <c r="S470" s="110"/>
      <c r="T470" s="110"/>
      <c r="U470" s="62"/>
      <c r="V470" s="69"/>
      <c r="W470" s="116"/>
      <c r="X470" s="116"/>
      <c r="Y470" s="116"/>
      <c r="Z470" s="116"/>
      <c r="AA470" s="116"/>
      <c r="AB470" s="116"/>
      <c r="AC470" s="116"/>
      <c r="AD470" s="116"/>
      <c r="AE470" s="116"/>
      <c r="AF470" s="116"/>
      <c r="AG470" s="116"/>
      <c r="AH470" s="116"/>
    </row>
    <row r="471" spans="1:34" hidden="1">
      <c r="A471" s="122"/>
      <c r="B471" s="122"/>
      <c r="C471" s="62"/>
      <c r="D471" s="72"/>
      <c r="E471" s="136"/>
      <c r="F471" s="136"/>
      <c r="G471" s="211"/>
      <c r="H471" s="136"/>
      <c r="I471" s="211"/>
      <c r="J471" s="211"/>
      <c r="K471" s="211"/>
      <c r="L471" s="136"/>
      <c r="M471" s="136"/>
      <c r="N471" s="136"/>
      <c r="O471" s="212"/>
      <c r="P471" s="116"/>
      <c r="R471" s="110"/>
      <c r="S471" s="110"/>
      <c r="T471" s="110"/>
      <c r="U471" s="62"/>
      <c r="V471" s="69"/>
      <c r="W471" s="116"/>
      <c r="X471" s="116"/>
      <c r="Y471" s="116"/>
      <c r="Z471" s="116"/>
      <c r="AA471" s="116"/>
      <c r="AB471" s="116"/>
      <c r="AC471" s="116"/>
      <c r="AD471" s="116"/>
      <c r="AE471" s="116"/>
      <c r="AF471" s="116"/>
      <c r="AG471" s="116"/>
      <c r="AH471" s="116"/>
    </row>
    <row r="472" spans="1:34" hidden="1">
      <c r="A472" s="122"/>
      <c r="B472" s="122"/>
      <c r="C472" s="62"/>
      <c r="D472" s="72"/>
      <c r="E472" s="136"/>
      <c r="F472" s="136"/>
      <c r="G472" s="211"/>
      <c r="H472" s="136"/>
      <c r="I472" s="211"/>
      <c r="J472" s="211"/>
      <c r="K472" s="211"/>
      <c r="L472" s="136"/>
      <c r="M472" s="136"/>
      <c r="N472" s="136"/>
      <c r="O472" s="212"/>
      <c r="P472" s="116"/>
      <c r="R472" s="110"/>
      <c r="S472" s="110"/>
      <c r="T472" s="110"/>
      <c r="U472" s="62"/>
      <c r="V472" s="69"/>
      <c r="W472" s="116"/>
      <c r="X472" s="116"/>
      <c r="Y472" s="116"/>
      <c r="Z472" s="116"/>
      <c r="AA472" s="116"/>
      <c r="AB472" s="116"/>
      <c r="AC472" s="116"/>
      <c r="AD472" s="116"/>
      <c r="AE472" s="116"/>
      <c r="AF472" s="116"/>
      <c r="AG472" s="116"/>
      <c r="AH472" s="116"/>
    </row>
    <row r="473" spans="1:34" hidden="1">
      <c r="A473" s="122"/>
      <c r="B473" s="122"/>
      <c r="C473" s="62"/>
      <c r="D473" s="72"/>
      <c r="E473" s="136"/>
      <c r="F473" s="136"/>
      <c r="G473" s="211"/>
      <c r="H473" s="136"/>
      <c r="I473" s="211"/>
      <c r="J473" s="211"/>
      <c r="K473" s="211"/>
      <c r="L473" s="136"/>
      <c r="M473" s="136"/>
      <c r="N473" s="136"/>
      <c r="O473" s="212"/>
      <c r="P473" s="116"/>
      <c r="R473" s="110"/>
      <c r="S473" s="110"/>
      <c r="T473" s="110"/>
      <c r="U473" s="62"/>
      <c r="V473" s="69"/>
      <c r="W473" s="116"/>
      <c r="X473" s="116"/>
      <c r="Y473" s="116"/>
      <c r="Z473" s="116"/>
      <c r="AA473" s="116"/>
      <c r="AB473" s="116"/>
      <c r="AC473" s="116"/>
      <c r="AD473" s="116"/>
      <c r="AE473" s="116"/>
      <c r="AF473" s="116"/>
      <c r="AG473" s="116"/>
      <c r="AH473" s="116"/>
    </row>
    <row r="474" spans="1:34" hidden="1">
      <c r="A474" s="122"/>
      <c r="B474" s="122"/>
      <c r="C474" s="62"/>
      <c r="D474" s="72"/>
      <c r="E474" s="136"/>
      <c r="F474" s="136"/>
      <c r="G474" s="211"/>
      <c r="H474" s="136"/>
      <c r="I474" s="211"/>
      <c r="J474" s="211"/>
      <c r="K474" s="211"/>
      <c r="L474" s="136"/>
      <c r="M474" s="136"/>
      <c r="N474" s="136"/>
      <c r="O474" s="212"/>
      <c r="P474" s="116"/>
      <c r="R474" s="110"/>
      <c r="S474" s="110"/>
      <c r="T474" s="110"/>
      <c r="U474" s="62"/>
      <c r="V474" s="69"/>
      <c r="W474" s="116"/>
      <c r="X474" s="116"/>
      <c r="Y474" s="116"/>
      <c r="Z474" s="116"/>
      <c r="AA474" s="116"/>
      <c r="AB474" s="116"/>
      <c r="AC474" s="116"/>
      <c r="AD474" s="116"/>
      <c r="AE474" s="116"/>
      <c r="AF474" s="116"/>
      <c r="AG474" s="116"/>
      <c r="AH474" s="116"/>
    </row>
    <row r="475" spans="1:34" hidden="1">
      <c r="A475" s="122"/>
      <c r="B475" s="122"/>
      <c r="C475" s="62"/>
      <c r="D475" s="72"/>
      <c r="E475" s="136"/>
      <c r="F475" s="136"/>
      <c r="G475" s="211"/>
      <c r="H475" s="136"/>
      <c r="I475" s="211"/>
      <c r="J475" s="211"/>
      <c r="K475" s="211"/>
      <c r="L475" s="136"/>
      <c r="M475" s="136"/>
      <c r="N475" s="136"/>
      <c r="O475" s="212"/>
      <c r="P475" s="116"/>
      <c r="R475" s="110"/>
      <c r="S475" s="110"/>
      <c r="T475" s="110"/>
      <c r="U475" s="62"/>
      <c r="V475" s="69"/>
      <c r="W475" s="116"/>
      <c r="X475" s="116"/>
      <c r="Y475" s="116"/>
      <c r="Z475" s="116"/>
      <c r="AA475" s="116"/>
      <c r="AB475" s="116"/>
      <c r="AC475" s="116"/>
      <c r="AD475" s="116"/>
      <c r="AE475" s="116"/>
      <c r="AF475" s="116"/>
      <c r="AG475" s="116"/>
      <c r="AH475" s="116"/>
    </row>
    <row r="476" spans="1:34" hidden="1">
      <c r="A476" s="122"/>
      <c r="B476" s="122"/>
      <c r="C476" s="62"/>
      <c r="D476" s="72"/>
      <c r="E476" s="136"/>
      <c r="F476" s="136"/>
      <c r="G476" s="211"/>
      <c r="H476" s="136"/>
      <c r="I476" s="211"/>
      <c r="J476" s="211"/>
      <c r="K476" s="211"/>
      <c r="L476" s="136"/>
      <c r="M476" s="136"/>
      <c r="N476" s="136"/>
      <c r="O476" s="212"/>
      <c r="P476" s="116"/>
      <c r="R476" s="110"/>
      <c r="S476" s="110"/>
      <c r="T476" s="110"/>
      <c r="U476" s="62"/>
      <c r="V476" s="69"/>
      <c r="W476" s="116"/>
      <c r="X476" s="116"/>
      <c r="Y476" s="116"/>
      <c r="Z476" s="116"/>
      <c r="AA476" s="116"/>
      <c r="AB476" s="116"/>
      <c r="AC476" s="116"/>
      <c r="AD476" s="116"/>
      <c r="AE476" s="116"/>
      <c r="AF476" s="116"/>
      <c r="AG476" s="116"/>
      <c r="AH476" s="116"/>
    </row>
    <row r="477" spans="1:34" hidden="1">
      <c r="A477" s="122"/>
      <c r="B477" s="122"/>
      <c r="C477" s="62"/>
      <c r="D477" s="72"/>
      <c r="E477" s="136"/>
      <c r="F477" s="136"/>
      <c r="G477" s="211"/>
      <c r="H477" s="136"/>
      <c r="I477" s="211"/>
      <c r="J477" s="211"/>
      <c r="K477" s="211"/>
      <c r="L477" s="136"/>
      <c r="M477" s="136"/>
      <c r="N477" s="136"/>
      <c r="O477" s="212"/>
      <c r="P477" s="116"/>
      <c r="R477" s="110"/>
      <c r="S477" s="110"/>
      <c r="T477" s="110"/>
      <c r="U477" s="62"/>
      <c r="V477" s="69"/>
      <c r="W477" s="116"/>
      <c r="X477" s="116"/>
      <c r="Y477" s="116"/>
      <c r="Z477" s="116"/>
      <c r="AA477" s="116"/>
      <c r="AB477" s="116"/>
      <c r="AC477" s="116"/>
      <c r="AD477" s="116"/>
      <c r="AE477" s="116"/>
      <c r="AF477" s="116"/>
      <c r="AG477" s="116"/>
      <c r="AH477" s="116"/>
    </row>
    <row r="478" spans="1:34" hidden="1">
      <c r="A478" s="122"/>
      <c r="B478" s="122"/>
      <c r="C478" s="62"/>
      <c r="D478" s="72"/>
      <c r="E478" s="136"/>
      <c r="F478" s="136"/>
      <c r="G478" s="211"/>
      <c r="H478" s="136"/>
      <c r="I478" s="211"/>
      <c r="J478" s="211"/>
      <c r="K478" s="211"/>
      <c r="L478" s="136"/>
      <c r="M478" s="136"/>
      <c r="N478" s="136"/>
      <c r="O478" s="212"/>
      <c r="P478" s="116"/>
      <c r="R478" s="110"/>
      <c r="S478" s="110"/>
      <c r="T478" s="110"/>
      <c r="U478" s="62"/>
      <c r="V478" s="69"/>
      <c r="W478" s="116"/>
      <c r="X478" s="116"/>
      <c r="Y478" s="116"/>
      <c r="Z478" s="116"/>
      <c r="AA478" s="116"/>
      <c r="AB478" s="116"/>
      <c r="AC478" s="116"/>
      <c r="AD478" s="116"/>
      <c r="AE478" s="116"/>
      <c r="AF478" s="116"/>
      <c r="AG478" s="116"/>
      <c r="AH478" s="116"/>
    </row>
    <row r="479" spans="1:34" hidden="1">
      <c r="A479" s="122"/>
      <c r="B479" s="122"/>
      <c r="C479" s="62"/>
      <c r="D479" s="72"/>
      <c r="E479" s="136"/>
      <c r="F479" s="136"/>
      <c r="G479" s="211"/>
      <c r="H479" s="136"/>
      <c r="I479" s="211"/>
      <c r="J479" s="211"/>
      <c r="K479" s="211"/>
      <c r="L479" s="136"/>
      <c r="M479" s="136"/>
      <c r="N479" s="136"/>
      <c r="O479" s="212"/>
      <c r="P479" s="116"/>
      <c r="R479" s="110"/>
      <c r="S479" s="110"/>
      <c r="T479" s="110"/>
      <c r="U479" s="62"/>
      <c r="V479" s="69"/>
      <c r="W479" s="116"/>
      <c r="X479" s="116"/>
      <c r="Y479" s="116"/>
      <c r="Z479" s="116"/>
      <c r="AA479" s="116"/>
      <c r="AB479" s="116"/>
      <c r="AC479" s="116"/>
      <c r="AD479" s="116"/>
      <c r="AE479" s="116"/>
      <c r="AF479" s="116"/>
      <c r="AG479" s="116"/>
      <c r="AH479" s="116"/>
    </row>
    <row r="480" spans="1:34" hidden="1">
      <c r="A480" s="122"/>
      <c r="B480" s="122"/>
      <c r="C480" s="62"/>
      <c r="D480" s="72"/>
      <c r="E480" s="136"/>
      <c r="F480" s="136"/>
      <c r="G480" s="211"/>
      <c r="H480" s="136"/>
      <c r="I480" s="211"/>
      <c r="J480" s="211"/>
      <c r="K480" s="211"/>
      <c r="L480" s="136"/>
      <c r="M480" s="136"/>
      <c r="N480" s="136"/>
      <c r="O480" s="212"/>
      <c r="P480" s="116"/>
      <c r="R480" s="110"/>
      <c r="S480" s="110"/>
      <c r="T480" s="110"/>
      <c r="U480" s="62"/>
      <c r="V480" s="69"/>
      <c r="W480" s="116"/>
      <c r="X480" s="116"/>
      <c r="Y480" s="116"/>
      <c r="Z480" s="116"/>
      <c r="AA480" s="116"/>
      <c r="AB480" s="116"/>
      <c r="AC480" s="116"/>
      <c r="AD480" s="116"/>
      <c r="AE480" s="116"/>
      <c r="AF480" s="116"/>
      <c r="AG480" s="116"/>
      <c r="AH480" s="116"/>
    </row>
    <row r="481" spans="1:34" hidden="1">
      <c r="A481" s="122"/>
      <c r="B481" s="122"/>
      <c r="C481" s="62"/>
      <c r="D481" s="72"/>
      <c r="E481" s="136"/>
      <c r="F481" s="136"/>
      <c r="G481" s="211"/>
      <c r="H481" s="136"/>
      <c r="I481" s="211"/>
      <c r="J481" s="211"/>
      <c r="K481" s="211"/>
      <c r="L481" s="136"/>
      <c r="M481" s="136"/>
      <c r="N481" s="136"/>
      <c r="O481" s="212"/>
      <c r="P481" s="116"/>
      <c r="R481" s="110"/>
      <c r="S481" s="110"/>
      <c r="T481" s="110"/>
      <c r="U481" s="62"/>
      <c r="V481" s="69"/>
      <c r="W481" s="116"/>
      <c r="X481" s="116"/>
      <c r="Y481" s="116"/>
      <c r="Z481" s="116"/>
      <c r="AA481" s="116"/>
      <c r="AB481" s="116"/>
      <c r="AC481" s="116"/>
      <c r="AD481" s="116"/>
      <c r="AE481" s="116"/>
      <c r="AF481" s="116"/>
      <c r="AG481" s="116"/>
      <c r="AH481" s="116"/>
    </row>
    <row r="482" spans="1:34" hidden="1">
      <c r="A482" s="122"/>
      <c r="B482" s="122"/>
      <c r="C482" s="62"/>
      <c r="D482" s="72"/>
      <c r="E482" s="136"/>
      <c r="F482" s="136"/>
      <c r="G482" s="211"/>
      <c r="H482" s="136"/>
      <c r="I482" s="211"/>
      <c r="J482" s="211"/>
      <c r="K482" s="211"/>
      <c r="L482" s="136"/>
      <c r="M482" s="136"/>
      <c r="N482" s="136"/>
      <c r="O482" s="212"/>
      <c r="P482" s="116"/>
      <c r="R482" s="110"/>
      <c r="S482" s="110"/>
      <c r="T482" s="110"/>
      <c r="U482" s="62"/>
      <c r="V482" s="69"/>
      <c r="W482" s="116"/>
      <c r="X482" s="116"/>
      <c r="Y482" s="116"/>
      <c r="Z482" s="116"/>
      <c r="AA482" s="116"/>
      <c r="AB482" s="116"/>
      <c r="AC482" s="116"/>
      <c r="AD482" s="116"/>
      <c r="AE482" s="116"/>
      <c r="AF482" s="116"/>
      <c r="AG482" s="116"/>
      <c r="AH482" s="116"/>
    </row>
    <row r="483" spans="1:34" hidden="1">
      <c r="A483" s="122"/>
      <c r="B483" s="122"/>
      <c r="C483" s="62"/>
      <c r="D483" s="72"/>
      <c r="E483" s="136"/>
      <c r="F483" s="136"/>
      <c r="G483" s="211"/>
      <c r="H483" s="136"/>
      <c r="I483" s="211"/>
      <c r="J483" s="211"/>
      <c r="K483" s="211"/>
      <c r="L483" s="136"/>
      <c r="M483" s="136"/>
      <c r="N483" s="136"/>
      <c r="O483" s="212"/>
      <c r="P483" s="116"/>
      <c r="R483" s="110"/>
      <c r="S483" s="110"/>
      <c r="T483" s="110"/>
      <c r="U483" s="62"/>
      <c r="V483" s="69"/>
      <c r="W483" s="116"/>
      <c r="X483" s="116"/>
      <c r="Y483" s="116"/>
      <c r="Z483" s="116"/>
      <c r="AA483" s="116"/>
      <c r="AB483" s="116"/>
      <c r="AC483" s="116"/>
      <c r="AD483" s="116"/>
      <c r="AE483" s="116"/>
      <c r="AF483" s="116"/>
      <c r="AG483" s="116"/>
      <c r="AH483" s="116"/>
    </row>
    <row r="484" spans="1:34" hidden="1">
      <c r="A484" s="122"/>
      <c r="B484" s="122"/>
      <c r="C484" s="62"/>
      <c r="D484" s="72"/>
      <c r="E484" s="136"/>
      <c r="F484" s="136"/>
      <c r="G484" s="211"/>
      <c r="H484" s="136"/>
      <c r="I484" s="211"/>
      <c r="J484" s="211"/>
      <c r="K484" s="211"/>
      <c r="L484" s="136"/>
      <c r="M484" s="136"/>
      <c r="N484" s="136"/>
      <c r="O484" s="212"/>
      <c r="P484" s="116"/>
      <c r="R484" s="110"/>
      <c r="S484" s="110"/>
      <c r="T484" s="110"/>
      <c r="U484" s="62"/>
      <c r="V484" s="69"/>
      <c r="W484" s="116"/>
      <c r="X484" s="116"/>
      <c r="Y484" s="116"/>
      <c r="Z484" s="116"/>
      <c r="AA484" s="116"/>
      <c r="AB484" s="116"/>
      <c r="AC484" s="116"/>
      <c r="AD484" s="116"/>
      <c r="AE484" s="116"/>
      <c r="AF484" s="116"/>
      <c r="AG484" s="116"/>
      <c r="AH484" s="116"/>
    </row>
    <row r="485" spans="1:34" hidden="1">
      <c r="A485" s="122"/>
      <c r="B485" s="122"/>
      <c r="C485" s="62"/>
      <c r="D485" s="72"/>
      <c r="E485" s="136"/>
      <c r="F485" s="136"/>
      <c r="G485" s="211"/>
      <c r="H485" s="136"/>
      <c r="I485" s="211"/>
      <c r="J485" s="211"/>
      <c r="K485" s="211"/>
      <c r="L485" s="136"/>
      <c r="M485" s="136"/>
      <c r="N485" s="136"/>
      <c r="O485" s="212"/>
      <c r="P485" s="116"/>
      <c r="R485" s="110"/>
      <c r="S485" s="110"/>
      <c r="T485" s="110"/>
      <c r="U485" s="62"/>
      <c r="V485" s="69"/>
      <c r="W485" s="116"/>
      <c r="X485" s="116"/>
      <c r="Y485" s="116"/>
      <c r="Z485" s="116"/>
      <c r="AA485" s="116"/>
      <c r="AB485" s="116"/>
      <c r="AC485" s="116"/>
      <c r="AD485" s="116"/>
      <c r="AE485" s="116"/>
      <c r="AF485" s="116"/>
      <c r="AG485" s="116"/>
      <c r="AH485" s="116"/>
    </row>
    <row r="486" spans="1:34" hidden="1">
      <c r="A486" s="122"/>
      <c r="B486" s="122"/>
      <c r="C486" s="62"/>
      <c r="D486" s="72"/>
      <c r="E486" s="136"/>
      <c r="F486" s="136"/>
      <c r="G486" s="211"/>
      <c r="H486" s="136"/>
      <c r="I486" s="211"/>
      <c r="J486" s="211"/>
      <c r="K486" s="211"/>
      <c r="L486" s="136"/>
      <c r="M486" s="136"/>
      <c r="N486" s="136"/>
      <c r="O486" s="212"/>
      <c r="P486" s="116"/>
      <c r="R486" s="110"/>
      <c r="S486" s="110"/>
      <c r="T486" s="110"/>
      <c r="U486" s="62"/>
      <c r="V486" s="69"/>
      <c r="W486" s="116"/>
      <c r="X486" s="116"/>
      <c r="Y486" s="116"/>
      <c r="Z486" s="116"/>
      <c r="AA486" s="116"/>
      <c r="AB486" s="116"/>
      <c r="AC486" s="116"/>
      <c r="AD486" s="116"/>
      <c r="AE486" s="116"/>
      <c r="AF486" s="116"/>
      <c r="AG486" s="116"/>
      <c r="AH486" s="116"/>
    </row>
    <row r="487" spans="1:34" hidden="1">
      <c r="A487" s="122"/>
      <c r="B487" s="122"/>
      <c r="C487" s="62"/>
      <c r="D487" s="72"/>
      <c r="E487" s="136"/>
      <c r="F487" s="136"/>
      <c r="G487" s="211"/>
      <c r="H487" s="136"/>
      <c r="I487" s="211"/>
      <c r="J487" s="211"/>
      <c r="K487" s="211"/>
      <c r="L487" s="136"/>
      <c r="M487" s="136"/>
      <c r="N487" s="136"/>
      <c r="O487" s="212"/>
      <c r="P487" s="116"/>
      <c r="R487" s="110"/>
      <c r="S487" s="110"/>
      <c r="T487" s="110"/>
      <c r="U487" s="62"/>
      <c r="V487" s="69"/>
      <c r="W487" s="116"/>
      <c r="X487" s="116"/>
      <c r="Y487" s="116"/>
      <c r="Z487" s="116"/>
      <c r="AA487" s="116"/>
      <c r="AB487" s="116"/>
      <c r="AC487" s="116"/>
      <c r="AD487" s="116"/>
      <c r="AE487" s="116"/>
      <c r="AF487" s="116"/>
      <c r="AG487" s="116"/>
      <c r="AH487" s="116"/>
    </row>
    <row r="488" spans="1:34" hidden="1">
      <c r="A488" s="122"/>
      <c r="B488" s="122"/>
      <c r="C488" s="62"/>
      <c r="D488" s="72"/>
      <c r="E488" s="136"/>
      <c r="F488" s="136"/>
      <c r="G488" s="211"/>
      <c r="H488" s="136"/>
      <c r="I488" s="211"/>
      <c r="J488" s="211"/>
      <c r="K488" s="211"/>
      <c r="L488" s="136"/>
      <c r="M488" s="136"/>
      <c r="N488" s="136"/>
      <c r="O488" s="212"/>
      <c r="P488" s="116"/>
      <c r="R488" s="110"/>
      <c r="S488" s="110"/>
      <c r="T488" s="110"/>
      <c r="U488" s="62"/>
      <c r="V488" s="69"/>
      <c r="W488" s="116"/>
      <c r="X488" s="116"/>
      <c r="Y488" s="116"/>
      <c r="Z488" s="116"/>
      <c r="AA488" s="116"/>
      <c r="AB488" s="116"/>
      <c r="AC488" s="116"/>
      <c r="AD488" s="116"/>
      <c r="AE488" s="116"/>
      <c r="AF488" s="116"/>
      <c r="AG488" s="116"/>
      <c r="AH488" s="116"/>
    </row>
    <row r="489" spans="1:34" hidden="1">
      <c r="A489" s="122"/>
      <c r="B489" s="122"/>
      <c r="C489" s="62"/>
      <c r="D489" s="72"/>
      <c r="E489" s="136"/>
      <c r="F489" s="136"/>
      <c r="G489" s="211"/>
      <c r="H489" s="136"/>
      <c r="I489" s="211"/>
      <c r="J489" s="211"/>
      <c r="K489" s="211"/>
      <c r="L489" s="136"/>
      <c r="M489" s="136"/>
      <c r="N489" s="136"/>
      <c r="O489" s="212"/>
      <c r="P489" s="116"/>
      <c r="R489" s="110"/>
      <c r="S489" s="110"/>
      <c r="T489" s="110"/>
      <c r="U489" s="62"/>
      <c r="V489" s="69"/>
      <c r="W489" s="116"/>
      <c r="X489" s="116"/>
      <c r="Y489" s="116"/>
      <c r="Z489" s="116"/>
      <c r="AA489" s="116"/>
      <c r="AB489" s="116"/>
      <c r="AC489" s="116"/>
      <c r="AD489" s="116"/>
      <c r="AE489" s="116"/>
      <c r="AF489" s="116"/>
      <c r="AG489" s="116"/>
      <c r="AH489" s="116"/>
    </row>
    <row r="490" spans="1:34" hidden="1">
      <c r="A490" s="122"/>
      <c r="B490" s="122"/>
      <c r="C490" s="62"/>
      <c r="D490" s="72"/>
      <c r="E490" s="136"/>
      <c r="F490" s="136"/>
      <c r="G490" s="211"/>
      <c r="H490" s="136"/>
      <c r="I490" s="211"/>
      <c r="J490" s="211"/>
      <c r="K490" s="211"/>
      <c r="L490" s="136"/>
      <c r="M490" s="136"/>
      <c r="N490" s="136"/>
      <c r="O490" s="212"/>
      <c r="P490" s="116"/>
      <c r="R490" s="110"/>
      <c r="S490" s="110"/>
      <c r="T490" s="110"/>
      <c r="U490" s="62"/>
      <c r="V490" s="69"/>
      <c r="W490" s="116"/>
      <c r="X490" s="116"/>
      <c r="Y490" s="116"/>
      <c r="Z490" s="116"/>
      <c r="AA490" s="116"/>
      <c r="AB490" s="116"/>
      <c r="AC490" s="116"/>
      <c r="AD490" s="116"/>
      <c r="AE490" s="116"/>
      <c r="AF490" s="116"/>
      <c r="AG490" s="116"/>
      <c r="AH490" s="116"/>
    </row>
    <row r="491" spans="1:34" hidden="1">
      <c r="A491" s="122"/>
      <c r="B491" s="122"/>
      <c r="C491" s="62"/>
      <c r="D491" s="72"/>
      <c r="E491" s="136"/>
      <c r="F491" s="136"/>
      <c r="G491" s="211"/>
      <c r="H491" s="136"/>
      <c r="I491" s="211"/>
      <c r="J491" s="211"/>
      <c r="K491" s="211"/>
      <c r="L491" s="136"/>
      <c r="M491" s="136"/>
      <c r="N491" s="136"/>
      <c r="O491" s="212"/>
      <c r="P491" s="116"/>
      <c r="R491" s="110"/>
      <c r="S491" s="110"/>
      <c r="T491" s="110"/>
      <c r="U491" s="62"/>
      <c r="V491" s="69"/>
      <c r="W491" s="116"/>
      <c r="X491" s="116"/>
      <c r="Y491" s="116"/>
      <c r="Z491" s="116"/>
      <c r="AA491" s="116"/>
      <c r="AB491" s="116"/>
      <c r="AC491" s="116"/>
      <c r="AD491" s="116"/>
      <c r="AE491" s="116"/>
      <c r="AF491" s="116"/>
      <c r="AG491" s="116"/>
      <c r="AH491" s="116"/>
    </row>
    <row r="492" spans="1:34" hidden="1">
      <c r="A492" s="122"/>
      <c r="B492" s="122"/>
      <c r="C492" s="62"/>
      <c r="D492" s="72"/>
      <c r="E492" s="136"/>
      <c r="F492" s="136"/>
      <c r="G492" s="211"/>
      <c r="H492" s="136"/>
      <c r="I492" s="211"/>
      <c r="J492" s="211"/>
      <c r="K492" s="211"/>
      <c r="L492" s="136"/>
      <c r="M492" s="136"/>
      <c r="N492" s="136"/>
      <c r="O492" s="212"/>
      <c r="P492" s="116"/>
      <c r="R492" s="110"/>
      <c r="S492" s="110"/>
      <c r="T492" s="110"/>
      <c r="U492" s="62"/>
      <c r="V492" s="69"/>
      <c r="W492" s="116"/>
      <c r="X492" s="116"/>
      <c r="Y492" s="116"/>
      <c r="Z492" s="116"/>
      <c r="AA492" s="116"/>
      <c r="AB492" s="116"/>
      <c r="AC492" s="116"/>
      <c r="AD492" s="116"/>
      <c r="AE492" s="116"/>
      <c r="AF492" s="116"/>
      <c r="AG492" s="116"/>
      <c r="AH492" s="116"/>
    </row>
    <row r="493" spans="1:34" hidden="1">
      <c r="A493" s="122"/>
      <c r="B493" s="122"/>
      <c r="C493" s="62"/>
      <c r="D493" s="72"/>
      <c r="E493" s="136"/>
      <c r="F493" s="136"/>
      <c r="G493" s="211"/>
      <c r="H493" s="136"/>
      <c r="I493" s="211"/>
      <c r="J493" s="211"/>
      <c r="K493" s="211"/>
      <c r="L493" s="136"/>
      <c r="M493" s="136"/>
      <c r="N493" s="136"/>
      <c r="O493" s="212"/>
      <c r="P493" s="116"/>
      <c r="R493" s="110"/>
      <c r="S493" s="110"/>
      <c r="T493" s="110"/>
      <c r="U493" s="62"/>
      <c r="V493" s="69"/>
      <c r="W493" s="116"/>
      <c r="X493" s="116"/>
      <c r="Y493" s="116"/>
      <c r="Z493" s="116"/>
      <c r="AA493" s="116"/>
      <c r="AB493" s="116"/>
      <c r="AC493" s="116"/>
      <c r="AD493" s="116"/>
      <c r="AE493" s="116"/>
      <c r="AF493" s="116"/>
      <c r="AG493" s="116"/>
      <c r="AH493" s="116"/>
    </row>
    <row r="494" spans="1:34" hidden="1">
      <c r="A494" s="122"/>
      <c r="B494" s="122"/>
      <c r="C494" s="62"/>
      <c r="D494" s="72"/>
      <c r="E494" s="136"/>
      <c r="F494" s="136"/>
      <c r="G494" s="211"/>
      <c r="H494" s="136"/>
      <c r="I494" s="211"/>
      <c r="J494" s="211"/>
      <c r="K494" s="211"/>
      <c r="L494" s="136"/>
      <c r="M494" s="136"/>
      <c r="N494" s="136"/>
      <c r="O494" s="212"/>
      <c r="P494" s="116"/>
      <c r="R494" s="110"/>
      <c r="S494" s="110"/>
      <c r="T494" s="110"/>
      <c r="U494" s="62"/>
      <c r="V494" s="69"/>
      <c r="W494" s="116"/>
      <c r="X494" s="116"/>
      <c r="Y494" s="116"/>
      <c r="Z494" s="116"/>
      <c r="AA494" s="116"/>
      <c r="AB494" s="116"/>
      <c r="AC494" s="116"/>
      <c r="AD494" s="116"/>
      <c r="AE494" s="116"/>
      <c r="AF494" s="116"/>
      <c r="AG494" s="116"/>
      <c r="AH494" s="116"/>
    </row>
    <row r="495" spans="1:34" hidden="1">
      <c r="A495" s="122"/>
      <c r="B495" s="122"/>
      <c r="C495" s="62"/>
      <c r="D495" s="72"/>
      <c r="E495" s="136"/>
      <c r="F495" s="136"/>
      <c r="G495" s="211"/>
      <c r="H495" s="136"/>
      <c r="I495" s="211"/>
      <c r="J495" s="211"/>
      <c r="K495" s="211"/>
      <c r="L495" s="136"/>
      <c r="M495" s="136"/>
      <c r="N495" s="136"/>
      <c r="O495" s="212"/>
      <c r="P495" s="116"/>
      <c r="R495" s="110"/>
      <c r="S495" s="110"/>
      <c r="T495" s="110"/>
      <c r="U495" s="62"/>
      <c r="V495" s="69"/>
      <c r="W495" s="116"/>
      <c r="X495" s="116"/>
      <c r="Y495" s="116"/>
      <c r="Z495" s="116"/>
      <c r="AA495" s="116"/>
      <c r="AB495" s="116"/>
      <c r="AC495" s="116"/>
      <c r="AD495" s="116"/>
      <c r="AE495" s="116"/>
      <c r="AF495" s="116"/>
      <c r="AG495" s="116"/>
      <c r="AH495" s="116"/>
    </row>
    <row r="496" spans="1:34" hidden="1">
      <c r="A496" s="122"/>
      <c r="B496" s="122"/>
      <c r="C496" s="62"/>
      <c r="D496" s="72"/>
      <c r="E496" s="136"/>
      <c r="F496" s="136"/>
      <c r="G496" s="211"/>
      <c r="H496" s="136"/>
      <c r="I496" s="211"/>
      <c r="J496" s="211"/>
      <c r="K496" s="211"/>
      <c r="L496" s="136"/>
      <c r="M496" s="136"/>
      <c r="N496" s="136"/>
      <c r="O496" s="212"/>
      <c r="P496" s="116"/>
      <c r="R496" s="110"/>
      <c r="S496" s="110"/>
      <c r="T496" s="110"/>
      <c r="U496" s="62"/>
      <c r="V496" s="69"/>
      <c r="W496" s="116"/>
      <c r="X496" s="116"/>
      <c r="Y496" s="116"/>
      <c r="Z496" s="116"/>
      <c r="AA496" s="116"/>
      <c r="AB496" s="116"/>
      <c r="AC496" s="116"/>
      <c r="AD496" s="116"/>
      <c r="AE496" s="116"/>
      <c r="AF496" s="116"/>
      <c r="AG496" s="116"/>
      <c r="AH496" s="116"/>
    </row>
    <row r="497" spans="1:102" hidden="1">
      <c r="A497" s="122"/>
      <c r="B497" s="122"/>
      <c r="C497" s="62"/>
      <c r="D497" s="72"/>
      <c r="E497" s="136"/>
      <c r="F497" s="136"/>
      <c r="G497" s="211"/>
      <c r="H497" s="136"/>
      <c r="I497" s="211"/>
      <c r="J497" s="211"/>
      <c r="K497" s="211"/>
      <c r="L497" s="136"/>
      <c r="M497" s="136"/>
      <c r="N497" s="136"/>
      <c r="O497" s="212"/>
      <c r="P497" s="116"/>
      <c r="R497" s="110"/>
      <c r="S497" s="110"/>
      <c r="T497" s="110"/>
      <c r="U497" s="62"/>
      <c r="V497" s="69"/>
      <c r="W497" s="116"/>
      <c r="X497" s="116"/>
      <c r="Y497" s="116"/>
      <c r="Z497" s="116"/>
      <c r="AA497" s="116"/>
      <c r="AB497" s="116"/>
      <c r="AC497" s="116"/>
      <c r="AD497" s="116"/>
      <c r="AE497" s="116"/>
      <c r="AF497" s="116"/>
      <c r="AG497" s="116"/>
      <c r="AH497" s="116"/>
    </row>
    <row r="498" spans="1:102" hidden="1">
      <c r="A498" s="122"/>
      <c r="B498" s="122"/>
      <c r="C498" s="62"/>
      <c r="D498" s="72"/>
      <c r="E498" s="136"/>
      <c r="F498" s="136"/>
      <c r="G498" s="211"/>
      <c r="H498" s="136"/>
      <c r="I498" s="211"/>
      <c r="J498" s="211"/>
      <c r="K498" s="211"/>
      <c r="L498" s="136"/>
      <c r="M498" s="136"/>
      <c r="N498" s="136"/>
      <c r="O498" s="212"/>
      <c r="P498" s="116"/>
      <c r="R498" s="110"/>
      <c r="S498" s="110"/>
      <c r="T498" s="110"/>
      <c r="U498" s="62"/>
      <c r="V498" s="69"/>
      <c r="W498" s="116"/>
      <c r="X498" s="116"/>
      <c r="Y498" s="116"/>
      <c r="Z498" s="116"/>
      <c r="AA498" s="116"/>
      <c r="AB498" s="116"/>
      <c r="AC498" s="116"/>
      <c r="AD498" s="116"/>
      <c r="AE498" s="116"/>
      <c r="AF498" s="116"/>
      <c r="AG498" s="116"/>
      <c r="AH498" s="116"/>
    </row>
    <row r="499" spans="1:102" hidden="1">
      <c r="A499" s="122"/>
      <c r="B499" s="122"/>
      <c r="C499" s="62"/>
      <c r="D499" s="72"/>
      <c r="E499" s="136"/>
      <c r="F499" s="136"/>
      <c r="G499" s="211"/>
      <c r="H499" s="136"/>
      <c r="I499" s="211"/>
      <c r="J499" s="211"/>
      <c r="K499" s="211"/>
      <c r="L499" s="136"/>
      <c r="M499" s="136"/>
      <c r="N499" s="136"/>
      <c r="O499" s="212"/>
      <c r="P499" s="116"/>
      <c r="R499" s="110"/>
      <c r="S499" s="110"/>
      <c r="T499" s="110"/>
      <c r="U499" s="62"/>
      <c r="V499" s="69"/>
      <c r="W499" s="116"/>
      <c r="X499" s="116"/>
      <c r="Y499" s="116"/>
      <c r="Z499" s="116"/>
      <c r="AA499" s="116"/>
      <c r="AB499" s="116"/>
      <c r="AC499" s="116"/>
      <c r="AD499" s="116"/>
      <c r="AE499" s="116"/>
      <c r="AF499" s="116"/>
      <c r="AG499" s="116"/>
      <c r="AH499" s="116"/>
    </row>
    <row r="500" spans="1:102" hidden="1">
      <c r="A500" s="122"/>
      <c r="B500" s="122"/>
      <c r="C500" s="62"/>
      <c r="D500" s="72"/>
      <c r="E500" s="136"/>
      <c r="F500" s="136"/>
      <c r="G500" s="211"/>
      <c r="H500" s="136"/>
      <c r="I500" s="211"/>
      <c r="J500" s="211"/>
      <c r="K500" s="211"/>
      <c r="L500" s="136"/>
      <c r="M500" s="136"/>
      <c r="N500" s="136"/>
      <c r="O500" s="212"/>
      <c r="P500" s="116"/>
      <c r="R500" s="110"/>
      <c r="S500" s="110"/>
      <c r="T500" s="110"/>
      <c r="U500" s="62"/>
      <c r="V500" s="69"/>
      <c r="W500" s="116"/>
      <c r="X500" s="116"/>
      <c r="Y500" s="116"/>
      <c r="Z500" s="116"/>
      <c r="AA500" s="116"/>
      <c r="AB500" s="116"/>
      <c r="AC500" s="116"/>
      <c r="AD500" s="116"/>
      <c r="AE500" s="116"/>
      <c r="AF500" s="116"/>
      <c r="AG500" s="116"/>
      <c r="AH500" s="116"/>
    </row>
    <row r="501" spans="1:102" hidden="1">
      <c r="A501" s="122"/>
      <c r="B501" s="122"/>
      <c r="C501" s="62"/>
      <c r="D501" s="72"/>
      <c r="E501" s="136"/>
      <c r="F501" s="136"/>
      <c r="G501" s="211"/>
      <c r="H501" s="136"/>
      <c r="I501" s="211"/>
      <c r="J501" s="211"/>
      <c r="K501" s="211"/>
      <c r="L501" s="136"/>
      <c r="M501" s="136"/>
      <c r="N501" s="136"/>
      <c r="O501" s="212"/>
      <c r="P501" s="116"/>
      <c r="R501" s="110"/>
      <c r="S501" s="110"/>
      <c r="T501" s="110"/>
      <c r="U501" s="62"/>
      <c r="V501" s="69"/>
      <c r="W501" s="116"/>
      <c r="X501" s="116"/>
      <c r="Y501" s="116"/>
      <c r="Z501" s="116"/>
      <c r="AA501" s="116"/>
      <c r="AB501" s="116"/>
      <c r="AC501" s="116"/>
      <c r="AD501" s="116"/>
      <c r="AE501" s="116"/>
      <c r="AF501" s="116"/>
      <c r="AG501" s="116"/>
      <c r="AH501" s="116"/>
    </row>
    <row r="502" spans="1:102" hidden="1">
      <c r="A502" s="122"/>
      <c r="B502" s="122"/>
      <c r="C502" s="62"/>
      <c r="D502" s="72"/>
      <c r="E502" s="136"/>
      <c r="F502" s="136"/>
      <c r="G502" s="211"/>
      <c r="H502" s="136"/>
      <c r="I502" s="211"/>
      <c r="J502" s="211"/>
      <c r="K502" s="211"/>
      <c r="L502" s="136"/>
      <c r="M502" s="136"/>
      <c r="N502" s="136"/>
      <c r="O502" s="212"/>
      <c r="P502" s="116"/>
      <c r="R502" s="110"/>
      <c r="S502" s="110"/>
      <c r="T502" s="110"/>
      <c r="U502" s="62"/>
      <c r="V502" s="69"/>
      <c r="W502" s="116"/>
      <c r="X502" s="116"/>
      <c r="Y502" s="116"/>
      <c r="Z502" s="116"/>
      <c r="AA502" s="116"/>
      <c r="AB502" s="116"/>
      <c r="AC502" s="116"/>
      <c r="AD502" s="116"/>
      <c r="AE502" s="116"/>
      <c r="AF502" s="116"/>
      <c r="AG502" s="116"/>
      <c r="AH502" s="116"/>
    </row>
    <row r="503" spans="1:102" hidden="1">
      <c r="A503" s="122"/>
      <c r="B503" s="122"/>
      <c r="C503" s="62"/>
      <c r="D503" s="72"/>
      <c r="E503" s="136"/>
      <c r="F503" s="136"/>
      <c r="G503" s="211"/>
      <c r="H503" s="136"/>
      <c r="I503" s="211"/>
      <c r="J503" s="211"/>
      <c r="K503" s="211"/>
      <c r="L503" s="136"/>
      <c r="M503" s="136"/>
      <c r="N503" s="136"/>
      <c r="O503" s="212"/>
      <c r="P503" s="116"/>
      <c r="R503" s="110"/>
      <c r="S503" s="110"/>
      <c r="T503" s="110"/>
      <c r="U503" s="62"/>
      <c r="V503" s="69"/>
      <c r="W503" s="116"/>
      <c r="X503" s="116"/>
      <c r="Y503" s="116"/>
      <c r="Z503" s="116"/>
      <c r="AA503" s="116"/>
      <c r="AB503" s="116"/>
      <c r="AC503" s="116"/>
      <c r="AD503" s="116"/>
      <c r="AE503" s="116"/>
      <c r="AF503" s="116"/>
      <c r="AG503" s="116"/>
      <c r="AH503" s="116"/>
    </row>
    <row r="504" spans="1:102" hidden="1">
      <c r="A504" s="122"/>
      <c r="B504" s="122"/>
      <c r="C504" s="62"/>
      <c r="D504" s="72"/>
      <c r="E504" s="136"/>
      <c r="F504" s="136"/>
      <c r="G504" s="211"/>
      <c r="H504" s="136"/>
      <c r="I504" s="211"/>
      <c r="J504" s="211"/>
      <c r="K504" s="211"/>
      <c r="L504" s="136"/>
      <c r="M504" s="136"/>
      <c r="N504" s="136"/>
      <c r="O504" s="212"/>
      <c r="P504" s="116"/>
      <c r="R504" s="110"/>
      <c r="S504" s="110"/>
      <c r="T504" s="110"/>
      <c r="U504" s="62"/>
      <c r="V504" s="69"/>
      <c r="W504" s="116"/>
      <c r="X504" s="116"/>
      <c r="Y504" s="116"/>
      <c r="Z504" s="116"/>
      <c r="AA504" s="116"/>
      <c r="AB504" s="116"/>
      <c r="AC504" s="116"/>
      <c r="AD504" s="116"/>
      <c r="AE504" s="116"/>
      <c r="AF504" s="116"/>
      <c r="AG504" s="116"/>
      <c r="AH504" s="116"/>
    </row>
    <row r="505" spans="1:102" hidden="1">
      <c r="A505" s="122"/>
      <c r="B505" s="122"/>
      <c r="C505" s="62"/>
      <c r="D505" s="72"/>
      <c r="E505" s="136"/>
      <c r="F505" s="136"/>
      <c r="G505" s="211"/>
      <c r="H505" s="136"/>
      <c r="I505" s="211"/>
      <c r="J505" s="211"/>
      <c r="K505" s="211"/>
      <c r="L505" s="136"/>
      <c r="M505" s="136"/>
      <c r="N505" s="136"/>
      <c r="O505" s="212"/>
      <c r="P505" s="116"/>
      <c r="R505" s="110"/>
      <c r="S505" s="110"/>
      <c r="T505" s="110"/>
      <c r="U505" s="62"/>
      <c r="V505" s="69"/>
      <c r="W505" s="116"/>
      <c r="X505" s="116"/>
      <c r="Y505" s="116"/>
      <c r="Z505" s="116"/>
      <c r="AA505" s="116"/>
      <c r="AB505" s="116"/>
      <c r="AC505" s="116"/>
      <c r="AD505" s="116"/>
      <c r="AE505" s="116"/>
      <c r="AF505" s="116"/>
      <c r="AG505" s="116"/>
      <c r="AH505" s="116"/>
    </row>
    <row r="506" spans="1:102" hidden="1">
      <c r="A506" s="122"/>
      <c r="B506" s="122"/>
      <c r="C506" s="62"/>
      <c r="D506" s="72"/>
      <c r="E506" s="136"/>
      <c r="F506" s="136"/>
      <c r="G506" s="211"/>
      <c r="H506" s="136"/>
      <c r="I506" s="211"/>
      <c r="J506" s="211"/>
      <c r="K506" s="211"/>
      <c r="L506" s="136"/>
      <c r="M506" s="136"/>
      <c r="N506" s="136"/>
      <c r="O506" s="212"/>
      <c r="P506" s="116"/>
      <c r="R506" s="110"/>
      <c r="S506" s="110"/>
      <c r="T506" s="110"/>
      <c r="U506" s="62"/>
      <c r="V506" s="69"/>
      <c r="W506" s="116"/>
      <c r="X506" s="116"/>
      <c r="Y506" s="116"/>
      <c r="Z506" s="116"/>
      <c r="AA506" s="116"/>
      <c r="AB506" s="116"/>
      <c r="AC506" s="116"/>
      <c r="AD506" s="116"/>
      <c r="AE506" s="116"/>
      <c r="AF506" s="116"/>
      <c r="AG506" s="116"/>
      <c r="AH506" s="116"/>
    </row>
    <row r="507" spans="1:102" hidden="1">
      <c r="A507" s="122"/>
      <c r="B507" s="122"/>
      <c r="C507" s="62"/>
      <c r="D507" s="72"/>
      <c r="E507" s="136"/>
      <c r="F507" s="136"/>
      <c r="G507" s="211"/>
      <c r="H507" s="136"/>
      <c r="I507" s="211"/>
      <c r="J507" s="211"/>
      <c r="K507" s="211"/>
      <c r="L507" s="136"/>
      <c r="M507" s="136"/>
      <c r="N507" s="136"/>
      <c r="O507" s="212"/>
      <c r="P507" s="116"/>
      <c r="R507" s="110"/>
      <c r="S507" s="110"/>
      <c r="T507" s="110"/>
      <c r="U507" s="62"/>
      <c r="V507" s="69"/>
      <c r="W507" s="116"/>
      <c r="X507" s="116"/>
      <c r="Y507" s="116"/>
      <c r="Z507" s="116"/>
      <c r="AA507" s="116"/>
      <c r="AB507" s="116"/>
      <c r="AC507" s="116"/>
      <c r="AD507" s="116"/>
      <c r="AE507" s="116"/>
      <c r="AF507" s="116"/>
      <c r="AG507" s="116"/>
      <c r="AH507" s="116"/>
    </row>
    <row r="508" spans="1:102" hidden="1">
      <c r="A508" s="122"/>
      <c r="B508" s="122"/>
      <c r="C508" s="62"/>
      <c r="D508" s="72"/>
      <c r="E508" s="136"/>
      <c r="F508" s="136"/>
      <c r="G508" s="211"/>
      <c r="H508" s="136"/>
      <c r="I508" s="211"/>
      <c r="J508" s="211"/>
      <c r="K508" s="211"/>
      <c r="L508" s="136"/>
      <c r="M508" s="136"/>
      <c r="N508" s="136"/>
      <c r="O508" s="212"/>
      <c r="P508" s="116"/>
      <c r="R508" s="110"/>
      <c r="S508" s="110"/>
      <c r="T508" s="110"/>
      <c r="U508" s="62"/>
      <c r="V508" s="69"/>
      <c r="W508" s="116"/>
      <c r="X508" s="116"/>
      <c r="Y508" s="116"/>
      <c r="Z508" s="116"/>
      <c r="AA508" s="116"/>
      <c r="AB508" s="116"/>
      <c r="AC508" s="116"/>
      <c r="AD508" s="116"/>
      <c r="AE508" s="116"/>
      <c r="AF508" s="116"/>
      <c r="AG508" s="116"/>
      <c r="AH508" s="116"/>
    </row>
    <row r="509" spans="1:102" hidden="1">
      <c r="A509" s="122"/>
      <c r="B509" s="122"/>
      <c r="C509" s="62"/>
      <c r="D509" s="72"/>
      <c r="E509" s="136"/>
      <c r="F509" s="136"/>
      <c r="G509" s="211"/>
      <c r="H509" s="136"/>
      <c r="I509" s="211"/>
      <c r="J509" s="211"/>
      <c r="K509" s="211"/>
      <c r="L509" s="136"/>
      <c r="M509" s="136"/>
      <c r="N509" s="136"/>
      <c r="O509" s="212"/>
      <c r="P509" s="116"/>
      <c r="R509" s="110"/>
      <c r="S509" s="110"/>
      <c r="T509" s="110"/>
      <c r="U509" s="62"/>
      <c r="V509" s="69"/>
      <c r="W509" s="116"/>
      <c r="X509" s="116"/>
      <c r="Y509" s="116"/>
      <c r="Z509" s="116"/>
      <c r="AA509" s="116"/>
      <c r="AB509" s="116"/>
      <c r="AC509" s="116"/>
      <c r="AD509" s="116"/>
      <c r="AE509" s="116"/>
      <c r="AF509" s="116"/>
      <c r="AG509" s="116"/>
      <c r="AH509" s="116"/>
    </row>
    <row r="510" spans="1:102" s="71" customFormat="1" hidden="1">
      <c r="A510" s="210"/>
      <c r="B510" s="210"/>
      <c r="C510" s="109"/>
      <c r="D510" s="72"/>
      <c r="E510" s="136"/>
      <c r="F510" s="136"/>
      <c r="G510" s="211"/>
      <c r="H510" s="136"/>
      <c r="I510" s="211"/>
      <c r="J510" s="211"/>
      <c r="K510" s="211"/>
      <c r="L510" s="136"/>
      <c r="M510" s="136"/>
      <c r="N510" s="136"/>
      <c r="O510" s="212"/>
      <c r="P510" s="116"/>
      <c r="Q510" s="103"/>
      <c r="R510" s="110"/>
      <c r="S510" s="110"/>
      <c r="T510" s="110"/>
      <c r="U510" s="62"/>
      <c r="V510" s="69"/>
      <c r="W510" s="116"/>
      <c r="X510" s="116"/>
      <c r="Y510" s="116"/>
      <c r="Z510" s="116"/>
      <c r="AA510" s="116"/>
      <c r="AB510" s="116"/>
      <c r="AC510" s="116"/>
      <c r="AD510" s="116"/>
      <c r="AE510" s="116"/>
      <c r="AF510" s="116"/>
      <c r="AG510" s="116"/>
      <c r="AH510" s="116"/>
      <c r="AI510" s="68"/>
      <c r="AJ510" s="68"/>
      <c r="AK510" s="68"/>
      <c r="AL510" s="68"/>
      <c r="AM510" s="68"/>
      <c r="AN510" s="68"/>
      <c r="AO510" s="68"/>
      <c r="AP510" s="68"/>
      <c r="AQ510" s="68"/>
      <c r="AR510" s="68"/>
      <c r="AS510" s="68"/>
      <c r="AT510" s="68"/>
      <c r="AU510" s="68"/>
      <c r="AV510" s="68"/>
      <c r="AW510" s="68"/>
      <c r="AX510" s="68"/>
      <c r="AY510" s="68"/>
      <c r="AZ510" s="68"/>
      <c r="BA510" s="68"/>
      <c r="BB510" s="68"/>
      <c r="BC510" s="68"/>
      <c r="BD510" s="68"/>
      <c r="BE510" s="68"/>
      <c r="BF510" s="68"/>
      <c r="BG510" s="68"/>
      <c r="BH510" s="68"/>
      <c r="BI510" s="68"/>
      <c r="BJ510" s="68"/>
      <c r="BK510" s="68"/>
      <c r="BL510" s="68"/>
      <c r="BM510" s="68"/>
      <c r="BN510" s="68"/>
      <c r="BO510" s="68"/>
      <c r="BP510" s="68"/>
      <c r="BQ510" s="68"/>
      <c r="BR510" s="68"/>
      <c r="BS510" s="68"/>
      <c r="BT510" s="68"/>
      <c r="BU510" s="68"/>
      <c r="BV510" s="68"/>
      <c r="BW510" s="68"/>
      <c r="BX510" s="68"/>
      <c r="BY510" s="68"/>
      <c r="BZ510" s="68"/>
      <c r="CA510" s="68"/>
      <c r="CB510" s="68"/>
      <c r="CC510" s="68"/>
      <c r="CD510" s="68"/>
      <c r="CE510" s="68"/>
      <c r="CF510" s="68"/>
      <c r="CG510" s="68"/>
      <c r="CH510" s="68"/>
      <c r="CI510" s="68"/>
      <c r="CJ510" s="68"/>
      <c r="CK510" s="68"/>
      <c r="CL510" s="68"/>
      <c r="CM510" s="68"/>
      <c r="CN510" s="68"/>
      <c r="CO510" s="68"/>
      <c r="CP510" s="68"/>
      <c r="CQ510" s="68"/>
      <c r="CR510" s="68"/>
      <c r="CS510" s="68"/>
      <c r="CT510" s="68"/>
      <c r="CU510" s="68"/>
      <c r="CV510" s="68"/>
      <c r="CW510" s="68"/>
      <c r="CX510" s="68"/>
    </row>
    <row r="511" spans="1:102" s="71" customFormat="1" hidden="1">
      <c r="A511" s="210"/>
      <c r="B511" s="210"/>
      <c r="C511" s="109"/>
      <c r="D511" s="72"/>
      <c r="E511" s="136"/>
      <c r="F511" s="136"/>
      <c r="G511" s="211"/>
      <c r="H511" s="136"/>
      <c r="I511" s="211"/>
      <c r="J511" s="211"/>
      <c r="K511" s="211"/>
      <c r="L511" s="136"/>
      <c r="M511" s="136"/>
      <c r="N511" s="136"/>
      <c r="O511" s="212"/>
      <c r="P511" s="116"/>
      <c r="Q511" s="103"/>
      <c r="R511" s="110"/>
      <c r="S511" s="110"/>
      <c r="T511" s="110"/>
      <c r="U511" s="62"/>
      <c r="V511" s="69"/>
      <c r="W511" s="116"/>
      <c r="X511" s="116"/>
      <c r="Y511" s="116"/>
      <c r="Z511" s="116"/>
      <c r="AA511" s="116"/>
      <c r="AB511" s="116"/>
      <c r="AC511" s="116"/>
      <c r="AD511" s="116"/>
      <c r="AE511" s="116"/>
      <c r="AF511" s="116"/>
      <c r="AG511" s="116"/>
      <c r="AH511" s="116"/>
      <c r="AI511" s="68"/>
      <c r="AJ511" s="68"/>
      <c r="AK511" s="68"/>
      <c r="AL511" s="68"/>
      <c r="AM511" s="68"/>
      <c r="AN511" s="68"/>
      <c r="AO511" s="68"/>
      <c r="AP511" s="68"/>
      <c r="AQ511" s="68"/>
      <c r="AR511" s="68"/>
      <c r="AS511" s="68"/>
      <c r="AT511" s="68"/>
      <c r="AU511" s="68"/>
      <c r="AV511" s="68"/>
      <c r="AW511" s="68"/>
      <c r="AX511" s="68"/>
      <c r="AY511" s="68"/>
      <c r="AZ511" s="68"/>
      <c r="BA511" s="68"/>
      <c r="BB511" s="68"/>
      <c r="BC511" s="68"/>
      <c r="BD511" s="68"/>
      <c r="BE511" s="68"/>
      <c r="BF511" s="68"/>
      <c r="BG511" s="68"/>
      <c r="BH511" s="68"/>
      <c r="BI511" s="68"/>
      <c r="BJ511" s="68"/>
      <c r="BK511" s="68"/>
      <c r="BL511" s="68"/>
      <c r="BM511" s="68"/>
      <c r="BN511" s="68"/>
      <c r="BO511" s="68"/>
      <c r="BP511" s="68"/>
      <c r="BQ511" s="68"/>
      <c r="BR511" s="68"/>
      <c r="BS511" s="68"/>
      <c r="BT511" s="68"/>
      <c r="BU511" s="68"/>
      <c r="BV511" s="68"/>
      <c r="BW511" s="68"/>
      <c r="BX511" s="68"/>
      <c r="BY511" s="68"/>
      <c r="BZ511" s="68"/>
      <c r="CA511" s="68"/>
      <c r="CB511" s="68"/>
      <c r="CC511" s="68"/>
      <c r="CD511" s="68"/>
      <c r="CE511" s="68"/>
      <c r="CF511" s="68"/>
      <c r="CG511" s="68"/>
      <c r="CH511" s="68"/>
      <c r="CI511" s="68"/>
      <c r="CJ511" s="68"/>
      <c r="CK511" s="68"/>
      <c r="CL511" s="68"/>
      <c r="CM511" s="68"/>
      <c r="CN511" s="68"/>
      <c r="CO511" s="68"/>
      <c r="CP511" s="68"/>
      <c r="CQ511" s="68"/>
      <c r="CR511" s="68"/>
      <c r="CS511" s="68"/>
      <c r="CT511" s="68"/>
      <c r="CU511" s="68"/>
      <c r="CV511" s="68"/>
      <c r="CW511" s="68"/>
      <c r="CX511" s="68"/>
    </row>
    <row r="512" spans="1:102" s="71" customFormat="1" hidden="1">
      <c r="A512" s="210"/>
      <c r="B512" s="210"/>
      <c r="C512" s="109"/>
      <c r="D512" s="72"/>
      <c r="E512" s="136"/>
      <c r="F512" s="136"/>
      <c r="G512" s="211"/>
      <c r="H512" s="136"/>
      <c r="I512" s="211"/>
      <c r="J512" s="211"/>
      <c r="K512" s="211"/>
      <c r="L512" s="136"/>
      <c r="M512" s="136"/>
      <c r="N512" s="136"/>
      <c r="O512" s="212"/>
      <c r="P512" s="116"/>
      <c r="Q512" s="103"/>
      <c r="R512" s="110"/>
      <c r="S512" s="110"/>
      <c r="T512" s="110"/>
      <c r="U512" s="62"/>
      <c r="V512" s="69"/>
      <c r="W512" s="116"/>
      <c r="X512" s="116"/>
      <c r="Y512" s="116"/>
      <c r="Z512" s="116"/>
      <c r="AA512" s="116"/>
      <c r="AB512" s="116"/>
      <c r="AC512" s="116"/>
      <c r="AD512" s="116"/>
      <c r="AE512" s="116"/>
      <c r="AF512" s="116"/>
      <c r="AG512" s="116"/>
      <c r="AH512" s="116"/>
      <c r="AI512" s="68"/>
      <c r="AJ512" s="68"/>
      <c r="AK512" s="68"/>
      <c r="AL512" s="68"/>
      <c r="AM512" s="68"/>
      <c r="AN512" s="68"/>
      <c r="AO512" s="68"/>
      <c r="AP512" s="68"/>
      <c r="AQ512" s="68"/>
      <c r="AR512" s="68"/>
      <c r="AS512" s="68"/>
      <c r="AT512" s="68"/>
      <c r="AU512" s="68"/>
      <c r="AV512" s="68"/>
      <c r="AW512" s="68"/>
      <c r="AX512" s="68"/>
      <c r="AY512" s="68"/>
      <c r="AZ512" s="68"/>
      <c r="BA512" s="68"/>
      <c r="BB512" s="68"/>
      <c r="BC512" s="68"/>
      <c r="BD512" s="68"/>
      <c r="BE512" s="68"/>
      <c r="BF512" s="68"/>
      <c r="BG512" s="68"/>
      <c r="BH512" s="68"/>
      <c r="BI512" s="68"/>
      <c r="BJ512" s="68"/>
      <c r="BK512" s="68"/>
      <c r="BL512" s="68"/>
      <c r="BM512" s="68"/>
      <c r="BN512" s="68"/>
      <c r="BO512" s="68"/>
      <c r="BP512" s="68"/>
      <c r="BQ512" s="68"/>
      <c r="BR512" s="68"/>
      <c r="BS512" s="68"/>
      <c r="BT512" s="68"/>
      <c r="BU512" s="68"/>
      <c r="BV512" s="68"/>
      <c r="BW512" s="68"/>
      <c r="BX512" s="68"/>
      <c r="BY512" s="68"/>
      <c r="BZ512" s="68"/>
      <c r="CA512" s="68"/>
      <c r="CB512" s="68"/>
      <c r="CC512" s="68"/>
      <c r="CD512" s="68"/>
      <c r="CE512" s="68"/>
      <c r="CF512" s="68"/>
      <c r="CG512" s="68"/>
      <c r="CH512" s="68"/>
      <c r="CI512" s="68"/>
      <c r="CJ512" s="68"/>
      <c r="CK512" s="68"/>
      <c r="CL512" s="68"/>
      <c r="CM512" s="68"/>
      <c r="CN512" s="68"/>
      <c r="CO512" s="68"/>
      <c r="CP512" s="68"/>
      <c r="CQ512" s="68"/>
      <c r="CR512" s="68"/>
      <c r="CS512" s="68"/>
      <c r="CT512" s="68"/>
      <c r="CU512" s="68"/>
      <c r="CV512" s="68"/>
      <c r="CW512" s="68"/>
      <c r="CX512" s="68"/>
    </row>
    <row r="513" spans="1:102" s="71" customFormat="1" hidden="1">
      <c r="A513" s="210"/>
      <c r="B513" s="210"/>
      <c r="C513" s="109"/>
      <c r="D513" s="72"/>
      <c r="E513" s="136"/>
      <c r="F513" s="136"/>
      <c r="G513" s="211"/>
      <c r="H513" s="136"/>
      <c r="I513" s="211"/>
      <c r="J513" s="211"/>
      <c r="K513" s="211"/>
      <c r="L513" s="136"/>
      <c r="M513" s="136"/>
      <c r="N513" s="136"/>
      <c r="O513" s="212"/>
      <c r="P513" s="116"/>
      <c r="Q513" s="103"/>
      <c r="R513" s="110"/>
      <c r="S513" s="110"/>
      <c r="T513" s="110"/>
      <c r="U513" s="62"/>
      <c r="V513" s="69"/>
      <c r="W513" s="116"/>
      <c r="X513" s="116"/>
      <c r="Y513" s="116"/>
      <c r="Z513" s="116"/>
      <c r="AA513" s="116"/>
      <c r="AB513" s="116"/>
      <c r="AC513" s="116"/>
      <c r="AD513" s="116"/>
      <c r="AE513" s="116"/>
      <c r="AF513" s="116"/>
      <c r="AG513" s="116"/>
      <c r="AH513" s="116"/>
      <c r="AI513" s="68"/>
      <c r="AJ513" s="68"/>
      <c r="AK513" s="68"/>
      <c r="AL513" s="68"/>
      <c r="AM513" s="68"/>
      <c r="AN513" s="68"/>
      <c r="AO513" s="68"/>
      <c r="AP513" s="68"/>
      <c r="AQ513" s="68"/>
      <c r="AR513" s="68"/>
      <c r="AS513" s="68"/>
      <c r="AT513" s="68"/>
      <c r="AU513" s="68"/>
      <c r="AV513" s="68"/>
      <c r="AW513" s="68"/>
      <c r="AX513" s="68"/>
      <c r="AY513" s="68"/>
      <c r="AZ513" s="68"/>
      <c r="BA513" s="68"/>
      <c r="BB513" s="68"/>
      <c r="BC513" s="68"/>
      <c r="BD513" s="68"/>
      <c r="BE513" s="68"/>
      <c r="BF513" s="68"/>
      <c r="BG513" s="68"/>
      <c r="BH513" s="68"/>
      <c r="BI513" s="68"/>
      <c r="BJ513" s="68"/>
      <c r="BK513" s="68"/>
      <c r="BL513" s="68"/>
      <c r="BM513" s="68"/>
      <c r="BN513" s="68"/>
      <c r="BO513" s="68"/>
      <c r="BP513" s="68"/>
      <c r="BQ513" s="68"/>
      <c r="BR513" s="68"/>
      <c r="BS513" s="68"/>
      <c r="BT513" s="68"/>
      <c r="BU513" s="68"/>
      <c r="BV513" s="68"/>
      <c r="BW513" s="68"/>
      <c r="BX513" s="68"/>
      <c r="BY513" s="68"/>
      <c r="BZ513" s="68"/>
      <c r="CA513" s="68"/>
      <c r="CB513" s="68"/>
      <c r="CC513" s="68"/>
      <c r="CD513" s="68"/>
      <c r="CE513" s="68"/>
      <c r="CF513" s="68"/>
      <c r="CG513" s="68"/>
      <c r="CH513" s="68"/>
      <c r="CI513" s="68"/>
      <c r="CJ513" s="68"/>
      <c r="CK513" s="68"/>
      <c r="CL513" s="68"/>
      <c r="CM513" s="68"/>
      <c r="CN513" s="68"/>
      <c r="CO513" s="68"/>
      <c r="CP513" s="68"/>
      <c r="CQ513" s="68"/>
      <c r="CR513" s="68"/>
      <c r="CS513" s="68"/>
      <c r="CT513" s="68"/>
      <c r="CU513" s="68"/>
      <c r="CV513" s="68"/>
      <c r="CW513" s="68"/>
      <c r="CX513" s="68"/>
    </row>
    <row r="514" spans="1:102" s="71" customFormat="1" hidden="1">
      <c r="A514" s="210"/>
      <c r="B514" s="210"/>
      <c r="C514" s="109"/>
      <c r="D514" s="72"/>
      <c r="E514" s="136"/>
      <c r="F514" s="136"/>
      <c r="G514" s="211"/>
      <c r="H514" s="136"/>
      <c r="I514" s="211"/>
      <c r="J514" s="211"/>
      <c r="K514" s="211"/>
      <c r="L514" s="136"/>
      <c r="M514" s="136"/>
      <c r="N514" s="136"/>
      <c r="O514" s="212"/>
      <c r="P514" s="116"/>
      <c r="Q514" s="103"/>
      <c r="R514" s="110"/>
      <c r="S514" s="110"/>
      <c r="T514" s="110"/>
      <c r="U514" s="62"/>
      <c r="V514" s="69"/>
      <c r="W514" s="116"/>
      <c r="X514" s="116"/>
      <c r="Y514" s="116"/>
      <c r="Z514" s="116"/>
      <c r="AA514" s="116"/>
      <c r="AB514" s="116"/>
      <c r="AC514" s="116"/>
      <c r="AD514" s="116"/>
      <c r="AE514" s="116"/>
      <c r="AF514" s="116"/>
      <c r="AG514" s="116"/>
      <c r="AH514" s="116"/>
      <c r="AI514" s="68"/>
      <c r="AJ514" s="68"/>
      <c r="AK514" s="68"/>
      <c r="AL514" s="68"/>
      <c r="AM514" s="68"/>
      <c r="AN514" s="68"/>
      <c r="AO514" s="68"/>
      <c r="AP514" s="68"/>
      <c r="AQ514" s="68"/>
      <c r="AR514" s="68"/>
      <c r="AS514" s="68"/>
      <c r="AT514" s="68"/>
      <c r="AU514" s="68"/>
      <c r="AV514" s="68"/>
      <c r="AW514" s="68"/>
      <c r="AX514" s="68"/>
      <c r="AY514" s="68"/>
      <c r="AZ514" s="68"/>
      <c r="BA514" s="68"/>
      <c r="BB514" s="68"/>
      <c r="BC514" s="68"/>
      <c r="BD514" s="68"/>
      <c r="BE514" s="68"/>
      <c r="BF514" s="68"/>
      <c r="BG514" s="68"/>
      <c r="BH514" s="68"/>
      <c r="BI514" s="68"/>
      <c r="BJ514" s="68"/>
      <c r="BK514" s="68"/>
      <c r="BL514" s="68"/>
      <c r="BM514" s="68"/>
      <c r="BN514" s="68"/>
      <c r="BO514" s="68"/>
      <c r="BP514" s="68"/>
      <c r="BQ514" s="68"/>
      <c r="BR514" s="68"/>
      <c r="BS514" s="68"/>
      <c r="BT514" s="68"/>
      <c r="BU514" s="68"/>
      <c r="BV514" s="68"/>
      <c r="BW514" s="68"/>
      <c r="BX514" s="68"/>
      <c r="BY514" s="68"/>
      <c r="BZ514" s="68"/>
      <c r="CA514" s="68"/>
      <c r="CB514" s="68"/>
      <c r="CC514" s="68"/>
      <c r="CD514" s="68"/>
      <c r="CE514" s="68"/>
      <c r="CF514" s="68"/>
      <c r="CG514" s="68"/>
      <c r="CH514" s="68"/>
      <c r="CI514" s="68"/>
      <c r="CJ514" s="68"/>
      <c r="CK514" s="68"/>
      <c r="CL514" s="68"/>
      <c r="CM514" s="68"/>
      <c r="CN514" s="68"/>
      <c r="CO514" s="68"/>
      <c r="CP514" s="68"/>
      <c r="CQ514" s="68"/>
      <c r="CR514" s="68"/>
      <c r="CS514" s="68"/>
      <c r="CT514" s="68"/>
      <c r="CU514" s="68"/>
      <c r="CV514" s="68"/>
      <c r="CW514" s="68"/>
      <c r="CX514" s="68"/>
    </row>
    <row r="515" spans="1:102" s="71" customFormat="1" hidden="1">
      <c r="A515" s="210"/>
      <c r="B515" s="210"/>
      <c r="C515" s="109"/>
      <c r="D515" s="72"/>
      <c r="E515" s="136"/>
      <c r="F515" s="136"/>
      <c r="G515" s="211"/>
      <c r="H515" s="136"/>
      <c r="I515" s="211"/>
      <c r="J515" s="211"/>
      <c r="K515" s="211"/>
      <c r="L515" s="136"/>
      <c r="M515" s="136"/>
      <c r="N515" s="136"/>
      <c r="O515" s="212"/>
      <c r="P515" s="116"/>
      <c r="Q515" s="103"/>
      <c r="R515" s="110"/>
      <c r="S515" s="110"/>
      <c r="T515" s="110"/>
      <c r="U515" s="62"/>
      <c r="V515" s="69"/>
      <c r="W515" s="68"/>
      <c r="X515" s="68"/>
      <c r="Y515" s="68"/>
      <c r="Z515" s="68"/>
      <c r="AA515" s="68"/>
      <c r="AB515" s="68"/>
      <c r="AC515" s="68"/>
      <c r="AD515" s="68"/>
      <c r="AE515" s="68"/>
      <c r="AF515" s="68"/>
      <c r="AG515" s="68"/>
      <c r="AH515" s="68"/>
      <c r="AI515" s="68"/>
      <c r="AJ515" s="68"/>
      <c r="AK515" s="68"/>
      <c r="AL515" s="68"/>
      <c r="AM515" s="68"/>
      <c r="AN515" s="68"/>
      <c r="AO515" s="68"/>
      <c r="AP515" s="68"/>
      <c r="AQ515" s="68"/>
      <c r="AR515" s="68"/>
      <c r="AS515" s="68"/>
      <c r="AT515" s="68"/>
      <c r="AU515" s="68"/>
      <c r="AV515" s="68"/>
      <c r="AW515" s="68"/>
      <c r="AX515" s="68"/>
      <c r="AY515" s="68"/>
      <c r="AZ515" s="68"/>
      <c r="BA515" s="68"/>
      <c r="BB515" s="68"/>
      <c r="BC515" s="68"/>
      <c r="BD515" s="68"/>
      <c r="BE515" s="68"/>
      <c r="BF515" s="68"/>
      <c r="BG515" s="68"/>
      <c r="BH515" s="68"/>
      <c r="BI515" s="68"/>
      <c r="BJ515" s="68"/>
      <c r="BK515" s="68"/>
      <c r="BL515" s="68"/>
      <c r="BM515" s="68"/>
      <c r="BN515" s="68"/>
      <c r="BO515" s="68"/>
      <c r="BP515" s="68"/>
      <c r="BQ515" s="68"/>
      <c r="BR515" s="68"/>
      <c r="BS515" s="68"/>
      <c r="BT515" s="68"/>
      <c r="BU515" s="68"/>
      <c r="BV515" s="68"/>
      <c r="BW515" s="68"/>
      <c r="BX515" s="68"/>
      <c r="BY515" s="68"/>
      <c r="BZ515" s="68"/>
      <c r="CA515" s="68"/>
      <c r="CB515" s="68"/>
      <c r="CC515" s="68"/>
      <c r="CD515" s="68"/>
      <c r="CE515" s="68"/>
      <c r="CF515" s="68"/>
      <c r="CG515" s="68"/>
      <c r="CH515" s="68"/>
      <c r="CI515" s="68"/>
      <c r="CJ515" s="68"/>
      <c r="CK515" s="68"/>
      <c r="CL515" s="68"/>
      <c r="CM515" s="68"/>
      <c r="CN515" s="68"/>
      <c r="CO515" s="68"/>
      <c r="CP515" s="68"/>
      <c r="CQ515" s="68"/>
      <c r="CR515" s="68"/>
      <c r="CS515" s="68"/>
      <c r="CT515" s="68"/>
      <c r="CU515" s="68"/>
      <c r="CV515" s="68"/>
      <c r="CW515" s="68"/>
      <c r="CX515" s="68"/>
    </row>
    <row r="516" spans="1:102" s="71" customFormat="1" hidden="1">
      <c r="A516" s="210"/>
      <c r="B516" s="210"/>
      <c r="C516" s="109"/>
      <c r="D516" s="72"/>
      <c r="E516" s="136"/>
      <c r="F516" s="136"/>
      <c r="G516" s="211"/>
      <c r="H516" s="136"/>
      <c r="I516" s="211"/>
      <c r="J516" s="211"/>
      <c r="K516" s="211"/>
      <c r="L516" s="136"/>
      <c r="M516" s="136"/>
      <c r="N516" s="136"/>
      <c r="O516" s="212"/>
      <c r="P516" s="116"/>
      <c r="Q516" s="103"/>
      <c r="R516" s="110"/>
      <c r="S516" s="110"/>
      <c r="T516" s="110"/>
      <c r="U516" s="62"/>
      <c r="V516" s="69"/>
      <c r="W516" s="68"/>
      <c r="X516" s="68"/>
      <c r="Y516" s="68"/>
      <c r="Z516" s="68"/>
      <c r="AA516" s="68"/>
      <c r="AB516" s="68"/>
      <c r="AC516" s="68"/>
      <c r="AD516" s="68"/>
      <c r="AE516" s="68"/>
      <c r="AF516" s="68"/>
      <c r="AG516" s="68"/>
      <c r="AH516" s="68"/>
      <c r="AI516" s="68"/>
      <c r="AJ516" s="68"/>
      <c r="AK516" s="68"/>
      <c r="AL516" s="68"/>
      <c r="AM516" s="68"/>
      <c r="AN516" s="68"/>
      <c r="AO516" s="68"/>
      <c r="AP516" s="68"/>
      <c r="AQ516" s="68"/>
      <c r="AR516" s="68"/>
      <c r="AS516" s="68"/>
      <c r="AT516" s="68"/>
      <c r="AU516" s="68"/>
      <c r="AV516" s="68"/>
      <c r="AW516" s="68"/>
      <c r="AX516" s="68"/>
      <c r="AY516" s="68"/>
      <c r="AZ516" s="68"/>
      <c r="BA516" s="68"/>
      <c r="BB516" s="68"/>
      <c r="BC516" s="68"/>
      <c r="BD516" s="68"/>
      <c r="BE516" s="68"/>
      <c r="BF516" s="68"/>
      <c r="BG516" s="68"/>
      <c r="BH516" s="68"/>
      <c r="BI516" s="68"/>
      <c r="BJ516" s="68"/>
      <c r="BK516" s="68"/>
      <c r="BL516" s="68"/>
      <c r="BM516" s="68"/>
      <c r="BN516" s="68"/>
      <c r="BO516" s="68"/>
      <c r="BP516" s="68"/>
      <c r="BQ516" s="68"/>
      <c r="BR516" s="68"/>
      <c r="BS516" s="68"/>
      <c r="BT516" s="68"/>
      <c r="BU516" s="68"/>
      <c r="BV516" s="68"/>
      <c r="BW516" s="68"/>
      <c r="BX516" s="68"/>
      <c r="BY516" s="68"/>
      <c r="BZ516" s="68"/>
      <c r="CA516" s="68"/>
      <c r="CB516" s="68"/>
      <c r="CC516" s="68"/>
      <c r="CD516" s="68"/>
      <c r="CE516" s="68"/>
      <c r="CF516" s="68"/>
      <c r="CG516" s="68"/>
      <c r="CH516" s="68"/>
      <c r="CI516" s="68"/>
      <c r="CJ516" s="68"/>
      <c r="CK516" s="68"/>
      <c r="CL516" s="68"/>
      <c r="CM516" s="68"/>
      <c r="CN516" s="68"/>
      <c r="CO516" s="68"/>
      <c r="CP516" s="68"/>
      <c r="CQ516" s="68"/>
      <c r="CR516" s="68"/>
      <c r="CS516" s="68"/>
      <c r="CT516" s="68"/>
      <c r="CU516" s="68"/>
      <c r="CV516" s="68"/>
      <c r="CW516" s="68"/>
      <c r="CX516" s="68"/>
    </row>
    <row r="517" spans="1:102" s="71" customFormat="1" hidden="1">
      <c r="A517" s="210"/>
      <c r="B517" s="210"/>
      <c r="C517" s="109"/>
      <c r="D517" s="72"/>
      <c r="E517" s="136"/>
      <c r="F517" s="136"/>
      <c r="G517" s="211"/>
      <c r="H517" s="136"/>
      <c r="I517" s="211"/>
      <c r="J517" s="211"/>
      <c r="K517" s="211"/>
      <c r="L517" s="136"/>
      <c r="M517" s="136"/>
      <c r="N517" s="136"/>
      <c r="O517" s="212"/>
      <c r="P517" s="116"/>
      <c r="Q517" s="103"/>
      <c r="R517" s="110"/>
      <c r="S517" s="110"/>
      <c r="T517" s="110"/>
      <c r="U517" s="62"/>
      <c r="V517" s="69"/>
      <c r="W517" s="68"/>
      <c r="X517" s="68"/>
      <c r="Y517" s="68"/>
      <c r="Z517" s="68"/>
      <c r="AA517" s="68"/>
      <c r="AB517" s="68"/>
      <c r="AC517" s="68"/>
      <c r="AD517" s="68"/>
      <c r="AE517" s="68"/>
      <c r="AF517" s="68"/>
      <c r="AG517" s="68"/>
      <c r="AH517" s="68"/>
      <c r="AI517" s="68"/>
      <c r="AJ517" s="68"/>
      <c r="AK517" s="68"/>
      <c r="AL517" s="68"/>
      <c r="AM517" s="68"/>
      <c r="AN517" s="68"/>
      <c r="AO517" s="68"/>
      <c r="AP517" s="68"/>
      <c r="AQ517" s="68"/>
      <c r="AR517" s="68"/>
      <c r="AS517" s="68"/>
      <c r="AT517" s="68"/>
      <c r="AU517" s="68"/>
      <c r="AV517" s="68"/>
      <c r="AW517" s="68"/>
      <c r="AX517" s="68"/>
      <c r="AY517" s="68"/>
      <c r="AZ517" s="68"/>
      <c r="BA517" s="68"/>
      <c r="BB517" s="68"/>
      <c r="BC517" s="68"/>
      <c r="BD517" s="68"/>
      <c r="BE517" s="68"/>
      <c r="BF517" s="68"/>
      <c r="BG517" s="68"/>
      <c r="BH517" s="68"/>
      <c r="BI517" s="68"/>
      <c r="BJ517" s="68"/>
      <c r="BK517" s="68"/>
      <c r="BL517" s="68"/>
      <c r="BM517" s="68"/>
      <c r="BN517" s="68"/>
      <c r="BO517" s="68"/>
      <c r="BP517" s="68"/>
      <c r="BQ517" s="68"/>
      <c r="BR517" s="68"/>
      <c r="BS517" s="68"/>
      <c r="BT517" s="68"/>
      <c r="BU517" s="68"/>
      <c r="BV517" s="68"/>
      <c r="BW517" s="68"/>
      <c r="BX517" s="68"/>
      <c r="BY517" s="68"/>
      <c r="BZ517" s="68"/>
      <c r="CA517" s="68"/>
      <c r="CB517" s="68"/>
      <c r="CC517" s="68"/>
      <c r="CD517" s="68"/>
      <c r="CE517" s="68"/>
      <c r="CF517" s="68"/>
      <c r="CG517" s="68"/>
      <c r="CH517" s="68"/>
      <c r="CI517" s="68"/>
      <c r="CJ517" s="68"/>
      <c r="CK517" s="68"/>
      <c r="CL517" s="68"/>
      <c r="CM517" s="68"/>
      <c r="CN517" s="68"/>
      <c r="CO517" s="68"/>
      <c r="CP517" s="68"/>
      <c r="CQ517" s="68"/>
      <c r="CR517" s="68"/>
      <c r="CS517" s="68"/>
      <c r="CT517" s="68"/>
      <c r="CU517" s="68"/>
      <c r="CV517" s="68"/>
      <c r="CW517" s="68"/>
      <c r="CX517" s="68"/>
    </row>
    <row r="518" spans="1:102" s="71" customFormat="1" hidden="1">
      <c r="A518" s="210"/>
      <c r="B518" s="210"/>
      <c r="C518" s="109"/>
      <c r="D518" s="72"/>
      <c r="E518" s="136"/>
      <c r="F518" s="136"/>
      <c r="G518" s="211"/>
      <c r="H518" s="136"/>
      <c r="I518" s="211"/>
      <c r="J518" s="211"/>
      <c r="K518" s="211"/>
      <c r="L518" s="136"/>
      <c r="M518" s="136"/>
      <c r="N518" s="136"/>
      <c r="O518" s="212"/>
      <c r="P518" s="116"/>
      <c r="Q518" s="103"/>
      <c r="R518" s="110"/>
      <c r="S518" s="110"/>
      <c r="T518" s="110"/>
      <c r="U518" s="62"/>
      <c r="V518" s="69"/>
      <c r="W518" s="68"/>
      <c r="X518" s="68"/>
      <c r="Y518" s="68"/>
      <c r="Z518" s="68"/>
      <c r="AA518" s="68"/>
      <c r="AB518" s="68"/>
      <c r="AC518" s="68"/>
      <c r="AD518" s="68"/>
      <c r="AE518" s="68"/>
      <c r="AF518" s="68"/>
      <c r="AG518" s="68"/>
      <c r="AH518" s="68"/>
      <c r="AI518" s="68"/>
      <c r="AJ518" s="68"/>
      <c r="AK518" s="68"/>
      <c r="AL518" s="68"/>
      <c r="AM518" s="68"/>
      <c r="AN518" s="68"/>
      <c r="AO518" s="68"/>
      <c r="AP518" s="68"/>
      <c r="AQ518" s="68"/>
      <c r="AR518" s="68"/>
      <c r="AS518" s="68"/>
      <c r="AT518" s="68"/>
      <c r="AU518" s="68"/>
      <c r="AV518" s="68"/>
      <c r="AW518" s="68"/>
      <c r="AX518" s="68"/>
      <c r="AY518" s="68"/>
      <c r="AZ518" s="68"/>
      <c r="BA518" s="68"/>
      <c r="BB518" s="68"/>
      <c r="BC518" s="68"/>
      <c r="BD518" s="68"/>
      <c r="BE518" s="68"/>
      <c r="BF518" s="68"/>
      <c r="BG518" s="68"/>
      <c r="BH518" s="68"/>
      <c r="BI518" s="68"/>
      <c r="BJ518" s="68"/>
      <c r="BK518" s="68"/>
      <c r="BL518" s="68"/>
      <c r="BM518" s="68"/>
      <c r="BN518" s="68"/>
      <c r="BO518" s="68"/>
      <c r="BP518" s="68"/>
      <c r="BQ518" s="68"/>
      <c r="BR518" s="68"/>
      <c r="BS518" s="68"/>
      <c r="BT518" s="68"/>
      <c r="BU518" s="68"/>
      <c r="BV518" s="68"/>
      <c r="BW518" s="68"/>
      <c r="BX518" s="68"/>
      <c r="BY518" s="68"/>
      <c r="BZ518" s="68"/>
      <c r="CA518" s="68"/>
      <c r="CB518" s="68"/>
      <c r="CC518" s="68"/>
      <c r="CD518" s="68"/>
      <c r="CE518" s="68"/>
      <c r="CF518" s="68"/>
      <c r="CG518" s="68"/>
      <c r="CH518" s="68"/>
      <c r="CI518" s="68"/>
      <c r="CJ518" s="68"/>
      <c r="CK518" s="68"/>
      <c r="CL518" s="68"/>
      <c r="CM518" s="68"/>
      <c r="CN518" s="68"/>
      <c r="CO518" s="68"/>
      <c r="CP518" s="68"/>
      <c r="CQ518" s="68"/>
      <c r="CR518" s="68"/>
      <c r="CS518" s="68"/>
      <c r="CT518" s="68"/>
      <c r="CU518" s="68"/>
      <c r="CV518" s="68"/>
      <c r="CW518" s="68"/>
      <c r="CX518" s="68"/>
    </row>
    <row r="519" spans="1:102" s="71" customFormat="1" hidden="1">
      <c r="A519" s="210"/>
      <c r="B519" s="210"/>
      <c r="C519" s="109"/>
      <c r="D519" s="72"/>
      <c r="E519" s="136"/>
      <c r="F519" s="136"/>
      <c r="G519" s="211"/>
      <c r="H519" s="136"/>
      <c r="I519" s="211"/>
      <c r="J519" s="211"/>
      <c r="K519" s="211"/>
      <c r="L519" s="136"/>
      <c r="M519" s="136"/>
      <c r="N519" s="136"/>
      <c r="O519" s="212"/>
      <c r="P519" s="116"/>
      <c r="Q519" s="103"/>
      <c r="R519" s="110"/>
      <c r="S519" s="110"/>
      <c r="T519" s="110"/>
      <c r="U519" s="62"/>
      <c r="V519" s="69"/>
      <c r="W519" s="68"/>
      <c r="X519" s="68"/>
      <c r="Y519" s="68"/>
      <c r="Z519" s="68"/>
      <c r="AA519" s="68"/>
      <c r="AB519" s="68"/>
      <c r="AC519" s="68"/>
      <c r="AD519" s="68"/>
      <c r="AE519" s="68"/>
      <c r="AF519" s="68"/>
      <c r="AG519" s="68"/>
      <c r="AH519" s="68"/>
      <c r="AI519" s="68"/>
      <c r="AJ519" s="68"/>
      <c r="AK519" s="68"/>
      <c r="AL519" s="68"/>
      <c r="AM519" s="68"/>
      <c r="AN519" s="68"/>
      <c r="AO519" s="68"/>
      <c r="AP519" s="68"/>
      <c r="AQ519" s="68"/>
      <c r="AR519" s="68"/>
      <c r="AS519" s="68"/>
      <c r="AT519" s="68"/>
      <c r="AU519" s="68"/>
      <c r="AV519" s="68"/>
      <c r="AW519" s="68"/>
      <c r="AX519" s="68"/>
      <c r="AY519" s="68"/>
      <c r="AZ519" s="68"/>
      <c r="BA519" s="68"/>
      <c r="BB519" s="68"/>
      <c r="BC519" s="68"/>
      <c r="BD519" s="68"/>
      <c r="BE519" s="68"/>
      <c r="BF519" s="68"/>
      <c r="BG519" s="68"/>
      <c r="BH519" s="68"/>
      <c r="BI519" s="68"/>
      <c r="BJ519" s="68"/>
      <c r="BK519" s="68"/>
      <c r="BL519" s="68"/>
      <c r="BM519" s="68"/>
      <c r="BN519" s="68"/>
      <c r="BO519" s="68"/>
      <c r="BP519" s="68"/>
      <c r="BQ519" s="68"/>
      <c r="BR519" s="68"/>
      <c r="BS519" s="68"/>
      <c r="BT519" s="68"/>
      <c r="BU519" s="68"/>
      <c r="BV519" s="68"/>
      <c r="BW519" s="68"/>
      <c r="BX519" s="68"/>
      <c r="BY519" s="68"/>
      <c r="BZ519" s="68"/>
      <c r="CA519" s="68"/>
      <c r="CB519" s="68"/>
      <c r="CC519" s="68"/>
      <c r="CD519" s="68"/>
      <c r="CE519" s="68"/>
      <c r="CF519" s="68"/>
      <c r="CG519" s="68"/>
      <c r="CH519" s="68"/>
      <c r="CI519" s="68"/>
      <c r="CJ519" s="68"/>
      <c r="CK519" s="68"/>
      <c r="CL519" s="68"/>
      <c r="CM519" s="68"/>
      <c r="CN519" s="68"/>
      <c r="CO519" s="68"/>
      <c r="CP519" s="68"/>
      <c r="CQ519" s="68"/>
      <c r="CR519" s="68"/>
      <c r="CS519" s="68"/>
      <c r="CT519" s="68"/>
      <c r="CU519" s="68"/>
      <c r="CV519" s="68"/>
      <c r="CW519" s="68"/>
      <c r="CX519" s="68"/>
    </row>
    <row r="520" spans="1:102" s="71" customFormat="1" hidden="1">
      <c r="A520" s="210"/>
      <c r="B520" s="210"/>
      <c r="C520" s="109"/>
      <c r="D520" s="72"/>
      <c r="E520" s="136"/>
      <c r="F520" s="136"/>
      <c r="G520" s="211"/>
      <c r="H520" s="136"/>
      <c r="I520" s="211"/>
      <c r="J520" s="211"/>
      <c r="K520" s="211"/>
      <c r="L520" s="136"/>
      <c r="M520" s="136"/>
      <c r="N520" s="136"/>
      <c r="O520" s="212"/>
      <c r="P520" s="116"/>
      <c r="Q520" s="103"/>
      <c r="R520" s="103"/>
      <c r="S520" s="103"/>
      <c r="T520" s="103"/>
      <c r="U520" s="68"/>
      <c r="V520" s="69"/>
      <c r="W520" s="68"/>
      <c r="X520" s="68"/>
      <c r="Y520" s="68"/>
      <c r="Z520" s="68"/>
      <c r="AA520" s="68"/>
      <c r="AB520" s="68"/>
      <c r="AC520" s="68"/>
      <c r="AD520" s="68"/>
      <c r="AE520" s="68"/>
      <c r="AF520" s="68"/>
      <c r="AG520" s="68"/>
      <c r="AH520" s="68"/>
      <c r="AI520" s="68"/>
      <c r="AJ520" s="68"/>
      <c r="AK520" s="68"/>
      <c r="AL520" s="68"/>
      <c r="AM520" s="68"/>
      <c r="AN520" s="68"/>
      <c r="AO520" s="68"/>
      <c r="AP520" s="68"/>
      <c r="AQ520" s="68"/>
      <c r="AR520" s="68"/>
      <c r="AS520" s="68"/>
      <c r="AT520" s="68"/>
      <c r="AU520" s="68"/>
      <c r="AV520" s="68"/>
      <c r="AW520" s="68"/>
      <c r="AX520" s="68"/>
      <c r="AY520" s="68"/>
      <c r="AZ520" s="68"/>
      <c r="BA520" s="68"/>
      <c r="BB520" s="68"/>
      <c r="BC520" s="68"/>
      <c r="BD520" s="68"/>
      <c r="BE520" s="68"/>
      <c r="BF520" s="68"/>
      <c r="BG520" s="68"/>
      <c r="BH520" s="68"/>
      <c r="BI520" s="68"/>
      <c r="BJ520" s="68"/>
      <c r="BK520" s="68"/>
      <c r="BL520" s="68"/>
      <c r="BM520" s="68"/>
      <c r="BN520" s="68"/>
      <c r="BO520" s="68"/>
      <c r="BP520" s="68"/>
      <c r="BQ520" s="68"/>
      <c r="BR520" s="68"/>
      <c r="BS520" s="68"/>
      <c r="BT520" s="68"/>
      <c r="BU520" s="68"/>
      <c r="BV520" s="68"/>
      <c r="BW520" s="68"/>
      <c r="BX520" s="68"/>
      <c r="BY520" s="68"/>
      <c r="BZ520" s="68"/>
      <c r="CA520" s="68"/>
      <c r="CB520" s="68"/>
      <c r="CC520" s="68"/>
      <c r="CD520" s="68"/>
      <c r="CE520" s="68"/>
      <c r="CF520" s="68"/>
      <c r="CG520" s="68"/>
      <c r="CH520" s="68"/>
      <c r="CI520" s="68"/>
      <c r="CJ520" s="68"/>
      <c r="CK520" s="68"/>
      <c r="CL520" s="68"/>
      <c r="CM520" s="68"/>
      <c r="CN520" s="68"/>
      <c r="CO520" s="68"/>
      <c r="CP520" s="68"/>
      <c r="CQ520" s="68"/>
      <c r="CR520" s="68"/>
      <c r="CS520" s="68"/>
      <c r="CT520" s="68"/>
      <c r="CU520" s="68"/>
      <c r="CV520" s="68"/>
      <c r="CW520" s="68"/>
      <c r="CX520" s="68"/>
    </row>
    <row r="521" spans="1:102" s="71" customFormat="1" hidden="1">
      <c r="A521" s="210"/>
      <c r="B521" s="210"/>
      <c r="C521" s="109"/>
      <c r="D521" s="72"/>
      <c r="E521" s="136"/>
      <c r="F521" s="136"/>
      <c r="G521" s="211"/>
      <c r="H521" s="136"/>
      <c r="I521" s="211"/>
      <c r="J521" s="211"/>
      <c r="K521" s="211"/>
      <c r="L521" s="136"/>
      <c r="M521" s="136"/>
      <c r="N521" s="136"/>
      <c r="O521" s="212"/>
      <c r="P521" s="116"/>
      <c r="Q521" s="103"/>
      <c r="R521" s="103"/>
      <c r="S521" s="103"/>
      <c r="T521" s="103"/>
      <c r="U521" s="68"/>
      <c r="V521" s="69"/>
      <c r="W521" s="68"/>
      <c r="X521" s="68"/>
      <c r="Y521" s="68"/>
      <c r="Z521" s="68"/>
      <c r="AA521" s="68"/>
      <c r="AB521" s="68"/>
      <c r="AC521" s="68"/>
      <c r="AD521" s="68"/>
      <c r="AE521" s="68"/>
      <c r="AF521" s="68"/>
      <c r="AG521" s="68"/>
      <c r="AH521" s="68"/>
      <c r="AI521" s="68"/>
      <c r="AJ521" s="68"/>
      <c r="AK521" s="68"/>
      <c r="AL521" s="68"/>
      <c r="AM521" s="68"/>
      <c r="AN521" s="68"/>
      <c r="AO521" s="68"/>
      <c r="AP521" s="68"/>
      <c r="AQ521" s="68"/>
      <c r="AR521" s="68"/>
      <c r="AS521" s="68"/>
      <c r="AT521" s="68"/>
      <c r="AU521" s="68"/>
      <c r="AV521" s="68"/>
      <c r="AW521" s="68"/>
      <c r="AX521" s="68"/>
      <c r="AY521" s="68"/>
      <c r="AZ521" s="68"/>
      <c r="BA521" s="68"/>
      <c r="BB521" s="68"/>
      <c r="BC521" s="68"/>
      <c r="BD521" s="68"/>
      <c r="BE521" s="68"/>
      <c r="BF521" s="68"/>
      <c r="BG521" s="68"/>
      <c r="BH521" s="68"/>
      <c r="BI521" s="68"/>
      <c r="BJ521" s="68"/>
      <c r="BK521" s="68"/>
      <c r="BL521" s="68"/>
      <c r="BM521" s="68"/>
      <c r="BN521" s="68"/>
      <c r="BO521" s="68"/>
      <c r="BP521" s="68"/>
      <c r="BQ521" s="68"/>
      <c r="BR521" s="68"/>
      <c r="BS521" s="68"/>
      <c r="BT521" s="68"/>
      <c r="BU521" s="68"/>
      <c r="BV521" s="68"/>
      <c r="BW521" s="68"/>
      <c r="BX521" s="68"/>
      <c r="BY521" s="68"/>
      <c r="BZ521" s="68"/>
      <c r="CA521" s="68"/>
      <c r="CB521" s="68"/>
      <c r="CC521" s="68"/>
      <c r="CD521" s="68"/>
      <c r="CE521" s="68"/>
      <c r="CF521" s="68"/>
      <c r="CG521" s="68"/>
      <c r="CH521" s="68"/>
      <c r="CI521" s="68"/>
      <c r="CJ521" s="68"/>
      <c r="CK521" s="68"/>
      <c r="CL521" s="68"/>
      <c r="CM521" s="68"/>
      <c r="CN521" s="68"/>
      <c r="CO521" s="68"/>
      <c r="CP521" s="68"/>
      <c r="CQ521" s="68"/>
      <c r="CR521" s="68"/>
      <c r="CS521" s="68"/>
      <c r="CT521" s="68"/>
      <c r="CU521" s="68"/>
      <c r="CV521" s="68"/>
      <c r="CW521" s="68"/>
      <c r="CX521" s="68"/>
    </row>
    <row r="522" spans="1:102" s="71" customFormat="1" hidden="1">
      <c r="A522" s="210"/>
      <c r="B522" s="210"/>
      <c r="C522" s="109"/>
      <c r="D522" s="72"/>
      <c r="E522" s="136"/>
      <c r="F522" s="136"/>
      <c r="G522" s="211"/>
      <c r="H522" s="136"/>
      <c r="I522" s="211"/>
      <c r="J522" s="211"/>
      <c r="K522" s="211"/>
      <c r="L522" s="136"/>
      <c r="M522" s="136"/>
      <c r="N522" s="136"/>
      <c r="O522" s="212"/>
      <c r="P522" s="116"/>
      <c r="Q522" s="103"/>
      <c r="R522" s="103"/>
      <c r="S522" s="103"/>
      <c r="T522" s="103"/>
      <c r="U522" s="68"/>
      <c r="V522" s="69"/>
      <c r="W522" s="68"/>
      <c r="X522" s="68"/>
      <c r="Y522" s="68"/>
      <c r="Z522" s="68"/>
      <c r="AA522" s="68"/>
      <c r="AB522" s="68"/>
      <c r="AC522" s="68"/>
      <c r="AD522" s="68"/>
      <c r="AE522" s="68"/>
      <c r="AF522" s="68"/>
      <c r="AG522" s="68"/>
      <c r="AH522" s="68"/>
      <c r="AI522" s="68"/>
      <c r="AJ522" s="68"/>
      <c r="AK522" s="68"/>
      <c r="AL522" s="68"/>
      <c r="AM522" s="68"/>
      <c r="AN522" s="68"/>
      <c r="AO522" s="68"/>
      <c r="AP522" s="68"/>
      <c r="AQ522" s="68"/>
      <c r="AR522" s="68"/>
      <c r="AS522" s="68"/>
      <c r="AT522" s="68"/>
      <c r="AU522" s="68"/>
      <c r="AV522" s="68"/>
      <c r="AW522" s="68"/>
      <c r="AX522" s="68"/>
      <c r="AY522" s="68"/>
      <c r="AZ522" s="68"/>
      <c r="BA522" s="68"/>
      <c r="BB522" s="68"/>
      <c r="BC522" s="68"/>
      <c r="BD522" s="68"/>
      <c r="BE522" s="68"/>
      <c r="BF522" s="68"/>
      <c r="BG522" s="68"/>
      <c r="BH522" s="68"/>
      <c r="BI522" s="68"/>
      <c r="BJ522" s="68"/>
      <c r="BK522" s="68"/>
      <c r="BL522" s="68"/>
      <c r="BM522" s="68"/>
      <c r="BN522" s="68"/>
      <c r="BO522" s="68"/>
      <c r="BP522" s="68"/>
      <c r="BQ522" s="68"/>
      <c r="BR522" s="68"/>
      <c r="BS522" s="68"/>
      <c r="BT522" s="68"/>
      <c r="BU522" s="68"/>
      <c r="BV522" s="68"/>
      <c r="BW522" s="68"/>
      <c r="BX522" s="68"/>
      <c r="BY522" s="68"/>
      <c r="BZ522" s="68"/>
      <c r="CA522" s="68"/>
      <c r="CB522" s="68"/>
      <c r="CC522" s="68"/>
      <c r="CD522" s="68"/>
      <c r="CE522" s="68"/>
      <c r="CF522" s="68"/>
      <c r="CG522" s="68"/>
      <c r="CH522" s="68"/>
      <c r="CI522" s="68"/>
      <c r="CJ522" s="68"/>
      <c r="CK522" s="68"/>
      <c r="CL522" s="68"/>
      <c r="CM522" s="68"/>
      <c r="CN522" s="68"/>
      <c r="CO522" s="68"/>
      <c r="CP522" s="68"/>
      <c r="CQ522" s="68"/>
      <c r="CR522" s="68"/>
      <c r="CS522" s="68"/>
      <c r="CT522" s="68"/>
      <c r="CU522" s="68"/>
      <c r="CV522" s="68"/>
      <c r="CW522" s="68"/>
      <c r="CX522" s="68"/>
    </row>
    <row r="523" spans="1:102" s="71" customFormat="1" hidden="1">
      <c r="A523" s="210"/>
      <c r="B523" s="210"/>
      <c r="C523" s="109"/>
      <c r="D523" s="72"/>
      <c r="E523" s="136"/>
      <c r="F523" s="136"/>
      <c r="G523" s="211"/>
      <c r="H523" s="136"/>
      <c r="I523" s="211"/>
      <c r="J523" s="211"/>
      <c r="K523" s="211"/>
      <c r="L523" s="136"/>
      <c r="M523" s="136"/>
      <c r="N523" s="136"/>
      <c r="O523" s="212"/>
      <c r="P523" s="116"/>
      <c r="Q523" s="103"/>
      <c r="R523" s="103"/>
      <c r="S523" s="103"/>
      <c r="T523" s="103"/>
      <c r="U523" s="68"/>
      <c r="V523" s="69"/>
      <c r="W523" s="68"/>
      <c r="X523" s="68"/>
      <c r="Y523" s="68"/>
      <c r="Z523" s="68"/>
      <c r="AA523" s="68"/>
      <c r="AB523" s="68"/>
      <c r="AC523" s="68"/>
      <c r="AD523" s="68"/>
      <c r="AE523" s="68"/>
      <c r="AF523" s="68"/>
      <c r="AG523" s="68"/>
      <c r="AH523" s="68"/>
      <c r="AI523" s="68"/>
      <c r="AJ523" s="68"/>
      <c r="AK523" s="68"/>
      <c r="AL523" s="68"/>
      <c r="AM523" s="68"/>
      <c r="AN523" s="68"/>
      <c r="AO523" s="68"/>
      <c r="AP523" s="68"/>
      <c r="AQ523" s="68"/>
      <c r="AR523" s="68"/>
      <c r="AS523" s="68"/>
      <c r="AT523" s="68"/>
      <c r="AU523" s="68"/>
      <c r="AV523" s="68"/>
      <c r="AW523" s="68"/>
      <c r="AX523" s="68"/>
      <c r="AY523" s="68"/>
      <c r="AZ523" s="68"/>
      <c r="BA523" s="68"/>
      <c r="BB523" s="68"/>
      <c r="BC523" s="68"/>
      <c r="BD523" s="68"/>
      <c r="BE523" s="68"/>
      <c r="BF523" s="68"/>
      <c r="BG523" s="68"/>
      <c r="BH523" s="68"/>
      <c r="BI523" s="68"/>
      <c r="BJ523" s="68"/>
      <c r="BK523" s="68"/>
      <c r="BL523" s="68"/>
      <c r="BM523" s="68"/>
      <c r="BN523" s="68"/>
      <c r="BO523" s="68"/>
      <c r="BP523" s="68"/>
      <c r="BQ523" s="68"/>
      <c r="BR523" s="68"/>
      <c r="BS523" s="68"/>
      <c r="BT523" s="68"/>
      <c r="BU523" s="68"/>
      <c r="BV523" s="68"/>
      <c r="BW523" s="68"/>
      <c r="BX523" s="68"/>
      <c r="BY523" s="68"/>
      <c r="BZ523" s="68"/>
      <c r="CA523" s="68"/>
      <c r="CB523" s="68"/>
      <c r="CC523" s="68"/>
      <c r="CD523" s="68"/>
      <c r="CE523" s="68"/>
      <c r="CF523" s="68"/>
      <c r="CG523" s="68"/>
      <c r="CH523" s="68"/>
      <c r="CI523" s="68"/>
      <c r="CJ523" s="68"/>
      <c r="CK523" s="68"/>
      <c r="CL523" s="68"/>
      <c r="CM523" s="68"/>
      <c r="CN523" s="68"/>
      <c r="CO523" s="68"/>
      <c r="CP523" s="68"/>
      <c r="CQ523" s="68"/>
      <c r="CR523" s="68"/>
      <c r="CS523" s="68"/>
      <c r="CT523" s="68"/>
      <c r="CU523" s="68"/>
      <c r="CV523" s="68"/>
      <c r="CW523" s="68"/>
      <c r="CX523" s="68"/>
    </row>
    <row r="524" spans="1:102" s="71" customFormat="1" hidden="1">
      <c r="A524" s="210"/>
      <c r="B524" s="210"/>
      <c r="C524" s="109"/>
      <c r="D524" s="72"/>
      <c r="E524" s="136"/>
      <c r="F524" s="136"/>
      <c r="G524" s="211"/>
      <c r="H524" s="136"/>
      <c r="I524" s="211"/>
      <c r="J524" s="211"/>
      <c r="K524" s="211"/>
      <c r="L524" s="136"/>
      <c r="M524" s="136"/>
      <c r="N524" s="136"/>
      <c r="O524" s="212"/>
      <c r="P524" s="116"/>
      <c r="Q524" s="103"/>
      <c r="R524" s="103"/>
      <c r="S524" s="103"/>
      <c r="T524" s="103"/>
      <c r="U524" s="68"/>
      <c r="V524" s="69"/>
      <c r="W524" s="68"/>
      <c r="X524" s="68"/>
      <c r="Y524" s="68"/>
      <c r="Z524" s="68"/>
      <c r="AA524" s="68"/>
      <c r="AB524" s="68"/>
      <c r="AC524" s="68"/>
      <c r="AD524" s="68"/>
      <c r="AE524" s="68"/>
      <c r="AF524" s="68"/>
      <c r="AG524" s="68"/>
      <c r="AH524" s="68"/>
      <c r="AI524" s="68"/>
      <c r="AJ524" s="68"/>
      <c r="AK524" s="68"/>
      <c r="AL524" s="68"/>
      <c r="AM524" s="68"/>
      <c r="AN524" s="68"/>
      <c r="AO524" s="68"/>
      <c r="AP524" s="68"/>
      <c r="AQ524" s="68"/>
      <c r="AR524" s="68"/>
      <c r="AS524" s="68"/>
      <c r="AT524" s="68"/>
      <c r="AU524" s="68"/>
      <c r="AV524" s="68"/>
      <c r="AW524" s="68"/>
      <c r="AX524" s="68"/>
      <c r="AY524" s="68"/>
      <c r="AZ524" s="68"/>
      <c r="BA524" s="68"/>
      <c r="BB524" s="68"/>
      <c r="BC524" s="68"/>
      <c r="BD524" s="68"/>
      <c r="BE524" s="68"/>
      <c r="BF524" s="68"/>
      <c r="BG524" s="68"/>
      <c r="BH524" s="68"/>
      <c r="BI524" s="68"/>
      <c r="BJ524" s="68"/>
      <c r="BK524" s="68"/>
      <c r="BL524" s="68"/>
      <c r="BM524" s="68"/>
      <c r="BN524" s="68"/>
      <c r="BO524" s="68"/>
      <c r="BP524" s="68"/>
      <c r="BQ524" s="68"/>
      <c r="BR524" s="68"/>
      <c r="BS524" s="68"/>
      <c r="BT524" s="68"/>
      <c r="BU524" s="68"/>
      <c r="BV524" s="68"/>
      <c r="BW524" s="68"/>
      <c r="BX524" s="68"/>
      <c r="BY524" s="68"/>
      <c r="BZ524" s="68"/>
      <c r="CA524" s="68"/>
      <c r="CB524" s="68"/>
      <c r="CC524" s="68"/>
      <c r="CD524" s="68"/>
      <c r="CE524" s="68"/>
      <c r="CF524" s="68"/>
      <c r="CG524" s="68"/>
      <c r="CH524" s="68"/>
      <c r="CI524" s="68"/>
      <c r="CJ524" s="68"/>
      <c r="CK524" s="68"/>
      <c r="CL524" s="68"/>
      <c r="CM524" s="68"/>
      <c r="CN524" s="68"/>
      <c r="CO524" s="68"/>
      <c r="CP524" s="68"/>
      <c r="CQ524" s="68"/>
      <c r="CR524" s="68"/>
      <c r="CS524" s="68"/>
      <c r="CT524" s="68"/>
      <c r="CU524" s="68"/>
      <c r="CV524" s="68"/>
      <c r="CW524" s="68"/>
      <c r="CX524" s="68"/>
    </row>
    <row r="525" spans="1:102" s="71" customFormat="1" hidden="1">
      <c r="A525" s="210"/>
      <c r="B525" s="210"/>
      <c r="C525" s="109"/>
      <c r="D525" s="72"/>
      <c r="E525" s="136"/>
      <c r="F525" s="136"/>
      <c r="G525" s="211"/>
      <c r="H525" s="136"/>
      <c r="I525" s="211"/>
      <c r="J525" s="211"/>
      <c r="K525" s="211"/>
      <c r="L525" s="136"/>
      <c r="M525" s="136"/>
      <c r="N525" s="136"/>
      <c r="O525" s="212"/>
      <c r="P525" s="116"/>
      <c r="Q525" s="103"/>
      <c r="R525" s="103"/>
      <c r="S525" s="103"/>
      <c r="T525" s="103"/>
      <c r="U525" s="68"/>
      <c r="V525" s="69"/>
      <c r="W525" s="68"/>
      <c r="X525" s="68"/>
      <c r="Y525" s="68"/>
      <c r="Z525" s="68"/>
      <c r="AA525" s="68"/>
      <c r="AB525" s="68"/>
      <c r="AC525" s="68"/>
      <c r="AD525" s="68"/>
      <c r="AE525" s="68"/>
      <c r="AF525" s="68"/>
      <c r="AG525" s="68"/>
      <c r="AH525" s="68"/>
      <c r="AI525" s="68"/>
      <c r="AJ525" s="68"/>
      <c r="AK525" s="68"/>
      <c r="AL525" s="68"/>
      <c r="AM525" s="68"/>
      <c r="AN525" s="68"/>
      <c r="AO525" s="68"/>
      <c r="AP525" s="68"/>
      <c r="AQ525" s="68"/>
      <c r="AR525" s="68"/>
      <c r="AS525" s="68"/>
      <c r="AT525" s="68"/>
      <c r="AU525" s="68"/>
      <c r="AV525" s="68"/>
      <c r="AW525" s="68"/>
      <c r="AX525" s="68"/>
      <c r="AY525" s="68"/>
      <c r="AZ525" s="68"/>
      <c r="BA525" s="68"/>
      <c r="BB525" s="68"/>
      <c r="BC525" s="68"/>
      <c r="BD525" s="68"/>
      <c r="BE525" s="68"/>
      <c r="BF525" s="68"/>
      <c r="BG525" s="68"/>
      <c r="BH525" s="68"/>
      <c r="BI525" s="68"/>
      <c r="BJ525" s="68"/>
      <c r="BK525" s="68"/>
      <c r="BL525" s="68"/>
      <c r="BM525" s="68"/>
      <c r="BN525" s="68"/>
      <c r="BO525" s="68"/>
      <c r="BP525" s="68"/>
      <c r="BQ525" s="68"/>
      <c r="BR525" s="68"/>
      <c r="BS525" s="68"/>
      <c r="BT525" s="68"/>
      <c r="BU525" s="68"/>
      <c r="BV525" s="68"/>
      <c r="BW525" s="68"/>
      <c r="BX525" s="68"/>
      <c r="BY525" s="68"/>
      <c r="BZ525" s="68"/>
      <c r="CA525" s="68"/>
      <c r="CB525" s="68"/>
      <c r="CC525" s="68"/>
      <c r="CD525" s="68"/>
      <c r="CE525" s="68"/>
      <c r="CF525" s="68"/>
      <c r="CG525" s="68"/>
      <c r="CH525" s="68"/>
      <c r="CI525" s="68"/>
      <c r="CJ525" s="68"/>
      <c r="CK525" s="68"/>
      <c r="CL525" s="68"/>
      <c r="CM525" s="68"/>
      <c r="CN525" s="68"/>
      <c r="CO525" s="68"/>
      <c r="CP525" s="68"/>
      <c r="CQ525" s="68"/>
      <c r="CR525" s="68"/>
      <c r="CS525" s="68"/>
      <c r="CT525" s="68"/>
      <c r="CU525" s="68"/>
      <c r="CV525" s="68"/>
      <c r="CW525" s="68"/>
      <c r="CX525" s="68"/>
    </row>
    <row r="526" spans="1:102" s="71" customFormat="1" hidden="1">
      <c r="A526" s="210"/>
      <c r="B526" s="210"/>
      <c r="C526" s="109"/>
      <c r="D526" s="72"/>
      <c r="E526" s="136"/>
      <c r="F526" s="136"/>
      <c r="G526" s="211"/>
      <c r="H526" s="136"/>
      <c r="I526" s="211"/>
      <c r="J526" s="211"/>
      <c r="K526" s="211"/>
      <c r="L526" s="136"/>
      <c r="M526" s="136"/>
      <c r="N526" s="136"/>
      <c r="O526" s="212"/>
      <c r="P526" s="116"/>
      <c r="Q526" s="103"/>
      <c r="R526" s="103"/>
      <c r="S526" s="103"/>
      <c r="T526" s="103"/>
      <c r="U526" s="68"/>
      <c r="V526" s="69"/>
      <c r="W526" s="68"/>
      <c r="X526" s="68"/>
      <c r="Y526" s="68"/>
      <c r="Z526" s="68"/>
      <c r="AA526" s="68"/>
      <c r="AB526" s="68"/>
      <c r="AC526" s="68"/>
      <c r="AD526" s="68"/>
      <c r="AE526" s="68"/>
      <c r="AF526" s="68"/>
      <c r="AG526" s="68"/>
      <c r="AH526" s="68"/>
      <c r="AI526" s="68"/>
      <c r="AJ526" s="68"/>
      <c r="AK526" s="68"/>
      <c r="AL526" s="68"/>
      <c r="AM526" s="68"/>
      <c r="AN526" s="68"/>
      <c r="AO526" s="68"/>
      <c r="AP526" s="68"/>
      <c r="AQ526" s="68"/>
      <c r="AR526" s="68"/>
      <c r="AS526" s="68"/>
      <c r="AT526" s="68"/>
      <c r="AU526" s="68"/>
      <c r="AV526" s="68"/>
      <c r="AW526" s="68"/>
      <c r="AX526" s="68"/>
      <c r="AY526" s="68"/>
      <c r="AZ526" s="68"/>
      <c r="BA526" s="68"/>
      <c r="BB526" s="68"/>
      <c r="BC526" s="68"/>
      <c r="BD526" s="68"/>
      <c r="BE526" s="68"/>
      <c r="BF526" s="68"/>
      <c r="BG526" s="68"/>
      <c r="BH526" s="68"/>
      <c r="BI526" s="68"/>
      <c r="BJ526" s="68"/>
      <c r="BK526" s="68"/>
      <c r="BL526" s="68"/>
      <c r="BM526" s="68"/>
      <c r="BN526" s="68"/>
      <c r="BO526" s="68"/>
      <c r="BP526" s="68"/>
      <c r="BQ526" s="68"/>
      <c r="BR526" s="68"/>
      <c r="BS526" s="68"/>
      <c r="BT526" s="68"/>
      <c r="BU526" s="68"/>
      <c r="BV526" s="68"/>
      <c r="BW526" s="68"/>
      <c r="BX526" s="68"/>
      <c r="BY526" s="68"/>
      <c r="BZ526" s="68"/>
      <c r="CA526" s="68"/>
      <c r="CB526" s="68"/>
      <c r="CC526" s="68"/>
      <c r="CD526" s="68"/>
      <c r="CE526" s="68"/>
      <c r="CF526" s="68"/>
      <c r="CG526" s="68"/>
      <c r="CH526" s="68"/>
      <c r="CI526" s="68"/>
      <c r="CJ526" s="68"/>
      <c r="CK526" s="68"/>
      <c r="CL526" s="68"/>
      <c r="CM526" s="68"/>
      <c r="CN526" s="68"/>
      <c r="CO526" s="68"/>
      <c r="CP526" s="68"/>
      <c r="CQ526" s="68"/>
      <c r="CR526" s="68"/>
      <c r="CS526" s="68"/>
      <c r="CT526" s="68"/>
      <c r="CU526" s="68"/>
      <c r="CV526" s="68"/>
      <c r="CW526" s="68"/>
      <c r="CX526" s="68"/>
    </row>
    <row r="527" spans="1:102" s="71" customFormat="1" hidden="1">
      <c r="A527" s="210"/>
      <c r="B527" s="210"/>
      <c r="C527" s="109"/>
      <c r="D527" s="72"/>
      <c r="E527" s="136"/>
      <c r="F527" s="136"/>
      <c r="G527" s="211"/>
      <c r="H527" s="136"/>
      <c r="I527" s="211"/>
      <c r="J527" s="211"/>
      <c r="K527" s="211"/>
      <c r="L527" s="136"/>
      <c r="M527" s="136"/>
      <c r="N527" s="136"/>
      <c r="O527" s="212"/>
      <c r="P527" s="116"/>
      <c r="Q527" s="103"/>
      <c r="R527" s="103"/>
      <c r="S527" s="103"/>
      <c r="T527" s="103"/>
      <c r="U527" s="68"/>
      <c r="V527" s="69"/>
      <c r="W527" s="68"/>
      <c r="X527" s="68"/>
      <c r="Y527" s="68"/>
      <c r="Z527" s="68"/>
      <c r="AA527" s="68"/>
      <c r="AB527" s="68"/>
      <c r="AC527" s="68"/>
      <c r="AD527" s="68"/>
      <c r="AE527" s="68"/>
      <c r="AF527" s="68"/>
      <c r="AG527" s="68"/>
      <c r="AH527" s="68"/>
      <c r="AI527" s="68"/>
      <c r="AJ527" s="68"/>
      <c r="AK527" s="68"/>
      <c r="AL527" s="68"/>
      <c r="AM527" s="68"/>
      <c r="AN527" s="68"/>
      <c r="AO527" s="68"/>
      <c r="AP527" s="68"/>
      <c r="AQ527" s="68"/>
      <c r="AR527" s="68"/>
      <c r="AS527" s="68"/>
      <c r="AT527" s="68"/>
      <c r="AU527" s="68"/>
      <c r="AV527" s="68"/>
      <c r="AW527" s="68"/>
      <c r="AX527" s="68"/>
      <c r="AY527" s="68"/>
      <c r="AZ527" s="68"/>
      <c r="BA527" s="68"/>
      <c r="BB527" s="68"/>
      <c r="BC527" s="68"/>
      <c r="BD527" s="68"/>
      <c r="BE527" s="68"/>
      <c r="BF527" s="68"/>
      <c r="BG527" s="68"/>
      <c r="BH527" s="68"/>
      <c r="BI527" s="68"/>
      <c r="BJ527" s="68"/>
      <c r="BK527" s="68"/>
      <c r="BL527" s="68"/>
      <c r="BM527" s="68"/>
      <c r="BN527" s="68"/>
      <c r="BO527" s="68"/>
      <c r="BP527" s="68"/>
      <c r="BQ527" s="68"/>
      <c r="BR527" s="68"/>
      <c r="BS527" s="68"/>
      <c r="BT527" s="68"/>
      <c r="BU527" s="68"/>
      <c r="BV527" s="68"/>
      <c r="BW527" s="68"/>
      <c r="BX527" s="68"/>
      <c r="BY527" s="68"/>
      <c r="BZ527" s="68"/>
      <c r="CA527" s="68"/>
      <c r="CB527" s="68"/>
      <c r="CC527" s="68"/>
      <c r="CD527" s="68"/>
      <c r="CE527" s="68"/>
      <c r="CF527" s="68"/>
      <c r="CG527" s="68"/>
      <c r="CH527" s="68"/>
      <c r="CI527" s="68"/>
      <c r="CJ527" s="68"/>
      <c r="CK527" s="68"/>
      <c r="CL527" s="68"/>
      <c r="CM527" s="68"/>
      <c r="CN527" s="68"/>
      <c r="CO527" s="68"/>
      <c r="CP527" s="68"/>
      <c r="CQ527" s="68"/>
      <c r="CR527" s="68"/>
      <c r="CS527" s="68"/>
      <c r="CT527" s="68"/>
      <c r="CU527" s="68"/>
      <c r="CV527" s="68"/>
      <c r="CW527" s="68"/>
      <c r="CX527" s="68"/>
    </row>
    <row r="528" spans="1:102" s="71" customFormat="1" hidden="1">
      <c r="A528" s="210"/>
      <c r="B528" s="210"/>
      <c r="C528" s="109"/>
      <c r="D528" s="72"/>
      <c r="E528" s="136"/>
      <c r="F528" s="136"/>
      <c r="G528" s="211"/>
      <c r="H528" s="136"/>
      <c r="I528" s="211"/>
      <c r="J528" s="211"/>
      <c r="K528" s="211"/>
      <c r="L528" s="136"/>
      <c r="M528" s="136"/>
      <c r="N528" s="136"/>
      <c r="O528" s="212"/>
      <c r="P528" s="116"/>
      <c r="Q528" s="103"/>
      <c r="R528" s="103"/>
      <c r="S528" s="103"/>
      <c r="T528" s="103"/>
      <c r="U528" s="68"/>
      <c r="V528" s="69"/>
      <c r="W528" s="68"/>
      <c r="X528" s="68"/>
      <c r="Y528" s="68"/>
      <c r="Z528" s="68"/>
      <c r="AA528" s="68"/>
      <c r="AB528" s="68"/>
      <c r="AC528" s="68"/>
      <c r="AD528" s="68"/>
      <c r="AE528" s="68"/>
      <c r="AF528" s="68"/>
      <c r="AG528" s="68"/>
      <c r="AH528" s="68"/>
      <c r="AI528" s="68"/>
      <c r="AJ528" s="68"/>
      <c r="AK528" s="68"/>
      <c r="AL528" s="68"/>
      <c r="AM528" s="68"/>
      <c r="AN528" s="68"/>
      <c r="AO528" s="68"/>
      <c r="AP528" s="68"/>
      <c r="AQ528" s="68"/>
      <c r="AR528" s="68"/>
      <c r="AS528" s="68"/>
      <c r="AT528" s="68"/>
      <c r="AU528" s="68"/>
      <c r="AV528" s="68"/>
      <c r="AW528" s="68"/>
      <c r="AX528" s="68"/>
      <c r="AY528" s="68"/>
      <c r="AZ528" s="68"/>
      <c r="BA528" s="68"/>
      <c r="BB528" s="68"/>
      <c r="BC528" s="68"/>
      <c r="BD528" s="68"/>
      <c r="BE528" s="68"/>
      <c r="BF528" s="68"/>
      <c r="BG528" s="68"/>
      <c r="BH528" s="68"/>
      <c r="BI528" s="68"/>
      <c r="BJ528" s="68"/>
      <c r="BK528" s="68"/>
      <c r="BL528" s="68"/>
      <c r="BM528" s="68"/>
      <c r="BN528" s="68"/>
      <c r="BO528" s="68"/>
      <c r="BP528" s="68"/>
      <c r="BQ528" s="68"/>
      <c r="BR528" s="68"/>
      <c r="BS528" s="68"/>
      <c r="BT528" s="68"/>
      <c r="BU528" s="68"/>
      <c r="BV528" s="68"/>
      <c r="BW528" s="68"/>
      <c r="BX528" s="68"/>
      <c r="BY528" s="68"/>
      <c r="BZ528" s="68"/>
      <c r="CA528" s="68"/>
      <c r="CB528" s="68"/>
      <c r="CC528" s="68"/>
      <c r="CD528" s="68"/>
      <c r="CE528" s="68"/>
      <c r="CF528" s="68"/>
      <c r="CG528" s="68"/>
      <c r="CH528" s="68"/>
      <c r="CI528" s="68"/>
      <c r="CJ528" s="68"/>
      <c r="CK528" s="68"/>
      <c r="CL528" s="68"/>
      <c r="CM528" s="68"/>
      <c r="CN528" s="68"/>
      <c r="CO528" s="68"/>
      <c r="CP528" s="68"/>
      <c r="CQ528" s="68"/>
      <c r="CR528" s="68"/>
      <c r="CS528" s="68"/>
      <c r="CT528" s="68"/>
      <c r="CU528" s="68"/>
      <c r="CV528" s="68"/>
      <c r="CW528" s="68"/>
      <c r="CX528" s="68"/>
    </row>
    <row r="529" spans="1:102" s="71" customFormat="1" hidden="1">
      <c r="A529" s="210"/>
      <c r="B529" s="210"/>
      <c r="C529" s="109"/>
      <c r="D529" s="72"/>
      <c r="E529" s="136"/>
      <c r="F529" s="136"/>
      <c r="G529" s="211"/>
      <c r="H529" s="136"/>
      <c r="I529" s="211"/>
      <c r="J529" s="211"/>
      <c r="K529" s="211"/>
      <c r="L529" s="136"/>
      <c r="M529" s="136"/>
      <c r="N529" s="136"/>
      <c r="O529" s="212"/>
      <c r="P529" s="116"/>
      <c r="Q529" s="103"/>
      <c r="R529" s="103"/>
      <c r="S529" s="103"/>
      <c r="T529" s="103"/>
      <c r="U529" s="68"/>
      <c r="V529" s="69"/>
      <c r="W529" s="68"/>
      <c r="X529" s="68"/>
      <c r="Y529" s="68"/>
      <c r="Z529" s="68"/>
      <c r="AA529" s="68"/>
      <c r="AB529" s="68"/>
      <c r="AC529" s="68"/>
      <c r="AD529" s="68"/>
      <c r="AE529" s="68"/>
      <c r="AF529" s="68"/>
      <c r="AG529" s="68"/>
      <c r="AH529" s="68"/>
      <c r="AI529" s="68"/>
      <c r="AJ529" s="68"/>
      <c r="AK529" s="68"/>
      <c r="AL529" s="68"/>
      <c r="AM529" s="68"/>
      <c r="AN529" s="68"/>
      <c r="AO529" s="68"/>
      <c r="AP529" s="68"/>
      <c r="AQ529" s="68"/>
      <c r="AR529" s="68"/>
      <c r="AS529" s="68"/>
      <c r="AT529" s="68"/>
      <c r="AU529" s="68"/>
      <c r="AV529" s="68"/>
      <c r="AW529" s="68"/>
      <c r="AX529" s="68"/>
      <c r="AY529" s="68"/>
      <c r="AZ529" s="68"/>
      <c r="BA529" s="68"/>
      <c r="BB529" s="68"/>
      <c r="BC529" s="68"/>
      <c r="BD529" s="68"/>
      <c r="BE529" s="68"/>
      <c r="BF529" s="68"/>
      <c r="BG529" s="68"/>
      <c r="BH529" s="68"/>
      <c r="BI529" s="68"/>
      <c r="BJ529" s="68"/>
      <c r="BK529" s="68"/>
      <c r="BL529" s="68"/>
      <c r="BM529" s="68"/>
      <c r="BN529" s="68"/>
      <c r="BO529" s="68"/>
      <c r="BP529" s="68"/>
      <c r="BQ529" s="68"/>
      <c r="BR529" s="68"/>
      <c r="BS529" s="68"/>
      <c r="BT529" s="68"/>
      <c r="BU529" s="68"/>
      <c r="BV529" s="68"/>
      <c r="BW529" s="68"/>
      <c r="BX529" s="68"/>
      <c r="BY529" s="68"/>
      <c r="BZ529" s="68"/>
      <c r="CA529" s="68"/>
      <c r="CB529" s="68"/>
      <c r="CC529" s="68"/>
      <c r="CD529" s="68"/>
      <c r="CE529" s="68"/>
      <c r="CF529" s="68"/>
      <c r="CG529" s="68"/>
      <c r="CH529" s="68"/>
      <c r="CI529" s="68"/>
      <c r="CJ529" s="68"/>
      <c r="CK529" s="68"/>
      <c r="CL529" s="68"/>
      <c r="CM529" s="68"/>
      <c r="CN529" s="68"/>
      <c r="CO529" s="68"/>
      <c r="CP529" s="68"/>
      <c r="CQ529" s="68"/>
      <c r="CR529" s="68"/>
      <c r="CS529" s="68"/>
      <c r="CT529" s="68"/>
      <c r="CU529" s="68"/>
      <c r="CV529" s="68"/>
      <c r="CW529" s="68"/>
      <c r="CX529" s="68"/>
    </row>
    <row r="530" spans="1:102" s="71" customFormat="1" hidden="1">
      <c r="A530" s="210"/>
      <c r="B530" s="210"/>
      <c r="C530" s="109"/>
      <c r="D530" s="72"/>
      <c r="E530" s="136"/>
      <c r="F530" s="136"/>
      <c r="G530" s="211"/>
      <c r="H530" s="136"/>
      <c r="I530" s="211"/>
      <c r="J530" s="211"/>
      <c r="K530" s="211"/>
      <c r="L530" s="136"/>
      <c r="M530" s="136"/>
      <c r="N530" s="136"/>
      <c r="O530" s="212"/>
      <c r="P530" s="116"/>
      <c r="Q530" s="103"/>
      <c r="R530" s="103"/>
      <c r="S530" s="103"/>
      <c r="T530" s="103"/>
      <c r="U530" s="68"/>
      <c r="V530" s="69"/>
      <c r="W530" s="68"/>
      <c r="X530" s="68"/>
      <c r="Y530" s="68"/>
      <c r="Z530" s="68"/>
      <c r="AA530" s="68"/>
      <c r="AB530" s="68"/>
      <c r="AC530" s="68"/>
      <c r="AD530" s="68"/>
      <c r="AE530" s="68"/>
      <c r="AF530" s="68"/>
      <c r="AG530" s="68"/>
      <c r="AH530" s="68"/>
      <c r="AI530" s="68"/>
      <c r="AJ530" s="68"/>
      <c r="AK530" s="68"/>
      <c r="AL530" s="68"/>
      <c r="AM530" s="68"/>
      <c r="AN530" s="68"/>
      <c r="AO530" s="68"/>
      <c r="AP530" s="68"/>
      <c r="AQ530" s="68"/>
      <c r="AR530" s="68"/>
      <c r="AS530" s="68"/>
      <c r="AT530" s="68"/>
      <c r="AU530" s="68"/>
      <c r="AV530" s="68"/>
      <c r="AW530" s="68"/>
      <c r="AX530" s="68"/>
      <c r="AY530" s="68"/>
      <c r="AZ530" s="68"/>
      <c r="BA530" s="68"/>
      <c r="BB530" s="68"/>
      <c r="BC530" s="68"/>
      <c r="BD530" s="68"/>
      <c r="BE530" s="68"/>
      <c r="BF530" s="68"/>
      <c r="BG530" s="68"/>
      <c r="BH530" s="68"/>
      <c r="BI530" s="68"/>
      <c r="BJ530" s="68"/>
      <c r="BK530" s="68"/>
      <c r="BL530" s="68"/>
      <c r="BM530" s="68"/>
      <c r="BN530" s="68"/>
      <c r="BO530" s="68"/>
      <c r="BP530" s="68"/>
      <c r="BQ530" s="68"/>
      <c r="BR530" s="68"/>
      <c r="BS530" s="68"/>
      <c r="BT530" s="68"/>
      <c r="BU530" s="68"/>
      <c r="BV530" s="68"/>
      <c r="BW530" s="68"/>
      <c r="BX530" s="68"/>
      <c r="BY530" s="68"/>
      <c r="BZ530" s="68"/>
      <c r="CA530" s="68"/>
      <c r="CB530" s="68"/>
      <c r="CC530" s="68"/>
      <c r="CD530" s="68"/>
      <c r="CE530" s="68"/>
      <c r="CF530" s="68"/>
      <c r="CG530" s="68"/>
      <c r="CH530" s="68"/>
      <c r="CI530" s="68"/>
      <c r="CJ530" s="68"/>
      <c r="CK530" s="68"/>
      <c r="CL530" s="68"/>
      <c r="CM530" s="68"/>
      <c r="CN530" s="68"/>
      <c r="CO530" s="68"/>
      <c r="CP530" s="68"/>
      <c r="CQ530" s="68"/>
      <c r="CR530" s="68"/>
      <c r="CS530" s="68"/>
      <c r="CT530" s="68"/>
      <c r="CU530" s="68"/>
      <c r="CV530" s="68"/>
      <c r="CW530" s="68"/>
      <c r="CX530" s="68"/>
    </row>
    <row r="531" spans="1:102" s="71" customFormat="1" hidden="1">
      <c r="A531" s="210"/>
      <c r="B531" s="210"/>
      <c r="C531" s="109"/>
      <c r="D531" s="72"/>
      <c r="E531" s="136"/>
      <c r="F531" s="136"/>
      <c r="G531" s="211"/>
      <c r="H531" s="136"/>
      <c r="I531" s="211"/>
      <c r="J531" s="211"/>
      <c r="K531" s="211"/>
      <c r="L531" s="136"/>
      <c r="M531" s="136"/>
      <c r="N531" s="136"/>
      <c r="O531" s="212"/>
      <c r="P531" s="116"/>
      <c r="Q531" s="103"/>
      <c r="R531" s="103"/>
      <c r="S531" s="103"/>
      <c r="T531" s="103"/>
      <c r="U531" s="68"/>
      <c r="V531" s="69"/>
      <c r="W531" s="68"/>
      <c r="X531" s="68"/>
      <c r="Y531" s="68"/>
      <c r="Z531" s="68"/>
      <c r="AA531" s="68"/>
      <c r="AB531" s="68"/>
      <c r="AC531" s="68"/>
      <c r="AD531" s="68"/>
      <c r="AE531" s="68"/>
      <c r="AF531" s="68"/>
      <c r="AG531" s="68"/>
      <c r="AH531" s="68"/>
      <c r="AI531" s="68"/>
      <c r="AJ531" s="68"/>
      <c r="AK531" s="68"/>
      <c r="AL531" s="68"/>
      <c r="AM531" s="68"/>
      <c r="AN531" s="68"/>
      <c r="AO531" s="68"/>
      <c r="AP531" s="68"/>
      <c r="AQ531" s="68"/>
      <c r="AR531" s="68"/>
      <c r="AS531" s="68"/>
      <c r="AT531" s="68"/>
      <c r="AU531" s="68"/>
      <c r="AV531" s="68"/>
      <c r="AW531" s="68"/>
      <c r="AX531" s="68"/>
      <c r="AY531" s="68"/>
      <c r="AZ531" s="68"/>
      <c r="BA531" s="68"/>
      <c r="BB531" s="68"/>
      <c r="BC531" s="68"/>
      <c r="BD531" s="68"/>
      <c r="BE531" s="68"/>
      <c r="BF531" s="68"/>
      <c r="BG531" s="68"/>
      <c r="BH531" s="68"/>
      <c r="BI531" s="68"/>
      <c r="BJ531" s="68"/>
      <c r="BK531" s="68"/>
      <c r="BL531" s="68"/>
      <c r="BM531" s="68"/>
      <c r="BN531" s="68"/>
      <c r="BO531" s="68"/>
      <c r="BP531" s="68"/>
      <c r="BQ531" s="68"/>
      <c r="BR531" s="68"/>
      <c r="BS531" s="68"/>
      <c r="BT531" s="68"/>
      <c r="BU531" s="68"/>
      <c r="BV531" s="68"/>
      <c r="BW531" s="68"/>
      <c r="BX531" s="68"/>
      <c r="BY531" s="68"/>
      <c r="BZ531" s="68"/>
      <c r="CA531" s="68"/>
      <c r="CB531" s="68"/>
      <c r="CC531" s="68"/>
      <c r="CD531" s="68"/>
      <c r="CE531" s="68"/>
      <c r="CF531" s="68"/>
      <c r="CG531" s="68"/>
      <c r="CH531" s="68"/>
      <c r="CI531" s="68"/>
      <c r="CJ531" s="68"/>
      <c r="CK531" s="68"/>
      <c r="CL531" s="68"/>
      <c r="CM531" s="68"/>
      <c r="CN531" s="68"/>
      <c r="CO531" s="68"/>
      <c r="CP531" s="68"/>
      <c r="CQ531" s="68"/>
      <c r="CR531" s="68"/>
      <c r="CS531" s="68"/>
      <c r="CT531" s="68"/>
      <c r="CU531" s="68"/>
      <c r="CV531" s="68"/>
      <c r="CW531" s="68"/>
      <c r="CX531" s="68"/>
    </row>
    <row r="532" spans="1:102" s="71" customFormat="1" hidden="1">
      <c r="A532" s="210"/>
      <c r="B532" s="210"/>
      <c r="C532" s="109"/>
      <c r="D532" s="72"/>
      <c r="E532" s="136"/>
      <c r="F532" s="136"/>
      <c r="G532" s="211"/>
      <c r="H532" s="136"/>
      <c r="I532" s="211"/>
      <c r="J532" s="211"/>
      <c r="K532" s="211"/>
      <c r="L532" s="136"/>
      <c r="M532" s="136"/>
      <c r="N532" s="136"/>
      <c r="O532" s="212"/>
      <c r="P532" s="116"/>
      <c r="Q532" s="103"/>
      <c r="R532" s="103"/>
      <c r="S532" s="103"/>
      <c r="T532" s="103"/>
      <c r="U532" s="68"/>
      <c r="V532" s="69"/>
      <c r="W532" s="68"/>
      <c r="X532" s="68"/>
      <c r="Y532" s="68"/>
      <c r="Z532" s="68"/>
      <c r="AA532" s="68"/>
      <c r="AB532" s="68"/>
      <c r="AC532" s="68"/>
      <c r="AD532" s="68"/>
      <c r="AE532" s="68"/>
      <c r="AF532" s="68"/>
      <c r="AG532" s="68"/>
      <c r="AH532" s="68"/>
      <c r="AI532" s="68"/>
      <c r="AJ532" s="68"/>
      <c r="AK532" s="68"/>
      <c r="AL532" s="68"/>
      <c r="AM532" s="68"/>
      <c r="AN532" s="68"/>
      <c r="AO532" s="68"/>
      <c r="AP532" s="68"/>
      <c r="AQ532" s="68"/>
      <c r="AR532" s="68"/>
      <c r="AS532" s="68"/>
      <c r="AT532" s="68"/>
      <c r="AU532" s="68"/>
      <c r="AV532" s="68"/>
      <c r="AW532" s="68"/>
      <c r="AX532" s="68"/>
      <c r="AY532" s="68"/>
      <c r="AZ532" s="68"/>
      <c r="BA532" s="68"/>
      <c r="BB532" s="68"/>
      <c r="BC532" s="68"/>
      <c r="BD532" s="68"/>
      <c r="BE532" s="68"/>
      <c r="BF532" s="68"/>
      <c r="BG532" s="68"/>
      <c r="BH532" s="68"/>
      <c r="BI532" s="68"/>
      <c r="BJ532" s="68"/>
      <c r="BK532" s="68"/>
      <c r="BL532" s="68"/>
      <c r="BM532" s="68"/>
      <c r="BN532" s="68"/>
      <c r="BO532" s="68"/>
      <c r="BP532" s="68"/>
      <c r="BQ532" s="68"/>
      <c r="BR532" s="68"/>
      <c r="BS532" s="68"/>
      <c r="BT532" s="68"/>
      <c r="BU532" s="68"/>
      <c r="BV532" s="68"/>
      <c r="BW532" s="68"/>
      <c r="BX532" s="68"/>
      <c r="BY532" s="68"/>
      <c r="BZ532" s="68"/>
      <c r="CA532" s="68"/>
      <c r="CB532" s="68"/>
      <c r="CC532" s="68"/>
      <c r="CD532" s="68"/>
      <c r="CE532" s="68"/>
      <c r="CF532" s="68"/>
      <c r="CG532" s="68"/>
      <c r="CH532" s="68"/>
      <c r="CI532" s="68"/>
      <c r="CJ532" s="68"/>
      <c r="CK532" s="68"/>
      <c r="CL532" s="68"/>
      <c r="CM532" s="68"/>
      <c r="CN532" s="68"/>
      <c r="CO532" s="68"/>
      <c r="CP532" s="68"/>
      <c r="CQ532" s="68"/>
      <c r="CR532" s="68"/>
      <c r="CS532" s="68"/>
      <c r="CT532" s="68"/>
      <c r="CU532" s="68"/>
      <c r="CV532" s="68"/>
      <c r="CW532" s="68"/>
      <c r="CX532" s="68"/>
    </row>
    <row r="533" spans="1:102" s="71" customFormat="1" hidden="1">
      <c r="A533" s="210"/>
      <c r="B533" s="210"/>
      <c r="C533" s="109"/>
      <c r="D533" s="72"/>
      <c r="E533" s="136"/>
      <c r="F533" s="136"/>
      <c r="G533" s="211"/>
      <c r="H533" s="136"/>
      <c r="I533" s="211"/>
      <c r="J533" s="211"/>
      <c r="K533" s="211"/>
      <c r="L533" s="136"/>
      <c r="M533" s="136"/>
      <c r="N533" s="136"/>
      <c r="O533" s="212"/>
      <c r="P533" s="116"/>
      <c r="Q533" s="103"/>
      <c r="R533" s="103"/>
      <c r="S533" s="103"/>
      <c r="T533" s="103"/>
      <c r="U533" s="68"/>
      <c r="V533" s="69"/>
      <c r="W533" s="68"/>
      <c r="X533" s="68"/>
      <c r="Y533" s="68"/>
      <c r="Z533" s="68"/>
      <c r="AA533" s="68"/>
      <c r="AB533" s="68"/>
      <c r="AC533" s="68"/>
      <c r="AD533" s="68"/>
      <c r="AE533" s="68"/>
      <c r="AF533" s="68"/>
      <c r="AG533" s="68"/>
      <c r="AH533" s="68"/>
      <c r="AI533" s="68"/>
      <c r="AJ533" s="68"/>
      <c r="AK533" s="68"/>
      <c r="AL533" s="68"/>
      <c r="AM533" s="68"/>
      <c r="AN533" s="68"/>
      <c r="AO533" s="68"/>
      <c r="AP533" s="68"/>
      <c r="AQ533" s="68"/>
      <c r="AR533" s="68"/>
      <c r="AS533" s="68"/>
      <c r="AT533" s="68"/>
      <c r="AU533" s="68"/>
      <c r="AV533" s="68"/>
      <c r="AW533" s="68"/>
      <c r="AX533" s="68"/>
      <c r="AY533" s="68"/>
      <c r="AZ533" s="68"/>
      <c r="BA533" s="68"/>
      <c r="BB533" s="68"/>
      <c r="BC533" s="68"/>
      <c r="BD533" s="68"/>
      <c r="BE533" s="68"/>
      <c r="BF533" s="68"/>
      <c r="BG533" s="68"/>
      <c r="BH533" s="68"/>
      <c r="BI533" s="68"/>
      <c r="BJ533" s="68"/>
      <c r="BK533" s="68"/>
      <c r="BL533" s="68"/>
      <c r="BM533" s="68"/>
      <c r="BN533" s="68"/>
      <c r="BO533" s="68"/>
      <c r="BP533" s="68"/>
      <c r="BQ533" s="68"/>
      <c r="BR533" s="68"/>
      <c r="BS533" s="68"/>
      <c r="BT533" s="68"/>
      <c r="BU533" s="68"/>
      <c r="BV533" s="68"/>
      <c r="BW533" s="68"/>
      <c r="BX533" s="68"/>
      <c r="BY533" s="68"/>
      <c r="BZ533" s="68"/>
      <c r="CA533" s="68"/>
      <c r="CB533" s="68"/>
      <c r="CC533" s="68"/>
      <c r="CD533" s="68"/>
      <c r="CE533" s="68"/>
      <c r="CF533" s="68"/>
      <c r="CG533" s="68"/>
      <c r="CH533" s="68"/>
      <c r="CI533" s="68"/>
      <c r="CJ533" s="68"/>
      <c r="CK533" s="68"/>
      <c r="CL533" s="68"/>
      <c r="CM533" s="68"/>
      <c r="CN533" s="68"/>
      <c r="CO533" s="68"/>
      <c r="CP533" s="68"/>
      <c r="CQ533" s="68"/>
      <c r="CR533" s="68"/>
      <c r="CS533" s="68"/>
      <c r="CT533" s="68"/>
      <c r="CU533" s="68"/>
      <c r="CV533" s="68"/>
      <c r="CW533" s="68"/>
      <c r="CX533" s="68"/>
    </row>
    <row r="534" spans="1:102" s="71" customFormat="1" hidden="1">
      <c r="A534" s="210"/>
      <c r="B534" s="210"/>
      <c r="C534" s="109"/>
      <c r="D534" s="72"/>
      <c r="E534" s="136"/>
      <c r="F534" s="136"/>
      <c r="G534" s="211"/>
      <c r="H534" s="136"/>
      <c r="I534" s="211"/>
      <c r="J534" s="211"/>
      <c r="K534" s="211"/>
      <c r="L534" s="136"/>
      <c r="M534" s="136"/>
      <c r="N534" s="136"/>
      <c r="O534" s="212"/>
      <c r="P534" s="116"/>
      <c r="Q534" s="103"/>
      <c r="R534" s="103"/>
      <c r="S534" s="103"/>
      <c r="T534" s="103"/>
      <c r="U534" s="68"/>
      <c r="V534" s="69"/>
      <c r="W534" s="68"/>
      <c r="X534" s="68"/>
      <c r="Y534" s="68"/>
      <c r="Z534" s="68"/>
      <c r="AA534" s="68"/>
      <c r="AB534" s="68"/>
      <c r="AC534" s="68"/>
      <c r="AD534" s="68"/>
      <c r="AE534" s="68"/>
      <c r="AF534" s="68"/>
      <c r="AG534" s="68"/>
      <c r="AH534" s="68"/>
      <c r="AI534" s="68"/>
      <c r="AJ534" s="68"/>
      <c r="AK534" s="68"/>
      <c r="AL534" s="68"/>
      <c r="AM534" s="68"/>
      <c r="AN534" s="68"/>
      <c r="AO534" s="68"/>
      <c r="AP534" s="68"/>
      <c r="AQ534" s="68"/>
      <c r="AR534" s="68"/>
      <c r="AS534" s="68"/>
      <c r="AT534" s="68"/>
      <c r="AU534" s="68"/>
      <c r="AV534" s="68"/>
      <c r="AW534" s="68"/>
      <c r="AX534" s="68"/>
      <c r="AY534" s="68"/>
      <c r="AZ534" s="68"/>
      <c r="BA534" s="68"/>
      <c r="BB534" s="68"/>
      <c r="BC534" s="68"/>
      <c r="BD534" s="68"/>
      <c r="BE534" s="68"/>
      <c r="BF534" s="68"/>
      <c r="BG534" s="68"/>
      <c r="BH534" s="68"/>
      <c r="BI534" s="68"/>
      <c r="BJ534" s="68"/>
      <c r="BK534" s="68"/>
      <c r="BL534" s="68"/>
      <c r="BM534" s="68"/>
      <c r="BN534" s="68"/>
      <c r="BO534" s="68"/>
      <c r="BP534" s="68"/>
      <c r="BQ534" s="68"/>
      <c r="BR534" s="68"/>
      <c r="BS534" s="68"/>
      <c r="BT534" s="68"/>
      <c r="BU534" s="68"/>
      <c r="BV534" s="68"/>
      <c r="BW534" s="68"/>
      <c r="BX534" s="68"/>
      <c r="BY534" s="68"/>
      <c r="BZ534" s="68"/>
      <c r="CA534" s="68"/>
      <c r="CB534" s="68"/>
      <c r="CC534" s="68"/>
      <c r="CD534" s="68"/>
      <c r="CE534" s="68"/>
      <c r="CF534" s="68"/>
      <c r="CG534" s="68"/>
      <c r="CH534" s="68"/>
      <c r="CI534" s="68"/>
      <c r="CJ534" s="68"/>
      <c r="CK534" s="68"/>
      <c r="CL534" s="68"/>
      <c r="CM534" s="68"/>
      <c r="CN534" s="68"/>
      <c r="CO534" s="68"/>
      <c r="CP534" s="68"/>
      <c r="CQ534" s="68"/>
      <c r="CR534" s="68"/>
      <c r="CS534" s="68"/>
      <c r="CT534" s="68"/>
      <c r="CU534" s="68"/>
      <c r="CV534" s="68"/>
      <c r="CW534" s="68"/>
      <c r="CX534" s="68"/>
    </row>
    <row r="535" spans="1:102" s="71" customFormat="1" hidden="1">
      <c r="A535" s="210"/>
      <c r="B535" s="210"/>
      <c r="C535" s="109"/>
      <c r="D535" s="72"/>
      <c r="E535" s="136"/>
      <c r="F535" s="136"/>
      <c r="G535" s="211"/>
      <c r="H535" s="136"/>
      <c r="I535" s="211"/>
      <c r="J535" s="211"/>
      <c r="K535" s="211"/>
      <c r="L535" s="136"/>
      <c r="M535" s="136"/>
      <c r="N535" s="136"/>
      <c r="O535" s="212"/>
      <c r="P535" s="116"/>
      <c r="Q535" s="103"/>
      <c r="R535" s="103"/>
      <c r="S535" s="103"/>
      <c r="T535" s="103"/>
      <c r="U535" s="68"/>
      <c r="V535" s="69"/>
      <c r="W535" s="68"/>
      <c r="X535" s="68"/>
      <c r="Y535" s="68"/>
      <c r="Z535" s="68"/>
      <c r="AA535" s="68"/>
      <c r="AB535" s="68"/>
      <c r="AC535" s="68"/>
      <c r="AD535" s="68"/>
      <c r="AE535" s="68"/>
      <c r="AF535" s="68"/>
      <c r="AG535" s="68"/>
      <c r="AH535" s="68"/>
      <c r="AI535" s="68"/>
      <c r="AJ535" s="68"/>
      <c r="AK535" s="68"/>
      <c r="AL535" s="68"/>
      <c r="AM535" s="68"/>
      <c r="AN535" s="68"/>
      <c r="AO535" s="68"/>
      <c r="AP535" s="68"/>
      <c r="AQ535" s="68"/>
      <c r="AR535" s="68"/>
      <c r="AS535" s="68"/>
      <c r="AT535" s="68"/>
      <c r="AU535" s="68"/>
      <c r="AV535" s="68"/>
      <c r="AW535" s="68"/>
      <c r="AX535" s="68"/>
      <c r="AY535" s="68"/>
      <c r="AZ535" s="68"/>
      <c r="BA535" s="68"/>
      <c r="BB535" s="68"/>
      <c r="BC535" s="68"/>
      <c r="BD535" s="68"/>
      <c r="BE535" s="68"/>
      <c r="BF535" s="68"/>
      <c r="BG535" s="68"/>
      <c r="BH535" s="68"/>
      <c r="BI535" s="68"/>
      <c r="BJ535" s="68"/>
      <c r="BK535" s="68"/>
      <c r="BL535" s="68"/>
      <c r="BM535" s="68"/>
      <c r="BN535" s="68"/>
      <c r="BO535" s="68"/>
      <c r="BP535" s="68"/>
      <c r="BQ535" s="68"/>
      <c r="BR535" s="68"/>
      <c r="BS535" s="68"/>
      <c r="BT535" s="68"/>
      <c r="BU535" s="68"/>
      <c r="BV535" s="68"/>
      <c r="BW535" s="68"/>
      <c r="BX535" s="68"/>
      <c r="BY535" s="68"/>
      <c r="BZ535" s="68"/>
      <c r="CA535" s="68"/>
      <c r="CB535" s="68"/>
      <c r="CC535" s="68"/>
      <c r="CD535" s="68"/>
      <c r="CE535" s="68"/>
      <c r="CF535" s="68"/>
      <c r="CG535" s="68"/>
      <c r="CH535" s="68"/>
      <c r="CI535" s="68"/>
      <c r="CJ535" s="68"/>
      <c r="CK535" s="68"/>
      <c r="CL535" s="68"/>
      <c r="CM535" s="68"/>
      <c r="CN535" s="68"/>
      <c r="CO535" s="68"/>
      <c r="CP535" s="68"/>
      <c r="CQ535" s="68"/>
      <c r="CR535" s="68"/>
      <c r="CS535" s="68"/>
      <c r="CT535" s="68"/>
      <c r="CU535" s="68"/>
      <c r="CV535" s="68"/>
      <c r="CW535" s="68"/>
      <c r="CX535" s="68"/>
    </row>
    <row r="536" spans="1:102" s="71" customFormat="1" hidden="1">
      <c r="A536" s="210"/>
      <c r="B536" s="210"/>
      <c r="C536" s="109"/>
      <c r="D536" s="72"/>
      <c r="E536" s="136"/>
      <c r="F536" s="136"/>
      <c r="G536" s="211"/>
      <c r="H536" s="136"/>
      <c r="I536" s="211"/>
      <c r="J536" s="211"/>
      <c r="K536" s="211"/>
      <c r="L536" s="136"/>
      <c r="M536" s="136"/>
      <c r="N536" s="136"/>
      <c r="O536" s="212"/>
      <c r="P536" s="116"/>
      <c r="Q536" s="103"/>
      <c r="R536" s="103"/>
      <c r="S536" s="103"/>
      <c r="T536" s="103"/>
      <c r="U536" s="68"/>
      <c r="V536" s="69"/>
      <c r="W536" s="68"/>
      <c r="X536" s="68"/>
      <c r="Y536" s="68"/>
      <c r="Z536" s="68"/>
      <c r="AA536" s="68"/>
      <c r="AB536" s="68"/>
      <c r="AC536" s="68"/>
      <c r="AD536" s="68"/>
      <c r="AE536" s="68"/>
      <c r="AF536" s="68"/>
      <c r="AG536" s="68"/>
      <c r="AH536" s="68"/>
      <c r="AI536" s="68"/>
      <c r="AJ536" s="68"/>
      <c r="AK536" s="68"/>
      <c r="AL536" s="68"/>
      <c r="AM536" s="68"/>
      <c r="AN536" s="68"/>
      <c r="AO536" s="68"/>
      <c r="AP536" s="68"/>
      <c r="AQ536" s="68"/>
      <c r="AR536" s="68"/>
      <c r="AS536" s="68"/>
      <c r="AT536" s="68"/>
      <c r="AU536" s="68"/>
      <c r="AV536" s="68"/>
      <c r="AW536" s="68"/>
      <c r="AX536" s="68"/>
      <c r="AY536" s="68"/>
      <c r="AZ536" s="68"/>
      <c r="BA536" s="68"/>
      <c r="BB536" s="68"/>
      <c r="BC536" s="68"/>
      <c r="BD536" s="68"/>
      <c r="BE536" s="68"/>
      <c r="BF536" s="68"/>
      <c r="BG536" s="68"/>
      <c r="BH536" s="68"/>
      <c r="BI536" s="68"/>
      <c r="BJ536" s="68"/>
      <c r="BK536" s="68"/>
      <c r="BL536" s="68"/>
      <c r="BM536" s="68"/>
      <c r="BN536" s="68"/>
      <c r="BO536" s="68"/>
      <c r="BP536" s="68"/>
      <c r="BQ536" s="68"/>
      <c r="BR536" s="68"/>
      <c r="BS536" s="68"/>
      <c r="BT536" s="68"/>
      <c r="BU536" s="68"/>
      <c r="BV536" s="68"/>
      <c r="BW536" s="68"/>
      <c r="BX536" s="68"/>
      <c r="BY536" s="68"/>
      <c r="BZ536" s="68"/>
      <c r="CA536" s="68"/>
      <c r="CB536" s="68"/>
      <c r="CC536" s="68"/>
      <c r="CD536" s="68"/>
      <c r="CE536" s="68"/>
      <c r="CF536" s="68"/>
      <c r="CG536" s="68"/>
      <c r="CH536" s="68"/>
      <c r="CI536" s="68"/>
      <c r="CJ536" s="68"/>
      <c r="CK536" s="68"/>
      <c r="CL536" s="68"/>
      <c r="CM536" s="68"/>
      <c r="CN536" s="68"/>
      <c r="CO536" s="68"/>
      <c r="CP536" s="68"/>
      <c r="CQ536" s="68"/>
      <c r="CR536" s="68"/>
      <c r="CS536" s="68"/>
      <c r="CT536" s="68"/>
      <c r="CU536" s="68"/>
      <c r="CV536" s="68"/>
      <c r="CW536" s="68"/>
      <c r="CX536" s="68"/>
    </row>
    <row r="537" spans="1:102" s="71" customFormat="1" hidden="1">
      <c r="A537" s="210"/>
      <c r="B537" s="210"/>
      <c r="C537" s="109"/>
      <c r="D537" s="72"/>
      <c r="E537" s="136"/>
      <c r="F537" s="136"/>
      <c r="G537" s="211"/>
      <c r="H537" s="136"/>
      <c r="I537" s="211"/>
      <c r="J537" s="211"/>
      <c r="K537" s="211"/>
      <c r="L537" s="136"/>
      <c r="M537" s="136"/>
      <c r="N537" s="136"/>
      <c r="O537" s="212"/>
      <c r="P537" s="116"/>
      <c r="Q537" s="103"/>
      <c r="R537" s="103"/>
      <c r="S537" s="103"/>
      <c r="T537" s="103"/>
      <c r="U537" s="68"/>
      <c r="V537" s="69"/>
      <c r="W537" s="68"/>
      <c r="X537" s="68"/>
      <c r="Y537" s="68"/>
      <c r="Z537" s="68"/>
      <c r="AA537" s="68"/>
      <c r="AB537" s="68"/>
      <c r="AC537" s="68"/>
      <c r="AD537" s="68"/>
      <c r="AE537" s="68"/>
      <c r="AF537" s="68"/>
      <c r="AG537" s="68"/>
      <c r="AH537" s="68"/>
      <c r="AI537" s="68"/>
      <c r="AJ537" s="68"/>
      <c r="AK537" s="68"/>
      <c r="AL537" s="68"/>
      <c r="AM537" s="68"/>
      <c r="AN537" s="68"/>
      <c r="AO537" s="68"/>
      <c r="AP537" s="68"/>
      <c r="AQ537" s="68"/>
      <c r="AR537" s="68"/>
      <c r="AS537" s="68"/>
      <c r="AT537" s="68"/>
      <c r="AU537" s="68"/>
      <c r="AV537" s="68"/>
      <c r="AW537" s="68"/>
      <c r="AX537" s="68"/>
      <c r="AY537" s="68"/>
      <c r="AZ537" s="68"/>
      <c r="BA537" s="68"/>
      <c r="BB537" s="68"/>
      <c r="BC537" s="68"/>
      <c r="BD537" s="68"/>
      <c r="BE537" s="68"/>
      <c r="BF537" s="68"/>
      <c r="BG537" s="68"/>
      <c r="BH537" s="68"/>
      <c r="BI537" s="68"/>
      <c r="BJ537" s="68"/>
      <c r="BK537" s="68"/>
      <c r="BL537" s="68"/>
      <c r="BM537" s="68"/>
      <c r="BN537" s="68"/>
      <c r="BO537" s="68"/>
      <c r="BP537" s="68"/>
      <c r="BQ537" s="68"/>
      <c r="BR537" s="68"/>
      <c r="BS537" s="68"/>
      <c r="BT537" s="68"/>
      <c r="BU537" s="68"/>
      <c r="BV537" s="68"/>
      <c r="BW537" s="68"/>
      <c r="BX537" s="68"/>
      <c r="BY537" s="68"/>
      <c r="BZ537" s="68"/>
      <c r="CA537" s="68"/>
      <c r="CB537" s="68"/>
      <c r="CC537" s="68"/>
      <c r="CD537" s="68"/>
      <c r="CE537" s="68"/>
      <c r="CF537" s="68"/>
      <c r="CG537" s="68"/>
      <c r="CH537" s="68"/>
      <c r="CI537" s="68"/>
      <c r="CJ537" s="68"/>
      <c r="CK537" s="68"/>
      <c r="CL537" s="68"/>
      <c r="CM537" s="68"/>
      <c r="CN537" s="68"/>
      <c r="CO537" s="68"/>
      <c r="CP537" s="68"/>
      <c r="CQ537" s="68"/>
      <c r="CR537" s="68"/>
      <c r="CS537" s="68"/>
      <c r="CT537" s="68"/>
      <c r="CU537" s="68"/>
      <c r="CV537" s="68"/>
      <c r="CW537" s="68"/>
      <c r="CX537" s="68"/>
    </row>
    <row r="538" spans="1:102" s="71" customFormat="1" hidden="1">
      <c r="A538" s="210"/>
      <c r="B538" s="210"/>
      <c r="C538" s="109"/>
      <c r="D538" s="72"/>
      <c r="E538" s="136"/>
      <c r="F538" s="136"/>
      <c r="G538" s="211"/>
      <c r="H538" s="136"/>
      <c r="I538" s="211"/>
      <c r="J538" s="211"/>
      <c r="K538" s="211"/>
      <c r="L538" s="136"/>
      <c r="M538" s="136"/>
      <c r="N538" s="136"/>
      <c r="O538" s="212"/>
      <c r="P538" s="116"/>
      <c r="Q538" s="103"/>
      <c r="R538" s="103"/>
      <c r="S538" s="103"/>
      <c r="T538" s="103"/>
      <c r="U538" s="68"/>
      <c r="V538" s="69"/>
      <c r="W538" s="68"/>
      <c r="X538" s="68"/>
      <c r="Y538" s="68"/>
      <c r="Z538" s="68"/>
      <c r="AA538" s="68"/>
      <c r="AB538" s="68"/>
      <c r="AC538" s="68"/>
      <c r="AD538" s="68"/>
      <c r="AE538" s="68"/>
      <c r="AF538" s="68"/>
      <c r="AG538" s="68"/>
      <c r="AH538" s="68"/>
      <c r="AI538" s="68"/>
      <c r="AJ538" s="68"/>
      <c r="AK538" s="68"/>
      <c r="AL538" s="68"/>
      <c r="AM538" s="68"/>
      <c r="AN538" s="68"/>
      <c r="AO538" s="68"/>
      <c r="AP538" s="68"/>
      <c r="AQ538" s="68"/>
      <c r="AR538" s="68"/>
      <c r="AS538" s="68"/>
      <c r="AT538" s="68"/>
      <c r="AU538" s="68"/>
      <c r="AV538" s="68"/>
      <c r="AW538" s="68"/>
      <c r="AX538" s="68"/>
      <c r="AY538" s="68"/>
      <c r="AZ538" s="68"/>
      <c r="BA538" s="68"/>
      <c r="BB538" s="68"/>
      <c r="BC538" s="68"/>
      <c r="BD538" s="68"/>
      <c r="BE538" s="68"/>
      <c r="BF538" s="68"/>
      <c r="BG538" s="68"/>
      <c r="BH538" s="68"/>
      <c r="BI538" s="68"/>
      <c r="BJ538" s="68"/>
      <c r="BK538" s="68"/>
      <c r="BL538" s="68"/>
      <c r="BM538" s="68"/>
      <c r="BN538" s="68"/>
      <c r="BO538" s="68"/>
      <c r="BP538" s="68"/>
      <c r="BQ538" s="68"/>
      <c r="BR538" s="68"/>
      <c r="BS538" s="68"/>
      <c r="BT538" s="68"/>
      <c r="BU538" s="68"/>
      <c r="BV538" s="68"/>
      <c r="BW538" s="68"/>
      <c r="BX538" s="68"/>
      <c r="BY538" s="68"/>
      <c r="BZ538" s="68"/>
      <c r="CA538" s="68"/>
      <c r="CB538" s="68"/>
      <c r="CC538" s="68"/>
      <c r="CD538" s="68"/>
      <c r="CE538" s="68"/>
      <c r="CF538" s="68"/>
      <c r="CG538" s="68"/>
      <c r="CH538" s="68"/>
      <c r="CI538" s="68"/>
      <c r="CJ538" s="68"/>
      <c r="CK538" s="68"/>
      <c r="CL538" s="68"/>
      <c r="CM538" s="68"/>
      <c r="CN538" s="68"/>
      <c r="CO538" s="68"/>
      <c r="CP538" s="68"/>
      <c r="CQ538" s="68"/>
      <c r="CR538" s="68"/>
      <c r="CS538" s="68"/>
      <c r="CT538" s="68"/>
      <c r="CU538" s="68"/>
      <c r="CV538" s="68"/>
      <c r="CW538" s="68"/>
      <c r="CX538" s="68"/>
    </row>
    <row r="539" spans="1:102" s="71" customFormat="1" hidden="1">
      <c r="A539" s="210"/>
      <c r="B539" s="210"/>
      <c r="C539" s="109"/>
      <c r="D539" s="72"/>
      <c r="E539" s="136"/>
      <c r="F539" s="136"/>
      <c r="G539" s="211"/>
      <c r="H539" s="136"/>
      <c r="I539" s="211"/>
      <c r="J539" s="211"/>
      <c r="K539" s="211"/>
      <c r="L539" s="136"/>
      <c r="M539" s="136"/>
      <c r="N539" s="136"/>
      <c r="O539" s="212"/>
      <c r="P539" s="116"/>
      <c r="Q539" s="103"/>
      <c r="R539" s="103"/>
      <c r="S539" s="103"/>
      <c r="T539" s="103"/>
      <c r="U539" s="68"/>
      <c r="V539" s="69"/>
      <c r="W539" s="68"/>
      <c r="X539" s="68"/>
      <c r="Y539" s="68"/>
      <c r="Z539" s="68"/>
      <c r="AA539" s="68"/>
      <c r="AB539" s="68"/>
      <c r="AC539" s="68"/>
      <c r="AD539" s="68"/>
      <c r="AE539" s="68"/>
      <c r="AF539" s="68"/>
      <c r="AG539" s="68"/>
      <c r="AH539" s="68"/>
      <c r="AI539" s="68"/>
      <c r="AJ539" s="68"/>
      <c r="AK539" s="68"/>
      <c r="AL539" s="68"/>
      <c r="AM539" s="68"/>
      <c r="AN539" s="68"/>
      <c r="AO539" s="68"/>
      <c r="AP539" s="68"/>
      <c r="AQ539" s="68"/>
      <c r="AR539" s="68"/>
      <c r="AS539" s="68"/>
      <c r="AT539" s="68"/>
      <c r="AU539" s="68"/>
      <c r="AV539" s="68"/>
      <c r="AW539" s="68"/>
      <c r="AX539" s="68"/>
      <c r="AY539" s="68"/>
      <c r="AZ539" s="68"/>
      <c r="BA539" s="68"/>
      <c r="BB539" s="68"/>
      <c r="BC539" s="68"/>
      <c r="BD539" s="68"/>
      <c r="BE539" s="68"/>
      <c r="BF539" s="68"/>
      <c r="BG539" s="68"/>
      <c r="BH539" s="68"/>
      <c r="BI539" s="68"/>
      <c r="BJ539" s="68"/>
      <c r="BK539" s="68"/>
      <c r="BL539" s="68"/>
      <c r="BM539" s="68"/>
      <c r="BN539" s="68"/>
      <c r="BO539" s="68"/>
      <c r="BP539" s="68"/>
      <c r="BQ539" s="68"/>
      <c r="BR539" s="68"/>
      <c r="BS539" s="68"/>
      <c r="BT539" s="68"/>
      <c r="BU539" s="68"/>
      <c r="BV539" s="68"/>
      <c r="BW539" s="68"/>
      <c r="BX539" s="68"/>
      <c r="BY539" s="68"/>
      <c r="BZ539" s="68"/>
      <c r="CA539" s="68"/>
      <c r="CB539" s="68"/>
      <c r="CC539" s="68"/>
      <c r="CD539" s="68"/>
      <c r="CE539" s="68"/>
      <c r="CF539" s="68"/>
      <c r="CG539" s="68"/>
      <c r="CH539" s="68"/>
      <c r="CI539" s="68"/>
      <c r="CJ539" s="68"/>
      <c r="CK539" s="68"/>
      <c r="CL539" s="68"/>
      <c r="CM539" s="68"/>
      <c r="CN539" s="68"/>
      <c r="CO539" s="68"/>
      <c r="CP539" s="68"/>
      <c r="CQ539" s="68"/>
      <c r="CR539" s="68"/>
      <c r="CS539" s="68"/>
      <c r="CT539" s="68"/>
      <c r="CU539" s="68"/>
      <c r="CV539" s="68"/>
      <c r="CW539" s="68"/>
      <c r="CX539" s="68"/>
    </row>
    <row r="540" spans="1:102" s="71" customFormat="1" hidden="1">
      <c r="A540" s="210"/>
      <c r="B540" s="210"/>
      <c r="C540" s="109"/>
      <c r="D540" s="72"/>
      <c r="E540" s="136"/>
      <c r="F540" s="136"/>
      <c r="G540" s="211"/>
      <c r="H540" s="136"/>
      <c r="I540" s="211"/>
      <c r="J540" s="211"/>
      <c r="K540" s="211"/>
      <c r="L540" s="136"/>
      <c r="M540" s="136"/>
      <c r="N540" s="136"/>
      <c r="O540" s="212"/>
      <c r="P540" s="116"/>
      <c r="Q540" s="103"/>
      <c r="R540" s="103"/>
      <c r="S540" s="103"/>
      <c r="T540" s="103"/>
      <c r="U540" s="68"/>
      <c r="V540" s="69"/>
      <c r="W540" s="68"/>
      <c r="X540" s="68"/>
      <c r="Y540" s="68"/>
      <c r="Z540" s="68"/>
      <c r="AA540" s="68"/>
      <c r="AB540" s="68"/>
      <c r="AC540" s="68"/>
      <c r="AD540" s="68"/>
      <c r="AE540" s="68"/>
      <c r="AF540" s="68"/>
      <c r="AG540" s="68"/>
      <c r="AH540" s="68"/>
      <c r="AI540" s="68"/>
      <c r="AJ540" s="68"/>
      <c r="AK540" s="68"/>
      <c r="AL540" s="68"/>
      <c r="AM540" s="68"/>
      <c r="AN540" s="68"/>
      <c r="AO540" s="68"/>
      <c r="AP540" s="68"/>
      <c r="AQ540" s="68"/>
      <c r="AR540" s="68"/>
      <c r="AS540" s="68"/>
      <c r="AT540" s="68"/>
      <c r="AU540" s="68"/>
      <c r="AV540" s="68"/>
      <c r="AW540" s="68"/>
      <c r="AX540" s="68"/>
      <c r="AY540" s="68"/>
      <c r="AZ540" s="68"/>
      <c r="BA540" s="68"/>
      <c r="BB540" s="68"/>
      <c r="BC540" s="68"/>
      <c r="BD540" s="68"/>
      <c r="BE540" s="68"/>
      <c r="BF540" s="68"/>
      <c r="BG540" s="68"/>
      <c r="BH540" s="68"/>
      <c r="BI540" s="68"/>
      <c r="BJ540" s="68"/>
      <c r="BK540" s="68"/>
      <c r="BL540" s="68"/>
      <c r="BM540" s="68"/>
      <c r="BN540" s="68"/>
      <c r="BO540" s="68"/>
      <c r="BP540" s="68"/>
      <c r="BQ540" s="68"/>
      <c r="BR540" s="68"/>
      <c r="BS540" s="68"/>
      <c r="BT540" s="68"/>
      <c r="BU540" s="68"/>
      <c r="BV540" s="68"/>
      <c r="BW540" s="68"/>
      <c r="BX540" s="68"/>
      <c r="BY540" s="68"/>
      <c r="BZ540" s="68"/>
      <c r="CA540" s="68"/>
      <c r="CB540" s="68"/>
      <c r="CC540" s="68"/>
      <c r="CD540" s="68"/>
      <c r="CE540" s="68"/>
      <c r="CF540" s="68"/>
      <c r="CG540" s="68"/>
      <c r="CH540" s="68"/>
      <c r="CI540" s="68"/>
      <c r="CJ540" s="68"/>
      <c r="CK540" s="68"/>
      <c r="CL540" s="68"/>
      <c r="CM540" s="68"/>
      <c r="CN540" s="68"/>
      <c r="CO540" s="68"/>
      <c r="CP540" s="68"/>
      <c r="CQ540" s="68"/>
      <c r="CR540" s="68"/>
      <c r="CS540" s="68"/>
      <c r="CT540" s="68"/>
      <c r="CU540" s="68"/>
      <c r="CV540" s="68"/>
      <c r="CW540" s="68"/>
      <c r="CX540" s="68"/>
    </row>
    <row r="541" spans="1:102" s="71" customFormat="1" hidden="1">
      <c r="A541" s="210"/>
      <c r="B541" s="210"/>
      <c r="C541" s="109"/>
      <c r="D541" s="72"/>
      <c r="E541" s="136"/>
      <c r="F541" s="136"/>
      <c r="G541" s="211"/>
      <c r="H541" s="136"/>
      <c r="I541" s="211"/>
      <c r="J541" s="211"/>
      <c r="K541" s="211"/>
      <c r="L541" s="136"/>
      <c r="M541" s="136"/>
      <c r="N541" s="136"/>
      <c r="O541" s="212"/>
      <c r="P541" s="116"/>
      <c r="Q541" s="103"/>
      <c r="R541" s="103"/>
      <c r="S541" s="103"/>
      <c r="T541" s="103"/>
      <c r="U541" s="68"/>
      <c r="V541" s="69"/>
      <c r="W541" s="68"/>
      <c r="X541" s="68"/>
      <c r="Y541" s="68"/>
      <c r="Z541" s="68"/>
      <c r="AA541" s="68"/>
      <c r="AB541" s="68"/>
      <c r="AC541" s="68"/>
      <c r="AD541" s="68"/>
      <c r="AE541" s="68"/>
      <c r="AF541" s="68"/>
      <c r="AG541" s="68"/>
      <c r="AH541" s="68"/>
      <c r="AI541" s="68"/>
      <c r="AJ541" s="68"/>
      <c r="AK541" s="68"/>
      <c r="AL541" s="68"/>
      <c r="AM541" s="68"/>
      <c r="AN541" s="68"/>
      <c r="AO541" s="68"/>
      <c r="AP541" s="68"/>
      <c r="AQ541" s="68"/>
      <c r="AR541" s="68"/>
      <c r="AS541" s="68"/>
      <c r="AT541" s="68"/>
      <c r="AU541" s="68"/>
      <c r="AV541" s="68"/>
      <c r="AW541" s="68"/>
      <c r="AX541" s="68"/>
      <c r="AY541" s="68"/>
      <c r="AZ541" s="68"/>
      <c r="BA541" s="68"/>
      <c r="BB541" s="68"/>
      <c r="BC541" s="68"/>
      <c r="BD541" s="68"/>
      <c r="BE541" s="68"/>
      <c r="BF541" s="68"/>
      <c r="BG541" s="68"/>
      <c r="BH541" s="68"/>
      <c r="BI541" s="68"/>
      <c r="BJ541" s="68"/>
      <c r="BK541" s="68"/>
      <c r="BL541" s="68"/>
      <c r="BM541" s="68"/>
      <c r="BN541" s="68"/>
      <c r="BO541" s="68"/>
      <c r="BP541" s="68"/>
      <c r="BQ541" s="68"/>
      <c r="BR541" s="68"/>
      <c r="BS541" s="68"/>
      <c r="BT541" s="68"/>
      <c r="BU541" s="68"/>
      <c r="BV541" s="68"/>
      <c r="BW541" s="68"/>
      <c r="BX541" s="68"/>
      <c r="BY541" s="68"/>
      <c r="BZ541" s="68"/>
      <c r="CA541" s="68"/>
      <c r="CB541" s="68"/>
      <c r="CC541" s="68"/>
      <c r="CD541" s="68"/>
      <c r="CE541" s="68"/>
      <c r="CF541" s="68"/>
      <c r="CG541" s="68"/>
      <c r="CH541" s="68"/>
      <c r="CI541" s="68"/>
      <c r="CJ541" s="68"/>
      <c r="CK541" s="68"/>
      <c r="CL541" s="68"/>
      <c r="CM541" s="68"/>
      <c r="CN541" s="68"/>
      <c r="CO541" s="68"/>
      <c r="CP541" s="68"/>
      <c r="CQ541" s="68"/>
      <c r="CR541" s="68"/>
      <c r="CS541" s="68"/>
      <c r="CT541" s="68"/>
      <c r="CU541" s="68"/>
      <c r="CV541" s="68"/>
      <c r="CW541" s="68"/>
      <c r="CX541" s="68"/>
    </row>
    <row r="542" spans="1:102" s="71" customFormat="1" hidden="1">
      <c r="A542" s="210"/>
      <c r="B542" s="210"/>
      <c r="C542" s="109"/>
      <c r="D542" s="72"/>
      <c r="E542" s="136"/>
      <c r="F542" s="136"/>
      <c r="G542" s="211"/>
      <c r="H542" s="136"/>
      <c r="I542" s="211"/>
      <c r="J542" s="211"/>
      <c r="K542" s="211"/>
      <c r="L542" s="136"/>
      <c r="M542" s="136"/>
      <c r="N542" s="136"/>
      <c r="O542" s="212"/>
      <c r="P542" s="116"/>
      <c r="Q542" s="103"/>
      <c r="R542" s="103"/>
      <c r="S542" s="103"/>
      <c r="T542" s="103"/>
      <c r="U542" s="68"/>
      <c r="V542" s="69"/>
      <c r="W542" s="68"/>
      <c r="X542" s="68"/>
      <c r="Y542" s="68"/>
      <c r="Z542" s="68"/>
      <c r="AA542" s="68"/>
      <c r="AB542" s="68"/>
      <c r="AC542" s="68"/>
      <c r="AD542" s="68"/>
      <c r="AE542" s="68"/>
      <c r="AF542" s="68"/>
      <c r="AG542" s="68"/>
      <c r="AH542" s="68"/>
      <c r="AI542" s="68"/>
      <c r="AJ542" s="68"/>
      <c r="AK542" s="68"/>
      <c r="AL542" s="68"/>
      <c r="AM542" s="68"/>
      <c r="AN542" s="68"/>
      <c r="AO542" s="68"/>
      <c r="AP542" s="68"/>
      <c r="AQ542" s="68"/>
      <c r="AR542" s="68"/>
      <c r="AS542" s="68"/>
      <c r="AT542" s="68"/>
      <c r="AU542" s="68"/>
      <c r="AV542" s="68"/>
      <c r="AW542" s="68"/>
      <c r="AX542" s="68"/>
      <c r="AY542" s="68"/>
      <c r="AZ542" s="68"/>
      <c r="BA542" s="68"/>
      <c r="BB542" s="68"/>
      <c r="BC542" s="68"/>
      <c r="BD542" s="68"/>
      <c r="BE542" s="68"/>
      <c r="BF542" s="68"/>
      <c r="BG542" s="68"/>
      <c r="BH542" s="68"/>
      <c r="BI542" s="68"/>
      <c r="BJ542" s="68"/>
      <c r="BK542" s="68"/>
      <c r="BL542" s="68"/>
      <c r="BM542" s="68"/>
      <c r="BN542" s="68"/>
      <c r="BO542" s="68"/>
      <c r="BP542" s="68"/>
      <c r="BQ542" s="68"/>
      <c r="BR542" s="68"/>
      <c r="BS542" s="68"/>
      <c r="BT542" s="68"/>
      <c r="BU542" s="68"/>
      <c r="BV542" s="68"/>
      <c r="BW542" s="68"/>
      <c r="BX542" s="68"/>
      <c r="BY542" s="68"/>
      <c r="BZ542" s="68"/>
      <c r="CA542" s="68"/>
      <c r="CB542" s="68"/>
      <c r="CC542" s="68"/>
      <c r="CD542" s="68"/>
      <c r="CE542" s="68"/>
      <c r="CF542" s="68"/>
      <c r="CG542" s="68"/>
      <c r="CH542" s="68"/>
      <c r="CI542" s="68"/>
      <c r="CJ542" s="68"/>
      <c r="CK542" s="68"/>
      <c r="CL542" s="68"/>
      <c r="CM542" s="68"/>
      <c r="CN542" s="68"/>
      <c r="CO542" s="68"/>
      <c r="CP542" s="68"/>
      <c r="CQ542" s="68"/>
      <c r="CR542" s="68"/>
      <c r="CS542" s="68"/>
      <c r="CT542" s="68"/>
      <c r="CU542" s="68"/>
      <c r="CV542" s="68"/>
      <c r="CW542" s="68"/>
      <c r="CX542" s="68"/>
    </row>
    <row r="543" spans="1:102" s="71" customFormat="1" hidden="1">
      <c r="A543" s="210"/>
      <c r="B543" s="210"/>
      <c r="C543" s="109"/>
      <c r="D543" s="72"/>
      <c r="E543" s="136"/>
      <c r="F543" s="136"/>
      <c r="G543" s="211"/>
      <c r="H543" s="136"/>
      <c r="I543" s="211"/>
      <c r="J543" s="211"/>
      <c r="K543" s="211"/>
      <c r="L543" s="136"/>
      <c r="M543" s="136"/>
      <c r="N543" s="136"/>
      <c r="O543" s="212"/>
      <c r="P543" s="116"/>
      <c r="Q543" s="103"/>
      <c r="R543" s="103"/>
      <c r="S543" s="103"/>
      <c r="T543" s="103"/>
      <c r="U543" s="68"/>
      <c r="V543" s="69"/>
      <c r="W543" s="68"/>
      <c r="X543" s="68"/>
      <c r="Y543" s="68"/>
      <c r="Z543" s="68"/>
      <c r="AA543" s="68"/>
      <c r="AB543" s="68"/>
      <c r="AC543" s="68"/>
      <c r="AD543" s="68"/>
      <c r="AE543" s="68"/>
      <c r="AF543" s="68"/>
      <c r="AG543" s="68"/>
      <c r="AH543" s="68"/>
      <c r="AI543" s="68"/>
      <c r="AJ543" s="68"/>
      <c r="AK543" s="68"/>
      <c r="AL543" s="68"/>
      <c r="AM543" s="68"/>
      <c r="AN543" s="68"/>
      <c r="AO543" s="68"/>
      <c r="AP543" s="68"/>
      <c r="AQ543" s="68"/>
      <c r="AR543" s="68"/>
      <c r="AS543" s="68"/>
      <c r="AT543" s="68"/>
      <c r="AU543" s="68"/>
      <c r="AV543" s="68"/>
      <c r="AW543" s="68"/>
      <c r="AX543" s="68"/>
      <c r="AY543" s="68"/>
      <c r="AZ543" s="68"/>
      <c r="BA543" s="68"/>
      <c r="BB543" s="68"/>
      <c r="BC543" s="68"/>
      <c r="BD543" s="68"/>
      <c r="BE543" s="68"/>
      <c r="BF543" s="68"/>
      <c r="BG543" s="68"/>
      <c r="BH543" s="68"/>
      <c r="BI543" s="68"/>
      <c r="BJ543" s="68"/>
      <c r="BK543" s="68"/>
      <c r="BL543" s="68"/>
      <c r="BM543" s="68"/>
      <c r="BN543" s="68"/>
      <c r="BO543" s="68"/>
      <c r="BP543" s="68"/>
      <c r="BQ543" s="68"/>
      <c r="BR543" s="68"/>
      <c r="BS543" s="68"/>
      <c r="BT543" s="68"/>
      <c r="BU543" s="68"/>
      <c r="BV543" s="68"/>
      <c r="BW543" s="68"/>
      <c r="BX543" s="68"/>
      <c r="BY543" s="68"/>
      <c r="BZ543" s="68"/>
      <c r="CA543" s="68"/>
      <c r="CB543" s="68"/>
      <c r="CC543" s="68"/>
      <c r="CD543" s="68"/>
      <c r="CE543" s="68"/>
      <c r="CF543" s="68"/>
      <c r="CG543" s="68"/>
      <c r="CH543" s="68"/>
      <c r="CI543" s="68"/>
      <c r="CJ543" s="68"/>
      <c r="CK543" s="68"/>
      <c r="CL543" s="68"/>
      <c r="CM543" s="68"/>
      <c r="CN543" s="68"/>
      <c r="CO543" s="68"/>
      <c r="CP543" s="68"/>
      <c r="CQ543" s="68"/>
      <c r="CR543" s="68"/>
      <c r="CS543" s="68"/>
      <c r="CT543" s="68"/>
      <c r="CU543" s="68"/>
      <c r="CV543" s="68"/>
      <c r="CW543" s="68"/>
      <c r="CX543" s="68"/>
    </row>
    <row r="544" spans="1:102" s="71" customFormat="1" hidden="1">
      <c r="A544" s="210"/>
      <c r="B544" s="210"/>
      <c r="C544" s="109"/>
      <c r="D544" s="72"/>
      <c r="E544" s="136"/>
      <c r="F544" s="136"/>
      <c r="G544" s="211"/>
      <c r="H544" s="136"/>
      <c r="I544" s="211"/>
      <c r="J544" s="211"/>
      <c r="K544" s="211"/>
      <c r="L544" s="136"/>
      <c r="M544" s="136"/>
      <c r="N544" s="136"/>
      <c r="O544" s="212"/>
      <c r="P544" s="116"/>
      <c r="Q544" s="103"/>
      <c r="R544" s="103"/>
      <c r="S544" s="103"/>
      <c r="T544" s="103"/>
      <c r="U544" s="68"/>
      <c r="V544" s="69"/>
      <c r="W544" s="68"/>
      <c r="X544" s="68"/>
      <c r="Y544" s="68"/>
      <c r="Z544" s="68"/>
      <c r="AA544" s="68"/>
      <c r="AB544" s="68"/>
      <c r="AC544" s="68"/>
      <c r="AD544" s="68"/>
      <c r="AE544" s="68"/>
      <c r="AF544" s="68"/>
      <c r="AG544" s="68"/>
      <c r="AH544" s="68"/>
      <c r="AI544" s="68"/>
      <c r="AJ544" s="68"/>
      <c r="AK544" s="68"/>
      <c r="AL544" s="68"/>
      <c r="AM544" s="68"/>
      <c r="AN544" s="68"/>
      <c r="AO544" s="68"/>
      <c r="AP544" s="68"/>
      <c r="AQ544" s="68"/>
      <c r="AR544" s="68"/>
      <c r="AS544" s="68"/>
      <c r="AT544" s="68"/>
      <c r="AU544" s="68"/>
      <c r="AV544" s="68"/>
      <c r="AW544" s="68"/>
      <c r="AX544" s="68"/>
      <c r="AY544" s="68"/>
      <c r="AZ544" s="68"/>
      <c r="BA544" s="68"/>
      <c r="BB544" s="68"/>
      <c r="BC544" s="68"/>
      <c r="BD544" s="68"/>
      <c r="BE544" s="68"/>
      <c r="BF544" s="68"/>
      <c r="BG544" s="68"/>
      <c r="BH544" s="68"/>
      <c r="BI544" s="68"/>
      <c r="BJ544" s="68"/>
      <c r="BK544" s="68"/>
      <c r="BL544" s="68"/>
      <c r="BM544" s="68"/>
      <c r="BN544" s="68"/>
      <c r="BO544" s="68"/>
      <c r="BP544" s="68"/>
      <c r="BQ544" s="68"/>
      <c r="BR544" s="68"/>
      <c r="BS544" s="68"/>
      <c r="BT544" s="68"/>
      <c r="BU544" s="68"/>
      <c r="BV544" s="68"/>
      <c r="BW544" s="68"/>
      <c r="BX544" s="68"/>
      <c r="BY544" s="68"/>
      <c r="BZ544" s="68"/>
      <c r="CA544" s="68"/>
      <c r="CB544" s="68"/>
      <c r="CC544" s="68"/>
      <c r="CD544" s="68"/>
      <c r="CE544" s="68"/>
      <c r="CF544" s="68"/>
      <c r="CG544" s="68"/>
      <c r="CH544" s="68"/>
      <c r="CI544" s="68"/>
      <c r="CJ544" s="68"/>
      <c r="CK544" s="68"/>
      <c r="CL544" s="68"/>
      <c r="CM544" s="68"/>
      <c r="CN544" s="68"/>
      <c r="CO544" s="68"/>
      <c r="CP544" s="68"/>
      <c r="CQ544" s="68"/>
      <c r="CR544" s="68"/>
      <c r="CS544" s="68"/>
      <c r="CT544" s="68"/>
      <c r="CU544" s="68"/>
      <c r="CV544" s="68"/>
      <c r="CW544" s="68"/>
      <c r="CX544" s="68"/>
    </row>
    <row r="545" spans="1:102" s="71" customFormat="1" hidden="1">
      <c r="A545" s="210"/>
      <c r="B545" s="210"/>
      <c r="C545" s="109"/>
      <c r="D545" s="72"/>
      <c r="E545" s="136"/>
      <c r="F545" s="136"/>
      <c r="G545" s="211"/>
      <c r="H545" s="136"/>
      <c r="I545" s="211"/>
      <c r="J545" s="211"/>
      <c r="K545" s="211"/>
      <c r="L545" s="136"/>
      <c r="M545" s="136"/>
      <c r="N545" s="136"/>
      <c r="O545" s="212"/>
      <c r="P545" s="116"/>
      <c r="Q545" s="103"/>
      <c r="R545" s="103"/>
      <c r="S545" s="103"/>
      <c r="T545" s="103"/>
      <c r="U545" s="68"/>
      <c r="V545" s="69"/>
      <c r="W545" s="68"/>
      <c r="X545" s="68"/>
      <c r="Y545" s="68"/>
      <c r="Z545" s="68"/>
      <c r="AA545" s="68"/>
      <c r="AB545" s="68"/>
      <c r="AC545" s="68"/>
      <c r="AD545" s="68"/>
      <c r="AE545" s="68"/>
      <c r="AF545" s="68"/>
      <c r="AG545" s="68"/>
      <c r="AH545" s="68"/>
      <c r="AI545" s="68"/>
      <c r="AJ545" s="68"/>
      <c r="AK545" s="68"/>
      <c r="AL545" s="68"/>
      <c r="AM545" s="68"/>
      <c r="AN545" s="68"/>
      <c r="AO545" s="68"/>
      <c r="AP545" s="68"/>
      <c r="AQ545" s="68"/>
      <c r="AR545" s="68"/>
      <c r="AS545" s="68"/>
      <c r="AT545" s="68"/>
      <c r="AU545" s="68"/>
      <c r="AV545" s="68"/>
      <c r="AW545" s="68"/>
      <c r="AX545" s="68"/>
      <c r="AY545" s="68"/>
      <c r="AZ545" s="68"/>
      <c r="BA545" s="68"/>
      <c r="BB545" s="68"/>
      <c r="BC545" s="68"/>
      <c r="BD545" s="68"/>
      <c r="BE545" s="68"/>
      <c r="BF545" s="68"/>
      <c r="BG545" s="68"/>
      <c r="BH545" s="68"/>
      <c r="BI545" s="68"/>
      <c r="BJ545" s="68"/>
      <c r="BK545" s="68"/>
      <c r="BL545" s="68"/>
      <c r="BM545" s="68"/>
      <c r="BN545" s="68"/>
      <c r="BO545" s="68"/>
      <c r="BP545" s="68"/>
      <c r="BQ545" s="68"/>
      <c r="BR545" s="68"/>
      <c r="BS545" s="68"/>
      <c r="BT545" s="68"/>
      <c r="BU545" s="68"/>
      <c r="BV545" s="68"/>
      <c r="BW545" s="68"/>
      <c r="BX545" s="68"/>
      <c r="BY545" s="68"/>
      <c r="BZ545" s="68"/>
      <c r="CA545" s="68"/>
      <c r="CB545" s="68"/>
      <c r="CC545" s="68"/>
      <c r="CD545" s="68"/>
      <c r="CE545" s="68"/>
      <c r="CF545" s="68"/>
      <c r="CG545" s="68"/>
      <c r="CH545" s="68"/>
      <c r="CI545" s="68"/>
      <c r="CJ545" s="68"/>
      <c r="CK545" s="68"/>
      <c r="CL545" s="68"/>
      <c r="CM545" s="68"/>
      <c r="CN545" s="68"/>
      <c r="CO545" s="68"/>
      <c r="CP545" s="68"/>
      <c r="CQ545" s="68"/>
      <c r="CR545" s="68"/>
      <c r="CS545" s="68"/>
      <c r="CT545" s="68"/>
      <c r="CU545" s="68"/>
      <c r="CV545" s="68"/>
      <c r="CW545" s="68"/>
      <c r="CX545" s="68"/>
    </row>
    <row r="546" spans="1:102" s="71" customFormat="1" hidden="1">
      <c r="A546" s="210"/>
      <c r="B546" s="210"/>
      <c r="C546" s="109"/>
      <c r="D546" s="72"/>
      <c r="E546" s="136"/>
      <c r="F546" s="136"/>
      <c r="G546" s="211"/>
      <c r="H546" s="136"/>
      <c r="I546" s="211"/>
      <c r="J546" s="211"/>
      <c r="K546" s="211"/>
      <c r="L546" s="136"/>
      <c r="M546" s="136"/>
      <c r="N546" s="136"/>
      <c r="O546" s="212"/>
      <c r="P546" s="116"/>
      <c r="Q546" s="103"/>
      <c r="R546" s="103"/>
      <c r="S546" s="103"/>
      <c r="T546" s="103"/>
      <c r="U546" s="68"/>
      <c r="V546" s="69"/>
      <c r="W546" s="68"/>
      <c r="X546" s="68"/>
      <c r="Y546" s="68"/>
      <c r="Z546" s="68"/>
      <c r="AA546" s="68"/>
      <c r="AB546" s="68"/>
      <c r="AC546" s="68"/>
      <c r="AD546" s="68"/>
      <c r="AE546" s="68"/>
      <c r="AF546" s="68"/>
      <c r="AG546" s="68"/>
      <c r="AH546" s="68"/>
      <c r="AI546" s="68"/>
      <c r="AJ546" s="68"/>
      <c r="AK546" s="68"/>
      <c r="AL546" s="68"/>
      <c r="AM546" s="68"/>
      <c r="AN546" s="68"/>
      <c r="AO546" s="68"/>
      <c r="AP546" s="68"/>
      <c r="AQ546" s="68"/>
      <c r="AR546" s="68"/>
      <c r="AS546" s="68"/>
      <c r="AT546" s="68"/>
      <c r="AU546" s="68"/>
      <c r="AV546" s="68"/>
      <c r="AW546" s="68"/>
      <c r="AX546" s="68"/>
      <c r="AY546" s="68"/>
      <c r="AZ546" s="68"/>
      <c r="BA546" s="68"/>
      <c r="BB546" s="68"/>
      <c r="BC546" s="68"/>
      <c r="BD546" s="68"/>
      <c r="BE546" s="68"/>
      <c r="BF546" s="68"/>
      <c r="BG546" s="68"/>
      <c r="BH546" s="68"/>
      <c r="BI546" s="68"/>
      <c r="BJ546" s="68"/>
      <c r="BK546" s="68"/>
      <c r="BL546" s="68"/>
      <c r="BM546" s="68"/>
      <c r="BN546" s="68"/>
      <c r="BO546" s="68"/>
      <c r="BP546" s="68"/>
      <c r="BQ546" s="68"/>
      <c r="BR546" s="68"/>
      <c r="BS546" s="68"/>
      <c r="BT546" s="68"/>
      <c r="BU546" s="68"/>
      <c r="BV546" s="68"/>
      <c r="BW546" s="68"/>
      <c r="BX546" s="68"/>
      <c r="BY546" s="68"/>
      <c r="BZ546" s="68"/>
      <c r="CA546" s="68"/>
      <c r="CB546" s="68"/>
      <c r="CC546" s="68"/>
      <c r="CD546" s="68"/>
      <c r="CE546" s="68"/>
      <c r="CF546" s="68"/>
      <c r="CG546" s="68"/>
      <c r="CH546" s="68"/>
      <c r="CI546" s="68"/>
      <c r="CJ546" s="68"/>
      <c r="CK546" s="68"/>
      <c r="CL546" s="68"/>
      <c r="CM546" s="68"/>
      <c r="CN546" s="68"/>
      <c r="CO546" s="68"/>
      <c r="CP546" s="68"/>
      <c r="CQ546" s="68"/>
      <c r="CR546" s="68"/>
      <c r="CS546" s="68"/>
      <c r="CT546" s="68"/>
      <c r="CU546" s="68"/>
      <c r="CV546" s="68"/>
      <c r="CW546" s="68"/>
      <c r="CX546" s="68"/>
    </row>
    <row r="547" spans="1:102" s="71" customFormat="1" hidden="1">
      <c r="A547" s="210"/>
      <c r="B547" s="210"/>
      <c r="C547" s="109"/>
      <c r="D547" s="72"/>
      <c r="E547" s="136"/>
      <c r="F547" s="136"/>
      <c r="G547" s="211"/>
      <c r="H547" s="136"/>
      <c r="I547" s="211"/>
      <c r="J547" s="211"/>
      <c r="K547" s="211"/>
      <c r="L547" s="136"/>
      <c r="M547" s="136"/>
      <c r="N547" s="136"/>
      <c r="O547" s="212"/>
      <c r="P547" s="116"/>
      <c r="Q547" s="103"/>
      <c r="R547" s="103"/>
      <c r="S547" s="103"/>
      <c r="T547" s="103"/>
      <c r="U547" s="68"/>
      <c r="V547" s="69"/>
      <c r="W547" s="68"/>
      <c r="X547" s="68"/>
      <c r="Y547" s="68"/>
      <c r="Z547" s="68"/>
      <c r="AA547" s="68"/>
      <c r="AB547" s="68"/>
      <c r="AC547" s="68"/>
      <c r="AD547" s="68"/>
      <c r="AE547" s="68"/>
      <c r="AF547" s="68"/>
      <c r="AG547" s="68"/>
      <c r="AH547" s="68"/>
      <c r="AI547" s="68"/>
      <c r="AJ547" s="68"/>
      <c r="AK547" s="68"/>
      <c r="AL547" s="68"/>
      <c r="AM547" s="68"/>
      <c r="AN547" s="68"/>
      <c r="AO547" s="68"/>
      <c r="AP547" s="68"/>
      <c r="AQ547" s="68"/>
      <c r="AR547" s="68"/>
      <c r="AS547" s="68"/>
      <c r="AT547" s="68"/>
      <c r="AU547" s="68"/>
      <c r="AV547" s="68"/>
      <c r="AW547" s="68"/>
      <c r="AX547" s="68"/>
      <c r="AY547" s="68"/>
      <c r="AZ547" s="68"/>
      <c r="BA547" s="68"/>
      <c r="BB547" s="68"/>
      <c r="BC547" s="68"/>
      <c r="BD547" s="68"/>
      <c r="BE547" s="68"/>
      <c r="BF547" s="68"/>
      <c r="BG547" s="68"/>
      <c r="BH547" s="68"/>
      <c r="BI547" s="68"/>
      <c r="BJ547" s="68"/>
      <c r="BK547" s="68"/>
      <c r="BL547" s="68"/>
      <c r="BM547" s="68"/>
      <c r="BN547" s="68"/>
      <c r="BO547" s="68"/>
      <c r="BP547" s="68"/>
      <c r="BQ547" s="68"/>
      <c r="BR547" s="68"/>
      <c r="BS547" s="68"/>
      <c r="BT547" s="68"/>
      <c r="BU547" s="68"/>
      <c r="BV547" s="68"/>
      <c r="BW547" s="68"/>
      <c r="BX547" s="68"/>
      <c r="BY547" s="68"/>
      <c r="BZ547" s="68"/>
      <c r="CA547" s="68"/>
      <c r="CB547" s="68"/>
      <c r="CC547" s="68"/>
      <c r="CD547" s="68"/>
      <c r="CE547" s="68"/>
      <c r="CF547" s="68"/>
      <c r="CG547" s="68"/>
      <c r="CH547" s="68"/>
      <c r="CI547" s="68"/>
      <c r="CJ547" s="68"/>
      <c r="CK547" s="68"/>
      <c r="CL547" s="68"/>
      <c r="CM547" s="68"/>
      <c r="CN547" s="68"/>
      <c r="CO547" s="68"/>
      <c r="CP547" s="68"/>
      <c r="CQ547" s="68"/>
      <c r="CR547" s="68"/>
      <c r="CS547" s="68"/>
      <c r="CT547" s="68"/>
      <c r="CU547" s="68"/>
      <c r="CV547" s="68"/>
      <c r="CW547" s="68"/>
      <c r="CX547" s="68"/>
    </row>
    <row r="548" spans="1:102" s="71" customFormat="1" hidden="1">
      <c r="A548" s="210"/>
      <c r="B548" s="210"/>
      <c r="C548" s="109"/>
      <c r="D548" s="72"/>
      <c r="E548" s="136"/>
      <c r="F548" s="136"/>
      <c r="G548" s="211"/>
      <c r="H548" s="136"/>
      <c r="I548" s="211"/>
      <c r="J548" s="211"/>
      <c r="K548" s="211"/>
      <c r="L548" s="136"/>
      <c r="M548" s="136"/>
      <c r="N548" s="136"/>
      <c r="O548" s="212"/>
      <c r="P548" s="116"/>
      <c r="Q548" s="103"/>
      <c r="R548" s="103"/>
      <c r="S548" s="103"/>
      <c r="T548" s="103"/>
      <c r="U548" s="68"/>
      <c r="V548" s="69"/>
      <c r="W548" s="68"/>
      <c r="X548" s="68"/>
      <c r="Y548" s="68"/>
      <c r="Z548" s="68"/>
      <c r="AA548" s="68"/>
      <c r="AB548" s="68"/>
      <c r="AC548" s="68"/>
      <c r="AD548" s="68"/>
      <c r="AE548" s="68"/>
      <c r="AF548" s="68"/>
      <c r="AG548" s="68"/>
      <c r="AH548" s="68"/>
      <c r="AI548" s="68"/>
      <c r="AJ548" s="68"/>
      <c r="AK548" s="68"/>
      <c r="AL548" s="68"/>
      <c r="AM548" s="68"/>
      <c r="AN548" s="68"/>
      <c r="AO548" s="68"/>
      <c r="AP548" s="68"/>
      <c r="AQ548" s="68"/>
      <c r="AR548" s="68"/>
      <c r="AS548" s="68"/>
      <c r="AT548" s="68"/>
      <c r="AU548" s="68"/>
      <c r="AV548" s="68"/>
      <c r="AW548" s="68"/>
      <c r="AX548" s="68"/>
      <c r="AY548" s="68"/>
      <c r="AZ548" s="68"/>
      <c r="BA548" s="68"/>
      <c r="BB548" s="68"/>
      <c r="BC548" s="68"/>
      <c r="BD548" s="68"/>
      <c r="BE548" s="68"/>
      <c r="BF548" s="68"/>
      <c r="BG548" s="68"/>
      <c r="BH548" s="68"/>
      <c r="BI548" s="68"/>
      <c r="BJ548" s="68"/>
      <c r="BK548" s="68"/>
      <c r="BL548" s="68"/>
      <c r="BM548" s="68"/>
      <c r="BN548" s="68"/>
      <c r="BO548" s="68"/>
      <c r="BP548" s="68"/>
      <c r="BQ548" s="68"/>
      <c r="BR548" s="68"/>
      <c r="BS548" s="68"/>
      <c r="BT548" s="68"/>
      <c r="BU548" s="68"/>
      <c r="BV548" s="68"/>
      <c r="BW548" s="68"/>
      <c r="BX548" s="68"/>
      <c r="BY548" s="68"/>
      <c r="BZ548" s="68"/>
      <c r="CA548" s="68"/>
      <c r="CB548" s="68"/>
      <c r="CC548" s="68"/>
      <c r="CD548" s="68"/>
      <c r="CE548" s="68"/>
      <c r="CF548" s="68"/>
      <c r="CG548" s="68"/>
      <c r="CH548" s="68"/>
      <c r="CI548" s="68"/>
      <c r="CJ548" s="68"/>
      <c r="CK548" s="68"/>
      <c r="CL548" s="68"/>
      <c r="CM548" s="68"/>
      <c r="CN548" s="68"/>
      <c r="CO548" s="68"/>
      <c r="CP548" s="68"/>
      <c r="CQ548" s="68"/>
      <c r="CR548" s="68"/>
      <c r="CS548" s="68"/>
      <c r="CT548" s="68"/>
      <c r="CU548" s="68"/>
      <c r="CV548" s="68"/>
      <c r="CW548" s="68"/>
      <c r="CX548" s="68"/>
    </row>
    <row r="549" spans="1:102" s="71" customFormat="1" hidden="1">
      <c r="A549" s="210"/>
      <c r="B549" s="210"/>
      <c r="C549" s="109"/>
      <c r="D549" s="72"/>
      <c r="E549" s="136"/>
      <c r="F549" s="136"/>
      <c r="G549" s="211"/>
      <c r="H549" s="136"/>
      <c r="I549" s="211"/>
      <c r="J549" s="211"/>
      <c r="K549" s="211"/>
      <c r="L549" s="136"/>
      <c r="M549" s="136"/>
      <c r="N549" s="136"/>
      <c r="O549" s="212"/>
      <c r="P549" s="116"/>
      <c r="Q549" s="103"/>
      <c r="R549" s="103"/>
      <c r="S549" s="103"/>
      <c r="T549" s="103"/>
      <c r="U549" s="68"/>
      <c r="V549" s="69"/>
      <c r="W549" s="68"/>
      <c r="X549" s="68"/>
      <c r="Y549" s="68"/>
      <c r="Z549" s="68"/>
      <c r="AA549" s="68"/>
      <c r="AB549" s="68"/>
      <c r="AC549" s="68"/>
      <c r="AD549" s="68"/>
      <c r="AE549" s="68"/>
      <c r="AF549" s="68"/>
      <c r="AG549" s="68"/>
      <c r="AH549" s="68"/>
      <c r="AI549" s="68"/>
      <c r="AJ549" s="68"/>
      <c r="AK549" s="68"/>
      <c r="AL549" s="68"/>
      <c r="AM549" s="68"/>
      <c r="AN549" s="68"/>
      <c r="AO549" s="68"/>
      <c r="AP549" s="68"/>
      <c r="AQ549" s="68"/>
      <c r="AR549" s="68"/>
      <c r="AS549" s="68"/>
      <c r="AT549" s="68"/>
      <c r="AU549" s="68"/>
      <c r="AV549" s="68"/>
      <c r="AW549" s="68"/>
      <c r="AX549" s="68"/>
      <c r="AY549" s="68"/>
      <c r="AZ549" s="68"/>
      <c r="BA549" s="68"/>
      <c r="BB549" s="68"/>
      <c r="BC549" s="68"/>
      <c r="BD549" s="68"/>
      <c r="BE549" s="68"/>
      <c r="BF549" s="68"/>
      <c r="BG549" s="68"/>
      <c r="BH549" s="68"/>
      <c r="BI549" s="68"/>
      <c r="BJ549" s="68"/>
      <c r="BK549" s="68"/>
      <c r="BL549" s="68"/>
      <c r="BM549" s="68"/>
      <c r="BN549" s="68"/>
      <c r="BO549" s="68"/>
      <c r="BP549" s="68"/>
      <c r="BQ549" s="68"/>
      <c r="BR549" s="68"/>
      <c r="BS549" s="68"/>
      <c r="BT549" s="68"/>
      <c r="BU549" s="68"/>
      <c r="BV549" s="68"/>
      <c r="BW549" s="68"/>
      <c r="BX549" s="68"/>
      <c r="BY549" s="68"/>
      <c r="BZ549" s="68"/>
      <c r="CA549" s="68"/>
      <c r="CB549" s="68"/>
      <c r="CC549" s="68"/>
      <c r="CD549" s="68"/>
      <c r="CE549" s="68"/>
      <c r="CF549" s="68"/>
      <c r="CG549" s="68"/>
      <c r="CH549" s="68"/>
      <c r="CI549" s="68"/>
      <c r="CJ549" s="68"/>
      <c r="CK549" s="68"/>
      <c r="CL549" s="68"/>
      <c r="CM549" s="68"/>
      <c r="CN549" s="68"/>
      <c r="CO549" s="68"/>
      <c r="CP549" s="68"/>
      <c r="CQ549" s="68"/>
      <c r="CR549" s="68"/>
      <c r="CS549" s="68"/>
      <c r="CT549" s="68"/>
      <c r="CU549" s="68"/>
      <c r="CV549" s="68"/>
      <c r="CW549" s="68"/>
      <c r="CX549" s="68"/>
    </row>
    <row r="550" spans="1:102" s="71" customFormat="1" hidden="1">
      <c r="A550" s="210"/>
      <c r="B550" s="210"/>
      <c r="C550" s="109"/>
      <c r="D550" s="72"/>
      <c r="E550" s="136"/>
      <c r="F550" s="136"/>
      <c r="G550" s="211"/>
      <c r="H550" s="136"/>
      <c r="I550" s="211"/>
      <c r="J550" s="211"/>
      <c r="K550" s="211"/>
      <c r="L550" s="136"/>
      <c r="M550" s="136"/>
      <c r="N550" s="136"/>
      <c r="O550" s="212"/>
      <c r="P550" s="116"/>
      <c r="Q550" s="103"/>
      <c r="R550" s="103"/>
      <c r="S550" s="103"/>
      <c r="T550" s="103"/>
      <c r="U550" s="68"/>
      <c r="V550" s="69"/>
      <c r="W550" s="68"/>
      <c r="X550" s="68"/>
      <c r="Y550" s="68"/>
      <c r="Z550" s="68"/>
      <c r="AA550" s="68"/>
      <c r="AB550" s="68"/>
      <c r="AC550" s="68"/>
      <c r="AD550" s="68"/>
      <c r="AE550" s="68"/>
      <c r="AF550" s="68"/>
      <c r="AG550" s="68"/>
      <c r="AH550" s="68"/>
      <c r="AI550" s="68"/>
      <c r="AJ550" s="68"/>
      <c r="AK550" s="68"/>
      <c r="AL550" s="68"/>
      <c r="AM550" s="68"/>
      <c r="AN550" s="68"/>
      <c r="AO550" s="68"/>
      <c r="AP550" s="68"/>
      <c r="AQ550" s="68"/>
      <c r="AR550" s="68"/>
      <c r="AS550" s="68"/>
      <c r="AT550" s="68"/>
      <c r="AU550" s="68"/>
      <c r="AV550" s="68"/>
      <c r="AW550" s="68"/>
      <c r="AX550" s="68"/>
      <c r="AY550" s="68"/>
      <c r="AZ550" s="68"/>
      <c r="BA550" s="68"/>
      <c r="BB550" s="68"/>
      <c r="BC550" s="68"/>
      <c r="BD550" s="68"/>
      <c r="BE550" s="68"/>
      <c r="BF550" s="68"/>
      <c r="BG550" s="68"/>
      <c r="BH550" s="68"/>
      <c r="BI550" s="68"/>
      <c r="BJ550" s="68"/>
      <c r="BK550" s="68"/>
      <c r="BL550" s="68"/>
      <c r="BM550" s="68"/>
      <c r="BN550" s="68"/>
      <c r="BO550" s="68"/>
      <c r="BP550" s="68"/>
      <c r="BQ550" s="68"/>
      <c r="BR550" s="68"/>
      <c r="BS550" s="68"/>
      <c r="BT550" s="68"/>
      <c r="BU550" s="68"/>
      <c r="BV550" s="68"/>
      <c r="BW550" s="68"/>
      <c r="BX550" s="68"/>
      <c r="BY550" s="68"/>
      <c r="BZ550" s="68"/>
      <c r="CA550" s="68"/>
      <c r="CB550" s="68"/>
      <c r="CC550" s="68"/>
      <c r="CD550" s="68"/>
      <c r="CE550" s="68"/>
      <c r="CF550" s="68"/>
      <c r="CG550" s="68"/>
      <c r="CH550" s="68"/>
      <c r="CI550" s="68"/>
      <c r="CJ550" s="68"/>
      <c r="CK550" s="68"/>
      <c r="CL550" s="68"/>
      <c r="CM550" s="68"/>
      <c r="CN550" s="68"/>
      <c r="CO550" s="68"/>
      <c r="CP550" s="68"/>
      <c r="CQ550" s="68"/>
      <c r="CR550" s="68"/>
      <c r="CS550" s="68"/>
      <c r="CT550" s="68"/>
      <c r="CU550" s="68"/>
      <c r="CV550" s="68"/>
      <c r="CW550" s="68"/>
      <c r="CX550" s="68"/>
    </row>
    <row r="551" spans="1:102" s="71" customFormat="1" hidden="1">
      <c r="A551" s="210"/>
      <c r="B551" s="210"/>
      <c r="C551" s="109"/>
      <c r="D551" s="72"/>
      <c r="E551" s="136"/>
      <c r="F551" s="136"/>
      <c r="G551" s="211"/>
      <c r="H551" s="136"/>
      <c r="I551" s="211"/>
      <c r="J551" s="211"/>
      <c r="K551" s="211"/>
      <c r="L551" s="136"/>
      <c r="M551" s="136"/>
      <c r="N551" s="136"/>
      <c r="O551" s="212"/>
      <c r="P551" s="116"/>
      <c r="Q551" s="103"/>
      <c r="R551" s="103"/>
      <c r="S551" s="103"/>
      <c r="T551" s="103"/>
      <c r="U551" s="68"/>
      <c r="V551" s="69"/>
      <c r="W551" s="68"/>
      <c r="X551" s="68"/>
      <c r="Y551" s="68"/>
      <c r="Z551" s="68"/>
      <c r="AA551" s="68"/>
      <c r="AB551" s="68"/>
      <c r="AC551" s="68"/>
      <c r="AD551" s="68"/>
      <c r="AE551" s="68"/>
      <c r="AF551" s="68"/>
      <c r="AG551" s="68"/>
      <c r="AH551" s="68"/>
      <c r="AI551" s="68"/>
      <c r="AJ551" s="68"/>
      <c r="AK551" s="68"/>
      <c r="AL551" s="68"/>
      <c r="AM551" s="68"/>
      <c r="AN551" s="68"/>
      <c r="AO551" s="68"/>
      <c r="AP551" s="68"/>
      <c r="AQ551" s="68"/>
      <c r="AR551" s="68"/>
      <c r="AS551" s="68"/>
      <c r="AT551" s="68"/>
      <c r="AU551" s="68"/>
      <c r="AV551" s="68"/>
      <c r="AW551" s="68"/>
      <c r="AX551" s="68"/>
      <c r="AY551" s="68"/>
      <c r="AZ551" s="68"/>
      <c r="BA551" s="68"/>
      <c r="BB551" s="68"/>
      <c r="BC551" s="68"/>
      <c r="BD551" s="68"/>
      <c r="BE551" s="68"/>
      <c r="BF551" s="68"/>
      <c r="BG551" s="68"/>
      <c r="BH551" s="68"/>
      <c r="BI551" s="68"/>
      <c r="BJ551" s="68"/>
      <c r="BK551" s="68"/>
      <c r="BL551" s="68"/>
      <c r="BM551" s="68"/>
      <c r="BN551" s="68"/>
      <c r="BO551" s="68"/>
      <c r="BP551" s="68"/>
      <c r="BQ551" s="68"/>
      <c r="BR551" s="68"/>
      <c r="BS551" s="68"/>
      <c r="BT551" s="68"/>
      <c r="BU551" s="68"/>
      <c r="BV551" s="68"/>
      <c r="BW551" s="68"/>
      <c r="BX551" s="68"/>
      <c r="BY551" s="68"/>
      <c r="BZ551" s="68"/>
      <c r="CA551" s="68"/>
      <c r="CB551" s="68"/>
      <c r="CC551" s="68"/>
      <c r="CD551" s="68"/>
      <c r="CE551" s="68"/>
      <c r="CF551" s="68"/>
      <c r="CG551" s="68"/>
      <c r="CH551" s="68"/>
      <c r="CI551" s="68"/>
      <c r="CJ551" s="68"/>
      <c r="CK551" s="68"/>
      <c r="CL551" s="68"/>
      <c r="CM551" s="68"/>
      <c r="CN551" s="68"/>
      <c r="CO551" s="68"/>
      <c r="CP551" s="68"/>
      <c r="CQ551" s="68"/>
      <c r="CR551" s="68"/>
      <c r="CS551" s="68"/>
      <c r="CT551" s="68"/>
      <c r="CU551" s="68"/>
      <c r="CV551" s="68"/>
      <c r="CW551" s="68"/>
      <c r="CX551" s="68"/>
    </row>
    <row r="552" spans="1:102" s="71" customFormat="1" hidden="1">
      <c r="A552" s="210"/>
      <c r="B552" s="210"/>
      <c r="C552" s="109"/>
      <c r="D552" s="72"/>
      <c r="E552" s="136"/>
      <c r="F552" s="136"/>
      <c r="G552" s="211"/>
      <c r="H552" s="136"/>
      <c r="I552" s="211"/>
      <c r="J552" s="211"/>
      <c r="K552" s="211"/>
      <c r="L552" s="136"/>
      <c r="M552" s="136"/>
      <c r="N552" s="136"/>
      <c r="O552" s="212"/>
      <c r="P552" s="116"/>
      <c r="Q552" s="103"/>
      <c r="R552" s="103"/>
      <c r="S552" s="103"/>
      <c r="T552" s="103"/>
      <c r="U552" s="68"/>
      <c r="V552" s="69"/>
      <c r="W552" s="68"/>
      <c r="X552" s="68"/>
      <c r="Y552" s="68"/>
      <c r="Z552" s="68"/>
      <c r="AA552" s="68"/>
      <c r="AB552" s="68"/>
      <c r="AC552" s="68"/>
      <c r="AD552" s="68"/>
      <c r="AE552" s="68"/>
      <c r="AF552" s="68"/>
      <c r="AG552" s="68"/>
      <c r="AH552" s="68"/>
      <c r="AI552" s="68"/>
      <c r="AJ552" s="68"/>
      <c r="AK552" s="68"/>
      <c r="AL552" s="68"/>
      <c r="AM552" s="68"/>
      <c r="AN552" s="68"/>
      <c r="AO552" s="68"/>
      <c r="AP552" s="68"/>
      <c r="AQ552" s="68"/>
      <c r="AR552" s="68"/>
      <c r="AS552" s="68"/>
      <c r="AT552" s="68"/>
      <c r="AU552" s="68"/>
      <c r="AV552" s="68"/>
      <c r="AW552" s="68"/>
      <c r="AX552" s="68"/>
      <c r="AY552" s="68"/>
      <c r="AZ552" s="68"/>
      <c r="BA552" s="68"/>
      <c r="BB552" s="68"/>
      <c r="BC552" s="68"/>
      <c r="BD552" s="68"/>
      <c r="BE552" s="68"/>
      <c r="BF552" s="68"/>
      <c r="BG552" s="68"/>
      <c r="BH552" s="68"/>
      <c r="BI552" s="68"/>
      <c r="BJ552" s="68"/>
      <c r="BK552" s="68"/>
      <c r="BL552" s="68"/>
      <c r="BM552" s="68"/>
      <c r="BN552" s="68"/>
      <c r="BO552" s="68"/>
      <c r="BP552" s="68"/>
      <c r="BQ552" s="68"/>
      <c r="BR552" s="68"/>
      <c r="BS552" s="68"/>
      <c r="BT552" s="68"/>
      <c r="BU552" s="68"/>
      <c r="BV552" s="68"/>
      <c r="BW552" s="68"/>
      <c r="BX552" s="68"/>
      <c r="BY552" s="68"/>
      <c r="BZ552" s="68"/>
      <c r="CA552" s="68"/>
      <c r="CB552" s="68"/>
      <c r="CC552" s="68"/>
      <c r="CD552" s="68"/>
      <c r="CE552" s="68"/>
      <c r="CF552" s="68"/>
      <c r="CG552" s="68"/>
      <c r="CH552" s="68"/>
      <c r="CI552" s="68"/>
      <c r="CJ552" s="68"/>
      <c r="CK552" s="68"/>
      <c r="CL552" s="68"/>
      <c r="CM552" s="68"/>
      <c r="CN552" s="68"/>
      <c r="CO552" s="68"/>
      <c r="CP552" s="68"/>
      <c r="CQ552" s="68"/>
      <c r="CR552" s="68"/>
      <c r="CS552" s="68"/>
      <c r="CT552" s="68"/>
      <c r="CU552" s="68"/>
      <c r="CV552" s="68"/>
      <c r="CW552" s="68"/>
      <c r="CX552" s="68"/>
    </row>
    <row r="553" spans="1:102" s="71" customFormat="1" hidden="1">
      <c r="A553" s="210"/>
      <c r="B553" s="210"/>
      <c r="C553" s="109"/>
      <c r="D553" s="72"/>
      <c r="E553" s="136"/>
      <c r="F553" s="136"/>
      <c r="G553" s="211"/>
      <c r="H553" s="136"/>
      <c r="I553" s="211"/>
      <c r="J553" s="211"/>
      <c r="K553" s="211"/>
      <c r="L553" s="136"/>
      <c r="M553" s="136"/>
      <c r="N553" s="136"/>
      <c r="O553" s="212"/>
      <c r="P553" s="116"/>
      <c r="Q553" s="103"/>
      <c r="R553" s="103"/>
      <c r="S553" s="103"/>
      <c r="T553" s="103"/>
      <c r="U553" s="68"/>
      <c r="V553" s="69"/>
      <c r="W553" s="68"/>
      <c r="X553" s="68"/>
      <c r="Y553" s="68"/>
      <c r="Z553" s="68"/>
      <c r="AA553" s="68"/>
      <c r="AB553" s="68"/>
      <c r="AC553" s="68"/>
      <c r="AD553" s="68"/>
      <c r="AE553" s="68"/>
      <c r="AF553" s="68"/>
      <c r="AG553" s="68"/>
      <c r="AH553" s="68"/>
      <c r="AI553" s="68"/>
      <c r="AJ553" s="68"/>
      <c r="AK553" s="68"/>
      <c r="AL553" s="68"/>
      <c r="AM553" s="68"/>
      <c r="AN553" s="68"/>
      <c r="AO553" s="68"/>
      <c r="AP553" s="68"/>
      <c r="AQ553" s="68"/>
      <c r="AR553" s="68"/>
      <c r="AS553" s="68"/>
      <c r="AT553" s="68"/>
      <c r="AU553" s="68"/>
      <c r="AV553" s="68"/>
      <c r="AW553" s="68"/>
      <c r="AX553" s="68"/>
      <c r="AY553" s="68"/>
      <c r="AZ553" s="68"/>
      <c r="BA553" s="68"/>
      <c r="BB553" s="68"/>
      <c r="BC553" s="68"/>
      <c r="BD553" s="68"/>
      <c r="BE553" s="68"/>
      <c r="BF553" s="68"/>
      <c r="BG553" s="68"/>
      <c r="BH553" s="68"/>
      <c r="BI553" s="68"/>
      <c r="BJ553" s="68"/>
      <c r="BK553" s="68"/>
      <c r="BL553" s="68"/>
      <c r="BM553" s="68"/>
      <c r="BN553" s="68"/>
      <c r="BO553" s="68"/>
      <c r="BP553" s="68"/>
      <c r="BQ553" s="68"/>
      <c r="BR553" s="68"/>
      <c r="BS553" s="68"/>
      <c r="BT553" s="68"/>
      <c r="BU553" s="68"/>
      <c r="BV553" s="68"/>
      <c r="BW553" s="68"/>
      <c r="BX553" s="68"/>
      <c r="BY553" s="68"/>
      <c r="BZ553" s="68"/>
      <c r="CA553" s="68"/>
      <c r="CB553" s="68"/>
      <c r="CC553" s="68"/>
      <c r="CD553" s="68"/>
      <c r="CE553" s="68"/>
      <c r="CF553" s="68"/>
      <c r="CG553" s="68"/>
      <c r="CH553" s="68"/>
      <c r="CI553" s="68"/>
      <c r="CJ553" s="68"/>
      <c r="CK553" s="68"/>
      <c r="CL553" s="68"/>
      <c r="CM553" s="68"/>
      <c r="CN553" s="68"/>
      <c r="CO553" s="68"/>
      <c r="CP553" s="68"/>
      <c r="CQ553" s="68"/>
      <c r="CR553" s="68"/>
      <c r="CS553" s="68"/>
      <c r="CT553" s="68"/>
      <c r="CU553" s="68"/>
      <c r="CV553" s="68"/>
      <c r="CW553" s="68"/>
      <c r="CX553" s="68"/>
    </row>
    <row r="554" spans="1:102" s="71" customFormat="1" hidden="1">
      <c r="A554" s="210"/>
      <c r="B554" s="210"/>
      <c r="C554" s="109"/>
      <c r="D554" s="72"/>
      <c r="E554" s="136"/>
      <c r="F554" s="136"/>
      <c r="G554" s="211"/>
      <c r="H554" s="136"/>
      <c r="I554" s="211"/>
      <c r="J554" s="211"/>
      <c r="K554" s="211"/>
      <c r="L554" s="136"/>
      <c r="M554" s="136"/>
      <c r="N554" s="136"/>
      <c r="O554" s="212"/>
      <c r="P554" s="116"/>
      <c r="Q554" s="103"/>
      <c r="R554" s="103"/>
      <c r="S554" s="103"/>
      <c r="T554" s="103"/>
      <c r="U554" s="68"/>
      <c r="V554" s="69"/>
      <c r="W554" s="68"/>
      <c r="X554" s="68"/>
      <c r="Y554" s="68"/>
      <c r="Z554" s="68"/>
      <c r="AA554" s="68"/>
      <c r="AB554" s="68"/>
      <c r="AC554" s="68"/>
      <c r="AD554" s="68"/>
      <c r="AE554" s="68"/>
      <c r="AF554" s="68"/>
      <c r="AG554" s="68"/>
      <c r="AH554" s="68"/>
      <c r="AI554" s="68"/>
      <c r="AJ554" s="68"/>
      <c r="AK554" s="68"/>
      <c r="AL554" s="68"/>
      <c r="AM554" s="68"/>
      <c r="AN554" s="68"/>
      <c r="AO554" s="68"/>
      <c r="AP554" s="68"/>
      <c r="AQ554" s="68"/>
      <c r="AR554" s="68"/>
      <c r="AS554" s="68"/>
      <c r="AT554" s="68"/>
      <c r="AU554" s="68"/>
      <c r="AV554" s="68"/>
      <c r="AW554" s="68"/>
      <c r="AX554" s="68"/>
      <c r="AY554" s="68"/>
      <c r="AZ554" s="68"/>
      <c r="BA554" s="68"/>
      <c r="BB554" s="68"/>
      <c r="BC554" s="68"/>
      <c r="BD554" s="68"/>
      <c r="BE554" s="68"/>
      <c r="BF554" s="68"/>
      <c r="BG554" s="68"/>
      <c r="BH554" s="68"/>
      <c r="BI554" s="68"/>
      <c r="BJ554" s="68"/>
      <c r="BK554" s="68"/>
      <c r="BL554" s="68"/>
      <c r="BM554" s="68"/>
      <c r="BN554" s="68"/>
      <c r="BO554" s="68"/>
      <c r="BP554" s="68"/>
      <c r="BQ554" s="68"/>
      <c r="BR554" s="68"/>
      <c r="BS554" s="68"/>
      <c r="BT554" s="68"/>
      <c r="BU554" s="68"/>
      <c r="BV554" s="68"/>
      <c r="BW554" s="68"/>
      <c r="BX554" s="68"/>
      <c r="BY554" s="68"/>
      <c r="BZ554" s="68"/>
      <c r="CA554" s="68"/>
      <c r="CB554" s="68"/>
      <c r="CC554" s="68"/>
      <c r="CD554" s="68"/>
      <c r="CE554" s="68"/>
      <c r="CF554" s="68"/>
      <c r="CG554" s="68"/>
      <c r="CH554" s="68"/>
      <c r="CI554" s="68"/>
      <c r="CJ554" s="68"/>
      <c r="CK554" s="68"/>
      <c r="CL554" s="68"/>
      <c r="CM554" s="68"/>
      <c r="CN554" s="68"/>
      <c r="CO554" s="68"/>
      <c r="CP554" s="68"/>
      <c r="CQ554" s="68"/>
      <c r="CR554" s="68"/>
      <c r="CS554" s="68"/>
      <c r="CT554" s="68"/>
      <c r="CU554" s="68"/>
      <c r="CV554" s="68"/>
      <c r="CW554" s="68"/>
      <c r="CX554" s="68"/>
    </row>
    <row r="555" spans="1:102" s="71" customFormat="1" hidden="1">
      <c r="A555" s="210"/>
      <c r="B555" s="210"/>
      <c r="C555" s="109"/>
      <c r="D555" s="72"/>
      <c r="E555" s="136"/>
      <c r="F555" s="136"/>
      <c r="G555" s="211"/>
      <c r="H555" s="136"/>
      <c r="I555" s="211"/>
      <c r="J555" s="211"/>
      <c r="K555" s="211"/>
      <c r="L555" s="136"/>
      <c r="M555" s="136"/>
      <c r="N555" s="136"/>
      <c r="O555" s="212"/>
      <c r="P555" s="116"/>
      <c r="Q555" s="103"/>
      <c r="R555" s="103"/>
      <c r="S555" s="103"/>
      <c r="T555" s="103"/>
      <c r="U555" s="68"/>
      <c r="V555" s="69"/>
      <c r="W555" s="68"/>
      <c r="X555" s="68"/>
      <c r="Y555" s="68"/>
      <c r="Z555" s="68"/>
      <c r="AA555" s="68"/>
      <c r="AB555" s="68"/>
      <c r="AC555" s="68"/>
      <c r="AD555" s="68"/>
      <c r="AE555" s="68"/>
      <c r="AF555" s="68"/>
      <c r="AG555" s="68"/>
      <c r="AH555" s="68"/>
      <c r="AI555" s="68"/>
      <c r="AJ555" s="68"/>
      <c r="AK555" s="68"/>
      <c r="AL555" s="68"/>
      <c r="AM555" s="68"/>
      <c r="AN555" s="68"/>
      <c r="AO555" s="68"/>
      <c r="AP555" s="68"/>
      <c r="AQ555" s="68"/>
      <c r="AR555" s="68"/>
      <c r="AS555" s="68"/>
      <c r="AT555" s="68"/>
      <c r="AU555" s="68"/>
      <c r="AV555" s="68"/>
      <c r="AW555" s="68"/>
      <c r="AX555" s="68"/>
      <c r="AY555" s="68"/>
      <c r="AZ555" s="68"/>
      <c r="BA555" s="68"/>
      <c r="BB555" s="68"/>
      <c r="BC555" s="68"/>
      <c r="BD555" s="68"/>
      <c r="BE555" s="68"/>
      <c r="BF555" s="68"/>
      <c r="BG555" s="68"/>
      <c r="BH555" s="68"/>
      <c r="BI555" s="68"/>
      <c r="BJ555" s="68"/>
      <c r="BK555" s="68"/>
      <c r="BL555" s="68"/>
      <c r="BM555" s="68"/>
      <c r="BN555" s="68"/>
      <c r="BO555" s="68"/>
      <c r="BP555" s="68"/>
      <c r="BQ555" s="68"/>
      <c r="BR555" s="68"/>
      <c r="BS555" s="68"/>
      <c r="BT555" s="68"/>
      <c r="BU555" s="68"/>
      <c r="BV555" s="68"/>
      <c r="BW555" s="68"/>
      <c r="BX555" s="68"/>
      <c r="BY555" s="68"/>
      <c r="BZ555" s="68"/>
      <c r="CA555" s="68"/>
      <c r="CB555" s="68"/>
      <c r="CC555" s="68"/>
      <c r="CD555" s="68"/>
      <c r="CE555" s="68"/>
      <c r="CF555" s="68"/>
      <c r="CG555" s="68"/>
      <c r="CH555" s="68"/>
      <c r="CI555" s="68"/>
      <c r="CJ555" s="68"/>
      <c r="CK555" s="68"/>
      <c r="CL555" s="68"/>
      <c r="CM555" s="68"/>
      <c r="CN555" s="68"/>
      <c r="CO555" s="68"/>
      <c r="CP555" s="68"/>
      <c r="CQ555" s="68"/>
      <c r="CR555" s="68"/>
      <c r="CS555" s="68"/>
      <c r="CT555" s="68"/>
      <c r="CU555" s="68"/>
      <c r="CV555" s="68"/>
      <c r="CW555" s="68"/>
      <c r="CX555" s="68"/>
    </row>
    <row r="556" spans="1:102" s="71" customFormat="1" hidden="1">
      <c r="A556" s="210"/>
      <c r="B556" s="210"/>
      <c r="C556" s="109"/>
      <c r="D556" s="72"/>
      <c r="E556" s="136"/>
      <c r="F556" s="136"/>
      <c r="G556" s="211"/>
      <c r="H556" s="136"/>
      <c r="I556" s="211"/>
      <c r="J556" s="211"/>
      <c r="K556" s="211"/>
      <c r="L556" s="136"/>
      <c r="M556" s="136"/>
      <c r="N556" s="136"/>
      <c r="O556" s="212"/>
      <c r="P556" s="116"/>
      <c r="Q556" s="103"/>
      <c r="R556" s="103"/>
      <c r="S556" s="103"/>
      <c r="T556" s="103"/>
      <c r="U556" s="68"/>
      <c r="V556" s="69"/>
      <c r="W556" s="68"/>
      <c r="X556" s="68"/>
      <c r="Y556" s="68"/>
      <c r="Z556" s="68"/>
      <c r="AA556" s="68"/>
      <c r="AB556" s="68"/>
      <c r="AC556" s="68"/>
      <c r="AD556" s="68"/>
      <c r="AE556" s="68"/>
      <c r="AF556" s="68"/>
      <c r="AG556" s="68"/>
      <c r="AH556" s="68"/>
      <c r="AI556" s="68"/>
      <c r="AJ556" s="68"/>
      <c r="AK556" s="68"/>
      <c r="AL556" s="68"/>
      <c r="AM556" s="68"/>
      <c r="AN556" s="68"/>
      <c r="AO556" s="68"/>
      <c r="AP556" s="68"/>
      <c r="AQ556" s="68"/>
      <c r="AR556" s="68"/>
      <c r="AS556" s="68"/>
      <c r="AT556" s="68"/>
      <c r="AU556" s="68"/>
      <c r="AV556" s="68"/>
      <c r="AW556" s="68"/>
      <c r="AX556" s="68"/>
      <c r="AY556" s="68"/>
      <c r="AZ556" s="68"/>
      <c r="BA556" s="68"/>
      <c r="BB556" s="68"/>
      <c r="BC556" s="68"/>
      <c r="BD556" s="68"/>
      <c r="BE556" s="68"/>
      <c r="BF556" s="68"/>
      <c r="BG556" s="68"/>
      <c r="BH556" s="68"/>
      <c r="BI556" s="68"/>
      <c r="BJ556" s="68"/>
      <c r="BK556" s="68"/>
      <c r="BL556" s="68"/>
      <c r="BM556" s="68"/>
      <c r="BN556" s="68"/>
      <c r="BO556" s="68"/>
      <c r="BP556" s="68"/>
      <c r="BQ556" s="68"/>
      <c r="BR556" s="68"/>
      <c r="BS556" s="68"/>
      <c r="BT556" s="68"/>
      <c r="BU556" s="68"/>
      <c r="BV556" s="68"/>
      <c r="BW556" s="68"/>
      <c r="BX556" s="68"/>
      <c r="BY556" s="68"/>
      <c r="BZ556" s="68"/>
      <c r="CA556" s="68"/>
      <c r="CB556" s="68"/>
      <c r="CC556" s="68"/>
      <c r="CD556" s="68"/>
      <c r="CE556" s="68"/>
      <c r="CF556" s="68"/>
      <c r="CG556" s="68"/>
      <c r="CH556" s="68"/>
      <c r="CI556" s="68"/>
      <c r="CJ556" s="68"/>
      <c r="CK556" s="68"/>
      <c r="CL556" s="68"/>
      <c r="CM556" s="68"/>
      <c r="CN556" s="68"/>
      <c r="CO556" s="68"/>
      <c r="CP556" s="68"/>
      <c r="CQ556" s="68"/>
      <c r="CR556" s="68"/>
      <c r="CS556" s="68"/>
      <c r="CT556" s="68"/>
      <c r="CU556" s="68"/>
      <c r="CV556" s="68"/>
      <c r="CW556" s="68"/>
      <c r="CX556" s="68"/>
    </row>
    <row r="557" spans="1:102" s="71" customFormat="1" hidden="1">
      <c r="A557" s="210"/>
      <c r="B557" s="210"/>
      <c r="C557" s="109"/>
      <c r="D557" s="72"/>
      <c r="E557" s="136"/>
      <c r="F557" s="136"/>
      <c r="G557" s="211"/>
      <c r="H557" s="136"/>
      <c r="I557" s="211"/>
      <c r="J557" s="211"/>
      <c r="K557" s="211"/>
      <c r="L557" s="136"/>
      <c r="M557" s="136"/>
      <c r="N557" s="136"/>
      <c r="O557" s="212"/>
      <c r="P557" s="116"/>
      <c r="Q557" s="103"/>
      <c r="R557" s="103"/>
      <c r="S557" s="103"/>
      <c r="T557" s="103"/>
      <c r="U557" s="68"/>
      <c r="V557" s="69"/>
      <c r="W557" s="68"/>
      <c r="X557" s="68"/>
      <c r="Y557" s="68"/>
      <c r="Z557" s="68"/>
      <c r="AA557" s="68"/>
      <c r="AB557" s="68"/>
      <c r="AC557" s="68"/>
      <c r="AD557" s="68"/>
      <c r="AE557" s="68"/>
      <c r="AF557" s="68"/>
      <c r="AG557" s="68"/>
      <c r="AH557" s="68"/>
      <c r="AI557" s="68"/>
      <c r="AJ557" s="68"/>
      <c r="AK557" s="68"/>
      <c r="AL557" s="68"/>
      <c r="AM557" s="68"/>
      <c r="AN557" s="68"/>
      <c r="AO557" s="68"/>
      <c r="AP557" s="68"/>
      <c r="AQ557" s="68"/>
      <c r="AR557" s="68"/>
      <c r="AS557" s="68"/>
      <c r="AT557" s="68"/>
      <c r="AU557" s="68"/>
      <c r="AV557" s="68"/>
      <c r="AW557" s="68"/>
      <c r="AX557" s="68"/>
      <c r="AY557" s="68"/>
      <c r="AZ557" s="68"/>
      <c r="BA557" s="68"/>
      <c r="BB557" s="68"/>
      <c r="BC557" s="68"/>
      <c r="BD557" s="68"/>
      <c r="BE557" s="68"/>
      <c r="BF557" s="68"/>
      <c r="BG557" s="68"/>
      <c r="BH557" s="68"/>
      <c r="BI557" s="68"/>
      <c r="BJ557" s="68"/>
      <c r="BK557" s="68"/>
      <c r="BL557" s="68"/>
      <c r="BM557" s="68"/>
      <c r="BN557" s="68"/>
      <c r="BO557" s="68"/>
      <c r="BP557" s="68"/>
      <c r="BQ557" s="68"/>
      <c r="BR557" s="68"/>
      <c r="BS557" s="68"/>
      <c r="BT557" s="68"/>
      <c r="BU557" s="68"/>
      <c r="BV557" s="68"/>
      <c r="BW557" s="68"/>
      <c r="BX557" s="68"/>
      <c r="BY557" s="68"/>
      <c r="BZ557" s="68"/>
      <c r="CA557" s="68"/>
      <c r="CB557" s="68"/>
      <c r="CC557" s="68"/>
      <c r="CD557" s="68"/>
      <c r="CE557" s="68"/>
      <c r="CF557" s="68"/>
      <c r="CG557" s="68"/>
      <c r="CH557" s="68"/>
      <c r="CI557" s="68"/>
      <c r="CJ557" s="68"/>
      <c r="CK557" s="68"/>
      <c r="CL557" s="68"/>
      <c r="CM557" s="68"/>
      <c r="CN557" s="68"/>
      <c r="CO557" s="68"/>
      <c r="CP557" s="68"/>
      <c r="CQ557" s="68"/>
      <c r="CR557" s="68"/>
      <c r="CS557" s="68"/>
      <c r="CT557" s="68"/>
      <c r="CU557" s="68"/>
      <c r="CV557" s="68"/>
      <c r="CW557" s="68"/>
      <c r="CX557" s="68"/>
    </row>
    <row r="558" spans="1:102" s="71" customFormat="1" hidden="1">
      <c r="A558" s="210"/>
      <c r="B558" s="210"/>
      <c r="C558" s="109"/>
      <c r="D558" s="72"/>
      <c r="E558" s="136"/>
      <c r="F558" s="136"/>
      <c r="G558" s="211"/>
      <c r="H558" s="136"/>
      <c r="I558" s="211"/>
      <c r="J558" s="211"/>
      <c r="K558" s="211"/>
      <c r="L558" s="136"/>
      <c r="M558" s="136"/>
      <c r="N558" s="136"/>
      <c r="O558" s="212"/>
      <c r="P558" s="116"/>
      <c r="Q558" s="103"/>
      <c r="R558" s="103"/>
      <c r="S558" s="103"/>
      <c r="T558" s="103"/>
      <c r="U558" s="68"/>
      <c r="V558" s="69"/>
      <c r="W558" s="68"/>
      <c r="X558" s="68"/>
      <c r="Y558" s="68"/>
      <c r="Z558" s="68"/>
      <c r="AA558" s="68"/>
      <c r="AB558" s="68"/>
      <c r="AC558" s="68"/>
      <c r="AD558" s="68"/>
      <c r="AE558" s="68"/>
      <c r="AF558" s="68"/>
      <c r="AG558" s="68"/>
      <c r="AH558" s="68"/>
      <c r="AI558" s="68"/>
      <c r="AJ558" s="68"/>
      <c r="AK558" s="68"/>
      <c r="AL558" s="68"/>
      <c r="AM558" s="68"/>
      <c r="AN558" s="68"/>
      <c r="AO558" s="68"/>
      <c r="AP558" s="68"/>
      <c r="AQ558" s="68"/>
      <c r="AR558" s="68"/>
      <c r="AS558" s="68"/>
      <c r="AT558" s="68"/>
      <c r="AU558" s="68"/>
      <c r="AV558" s="68"/>
      <c r="AW558" s="68"/>
      <c r="AX558" s="68"/>
      <c r="AY558" s="68"/>
      <c r="AZ558" s="68"/>
      <c r="BA558" s="68"/>
      <c r="BB558" s="68"/>
      <c r="BC558" s="68"/>
      <c r="BD558" s="68"/>
      <c r="BE558" s="68"/>
      <c r="BF558" s="68"/>
      <c r="BG558" s="68"/>
      <c r="BH558" s="68"/>
      <c r="BI558" s="68"/>
      <c r="BJ558" s="68"/>
      <c r="BK558" s="68"/>
      <c r="BL558" s="68"/>
      <c r="BM558" s="68"/>
      <c r="BN558" s="68"/>
      <c r="BO558" s="68"/>
      <c r="BP558" s="68"/>
      <c r="BQ558" s="68"/>
      <c r="BR558" s="68"/>
      <c r="BS558" s="68"/>
      <c r="BT558" s="68"/>
      <c r="BU558" s="68"/>
      <c r="BV558" s="68"/>
      <c r="BW558" s="68"/>
      <c r="BX558" s="68"/>
      <c r="BY558" s="68"/>
      <c r="BZ558" s="68"/>
      <c r="CA558" s="68"/>
      <c r="CB558" s="68"/>
      <c r="CC558" s="68"/>
      <c r="CD558" s="68"/>
      <c r="CE558" s="68"/>
      <c r="CF558" s="68"/>
      <c r="CG558" s="68"/>
      <c r="CH558" s="68"/>
      <c r="CI558" s="68"/>
      <c r="CJ558" s="68"/>
      <c r="CK558" s="68"/>
      <c r="CL558" s="68"/>
      <c r="CM558" s="68"/>
      <c r="CN558" s="68"/>
      <c r="CO558" s="68"/>
      <c r="CP558" s="68"/>
      <c r="CQ558" s="68"/>
      <c r="CR558" s="68"/>
      <c r="CS558" s="68"/>
      <c r="CT558" s="68"/>
      <c r="CU558" s="68"/>
      <c r="CV558" s="68"/>
      <c r="CW558" s="68"/>
      <c r="CX558" s="68"/>
    </row>
    <row r="559" spans="1:102" s="71" customFormat="1" hidden="1">
      <c r="A559" s="210"/>
      <c r="B559" s="210"/>
      <c r="C559" s="109"/>
      <c r="D559" s="72"/>
      <c r="E559" s="136"/>
      <c r="F559" s="136"/>
      <c r="G559" s="211"/>
      <c r="H559" s="136"/>
      <c r="I559" s="211"/>
      <c r="J559" s="211"/>
      <c r="K559" s="211"/>
      <c r="L559" s="136"/>
      <c r="M559" s="136"/>
      <c r="N559" s="136"/>
      <c r="O559" s="212"/>
      <c r="P559" s="116"/>
      <c r="Q559" s="103"/>
      <c r="R559" s="103"/>
      <c r="S559" s="103"/>
      <c r="T559" s="103"/>
      <c r="U559" s="68"/>
      <c r="V559" s="69"/>
      <c r="W559" s="68"/>
      <c r="X559" s="68"/>
      <c r="Y559" s="68"/>
      <c r="Z559" s="68"/>
      <c r="AA559" s="68"/>
      <c r="AB559" s="68"/>
      <c r="AC559" s="68"/>
      <c r="AD559" s="68"/>
      <c r="AE559" s="68"/>
      <c r="AF559" s="68"/>
      <c r="AG559" s="68"/>
      <c r="AH559" s="68"/>
      <c r="AI559" s="68"/>
      <c r="AJ559" s="68"/>
      <c r="AK559" s="68"/>
      <c r="AL559" s="68"/>
      <c r="AM559" s="68"/>
      <c r="AN559" s="68"/>
      <c r="AO559" s="68"/>
      <c r="AP559" s="68"/>
      <c r="AQ559" s="68"/>
      <c r="AR559" s="68"/>
      <c r="AS559" s="68"/>
      <c r="AT559" s="68"/>
      <c r="AU559" s="68"/>
      <c r="AV559" s="68"/>
      <c r="AW559" s="68"/>
      <c r="AX559" s="68"/>
      <c r="AY559" s="68"/>
      <c r="AZ559" s="68"/>
      <c r="BA559" s="68"/>
      <c r="BB559" s="68"/>
      <c r="BC559" s="68"/>
      <c r="BD559" s="68"/>
      <c r="BE559" s="68"/>
      <c r="BF559" s="68"/>
      <c r="BG559" s="68"/>
      <c r="BH559" s="68"/>
      <c r="BI559" s="68"/>
      <c r="BJ559" s="68"/>
      <c r="BK559" s="68"/>
      <c r="BL559" s="68"/>
      <c r="BM559" s="68"/>
      <c r="BN559" s="68"/>
      <c r="BO559" s="68"/>
      <c r="BP559" s="68"/>
      <c r="BQ559" s="68"/>
      <c r="BR559" s="68"/>
      <c r="BS559" s="68"/>
      <c r="BT559" s="68"/>
      <c r="BU559" s="68"/>
      <c r="BV559" s="68"/>
      <c r="BW559" s="68"/>
      <c r="BX559" s="68"/>
      <c r="BY559" s="68"/>
      <c r="BZ559" s="68"/>
      <c r="CA559" s="68"/>
      <c r="CB559" s="68"/>
      <c r="CC559" s="68"/>
      <c r="CD559" s="68"/>
      <c r="CE559" s="68"/>
      <c r="CF559" s="68"/>
      <c r="CG559" s="68"/>
      <c r="CH559" s="68"/>
      <c r="CI559" s="68"/>
      <c r="CJ559" s="68"/>
      <c r="CK559" s="68"/>
      <c r="CL559" s="68"/>
      <c r="CM559" s="68"/>
      <c r="CN559" s="68"/>
      <c r="CO559" s="68"/>
      <c r="CP559" s="68"/>
      <c r="CQ559" s="68"/>
      <c r="CR559" s="68"/>
      <c r="CS559" s="68"/>
      <c r="CT559" s="68"/>
      <c r="CU559" s="68"/>
      <c r="CV559" s="68"/>
      <c r="CW559" s="68"/>
      <c r="CX559" s="68"/>
    </row>
    <row r="560" spans="1:102" s="71" customFormat="1" hidden="1">
      <c r="A560" s="210"/>
      <c r="B560" s="210"/>
      <c r="C560" s="109"/>
      <c r="D560" s="115"/>
      <c r="E560" s="136"/>
      <c r="F560" s="136"/>
      <c r="G560" s="211"/>
      <c r="H560" s="136"/>
      <c r="I560" s="211"/>
      <c r="J560" s="211"/>
      <c r="K560" s="211"/>
      <c r="L560" s="136"/>
      <c r="M560" s="136"/>
      <c r="N560" s="136"/>
      <c r="O560" s="212"/>
      <c r="P560" s="116"/>
      <c r="Q560" s="103"/>
      <c r="R560" s="103"/>
      <c r="S560" s="103"/>
      <c r="T560" s="103"/>
      <c r="U560" s="68"/>
      <c r="V560" s="69"/>
      <c r="W560" s="68"/>
      <c r="X560" s="68"/>
      <c r="Y560" s="68"/>
      <c r="Z560" s="68"/>
      <c r="AA560" s="68"/>
      <c r="AB560" s="68"/>
      <c r="AC560" s="68"/>
      <c r="AD560" s="68"/>
      <c r="AE560" s="68"/>
      <c r="AF560" s="68"/>
      <c r="AG560" s="68"/>
      <c r="AH560" s="68"/>
      <c r="AI560" s="68"/>
      <c r="AJ560" s="68"/>
      <c r="AK560" s="68"/>
      <c r="AL560" s="68"/>
      <c r="AM560" s="68"/>
      <c r="AN560" s="68"/>
      <c r="AO560" s="68"/>
      <c r="AP560" s="68"/>
      <c r="AQ560" s="68"/>
      <c r="AR560" s="68"/>
      <c r="AS560" s="68"/>
      <c r="AT560" s="68"/>
      <c r="AU560" s="68"/>
      <c r="AV560" s="68"/>
      <c r="AW560" s="68"/>
      <c r="AX560" s="68"/>
      <c r="AY560" s="68"/>
      <c r="AZ560" s="68"/>
      <c r="BA560" s="68"/>
      <c r="BB560" s="68"/>
      <c r="BC560" s="68"/>
      <c r="BD560" s="68"/>
      <c r="BE560" s="68"/>
      <c r="BF560" s="68"/>
      <c r="BG560" s="68"/>
      <c r="BH560" s="68"/>
      <c r="BI560" s="68"/>
      <c r="BJ560" s="68"/>
      <c r="BK560" s="68"/>
      <c r="BL560" s="68"/>
      <c r="BM560" s="68"/>
      <c r="BN560" s="68"/>
      <c r="BO560" s="68"/>
      <c r="BP560" s="68"/>
      <c r="BQ560" s="68"/>
      <c r="BR560" s="68"/>
      <c r="BS560" s="68"/>
      <c r="BT560" s="68"/>
      <c r="BU560" s="68"/>
      <c r="BV560" s="68"/>
      <c r="BW560" s="68"/>
      <c r="BX560" s="68"/>
      <c r="BY560" s="68"/>
      <c r="BZ560" s="68"/>
      <c r="CA560" s="68"/>
      <c r="CB560" s="68"/>
      <c r="CC560" s="68"/>
      <c r="CD560" s="68"/>
      <c r="CE560" s="68"/>
      <c r="CF560" s="68"/>
      <c r="CG560" s="68"/>
      <c r="CH560" s="68"/>
      <c r="CI560" s="68"/>
      <c r="CJ560" s="68"/>
      <c r="CK560" s="68"/>
      <c r="CL560" s="68"/>
      <c r="CM560" s="68"/>
      <c r="CN560" s="68"/>
      <c r="CO560" s="68"/>
      <c r="CP560" s="68"/>
      <c r="CQ560" s="68"/>
      <c r="CR560" s="68"/>
      <c r="CS560" s="68"/>
      <c r="CT560" s="68"/>
      <c r="CU560" s="68"/>
      <c r="CV560" s="68"/>
      <c r="CW560" s="68"/>
      <c r="CX560" s="68"/>
    </row>
    <row r="561" spans="1:102" s="71" customFormat="1" hidden="1">
      <c r="A561" s="210"/>
      <c r="B561" s="210"/>
      <c r="C561" s="109"/>
      <c r="D561" s="115"/>
      <c r="E561" s="136"/>
      <c r="F561" s="136"/>
      <c r="G561" s="211"/>
      <c r="H561" s="136"/>
      <c r="I561" s="211"/>
      <c r="J561" s="211"/>
      <c r="K561" s="211"/>
      <c r="L561" s="136"/>
      <c r="M561" s="136"/>
      <c r="N561" s="136"/>
      <c r="O561" s="212"/>
      <c r="P561" s="116"/>
      <c r="Q561" s="103"/>
      <c r="R561" s="103"/>
      <c r="S561" s="103"/>
      <c r="T561" s="103"/>
      <c r="U561" s="68"/>
      <c r="V561" s="69"/>
      <c r="W561" s="68"/>
      <c r="X561" s="68"/>
      <c r="Y561" s="68"/>
      <c r="Z561" s="68"/>
      <c r="AA561" s="68"/>
      <c r="AB561" s="68"/>
      <c r="AC561" s="68"/>
      <c r="AD561" s="68"/>
      <c r="AE561" s="68"/>
      <c r="AF561" s="68"/>
      <c r="AG561" s="68"/>
      <c r="AH561" s="68"/>
      <c r="AI561" s="68"/>
      <c r="AJ561" s="68"/>
      <c r="AK561" s="68"/>
      <c r="AL561" s="68"/>
      <c r="AM561" s="68"/>
      <c r="AN561" s="68"/>
      <c r="AO561" s="68"/>
      <c r="AP561" s="68"/>
      <c r="AQ561" s="68"/>
      <c r="AR561" s="68"/>
      <c r="AS561" s="68"/>
      <c r="AT561" s="68"/>
      <c r="AU561" s="68"/>
      <c r="AV561" s="68"/>
      <c r="AW561" s="68"/>
      <c r="AX561" s="68"/>
      <c r="AY561" s="68"/>
      <c r="AZ561" s="68"/>
      <c r="BA561" s="68"/>
      <c r="BB561" s="68"/>
      <c r="BC561" s="68"/>
      <c r="BD561" s="68"/>
      <c r="BE561" s="68"/>
      <c r="BF561" s="68"/>
      <c r="BG561" s="68"/>
      <c r="BH561" s="68"/>
      <c r="BI561" s="68"/>
      <c r="BJ561" s="68"/>
      <c r="BK561" s="68"/>
      <c r="BL561" s="68"/>
      <c r="BM561" s="68"/>
      <c r="BN561" s="68"/>
      <c r="BO561" s="68"/>
      <c r="BP561" s="68"/>
      <c r="BQ561" s="68"/>
      <c r="BR561" s="68"/>
      <c r="BS561" s="68"/>
      <c r="BT561" s="68"/>
      <c r="BU561" s="68"/>
      <c r="BV561" s="68"/>
      <c r="BW561" s="68"/>
      <c r="BX561" s="68"/>
      <c r="BY561" s="68"/>
      <c r="BZ561" s="68"/>
      <c r="CA561" s="68"/>
      <c r="CB561" s="68"/>
      <c r="CC561" s="68"/>
      <c r="CD561" s="68"/>
      <c r="CE561" s="68"/>
      <c r="CF561" s="68"/>
      <c r="CG561" s="68"/>
      <c r="CH561" s="68"/>
      <c r="CI561" s="68"/>
      <c r="CJ561" s="68"/>
      <c r="CK561" s="68"/>
      <c r="CL561" s="68"/>
      <c r="CM561" s="68"/>
      <c r="CN561" s="68"/>
      <c r="CO561" s="68"/>
      <c r="CP561" s="68"/>
      <c r="CQ561" s="68"/>
      <c r="CR561" s="68"/>
      <c r="CS561" s="68"/>
      <c r="CT561" s="68"/>
      <c r="CU561" s="68"/>
      <c r="CV561" s="68"/>
      <c r="CW561" s="68"/>
      <c r="CX561" s="68"/>
    </row>
    <row r="562" spans="1:102" s="71" customFormat="1" hidden="1">
      <c r="A562" s="210"/>
      <c r="B562" s="210"/>
      <c r="C562" s="109"/>
      <c r="D562" s="115"/>
      <c r="E562" s="136"/>
      <c r="F562" s="136"/>
      <c r="G562" s="211"/>
      <c r="H562" s="136"/>
      <c r="I562" s="211"/>
      <c r="J562" s="211"/>
      <c r="K562" s="211"/>
      <c r="L562" s="136"/>
      <c r="M562" s="136"/>
      <c r="N562" s="136"/>
      <c r="O562" s="212"/>
      <c r="P562" s="116"/>
      <c r="Q562" s="103"/>
      <c r="R562" s="103"/>
      <c r="S562" s="103"/>
      <c r="T562" s="103"/>
      <c r="U562" s="68"/>
      <c r="V562" s="69"/>
      <c r="W562" s="68"/>
      <c r="X562" s="68"/>
      <c r="Y562" s="68"/>
      <c r="Z562" s="68"/>
      <c r="AA562" s="68"/>
      <c r="AB562" s="68"/>
      <c r="AC562" s="68"/>
      <c r="AD562" s="68"/>
      <c r="AE562" s="68"/>
      <c r="AF562" s="68"/>
      <c r="AG562" s="68"/>
      <c r="AH562" s="68"/>
      <c r="AI562" s="68"/>
      <c r="AJ562" s="68"/>
      <c r="AK562" s="68"/>
      <c r="AL562" s="68"/>
      <c r="AM562" s="68"/>
      <c r="AN562" s="68"/>
      <c r="AO562" s="68"/>
      <c r="AP562" s="68"/>
      <c r="AQ562" s="68"/>
      <c r="AR562" s="68"/>
      <c r="AS562" s="68"/>
      <c r="AT562" s="68"/>
      <c r="AU562" s="68"/>
      <c r="AV562" s="68"/>
      <c r="AW562" s="68"/>
      <c r="AX562" s="68"/>
      <c r="AY562" s="68"/>
      <c r="AZ562" s="68"/>
      <c r="BA562" s="68"/>
      <c r="BB562" s="68"/>
      <c r="BC562" s="68"/>
      <c r="BD562" s="68"/>
      <c r="BE562" s="68"/>
      <c r="BF562" s="68"/>
      <c r="BG562" s="68"/>
      <c r="BH562" s="68"/>
      <c r="BI562" s="68"/>
      <c r="BJ562" s="68"/>
      <c r="BK562" s="68"/>
      <c r="BL562" s="68"/>
      <c r="BM562" s="68"/>
      <c r="BN562" s="68"/>
      <c r="BO562" s="68"/>
      <c r="BP562" s="68"/>
      <c r="BQ562" s="68"/>
      <c r="BR562" s="68"/>
      <c r="BS562" s="68"/>
      <c r="BT562" s="68"/>
      <c r="BU562" s="68"/>
      <c r="BV562" s="68"/>
      <c r="BW562" s="68"/>
      <c r="BX562" s="68"/>
      <c r="BY562" s="68"/>
      <c r="BZ562" s="68"/>
      <c r="CA562" s="68"/>
      <c r="CB562" s="68"/>
      <c r="CC562" s="68"/>
      <c r="CD562" s="68"/>
      <c r="CE562" s="68"/>
      <c r="CF562" s="68"/>
      <c r="CG562" s="68"/>
      <c r="CH562" s="68"/>
      <c r="CI562" s="68"/>
      <c r="CJ562" s="68"/>
      <c r="CK562" s="68"/>
      <c r="CL562" s="68"/>
      <c r="CM562" s="68"/>
      <c r="CN562" s="68"/>
      <c r="CO562" s="68"/>
      <c r="CP562" s="68"/>
      <c r="CQ562" s="68"/>
      <c r="CR562" s="68"/>
      <c r="CS562" s="68"/>
      <c r="CT562" s="68"/>
      <c r="CU562" s="68"/>
      <c r="CV562" s="68"/>
      <c r="CW562" s="68"/>
      <c r="CX562" s="68"/>
    </row>
    <row r="563" spans="1:102" s="71" customFormat="1" hidden="1">
      <c r="A563" s="210"/>
      <c r="B563" s="210"/>
      <c r="C563" s="109"/>
      <c r="D563" s="115"/>
      <c r="E563" s="136"/>
      <c r="F563" s="136"/>
      <c r="G563" s="211"/>
      <c r="H563" s="136"/>
      <c r="I563" s="211"/>
      <c r="J563" s="211"/>
      <c r="K563" s="211"/>
      <c r="L563" s="136"/>
      <c r="M563" s="136"/>
      <c r="N563" s="136"/>
      <c r="O563" s="212"/>
      <c r="P563" s="116"/>
      <c r="Q563" s="103"/>
      <c r="R563" s="103"/>
      <c r="S563" s="103"/>
      <c r="T563" s="103"/>
      <c r="U563" s="68"/>
      <c r="V563" s="69"/>
      <c r="W563" s="68"/>
      <c r="X563" s="68"/>
      <c r="Y563" s="68"/>
      <c r="Z563" s="68"/>
      <c r="AA563" s="68"/>
      <c r="AB563" s="68"/>
      <c r="AC563" s="68"/>
      <c r="AD563" s="68"/>
      <c r="AE563" s="68"/>
      <c r="AF563" s="68"/>
      <c r="AG563" s="68"/>
      <c r="AH563" s="68"/>
      <c r="AI563" s="68"/>
      <c r="AJ563" s="68"/>
      <c r="AK563" s="68"/>
      <c r="AL563" s="68"/>
      <c r="AM563" s="68"/>
      <c r="AN563" s="68"/>
      <c r="AO563" s="68"/>
      <c r="AP563" s="68"/>
      <c r="AQ563" s="68"/>
      <c r="AR563" s="68"/>
      <c r="AS563" s="68"/>
      <c r="AT563" s="68"/>
      <c r="AU563" s="68"/>
      <c r="AV563" s="68"/>
      <c r="AW563" s="68"/>
      <c r="AX563" s="68"/>
      <c r="AY563" s="68"/>
      <c r="AZ563" s="68"/>
      <c r="BA563" s="68"/>
      <c r="BB563" s="68"/>
      <c r="BC563" s="68"/>
      <c r="BD563" s="68"/>
      <c r="BE563" s="68"/>
      <c r="BF563" s="68"/>
      <c r="BG563" s="68"/>
      <c r="BH563" s="68"/>
      <c r="BI563" s="68"/>
      <c r="BJ563" s="68"/>
      <c r="BK563" s="68"/>
      <c r="BL563" s="68"/>
      <c r="BM563" s="68"/>
      <c r="BN563" s="68"/>
      <c r="BO563" s="68"/>
      <c r="BP563" s="68"/>
      <c r="BQ563" s="68"/>
      <c r="BR563" s="68"/>
      <c r="BS563" s="68"/>
      <c r="BT563" s="68"/>
      <c r="BU563" s="68"/>
      <c r="BV563" s="68"/>
      <c r="BW563" s="68"/>
      <c r="BX563" s="68"/>
      <c r="BY563" s="68"/>
      <c r="BZ563" s="68"/>
      <c r="CA563" s="68"/>
      <c r="CB563" s="68"/>
      <c r="CC563" s="68"/>
      <c r="CD563" s="68"/>
      <c r="CE563" s="68"/>
      <c r="CF563" s="68"/>
      <c r="CG563" s="68"/>
      <c r="CH563" s="68"/>
      <c r="CI563" s="68"/>
      <c r="CJ563" s="68"/>
      <c r="CK563" s="68"/>
      <c r="CL563" s="68"/>
      <c r="CM563" s="68"/>
      <c r="CN563" s="68"/>
      <c r="CO563" s="68"/>
      <c r="CP563" s="68"/>
      <c r="CQ563" s="68"/>
      <c r="CR563" s="68"/>
      <c r="CS563" s="68"/>
      <c r="CT563" s="68"/>
      <c r="CU563" s="68"/>
      <c r="CV563" s="68"/>
      <c r="CW563" s="68"/>
      <c r="CX563" s="68"/>
    </row>
    <row r="564" spans="1:102" s="71" customFormat="1" hidden="1">
      <c r="A564" s="210"/>
      <c r="B564" s="210"/>
      <c r="C564" s="109"/>
      <c r="D564" s="115"/>
      <c r="E564" s="136"/>
      <c r="F564" s="136"/>
      <c r="G564" s="211"/>
      <c r="H564" s="136"/>
      <c r="I564" s="211"/>
      <c r="J564" s="211"/>
      <c r="K564" s="211"/>
      <c r="L564" s="136"/>
      <c r="M564" s="136"/>
      <c r="N564" s="136"/>
      <c r="O564" s="212"/>
      <c r="P564" s="116"/>
      <c r="Q564" s="103"/>
      <c r="R564" s="103"/>
      <c r="S564" s="103"/>
      <c r="T564" s="103"/>
      <c r="U564" s="68"/>
      <c r="V564" s="69"/>
      <c r="W564" s="68"/>
      <c r="X564" s="68"/>
      <c r="Y564" s="68"/>
      <c r="Z564" s="68"/>
      <c r="AA564" s="68"/>
      <c r="AB564" s="68"/>
      <c r="AC564" s="68"/>
      <c r="AD564" s="68"/>
      <c r="AE564" s="68"/>
      <c r="AF564" s="68"/>
      <c r="AG564" s="68"/>
      <c r="AH564" s="68"/>
      <c r="AI564" s="68"/>
      <c r="AJ564" s="68"/>
      <c r="AK564" s="68"/>
      <c r="AL564" s="68"/>
      <c r="AM564" s="68"/>
      <c r="AN564" s="68"/>
      <c r="AO564" s="68"/>
      <c r="AP564" s="68"/>
      <c r="AQ564" s="68"/>
      <c r="AR564" s="68"/>
      <c r="AS564" s="68"/>
      <c r="AT564" s="68"/>
      <c r="AU564" s="68"/>
      <c r="AV564" s="68"/>
      <c r="AW564" s="68"/>
      <c r="AX564" s="68"/>
      <c r="AY564" s="68"/>
      <c r="AZ564" s="68"/>
      <c r="BA564" s="68"/>
      <c r="BB564" s="68"/>
      <c r="BC564" s="68"/>
      <c r="BD564" s="68"/>
      <c r="BE564" s="68"/>
      <c r="BF564" s="68"/>
      <c r="BG564" s="68"/>
      <c r="BH564" s="68"/>
      <c r="BI564" s="68"/>
      <c r="BJ564" s="68"/>
      <c r="BK564" s="68"/>
      <c r="BL564" s="68"/>
      <c r="BM564" s="68"/>
      <c r="BN564" s="68"/>
      <c r="BO564" s="68"/>
      <c r="BP564" s="68"/>
      <c r="BQ564" s="68"/>
      <c r="BR564" s="68"/>
      <c r="BS564" s="68"/>
      <c r="BT564" s="68"/>
      <c r="BU564" s="68"/>
      <c r="BV564" s="68"/>
      <c r="BW564" s="68"/>
      <c r="BX564" s="68"/>
      <c r="BY564" s="68"/>
      <c r="BZ564" s="68"/>
      <c r="CA564" s="68"/>
      <c r="CB564" s="68"/>
      <c r="CC564" s="68"/>
      <c r="CD564" s="68"/>
      <c r="CE564" s="68"/>
      <c r="CF564" s="68"/>
      <c r="CG564" s="68"/>
      <c r="CH564" s="68"/>
      <c r="CI564" s="68"/>
      <c r="CJ564" s="68"/>
      <c r="CK564" s="68"/>
      <c r="CL564" s="68"/>
      <c r="CM564" s="68"/>
      <c r="CN564" s="68"/>
      <c r="CO564" s="68"/>
      <c r="CP564" s="68"/>
      <c r="CQ564" s="68"/>
      <c r="CR564" s="68"/>
      <c r="CS564" s="68"/>
      <c r="CT564" s="68"/>
      <c r="CU564" s="68"/>
      <c r="CV564" s="68"/>
      <c r="CW564" s="68"/>
      <c r="CX564" s="68"/>
    </row>
    <row r="565" spans="1:102" s="71" customFormat="1" hidden="1">
      <c r="A565" s="210"/>
      <c r="B565" s="210"/>
      <c r="C565" s="109"/>
      <c r="D565" s="115"/>
      <c r="E565" s="136"/>
      <c r="F565" s="136"/>
      <c r="G565" s="211"/>
      <c r="H565" s="136"/>
      <c r="I565" s="211"/>
      <c r="J565" s="211"/>
      <c r="K565" s="211"/>
      <c r="L565" s="136"/>
      <c r="M565" s="136"/>
      <c r="N565" s="136"/>
      <c r="O565" s="212"/>
      <c r="P565" s="116"/>
      <c r="Q565" s="103"/>
      <c r="R565" s="103"/>
      <c r="S565" s="103"/>
      <c r="T565" s="103"/>
      <c r="U565" s="68"/>
      <c r="V565" s="69"/>
      <c r="W565" s="68"/>
      <c r="X565" s="68"/>
      <c r="Y565" s="68"/>
      <c r="Z565" s="68"/>
      <c r="AA565" s="68"/>
      <c r="AB565" s="68"/>
      <c r="AC565" s="68"/>
      <c r="AD565" s="68"/>
      <c r="AE565" s="68"/>
      <c r="AF565" s="68"/>
      <c r="AG565" s="68"/>
      <c r="AH565" s="68"/>
      <c r="AI565" s="68"/>
      <c r="AJ565" s="68"/>
      <c r="AK565" s="68"/>
      <c r="AL565" s="68"/>
      <c r="AM565" s="68"/>
      <c r="AN565" s="68"/>
      <c r="AO565" s="68"/>
      <c r="AP565" s="68"/>
      <c r="AQ565" s="68"/>
      <c r="AR565" s="68"/>
      <c r="AS565" s="68"/>
      <c r="AT565" s="68"/>
      <c r="AU565" s="68"/>
      <c r="AV565" s="68"/>
      <c r="AW565" s="68"/>
      <c r="AX565" s="68"/>
      <c r="AY565" s="68"/>
      <c r="AZ565" s="68"/>
      <c r="BA565" s="68"/>
      <c r="BB565" s="68"/>
      <c r="BC565" s="68"/>
      <c r="BD565" s="68"/>
      <c r="BE565" s="68"/>
      <c r="BF565" s="68"/>
      <c r="BG565" s="68"/>
      <c r="BH565" s="68"/>
      <c r="BI565" s="68"/>
      <c r="BJ565" s="68"/>
      <c r="BK565" s="68"/>
      <c r="BL565" s="68"/>
      <c r="BM565" s="68"/>
      <c r="BN565" s="68"/>
      <c r="BO565" s="68"/>
      <c r="BP565" s="68"/>
      <c r="BQ565" s="68"/>
      <c r="BR565" s="68"/>
      <c r="BS565" s="68"/>
      <c r="BT565" s="68"/>
      <c r="BU565" s="68"/>
      <c r="BV565" s="68"/>
      <c r="BW565" s="68"/>
      <c r="BX565" s="68"/>
      <c r="BY565" s="68"/>
      <c r="BZ565" s="68"/>
      <c r="CA565" s="68"/>
      <c r="CB565" s="68"/>
      <c r="CC565" s="68"/>
      <c r="CD565" s="68"/>
      <c r="CE565" s="68"/>
      <c r="CF565" s="68"/>
      <c r="CG565" s="68"/>
      <c r="CH565" s="68"/>
      <c r="CI565" s="68"/>
      <c r="CJ565" s="68"/>
      <c r="CK565" s="68"/>
      <c r="CL565" s="68"/>
      <c r="CM565" s="68"/>
      <c r="CN565" s="68"/>
      <c r="CO565" s="68"/>
      <c r="CP565" s="68"/>
      <c r="CQ565" s="68"/>
      <c r="CR565" s="68"/>
      <c r="CS565" s="68"/>
      <c r="CT565" s="68"/>
      <c r="CU565" s="68"/>
      <c r="CV565" s="68"/>
      <c r="CW565" s="68"/>
      <c r="CX565" s="68"/>
    </row>
    <row r="566" spans="1:102" s="71" customFormat="1" hidden="1">
      <c r="A566" s="210"/>
      <c r="B566" s="210"/>
      <c r="C566" s="109"/>
      <c r="D566" s="115"/>
      <c r="E566" s="136"/>
      <c r="F566" s="136"/>
      <c r="G566" s="211"/>
      <c r="H566" s="136"/>
      <c r="I566" s="211"/>
      <c r="J566" s="211"/>
      <c r="K566" s="211"/>
      <c r="L566" s="136"/>
      <c r="M566" s="136"/>
      <c r="N566" s="136"/>
      <c r="O566" s="212"/>
      <c r="P566" s="116"/>
      <c r="Q566" s="103"/>
      <c r="R566" s="103"/>
      <c r="S566" s="103"/>
      <c r="T566" s="103"/>
      <c r="U566" s="68"/>
      <c r="V566" s="69"/>
      <c r="W566" s="68"/>
      <c r="X566" s="68"/>
      <c r="Y566" s="68"/>
      <c r="Z566" s="68"/>
      <c r="AA566" s="68"/>
      <c r="AB566" s="68"/>
      <c r="AC566" s="68"/>
      <c r="AD566" s="68"/>
      <c r="AE566" s="68"/>
      <c r="AF566" s="68"/>
      <c r="AG566" s="68"/>
      <c r="AH566" s="68"/>
      <c r="AI566" s="68"/>
      <c r="AJ566" s="68"/>
      <c r="AK566" s="68"/>
      <c r="AL566" s="68"/>
      <c r="AM566" s="68"/>
      <c r="AN566" s="68"/>
      <c r="AO566" s="68"/>
      <c r="AP566" s="68"/>
      <c r="AQ566" s="68"/>
      <c r="AR566" s="68"/>
      <c r="AS566" s="68"/>
      <c r="AT566" s="68"/>
      <c r="AU566" s="68"/>
      <c r="AV566" s="68"/>
      <c r="AW566" s="68"/>
      <c r="AX566" s="68"/>
      <c r="AY566" s="68"/>
      <c r="AZ566" s="68"/>
      <c r="BA566" s="68"/>
      <c r="BB566" s="68"/>
      <c r="BC566" s="68"/>
      <c r="BD566" s="68"/>
      <c r="BE566" s="68"/>
      <c r="BF566" s="68"/>
      <c r="BG566" s="68"/>
      <c r="BH566" s="68"/>
      <c r="BI566" s="68"/>
      <c r="BJ566" s="68"/>
      <c r="BK566" s="68"/>
      <c r="BL566" s="68"/>
      <c r="BM566" s="68"/>
      <c r="BN566" s="68"/>
      <c r="BO566" s="68"/>
      <c r="BP566" s="68"/>
      <c r="BQ566" s="68"/>
      <c r="BR566" s="68"/>
      <c r="BS566" s="68"/>
      <c r="BT566" s="68"/>
      <c r="BU566" s="68"/>
      <c r="BV566" s="68"/>
      <c r="BW566" s="68"/>
      <c r="BX566" s="68"/>
      <c r="BY566" s="68"/>
      <c r="BZ566" s="68"/>
      <c r="CA566" s="68"/>
      <c r="CB566" s="68"/>
      <c r="CC566" s="68"/>
      <c r="CD566" s="68"/>
      <c r="CE566" s="68"/>
      <c r="CF566" s="68"/>
      <c r="CG566" s="68"/>
      <c r="CH566" s="68"/>
      <c r="CI566" s="68"/>
      <c r="CJ566" s="68"/>
      <c r="CK566" s="68"/>
      <c r="CL566" s="68"/>
      <c r="CM566" s="68"/>
      <c r="CN566" s="68"/>
      <c r="CO566" s="68"/>
      <c r="CP566" s="68"/>
      <c r="CQ566" s="68"/>
      <c r="CR566" s="68"/>
      <c r="CS566" s="68"/>
      <c r="CT566" s="68"/>
      <c r="CU566" s="68"/>
      <c r="CV566" s="68"/>
      <c r="CW566" s="68"/>
      <c r="CX566" s="68"/>
    </row>
    <row r="567" spans="1:102" s="71" customFormat="1" hidden="1">
      <c r="A567" s="210"/>
      <c r="B567" s="210"/>
      <c r="C567" s="109"/>
      <c r="D567" s="115"/>
      <c r="E567" s="136"/>
      <c r="F567" s="136"/>
      <c r="G567" s="211"/>
      <c r="H567" s="136"/>
      <c r="I567" s="211"/>
      <c r="J567" s="211"/>
      <c r="K567" s="211"/>
      <c r="L567" s="136"/>
      <c r="M567" s="136"/>
      <c r="N567" s="136"/>
      <c r="O567" s="212"/>
      <c r="P567" s="116"/>
      <c r="Q567" s="103"/>
      <c r="R567" s="103"/>
      <c r="S567" s="103"/>
      <c r="T567" s="103"/>
      <c r="U567" s="68"/>
      <c r="V567" s="69"/>
      <c r="W567" s="68"/>
      <c r="X567" s="68"/>
      <c r="Y567" s="68"/>
      <c r="Z567" s="68"/>
      <c r="AA567" s="68"/>
      <c r="AB567" s="68"/>
      <c r="AC567" s="68"/>
      <c r="AD567" s="68"/>
      <c r="AE567" s="68"/>
      <c r="AF567" s="68"/>
      <c r="AG567" s="68"/>
      <c r="AH567" s="68"/>
      <c r="AI567" s="68"/>
      <c r="AJ567" s="68"/>
      <c r="AK567" s="68"/>
      <c r="AL567" s="68"/>
      <c r="AM567" s="68"/>
      <c r="AN567" s="68"/>
      <c r="AO567" s="68"/>
      <c r="AP567" s="68"/>
      <c r="AQ567" s="68"/>
      <c r="AR567" s="68"/>
      <c r="AS567" s="68"/>
      <c r="AT567" s="68"/>
      <c r="AU567" s="68"/>
      <c r="AV567" s="68"/>
      <c r="AW567" s="68"/>
      <c r="AX567" s="68"/>
      <c r="AY567" s="68"/>
      <c r="AZ567" s="68"/>
      <c r="BA567" s="68"/>
      <c r="BB567" s="68"/>
      <c r="BC567" s="68"/>
      <c r="BD567" s="68"/>
      <c r="BE567" s="68"/>
      <c r="BF567" s="68"/>
      <c r="BG567" s="68"/>
      <c r="BH567" s="68"/>
      <c r="BI567" s="68"/>
      <c r="BJ567" s="68"/>
      <c r="BK567" s="68"/>
      <c r="BL567" s="68"/>
      <c r="BM567" s="68"/>
      <c r="BN567" s="68"/>
      <c r="BO567" s="68"/>
      <c r="BP567" s="68"/>
      <c r="BQ567" s="68"/>
      <c r="BR567" s="68"/>
      <c r="BS567" s="68"/>
      <c r="BT567" s="68"/>
      <c r="BU567" s="68"/>
      <c r="BV567" s="68"/>
      <c r="BW567" s="68"/>
      <c r="BX567" s="68"/>
      <c r="BY567" s="68"/>
      <c r="BZ567" s="68"/>
      <c r="CA567" s="68"/>
      <c r="CB567" s="68"/>
      <c r="CC567" s="68"/>
      <c r="CD567" s="68"/>
      <c r="CE567" s="68"/>
      <c r="CF567" s="68"/>
      <c r="CG567" s="68"/>
      <c r="CH567" s="68"/>
      <c r="CI567" s="68"/>
      <c r="CJ567" s="68"/>
      <c r="CK567" s="68"/>
      <c r="CL567" s="68"/>
      <c r="CM567" s="68"/>
      <c r="CN567" s="68"/>
      <c r="CO567" s="68"/>
      <c r="CP567" s="68"/>
      <c r="CQ567" s="68"/>
      <c r="CR567" s="68"/>
      <c r="CS567" s="68"/>
      <c r="CT567" s="68"/>
      <c r="CU567" s="68"/>
      <c r="CV567" s="68"/>
      <c r="CW567" s="68"/>
      <c r="CX567" s="68"/>
    </row>
    <row r="568" spans="1:102" s="71" customFormat="1" hidden="1">
      <c r="A568" s="210"/>
      <c r="B568" s="210"/>
      <c r="C568" s="109"/>
      <c r="D568" s="115"/>
      <c r="E568" s="136"/>
      <c r="F568" s="136"/>
      <c r="G568" s="211"/>
      <c r="H568" s="136"/>
      <c r="I568" s="211"/>
      <c r="J568" s="211"/>
      <c r="K568" s="211"/>
      <c r="L568" s="136"/>
      <c r="M568" s="136"/>
      <c r="N568" s="136"/>
      <c r="O568" s="212"/>
      <c r="P568" s="116"/>
      <c r="Q568" s="103"/>
      <c r="R568" s="103"/>
      <c r="S568" s="103"/>
      <c r="T568" s="103"/>
      <c r="U568" s="68"/>
      <c r="V568" s="69"/>
      <c r="W568" s="68"/>
      <c r="X568" s="68"/>
      <c r="Y568" s="68"/>
      <c r="Z568" s="68"/>
      <c r="AA568" s="68"/>
      <c r="AB568" s="68"/>
      <c r="AC568" s="68"/>
      <c r="AD568" s="68"/>
      <c r="AE568" s="68"/>
      <c r="AF568" s="68"/>
      <c r="AG568" s="68"/>
      <c r="AH568" s="68"/>
      <c r="AI568" s="68"/>
      <c r="AJ568" s="68"/>
      <c r="AK568" s="68"/>
      <c r="AL568" s="68"/>
      <c r="AM568" s="68"/>
      <c r="AN568" s="68"/>
      <c r="AO568" s="68"/>
      <c r="AP568" s="68"/>
      <c r="AQ568" s="68"/>
      <c r="AR568" s="68"/>
      <c r="AS568" s="68"/>
      <c r="AT568" s="68"/>
      <c r="AU568" s="68"/>
      <c r="AV568" s="68"/>
      <c r="AW568" s="68"/>
      <c r="AX568" s="68"/>
      <c r="AY568" s="68"/>
      <c r="AZ568" s="68"/>
      <c r="BA568" s="68"/>
      <c r="BB568" s="68"/>
      <c r="BC568" s="68"/>
      <c r="BD568" s="68"/>
      <c r="BE568" s="68"/>
      <c r="BF568" s="68"/>
      <c r="BG568" s="68"/>
      <c r="BH568" s="68"/>
      <c r="BI568" s="68"/>
      <c r="BJ568" s="68"/>
      <c r="BK568" s="68"/>
      <c r="BL568" s="68"/>
      <c r="BM568" s="68"/>
      <c r="BN568" s="68"/>
      <c r="BO568" s="68"/>
      <c r="BP568" s="68"/>
      <c r="BQ568" s="68"/>
      <c r="BR568" s="68"/>
      <c r="BS568" s="68"/>
      <c r="BT568" s="68"/>
      <c r="BU568" s="68"/>
      <c r="BV568" s="68"/>
      <c r="BW568" s="68"/>
      <c r="BX568" s="68"/>
      <c r="BY568" s="68"/>
      <c r="BZ568" s="68"/>
      <c r="CA568" s="68"/>
      <c r="CB568" s="68"/>
      <c r="CC568" s="68"/>
      <c r="CD568" s="68"/>
      <c r="CE568" s="68"/>
      <c r="CF568" s="68"/>
      <c r="CG568" s="68"/>
      <c r="CH568" s="68"/>
      <c r="CI568" s="68"/>
      <c r="CJ568" s="68"/>
      <c r="CK568" s="68"/>
      <c r="CL568" s="68"/>
      <c r="CM568" s="68"/>
      <c r="CN568" s="68"/>
      <c r="CO568" s="68"/>
      <c r="CP568" s="68"/>
      <c r="CQ568" s="68"/>
      <c r="CR568" s="68"/>
      <c r="CS568" s="68"/>
      <c r="CT568" s="68"/>
      <c r="CU568" s="68"/>
      <c r="CV568" s="68"/>
      <c r="CW568" s="68"/>
      <c r="CX568" s="68"/>
    </row>
    <row r="569" spans="1:102" s="71" customFormat="1" hidden="1">
      <c r="A569" s="210"/>
      <c r="B569" s="210"/>
      <c r="C569" s="109"/>
      <c r="D569" s="115"/>
      <c r="E569" s="136"/>
      <c r="F569" s="136"/>
      <c r="G569" s="211"/>
      <c r="H569" s="136"/>
      <c r="I569" s="211"/>
      <c r="J569" s="211"/>
      <c r="K569" s="211"/>
      <c r="L569" s="136"/>
      <c r="M569" s="136"/>
      <c r="N569" s="136"/>
      <c r="O569" s="212"/>
      <c r="P569" s="116"/>
      <c r="Q569" s="103"/>
      <c r="R569" s="103"/>
      <c r="S569" s="103"/>
      <c r="T569" s="103"/>
      <c r="U569" s="68"/>
      <c r="V569" s="69"/>
      <c r="W569" s="68"/>
      <c r="X569" s="68"/>
      <c r="Y569" s="68"/>
      <c r="Z569" s="68"/>
      <c r="AA569" s="68"/>
      <c r="AB569" s="68"/>
      <c r="AC569" s="68"/>
      <c r="AD569" s="68"/>
      <c r="AE569" s="68"/>
      <c r="AF569" s="68"/>
      <c r="AG569" s="68"/>
      <c r="AH569" s="68"/>
      <c r="AI569" s="68"/>
      <c r="AJ569" s="68"/>
      <c r="AK569" s="68"/>
      <c r="AL569" s="68"/>
      <c r="AM569" s="68"/>
      <c r="AN569" s="68"/>
      <c r="AO569" s="68"/>
      <c r="AP569" s="68"/>
      <c r="AQ569" s="68"/>
      <c r="AR569" s="68"/>
      <c r="AS569" s="68"/>
      <c r="AT569" s="68"/>
      <c r="AU569" s="68"/>
      <c r="AV569" s="68"/>
      <c r="AW569" s="68"/>
      <c r="AX569" s="68"/>
      <c r="AY569" s="68"/>
      <c r="AZ569" s="68"/>
      <c r="BA569" s="68"/>
      <c r="BB569" s="68"/>
      <c r="BC569" s="68"/>
      <c r="BD569" s="68"/>
      <c r="BE569" s="68"/>
      <c r="BF569" s="68"/>
      <c r="BG569" s="68"/>
      <c r="BH569" s="68"/>
      <c r="BI569" s="68"/>
      <c r="BJ569" s="68"/>
      <c r="BK569" s="68"/>
      <c r="BL569" s="68"/>
      <c r="BM569" s="68"/>
      <c r="BN569" s="68"/>
      <c r="BO569" s="68"/>
      <c r="BP569" s="68"/>
      <c r="BQ569" s="68"/>
      <c r="BR569" s="68"/>
      <c r="BS569" s="68"/>
      <c r="BT569" s="68"/>
      <c r="BU569" s="68"/>
      <c r="BV569" s="68"/>
      <c r="BW569" s="68"/>
      <c r="BX569" s="68"/>
      <c r="BY569" s="68"/>
      <c r="BZ569" s="68"/>
      <c r="CA569" s="68"/>
      <c r="CB569" s="68"/>
      <c r="CC569" s="68"/>
      <c r="CD569" s="68"/>
      <c r="CE569" s="68"/>
      <c r="CF569" s="68"/>
      <c r="CG569" s="68"/>
      <c r="CH569" s="68"/>
      <c r="CI569" s="68"/>
      <c r="CJ569" s="68"/>
      <c r="CK569" s="68"/>
      <c r="CL569" s="68"/>
      <c r="CM569" s="68"/>
      <c r="CN569" s="68"/>
      <c r="CO569" s="68"/>
      <c r="CP569" s="68"/>
      <c r="CQ569" s="68"/>
      <c r="CR569" s="68"/>
      <c r="CS569" s="68"/>
      <c r="CT569" s="68"/>
      <c r="CU569" s="68"/>
      <c r="CV569" s="68"/>
      <c r="CW569" s="68"/>
      <c r="CX569" s="68"/>
    </row>
    <row r="570" spans="1:102" s="71" customFormat="1" hidden="1">
      <c r="A570" s="210"/>
      <c r="B570" s="210"/>
      <c r="C570" s="109"/>
      <c r="D570" s="115"/>
      <c r="E570" s="136"/>
      <c r="F570" s="136"/>
      <c r="G570" s="211"/>
      <c r="H570" s="136"/>
      <c r="I570" s="211"/>
      <c r="J570" s="211"/>
      <c r="K570" s="211"/>
      <c r="L570" s="136"/>
      <c r="M570" s="136"/>
      <c r="N570" s="136"/>
      <c r="O570" s="212"/>
      <c r="P570" s="116"/>
      <c r="Q570" s="103"/>
      <c r="R570" s="103"/>
      <c r="S570" s="103"/>
      <c r="T570" s="103"/>
      <c r="U570" s="68"/>
      <c r="V570" s="69"/>
      <c r="W570" s="68"/>
      <c r="X570" s="68"/>
      <c r="Y570" s="68"/>
      <c r="Z570" s="68"/>
      <c r="AA570" s="68"/>
      <c r="AB570" s="68"/>
      <c r="AC570" s="68"/>
      <c r="AD570" s="68"/>
      <c r="AE570" s="68"/>
      <c r="AF570" s="68"/>
      <c r="AG570" s="68"/>
      <c r="AH570" s="68"/>
      <c r="AI570" s="68"/>
      <c r="AJ570" s="68"/>
      <c r="AK570" s="68"/>
      <c r="AL570" s="68"/>
      <c r="AM570" s="68"/>
      <c r="AN570" s="68"/>
      <c r="AO570" s="68"/>
      <c r="AP570" s="68"/>
      <c r="AQ570" s="68"/>
      <c r="AR570" s="68"/>
      <c r="AS570" s="68"/>
      <c r="AT570" s="68"/>
      <c r="AU570" s="68"/>
      <c r="AV570" s="68"/>
      <c r="AW570" s="68"/>
      <c r="AX570" s="68"/>
      <c r="AY570" s="68"/>
      <c r="AZ570" s="68"/>
      <c r="BA570" s="68"/>
      <c r="BB570" s="68"/>
      <c r="BC570" s="68"/>
      <c r="BD570" s="68"/>
      <c r="BE570" s="68"/>
      <c r="BF570" s="68"/>
      <c r="BG570" s="68"/>
      <c r="BH570" s="68"/>
      <c r="BI570" s="68"/>
      <c r="BJ570" s="68"/>
      <c r="BK570" s="68"/>
      <c r="BL570" s="68"/>
      <c r="BM570" s="68"/>
      <c r="BN570" s="68"/>
      <c r="BO570" s="68"/>
      <c r="BP570" s="68"/>
      <c r="BQ570" s="68"/>
      <c r="BR570" s="68"/>
      <c r="BS570" s="68"/>
      <c r="BT570" s="68"/>
      <c r="BU570" s="68"/>
      <c r="BV570" s="68"/>
      <c r="BW570" s="68"/>
      <c r="BX570" s="68"/>
      <c r="BY570" s="68"/>
      <c r="BZ570" s="68"/>
      <c r="CA570" s="68"/>
      <c r="CB570" s="68"/>
      <c r="CC570" s="68"/>
      <c r="CD570" s="68"/>
      <c r="CE570" s="68"/>
      <c r="CF570" s="68"/>
      <c r="CG570" s="68"/>
      <c r="CH570" s="68"/>
      <c r="CI570" s="68"/>
      <c r="CJ570" s="68"/>
      <c r="CK570" s="68"/>
      <c r="CL570" s="68"/>
      <c r="CM570" s="68"/>
      <c r="CN570" s="68"/>
      <c r="CO570" s="68"/>
      <c r="CP570" s="68"/>
      <c r="CQ570" s="68"/>
      <c r="CR570" s="68"/>
      <c r="CS570" s="68"/>
      <c r="CT570" s="68"/>
      <c r="CU570" s="68"/>
      <c r="CV570" s="68"/>
      <c r="CW570" s="68"/>
      <c r="CX570" s="68"/>
    </row>
    <row r="571" spans="1:102" s="71" customFormat="1" hidden="1">
      <c r="A571" s="210"/>
      <c r="B571" s="210"/>
      <c r="C571" s="109"/>
      <c r="D571" s="115"/>
      <c r="E571" s="136"/>
      <c r="F571" s="136"/>
      <c r="G571" s="211"/>
      <c r="H571" s="136"/>
      <c r="I571" s="211"/>
      <c r="J571" s="211"/>
      <c r="K571" s="211"/>
      <c r="L571" s="136"/>
      <c r="M571" s="136"/>
      <c r="N571" s="136"/>
      <c r="O571" s="212"/>
      <c r="P571" s="116"/>
      <c r="Q571" s="103"/>
      <c r="R571" s="103"/>
      <c r="S571" s="103"/>
      <c r="T571" s="103"/>
      <c r="U571" s="68"/>
      <c r="V571" s="69"/>
      <c r="W571" s="68"/>
      <c r="X571" s="68"/>
      <c r="Y571" s="68"/>
      <c r="Z571" s="68"/>
      <c r="AA571" s="68"/>
      <c r="AB571" s="68"/>
      <c r="AC571" s="68"/>
      <c r="AD571" s="68"/>
      <c r="AE571" s="68"/>
      <c r="AF571" s="68"/>
      <c r="AG571" s="68"/>
      <c r="AH571" s="68"/>
      <c r="AI571" s="68"/>
      <c r="AJ571" s="68"/>
      <c r="AK571" s="68"/>
      <c r="AL571" s="68"/>
      <c r="AM571" s="68"/>
      <c r="AN571" s="68"/>
      <c r="AO571" s="68"/>
      <c r="AP571" s="68"/>
      <c r="AQ571" s="68"/>
      <c r="AR571" s="68"/>
      <c r="AS571" s="68"/>
      <c r="AT571" s="68"/>
      <c r="AU571" s="68"/>
      <c r="AV571" s="68"/>
      <c r="AW571" s="68"/>
      <c r="AX571" s="68"/>
      <c r="AY571" s="68"/>
      <c r="AZ571" s="68"/>
      <c r="BA571" s="68"/>
      <c r="BB571" s="68"/>
      <c r="BC571" s="68"/>
      <c r="BD571" s="68"/>
      <c r="BE571" s="68"/>
      <c r="BF571" s="68"/>
      <c r="BG571" s="68"/>
      <c r="BH571" s="68"/>
      <c r="BI571" s="68"/>
      <c r="BJ571" s="68"/>
      <c r="BK571" s="68"/>
      <c r="BL571" s="68"/>
      <c r="BM571" s="68"/>
      <c r="BN571" s="68"/>
      <c r="BO571" s="68"/>
      <c r="BP571" s="68"/>
      <c r="BQ571" s="68"/>
      <c r="BR571" s="68"/>
      <c r="BS571" s="68"/>
      <c r="BT571" s="68"/>
      <c r="BU571" s="68"/>
      <c r="BV571" s="68"/>
      <c r="BW571" s="68"/>
      <c r="BX571" s="68"/>
      <c r="BY571" s="68"/>
      <c r="BZ571" s="68"/>
      <c r="CA571" s="68"/>
      <c r="CB571" s="68"/>
      <c r="CC571" s="68"/>
      <c r="CD571" s="68"/>
      <c r="CE571" s="68"/>
      <c r="CF571" s="68"/>
      <c r="CG571" s="68"/>
      <c r="CH571" s="68"/>
      <c r="CI571" s="68"/>
      <c r="CJ571" s="68"/>
      <c r="CK571" s="68"/>
      <c r="CL571" s="68"/>
      <c r="CM571" s="68"/>
      <c r="CN571" s="68"/>
      <c r="CO571" s="68"/>
      <c r="CP571" s="68"/>
      <c r="CQ571" s="68"/>
      <c r="CR571" s="68"/>
      <c r="CS571" s="68"/>
      <c r="CT571" s="68"/>
      <c r="CU571" s="68"/>
      <c r="CV571" s="68"/>
      <c r="CW571" s="68"/>
      <c r="CX571" s="68"/>
    </row>
    <row r="572" spans="1:102" s="71" customFormat="1" hidden="1">
      <c r="A572" s="210"/>
      <c r="B572" s="210"/>
      <c r="C572" s="109"/>
      <c r="D572" s="115"/>
      <c r="E572" s="136"/>
      <c r="F572" s="136"/>
      <c r="G572" s="211"/>
      <c r="H572" s="136"/>
      <c r="I572" s="211"/>
      <c r="J572" s="211"/>
      <c r="K572" s="211"/>
      <c r="L572" s="136"/>
      <c r="M572" s="136"/>
      <c r="N572" s="136"/>
      <c r="O572" s="212"/>
      <c r="P572" s="116"/>
      <c r="Q572" s="103"/>
      <c r="R572" s="103"/>
      <c r="S572" s="103"/>
      <c r="T572" s="103"/>
      <c r="U572" s="68"/>
      <c r="V572" s="69"/>
      <c r="W572" s="68"/>
      <c r="X572" s="68"/>
      <c r="Y572" s="68"/>
      <c r="Z572" s="68"/>
      <c r="AA572" s="68"/>
      <c r="AB572" s="68"/>
      <c r="AC572" s="68"/>
      <c r="AD572" s="68"/>
      <c r="AE572" s="68"/>
      <c r="AF572" s="68"/>
      <c r="AG572" s="68"/>
      <c r="AH572" s="68"/>
      <c r="AI572" s="68"/>
      <c r="AJ572" s="68"/>
      <c r="AK572" s="68"/>
      <c r="AL572" s="68"/>
      <c r="AM572" s="68"/>
      <c r="AN572" s="68"/>
      <c r="AO572" s="68"/>
      <c r="AP572" s="68"/>
      <c r="AQ572" s="68"/>
      <c r="AR572" s="68"/>
      <c r="AS572" s="68"/>
      <c r="AT572" s="68"/>
      <c r="AU572" s="68"/>
      <c r="AV572" s="68"/>
      <c r="AW572" s="68"/>
      <c r="AX572" s="68"/>
      <c r="AY572" s="68"/>
      <c r="AZ572" s="68"/>
      <c r="BA572" s="68"/>
      <c r="BB572" s="68"/>
      <c r="BC572" s="68"/>
      <c r="BD572" s="68"/>
      <c r="BE572" s="68"/>
      <c r="BF572" s="68"/>
      <c r="BG572" s="68"/>
      <c r="BH572" s="68"/>
      <c r="BI572" s="68"/>
      <c r="BJ572" s="68"/>
      <c r="BK572" s="68"/>
      <c r="BL572" s="68"/>
      <c r="BM572" s="68"/>
      <c r="BN572" s="68"/>
      <c r="BO572" s="68"/>
      <c r="BP572" s="68"/>
      <c r="BQ572" s="68"/>
      <c r="BR572" s="68"/>
      <c r="BS572" s="68"/>
      <c r="BT572" s="68"/>
      <c r="BU572" s="68"/>
      <c r="BV572" s="68"/>
      <c r="BW572" s="68"/>
      <c r="BX572" s="68"/>
      <c r="BY572" s="68"/>
      <c r="BZ572" s="68"/>
      <c r="CA572" s="68"/>
      <c r="CB572" s="68"/>
      <c r="CC572" s="68"/>
      <c r="CD572" s="68"/>
      <c r="CE572" s="68"/>
      <c r="CF572" s="68"/>
      <c r="CG572" s="68"/>
      <c r="CH572" s="68"/>
      <c r="CI572" s="68"/>
      <c r="CJ572" s="68"/>
      <c r="CK572" s="68"/>
      <c r="CL572" s="68"/>
      <c r="CM572" s="68"/>
      <c r="CN572" s="68"/>
      <c r="CO572" s="68"/>
      <c r="CP572" s="68"/>
      <c r="CQ572" s="68"/>
      <c r="CR572" s="68"/>
      <c r="CS572" s="68"/>
      <c r="CT572" s="68"/>
      <c r="CU572" s="68"/>
      <c r="CV572" s="68"/>
      <c r="CW572" s="68"/>
      <c r="CX572" s="68"/>
    </row>
    <row r="573" spans="1:102" s="71" customFormat="1" hidden="1">
      <c r="A573" s="210"/>
      <c r="B573" s="210"/>
      <c r="C573" s="109"/>
      <c r="D573" s="115"/>
      <c r="E573" s="136"/>
      <c r="F573" s="136"/>
      <c r="G573" s="211"/>
      <c r="H573" s="136"/>
      <c r="I573" s="211"/>
      <c r="J573" s="211"/>
      <c r="K573" s="211"/>
      <c r="L573" s="136"/>
      <c r="M573" s="136"/>
      <c r="N573" s="136"/>
      <c r="O573" s="212"/>
      <c r="P573" s="116"/>
      <c r="Q573" s="103"/>
      <c r="R573" s="103"/>
      <c r="S573" s="103"/>
      <c r="T573" s="103"/>
      <c r="U573" s="68"/>
      <c r="V573" s="69"/>
      <c r="W573" s="68"/>
      <c r="X573" s="68"/>
      <c r="Y573" s="68"/>
      <c r="Z573" s="68"/>
      <c r="AA573" s="68"/>
      <c r="AB573" s="68"/>
      <c r="AC573" s="68"/>
      <c r="AD573" s="68"/>
      <c r="AE573" s="68"/>
      <c r="AF573" s="68"/>
      <c r="AG573" s="68"/>
      <c r="AH573" s="68"/>
      <c r="AI573" s="68"/>
      <c r="AJ573" s="68"/>
      <c r="AK573" s="68"/>
      <c r="AL573" s="68"/>
      <c r="AM573" s="68"/>
      <c r="AN573" s="68"/>
      <c r="AO573" s="68"/>
      <c r="AP573" s="68"/>
      <c r="AQ573" s="68"/>
      <c r="AR573" s="68"/>
      <c r="AS573" s="68"/>
      <c r="AT573" s="68"/>
      <c r="AU573" s="68"/>
      <c r="AV573" s="68"/>
      <c r="AW573" s="68"/>
      <c r="AX573" s="68"/>
      <c r="AY573" s="68"/>
      <c r="AZ573" s="68"/>
      <c r="BA573" s="68"/>
      <c r="BB573" s="68"/>
      <c r="BC573" s="68"/>
      <c r="BD573" s="68"/>
      <c r="BE573" s="68"/>
      <c r="BF573" s="68"/>
      <c r="BG573" s="68"/>
      <c r="BH573" s="68"/>
      <c r="BI573" s="68"/>
      <c r="BJ573" s="68"/>
      <c r="BK573" s="68"/>
      <c r="BL573" s="68"/>
      <c r="BM573" s="68"/>
      <c r="BN573" s="68"/>
      <c r="BO573" s="68"/>
      <c r="BP573" s="68"/>
      <c r="BQ573" s="68"/>
      <c r="BR573" s="68"/>
      <c r="BS573" s="68"/>
      <c r="BT573" s="68"/>
      <c r="BU573" s="68"/>
      <c r="BV573" s="68"/>
      <c r="BW573" s="68"/>
      <c r="BX573" s="68"/>
      <c r="BY573" s="68"/>
      <c r="BZ573" s="68"/>
      <c r="CA573" s="68"/>
      <c r="CB573" s="68"/>
      <c r="CC573" s="68"/>
      <c r="CD573" s="68"/>
      <c r="CE573" s="68"/>
      <c r="CF573" s="68"/>
      <c r="CG573" s="68"/>
      <c r="CH573" s="68"/>
      <c r="CI573" s="68"/>
      <c r="CJ573" s="68"/>
      <c r="CK573" s="68"/>
      <c r="CL573" s="68"/>
      <c r="CM573" s="68"/>
      <c r="CN573" s="68"/>
      <c r="CO573" s="68"/>
      <c r="CP573" s="68"/>
      <c r="CQ573" s="68"/>
      <c r="CR573" s="68"/>
      <c r="CS573" s="68"/>
      <c r="CT573" s="68"/>
      <c r="CU573" s="68"/>
      <c r="CV573" s="68"/>
      <c r="CW573" s="68"/>
      <c r="CX573" s="68"/>
    </row>
    <row r="574" spans="1:102" s="71" customFormat="1" hidden="1">
      <c r="A574" s="210"/>
      <c r="B574" s="210"/>
      <c r="C574" s="109"/>
      <c r="D574" s="115"/>
      <c r="E574" s="136"/>
      <c r="F574" s="136"/>
      <c r="G574" s="211"/>
      <c r="H574" s="136"/>
      <c r="I574" s="211"/>
      <c r="J574" s="211"/>
      <c r="K574" s="211"/>
      <c r="L574" s="136"/>
      <c r="M574" s="136"/>
      <c r="N574" s="136"/>
      <c r="O574" s="212"/>
      <c r="P574" s="116"/>
      <c r="Q574" s="103"/>
      <c r="R574" s="103"/>
      <c r="S574" s="103"/>
      <c r="T574" s="103"/>
      <c r="U574" s="68"/>
      <c r="V574" s="69"/>
      <c r="W574" s="68"/>
      <c r="X574" s="68"/>
      <c r="Y574" s="68"/>
      <c r="Z574" s="68"/>
      <c r="AA574" s="68"/>
      <c r="AB574" s="68"/>
      <c r="AC574" s="68"/>
      <c r="AD574" s="68"/>
      <c r="AE574" s="68"/>
      <c r="AF574" s="68"/>
      <c r="AG574" s="68"/>
      <c r="AH574" s="68"/>
      <c r="AI574" s="68"/>
      <c r="AJ574" s="68"/>
      <c r="AK574" s="68"/>
      <c r="AL574" s="68"/>
      <c r="AM574" s="68"/>
      <c r="AN574" s="68"/>
      <c r="AO574" s="68"/>
      <c r="AP574" s="68"/>
      <c r="AQ574" s="68"/>
      <c r="AR574" s="68"/>
      <c r="AS574" s="68"/>
      <c r="AT574" s="68"/>
      <c r="AU574" s="68"/>
      <c r="AV574" s="68"/>
      <c r="AW574" s="68"/>
      <c r="AX574" s="68"/>
      <c r="AY574" s="68"/>
      <c r="AZ574" s="68"/>
      <c r="BA574" s="68"/>
      <c r="BB574" s="68"/>
      <c r="BC574" s="68"/>
      <c r="BD574" s="68"/>
      <c r="BE574" s="68"/>
      <c r="BF574" s="68"/>
      <c r="BG574" s="68"/>
      <c r="BH574" s="68"/>
      <c r="BI574" s="68"/>
      <c r="BJ574" s="68"/>
      <c r="BK574" s="68"/>
      <c r="BL574" s="68"/>
      <c r="BM574" s="68"/>
      <c r="BN574" s="68"/>
      <c r="BO574" s="68"/>
      <c r="BP574" s="68"/>
      <c r="BQ574" s="68"/>
      <c r="BR574" s="68"/>
      <c r="BS574" s="68"/>
      <c r="BT574" s="68"/>
      <c r="BU574" s="68"/>
      <c r="BV574" s="68"/>
      <c r="BW574" s="68"/>
      <c r="BX574" s="68"/>
      <c r="BY574" s="68"/>
      <c r="BZ574" s="68"/>
      <c r="CA574" s="68"/>
      <c r="CB574" s="68"/>
      <c r="CC574" s="68"/>
      <c r="CD574" s="68"/>
      <c r="CE574" s="68"/>
      <c r="CF574" s="68"/>
      <c r="CG574" s="68"/>
      <c r="CH574" s="68"/>
      <c r="CI574" s="68"/>
      <c r="CJ574" s="68"/>
      <c r="CK574" s="68"/>
      <c r="CL574" s="68"/>
      <c r="CM574" s="68"/>
      <c r="CN574" s="68"/>
      <c r="CO574" s="68"/>
      <c r="CP574" s="68"/>
      <c r="CQ574" s="68"/>
      <c r="CR574" s="68"/>
      <c r="CS574" s="68"/>
      <c r="CT574" s="68"/>
      <c r="CU574" s="68"/>
      <c r="CV574" s="68"/>
      <c r="CW574" s="68"/>
      <c r="CX574" s="68"/>
    </row>
    <row r="575" spans="1:102" s="71" customFormat="1" hidden="1">
      <c r="A575" s="210"/>
      <c r="B575" s="210"/>
      <c r="C575" s="109"/>
      <c r="D575" s="115"/>
      <c r="E575" s="136"/>
      <c r="F575" s="136"/>
      <c r="G575" s="211"/>
      <c r="H575" s="136"/>
      <c r="I575" s="211"/>
      <c r="J575" s="211"/>
      <c r="K575" s="211"/>
      <c r="L575" s="136"/>
      <c r="M575" s="136"/>
      <c r="N575" s="136"/>
      <c r="O575" s="212"/>
      <c r="P575" s="116"/>
      <c r="Q575" s="103"/>
      <c r="R575" s="103"/>
      <c r="S575" s="103"/>
      <c r="T575" s="103"/>
      <c r="U575" s="68"/>
      <c r="V575" s="69"/>
      <c r="W575" s="68"/>
      <c r="X575" s="68"/>
      <c r="Y575" s="68"/>
      <c r="Z575" s="68"/>
      <c r="AA575" s="68"/>
      <c r="AB575" s="68"/>
      <c r="AC575" s="68"/>
      <c r="AD575" s="68"/>
      <c r="AE575" s="68"/>
      <c r="AF575" s="68"/>
      <c r="AG575" s="68"/>
      <c r="AH575" s="68"/>
      <c r="AI575" s="68"/>
      <c r="AJ575" s="68"/>
      <c r="AK575" s="68"/>
      <c r="AL575" s="68"/>
      <c r="AM575" s="68"/>
      <c r="AN575" s="68"/>
      <c r="AO575" s="68"/>
      <c r="AP575" s="68"/>
      <c r="AQ575" s="68"/>
      <c r="AR575" s="68"/>
      <c r="AS575" s="68"/>
      <c r="AT575" s="68"/>
      <c r="AU575" s="68"/>
      <c r="AV575" s="68"/>
      <c r="AW575" s="68"/>
      <c r="AX575" s="68"/>
      <c r="AY575" s="68"/>
      <c r="AZ575" s="68"/>
      <c r="BA575" s="68"/>
      <c r="BB575" s="68"/>
      <c r="BC575" s="68"/>
      <c r="BD575" s="68"/>
      <c r="BE575" s="68"/>
      <c r="BF575" s="68"/>
      <c r="BG575" s="68"/>
      <c r="BH575" s="68"/>
      <c r="BI575" s="68"/>
      <c r="BJ575" s="68"/>
      <c r="BK575" s="68"/>
      <c r="BL575" s="68"/>
      <c r="BM575" s="68"/>
      <c r="BN575" s="68"/>
      <c r="BO575" s="68"/>
      <c r="BP575" s="68"/>
      <c r="BQ575" s="68"/>
      <c r="BR575" s="68"/>
      <c r="BS575" s="68"/>
      <c r="BT575" s="68"/>
      <c r="BU575" s="68"/>
      <c r="BV575" s="68"/>
      <c r="BW575" s="68"/>
      <c r="BX575" s="68"/>
      <c r="BY575" s="68"/>
      <c r="BZ575" s="68"/>
      <c r="CA575" s="68"/>
      <c r="CB575" s="68"/>
      <c r="CC575" s="68"/>
      <c r="CD575" s="68"/>
      <c r="CE575" s="68"/>
      <c r="CF575" s="68"/>
      <c r="CG575" s="68"/>
      <c r="CH575" s="68"/>
      <c r="CI575" s="68"/>
      <c r="CJ575" s="68"/>
      <c r="CK575" s="68"/>
      <c r="CL575" s="68"/>
      <c r="CM575" s="68"/>
      <c r="CN575" s="68"/>
      <c r="CO575" s="68"/>
      <c r="CP575" s="68"/>
      <c r="CQ575" s="68"/>
      <c r="CR575" s="68"/>
      <c r="CS575" s="68"/>
      <c r="CT575" s="68"/>
      <c r="CU575" s="68"/>
      <c r="CV575" s="68"/>
      <c r="CW575" s="68"/>
      <c r="CX575" s="68"/>
    </row>
    <row r="576" spans="1:102" s="71" customFormat="1" hidden="1">
      <c r="A576" s="210"/>
      <c r="B576" s="210"/>
      <c r="C576" s="109"/>
      <c r="D576" s="115"/>
      <c r="E576" s="136"/>
      <c r="F576" s="136"/>
      <c r="G576" s="211"/>
      <c r="H576" s="136"/>
      <c r="I576" s="211"/>
      <c r="J576" s="211"/>
      <c r="K576" s="211"/>
      <c r="L576" s="136"/>
      <c r="M576" s="136"/>
      <c r="N576" s="136"/>
      <c r="O576" s="212"/>
      <c r="P576" s="116"/>
      <c r="Q576" s="103"/>
      <c r="R576" s="103"/>
      <c r="S576" s="103"/>
      <c r="T576" s="103"/>
      <c r="U576" s="68"/>
      <c r="V576" s="69"/>
      <c r="W576" s="68"/>
      <c r="X576" s="68"/>
      <c r="Y576" s="68"/>
      <c r="Z576" s="68"/>
      <c r="AA576" s="68"/>
      <c r="AB576" s="68"/>
      <c r="AC576" s="68"/>
      <c r="AD576" s="68"/>
      <c r="AE576" s="68"/>
      <c r="AF576" s="68"/>
      <c r="AG576" s="68"/>
      <c r="AH576" s="68"/>
      <c r="AI576" s="68"/>
      <c r="AJ576" s="68"/>
      <c r="AK576" s="68"/>
      <c r="AL576" s="68"/>
      <c r="AM576" s="68"/>
      <c r="AN576" s="68"/>
      <c r="AO576" s="68"/>
      <c r="AP576" s="68"/>
      <c r="AQ576" s="68"/>
      <c r="AR576" s="68"/>
      <c r="AS576" s="68"/>
      <c r="AT576" s="68"/>
      <c r="AU576" s="68"/>
      <c r="AV576" s="68"/>
      <c r="AW576" s="68"/>
      <c r="AX576" s="68"/>
      <c r="AY576" s="68"/>
      <c r="AZ576" s="68"/>
      <c r="BA576" s="68"/>
      <c r="BB576" s="68"/>
      <c r="BC576" s="68"/>
      <c r="BD576" s="68"/>
      <c r="BE576" s="68"/>
      <c r="BF576" s="68"/>
      <c r="BG576" s="68"/>
      <c r="BH576" s="68"/>
      <c r="BI576" s="68"/>
      <c r="BJ576" s="68"/>
      <c r="BK576" s="68"/>
      <c r="BL576" s="68"/>
      <c r="BM576" s="68"/>
      <c r="BN576" s="68"/>
      <c r="BO576" s="68"/>
      <c r="BP576" s="68"/>
      <c r="BQ576" s="68"/>
      <c r="BR576" s="68"/>
      <c r="BS576" s="68"/>
      <c r="BT576" s="68"/>
      <c r="BU576" s="68"/>
      <c r="BV576" s="68"/>
      <c r="BW576" s="68"/>
      <c r="BX576" s="68"/>
      <c r="BY576" s="68"/>
      <c r="BZ576" s="68"/>
      <c r="CA576" s="68"/>
      <c r="CB576" s="68"/>
      <c r="CC576" s="68"/>
      <c r="CD576" s="68"/>
      <c r="CE576" s="68"/>
      <c r="CF576" s="68"/>
      <c r="CG576" s="68"/>
      <c r="CH576" s="68"/>
      <c r="CI576" s="68"/>
      <c r="CJ576" s="68"/>
      <c r="CK576" s="68"/>
      <c r="CL576" s="68"/>
      <c r="CM576" s="68"/>
      <c r="CN576" s="68"/>
      <c r="CO576" s="68"/>
      <c r="CP576" s="68"/>
      <c r="CQ576" s="68"/>
      <c r="CR576" s="68"/>
      <c r="CS576" s="68"/>
      <c r="CT576" s="68"/>
      <c r="CU576" s="68"/>
      <c r="CV576" s="68"/>
      <c r="CW576" s="68"/>
      <c r="CX576" s="68"/>
    </row>
    <row r="577" spans="1:102" s="71" customFormat="1" hidden="1">
      <c r="A577" s="210"/>
      <c r="B577" s="210"/>
      <c r="C577" s="109"/>
      <c r="D577" s="115"/>
      <c r="E577" s="136"/>
      <c r="F577" s="136"/>
      <c r="G577" s="211"/>
      <c r="H577" s="136"/>
      <c r="I577" s="211"/>
      <c r="J577" s="211"/>
      <c r="K577" s="211"/>
      <c r="L577" s="136"/>
      <c r="M577" s="136"/>
      <c r="N577" s="136"/>
      <c r="O577" s="212"/>
      <c r="P577" s="116"/>
      <c r="Q577" s="103"/>
      <c r="R577" s="103"/>
      <c r="S577" s="103"/>
      <c r="T577" s="103"/>
      <c r="U577" s="68"/>
      <c r="V577" s="69"/>
      <c r="W577" s="68"/>
      <c r="X577" s="68"/>
      <c r="Y577" s="68"/>
      <c r="Z577" s="68"/>
      <c r="AA577" s="68"/>
      <c r="AB577" s="68"/>
      <c r="AC577" s="68"/>
      <c r="AD577" s="68"/>
      <c r="AE577" s="68"/>
      <c r="AF577" s="68"/>
      <c r="AG577" s="68"/>
      <c r="AH577" s="68"/>
      <c r="AI577" s="68"/>
      <c r="AJ577" s="68"/>
      <c r="AK577" s="68"/>
      <c r="AL577" s="68"/>
      <c r="AM577" s="68"/>
      <c r="AN577" s="68"/>
      <c r="AO577" s="68"/>
      <c r="AP577" s="68"/>
      <c r="AQ577" s="68"/>
      <c r="AR577" s="68"/>
      <c r="AS577" s="68"/>
      <c r="AT577" s="68"/>
      <c r="AU577" s="68"/>
      <c r="AV577" s="68"/>
      <c r="AW577" s="68"/>
      <c r="AX577" s="68"/>
      <c r="AY577" s="68"/>
      <c r="AZ577" s="68"/>
      <c r="BA577" s="68"/>
      <c r="BB577" s="68"/>
      <c r="BC577" s="68"/>
      <c r="BD577" s="68"/>
      <c r="BE577" s="68"/>
      <c r="BF577" s="68"/>
      <c r="BG577" s="68"/>
      <c r="BH577" s="68"/>
      <c r="BI577" s="68"/>
      <c r="BJ577" s="68"/>
      <c r="BK577" s="68"/>
      <c r="BL577" s="68"/>
      <c r="BM577" s="68"/>
      <c r="BN577" s="68"/>
      <c r="BO577" s="68"/>
      <c r="BP577" s="68"/>
      <c r="BQ577" s="68"/>
      <c r="BR577" s="68"/>
      <c r="BS577" s="68"/>
      <c r="BT577" s="68"/>
      <c r="BU577" s="68"/>
      <c r="BV577" s="68"/>
      <c r="BW577" s="68"/>
      <c r="BX577" s="68"/>
      <c r="BY577" s="68"/>
      <c r="BZ577" s="68"/>
      <c r="CA577" s="68"/>
      <c r="CB577" s="68"/>
      <c r="CC577" s="68"/>
      <c r="CD577" s="68"/>
      <c r="CE577" s="68"/>
      <c r="CF577" s="68"/>
      <c r="CG577" s="68"/>
      <c r="CH577" s="68"/>
      <c r="CI577" s="68"/>
      <c r="CJ577" s="68"/>
      <c r="CK577" s="68"/>
      <c r="CL577" s="68"/>
      <c r="CM577" s="68"/>
      <c r="CN577" s="68"/>
      <c r="CO577" s="68"/>
      <c r="CP577" s="68"/>
      <c r="CQ577" s="68"/>
      <c r="CR577" s="68"/>
      <c r="CS577" s="68"/>
      <c r="CT577" s="68"/>
      <c r="CU577" s="68"/>
      <c r="CV577" s="68"/>
      <c r="CW577" s="68"/>
      <c r="CX577" s="68"/>
    </row>
    <row r="578" spans="1:102" s="71" customFormat="1" hidden="1">
      <c r="A578" s="210"/>
      <c r="B578" s="210"/>
      <c r="C578" s="109"/>
      <c r="D578" s="115"/>
      <c r="E578" s="136"/>
      <c r="F578" s="136"/>
      <c r="G578" s="211"/>
      <c r="H578" s="136"/>
      <c r="I578" s="211"/>
      <c r="J578" s="211"/>
      <c r="K578" s="211"/>
      <c r="L578" s="136"/>
      <c r="M578" s="136"/>
      <c r="N578" s="136"/>
      <c r="O578" s="212"/>
      <c r="P578" s="116"/>
      <c r="Q578" s="103"/>
      <c r="R578" s="103"/>
      <c r="S578" s="103"/>
      <c r="T578" s="103"/>
      <c r="U578" s="68"/>
      <c r="V578" s="69"/>
      <c r="W578" s="68"/>
      <c r="X578" s="68"/>
      <c r="Y578" s="68"/>
      <c r="Z578" s="68"/>
      <c r="AA578" s="68"/>
      <c r="AB578" s="68"/>
      <c r="AC578" s="68"/>
      <c r="AD578" s="68"/>
      <c r="AE578" s="68"/>
      <c r="AF578" s="68"/>
      <c r="AG578" s="68"/>
      <c r="AH578" s="68"/>
      <c r="AI578" s="68"/>
      <c r="AJ578" s="68"/>
      <c r="AK578" s="68"/>
      <c r="AL578" s="68"/>
      <c r="AM578" s="68"/>
      <c r="AN578" s="68"/>
      <c r="AO578" s="68"/>
      <c r="AP578" s="68"/>
      <c r="AQ578" s="68"/>
      <c r="AR578" s="68"/>
      <c r="AS578" s="68"/>
      <c r="AT578" s="68"/>
      <c r="AU578" s="68"/>
      <c r="AV578" s="68"/>
      <c r="AW578" s="68"/>
      <c r="AX578" s="68"/>
      <c r="AY578" s="68"/>
      <c r="AZ578" s="68"/>
      <c r="BA578" s="68"/>
      <c r="BB578" s="68"/>
      <c r="BC578" s="68"/>
      <c r="BD578" s="68"/>
      <c r="BE578" s="68"/>
      <c r="BF578" s="68"/>
      <c r="BG578" s="68"/>
      <c r="BH578" s="68"/>
      <c r="BI578" s="68"/>
      <c r="BJ578" s="68"/>
      <c r="BK578" s="68"/>
      <c r="BL578" s="68"/>
      <c r="BM578" s="68"/>
      <c r="BN578" s="68"/>
      <c r="BO578" s="68"/>
      <c r="BP578" s="68"/>
      <c r="BQ578" s="68"/>
      <c r="BR578" s="68"/>
      <c r="BS578" s="68"/>
      <c r="BT578" s="68"/>
      <c r="BU578" s="68"/>
      <c r="BV578" s="68"/>
      <c r="BW578" s="68"/>
      <c r="BX578" s="68"/>
      <c r="BY578" s="68"/>
      <c r="BZ578" s="68"/>
      <c r="CA578" s="68"/>
      <c r="CB578" s="68"/>
      <c r="CC578" s="68"/>
      <c r="CD578" s="68"/>
      <c r="CE578" s="68"/>
      <c r="CF578" s="68"/>
      <c r="CG578" s="68"/>
      <c r="CH578" s="68"/>
      <c r="CI578" s="68"/>
      <c r="CJ578" s="68"/>
      <c r="CK578" s="68"/>
      <c r="CL578" s="68"/>
      <c r="CM578" s="68"/>
      <c r="CN578" s="68"/>
      <c r="CO578" s="68"/>
      <c r="CP578" s="68"/>
      <c r="CQ578" s="68"/>
      <c r="CR578" s="68"/>
      <c r="CS578" s="68"/>
      <c r="CT578" s="68"/>
      <c r="CU578" s="68"/>
      <c r="CV578" s="68"/>
      <c r="CW578" s="68"/>
      <c r="CX578" s="68"/>
    </row>
    <row r="579" spans="1:102" s="71" customFormat="1" hidden="1">
      <c r="A579" s="210"/>
      <c r="B579" s="210"/>
      <c r="C579" s="109"/>
      <c r="D579" s="115"/>
      <c r="E579" s="136"/>
      <c r="F579" s="136"/>
      <c r="G579" s="211"/>
      <c r="H579" s="136"/>
      <c r="I579" s="211"/>
      <c r="J579" s="211"/>
      <c r="K579" s="211"/>
      <c r="L579" s="136"/>
      <c r="M579" s="136"/>
      <c r="N579" s="136"/>
      <c r="O579" s="212"/>
      <c r="P579" s="116"/>
      <c r="Q579" s="103"/>
      <c r="R579" s="103"/>
      <c r="S579" s="103"/>
      <c r="T579" s="103"/>
      <c r="U579" s="68"/>
      <c r="V579" s="69"/>
      <c r="W579" s="68"/>
      <c r="X579" s="68"/>
      <c r="Y579" s="68"/>
      <c r="Z579" s="68"/>
      <c r="AA579" s="68"/>
      <c r="AB579" s="68"/>
      <c r="AC579" s="68"/>
      <c r="AD579" s="68"/>
      <c r="AE579" s="68"/>
      <c r="AF579" s="68"/>
      <c r="AG579" s="68"/>
      <c r="AH579" s="68"/>
      <c r="AI579" s="68"/>
      <c r="AJ579" s="68"/>
      <c r="AK579" s="68"/>
      <c r="AL579" s="68"/>
      <c r="AM579" s="68"/>
      <c r="AN579" s="68"/>
      <c r="AO579" s="68"/>
      <c r="AP579" s="68"/>
      <c r="AQ579" s="68"/>
      <c r="AR579" s="68"/>
      <c r="AS579" s="68"/>
      <c r="AT579" s="68"/>
      <c r="AU579" s="68"/>
      <c r="AV579" s="68"/>
      <c r="AW579" s="68"/>
      <c r="AX579" s="68"/>
      <c r="AY579" s="68"/>
      <c r="AZ579" s="68"/>
      <c r="BA579" s="68"/>
      <c r="BB579" s="68"/>
      <c r="BC579" s="68"/>
      <c r="BD579" s="68"/>
      <c r="BE579" s="68"/>
      <c r="BF579" s="68"/>
      <c r="BG579" s="68"/>
      <c r="BH579" s="68"/>
      <c r="BI579" s="68"/>
      <c r="BJ579" s="68"/>
      <c r="BK579" s="68"/>
      <c r="BL579" s="68"/>
      <c r="BM579" s="68"/>
      <c r="BN579" s="68"/>
      <c r="BO579" s="68"/>
      <c r="BP579" s="68"/>
      <c r="BQ579" s="68"/>
      <c r="BR579" s="68"/>
      <c r="BS579" s="68"/>
      <c r="BT579" s="68"/>
      <c r="BU579" s="68"/>
      <c r="BV579" s="68"/>
      <c r="BW579" s="68"/>
      <c r="BX579" s="68"/>
      <c r="BY579" s="68"/>
      <c r="BZ579" s="68"/>
      <c r="CA579" s="68"/>
      <c r="CB579" s="68"/>
      <c r="CC579" s="68"/>
      <c r="CD579" s="68"/>
      <c r="CE579" s="68"/>
      <c r="CF579" s="68"/>
      <c r="CG579" s="68"/>
      <c r="CH579" s="68"/>
      <c r="CI579" s="68"/>
      <c r="CJ579" s="68"/>
      <c r="CK579" s="68"/>
      <c r="CL579" s="68"/>
      <c r="CM579" s="68"/>
      <c r="CN579" s="68"/>
      <c r="CO579" s="68"/>
      <c r="CP579" s="68"/>
      <c r="CQ579" s="68"/>
      <c r="CR579" s="68"/>
      <c r="CS579" s="68"/>
      <c r="CT579" s="68"/>
      <c r="CU579" s="68"/>
      <c r="CV579" s="68"/>
      <c r="CW579" s="68"/>
      <c r="CX579" s="68"/>
    </row>
    <row r="580" spans="1:102" s="71" customFormat="1" hidden="1">
      <c r="A580" s="210"/>
      <c r="B580" s="210"/>
      <c r="C580" s="109"/>
      <c r="D580" s="115"/>
      <c r="E580" s="136"/>
      <c r="F580" s="136"/>
      <c r="G580" s="211"/>
      <c r="H580" s="136"/>
      <c r="I580" s="211"/>
      <c r="J580" s="211"/>
      <c r="K580" s="211"/>
      <c r="L580" s="136"/>
      <c r="M580" s="136"/>
      <c r="N580" s="136"/>
      <c r="O580" s="212"/>
      <c r="P580" s="116"/>
      <c r="Q580" s="103"/>
      <c r="R580" s="103"/>
      <c r="S580" s="103"/>
      <c r="T580" s="103"/>
      <c r="U580" s="68"/>
      <c r="V580" s="69"/>
      <c r="W580" s="68"/>
      <c r="X580" s="68"/>
      <c r="Y580" s="68"/>
      <c r="Z580" s="68"/>
      <c r="AA580" s="68"/>
      <c r="AB580" s="68"/>
      <c r="AC580" s="68"/>
      <c r="AD580" s="68"/>
      <c r="AE580" s="68"/>
      <c r="AF580" s="68"/>
      <c r="AG580" s="68"/>
      <c r="AH580" s="68"/>
      <c r="AI580" s="68"/>
      <c r="AJ580" s="68"/>
      <c r="AK580" s="68"/>
      <c r="AL580" s="68"/>
      <c r="AM580" s="68"/>
      <c r="AN580" s="68"/>
      <c r="AO580" s="68"/>
      <c r="AP580" s="68"/>
      <c r="AQ580" s="68"/>
      <c r="AR580" s="68"/>
      <c r="AS580" s="68"/>
      <c r="AT580" s="68"/>
      <c r="AU580" s="68"/>
      <c r="AV580" s="68"/>
      <c r="AW580" s="68"/>
      <c r="AX580" s="68"/>
      <c r="AY580" s="68"/>
      <c r="AZ580" s="68"/>
      <c r="BA580" s="68"/>
      <c r="BB580" s="68"/>
      <c r="BC580" s="68"/>
      <c r="BD580" s="68"/>
      <c r="BE580" s="68"/>
      <c r="BF580" s="68"/>
      <c r="BG580" s="68"/>
      <c r="BH580" s="68"/>
      <c r="BI580" s="68"/>
      <c r="BJ580" s="68"/>
      <c r="BK580" s="68"/>
      <c r="BL580" s="68"/>
      <c r="BM580" s="68"/>
      <c r="BN580" s="68"/>
      <c r="BO580" s="68"/>
      <c r="BP580" s="68"/>
      <c r="BQ580" s="68"/>
      <c r="BR580" s="68"/>
      <c r="BS580" s="68"/>
      <c r="BT580" s="68"/>
      <c r="BU580" s="68"/>
      <c r="BV580" s="68"/>
      <c r="BW580" s="68"/>
      <c r="BX580" s="68"/>
      <c r="BY580" s="68"/>
      <c r="BZ580" s="68"/>
      <c r="CA580" s="68"/>
      <c r="CB580" s="68"/>
      <c r="CC580" s="68"/>
      <c r="CD580" s="68"/>
      <c r="CE580" s="68"/>
      <c r="CF580" s="68"/>
      <c r="CG580" s="68"/>
      <c r="CH580" s="68"/>
      <c r="CI580" s="68"/>
      <c r="CJ580" s="68"/>
      <c r="CK580" s="68"/>
      <c r="CL580" s="68"/>
      <c r="CM580" s="68"/>
      <c r="CN580" s="68"/>
      <c r="CO580" s="68"/>
      <c r="CP580" s="68"/>
      <c r="CQ580" s="68"/>
      <c r="CR580" s="68"/>
      <c r="CS580" s="68"/>
      <c r="CT580" s="68"/>
      <c r="CU580" s="68"/>
      <c r="CV580" s="68"/>
      <c r="CW580" s="68"/>
      <c r="CX580" s="68"/>
    </row>
    <row r="581" spans="1:102" s="71" customFormat="1" hidden="1">
      <c r="A581" s="210"/>
      <c r="B581" s="210"/>
      <c r="C581" s="109"/>
      <c r="D581" s="115"/>
      <c r="E581" s="136"/>
      <c r="F581" s="136"/>
      <c r="G581" s="211"/>
      <c r="H581" s="136"/>
      <c r="I581" s="211"/>
      <c r="J581" s="211"/>
      <c r="K581" s="211"/>
      <c r="L581" s="136"/>
      <c r="M581" s="136"/>
      <c r="N581" s="136"/>
      <c r="O581" s="212"/>
      <c r="P581" s="116"/>
      <c r="Q581" s="103"/>
      <c r="R581" s="103"/>
      <c r="S581" s="103"/>
      <c r="T581" s="103"/>
      <c r="U581" s="68"/>
      <c r="V581" s="69"/>
      <c r="W581" s="68"/>
      <c r="X581" s="68"/>
      <c r="Y581" s="68"/>
      <c r="Z581" s="68"/>
      <c r="AA581" s="68"/>
      <c r="AB581" s="68"/>
      <c r="AC581" s="68"/>
      <c r="AD581" s="68"/>
      <c r="AE581" s="68"/>
      <c r="AF581" s="68"/>
      <c r="AG581" s="68"/>
      <c r="AH581" s="68"/>
      <c r="AI581" s="68"/>
      <c r="AJ581" s="68"/>
      <c r="AK581" s="68"/>
      <c r="AL581" s="68"/>
      <c r="AM581" s="68"/>
      <c r="AN581" s="68"/>
      <c r="AO581" s="68"/>
      <c r="AP581" s="68"/>
      <c r="AQ581" s="68"/>
      <c r="AR581" s="68"/>
      <c r="AS581" s="68"/>
      <c r="AT581" s="68"/>
      <c r="AU581" s="68"/>
      <c r="AV581" s="68"/>
      <c r="AW581" s="68"/>
      <c r="AX581" s="68"/>
      <c r="AY581" s="68"/>
      <c r="AZ581" s="68"/>
      <c r="BA581" s="68"/>
      <c r="BB581" s="68"/>
      <c r="BC581" s="68"/>
      <c r="BD581" s="68"/>
      <c r="BE581" s="68"/>
      <c r="BF581" s="68"/>
      <c r="BG581" s="68"/>
      <c r="BH581" s="68"/>
      <c r="BI581" s="68"/>
      <c r="BJ581" s="68"/>
      <c r="BK581" s="68"/>
      <c r="BL581" s="68"/>
      <c r="BM581" s="68"/>
      <c r="BN581" s="68"/>
      <c r="BO581" s="68"/>
      <c r="BP581" s="68"/>
      <c r="BQ581" s="68"/>
      <c r="BR581" s="68"/>
      <c r="BS581" s="68"/>
      <c r="BT581" s="68"/>
      <c r="BU581" s="68"/>
      <c r="BV581" s="68"/>
      <c r="BW581" s="68"/>
      <c r="BX581" s="68"/>
      <c r="BY581" s="68"/>
      <c r="BZ581" s="68"/>
      <c r="CA581" s="68"/>
      <c r="CB581" s="68"/>
      <c r="CC581" s="68"/>
      <c r="CD581" s="68"/>
      <c r="CE581" s="68"/>
      <c r="CF581" s="68"/>
      <c r="CG581" s="68"/>
      <c r="CH581" s="68"/>
      <c r="CI581" s="68"/>
      <c r="CJ581" s="68"/>
      <c r="CK581" s="68"/>
      <c r="CL581" s="68"/>
      <c r="CM581" s="68"/>
      <c r="CN581" s="68"/>
      <c r="CO581" s="68"/>
      <c r="CP581" s="68"/>
      <c r="CQ581" s="68"/>
      <c r="CR581" s="68"/>
      <c r="CS581" s="68"/>
      <c r="CT581" s="68"/>
      <c r="CU581" s="68"/>
      <c r="CV581" s="68"/>
      <c r="CW581" s="68"/>
      <c r="CX581" s="68"/>
    </row>
    <row r="582" spans="1:102" s="71" customFormat="1" hidden="1">
      <c r="A582" s="210"/>
      <c r="B582" s="210"/>
      <c r="C582" s="109"/>
      <c r="D582" s="115"/>
      <c r="E582" s="136"/>
      <c r="F582" s="136"/>
      <c r="G582" s="211"/>
      <c r="H582" s="136"/>
      <c r="I582" s="211"/>
      <c r="J582" s="211"/>
      <c r="K582" s="211"/>
      <c r="L582" s="136"/>
      <c r="M582" s="136"/>
      <c r="N582" s="136"/>
      <c r="O582" s="212"/>
      <c r="P582" s="116"/>
      <c r="Q582" s="103"/>
      <c r="R582" s="103"/>
      <c r="S582" s="103"/>
      <c r="T582" s="103"/>
      <c r="U582" s="68"/>
      <c r="V582" s="69"/>
      <c r="W582" s="68"/>
      <c r="X582" s="68"/>
      <c r="Y582" s="68"/>
      <c r="Z582" s="68"/>
      <c r="AA582" s="68"/>
      <c r="AB582" s="68"/>
      <c r="AC582" s="68"/>
      <c r="AD582" s="68"/>
      <c r="AE582" s="68"/>
      <c r="AF582" s="68"/>
      <c r="AG582" s="68"/>
      <c r="AH582" s="68"/>
      <c r="AI582" s="68"/>
      <c r="AJ582" s="68"/>
      <c r="AK582" s="68"/>
      <c r="AL582" s="68"/>
      <c r="AM582" s="68"/>
      <c r="AN582" s="68"/>
      <c r="AO582" s="68"/>
      <c r="AP582" s="68"/>
      <c r="AQ582" s="68"/>
      <c r="AR582" s="68"/>
      <c r="AS582" s="68"/>
      <c r="AT582" s="68"/>
      <c r="AU582" s="68"/>
      <c r="AV582" s="68"/>
      <c r="AW582" s="68"/>
      <c r="AX582" s="68"/>
      <c r="AY582" s="68"/>
      <c r="AZ582" s="68"/>
      <c r="BA582" s="68"/>
      <c r="BB582" s="68"/>
      <c r="BC582" s="68"/>
      <c r="BD582" s="68"/>
      <c r="BE582" s="68"/>
      <c r="BF582" s="68"/>
      <c r="BG582" s="68"/>
      <c r="BH582" s="68"/>
      <c r="BI582" s="68"/>
      <c r="BJ582" s="68"/>
      <c r="BK582" s="68"/>
      <c r="BL582" s="68"/>
      <c r="BM582" s="68"/>
      <c r="BN582" s="68"/>
      <c r="BO582" s="68"/>
      <c r="BP582" s="68"/>
      <c r="BQ582" s="68"/>
      <c r="BR582" s="68"/>
      <c r="BS582" s="68"/>
      <c r="BT582" s="68"/>
      <c r="BU582" s="68"/>
      <c r="BV582" s="68"/>
      <c r="BW582" s="68"/>
      <c r="BX582" s="68"/>
      <c r="BY582" s="68"/>
      <c r="BZ582" s="68"/>
      <c r="CA582" s="68"/>
      <c r="CB582" s="68"/>
      <c r="CC582" s="68"/>
      <c r="CD582" s="68"/>
      <c r="CE582" s="68"/>
      <c r="CF582" s="68"/>
      <c r="CG582" s="68"/>
      <c r="CH582" s="68"/>
      <c r="CI582" s="68"/>
      <c r="CJ582" s="68"/>
      <c r="CK582" s="68"/>
      <c r="CL582" s="68"/>
      <c r="CM582" s="68"/>
      <c r="CN582" s="68"/>
      <c r="CO582" s="68"/>
      <c r="CP582" s="68"/>
      <c r="CQ582" s="68"/>
      <c r="CR582" s="68"/>
      <c r="CS582" s="68"/>
      <c r="CT582" s="68"/>
      <c r="CU582" s="68"/>
      <c r="CV582" s="68"/>
      <c r="CW582" s="68"/>
      <c r="CX582" s="68"/>
    </row>
    <row r="583" spans="1:102" s="71" customFormat="1" hidden="1">
      <c r="A583" s="210"/>
      <c r="B583" s="210"/>
      <c r="C583" s="109"/>
      <c r="D583" s="115"/>
      <c r="E583" s="136"/>
      <c r="F583" s="136"/>
      <c r="G583" s="211"/>
      <c r="H583" s="136"/>
      <c r="I583" s="211"/>
      <c r="J583" s="211"/>
      <c r="K583" s="211"/>
      <c r="L583" s="136"/>
      <c r="M583" s="136"/>
      <c r="N583" s="136"/>
      <c r="O583" s="212"/>
      <c r="P583" s="116"/>
      <c r="Q583" s="103"/>
      <c r="R583" s="103"/>
      <c r="S583" s="103"/>
      <c r="T583" s="103"/>
      <c r="U583" s="68"/>
      <c r="V583" s="69"/>
      <c r="W583" s="68"/>
      <c r="X583" s="68"/>
      <c r="Y583" s="68"/>
      <c r="Z583" s="68"/>
      <c r="AA583" s="68"/>
      <c r="AB583" s="68"/>
      <c r="AC583" s="68"/>
      <c r="AD583" s="68"/>
      <c r="AE583" s="68"/>
      <c r="AF583" s="68"/>
      <c r="AG583" s="68"/>
      <c r="AH583" s="68"/>
      <c r="AI583" s="68"/>
      <c r="AJ583" s="68"/>
      <c r="AK583" s="68"/>
      <c r="AL583" s="68"/>
      <c r="AM583" s="68"/>
      <c r="AN583" s="68"/>
      <c r="AO583" s="68"/>
      <c r="AP583" s="68"/>
      <c r="AQ583" s="68"/>
      <c r="AR583" s="68"/>
      <c r="AS583" s="68"/>
      <c r="AT583" s="68"/>
      <c r="AU583" s="68"/>
      <c r="AV583" s="68"/>
      <c r="AW583" s="68"/>
      <c r="AX583" s="68"/>
      <c r="AY583" s="68"/>
      <c r="AZ583" s="68"/>
      <c r="BA583" s="68"/>
      <c r="BB583" s="68"/>
      <c r="BC583" s="68"/>
      <c r="BD583" s="68"/>
      <c r="BE583" s="68"/>
      <c r="BF583" s="68"/>
      <c r="BG583" s="68"/>
      <c r="BH583" s="68"/>
      <c r="BI583" s="68"/>
      <c r="BJ583" s="68"/>
      <c r="BK583" s="68"/>
      <c r="BL583" s="68"/>
      <c r="BM583" s="68"/>
      <c r="BN583" s="68"/>
      <c r="BO583" s="68"/>
      <c r="BP583" s="68"/>
      <c r="BQ583" s="68"/>
      <c r="BR583" s="68"/>
      <c r="BS583" s="68"/>
      <c r="BT583" s="68"/>
      <c r="BU583" s="68"/>
      <c r="BV583" s="68"/>
      <c r="BW583" s="68"/>
      <c r="BX583" s="68"/>
      <c r="BY583" s="68"/>
      <c r="BZ583" s="68"/>
      <c r="CA583" s="68"/>
      <c r="CB583" s="68"/>
      <c r="CC583" s="68"/>
      <c r="CD583" s="68"/>
      <c r="CE583" s="68"/>
      <c r="CF583" s="68"/>
      <c r="CG583" s="68"/>
      <c r="CH583" s="68"/>
      <c r="CI583" s="68"/>
      <c r="CJ583" s="68"/>
      <c r="CK583" s="68"/>
      <c r="CL583" s="68"/>
      <c r="CM583" s="68"/>
      <c r="CN583" s="68"/>
      <c r="CO583" s="68"/>
      <c r="CP583" s="68"/>
      <c r="CQ583" s="68"/>
      <c r="CR583" s="68"/>
      <c r="CS583" s="68"/>
      <c r="CT583" s="68"/>
      <c r="CU583" s="68"/>
      <c r="CV583" s="68"/>
      <c r="CW583" s="68"/>
      <c r="CX583" s="68"/>
    </row>
    <row r="584" spans="1:102" s="71" customFormat="1" hidden="1">
      <c r="A584" s="210"/>
      <c r="B584" s="210"/>
      <c r="C584" s="109"/>
      <c r="D584" s="115"/>
      <c r="E584" s="136"/>
      <c r="F584" s="136"/>
      <c r="G584" s="211"/>
      <c r="H584" s="136"/>
      <c r="I584" s="211"/>
      <c r="J584" s="211"/>
      <c r="K584" s="211"/>
      <c r="L584" s="136"/>
      <c r="M584" s="136"/>
      <c r="N584" s="136"/>
      <c r="O584" s="212"/>
      <c r="P584" s="116"/>
      <c r="Q584" s="103"/>
      <c r="R584" s="103"/>
      <c r="S584" s="103"/>
      <c r="T584" s="103"/>
      <c r="U584" s="68"/>
      <c r="V584" s="69"/>
      <c r="W584" s="68"/>
      <c r="X584" s="68"/>
      <c r="Y584" s="68"/>
      <c r="Z584" s="68"/>
      <c r="AA584" s="68"/>
      <c r="AB584" s="68"/>
      <c r="AC584" s="68"/>
      <c r="AD584" s="68"/>
      <c r="AE584" s="68"/>
      <c r="AF584" s="68"/>
      <c r="AG584" s="68"/>
      <c r="AH584" s="68"/>
      <c r="AI584" s="68"/>
      <c r="AJ584" s="68"/>
      <c r="AK584" s="68"/>
      <c r="AL584" s="68"/>
      <c r="AM584" s="68"/>
      <c r="AN584" s="68"/>
      <c r="AO584" s="68"/>
      <c r="AP584" s="68"/>
      <c r="AQ584" s="68"/>
      <c r="AR584" s="68"/>
      <c r="AS584" s="68"/>
      <c r="AT584" s="68"/>
      <c r="AU584" s="68"/>
      <c r="AV584" s="68"/>
      <c r="AW584" s="68"/>
      <c r="AX584" s="68"/>
      <c r="AY584" s="68"/>
      <c r="AZ584" s="68"/>
      <c r="BA584" s="68"/>
      <c r="BB584" s="68"/>
      <c r="BC584" s="68"/>
      <c r="BD584" s="68"/>
      <c r="BE584" s="68"/>
      <c r="BF584" s="68"/>
      <c r="BG584" s="68"/>
      <c r="BH584" s="68"/>
      <c r="BI584" s="68"/>
      <c r="BJ584" s="68"/>
      <c r="BK584" s="68"/>
      <c r="BL584" s="68"/>
      <c r="BM584" s="68"/>
      <c r="BN584" s="68"/>
      <c r="BO584" s="68"/>
      <c r="BP584" s="68"/>
      <c r="BQ584" s="68"/>
      <c r="BR584" s="68"/>
      <c r="BS584" s="68"/>
      <c r="BT584" s="68"/>
      <c r="BU584" s="68"/>
      <c r="BV584" s="68"/>
      <c r="BW584" s="68"/>
      <c r="BX584" s="68"/>
      <c r="BY584" s="68"/>
      <c r="BZ584" s="68"/>
      <c r="CA584" s="68"/>
      <c r="CB584" s="68"/>
      <c r="CC584" s="68"/>
      <c r="CD584" s="68"/>
      <c r="CE584" s="68"/>
      <c r="CF584" s="68"/>
      <c r="CG584" s="68"/>
      <c r="CH584" s="68"/>
      <c r="CI584" s="68"/>
      <c r="CJ584" s="68"/>
      <c r="CK584" s="68"/>
      <c r="CL584" s="68"/>
      <c r="CM584" s="68"/>
      <c r="CN584" s="68"/>
      <c r="CO584" s="68"/>
      <c r="CP584" s="68"/>
      <c r="CQ584" s="68"/>
      <c r="CR584" s="68"/>
      <c r="CS584" s="68"/>
      <c r="CT584" s="68"/>
      <c r="CU584" s="68"/>
      <c r="CV584" s="68"/>
      <c r="CW584" s="68"/>
      <c r="CX584" s="68"/>
    </row>
    <row r="585" spans="1:102" s="71" customFormat="1" hidden="1">
      <c r="A585" s="210"/>
      <c r="B585" s="210"/>
      <c r="C585" s="109"/>
      <c r="D585" s="115"/>
      <c r="E585" s="136"/>
      <c r="F585" s="136"/>
      <c r="G585" s="211"/>
      <c r="H585" s="136"/>
      <c r="I585" s="211"/>
      <c r="J585" s="211"/>
      <c r="K585" s="211"/>
      <c r="L585" s="136"/>
      <c r="M585" s="136"/>
      <c r="N585" s="136"/>
      <c r="O585" s="212"/>
      <c r="P585" s="116"/>
      <c r="Q585" s="103"/>
      <c r="R585" s="103"/>
      <c r="S585" s="103"/>
      <c r="T585" s="103"/>
      <c r="U585" s="68"/>
      <c r="V585" s="69"/>
      <c r="W585" s="68"/>
      <c r="X585" s="68"/>
      <c r="Y585" s="68"/>
      <c r="Z585" s="68"/>
      <c r="AA585" s="68"/>
      <c r="AB585" s="68"/>
      <c r="AC585" s="68"/>
      <c r="AD585" s="68"/>
      <c r="AE585" s="68"/>
      <c r="AF585" s="68"/>
      <c r="AG585" s="68"/>
      <c r="AH585" s="68"/>
      <c r="AI585" s="68"/>
      <c r="AJ585" s="68"/>
      <c r="AK585" s="68"/>
      <c r="AL585" s="68"/>
      <c r="AM585" s="68"/>
      <c r="AN585" s="68"/>
      <c r="AO585" s="68"/>
      <c r="AP585" s="68"/>
      <c r="AQ585" s="68"/>
      <c r="AR585" s="68"/>
      <c r="AS585" s="68"/>
      <c r="AT585" s="68"/>
      <c r="AU585" s="68"/>
      <c r="AV585" s="68"/>
      <c r="AW585" s="68"/>
      <c r="AX585" s="68"/>
      <c r="AY585" s="68"/>
      <c r="AZ585" s="68"/>
      <c r="BA585" s="68"/>
      <c r="BB585" s="68"/>
      <c r="BC585" s="68"/>
      <c r="BD585" s="68"/>
      <c r="BE585" s="68"/>
      <c r="BF585" s="68"/>
      <c r="BG585" s="68"/>
      <c r="BH585" s="68"/>
      <c r="BI585" s="68"/>
      <c r="BJ585" s="68"/>
      <c r="BK585" s="68"/>
      <c r="BL585" s="68"/>
      <c r="BM585" s="68"/>
      <c r="BN585" s="68"/>
      <c r="BO585" s="68"/>
      <c r="BP585" s="68"/>
      <c r="BQ585" s="68"/>
      <c r="BR585" s="68"/>
      <c r="BS585" s="68"/>
      <c r="BT585" s="68"/>
      <c r="BU585" s="68"/>
      <c r="BV585" s="68"/>
      <c r="BW585" s="68"/>
      <c r="BX585" s="68"/>
      <c r="BY585" s="68"/>
      <c r="BZ585" s="68"/>
      <c r="CA585" s="68"/>
      <c r="CB585" s="68"/>
      <c r="CC585" s="68"/>
      <c r="CD585" s="68"/>
      <c r="CE585" s="68"/>
      <c r="CF585" s="68"/>
      <c r="CG585" s="68"/>
      <c r="CH585" s="68"/>
      <c r="CI585" s="68"/>
      <c r="CJ585" s="68"/>
      <c r="CK585" s="68"/>
      <c r="CL585" s="68"/>
      <c r="CM585" s="68"/>
      <c r="CN585" s="68"/>
      <c r="CO585" s="68"/>
      <c r="CP585" s="68"/>
      <c r="CQ585" s="68"/>
      <c r="CR585" s="68"/>
      <c r="CS585" s="68"/>
      <c r="CT585" s="68"/>
      <c r="CU585" s="68"/>
      <c r="CV585" s="68"/>
      <c r="CW585" s="68"/>
      <c r="CX585" s="68"/>
    </row>
    <row r="586" spans="1:102" s="71" customFormat="1" hidden="1">
      <c r="A586" s="210"/>
      <c r="B586" s="210"/>
      <c r="C586" s="109"/>
      <c r="D586" s="115"/>
      <c r="E586" s="136"/>
      <c r="F586" s="136"/>
      <c r="G586" s="211"/>
      <c r="H586" s="136"/>
      <c r="I586" s="211"/>
      <c r="J586" s="211"/>
      <c r="K586" s="211"/>
      <c r="L586" s="136"/>
      <c r="M586" s="136"/>
      <c r="N586" s="136"/>
      <c r="O586" s="212"/>
      <c r="P586" s="116"/>
      <c r="Q586" s="103"/>
      <c r="R586" s="103"/>
      <c r="S586" s="103"/>
      <c r="T586" s="103"/>
      <c r="U586" s="68"/>
      <c r="V586" s="69"/>
      <c r="W586" s="68"/>
      <c r="X586" s="68"/>
      <c r="Y586" s="68"/>
      <c r="Z586" s="68"/>
      <c r="AA586" s="68"/>
      <c r="AB586" s="68"/>
      <c r="AC586" s="68"/>
      <c r="AD586" s="68"/>
      <c r="AE586" s="68"/>
      <c r="AF586" s="68"/>
      <c r="AG586" s="68"/>
      <c r="AH586" s="68"/>
      <c r="AI586" s="68"/>
      <c r="AJ586" s="68"/>
      <c r="AK586" s="68"/>
      <c r="AL586" s="68"/>
      <c r="AM586" s="68"/>
      <c r="AN586" s="68"/>
      <c r="AO586" s="68"/>
      <c r="AP586" s="68"/>
      <c r="AQ586" s="68"/>
      <c r="AR586" s="68"/>
      <c r="AS586" s="68"/>
      <c r="AT586" s="68"/>
      <c r="AU586" s="68"/>
      <c r="AV586" s="68"/>
      <c r="AW586" s="68"/>
      <c r="AX586" s="68"/>
      <c r="AY586" s="68"/>
      <c r="AZ586" s="68"/>
      <c r="BA586" s="68"/>
      <c r="BB586" s="68"/>
      <c r="BC586" s="68"/>
      <c r="BD586" s="68"/>
      <c r="BE586" s="68"/>
      <c r="BF586" s="68"/>
      <c r="BG586" s="68"/>
      <c r="BH586" s="68"/>
      <c r="BI586" s="68"/>
      <c r="BJ586" s="68"/>
      <c r="BK586" s="68"/>
      <c r="BL586" s="68"/>
      <c r="BM586" s="68"/>
      <c r="BN586" s="68"/>
      <c r="BO586" s="68"/>
      <c r="BP586" s="68"/>
      <c r="BQ586" s="68"/>
      <c r="BR586" s="68"/>
      <c r="BS586" s="68"/>
      <c r="BT586" s="68"/>
      <c r="BU586" s="68"/>
      <c r="BV586" s="68"/>
      <c r="BW586" s="68"/>
      <c r="BX586" s="68"/>
      <c r="BY586" s="68"/>
      <c r="BZ586" s="68"/>
      <c r="CA586" s="68"/>
      <c r="CB586" s="68"/>
      <c r="CC586" s="68"/>
      <c r="CD586" s="68"/>
      <c r="CE586" s="68"/>
      <c r="CF586" s="68"/>
      <c r="CG586" s="68"/>
      <c r="CH586" s="68"/>
      <c r="CI586" s="68"/>
      <c r="CJ586" s="68"/>
      <c r="CK586" s="68"/>
      <c r="CL586" s="68"/>
      <c r="CM586" s="68"/>
      <c r="CN586" s="68"/>
      <c r="CO586" s="68"/>
      <c r="CP586" s="68"/>
      <c r="CQ586" s="68"/>
      <c r="CR586" s="68"/>
      <c r="CS586" s="68"/>
      <c r="CT586" s="68"/>
      <c r="CU586" s="68"/>
      <c r="CV586" s="68"/>
      <c r="CW586" s="68"/>
      <c r="CX586" s="68"/>
    </row>
    <row r="587" spans="1:102" s="71" customFormat="1" hidden="1">
      <c r="A587" s="210"/>
      <c r="B587" s="210"/>
      <c r="C587" s="109"/>
      <c r="D587" s="115"/>
      <c r="E587" s="136"/>
      <c r="F587" s="136"/>
      <c r="G587" s="211"/>
      <c r="H587" s="136"/>
      <c r="I587" s="211"/>
      <c r="J587" s="211"/>
      <c r="K587" s="211"/>
      <c r="L587" s="136"/>
      <c r="M587" s="136"/>
      <c r="N587" s="136"/>
      <c r="O587" s="212"/>
      <c r="P587" s="116"/>
      <c r="Q587" s="103"/>
      <c r="R587" s="103"/>
      <c r="S587" s="103"/>
      <c r="T587" s="103"/>
      <c r="U587" s="68"/>
      <c r="V587" s="69"/>
      <c r="W587" s="68"/>
      <c r="X587" s="68"/>
      <c r="Y587" s="68"/>
      <c r="Z587" s="68"/>
      <c r="AA587" s="68"/>
      <c r="AB587" s="68"/>
      <c r="AC587" s="68"/>
      <c r="AD587" s="68"/>
      <c r="AE587" s="68"/>
      <c r="AF587" s="68"/>
      <c r="AG587" s="68"/>
      <c r="AH587" s="68"/>
      <c r="AI587" s="68"/>
      <c r="AJ587" s="68"/>
      <c r="AK587" s="68"/>
      <c r="AL587" s="68"/>
      <c r="AM587" s="68"/>
      <c r="AN587" s="68"/>
      <c r="AO587" s="68"/>
      <c r="AP587" s="68"/>
      <c r="AQ587" s="68"/>
      <c r="AR587" s="68"/>
      <c r="AS587" s="68"/>
      <c r="AT587" s="68"/>
      <c r="AU587" s="68"/>
      <c r="AV587" s="68"/>
      <c r="AW587" s="68"/>
      <c r="AX587" s="68"/>
      <c r="AY587" s="68"/>
      <c r="AZ587" s="68"/>
      <c r="BA587" s="68"/>
      <c r="BB587" s="68"/>
      <c r="BC587" s="68"/>
      <c r="BD587" s="68"/>
      <c r="BE587" s="68"/>
      <c r="BF587" s="68"/>
      <c r="BG587" s="68"/>
      <c r="BH587" s="68"/>
      <c r="BI587" s="68"/>
      <c r="BJ587" s="68"/>
      <c r="BK587" s="68"/>
      <c r="BL587" s="68"/>
      <c r="BM587" s="68"/>
      <c r="BN587" s="68"/>
      <c r="BO587" s="68"/>
      <c r="BP587" s="68"/>
      <c r="BQ587" s="68"/>
      <c r="BR587" s="68"/>
      <c r="BS587" s="68"/>
      <c r="BT587" s="68"/>
      <c r="BU587" s="68"/>
      <c r="BV587" s="68"/>
      <c r="BW587" s="68"/>
      <c r="BX587" s="68"/>
      <c r="BY587" s="68"/>
      <c r="BZ587" s="68"/>
      <c r="CA587" s="68"/>
      <c r="CB587" s="68"/>
      <c r="CC587" s="68"/>
      <c r="CD587" s="68"/>
      <c r="CE587" s="68"/>
      <c r="CF587" s="68"/>
      <c r="CG587" s="68"/>
      <c r="CH587" s="68"/>
      <c r="CI587" s="68"/>
      <c r="CJ587" s="68"/>
      <c r="CK587" s="68"/>
      <c r="CL587" s="68"/>
      <c r="CM587" s="68"/>
      <c r="CN587" s="68"/>
      <c r="CO587" s="68"/>
      <c r="CP587" s="68"/>
      <c r="CQ587" s="68"/>
      <c r="CR587" s="68"/>
      <c r="CS587" s="68"/>
      <c r="CT587" s="68"/>
      <c r="CU587" s="68"/>
      <c r="CV587" s="68"/>
      <c r="CW587" s="68"/>
      <c r="CX587" s="68"/>
    </row>
    <row r="588" spans="1:102" s="71" customFormat="1" hidden="1">
      <c r="A588" s="210"/>
      <c r="B588" s="210"/>
      <c r="C588" s="109"/>
      <c r="D588" s="115"/>
      <c r="E588" s="136"/>
      <c r="F588" s="136"/>
      <c r="G588" s="211"/>
      <c r="H588" s="136"/>
      <c r="I588" s="211"/>
      <c r="J588" s="211"/>
      <c r="K588" s="211"/>
      <c r="L588" s="136"/>
      <c r="M588" s="136"/>
      <c r="N588" s="136"/>
      <c r="O588" s="212"/>
      <c r="P588" s="116"/>
      <c r="Q588" s="103"/>
      <c r="R588" s="103"/>
      <c r="S588" s="103"/>
      <c r="T588" s="103"/>
      <c r="U588" s="68"/>
      <c r="V588" s="69"/>
      <c r="W588" s="68"/>
      <c r="X588" s="68"/>
      <c r="Y588" s="68"/>
      <c r="Z588" s="68"/>
      <c r="AA588" s="68"/>
      <c r="AB588" s="68"/>
      <c r="AC588" s="68"/>
      <c r="AD588" s="68"/>
      <c r="AE588" s="68"/>
      <c r="AF588" s="68"/>
      <c r="AG588" s="68"/>
      <c r="AH588" s="68"/>
      <c r="AI588" s="68"/>
      <c r="AJ588" s="68"/>
      <c r="AK588" s="68"/>
      <c r="AL588" s="68"/>
      <c r="AM588" s="68"/>
      <c r="AN588" s="68"/>
      <c r="AO588" s="68"/>
      <c r="AP588" s="68"/>
      <c r="AQ588" s="68"/>
      <c r="AR588" s="68"/>
      <c r="AS588" s="68"/>
      <c r="AT588" s="68"/>
      <c r="AU588" s="68"/>
      <c r="AV588" s="68"/>
      <c r="AW588" s="68"/>
      <c r="AX588" s="68"/>
      <c r="AY588" s="68"/>
      <c r="AZ588" s="68"/>
      <c r="BA588" s="68"/>
      <c r="BB588" s="68"/>
      <c r="BC588" s="68"/>
      <c r="BD588" s="68"/>
      <c r="BE588" s="68"/>
      <c r="BF588" s="68"/>
      <c r="BG588" s="68"/>
      <c r="BH588" s="68"/>
      <c r="BI588" s="68"/>
      <c r="BJ588" s="68"/>
      <c r="BK588" s="68"/>
      <c r="BL588" s="68"/>
      <c r="BM588" s="68"/>
      <c r="BN588" s="68"/>
      <c r="BO588" s="68"/>
      <c r="BP588" s="68"/>
      <c r="BQ588" s="68"/>
      <c r="BR588" s="68"/>
      <c r="BS588" s="68"/>
      <c r="BT588" s="68"/>
      <c r="BU588" s="68"/>
      <c r="BV588" s="68"/>
      <c r="BW588" s="68"/>
      <c r="BX588" s="68"/>
      <c r="BY588" s="68"/>
      <c r="BZ588" s="68"/>
      <c r="CA588" s="68"/>
      <c r="CB588" s="68"/>
      <c r="CC588" s="68"/>
      <c r="CD588" s="68"/>
      <c r="CE588" s="68"/>
      <c r="CF588" s="68"/>
      <c r="CG588" s="68"/>
      <c r="CH588" s="68"/>
      <c r="CI588" s="68"/>
      <c r="CJ588" s="68"/>
      <c r="CK588" s="68"/>
      <c r="CL588" s="68"/>
      <c r="CM588" s="68"/>
      <c r="CN588" s="68"/>
      <c r="CO588" s="68"/>
      <c r="CP588" s="68"/>
      <c r="CQ588" s="68"/>
      <c r="CR588" s="68"/>
      <c r="CS588" s="68"/>
      <c r="CT588" s="68"/>
      <c r="CU588" s="68"/>
      <c r="CV588" s="68"/>
      <c r="CW588" s="68"/>
      <c r="CX588" s="68"/>
    </row>
    <row r="589" spans="1:102" s="71" customFormat="1" hidden="1">
      <c r="A589" s="210"/>
      <c r="B589" s="210"/>
      <c r="C589" s="109"/>
      <c r="D589" s="115"/>
      <c r="E589" s="136"/>
      <c r="F589" s="136"/>
      <c r="G589" s="211"/>
      <c r="H589" s="136"/>
      <c r="I589" s="211"/>
      <c r="J589" s="211"/>
      <c r="K589" s="211"/>
      <c r="L589" s="136"/>
      <c r="M589" s="136"/>
      <c r="N589" s="136"/>
      <c r="O589" s="212"/>
      <c r="P589" s="116"/>
      <c r="Q589" s="103"/>
      <c r="R589" s="103"/>
      <c r="S589" s="103"/>
      <c r="T589" s="103"/>
      <c r="U589" s="68"/>
      <c r="V589" s="69"/>
      <c r="W589" s="68"/>
      <c r="X589" s="68"/>
      <c r="Y589" s="68"/>
      <c r="Z589" s="68"/>
      <c r="AA589" s="68"/>
      <c r="AB589" s="68"/>
      <c r="AC589" s="68"/>
      <c r="AD589" s="68"/>
      <c r="AE589" s="68"/>
      <c r="AF589" s="68"/>
      <c r="AG589" s="68"/>
      <c r="AH589" s="68"/>
      <c r="AI589" s="68"/>
      <c r="AJ589" s="68"/>
      <c r="AK589" s="68"/>
      <c r="AL589" s="68"/>
      <c r="AM589" s="68"/>
      <c r="AN589" s="68"/>
      <c r="AO589" s="68"/>
      <c r="AP589" s="68"/>
      <c r="AQ589" s="68"/>
      <c r="AR589" s="68"/>
      <c r="AS589" s="68"/>
      <c r="AT589" s="68"/>
      <c r="AU589" s="68"/>
      <c r="AV589" s="68"/>
      <c r="AW589" s="68"/>
      <c r="AX589" s="68"/>
      <c r="AY589" s="68"/>
      <c r="AZ589" s="68"/>
      <c r="BA589" s="68"/>
      <c r="BB589" s="68"/>
      <c r="BC589" s="68"/>
      <c r="BD589" s="68"/>
      <c r="BE589" s="68"/>
      <c r="BF589" s="68"/>
      <c r="BG589" s="68"/>
      <c r="BH589" s="68"/>
      <c r="BI589" s="68"/>
      <c r="BJ589" s="68"/>
      <c r="BK589" s="68"/>
      <c r="BL589" s="68"/>
      <c r="BM589" s="68"/>
      <c r="BN589" s="68"/>
      <c r="BO589" s="68"/>
      <c r="BP589" s="68"/>
      <c r="BQ589" s="68"/>
      <c r="BR589" s="68"/>
      <c r="BS589" s="68"/>
      <c r="BT589" s="68"/>
      <c r="BU589" s="68"/>
      <c r="BV589" s="68"/>
      <c r="BW589" s="68"/>
      <c r="BX589" s="68"/>
      <c r="BY589" s="68"/>
      <c r="BZ589" s="68"/>
      <c r="CA589" s="68"/>
      <c r="CB589" s="68"/>
      <c r="CC589" s="68"/>
      <c r="CD589" s="68"/>
      <c r="CE589" s="68"/>
      <c r="CF589" s="68"/>
      <c r="CG589" s="68"/>
      <c r="CH589" s="68"/>
      <c r="CI589" s="68"/>
      <c r="CJ589" s="68"/>
      <c r="CK589" s="68"/>
      <c r="CL589" s="68"/>
      <c r="CM589" s="68"/>
      <c r="CN589" s="68"/>
      <c r="CO589" s="68"/>
      <c r="CP589" s="68"/>
      <c r="CQ589" s="68"/>
      <c r="CR589" s="68"/>
      <c r="CS589" s="68"/>
      <c r="CT589" s="68"/>
      <c r="CU589" s="68"/>
      <c r="CV589" s="68"/>
      <c r="CW589" s="68"/>
      <c r="CX589" s="68"/>
    </row>
    <row r="590" spans="1:102" s="71" customFormat="1" hidden="1">
      <c r="A590" s="210"/>
      <c r="B590" s="210"/>
      <c r="C590" s="109"/>
      <c r="D590" s="115"/>
      <c r="E590" s="136"/>
      <c r="F590" s="136"/>
      <c r="G590" s="211"/>
      <c r="H590" s="136"/>
      <c r="I590" s="211"/>
      <c r="J590" s="211"/>
      <c r="K590" s="211"/>
      <c r="L590" s="136"/>
      <c r="M590" s="136"/>
      <c r="N590" s="136"/>
      <c r="O590" s="212"/>
      <c r="P590" s="116"/>
      <c r="Q590" s="103"/>
      <c r="R590" s="103"/>
      <c r="S590" s="103"/>
      <c r="T590" s="103"/>
      <c r="U590" s="68"/>
      <c r="V590" s="69"/>
      <c r="W590" s="68"/>
      <c r="X590" s="68"/>
      <c r="Y590" s="68"/>
      <c r="Z590" s="68"/>
      <c r="AA590" s="68"/>
      <c r="AB590" s="68"/>
      <c r="AC590" s="68"/>
      <c r="AD590" s="68"/>
      <c r="AE590" s="68"/>
      <c r="AF590" s="68"/>
      <c r="AG590" s="68"/>
      <c r="AH590" s="68"/>
      <c r="AI590" s="68"/>
      <c r="AJ590" s="68"/>
      <c r="AK590" s="68"/>
      <c r="AL590" s="68"/>
      <c r="AM590" s="68"/>
      <c r="AN590" s="68"/>
      <c r="AO590" s="68"/>
      <c r="AP590" s="68"/>
      <c r="AQ590" s="68"/>
      <c r="AR590" s="68"/>
      <c r="AS590" s="68"/>
      <c r="AT590" s="68"/>
      <c r="AU590" s="68"/>
      <c r="AV590" s="68"/>
      <c r="AW590" s="68"/>
      <c r="AX590" s="68"/>
      <c r="AY590" s="68"/>
      <c r="AZ590" s="68"/>
      <c r="BA590" s="68"/>
      <c r="BB590" s="68"/>
      <c r="BC590" s="68"/>
      <c r="BD590" s="68"/>
      <c r="BE590" s="68"/>
      <c r="BF590" s="68"/>
      <c r="BG590" s="68"/>
      <c r="BH590" s="68"/>
      <c r="BI590" s="68"/>
      <c r="BJ590" s="68"/>
      <c r="BK590" s="68"/>
      <c r="BL590" s="68"/>
      <c r="BM590" s="68"/>
      <c r="BN590" s="68"/>
      <c r="BO590" s="68"/>
      <c r="BP590" s="68"/>
      <c r="BQ590" s="68"/>
      <c r="BR590" s="68"/>
      <c r="BS590" s="68"/>
      <c r="BT590" s="68"/>
      <c r="BU590" s="68"/>
      <c r="BV590" s="68"/>
      <c r="BW590" s="68"/>
      <c r="BX590" s="68"/>
      <c r="BY590" s="68"/>
      <c r="BZ590" s="68"/>
      <c r="CA590" s="68"/>
      <c r="CB590" s="68"/>
      <c r="CC590" s="68"/>
      <c r="CD590" s="68"/>
      <c r="CE590" s="68"/>
      <c r="CF590" s="68"/>
      <c r="CG590" s="68"/>
      <c r="CH590" s="68"/>
      <c r="CI590" s="68"/>
      <c r="CJ590" s="68"/>
      <c r="CK590" s="68"/>
      <c r="CL590" s="68"/>
      <c r="CM590" s="68"/>
      <c r="CN590" s="68"/>
      <c r="CO590" s="68"/>
      <c r="CP590" s="68"/>
      <c r="CQ590" s="68"/>
      <c r="CR590" s="68"/>
      <c r="CS590" s="68"/>
      <c r="CT590" s="68"/>
      <c r="CU590" s="68"/>
      <c r="CV590" s="68"/>
      <c r="CW590" s="68"/>
      <c r="CX590" s="68"/>
    </row>
    <row r="591" spans="1:102" s="71" customFormat="1" hidden="1">
      <c r="A591" s="210"/>
      <c r="B591" s="210"/>
      <c r="C591" s="109"/>
      <c r="D591" s="115"/>
      <c r="E591" s="136"/>
      <c r="F591" s="136"/>
      <c r="G591" s="211"/>
      <c r="H591" s="136"/>
      <c r="I591" s="211"/>
      <c r="J591" s="211"/>
      <c r="K591" s="211"/>
      <c r="L591" s="136"/>
      <c r="M591" s="136"/>
      <c r="N591" s="136"/>
      <c r="O591" s="212"/>
      <c r="P591" s="116"/>
      <c r="Q591" s="103"/>
      <c r="R591" s="103"/>
      <c r="S591" s="103"/>
      <c r="T591" s="103"/>
      <c r="U591" s="68"/>
      <c r="V591" s="69"/>
      <c r="W591" s="68"/>
      <c r="X591" s="68"/>
      <c r="Y591" s="68"/>
      <c r="Z591" s="68"/>
      <c r="AA591" s="68"/>
      <c r="AB591" s="68"/>
      <c r="AC591" s="68"/>
      <c r="AD591" s="68"/>
      <c r="AE591" s="68"/>
      <c r="AF591" s="68"/>
      <c r="AG591" s="68"/>
      <c r="AH591" s="68"/>
      <c r="AI591" s="68"/>
      <c r="AJ591" s="68"/>
      <c r="AK591" s="68"/>
      <c r="AL591" s="68"/>
      <c r="AM591" s="68"/>
      <c r="AN591" s="68"/>
      <c r="AO591" s="68"/>
      <c r="AP591" s="68"/>
      <c r="AQ591" s="68"/>
      <c r="AR591" s="68"/>
      <c r="AS591" s="68"/>
      <c r="AT591" s="68"/>
      <c r="AU591" s="68"/>
      <c r="AV591" s="68"/>
      <c r="AW591" s="68"/>
      <c r="AX591" s="68"/>
      <c r="AY591" s="68"/>
      <c r="AZ591" s="68"/>
      <c r="BA591" s="68"/>
      <c r="BB591" s="68"/>
      <c r="BC591" s="68"/>
      <c r="BD591" s="68"/>
      <c r="BE591" s="68"/>
      <c r="BF591" s="68"/>
      <c r="BG591" s="68"/>
      <c r="BH591" s="68"/>
      <c r="BI591" s="68"/>
      <c r="BJ591" s="68"/>
      <c r="BK591" s="68"/>
      <c r="BL591" s="68"/>
      <c r="BM591" s="68"/>
      <c r="BN591" s="68"/>
      <c r="BO591" s="68"/>
      <c r="BP591" s="68"/>
      <c r="BQ591" s="68"/>
      <c r="BR591" s="68"/>
      <c r="BS591" s="68"/>
      <c r="BT591" s="68"/>
      <c r="BU591" s="68"/>
      <c r="BV591" s="68"/>
      <c r="BW591" s="68"/>
      <c r="BX591" s="68"/>
      <c r="BY591" s="68"/>
      <c r="BZ591" s="68"/>
      <c r="CA591" s="68"/>
      <c r="CB591" s="68"/>
      <c r="CC591" s="68"/>
      <c r="CD591" s="68"/>
      <c r="CE591" s="68"/>
      <c r="CF591" s="68"/>
      <c r="CG591" s="68"/>
      <c r="CH591" s="68"/>
      <c r="CI591" s="68"/>
      <c r="CJ591" s="68"/>
      <c r="CK591" s="68"/>
      <c r="CL591" s="68"/>
      <c r="CM591" s="68"/>
      <c r="CN591" s="68"/>
      <c r="CO591" s="68"/>
      <c r="CP591" s="68"/>
      <c r="CQ591" s="68"/>
      <c r="CR591" s="68"/>
      <c r="CS591" s="68"/>
      <c r="CT591" s="68"/>
      <c r="CU591" s="68"/>
      <c r="CV591" s="68"/>
      <c r="CW591" s="68"/>
      <c r="CX591" s="68"/>
    </row>
    <row r="592" spans="1:102" s="71" customFormat="1" hidden="1">
      <c r="A592" s="210"/>
      <c r="B592" s="210"/>
      <c r="C592" s="109"/>
      <c r="D592" s="115"/>
      <c r="E592" s="136"/>
      <c r="F592" s="136"/>
      <c r="G592" s="211"/>
      <c r="H592" s="136"/>
      <c r="I592" s="211"/>
      <c r="J592" s="211"/>
      <c r="K592" s="211"/>
      <c r="L592" s="136"/>
      <c r="M592" s="136"/>
      <c r="N592" s="136"/>
      <c r="O592" s="212"/>
      <c r="P592" s="116"/>
      <c r="Q592" s="103"/>
      <c r="R592" s="103"/>
      <c r="S592" s="103"/>
      <c r="T592" s="103"/>
      <c r="U592" s="68"/>
      <c r="V592" s="69"/>
      <c r="W592" s="68"/>
      <c r="X592" s="68"/>
      <c r="Y592" s="68"/>
      <c r="Z592" s="68"/>
      <c r="AA592" s="68"/>
      <c r="AB592" s="68"/>
      <c r="AC592" s="68"/>
      <c r="AD592" s="68"/>
      <c r="AE592" s="68"/>
      <c r="AF592" s="68"/>
      <c r="AG592" s="68"/>
      <c r="AH592" s="68"/>
      <c r="AI592" s="68"/>
      <c r="AJ592" s="68"/>
      <c r="AK592" s="68"/>
      <c r="AL592" s="68"/>
      <c r="AM592" s="68"/>
      <c r="AN592" s="68"/>
      <c r="AO592" s="68"/>
      <c r="AP592" s="68"/>
      <c r="AQ592" s="68"/>
      <c r="AR592" s="68"/>
      <c r="AS592" s="68"/>
      <c r="AT592" s="68"/>
      <c r="AU592" s="68"/>
      <c r="AV592" s="68"/>
      <c r="AW592" s="68"/>
      <c r="AX592" s="68"/>
      <c r="AY592" s="68"/>
      <c r="AZ592" s="68"/>
      <c r="BA592" s="68"/>
      <c r="BB592" s="68"/>
      <c r="BC592" s="68"/>
      <c r="BD592" s="68"/>
      <c r="BE592" s="68"/>
      <c r="BF592" s="68"/>
      <c r="BG592" s="68"/>
      <c r="BH592" s="68"/>
      <c r="BI592" s="68"/>
      <c r="BJ592" s="68"/>
      <c r="BK592" s="68"/>
      <c r="BL592" s="68"/>
      <c r="BM592" s="68"/>
      <c r="BN592" s="68"/>
      <c r="BO592" s="68"/>
      <c r="BP592" s="68"/>
      <c r="BQ592" s="68"/>
      <c r="BR592" s="68"/>
      <c r="BS592" s="68"/>
      <c r="BT592" s="68"/>
      <c r="BU592" s="68"/>
      <c r="BV592" s="68"/>
      <c r="BW592" s="68"/>
      <c r="BX592" s="68"/>
      <c r="BY592" s="68"/>
      <c r="BZ592" s="68"/>
      <c r="CA592" s="68"/>
      <c r="CB592" s="68"/>
      <c r="CC592" s="68"/>
      <c r="CD592" s="68"/>
      <c r="CE592" s="68"/>
      <c r="CF592" s="68"/>
      <c r="CG592" s="68"/>
      <c r="CH592" s="68"/>
      <c r="CI592" s="68"/>
      <c r="CJ592" s="68"/>
      <c r="CK592" s="68"/>
      <c r="CL592" s="68"/>
      <c r="CM592" s="68"/>
      <c r="CN592" s="68"/>
      <c r="CO592" s="68"/>
      <c r="CP592" s="68"/>
      <c r="CQ592" s="68"/>
      <c r="CR592" s="68"/>
      <c r="CS592" s="68"/>
      <c r="CT592" s="68"/>
      <c r="CU592" s="68"/>
      <c r="CV592" s="68"/>
      <c r="CW592" s="68"/>
      <c r="CX592" s="68"/>
    </row>
    <row r="593" spans="1:102" s="71" customFormat="1" hidden="1">
      <c r="A593" s="210"/>
      <c r="B593" s="210"/>
      <c r="C593" s="109"/>
      <c r="D593" s="115"/>
      <c r="E593" s="136"/>
      <c r="F593" s="136"/>
      <c r="G593" s="211"/>
      <c r="H593" s="136"/>
      <c r="I593" s="211"/>
      <c r="J593" s="211"/>
      <c r="K593" s="211"/>
      <c r="L593" s="136"/>
      <c r="M593" s="136"/>
      <c r="N593" s="136"/>
      <c r="O593" s="212"/>
      <c r="P593" s="116"/>
      <c r="Q593" s="103"/>
      <c r="R593" s="103"/>
      <c r="S593" s="103"/>
      <c r="T593" s="103"/>
      <c r="U593" s="68"/>
      <c r="V593" s="69"/>
      <c r="W593" s="68"/>
      <c r="X593" s="68"/>
      <c r="Y593" s="68"/>
      <c r="Z593" s="68"/>
      <c r="AA593" s="68"/>
      <c r="AB593" s="68"/>
      <c r="AC593" s="68"/>
      <c r="AD593" s="68"/>
      <c r="AE593" s="68"/>
      <c r="AF593" s="68"/>
      <c r="AG593" s="68"/>
      <c r="AH593" s="68"/>
      <c r="AI593" s="68"/>
      <c r="AJ593" s="68"/>
      <c r="AK593" s="68"/>
      <c r="AL593" s="68"/>
      <c r="AM593" s="68"/>
      <c r="AN593" s="68"/>
      <c r="AO593" s="68"/>
      <c r="AP593" s="68"/>
      <c r="AQ593" s="68"/>
      <c r="AR593" s="68"/>
      <c r="AS593" s="68"/>
      <c r="AT593" s="68"/>
      <c r="AU593" s="68"/>
      <c r="AV593" s="68"/>
      <c r="AW593" s="68"/>
      <c r="AX593" s="68"/>
      <c r="AY593" s="68"/>
      <c r="AZ593" s="68"/>
      <c r="BA593" s="68"/>
      <c r="BB593" s="68"/>
      <c r="BC593" s="68"/>
      <c r="BD593" s="68"/>
      <c r="BE593" s="68"/>
      <c r="BF593" s="68"/>
      <c r="BG593" s="68"/>
      <c r="BH593" s="68"/>
      <c r="BI593" s="68"/>
      <c r="BJ593" s="68"/>
      <c r="BK593" s="68"/>
      <c r="BL593" s="68"/>
      <c r="BM593" s="68"/>
      <c r="BN593" s="68"/>
      <c r="BO593" s="68"/>
      <c r="BP593" s="68"/>
      <c r="BQ593" s="68"/>
      <c r="BR593" s="68"/>
      <c r="BS593" s="68"/>
      <c r="BT593" s="68"/>
      <c r="BU593" s="68"/>
      <c r="BV593" s="68"/>
      <c r="BW593" s="68"/>
      <c r="BX593" s="68"/>
      <c r="BY593" s="68"/>
      <c r="BZ593" s="68"/>
      <c r="CA593" s="68"/>
      <c r="CB593" s="68"/>
      <c r="CC593" s="68"/>
      <c r="CD593" s="68"/>
      <c r="CE593" s="68"/>
      <c r="CF593" s="68"/>
      <c r="CG593" s="68"/>
      <c r="CH593" s="68"/>
      <c r="CI593" s="68"/>
      <c r="CJ593" s="68"/>
      <c r="CK593" s="68"/>
      <c r="CL593" s="68"/>
      <c r="CM593" s="68"/>
      <c r="CN593" s="68"/>
      <c r="CO593" s="68"/>
      <c r="CP593" s="68"/>
      <c r="CQ593" s="68"/>
      <c r="CR593" s="68"/>
      <c r="CS593" s="68"/>
      <c r="CT593" s="68"/>
      <c r="CU593" s="68"/>
      <c r="CV593" s="68"/>
      <c r="CW593" s="68"/>
      <c r="CX593" s="68"/>
    </row>
    <row r="594" spans="1:102" s="71" customFormat="1" hidden="1">
      <c r="A594" s="210"/>
      <c r="B594" s="210"/>
      <c r="C594" s="109"/>
      <c r="D594" s="115"/>
      <c r="E594" s="136"/>
      <c r="F594" s="136"/>
      <c r="G594" s="211"/>
      <c r="H594" s="136"/>
      <c r="I594" s="211"/>
      <c r="J594" s="211"/>
      <c r="K594" s="211"/>
      <c r="L594" s="136"/>
      <c r="M594" s="136"/>
      <c r="N594" s="136"/>
      <c r="O594" s="212"/>
      <c r="P594" s="116"/>
      <c r="Q594" s="103"/>
      <c r="R594" s="103"/>
      <c r="S594" s="103"/>
      <c r="T594" s="103"/>
      <c r="U594" s="68"/>
      <c r="V594" s="69"/>
      <c r="W594" s="68"/>
      <c r="X594" s="68"/>
      <c r="Y594" s="68"/>
      <c r="Z594" s="68"/>
      <c r="AA594" s="68"/>
      <c r="AB594" s="68"/>
      <c r="AC594" s="68"/>
      <c r="AD594" s="68"/>
      <c r="AE594" s="68"/>
      <c r="AF594" s="68"/>
      <c r="AG594" s="68"/>
      <c r="AH594" s="68"/>
      <c r="AI594" s="68"/>
      <c r="AJ594" s="68"/>
      <c r="AK594" s="68"/>
      <c r="AL594" s="68"/>
      <c r="AM594" s="68"/>
      <c r="AN594" s="68"/>
      <c r="AO594" s="68"/>
      <c r="AP594" s="68"/>
      <c r="AQ594" s="68"/>
      <c r="AR594" s="68"/>
      <c r="AS594" s="68"/>
      <c r="AT594" s="68"/>
      <c r="AU594" s="68"/>
      <c r="AV594" s="68"/>
      <c r="AW594" s="68"/>
      <c r="AX594" s="68"/>
      <c r="AY594" s="68"/>
      <c r="AZ594" s="68"/>
      <c r="BA594" s="68"/>
      <c r="BB594" s="68"/>
      <c r="BC594" s="68"/>
      <c r="BD594" s="68"/>
      <c r="BE594" s="68"/>
      <c r="BF594" s="68"/>
      <c r="BG594" s="68"/>
      <c r="BH594" s="68"/>
      <c r="BI594" s="68"/>
      <c r="BJ594" s="68"/>
      <c r="BK594" s="68"/>
      <c r="BL594" s="68"/>
      <c r="BM594" s="68"/>
      <c r="BN594" s="68"/>
      <c r="BO594" s="68"/>
      <c r="BP594" s="68"/>
      <c r="BQ594" s="68"/>
      <c r="BR594" s="68"/>
      <c r="BS594" s="68"/>
      <c r="BT594" s="68"/>
      <c r="BU594" s="68"/>
      <c r="BV594" s="68"/>
      <c r="BW594" s="68"/>
      <c r="BX594" s="68"/>
      <c r="BY594" s="68"/>
      <c r="BZ594" s="68"/>
      <c r="CA594" s="68"/>
      <c r="CB594" s="68"/>
      <c r="CC594" s="68"/>
      <c r="CD594" s="68"/>
      <c r="CE594" s="68"/>
      <c r="CF594" s="68"/>
      <c r="CG594" s="68"/>
      <c r="CH594" s="68"/>
      <c r="CI594" s="68"/>
      <c r="CJ594" s="68"/>
      <c r="CK594" s="68"/>
      <c r="CL594" s="68"/>
      <c r="CM594" s="68"/>
      <c r="CN594" s="68"/>
      <c r="CO594" s="68"/>
      <c r="CP594" s="68"/>
      <c r="CQ594" s="68"/>
      <c r="CR594" s="68"/>
      <c r="CS594" s="68"/>
      <c r="CT594" s="68"/>
      <c r="CU594" s="68"/>
      <c r="CV594" s="68"/>
      <c r="CW594" s="68"/>
      <c r="CX594" s="68"/>
    </row>
    <row r="595" spans="1:102" s="71" customFormat="1" hidden="1">
      <c r="A595" s="210"/>
      <c r="B595" s="210"/>
      <c r="C595" s="109"/>
      <c r="D595" s="115"/>
      <c r="E595" s="136"/>
      <c r="F595" s="136"/>
      <c r="G595" s="211"/>
      <c r="H595" s="136"/>
      <c r="I595" s="211"/>
      <c r="J595" s="211"/>
      <c r="K595" s="211"/>
      <c r="L595" s="136"/>
      <c r="M595" s="136"/>
      <c r="N595" s="136"/>
      <c r="O595" s="212"/>
      <c r="P595" s="116"/>
      <c r="Q595" s="103"/>
      <c r="R595" s="103"/>
      <c r="S595" s="103"/>
      <c r="T595" s="103"/>
      <c r="U595" s="68"/>
      <c r="V595" s="69"/>
      <c r="W595" s="68"/>
      <c r="X595" s="68"/>
      <c r="Y595" s="68"/>
      <c r="Z595" s="68"/>
      <c r="AA595" s="68"/>
      <c r="AB595" s="68"/>
      <c r="AC595" s="68"/>
      <c r="AD595" s="68"/>
      <c r="AE595" s="68"/>
      <c r="AF595" s="68"/>
      <c r="AG595" s="68"/>
      <c r="AH595" s="68"/>
      <c r="AI595" s="68"/>
      <c r="AJ595" s="68"/>
      <c r="AK595" s="68"/>
      <c r="AL595" s="68"/>
      <c r="AM595" s="68"/>
      <c r="AN595" s="68"/>
      <c r="AO595" s="68"/>
      <c r="AP595" s="68"/>
      <c r="AQ595" s="68"/>
      <c r="AR595" s="68"/>
      <c r="AS595" s="68"/>
      <c r="AT595" s="68"/>
      <c r="AU595" s="68"/>
      <c r="AV595" s="68"/>
      <c r="AW595" s="68"/>
      <c r="AX595" s="68"/>
      <c r="AY595" s="68"/>
      <c r="AZ595" s="68"/>
      <c r="BA595" s="68"/>
      <c r="BB595" s="68"/>
      <c r="BC595" s="68"/>
      <c r="BD595" s="68"/>
      <c r="BE595" s="68"/>
      <c r="BF595" s="68"/>
      <c r="BG595" s="68"/>
      <c r="BH595" s="68"/>
      <c r="BI595" s="68"/>
      <c r="BJ595" s="68"/>
      <c r="BK595" s="68"/>
      <c r="BL595" s="68"/>
      <c r="BM595" s="68"/>
      <c r="BN595" s="68"/>
      <c r="BO595" s="68"/>
      <c r="BP595" s="68"/>
      <c r="BQ595" s="68"/>
      <c r="BR595" s="68"/>
      <c r="BS595" s="68"/>
      <c r="BT595" s="68"/>
      <c r="BU595" s="68"/>
      <c r="BV595" s="68"/>
      <c r="BW595" s="68"/>
      <c r="BX595" s="68"/>
      <c r="BY595" s="68"/>
      <c r="BZ595" s="68"/>
      <c r="CA595" s="68"/>
      <c r="CB595" s="68"/>
      <c r="CC595" s="68"/>
      <c r="CD595" s="68"/>
      <c r="CE595" s="68"/>
      <c r="CF595" s="68"/>
      <c r="CG595" s="68"/>
      <c r="CH595" s="68"/>
      <c r="CI595" s="68"/>
      <c r="CJ595" s="68"/>
      <c r="CK595" s="68"/>
      <c r="CL595" s="68"/>
      <c r="CM595" s="68"/>
      <c r="CN595" s="68"/>
      <c r="CO595" s="68"/>
      <c r="CP595" s="68"/>
      <c r="CQ595" s="68"/>
      <c r="CR595" s="68"/>
      <c r="CS595" s="68"/>
      <c r="CT595" s="68"/>
      <c r="CU595" s="68"/>
      <c r="CV595" s="68"/>
      <c r="CW595" s="68"/>
      <c r="CX595" s="68"/>
    </row>
    <row r="596" spans="1:102" s="71" customFormat="1" hidden="1">
      <c r="A596" s="210"/>
      <c r="B596" s="210"/>
      <c r="C596" s="109"/>
      <c r="D596" s="115"/>
      <c r="E596" s="136"/>
      <c r="F596" s="136"/>
      <c r="G596" s="211"/>
      <c r="H596" s="136"/>
      <c r="I596" s="211"/>
      <c r="J596" s="211"/>
      <c r="K596" s="211"/>
      <c r="L596" s="136"/>
      <c r="M596" s="136"/>
      <c r="N596" s="136"/>
      <c r="O596" s="212"/>
      <c r="P596" s="116"/>
      <c r="Q596" s="103"/>
      <c r="R596" s="103"/>
      <c r="S596" s="103"/>
      <c r="T596" s="103"/>
      <c r="U596" s="68"/>
      <c r="V596" s="69"/>
      <c r="W596" s="68"/>
      <c r="X596" s="68"/>
      <c r="Y596" s="68"/>
      <c r="Z596" s="68"/>
      <c r="AA596" s="68"/>
      <c r="AB596" s="68"/>
      <c r="AC596" s="68"/>
      <c r="AD596" s="68"/>
      <c r="AE596" s="68"/>
      <c r="AF596" s="68"/>
      <c r="AG596" s="68"/>
      <c r="AH596" s="68"/>
      <c r="AI596" s="68"/>
      <c r="AJ596" s="68"/>
      <c r="AK596" s="68"/>
      <c r="AL596" s="68"/>
      <c r="AM596" s="68"/>
      <c r="AN596" s="68"/>
      <c r="AO596" s="68"/>
      <c r="AP596" s="68"/>
      <c r="AQ596" s="68"/>
      <c r="AR596" s="68"/>
      <c r="AS596" s="68"/>
      <c r="AT596" s="68"/>
      <c r="AU596" s="68"/>
      <c r="AV596" s="68"/>
      <c r="AW596" s="68"/>
      <c r="AX596" s="68"/>
      <c r="AY596" s="68"/>
      <c r="AZ596" s="68"/>
      <c r="BA596" s="68"/>
      <c r="BB596" s="68"/>
      <c r="BC596" s="68"/>
      <c r="BD596" s="68"/>
      <c r="BE596" s="68"/>
      <c r="BF596" s="68"/>
      <c r="BG596" s="68"/>
      <c r="BH596" s="68"/>
      <c r="BI596" s="68"/>
      <c r="BJ596" s="68"/>
      <c r="BK596" s="68"/>
      <c r="BL596" s="68"/>
      <c r="BM596" s="68"/>
      <c r="BN596" s="68"/>
      <c r="BO596" s="68"/>
      <c r="BP596" s="68"/>
      <c r="BQ596" s="68"/>
      <c r="BR596" s="68"/>
      <c r="BS596" s="68"/>
      <c r="BT596" s="68"/>
      <c r="BU596" s="68"/>
      <c r="BV596" s="68"/>
      <c r="BW596" s="68"/>
      <c r="BX596" s="68"/>
      <c r="BY596" s="68"/>
      <c r="BZ596" s="68"/>
      <c r="CA596" s="68"/>
      <c r="CB596" s="68"/>
      <c r="CC596" s="68"/>
      <c r="CD596" s="68"/>
      <c r="CE596" s="68"/>
      <c r="CF596" s="68"/>
      <c r="CG596" s="68"/>
      <c r="CH596" s="68"/>
      <c r="CI596" s="68"/>
      <c r="CJ596" s="68"/>
      <c r="CK596" s="68"/>
      <c r="CL596" s="68"/>
      <c r="CM596" s="68"/>
      <c r="CN596" s="68"/>
      <c r="CO596" s="68"/>
      <c r="CP596" s="68"/>
      <c r="CQ596" s="68"/>
      <c r="CR596" s="68"/>
      <c r="CS596" s="68"/>
      <c r="CT596" s="68"/>
      <c r="CU596" s="68"/>
      <c r="CV596" s="68"/>
      <c r="CW596" s="68"/>
      <c r="CX596" s="68"/>
    </row>
    <row r="597" spans="1:102" s="71" customFormat="1" hidden="1">
      <c r="A597" s="210"/>
      <c r="B597" s="210"/>
      <c r="C597" s="109"/>
      <c r="D597" s="115"/>
      <c r="E597" s="136"/>
      <c r="F597" s="136"/>
      <c r="G597" s="211"/>
      <c r="H597" s="136"/>
      <c r="I597" s="211"/>
      <c r="J597" s="211"/>
      <c r="K597" s="211"/>
      <c r="L597" s="136"/>
      <c r="M597" s="136"/>
      <c r="N597" s="136"/>
      <c r="O597" s="212"/>
      <c r="P597" s="116"/>
      <c r="Q597" s="103"/>
      <c r="R597" s="103"/>
      <c r="S597" s="103"/>
      <c r="T597" s="103"/>
      <c r="U597" s="68"/>
      <c r="V597" s="69"/>
      <c r="W597" s="68"/>
      <c r="X597" s="68"/>
      <c r="Y597" s="68"/>
      <c r="Z597" s="68"/>
      <c r="AA597" s="68"/>
      <c r="AB597" s="68"/>
      <c r="AC597" s="68"/>
      <c r="AD597" s="68"/>
      <c r="AE597" s="68"/>
      <c r="AF597" s="68"/>
      <c r="AG597" s="68"/>
      <c r="AH597" s="68"/>
      <c r="AI597" s="68"/>
      <c r="AJ597" s="68"/>
      <c r="AK597" s="68"/>
      <c r="AL597" s="68"/>
      <c r="AM597" s="68"/>
      <c r="AN597" s="68"/>
      <c r="AO597" s="68"/>
      <c r="AP597" s="68"/>
      <c r="AQ597" s="68"/>
      <c r="AR597" s="68"/>
      <c r="AS597" s="68"/>
      <c r="AT597" s="68"/>
      <c r="AU597" s="68"/>
      <c r="AV597" s="68"/>
      <c r="AW597" s="68"/>
      <c r="AX597" s="68"/>
      <c r="AY597" s="68"/>
      <c r="AZ597" s="68"/>
      <c r="BA597" s="68"/>
      <c r="BB597" s="68"/>
      <c r="BC597" s="68"/>
      <c r="BD597" s="68"/>
      <c r="BE597" s="68"/>
      <c r="BF597" s="68"/>
      <c r="BG597" s="68"/>
      <c r="BH597" s="68"/>
      <c r="BI597" s="68"/>
      <c r="BJ597" s="68"/>
      <c r="BK597" s="68"/>
      <c r="BL597" s="68"/>
      <c r="BM597" s="68"/>
      <c r="BN597" s="68"/>
      <c r="BO597" s="68"/>
      <c r="BP597" s="68"/>
      <c r="BQ597" s="68"/>
      <c r="BR597" s="68"/>
      <c r="BS597" s="68"/>
      <c r="BT597" s="68"/>
      <c r="BU597" s="68"/>
      <c r="BV597" s="68"/>
      <c r="BW597" s="68"/>
      <c r="BX597" s="68"/>
      <c r="BY597" s="68"/>
      <c r="BZ597" s="68"/>
      <c r="CA597" s="68"/>
      <c r="CB597" s="68"/>
      <c r="CC597" s="68"/>
      <c r="CD597" s="68"/>
      <c r="CE597" s="68"/>
      <c r="CF597" s="68"/>
      <c r="CG597" s="68"/>
      <c r="CH597" s="68"/>
      <c r="CI597" s="68"/>
      <c r="CJ597" s="68"/>
      <c r="CK597" s="68"/>
      <c r="CL597" s="68"/>
      <c r="CM597" s="68"/>
      <c r="CN597" s="68"/>
      <c r="CO597" s="68"/>
      <c r="CP597" s="68"/>
      <c r="CQ597" s="68"/>
      <c r="CR597" s="68"/>
      <c r="CS597" s="68"/>
      <c r="CT597" s="68"/>
      <c r="CU597" s="68"/>
      <c r="CV597" s="68"/>
      <c r="CW597" s="68"/>
      <c r="CX597" s="68"/>
    </row>
    <row r="598" spans="1:102" s="71" customFormat="1" hidden="1">
      <c r="A598" s="210"/>
      <c r="B598" s="210"/>
      <c r="C598" s="109"/>
      <c r="D598" s="115"/>
      <c r="E598" s="136"/>
      <c r="F598" s="136"/>
      <c r="G598" s="211"/>
      <c r="H598" s="136"/>
      <c r="I598" s="211"/>
      <c r="J598" s="211"/>
      <c r="K598" s="211"/>
      <c r="L598" s="136"/>
      <c r="M598" s="136"/>
      <c r="N598" s="136"/>
      <c r="O598" s="212"/>
      <c r="P598" s="116"/>
      <c r="Q598" s="103"/>
      <c r="R598" s="103"/>
      <c r="S598" s="103"/>
      <c r="T598" s="103"/>
      <c r="U598" s="68"/>
      <c r="V598" s="69"/>
      <c r="W598" s="68"/>
      <c r="X598" s="68"/>
      <c r="Y598" s="68"/>
      <c r="Z598" s="68"/>
      <c r="AA598" s="68"/>
      <c r="AB598" s="68"/>
      <c r="AC598" s="68"/>
      <c r="AD598" s="68"/>
      <c r="AE598" s="68"/>
      <c r="AF598" s="68"/>
      <c r="AG598" s="68"/>
      <c r="AH598" s="68"/>
      <c r="AI598" s="68"/>
      <c r="AJ598" s="68"/>
      <c r="AK598" s="68"/>
      <c r="AL598" s="68"/>
      <c r="AM598" s="68"/>
      <c r="AN598" s="68"/>
      <c r="AO598" s="68"/>
      <c r="AP598" s="68"/>
      <c r="AQ598" s="68"/>
      <c r="AR598" s="68"/>
      <c r="AS598" s="68"/>
      <c r="AT598" s="68"/>
      <c r="AU598" s="68"/>
      <c r="AV598" s="68"/>
      <c r="AW598" s="68"/>
      <c r="AX598" s="68"/>
      <c r="AY598" s="68"/>
      <c r="AZ598" s="68"/>
      <c r="BA598" s="68"/>
      <c r="BB598" s="68"/>
      <c r="BC598" s="68"/>
      <c r="BD598" s="68"/>
      <c r="BE598" s="68"/>
      <c r="BF598" s="68"/>
      <c r="BG598" s="68"/>
      <c r="BH598" s="68"/>
      <c r="BI598" s="68"/>
      <c r="BJ598" s="68"/>
      <c r="BK598" s="68"/>
      <c r="BL598" s="68"/>
      <c r="BM598" s="68"/>
      <c r="BN598" s="68"/>
      <c r="BO598" s="68"/>
      <c r="BP598" s="68"/>
      <c r="BQ598" s="68"/>
      <c r="BR598" s="68"/>
      <c r="BS598" s="68"/>
      <c r="BT598" s="68"/>
      <c r="BU598" s="68"/>
      <c r="BV598" s="68"/>
      <c r="BW598" s="68"/>
      <c r="BX598" s="68"/>
      <c r="BY598" s="68"/>
      <c r="BZ598" s="68"/>
      <c r="CA598" s="68"/>
      <c r="CB598" s="68"/>
      <c r="CC598" s="68"/>
      <c r="CD598" s="68"/>
      <c r="CE598" s="68"/>
      <c r="CF598" s="68"/>
      <c r="CG598" s="68"/>
      <c r="CH598" s="68"/>
      <c r="CI598" s="68"/>
      <c r="CJ598" s="68"/>
      <c r="CK598" s="68"/>
      <c r="CL598" s="68"/>
      <c r="CM598" s="68"/>
      <c r="CN598" s="68"/>
      <c r="CO598" s="68"/>
      <c r="CP598" s="68"/>
      <c r="CQ598" s="68"/>
      <c r="CR598" s="68"/>
      <c r="CS598" s="68"/>
      <c r="CT598" s="68"/>
      <c r="CU598" s="68"/>
      <c r="CV598" s="68"/>
      <c r="CW598" s="68"/>
      <c r="CX598" s="68"/>
    </row>
    <row r="599" spans="1:102" s="71" customFormat="1" hidden="1">
      <c r="A599" s="210"/>
      <c r="B599" s="210"/>
      <c r="C599" s="109"/>
      <c r="D599" s="115"/>
      <c r="E599" s="136"/>
      <c r="F599" s="136"/>
      <c r="G599" s="211"/>
      <c r="H599" s="136"/>
      <c r="I599" s="211"/>
      <c r="J599" s="211"/>
      <c r="K599" s="211"/>
      <c r="L599" s="136"/>
      <c r="M599" s="136"/>
      <c r="N599" s="136"/>
      <c r="O599" s="212"/>
      <c r="P599" s="116"/>
      <c r="Q599" s="103"/>
      <c r="R599" s="103"/>
      <c r="S599" s="103"/>
      <c r="T599" s="103"/>
      <c r="U599" s="68"/>
      <c r="V599" s="69"/>
      <c r="W599" s="68"/>
      <c r="X599" s="68"/>
      <c r="Y599" s="68"/>
      <c r="Z599" s="68"/>
      <c r="AA599" s="68"/>
      <c r="AB599" s="68"/>
      <c r="AC599" s="68"/>
      <c r="AD599" s="68"/>
      <c r="AE599" s="68"/>
      <c r="AF599" s="68"/>
      <c r="AG599" s="68"/>
      <c r="AH599" s="68"/>
      <c r="AI599" s="68"/>
      <c r="AJ599" s="68"/>
      <c r="AK599" s="68"/>
      <c r="AL599" s="68"/>
      <c r="AM599" s="68"/>
      <c r="AN599" s="68"/>
      <c r="AO599" s="68"/>
      <c r="AP599" s="68"/>
      <c r="AQ599" s="68"/>
      <c r="AR599" s="68"/>
      <c r="AS599" s="68"/>
      <c r="AT599" s="68"/>
      <c r="AU599" s="68"/>
      <c r="AV599" s="68"/>
      <c r="AW599" s="68"/>
      <c r="AX599" s="68"/>
      <c r="AY599" s="68"/>
      <c r="AZ599" s="68"/>
      <c r="BA599" s="68"/>
      <c r="BB599" s="68"/>
      <c r="BC599" s="68"/>
      <c r="BD599" s="68"/>
      <c r="BE599" s="68"/>
      <c r="BF599" s="68"/>
      <c r="BG599" s="68"/>
      <c r="BH599" s="68"/>
      <c r="BI599" s="68"/>
      <c r="BJ599" s="68"/>
      <c r="BK599" s="68"/>
      <c r="BL599" s="68"/>
      <c r="BM599" s="68"/>
      <c r="BN599" s="68"/>
      <c r="BO599" s="68"/>
      <c r="BP599" s="68"/>
      <c r="BQ599" s="68"/>
      <c r="BR599" s="68"/>
      <c r="BS599" s="68"/>
      <c r="BT599" s="68"/>
      <c r="BU599" s="68"/>
      <c r="BV599" s="68"/>
      <c r="BW599" s="68"/>
      <c r="BX599" s="68"/>
      <c r="BY599" s="68"/>
      <c r="BZ599" s="68"/>
      <c r="CA599" s="68"/>
      <c r="CB599" s="68"/>
      <c r="CC599" s="68"/>
      <c r="CD599" s="68"/>
      <c r="CE599" s="68"/>
      <c r="CF599" s="68"/>
      <c r="CG599" s="68"/>
      <c r="CH599" s="68"/>
      <c r="CI599" s="68"/>
      <c r="CJ599" s="68"/>
      <c r="CK599" s="68"/>
      <c r="CL599" s="68"/>
      <c r="CM599" s="68"/>
      <c r="CN599" s="68"/>
      <c r="CO599" s="68"/>
      <c r="CP599" s="68"/>
      <c r="CQ599" s="68"/>
      <c r="CR599" s="68"/>
      <c r="CS599" s="68"/>
      <c r="CT599" s="68"/>
      <c r="CU599" s="68"/>
      <c r="CV599" s="68"/>
      <c r="CW599" s="68"/>
      <c r="CX599" s="68"/>
    </row>
    <row r="600" spans="1:102" s="71" customFormat="1" hidden="1">
      <c r="A600" s="210"/>
      <c r="B600" s="210"/>
      <c r="C600" s="109"/>
      <c r="D600" s="115"/>
      <c r="E600" s="136"/>
      <c r="F600" s="136"/>
      <c r="G600" s="211"/>
      <c r="H600" s="136"/>
      <c r="I600" s="211"/>
      <c r="J600" s="211"/>
      <c r="K600" s="211"/>
      <c r="L600" s="136"/>
      <c r="M600" s="136"/>
      <c r="N600" s="136"/>
      <c r="O600" s="212"/>
      <c r="P600" s="116"/>
      <c r="Q600" s="103"/>
      <c r="R600" s="103"/>
      <c r="S600" s="103"/>
      <c r="T600" s="103"/>
      <c r="U600" s="68"/>
      <c r="V600" s="69"/>
      <c r="W600" s="68"/>
      <c r="X600" s="68"/>
      <c r="Y600" s="68"/>
      <c r="Z600" s="68"/>
      <c r="AA600" s="68"/>
      <c r="AB600" s="68"/>
      <c r="AC600" s="68"/>
      <c r="AD600" s="68"/>
      <c r="AE600" s="68"/>
      <c r="AF600" s="68"/>
      <c r="AG600" s="68"/>
      <c r="AH600" s="68"/>
      <c r="AI600" s="68"/>
      <c r="AJ600" s="68"/>
      <c r="AK600" s="68"/>
      <c r="AL600" s="68"/>
      <c r="AM600" s="68"/>
      <c r="AN600" s="68"/>
      <c r="AO600" s="68"/>
      <c r="AP600" s="68"/>
      <c r="AQ600" s="68"/>
      <c r="AR600" s="68"/>
      <c r="AS600" s="68"/>
      <c r="AT600" s="68"/>
      <c r="AU600" s="68"/>
      <c r="AV600" s="68"/>
      <c r="AW600" s="68"/>
      <c r="AX600" s="68"/>
      <c r="AY600" s="68"/>
      <c r="AZ600" s="68"/>
      <c r="BA600" s="68"/>
      <c r="BB600" s="68"/>
      <c r="BC600" s="68"/>
      <c r="BD600" s="68"/>
      <c r="BE600" s="68"/>
      <c r="BF600" s="68"/>
      <c r="BG600" s="68"/>
      <c r="BH600" s="68"/>
      <c r="BI600" s="68"/>
      <c r="BJ600" s="68"/>
      <c r="BK600" s="68"/>
      <c r="BL600" s="68"/>
      <c r="BM600" s="68"/>
      <c r="BN600" s="68"/>
      <c r="BO600" s="68"/>
      <c r="BP600" s="68"/>
      <c r="BQ600" s="68"/>
      <c r="BR600" s="68"/>
      <c r="BS600" s="68"/>
      <c r="BT600" s="68"/>
      <c r="BU600" s="68"/>
      <c r="BV600" s="68"/>
      <c r="BW600" s="68"/>
      <c r="BX600" s="68"/>
      <c r="BY600" s="68"/>
      <c r="BZ600" s="68"/>
      <c r="CA600" s="68"/>
      <c r="CB600" s="68"/>
      <c r="CC600" s="68"/>
      <c r="CD600" s="68"/>
      <c r="CE600" s="68"/>
      <c r="CF600" s="68"/>
      <c r="CG600" s="68"/>
      <c r="CH600" s="68"/>
      <c r="CI600" s="68"/>
      <c r="CJ600" s="68"/>
      <c r="CK600" s="68"/>
      <c r="CL600" s="68"/>
      <c r="CM600" s="68"/>
      <c r="CN600" s="68"/>
      <c r="CO600" s="68"/>
      <c r="CP600" s="68"/>
      <c r="CQ600" s="68"/>
      <c r="CR600" s="68"/>
      <c r="CS600" s="68"/>
      <c r="CT600" s="68"/>
      <c r="CU600" s="68"/>
      <c r="CV600" s="68"/>
      <c r="CW600" s="68"/>
      <c r="CX600" s="68"/>
    </row>
    <row r="601" spans="1:102" s="71" customFormat="1" hidden="1">
      <c r="A601" s="210"/>
      <c r="B601" s="210"/>
      <c r="C601" s="109"/>
      <c r="D601" s="115"/>
      <c r="E601" s="136"/>
      <c r="F601" s="136"/>
      <c r="G601" s="211"/>
      <c r="H601" s="136"/>
      <c r="I601" s="211"/>
      <c r="J601" s="211"/>
      <c r="K601" s="211"/>
      <c r="L601" s="136"/>
      <c r="M601" s="136"/>
      <c r="N601" s="136"/>
      <c r="O601" s="212"/>
      <c r="P601" s="116"/>
      <c r="Q601" s="103"/>
      <c r="R601" s="103"/>
      <c r="S601" s="103"/>
      <c r="T601" s="103"/>
      <c r="U601" s="68"/>
      <c r="V601" s="69"/>
      <c r="W601" s="68"/>
      <c r="X601" s="68"/>
      <c r="Y601" s="68"/>
      <c r="Z601" s="68"/>
      <c r="AA601" s="68"/>
      <c r="AB601" s="68"/>
      <c r="AC601" s="68"/>
      <c r="AD601" s="68"/>
      <c r="AE601" s="68"/>
      <c r="AF601" s="68"/>
      <c r="AG601" s="68"/>
      <c r="AH601" s="68"/>
      <c r="AI601" s="68"/>
      <c r="AJ601" s="68"/>
      <c r="AK601" s="68"/>
      <c r="AL601" s="68"/>
      <c r="AM601" s="68"/>
      <c r="AN601" s="68"/>
      <c r="AO601" s="68"/>
      <c r="AP601" s="68"/>
      <c r="AQ601" s="68"/>
      <c r="AR601" s="68"/>
      <c r="AS601" s="68"/>
      <c r="AT601" s="68"/>
      <c r="AU601" s="68"/>
      <c r="AV601" s="68"/>
      <c r="AW601" s="68"/>
      <c r="AX601" s="68"/>
      <c r="AY601" s="68"/>
      <c r="AZ601" s="68"/>
      <c r="BA601" s="68"/>
      <c r="BB601" s="68"/>
      <c r="BC601" s="68"/>
      <c r="BD601" s="68"/>
      <c r="BE601" s="68"/>
      <c r="BF601" s="68"/>
      <c r="BG601" s="68"/>
      <c r="BH601" s="68"/>
      <c r="BI601" s="68"/>
      <c r="BJ601" s="68"/>
      <c r="BK601" s="68"/>
      <c r="BL601" s="68"/>
      <c r="BM601" s="68"/>
      <c r="BN601" s="68"/>
      <c r="BO601" s="68"/>
      <c r="BP601" s="68"/>
      <c r="BQ601" s="68"/>
      <c r="BR601" s="68"/>
      <c r="BS601" s="68"/>
      <c r="BT601" s="68"/>
      <c r="BU601" s="68"/>
      <c r="BV601" s="68"/>
      <c r="BW601" s="68"/>
      <c r="BX601" s="68"/>
      <c r="BY601" s="68"/>
      <c r="BZ601" s="68"/>
      <c r="CA601" s="68"/>
      <c r="CB601" s="68"/>
      <c r="CC601" s="68"/>
      <c r="CD601" s="68"/>
      <c r="CE601" s="68"/>
      <c r="CF601" s="68"/>
      <c r="CG601" s="68"/>
      <c r="CH601" s="68"/>
      <c r="CI601" s="68"/>
      <c r="CJ601" s="68"/>
      <c r="CK601" s="68"/>
      <c r="CL601" s="68"/>
      <c r="CM601" s="68"/>
      <c r="CN601" s="68"/>
      <c r="CO601" s="68"/>
      <c r="CP601" s="68"/>
      <c r="CQ601" s="68"/>
      <c r="CR601" s="68"/>
      <c r="CS601" s="68"/>
      <c r="CT601" s="68"/>
      <c r="CU601" s="68"/>
      <c r="CV601" s="68"/>
      <c r="CW601" s="68"/>
      <c r="CX601" s="68"/>
    </row>
    <row r="602" spans="1:102" s="71" customFormat="1" hidden="1">
      <c r="A602" s="210"/>
      <c r="B602" s="210"/>
      <c r="C602" s="109"/>
      <c r="D602" s="115"/>
      <c r="E602" s="136"/>
      <c r="F602" s="136"/>
      <c r="G602" s="211"/>
      <c r="H602" s="136"/>
      <c r="I602" s="211"/>
      <c r="J602" s="211"/>
      <c r="K602" s="211"/>
      <c r="L602" s="136"/>
      <c r="M602" s="136"/>
      <c r="N602" s="136"/>
      <c r="O602" s="212"/>
      <c r="P602" s="116"/>
      <c r="Q602" s="103"/>
      <c r="R602" s="103"/>
      <c r="S602" s="103"/>
      <c r="T602" s="103"/>
      <c r="U602" s="68"/>
      <c r="V602" s="69"/>
      <c r="W602" s="68"/>
      <c r="X602" s="68"/>
      <c r="Y602" s="68"/>
      <c r="Z602" s="68"/>
      <c r="AA602" s="68"/>
      <c r="AB602" s="68"/>
      <c r="AC602" s="68"/>
      <c r="AD602" s="68"/>
      <c r="AE602" s="68"/>
      <c r="AF602" s="68"/>
      <c r="AG602" s="68"/>
      <c r="AH602" s="68"/>
      <c r="AI602" s="68"/>
      <c r="AJ602" s="68"/>
      <c r="AK602" s="68"/>
      <c r="AL602" s="68"/>
      <c r="AM602" s="68"/>
      <c r="AN602" s="68"/>
      <c r="AO602" s="68"/>
      <c r="AP602" s="68"/>
      <c r="AQ602" s="68"/>
      <c r="AR602" s="68"/>
      <c r="AS602" s="68"/>
      <c r="AT602" s="68"/>
      <c r="AU602" s="68"/>
      <c r="AV602" s="68"/>
      <c r="AW602" s="68"/>
      <c r="AX602" s="68"/>
      <c r="AY602" s="68"/>
      <c r="AZ602" s="68"/>
      <c r="BA602" s="68"/>
      <c r="BB602" s="68"/>
      <c r="BC602" s="68"/>
      <c r="BD602" s="68"/>
      <c r="BE602" s="68"/>
      <c r="BF602" s="68"/>
      <c r="BG602" s="68"/>
      <c r="BH602" s="68"/>
      <c r="BI602" s="68"/>
      <c r="BJ602" s="68"/>
      <c r="BK602" s="68"/>
      <c r="BL602" s="68"/>
      <c r="BM602" s="68"/>
      <c r="BN602" s="68"/>
      <c r="BO602" s="68"/>
      <c r="BP602" s="68"/>
      <c r="BQ602" s="68"/>
      <c r="BR602" s="68"/>
      <c r="BS602" s="68"/>
      <c r="BT602" s="68"/>
      <c r="BU602" s="68"/>
      <c r="BV602" s="68"/>
      <c r="BW602" s="68"/>
      <c r="BX602" s="68"/>
      <c r="BY602" s="68"/>
      <c r="BZ602" s="68"/>
      <c r="CA602" s="68"/>
      <c r="CB602" s="68"/>
      <c r="CC602" s="68"/>
      <c r="CD602" s="68"/>
      <c r="CE602" s="68"/>
      <c r="CF602" s="68"/>
      <c r="CG602" s="68"/>
      <c r="CH602" s="68"/>
      <c r="CI602" s="68"/>
      <c r="CJ602" s="68"/>
      <c r="CK602" s="68"/>
      <c r="CL602" s="68"/>
      <c r="CM602" s="68"/>
      <c r="CN602" s="68"/>
      <c r="CO602" s="68"/>
      <c r="CP602" s="68"/>
      <c r="CQ602" s="68"/>
      <c r="CR602" s="68"/>
      <c r="CS602" s="68"/>
      <c r="CT602" s="68"/>
      <c r="CU602" s="68"/>
      <c r="CV602" s="68"/>
      <c r="CW602" s="68"/>
      <c r="CX602" s="68"/>
    </row>
    <row r="603" spans="1:102" s="71" customFormat="1" hidden="1">
      <c r="A603" s="210"/>
      <c r="B603" s="210"/>
      <c r="C603" s="109"/>
      <c r="D603" s="115"/>
      <c r="E603" s="136"/>
      <c r="F603" s="136"/>
      <c r="G603" s="211"/>
      <c r="H603" s="136"/>
      <c r="I603" s="211"/>
      <c r="J603" s="211"/>
      <c r="K603" s="211"/>
      <c r="L603" s="136"/>
      <c r="M603" s="136"/>
      <c r="N603" s="136"/>
      <c r="O603" s="212"/>
      <c r="P603" s="116"/>
      <c r="Q603" s="103"/>
      <c r="R603" s="103"/>
      <c r="S603" s="103"/>
      <c r="T603" s="103"/>
      <c r="U603" s="68"/>
      <c r="V603" s="69"/>
      <c r="W603" s="68"/>
      <c r="X603" s="68"/>
      <c r="Y603" s="68"/>
      <c r="Z603" s="68"/>
      <c r="AA603" s="68"/>
      <c r="AB603" s="68"/>
      <c r="AC603" s="68"/>
      <c r="AD603" s="68"/>
      <c r="AE603" s="68"/>
      <c r="AF603" s="68"/>
      <c r="AG603" s="68"/>
      <c r="AH603" s="68"/>
      <c r="AI603" s="68"/>
      <c r="AJ603" s="68"/>
      <c r="AK603" s="68"/>
      <c r="AL603" s="68"/>
      <c r="AM603" s="68"/>
      <c r="AN603" s="68"/>
      <c r="AO603" s="68"/>
      <c r="AP603" s="68"/>
      <c r="AQ603" s="68"/>
      <c r="AR603" s="68"/>
      <c r="AS603" s="68"/>
      <c r="AT603" s="68"/>
      <c r="AU603" s="68"/>
      <c r="AV603" s="68"/>
      <c r="AW603" s="68"/>
      <c r="AX603" s="68"/>
      <c r="AY603" s="68"/>
      <c r="AZ603" s="68"/>
      <c r="BA603" s="68"/>
      <c r="BB603" s="68"/>
      <c r="BC603" s="68"/>
      <c r="BD603" s="68"/>
      <c r="BE603" s="68"/>
      <c r="BF603" s="68"/>
      <c r="BG603" s="68"/>
      <c r="BH603" s="68"/>
      <c r="BI603" s="68"/>
      <c r="BJ603" s="68"/>
      <c r="BK603" s="68"/>
      <c r="BL603" s="68"/>
      <c r="BM603" s="68"/>
      <c r="BN603" s="68"/>
      <c r="BO603" s="68"/>
      <c r="BP603" s="68"/>
      <c r="BQ603" s="68"/>
      <c r="BR603" s="68"/>
      <c r="BS603" s="68"/>
      <c r="BT603" s="68"/>
      <c r="BU603" s="68"/>
      <c r="BV603" s="68"/>
      <c r="BW603" s="68"/>
      <c r="BX603" s="68"/>
      <c r="BY603" s="68"/>
      <c r="BZ603" s="68"/>
      <c r="CA603" s="68"/>
      <c r="CB603" s="68"/>
      <c r="CC603" s="68"/>
      <c r="CD603" s="68"/>
      <c r="CE603" s="68"/>
      <c r="CF603" s="68"/>
      <c r="CG603" s="68"/>
      <c r="CH603" s="68"/>
      <c r="CI603" s="68"/>
      <c r="CJ603" s="68"/>
      <c r="CK603" s="68"/>
      <c r="CL603" s="68"/>
      <c r="CM603" s="68"/>
      <c r="CN603" s="68"/>
      <c r="CO603" s="68"/>
      <c r="CP603" s="68"/>
      <c r="CQ603" s="68"/>
      <c r="CR603" s="68"/>
      <c r="CS603" s="68"/>
      <c r="CT603" s="68"/>
      <c r="CU603" s="68"/>
      <c r="CV603" s="68"/>
      <c r="CW603" s="68"/>
      <c r="CX603" s="68"/>
    </row>
    <row r="604" spans="1:102" s="71" customFormat="1" hidden="1">
      <c r="A604" s="210"/>
      <c r="B604" s="210"/>
      <c r="C604" s="109"/>
      <c r="D604" s="115"/>
      <c r="E604" s="136"/>
      <c r="F604" s="136"/>
      <c r="G604" s="211"/>
      <c r="H604" s="136"/>
      <c r="I604" s="211"/>
      <c r="J604" s="211"/>
      <c r="K604" s="211"/>
      <c r="L604" s="136"/>
      <c r="M604" s="136"/>
      <c r="N604" s="136"/>
      <c r="O604" s="212"/>
      <c r="P604" s="116"/>
      <c r="Q604" s="103"/>
      <c r="R604" s="103"/>
      <c r="S604" s="103"/>
      <c r="T604" s="103"/>
      <c r="U604" s="68"/>
      <c r="V604" s="69"/>
      <c r="W604" s="68"/>
      <c r="X604" s="68"/>
      <c r="Y604" s="68"/>
      <c r="Z604" s="68"/>
      <c r="AA604" s="68"/>
      <c r="AB604" s="68"/>
      <c r="AC604" s="68"/>
      <c r="AD604" s="68"/>
      <c r="AE604" s="68"/>
      <c r="AF604" s="68"/>
      <c r="AG604" s="68"/>
      <c r="AH604" s="68"/>
      <c r="AI604" s="68"/>
      <c r="AJ604" s="68"/>
      <c r="AK604" s="68"/>
      <c r="AL604" s="68"/>
      <c r="AM604" s="68"/>
      <c r="AN604" s="68"/>
      <c r="AO604" s="68"/>
      <c r="AP604" s="68"/>
      <c r="AQ604" s="68"/>
      <c r="AR604" s="68"/>
      <c r="AS604" s="68"/>
      <c r="AT604" s="68"/>
      <c r="AU604" s="68"/>
      <c r="AV604" s="68"/>
      <c r="AW604" s="68"/>
      <c r="AX604" s="68"/>
      <c r="AY604" s="68"/>
      <c r="AZ604" s="68"/>
      <c r="BA604" s="68"/>
      <c r="BB604" s="68"/>
      <c r="BC604" s="68"/>
      <c r="BD604" s="68"/>
      <c r="BE604" s="68"/>
      <c r="BF604" s="68"/>
      <c r="BG604" s="68"/>
      <c r="BH604" s="68"/>
      <c r="BI604" s="68"/>
      <c r="BJ604" s="68"/>
      <c r="BK604" s="68"/>
      <c r="BL604" s="68"/>
      <c r="BM604" s="68"/>
      <c r="BN604" s="68"/>
      <c r="BO604" s="68"/>
      <c r="BP604" s="68"/>
      <c r="BQ604" s="68"/>
      <c r="BR604" s="68"/>
      <c r="BS604" s="68"/>
      <c r="BT604" s="68"/>
      <c r="BU604" s="68"/>
      <c r="BV604" s="68"/>
      <c r="BW604" s="68"/>
      <c r="BX604" s="68"/>
      <c r="BY604" s="68"/>
      <c r="BZ604" s="68"/>
      <c r="CA604" s="68"/>
      <c r="CB604" s="68"/>
      <c r="CC604" s="68"/>
      <c r="CD604" s="68"/>
      <c r="CE604" s="68"/>
      <c r="CF604" s="68"/>
      <c r="CG604" s="68"/>
      <c r="CH604" s="68"/>
      <c r="CI604" s="68"/>
      <c r="CJ604" s="68"/>
      <c r="CK604" s="68"/>
      <c r="CL604" s="68"/>
      <c r="CM604" s="68"/>
      <c r="CN604" s="68"/>
      <c r="CO604" s="68"/>
      <c r="CP604" s="68"/>
      <c r="CQ604" s="68"/>
      <c r="CR604" s="68"/>
      <c r="CS604" s="68"/>
      <c r="CT604" s="68"/>
      <c r="CU604" s="68"/>
      <c r="CV604" s="68"/>
      <c r="CW604" s="68"/>
      <c r="CX604" s="68"/>
    </row>
    <row r="605" spans="1:102" s="71" customFormat="1" hidden="1">
      <c r="A605" s="210"/>
      <c r="B605" s="210"/>
      <c r="C605" s="109"/>
      <c r="D605" s="115"/>
      <c r="E605" s="136"/>
      <c r="F605" s="136"/>
      <c r="G605" s="211"/>
      <c r="H605" s="136"/>
      <c r="I605" s="211"/>
      <c r="J605" s="211"/>
      <c r="K605" s="211"/>
      <c r="L605" s="136"/>
      <c r="M605" s="136"/>
      <c r="N605" s="136"/>
      <c r="O605" s="212"/>
      <c r="P605" s="116"/>
      <c r="Q605" s="103"/>
      <c r="R605" s="103"/>
      <c r="S605" s="103"/>
      <c r="T605" s="103"/>
      <c r="U605" s="68"/>
      <c r="V605" s="69"/>
      <c r="W605" s="68"/>
      <c r="X605" s="68"/>
      <c r="Y605" s="68"/>
      <c r="Z605" s="68"/>
      <c r="AA605" s="68"/>
      <c r="AB605" s="68"/>
      <c r="AC605" s="68"/>
      <c r="AD605" s="68"/>
      <c r="AE605" s="68"/>
      <c r="AF605" s="68"/>
      <c r="AG605" s="68"/>
      <c r="AH605" s="68"/>
      <c r="AI605" s="68"/>
      <c r="AJ605" s="68"/>
      <c r="AK605" s="68"/>
      <c r="AL605" s="68"/>
      <c r="AM605" s="68"/>
      <c r="AN605" s="68"/>
      <c r="AO605" s="68"/>
      <c r="AP605" s="68"/>
      <c r="AQ605" s="68"/>
      <c r="AR605" s="68"/>
      <c r="AS605" s="68"/>
      <c r="AT605" s="68"/>
      <c r="AU605" s="68"/>
      <c r="AV605" s="68"/>
      <c r="AW605" s="68"/>
      <c r="AX605" s="68"/>
      <c r="AY605" s="68"/>
      <c r="AZ605" s="68"/>
      <c r="BA605" s="68"/>
      <c r="BB605" s="68"/>
      <c r="BC605" s="68"/>
      <c r="BD605" s="68"/>
      <c r="BE605" s="68"/>
      <c r="BF605" s="68"/>
      <c r="BG605" s="68"/>
      <c r="BH605" s="68"/>
      <c r="BI605" s="68"/>
      <c r="BJ605" s="68"/>
      <c r="BK605" s="68"/>
      <c r="BL605" s="68"/>
      <c r="BM605" s="68"/>
      <c r="BN605" s="68"/>
      <c r="BO605" s="68"/>
      <c r="BP605" s="68"/>
      <c r="BQ605" s="68"/>
      <c r="BR605" s="68"/>
      <c r="BS605" s="68"/>
      <c r="BT605" s="68"/>
      <c r="BU605" s="68"/>
      <c r="BV605" s="68"/>
      <c r="BW605" s="68"/>
      <c r="BX605" s="68"/>
      <c r="BY605" s="68"/>
      <c r="BZ605" s="68"/>
      <c r="CA605" s="68"/>
      <c r="CB605" s="68"/>
      <c r="CC605" s="68"/>
      <c r="CD605" s="68"/>
      <c r="CE605" s="68"/>
      <c r="CF605" s="68"/>
      <c r="CG605" s="68"/>
      <c r="CH605" s="68"/>
      <c r="CI605" s="68"/>
      <c r="CJ605" s="68"/>
      <c r="CK605" s="68"/>
      <c r="CL605" s="68"/>
      <c r="CM605" s="68"/>
      <c r="CN605" s="68"/>
      <c r="CO605" s="68"/>
      <c r="CP605" s="68"/>
      <c r="CQ605" s="68"/>
      <c r="CR605" s="68"/>
      <c r="CS605" s="68"/>
      <c r="CT605" s="68"/>
      <c r="CU605" s="68"/>
      <c r="CV605" s="68"/>
      <c r="CW605" s="68"/>
      <c r="CX605" s="68"/>
    </row>
    <row r="606" spans="1:102" s="71" customFormat="1" hidden="1">
      <c r="A606" s="210"/>
      <c r="B606" s="210"/>
      <c r="C606" s="109"/>
      <c r="D606" s="115"/>
      <c r="E606" s="136"/>
      <c r="F606" s="136"/>
      <c r="G606" s="211"/>
      <c r="H606" s="136"/>
      <c r="I606" s="211"/>
      <c r="J606" s="211"/>
      <c r="K606" s="211"/>
      <c r="L606" s="136"/>
      <c r="M606" s="136"/>
      <c r="N606" s="136"/>
      <c r="O606" s="212"/>
      <c r="P606" s="116"/>
      <c r="Q606" s="103"/>
      <c r="R606" s="103"/>
      <c r="S606" s="103"/>
      <c r="T606" s="103"/>
      <c r="U606" s="68"/>
      <c r="V606" s="69"/>
      <c r="W606" s="68"/>
      <c r="X606" s="68"/>
      <c r="Y606" s="68"/>
      <c r="Z606" s="68"/>
      <c r="AA606" s="68"/>
      <c r="AB606" s="68"/>
      <c r="AC606" s="68"/>
      <c r="AD606" s="68"/>
      <c r="AE606" s="68"/>
      <c r="AF606" s="68"/>
      <c r="AG606" s="68"/>
      <c r="AH606" s="68"/>
      <c r="AI606" s="68"/>
      <c r="AJ606" s="68"/>
      <c r="AK606" s="68"/>
      <c r="AL606" s="68"/>
      <c r="AM606" s="68"/>
      <c r="AN606" s="68"/>
      <c r="AO606" s="68"/>
      <c r="AP606" s="68"/>
      <c r="AQ606" s="68"/>
      <c r="AR606" s="68"/>
      <c r="AS606" s="68"/>
      <c r="AT606" s="68"/>
      <c r="AU606" s="68"/>
      <c r="AV606" s="68"/>
      <c r="AW606" s="68"/>
      <c r="AX606" s="68"/>
      <c r="AY606" s="68"/>
      <c r="AZ606" s="68"/>
      <c r="BA606" s="68"/>
      <c r="BB606" s="68"/>
      <c r="BC606" s="68"/>
      <c r="BD606" s="68"/>
      <c r="BE606" s="68"/>
      <c r="BF606" s="68"/>
      <c r="BG606" s="68"/>
      <c r="BH606" s="68"/>
      <c r="BI606" s="68"/>
      <c r="BJ606" s="68"/>
      <c r="BK606" s="68"/>
      <c r="BL606" s="68"/>
      <c r="BM606" s="68"/>
      <c r="BN606" s="68"/>
      <c r="BO606" s="68"/>
      <c r="BP606" s="68"/>
      <c r="BQ606" s="68"/>
      <c r="BR606" s="68"/>
      <c r="BS606" s="68"/>
      <c r="BT606" s="68"/>
      <c r="BU606" s="68"/>
      <c r="BV606" s="68"/>
      <c r="BW606" s="68"/>
      <c r="BX606" s="68"/>
      <c r="BY606" s="68"/>
      <c r="BZ606" s="68"/>
      <c r="CA606" s="68"/>
      <c r="CB606" s="68"/>
      <c r="CC606" s="68"/>
      <c r="CD606" s="68"/>
      <c r="CE606" s="68"/>
      <c r="CF606" s="68"/>
      <c r="CG606" s="68"/>
      <c r="CH606" s="68"/>
      <c r="CI606" s="68"/>
      <c r="CJ606" s="68"/>
      <c r="CK606" s="68"/>
      <c r="CL606" s="68"/>
      <c r="CM606" s="68"/>
      <c r="CN606" s="68"/>
      <c r="CO606" s="68"/>
      <c r="CP606" s="68"/>
      <c r="CQ606" s="68"/>
      <c r="CR606" s="68"/>
      <c r="CS606" s="68"/>
      <c r="CT606" s="68"/>
      <c r="CU606" s="68"/>
      <c r="CV606" s="68"/>
      <c r="CW606" s="68"/>
      <c r="CX606" s="68"/>
    </row>
    <row r="607" spans="1:102" s="71" customFormat="1" hidden="1">
      <c r="A607" s="210"/>
      <c r="B607" s="210"/>
      <c r="C607" s="109"/>
      <c r="D607" s="115"/>
      <c r="E607" s="136"/>
      <c r="F607" s="136"/>
      <c r="G607" s="211"/>
      <c r="H607" s="136"/>
      <c r="I607" s="211"/>
      <c r="J607" s="211"/>
      <c r="K607" s="211"/>
      <c r="L607" s="136"/>
      <c r="M607" s="136"/>
      <c r="N607" s="136"/>
      <c r="O607" s="212"/>
      <c r="P607" s="116"/>
      <c r="Q607" s="103"/>
      <c r="R607" s="103"/>
      <c r="S607" s="103"/>
      <c r="T607" s="103"/>
      <c r="U607" s="68"/>
      <c r="V607" s="69"/>
      <c r="W607" s="68"/>
      <c r="X607" s="68"/>
      <c r="Y607" s="68"/>
      <c r="Z607" s="68"/>
      <c r="AA607" s="68"/>
      <c r="AB607" s="68"/>
      <c r="AC607" s="68"/>
      <c r="AD607" s="68"/>
      <c r="AE607" s="68"/>
      <c r="AF607" s="68"/>
      <c r="AG607" s="68"/>
      <c r="AH607" s="68"/>
      <c r="AI607" s="68"/>
      <c r="AJ607" s="68"/>
      <c r="AK607" s="68"/>
      <c r="AL607" s="68"/>
      <c r="AM607" s="68"/>
      <c r="AN607" s="68"/>
      <c r="AO607" s="68"/>
      <c r="AP607" s="68"/>
      <c r="AQ607" s="68"/>
      <c r="AR607" s="68"/>
      <c r="AS607" s="68"/>
      <c r="AT607" s="68"/>
      <c r="AU607" s="68"/>
      <c r="AV607" s="68"/>
      <c r="AW607" s="68"/>
      <c r="AX607" s="68"/>
      <c r="AY607" s="68"/>
      <c r="AZ607" s="68"/>
      <c r="BA607" s="68"/>
      <c r="BB607" s="68"/>
      <c r="BC607" s="68"/>
      <c r="BD607" s="68"/>
      <c r="BE607" s="68"/>
      <c r="BF607" s="68"/>
      <c r="BG607" s="68"/>
      <c r="BH607" s="68"/>
      <c r="BI607" s="68"/>
      <c r="BJ607" s="68"/>
      <c r="BK607" s="68"/>
      <c r="BL607" s="68"/>
      <c r="BM607" s="68"/>
      <c r="BN607" s="68"/>
      <c r="BO607" s="68"/>
      <c r="BP607" s="68"/>
      <c r="BQ607" s="68"/>
      <c r="BR607" s="68"/>
      <c r="BS607" s="68"/>
      <c r="BT607" s="68"/>
      <c r="BU607" s="68"/>
      <c r="BV607" s="68"/>
      <c r="BW607" s="68"/>
      <c r="BX607" s="68"/>
      <c r="BY607" s="68"/>
      <c r="BZ607" s="68"/>
      <c r="CA607" s="68"/>
      <c r="CB607" s="68"/>
      <c r="CC607" s="68"/>
      <c r="CD607" s="68"/>
      <c r="CE607" s="68"/>
      <c r="CF607" s="68"/>
      <c r="CG607" s="68"/>
      <c r="CH607" s="68"/>
      <c r="CI607" s="68"/>
      <c r="CJ607" s="68"/>
      <c r="CK607" s="68"/>
      <c r="CL607" s="68"/>
      <c r="CM607" s="68"/>
      <c r="CN607" s="68"/>
      <c r="CO607" s="68"/>
      <c r="CP607" s="68"/>
      <c r="CQ607" s="68"/>
      <c r="CR607" s="68"/>
      <c r="CS607" s="68"/>
      <c r="CT607" s="68"/>
      <c r="CU607" s="68"/>
      <c r="CV607" s="68"/>
      <c r="CW607" s="68"/>
      <c r="CX607" s="68"/>
    </row>
    <row r="608" spans="1:102" s="71" customFormat="1" hidden="1">
      <c r="A608" s="210"/>
      <c r="B608" s="210"/>
      <c r="C608" s="109"/>
      <c r="D608" s="115"/>
      <c r="E608" s="136"/>
      <c r="F608" s="136"/>
      <c r="G608" s="211"/>
      <c r="H608" s="136"/>
      <c r="I608" s="211"/>
      <c r="J608" s="211"/>
      <c r="K608" s="211"/>
      <c r="L608" s="136"/>
      <c r="M608" s="136"/>
      <c r="N608" s="136"/>
      <c r="O608" s="212"/>
      <c r="P608" s="116"/>
      <c r="Q608" s="103"/>
      <c r="R608" s="103"/>
      <c r="S608" s="103"/>
      <c r="T608" s="103"/>
      <c r="U608" s="68"/>
      <c r="V608" s="69"/>
      <c r="W608" s="68"/>
      <c r="X608" s="68"/>
      <c r="Y608" s="68"/>
      <c r="Z608" s="68"/>
      <c r="AA608" s="68"/>
      <c r="AB608" s="68"/>
      <c r="AC608" s="68"/>
      <c r="AD608" s="68"/>
      <c r="AE608" s="68"/>
      <c r="AF608" s="68"/>
      <c r="AG608" s="68"/>
      <c r="AH608" s="68"/>
      <c r="AI608" s="68"/>
      <c r="AJ608" s="68"/>
      <c r="AK608" s="68"/>
      <c r="AL608" s="68"/>
      <c r="AM608" s="68"/>
      <c r="AN608" s="68"/>
      <c r="AO608" s="68"/>
      <c r="AP608" s="68"/>
      <c r="AQ608" s="68"/>
      <c r="AR608" s="68"/>
      <c r="AS608" s="68"/>
      <c r="AT608" s="68"/>
      <c r="AU608" s="68"/>
      <c r="AV608" s="68"/>
      <c r="AW608" s="68"/>
      <c r="AX608" s="68"/>
      <c r="AY608" s="68"/>
      <c r="AZ608" s="68"/>
      <c r="BA608" s="68"/>
      <c r="BB608" s="68"/>
      <c r="BC608" s="68"/>
      <c r="BD608" s="68"/>
      <c r="BE608" s="68"/>
      <c r="BF608" s="68"/>
      <c r="BG608" s="68"/>
      <c r="BH608" s="68"/>
      <c r="BI608" s="68"/>
      <c r="BJ608" s="68"/>
      <c r="BK608" s="68"/>
      <c r="BL608" s="68"/>
      <c r="BM608" s="68"/>
      <c r="BN608" s="68"/>
      <c r="BO608" s="68"/>
      <c r="BP608" s="68"/>
      <c r="BQ608" s="68"/>
      <c r="BR608" s="68"/>
      <c r="BS608" s="68"/>
      <c r="BT608" s="68"/>
      <c r="BU608" s="68"/>
      <c r="BV608" s="68"/>
      <c r="BW608" s="68"/>
      <c r="BX608" s="68"/>
      <c r="BY608" s="68"/>
      <c r="BZ608" s="68"/>
      <c r="CA608" s="68"/>
      <c r="CB608" s="68"/>
      <c r="CC608" s="68"/>
      <c r="CD608" s="68"/>
      <c r="CE608" s="68"/>
      <c r="CF608" s="68"/>
      <c r="CG608" s="68"/>
      <c r="CH608" s="68"/>
      <c r="CI608" s="68"/>
      <c r="CJ608" s="68"/>
      <c r="CK608" s="68"/>
      <c r="CL608" s="68"/>
      <c r="CM608" s="68"/>
      <c r="CN608" s="68"/>
      <c r="CO608" s="68"/>
      <c r="CP608" s="68"/>
      <c r="CQ608" s="68"/>
      <c r="CR608" s="68"/>
      <c r="CS608" s="68"/>
      <c r="CT608" s="68"/>
      <c r="CU608" s="68"/>
      <c r="CV608" s="68"/>
      <c r="CW608" s="68"/>
      <c r="CX608" s="68"/>
    </row>
    <row r="609" spans="1:102" s="71" customFormat="1" hidden="1">
      <c r="A609" s="210"/>
      <c r="B609" s="210"/>
      <c r="C609" s="109"/>
      <c r="D609" s="115"/>
      <c r="E609" s="136"/>
      <c r="F609" s="136"/>
      <c r="G609" s="211"/>
      <c r="H609" s="136"/>
      <c r="I609" s="211"/>
      <c r="J609" s="211"/>
      <c r="K609" s="211"/>
      <c r="L609" s="136"/>
      <c r="M609" s="136"/>
      <c r="N609" s="136"/>
      <c r="O609" s="212"/>
      <c r="P609" s="116"/>
      <c r="Q609" s="103"/>
      <c r="R609" s="103"/>
      <c r="S609" s="103"/>
      <c r="T609" s="103"/>
      <c r="U609" s="68"/>
      <c r="V609" s="69"/>
      <c r="W609" s="68"/>
      <c r="X609" s="68"/>
      <c r="Y609" s="68"/>
      <c r="Z609" s="68"/>
      <c r="AA609" s="68"/>
      <c r="AB609" s="68"/>
      <c r="AC609" s="68"/>
      <c r="AD609" s="68"/>
      <c r="AE609" s="68"/>
      <c r="AF609" s="68"/>
      <c r="AG609" s="68"/>
      <c r="AH609" s="68"/>
      <c r="AI609" s="68"/>
      <c r="AJ609" s="68"/>
      <c r="AK609" s="68"/>
      <c r="AL609" s="68"/>
      <c r="AM609" s="68"/>
      <c r="AN609" s="68"/>
      <c r="AO609" s="68"/>
      <c r="AP609" s="68"/>
      <c r="AQ609" s="68"/>
      <c r="AR609" s="68"/>
      <c r="AS609" s="68"/>
      <c r="AT609" s="68"/>
      <c r="AU609" s="68"/>
      <c r="AV609" s="68"/>
      <c r="AW609" s="68"/>
      <c r="AX609" s="68"/>
      <c r="AY609" s="68"/>
      <c r="AZ609" s="68"/>
      <c r="BA609" s="68"/>
      <c r="BB609" s="68"/>
      <c r="BC609" s="68"/>
      <c r="BD609" s="68"/>
      <c r="BE609" s="68"/>
      <c r="BF609" s="68"/>
      <c r="BG609" s="68"/>
      <c r="BH609" s="68"/>
      <c r="BI609" s="68"/>
      <c r="BJ609" s="68"/>
      <c r="BK609" s="68"/>
      <c r="BL609" s="68"/>
      <c r="BM609" s="68"/>
      <c r="BN609" s="68"/>
      <c r="BO609" s="68"/>
      <c r="BP609" s="68"/>
      <c r="BQ609" s="68"/>
      <c r="BR609" s="68"/>
      <c r="BS609" s="68"/>
      <c r="BT609" s="68"/>
      <c r="BU609" s="68"/>
      <c r="BV609" s="68"/>
      <c r="BW609" s="68"/>
      <c r="BX609" s="68"/>
      <c r="BY609" s="68"/>
      <c r="BZ609" s="68"/>
      <c r="CA609" s="68"/>
      <c r="CB609" s="68"/>
      <c r="CC609" s="68"/>
      <c r="CD609" s="68"/>
      <c r="CE609" s="68"/>
      <c r="CF609" s="68"/>
      <c r="CG609" s="68"/>
      <c r="CH609" s="68"/>
      <c r="CI609" s="68"/>
      <c r="CJ609" s="68"/>
      <c r="CK609" s="68"/>
      <c r="CL609" s="68"/>
      <c r="CM609" s="68"/>
      <c r="CN609" s="68"/>
      <c r="CO609" s="68"/>
      <c r="CP609" s="68"/>
      <c r="CQ609" s="68"/>
      <c r="CR609" s="68"/>
      <c r="CS609" s="68"/>
      <c r="CT609" s="68"/>
      <c r="CU609" s="68"/>
      <c r="CV609" s="68"/>
      <c r="CW609" s="68"/>
      <c r="CX609" s="68"/>
    </row>
    <row r="610" spans="1:102" s="71" customFormat="1" hidden="1">
      <c r="A610" s="109"/>
      <c r="B610" s="109"/>
      <c r="C610" s="109"/>
      <c r="D610" s="115"/>
      <c r="E610" s="136"/>
      <c r="F610" s="136"/>
      <c r="G610" s="211"/>
      <c r="H610" s="136"/>
      <c r="I610" s="211"/>
      <c r="J610" s="211"/>
      <c r="K610" s="211"/>
      <c r="L610" s="136"/>
      <c r="M610" s="136"/>
      <c r="N610" s="136"/>
      <c r="O610" s="212"/>
      <c r="P610" s="116"/>
      <c r="Q610" s="103"/>
      <c r="R610" s="103"/>
      <c r="S610" s="103"/>
      <c r="T610" s="103"/>
      <c r="U610" s="68"/>
      <c r="V610" s="69"/>
      <c r="W610" s="68"/>
      <c r="X610" s="68"/>
      <c r="Y610" s="68"/>
      <c r="Z610" s="68"/>
      <c r="AA610" s="68"/>
      <c r="AB610" s="68"/>
      <c r="AC610" s="68"/>
      <c r="AD610" s="68"/>
      <c r="AE610" s="68"/>
      <c r="AF610" s="68"/>
      <c r="AG610" s="68"/>
      <c r="AH610" s="68"/>
      <c r="AI610" s="68"/>
      <c r="AJ610" s="68"/>
      <c r="AK610" s="68"/>
      <c r="AL610" s="68"/>
      <c r="AM610" s="68"/>
      <c r="AN610" s="68"/>
      <c r="AO610" s="68"/>
      <c r="AP610" s="68"/>
      <c r="AQ610" s="68"/>
      <c r="AR610" s="68"/>
      <c r="AS610" s="68"/>
      <c r="AT610" s="68"/>
      <c r="AU610" s="68"/>
      <c r="AV610" s="68"/>
      <c r="AW610" s="68"/>
      <c r="AX610" s="68"/>
      <c r="AY610" s="68"/>
      <c r="AZ610" s="68"/>
      <c r="BA610" s="68"/>
      <c r="BB610" s="68"/>
      <c r="BC610" s="68"/>
      <c r="BD610" s="68"/>
      <c r="BE610" s="68"/>
      <c r="BF610" s="68"/>
      <c r="BG610" s="68"/>
      <c r="BH610" s="68"/>
      <c r="BI610" s="68"/>
      <c r="BJ610" s="68"/>
      <c r="BK610" s="68"/>
      <c r="BL610" s="68"/>
      <c r="BM610" s="68"/>
      <c r="BN610" s="68"/>
      <c r="BO610" s="68"/>
      <c r="BP610" s="68"/>
      <c r="BQ610" s="68"/>
      <c r="BR610" s="68"/>
      <c r="BS610" s="68"/>
      <c r="BT610" s="68"/>
      <c r="BU610" s="68"/>
      <c r="BV610" s="68"/>
      <c r="BW610" s="68"/>
      <c r="BX610" s="68"/>
      <c r="BY610" s="68"/>
      <c r="BZ610" s="68"/>
      <c r="CA610" s="68"/>
      <c r="CB610" s="68"/>
      <c r="CC610" s="68"/>
      <c r="CD610" s="68"/>
      <c r="CE610" s="68"/>
      <c r="CF610" s="68"/>
      <c r="CG610" s="68"/>
      <c r="CH610" s="68"/>
      <c r="CI610" s="68"/>
      <c r="CJ610" s="68"/>
      <c r="CK610" s="68"/>
      <c r="CL610" s="68"/>
      <c r="CM610" s="68"/>
      <c r="CN610" s="68"/>
      <c r="CO610" s="68"/>
      <c r="CP610" s="68"/>
      <c r="CQ610" s="68"/>
      <c r="CR610" s="68"/>
      <c r="CS610" s="68"/>
      <c r="CT610" s="68"/>
      <c r="CU610" s="68"/>
      <c r="CV610" s="68"/>
      <c r="CW610" s="68"/>
      <c r="CX610" s="68"/>
    </row>
    <row r="611" spans="1:102" s="71" customFormat="1" hidden="1">
      <c r="A611" s="109"/>
      <c r="B611" s="109"/>
      <c r="C611" s="109"/>
      <c r="D611" s="115"/>
      <c r="E611" s="136"/>
      <c r="F611" s="136"/>
      <c r="G611" s="211"/>
      <c r="H611" s="136"/>
      <c r="I611" s="211"/>
      <c r="J611" s="211"/>
      <c r="K611" s="211"/>
      <c r="L611" s="136"/>
      <c r="M611" s="136"/>
      <c r="N611" s="136"/>
      <c r="O611" s="212"/>
      <c r="P611" s="116"/>
      <c r="Q611" s="103"/>
      <c r="R611" s="103"/>
      <c r="S611" s="103"/>
      <c r="T611" s="103"/>
      <c r="U611" s="68"/>
      <c r="V611" s="69"/>
      <c r="W611" s="68"/>
      <c r="X611" s="68"/>
      <c r="Y611" s="68"/>
      <c r="Z611" s="68"/>
      <c r="AA611" s="68"/>
      <c r="AB611" s="68"/>
      <c r="AC611" s="68"/>
      <c r="AD611" s="68"/>
      <c r="AE611" s="68"/>
      <c r="AF611" s="68"/>
      <c r="AG611" s="68"/>
      <c r="AH611" s="68"/>
      <c r="AI611" s="68"/>
      <c r="AJ611" s="68"/>
      <c r="AK611" s="68"/>
      <c r="AL611" s="68"/>
      <c r="AM611" s="68"/>
      <c r="AN611" s="68"/>
      <c r="AO611" s="68"/>
      <c r="AP611" s="68"/>
      <c r="AQ611" s="68"/>
      <c r="AR611" s="68"/>
      <c r="AS611" s="68"/>
      <c r="AT611" s="68"/>
      <c r="AU611" s="68"/>
      <c r="AV611" s="68"/>
      <c r="AW611" s="68"/>
      <c r="AX611" s="68"/>
      <c r="AY611" s="68"/>
      <c r="AZ611" s="68"/>
      <c r="BA611" s="68"/>
      <c r="BB611" s="68"/>
      <c r="BC611" s="68"/>
      <c r="BD611" s="68"/>
      <c r="BE611" s="68"/>
      <c r="BF611" s="68"/>
      <c r="BG611" s="68"/>
      <c r="BH611" s="68"/>
      <c r="BI611" s="68"/>
      <c r="BJ611" s="68"/>
      <c r="BK611" s="68"/>
      <c r="BL611" s="68"/>
      <c r="BM611" s="68"/>
      <c r="BN611" s="68"/>
      <c r="BO611" s="68"/>
      <c r="BP611" s="68"/>
      <c r="BQ611" s="68"/>
      <c r="BR611" s="68"/>
      <c r="BS611" s="68"/>
      <c r="BT611" s="68"/>
      <c r="BU611" s="68"/>
      <c r="BV611" s="68"/>
      <c r="BW611" s="68"/>
      <c r="BX611" s="68"/>
      <c r="BY611" s="68"/>
      <c r="BZ611" s="68"/>
      <c r="CA611" s="68"/>
      <c r="CB611" s="68"/>
      <c r="CC611" s="68"/>
      <c r="CD611" s="68"/>
      <c r="CE611" s="68"/>
      <c r="CF611" s="68"/>
      <c r="CG611" s="68"/>
      <c r="CH611" s="68"/>
      <c r="CI611" s="68"/>
      <c r="CJ611" s="68"/>
      <c r="CK611" s="68"/>
      <c r="CL611" s="68"/>
      <c r="CM611" s="68"/>
      <c r="CN611" s="68"/>
      <c r="CO611" s="68"/>
      <c r="CP611" s="68"/>
      <c r="CQ611" s="68"/>
      <c r="CR611" s="68"/>
      <c r="CS611" s="68"/>
      <c r="CT611" s="68"/>
      <c r="CU611" s="68"/>
      <c r="CV611" s="68"/>
      <c r="CW611" s="68"/>
      <c r="CX611" s="68"/>
    </row>
    <row r="612" spans="1:102" s="71" customFormat="1" hidden="1">
      <c r="A612" s="109"/>
      <c r="B612" s="109"/>
      <c r="C612" s="109"/>
      <c r="D612" s="115"/>
      <c r="E612" s="136"/>
      <c r="F612" s="136"/>
      <c r="G612" s="211"/>
      <c r="H612" s="136"/>
      <c r="I612" s="211"/>
      <c r="J612" s="211"/>
      <c r="K612" s="211"/>
      <c r="L612" s="136"/>
      <c r="M612" s="136"/>
      <c r="N612" s="136"/>
      <c r="O612" s="212"/>
      <c r="P612" s="116"/>
      <c r="Q612" s="103"/>
      <c r="R612" s="103"/>
      <c r="S612" s="103"/>
      <c r="T612" s="103"/>
      <c r="U612" s="68"/>
      <c r="V612" s="69"/>
      <c r="W612" s="68"/>
      <c r="X612" s="68"/>
      <c r="Y612" s="68"/>
      <c r="Z612" s="68"/>
      <c r="AA612" s="68"/>
      <c r="AB612" s="68"/>
      <c r="AC612" s="68"/>
      <c r="AD612" s="68"/>
      <c r="AE612" s="68"/>
      <c r="AF612" s="68"/>
      <c r="AG612" s="68"/>
      <c r="AH612" s="68"/>
      <c r="AI612" s="68"/>
      <c r="AJ612" s="68"/>
      <c r="AK612" s="68"/>
      <c r="AL612" s="68"/>
      <c r="AM612" s="68"/>
      <c r="AN612" s="68"/>
      <c r="AO612" s="68"/>
      <c r="AP612" s="68"/>
      <c r="AQ612" s="68"/>
      <c r="AR612" s="68"/>
      <c r="AS612" s="68"/>
      <c r="AT612" s="68"/>
      <c r="AU612" s="68"/>
      <c r="AV612" s="68"/>
      <c r="AW612" s="68"/>
      <c r="AX612" s="68"/>
      <c r="AY612" s="68"/>
      <c r="AZ612" s="68"/>
      <c r="BA612" s="68"/>
      <c r="BB612" s="68"/>
      <c r="BC612" s="68"/>
      <c r="BD612" s="68"/>
      <c r="BE612" s="68"/>
      <c r="BF612" s="68"/>
      <c r="BG612" s="68"/>
      <c r="BH612" s="68"/>
      <c r="BI612" s="68"/>
      <c r="BJ612" s="68"/>
      <c r="BK612" s="68"/>
      <c r="BL612" s="68"/>
      <c r="BM612" s="68"/>
      <c r="BN612" s="68"/>
      <c r="BO612" s="68"/>
      <c r="BP612" s="68"/>
      <c r="BQ612" s="68"/>
      <c r="BR612" s="68"/>
      <c r="BS612" s="68"/>
      <c r="BT612" s="68"/>
      <c r="BU612" s="68"/>
      <c r="BV612" s="68"/>
      <c r="BW612" s="68"/>
      <c r="BX612" s="68"/>
      <c r="BY612" s="68"/>
      <c r="BZ612" s="68"/>
      <c r="CA612" s="68"/>
      <c r="CB612" s="68"/>
      <c r="CC612" s="68"/>
      <c r="CD612" s="68"/>
      <c r="CE612" s="68"/>
      <c r="CF612" s="68"/>
      <c r="CG612" s="68"/>
      <c r="CH612" s="68"/>
      <c r="CI612" s="68"/>
      <c r="CJ612" s="68"/>
      <c r="CK612" s="68"/>
      <c r="CL612" s="68"/>
      <c r="CM612" s="68"/>
      <c r="CN612" s="68"/>
      <c r="CO612" s="68"/>
      <c r="CP612" s="68"/>
      <c r="CQ612" s="68"/>
      <c r="CR612" s="68"/>
      <c r="CS612" s="68"/>
      <c r="CT612" s="68"/>
      <c r="CU612" s="68"/>
      <c r="CV612" s="68"/>
      <c r="CW612" s="68"/>
      <c r="CX612" s="68"/>
    </row>
    <row r="613" spans="1:102" s="71" customFormat="1" hidden="1">
      <c r="A613" s="109"/>
      <c r="B613" s="109"/>
      <c r="C613" s="109"/>
      <c r="D613" s="115"/>
      <c r="E613" s="136"/>
      <c r="F613" s="136"/>
      <c r="G613" s="211"/>
      <c r="H613" s="136"/>
      <c r="I613" s="211"/>
      <c r="J613" s="211"/>
      <c r="K613" s="211"/>
      <c r="L613" s="136"/>
      <c r="M613" s="136"/>
      <c r="N613" s="136"/>
      <c r="O613" s="212"/>
      <c r="P613" s="116"/>
      <c r="Q613" s="103"/>
      <c r="R613" s="103"/>
      <c r="S613" s="103"/>
      <c r="T613" s="103"/>
      <c r="U613" s="68"/>
      <c r="V613" s="69"/>
      <c r="W613" s="68"/>
      <c r="X613" s="68"/>
      <c r="Y613" s="68"/>
      <c r="Z613" s="68"/>
      <c r="AA613" s="68"/>
      <c r="AB613" s="68"/>
      <c r="AC613" s="68"/>
      <c r="AD613" s="68"/>
      <c r="AE613" s="68"/>
      <c r="AF613" s="68"/>
      <c r="AG613" s="68"/>
      <c r="AH613" s="68"/>
      <c r="AI613" s="68"/>
      <c r="AJ613" s="68"/>
      <c r="AK613" s="68"/>
      <c r="AL613" s="68"/>
      <c r="AM613" s="68"/>
      <c r="AN613" s="68"/>
      <c r="AO613" s="68"/>
      <c r="AP613" s="68"/>
      <c r="AQ613" s="68"/>
      <c r="AR613" s="68"/>
      <c r="AS613" s="68"/>
      <c r="AT613" s="68"/>
      <c r="AU613" s="68"/>
      <c r="AV613" s="68"/>
      <c r="AW613" s="68"/>
      <c r="AX613" s="68"/>
      <c r="AY613" s="68"/>
      <c r="AZ613" s="68"/>
      <c r="BA613" s="68"/>
      <c r="BB613" s="68"/>
      <c r="BC613" s="68"/>
      <c r="BD613" s="68"/>
      <c r="BE613" s="68"/>
      <c r="BF613" s="68"/>
      <c r="BG613" s="68"/>
      <c r="BH613" s="68"/>
      <c r="BI613" s="68"/>
      <c r="BJ613" s="68"/>
      <c r="BK613" s="68"/>
      <c r="BL613" s="68"/>
      <c r="BM613" s="68"/>
      <c r="BN613" s="68"/>
      <c r="BO613" s="68"/>
      <c r="BP613" s="68"/>
      <c r="BQ613" s="68"/>
      <c r="BR613" s="68"/>
      <c r="BS613" s="68"/>
      <c r="BT613" s="68"/>
      <c r="BU613" s="68"/>
      <c r="BV613" s="68"/>
      <c r="BW613" s="68"/>
      <c r="BX613" s="68"/>
      <c r="BY613" s="68"/>
      <c r="BZ613" s="68"/>
      <c r="CA613" s="68"/>
      <c r="CB613" s="68"/>
      <c r="CC613" s="68"/>
      <c r="CD613" s="68"/>
      <c r="CE613" s="68"/>
      <c r="CF613" s="68"/>
      <c r="CG613" s="68"/>
      <c r="CH613" s="68"/>
      <c r="CI613" s="68"/>
      <c r="CJ613" s="68"/>
      <c r="CK613" s="68"/>
      <c r="CL613" s="68"/>
      <c r="CM613" s="68"/>
      <c r="CN613" s="68"/>
      <c r="CO613" s="68"/>
      <c r="CP613" s="68"/>
      <c r="CQ613" s="68"/>
      <c r="CR613" s="68"/>
      <c r="CS613" s="68"/>
      <c r="CT613" s="68"/>
      <c r="CU613" s="68"/>
      <c r="CV613" s="68"/>
      <c r="CW613" s="68"/>
      <c r="CX613" s="68"/>
    </row>
    <row r="614" spans="1:102" s="71" customFormat="1" hidden="1">
      <c r="A614" s="109"/>
      <c r="B614" s="109"/>
      <c r="C614" s="109"/>
      <c r="D614" s="115"/>
      <c r="E614" s="136"/>
      <c r="F614" s="136"/>
      <c r="G614" s="211"/>
      <c r="H614" s="136"/>
      <c r="I614" s="211"/>
      <c r="J614" s="211"/>
      <c r="K614" s="211"/>
      <c r="L614" s="136"/>
      <c r="M614" s="136"/>
      <c r="N614" s="136"/>
      <c r="O614" s="212"/>
      <c r="P614" s="116"/>
      <c r="Q614" s="103"/>
      <c r="R614" s="103"/>
      <c r="S614" s="103"/>
      <c r="T614" s="103"/>
      <c r="U614" s="68"/>
      <c r="V614" s="69"/>
      <c r="W614" s="68"/>
      <c r="X614" s="68"/>
      <c r="Y614" s="68"/>
      <c r="Z614" s="68"/>
      <c r="AA614" s="68"/>
      <c r="AB614" s="68"/>
      <c r="AC614" s="68"/>
      <c r="AD614" s="68"/>
      <c r="AE614" s="68"/>
      <c r="AF614" s="68"/>
      <c r="AG614" s="68"/>
      <c r="AH614" s="68"/>
      <c r="AI614" s="68"/>
      <c r="AJ614" s="68"/>
      <c r="AK614" s="68"/>
      <c r="AL614" s="68"/>
      <c r="AM614" s="68"/>
      <c r="AN614" s="68"/>
      <c r="AO614" s="68"/>
      <c r="AP614" s="68"/>
      <c r="AQ614" s="68"/>
      <c r="AR614" s="68"/>
      <c r="AS614" s="68"/>
      <c r="AT614" s="68"/>
      <c r="AU614" s="68"/>
      <c r="AV614" s="68"/>
      <c r="AW614" s="68"/>
      <c r="AX614" s="68"/>
      <c r="AY614" s="68"/>
      <c r="AZ614" s="68"/>
      <c r="BA614" s="68"/>
      <c r="BB614" s="68"/>
      <c r="BC614" s="68"/>
      <c r="BD614" s="68"/>
      <c r="BE614" s="68"/>
      <c r="BF614" s="68"/>
      <c r="BG614" s="68"/>
      <c r="BH614" s="68"/>
      <c r="BI614" s="68"/>
      <c r="BJ614" s="68"/>
      <c r="BK614" s="68"/>
      <c r="BL614" s="68"/>
      <c r="BM614" s="68"/>
      <c r="BN614" s="68"/>
      <c r="BO614" s="68"/>
      <c r="BP614" s="68"/>
      <c r="BQ614" s="68"/>
      <c r="BR614" s="68"/>
      <c r="BS614" s="68"/>
      <c r="BT614" s="68"/>
      <c r="BU614" s="68"/>
      <c r="BV614" s="68"/>
      <c r="BW614" s="68"/>
      <c r="BX614" s="68"/>
      <c r="BY614" s="68"/>
      <c r="BZ614" s="68"/>
      <c r="CA614" s="68"/>
      <c r="CB614" s="68"/>
      <c r="CC614" s="68"/>
      <c r="CD614" s="68"/>
      <c r="CE614" s="68"/>
      <c r="CF614" s="68"/>
      <c r="CG614" s="68"/>
      <c r="CH614" s="68"/>
      <c r="CI614" s="68"/>
      <c r="CJ614" s="68"/>
      <c r="CK614" s="68"/>
      <c r="CL614" s="68"/>
      <c r="CM614" s="68"/>
      <c r="CN614" s="68"/>
      <c r="CO614" s="68"/>
      <c r="CP614" s="68"/>
      <c r="CQ614" s="68"/>
      <c r="CR614" s="68"/>
      <c r="CS614" s="68"/>
      <c r="CT614" s="68"/>
      <c r="CU614" s="68"/>
      <c r="CV614" s="68"/>
      <c r="CW614" s="68"/>
      <c r="CX614" s="68"/>
    </row>
    <row r="615" spans="1:102" s="71" customFormat="1" hidden="1">
      <c r="A615" s="109"/>
      <c r="B615" s="109"/>
      <c r="C615" s="109"/>
      <c r="D615" s="115"/>
      <c r="E615" s="136"/>
      <c r="F615" s="136"/>
      <c r="G615" s="211"/>
      <c r="H615" s="136"/>
      <c r="I615" s="211"/>
      <c r="J615" s="211"/>
      <c r="K615" s="211"/>
      <c r="L615" s="136"/>
      <c r="M615" s="136"/>
      <c r="N615" s="136"/>
      <c r="O615" s="212"/>
      <c r="P615" s="116"/>
      <c r="Q615" s="103"/>
      <c r="R615" s="103"/>
      <c r="S615" s="103"/>
      <c r="T615" s="103"/>
      <c r="U615" s="68"/>
      <c r="V615" s="69"/>
      <c r="W615" s="68"/>
      <c r="X615" s="68"/>
      <c r="Y615" s="68"/>
      <c r="Z615" s="68"/>
      <c r="AA615" s="68"/>
      <c r="AB615" s="68"/>
      <c r="AC615" s="68"/>
      <c r="AD615" s="68"/>
      <c r="AE615" s="68"/>
      <c r="AF615" s="68"/>
      <c r="AG615" s="68"/>
      <c r="AH615" s="68"/>
      <c r="AI615" s="68"/>
      <c r="AJ615" s="68"/>
      <c r="AK615" s="68"/>
      <c r="AL615" s="68"/>
      <c r="AM615" s="68"/>
      <c r="AN615" s="68"/>
      <c r="AO615" s="68"/>
      <c r="AP615" s="68"/>
      <c r="AQ615" s="68"/>
      <c r="AR615" s="68"/>
      <c r="AS615" s="68"/>
      <c r="AT615" s="68"/>
      <c r="AU615" s="68"/>
      <c r="AV615" s="68"/>
      <c r="AW615" s="68"/>
      <c r="AX615" s="68"/>
      <c r="AY615" s="68"/>
      <c r="AZ615" s="68"/>
      <c r="BA615" s="68"/>
      <c r="BB615" s="68"/>
      <c r="BC615" s="68"/>
      <c r="BD615" s="68"/>
      <c r="BE615" s="68"/>
      <c r="BF615" s="68"/>
      <c r="BG615" s="68"/>
      <c r="BH615" s="68"/>
      <c r="BI615" s="68"/>
      <c r="BJ615" s="68"/>
      <c r="BK615" s="68"/>
      <c r="BL615" s="68"/>
      <c r="BM615" s="68"/>
      <c r="BN615" s="68"/>
      <c r="BO615" s="68"/>
      <c r="BP615" s="68"/>
      <c r="BQ615" s="68"/>
      <c r="BR615" s="68"/>
      <c r="BS615" s="68"/>
      <c r="BT615" s="68"/>
      <c r="BU615" s="68"/>
      <c r="BV615" s="68"/>
      <c r="BW615" s="68"/>
      <c r="BX615" s="68"/>
      <c r="BY615" s="68"/>
      <c r="BZ615" s="68"/>
      <c r="CA615" s="68"/>
      <c r="CB615" s="68"/>
      <c r="CC615" s="68"/>
      <c r="CD615" s="68"/>
      <c r="CE615" s="68"/>
      <c r="CF615" s="68"/>
      <c r="CG615" s="68"/>
      <c r="CH615" s="68"/>
      <c r="CI615" s="68"/>
      <c r="CJ615" s="68"/>
      <c r="CK615" s="68"/>
      <c r="CL615" s="68"/>
      <c r="CM615" s="68"/>
      <c r="CN615" s="68"/>
      <c r="CO615" s="68"/>
      <c r="CP615" s="68"/>
      <c r="CQ615" s="68"/>
      <c r="CR615" s="68"/>
      <c r="CS615" s="68"/>
      <c r="CT615" s="68"/>
      <c r="CU615" s="68"/>
      <c r="CV615" s="68"/>
      <c r="CW615" s="68"/>
      <c r="CX615" s="68"/>
    </row>
    <row r="616" spans="1:102" s="71" customFormat="1" hidden="1">
      <c r="A616" s="109"/>
      <c r="B616" s="109"/>
      <c r="C616" s="109"/>
      <c r="D616" s="115"/>
      <c r="E616" s="136"/>
      <c r="F616" s="136"/>
      <c r="G616" s="211"/>
      <c r="H616" s="136"/>
      <c r="I616" s="211"/>
      <c r="J616" s="211"/>
      <c r="K616" s="211"/>
      <c r="L616" s="136"/>
      <c r="M616" s="212"/>
      <c r="N616" s="136"/>
      <c r="O616" s="212"/>
      <c r="P616" s="116"/>
      <c r="Q616" s="103"/>
      <c r="R616" s="103"/>
      <c r="S616" s="103"/>
      <c r="T616" s="103"/>
      <c r="U616" s="68"/>
      <c r="V616" s="69"/>
      <c r="W616" s="68"/>
      <c r="X616" s="68"/>
      <c r="Y616" s="68"/>
      <c r="Z616" s="68"/>
      <c r="AA616" s="68"/>
      <c r="AB616" s="68"/>
      <c r="AC616" s="68"/>
      <c r="AD616" s="68"/>
      <c r="AE616" s="68"/>
      <c r="AF616" s="68"/>
      <c r="AG616" s="68"/>
      <c r="AH616" s="68"/>
      <c r="AI616" s="68"/>
      <c r="AJ616" s="68"/>
      <c r="AK616" s="68"/>
      <c r="AL616" s="68"/>
      <c r="AM616" s="68"/>
      <c r="AN616" s="68"/>
      <c r="AO616" s="68"/>
      <c r="AP616" s="68"/>
      <c r="AQ616" s="68"/>
      <c r="AR616" s="68"/>
      <c r="AS616" s="68"/>
      <c r="AT616" s="68"/>
      <c r="AU616" s="68"/>
      <c r="AV616" s="68"/>
      <c r="AW616" s="68"/>
      <c r="AX616" s="68"/>
      <c r="AY616" s="68"/>
      <c r="AZ616" s="68"/>
      <c r="BA616" s="68"/>
      <c r="BB616" s="68"/>
      <c r="BC616" s="68"/>
      <c r="BD616" s="68"/>
      <c r="BE616" s="68"/>
      <c r="BF616" s="68"/>
      <c r="BG616" s="68"/>
      <c r="BH616" s="68"/>
      <c r="BI616" s="68"/>
      <c r="BJ616" s="68"/>
      <c r="BK616" s="68"/>
      <c r="BL616" s="68"/>
      <c r="BM616" s="68"/>
      <c r="BN616" s="68"/>
      <c r="BO616" s="68"/>
      <c r="BP616" s="68"/>
      <c r="BQ616" s="68"/>
      <c r="BR616" s="68"/>
      <c r="BS616" s="68"/>
      <c r="BT616" s="68"/>
      <c r="BU616" s="68"/>
      <c r="BV616" s="68"/>
      <c r="BW616" s="68"/>
      <c r="BX616" s="68"/>
      <c r="BY616" s="68"/>
      <c r="BZ616" s="68"/>
      <c r="CA616" s="68"/>
      <c r="CB616" s="68"/>
      <c r="CC616" s="68"/>
      <c r="CD616" s="68"/>
      <c r="CE616" s="68"/>
      <c r="CF616" s="68"/>
      <c r="CG616" s="68"/>
      <c r="CH616" s="68"/>
      <c r="CI616" s="68"/>
      <c r="CJ616" s="68"/>
      <c r="CK616" s="68"/>
      <c r="CL616" s="68"/>
      <c r="CM616" s="68"/>
      <c r="CN616" s="68"/>
      <c r="CO616" s="68"/>
      <c r="CP616" s="68"/>
      <c r="CQ616" s="68"/>
      <c r="CR616" s="68"/>
      <c r="CS616" s="68"/>
      <c r="CT616" s="68"/>
      <c r="CU616" s="68"/>
      <c r="CV616" s="68"/>
      <c r="CW616" s="68"/>
      <c r="CX616" s="68"/>
    </row>
    <row r="617" spans="1:102" s="71" customFormat="1" hidden="1">
      <c r="A617" s="109"/>
      <c r="B617" s="109"/>
      <c r="C617" s="109"/>
      <c r="D617" s="115"/>
      <c r="E617" s="136"/>
      <c r="F617" s="136"/>
      <c r="G617" s="211"/>
      <c r="H617" s="136"/>
      <c r="I617" s="211"/>
      <c r="J617" s="211"/>
      <c r="K617" s="211"/>
      <c r="L617" s="136"/>
      <c r="M617" s="212"/>
      <c r="N617" s="136"/>
      <c r="O617" s="212"/>
      <c r="P617" s="116"/>
      <c r="Q617" s="103"/>
      <c r="R617" s="103"/>
      <c r="S617" s="103"/>
      <c r="T617" s="103"/>
      <c r="U617" s="68"/>
      <c r="V617" s="69"/>
      <c r="W617" s="68"/>
      <c r="X617" s="68"/>
      <c r="Y617" s="68"/>
      <c r="Z617" s="68"/>
      <c r="AA617" s="68"/>
      <c r="AB617" s="68"/>
      <c r="AC617" s="68"/>
      <c r="AD617" s="68"/>
      <c r="AE617" s="68"/>
      <c r="AF617" s="68"/>
      <c r="AG617" s="68"/>
      <c r="AH617" s="68"/>
      <c r="AI617" s="68"/>
      <c r="AJ617" s="68"/>
      <c r="AK617" s="68"/>
      <c r="AL617" s="68"/>
      <c r="AM617" s="68"/>
      <c r="AN617" s="68"/>
      <c r="AO617" s="68"/>
      <c r="AP617" s="68"/>
      <c r="AQ617" s="68"/>
      <c r="AR617" s="68"/>
      <c r="AS617" s="68"/>
      <c r="AT617" s="68"/>
      <c r="AU617" s="68"/>
      <c r="AV617" s="68"/>
      <c r="AW617" s="68"/>
      <c r="AX617" s="68"/>
      <c r="AY617" s="68"/>
      <c r="AZ617" s="68"/>
      <c r="BA617" s="68"/>
      <c r="BB617" s="68"/>
      <c r="BC617" s="68"/>
      <c r="BD617" s="68"/>
      <c r="BE617" s="68"/>
      <c r="BF617" s="68"/>
      <c r="BG617" s="68"/>
      <c r="BH617" s="68"/>
      <c r="BI617" s="68"/>
      <c r="BJ617" s="68"/>
      <c r="BK617" s="68"/>
      <c r="BL617" s="68"/>
      <c r="BM617" s="68"/>
      <c r="BN617" s="68"/>
      <c r="BO617" s="68"/>
      <c r="BP617" s="68"/>
      <c r="BQ617" s="68"/>
      <c r="BR617" s="68"/>
      <c r="BS617" s="68"/>
      <c r="BT617" s="68"/>
      <c r="BU617" s="68"/>
      <c r="BV617" s="68"/>
      <c r="BW617" s="68"/>
      <c r="BX617" s="68"/>
      <c r="BY617" s="68"/>
      <c r="BZ617" s="68"/>
      <c r="CA617" s="68"/>
      <c r="CB617" s="68"/>
      <c r="CC617" s="68"/>
      <c r="CD617" s="68"/>
      <c r="CE617" s="68"/>
      <c r="CF617" s="68"/>
      <c r="CG617" s="68"/>
      <c r="CH617" s="68"/>
      <c r="CI617" s="68"/>
      <c r="CJ617" s="68"/>
      <c r="CK617" s="68"/>
      <c r="CL617" s="68"/>
      <c r="CM617" s="68"/>
      <c r="CN617" s="68"/>
      <c r="CO617" s="68"/>
      <c r="CP617" s="68"/>
      <c r="CQ617" s="68"/>
      <c r="CR617" s="68"/>
      <c r="CS617" s="68"/>
      <c r="CT617" s="68"/>
      <c r="CU617" s="68"/>
      <c r="CV617" s="68"/>
      <c r="CW617" s="68"/>
      <c r="CX617" s="68"/>
    </row>
    <row r="618" spans="1:102" s="71" customFormat="1" hidden="1">
      <c r="A618" s="109"/>
      <c r="B618" s="109"/>
      <c r="C618" s="109"/>
      <c r="D618" s="115"/>
      <c r="E618" s="136"/>
      <c r="F618" s="136"/>
      <c r="G618" s="211"/>
      <c r="H618" s="136"/>
      <c r="I618" s="211"/>
      <c r="J618" s="211"/>
      <c r="K618" s="211"/>
      <c r="L618" s="136"/>
      <c r="M618" s="212"/>
      <c r="N618" s="136"/>
      <c r="O618" s="212"/>
      <c r="P618" s="116"/>
      <c r="Q618" s="103"/>
      <c r="R618" s="103"/>
      <c r="S618" s="103"/>
      <c r="T618" s="103"/>
      <c r="U618" s="68"/>
      <c r="V618" s="69"/>
      <c r="W618" s="68"/>
      <c r="X618" s="68"/>
      <c r="Y618" s="68"/>
      <c r="Z618" s="68"/>
      <c r="AA618" s="68"/>
      <c r="AB618" s="68"/>
      <c r="AC618" s="68"/>
      <c r="AD618" s="68"/>
      <c r="AE618" s="68"/>
      <c r="AF618" s="68"/>
      <c r="AG618" s="68"/>
      <c r="AH618" s="68"/>
      <c r="AI618" s="68"/>
      <c r="AJ618" s="68"/>
      <c r="AK618" s="68"/>
      <c r="AL618" s="68"/>
      <c r="AM618" s="68"/>
      <c r="AN618" s="68"/>
      <c r="AO618" s="68"/>
      <c r="AP618" s="68"/>
      <c r="AQ618" s="68"/>
      <c r="AR618" s="68"/>
      <c r="AS618" s="68"/>
      <c r="AT618" s="68"/>
      <c r="AU618" s="68"/>
      <c r="AV618" s="68"/>
      <c r="AW618" s="68"/>
      <c r="AX618" s="68"/>
      <c r="AY618" s="68"/>
      <c r="AZ618" s="68"/>
      <c r="BA618" s="68"/>
      <c r="BB618" s="68"/>
      <c r="BC618" s="68"/>
      <c r="BD618" s="68"/>
      <c r="BE618" s="68"/>
      <c r="BF618" s="68"/>
      <c r="BG618" s="68"/>
      <c r="BH618" s="68"/>
      <c r="BI618" s="68"/>
      <c r="BJ618" s="68"/>
      <c r="BK618" s="68"/>
      <c r="BL618" s="68"/>
      <c r="BM618" s="68"/>
      <c r="BN618" s="68"/>
      <c r="BO618" s="68"/>
      <c r="BP618" s="68"/>
      <c r="BQ618" s="68"/>
      <c r="BR618" s="68"/>
      <c r="BS618" s="68"/>
      <c r="BT618" s="68"/>
      <c r="BU618" s="68"/>
      <c r="BV618" s="68"/>
      <c r="BW618" s="68"/>
      <c r="BX618" s="68"/>
      <c r="BY618" s="68"/>
      <c r="BZ618" s="68"/>
      <c r="CA618" s="68"/>
      <c r="CB618" s="68"/>
      <c r="CC618" s="68"/>
      <c r="CD618" s="68"/>
      <c r="CE618" s="68"/>
      <c r="CF618" s="68"/>
      <c r="CG618" s="68"/>
      <c r="CH618" s="68"/>
      <c r="CI618" s="68"/>
      <c r="CJ618" s="68"/>
      <c r="CK618" s="68"/>
      <c r="CL618" s="68"/>
      <c r="CM618" s="68"/>
      <c r="CN618" s="68"/>
      <c r="CO618" s="68"/>
      <c r="CP618" s="68"/>
      <c r="CQ618" s="68"/>
      <c r="CR618" s="68"/>
      <c r="CS618" s="68"/>
      <c r="CT618" s="68"/>
      <c r="CU618" s="68"/>
      <c r="CV618" s="68"/>
      <c r="CW618" s="68"/>
      <c r="CX618" s="68"/>
    </row>
    <row r="619" spans="1:102" s="71" customFormat="1" hidden="1">
      <c r="A619" s="109"/>
      <c r="B619" s="109"/>
      <c r="C619" s="109"/>
      <c r="D619" s="115"/>
      <c r="E619" s="136"/>
      <c r="F619" s="136"/>
      <c r="G619" s="211"/>
      <c r="H619" s="136"/>
      <c r="I619" s="211"/>
      <c r="J619" s="211"/>
      <c r="K619" s="211"/>
      <c r="L619" s="136"/>
      <c r="M619" s="212"/>
      <c r="N619" s="136"/>
      <c r="O619" s="212"/>
      <c r="P619" s="116"/>
      <c r="Q619" s="103"/>
      <c r="R619" s="103"/>
      <c r="S619" s="103"/>
      <c r="T619" s="103"/>
      <c r="U619" s="68"/>
      <c r="V619" s="69"/>
      <c r="W619" s="68"/>
      <c r="X619" s="68"/>
      <c r="Y619" s="68"/>
      <c r="Z619" s="68"/>
      <c r="AA619" s="68"/>
      <c r="AB619" s="68"/>
      <c r="AC619" s="68"/>
      <c r="AD619" s="68"/>
      <c r="AE619" s="68"/>
      <c r="AF619" s="68"/>
      <c r="AG619" s="68"/>
      <c r="AH619" s="68"/>
      <c r="AI619" s="68"/>
      <c r="AJ619" s="68"/>
      <c r="AK619" s="68"/>
      <c r="AL619" s="68"/>
      <c r="AM619" s="68"/>
      <c r="AN619" s="68"/>
      <c r="AO619" s="68"/>
      <c r="AP619" s="68"/>
      <c r="AQ619" s="68"/>
      <c r="AR619" s="68"/>
      <c r="AS619" s="68"/>
      <c r="AT619" s="68"/>
      <c r="AU619" s="68"/>
      <c r="AV619" s="68"/>
      <c r="AW619" s="68"/>
      <c r="AX619" s="68"/>
      <c r="AY619" s="68"/>
      <c r="AZ619" s="68"/>
      <c r="BA619" s="68"/>
      <c r="BB619" s="68"/>
      <c r="BC619" s="68"/>
      <c r="BD619" s="68"/>
      <c r="BE619" s="68"/>
      <c r="BF619" s="68"/>
      <c r="BG619" s="68"/>
      <c r="BH619" s="68"/>
      <c r="BI619" s="68"/>
      <c r="BJ619" s="68"/>
      <c r="BK619" s="68"/>
      <c r="BL619" s="68"/>
      <c r="BM619" s="68"/>
      <c r="BN619" s="68"/>
      <c r="BO619" s="68"/>
      <c r="BP619" s="68"/>
      <c r="BQ619" s="68"/>
      <c r="BR619" s="68"/>
      <c r="BS619" s="68"/>
      <c r="BT619" s="68"/>
      <c r="BU619" s="68"/>
      <c r="BV619" s="68"/>
      <c r="BW619" s="68"/>
      <c r="BX619" s="68"/>
      <c r="BY619" s="68"/>
      <c r="BZ619" s="68"/>
      <c r="CA619" s="68"/>
      <c r="CB619" s="68"/>
      <c r="CC619" s="68"/>
      <c r="CD619" s="68"/>
      <c r="CE619" s="68"/>
      <c r="CF619" s="68"/>
      <c r="CG619" s="68"/>
      <c r="CH619" s="68"/>
      <c r="CI619" s="68"/>
      <c r="CJ619" s="68"/>
      <c r="CK619" s="68"/>
      <c r="CL619" s="68"/>
      <c r="CM619" s="68"/>
      <c r="CN619" s="68"/>
      <c r="CO619" s="68"/>
      <c r="CP619" s="68"/>
      <c r="CQ619" s="68"/>
      <c r="CR619" s="68"/>
      <c r="CS619" s="68"/>
      <c r="CT619" s="68"/>
      <c r="CU619" s="68"/>
      <c r="CV619" s="68"/>
      <c r="CW619" s="68"/>
      <c r="CX619" s="68"/>
    </row>
    <row r="620" spans="1:102" s="71" customFormat="1" hidden="1">
      <c r="A620" s="109"/>
      <c r="B620" s="109"/>
      <c r="C620" s="109"/>
      <c r="D620" s="115"/>
      <c r="E620" s="136"/>
      <c r="F620" s="136"/>
      <c r="G620" s="211"/>
      <c r="H620" s="136"/>
      <c r="I620" s="211"/>
      <c r="J620" s="211"/>
      <c r="K620" s="211"/>
      <c r="L620" s="136"/>
      <c r="M620" s="212"/>
      <c r="N620" s="136"/>
      <c r="O620" s="212"/>
      <c r="P620" s="116"/>
      <c r="Q620" s="103"/>
      <c r="R620" s="103"/>
      <c r="S620" s="103"/>
      <c r="T620" s="103"/>
      <c r="U620" s="68"/>
      <c r="V620" s="69"/>
      <c r="W620" s="68"/>
      <c r="X620" s="68"/>
      <c r="Y620" s="68"/>
      <c r="Z620" s="68"/>
      <c r="AA620" s="68"/>
      <c r="AB620" s="68"/>
      <c r="AC620" s="68"/>
      <c r="AD620" s="68"/>
      <c r="AE620" s="68"/>
      <c r="AF620" s="68"/>
      <c r="AG620" s="68"/>
      <c r="AH620" s="68"/>
      <c r="AI620" s="68"/>
      <c r="AJ620" s="68"/>
      <c r="AK620" s="68"/>
      <c r="AL620" s="68"/>
      <c r="AM620" s="68"/>
      <c r="AN620" s="68"/>
      <c r="AO620" s="68"/>
      <c r="AP620" s="68"/>
      <c r="AQ620" s="68"/>
      <c r="AR620" s="68"/>
      <c r="AS620" s="68"/>
      <c r="AT620" s="68"/>
      <c r="AU620" s="68"/>
      <c r="AV620" s="68"/>
      <c r="AW620" s="68"/>
      <c r="AX620" s="68"/>
      <c r="AY620" s="68"/>
      <c r="AZ620" s="68"/>
      <c r="BA620" s="68"/>
      <c r="BB620" s="68"/>
      <c r="BC620" s="68"/>
      <c r="BD620" s="68"/>
      <c r="BE620" s="68"/>
      <c r="BF620" s="68"/>
      <c r="BG620" s="68"/>
      <c r="BH620" s="68"/>
      <c r="BI620" s="68"/>
      <c r="BJ620" s="68"/>
      <c r="BK620" s="68"/>
      <c r="BL620" s="68"/>
      <c r="BM620" s="68"/>
      <c r="BN620" s="68"/>
      <c r="BO620" s="68"/>
      <c r="BP620" s="68"/>
      <c r="BQ620" s="68"/>
      <c r="BR620" s="68"/>
      <c r="BS620" s="68"/>
      <c r="BT620" s="68"/>
      <c r="BU620" s="68"/>
      <c r="BV620" s="68"/>
      <c r="BW620" s="68"/>
      <c r="BX620" s="68"/>
      <c r="BY620" s="68"/>
      <c r="BZ620" s="68"/>
      <c r="CA620" s="68"/>
      <c r="CB620" s="68"/>
      <c r="CC620" s="68"/>
      <c r="CD620" s="68"/>
      <c r="CE620" s="68"/>
      <c r="CF620" s="68"/>
      <c r="CG620" s="68"/>
      <c r="CH620" s="68"/>
      <c r="CI620" s="68"/>
      <c r="CJ620" s="68"/>
      <c r="CK620" s="68"/>
      <c r="CL620" s="68"/>
      <c r="CM620" s="68"/>
      <c r="CN620" s="68"/>
      <c r="CO620" s="68"/>
      <c r="CP620" s="68"/>
      <c r="CQ620" s="68"/>
      <c r="CR620" s="68"/>
      <c r="CS620" s="68"/>
      <c r="CT620" s="68"/>
      <c r="CU620" s="68"/>
      <c r="CV620" s="68"/>
      <c r="CW620" s="68"/>
      <c r="CX620" s="68"/>
    </row>
    <row r="621" spans="1:102" s="71" customFormat="1" hidden="1">
      <c r="A621" s="109"/>
      <c r="B621" s="109"/>
      <c r="C621" s="109"/>
      <c r="D621" s="115"/>
      <c r="E621" s="136"/>
      <c r="F621" s="136"/>
      <c r="G621" s="211"/>
      <c r="H621" s="136"/>
      <c r="I621" s="211"/>
      <c r="J621" s="211"/>
      <c r="K621" s="211"/>
      <c r="L621" s="136"/>
      <c r="M621" s="212"/>
      <c r="N621" s="136"/>
      <c r="O621" s="212"/>
      <c r="P621" s="116"/>
      <c r="Q621" s="103"/>
      <c r="R621" s="103"/>
      <c r="S621" s="103"/>
      <c r="T621" s="103"/>
      <c r="U621" s="68"/>
      <c r="V621" s="69"/>
      <c r="W621" s="68"/>
      <c r="X621" s="68"/>
      <c r="Y621" s="68"/>
      <c r="Z621" s="68"/>
      <c r="AA621" s="68"/>
      <c r="AB621" s="68"/>
      <c r="AC621" s="68"/>
      <c r="AD621" s="68"/>
      <c r="AE621" s="68"/>
      <c r="AF621" s="68"/>
      <c r="AG621" s="68"/>
      <c r="AH621" s="68"/>
      <c r="AI621" s="68"/>
      <c r="AJ621" s="68"/>
      <c r="AK621" s="68"/>
      <c r="AL621" s="68"/>
      <c r="AM621" s="68"/>
      <c r="AN621" s="68"/>
      <c r="AO621" s="68"/>
      <c r="AP621" s="68"/>
      <c r="AQ621" s="68"/>
      <c r="AR621" s="68"/>
      <c r="AS621" s="68"/>
      <c r="AT621" s="68"/>
      <c r="AU621" s="68"/>
      <c r="AV621" s="68"/>
      <c r="AW621" s="68"/>
      <c r="AX621" s="68"/>
      <c r="AY621" s="68"/>
      <c r="AZ621" s="68"/>
      <c r="BA621" s="68"/>
      <c r="BB621" s="68"/>
      <c r="BC621" s="68"/>
      <c r="BD621" s="68"/>
      <c r="BE621" s="68"/>
      <c r="BF621" s="68"/>
      <c r="BG621" s="68"/>
      <c r="BH621" s="68"/>
      <c r="BI621" s="68"/>
      <c r="BJ621" s="68"/>
      <c r="BK621" s="68"/>
      <c r="BL621" s="68"/>
      <c r="BM621" s="68"/>
      <c r="BN621" s="68"/>
      <c r="BO621" s="68"/>
      <c r="BP621" s="68"/>
      <c r="BQ621" s="68"/>
      <c r="BR621" s="68"/>
      <c r="BS621" s="68"/>
      <c r="BT621" s="68"/>
      <c r="BU621" s="68"/>
      <c r="BV621" s="68"/>
      <c r="BW621" s="68"/>
      <c r="BX621" s="68"/>
      <c r="BY621" s="68"/>
      <c r="BZ621" s="68"/>
      <c r="CA621" s="68"/>
      <c r="CB621" s="68"/>
      <c r="CC621" s="68"/>
      <c r="CD621" s="68"/>
      <c r="CE621" s="68"/>
      <c r="CF621" s="68"/>
      <c r="CG621" s="68"/>
      <c r="CH621" s="68"/>
      <c r="CI621" s="68"/>
      <c r="CJ621" s="68"/>
      <c r="CK621" s="68"/>
      <c r="CL621" s="68"/>
      <c r="CM621" s="68"/>
      <c r="CN621" s="68"/>
      <c r="CO621" s="68"/>
      <c r="CP621" s="68"/>
      <c r="CQ621" s="68"/>
      <c r="CR621" s="68"/>
      <c r="CS621" s="68"/>
      <c r="CT621" s="68"/>
      <c r="CU621" s="68"/>
      <c r="CV621" s="68"/>
      <c r="CW621" s="68"/>
      <c r="CX621" s="68"/>
    </row>
    <row r="622" spans="1:102" s="71" customFormat="1" hidden="1">
      <c r="A622" s="109"/>
      <c r="B622" s="109"/>
      <c r="C622" s="109"/>
      <c r="D622" s="115"/>
      <c r="E622" s="136"/>
      <c r="F622" s="136"/>
      <c r="G622" s="211"/>
      <c r="H622" s="136"/>
      <c r="I622" s="211"/>
      <c r="J622" s="211"/>
      <c r="K622" s="211"/>
      <c r="L622" s="136"/>
      <c r="M622" s="212"/>
      <c r="N622" s="136"/>
      <c r="O622" s="212"/>
      <c r="P622" s="116"/>
      <c r="Q622" s="103"/>
      <c r="R622" s="103"/>
      <c r="S622" s="103"/>
      <c r="T622" s="103"/>
      <c r="U622" s="68"/>
      <c r="V622" s="69"/>
      <c r="W622" s="68"/>
      <c r="X622" s="68"/>
      <c r="Y622" s="68"/>
      <c r="Z622" s="68"/>
      <c r="AA622" s="68"/>
      <c r="AB622" s="68"/>
      <c r="AC622" s="68"/>
      <c r="AD622" s="68"/>
      <c r="AE622" s="68"/>
      <c r="AF622" s="68"/>
      <c r="AG622" s="68"/>
      <c r="AH622" s="68"/>
      <c r="AI622" s="68"/>
      <c r="AJ622" s="68"/>
      <c r="AK622" s="68"/>
      <c r="AL622" s="68"/>
      <c r="AM622" s="68"/>
      <c r="AN622" s="68"/>
      <c r="AO622" s="68"/>
      <c r="AP622" s="68"/>
      <c r="AQ622" s="68"/>
      <c r="AR622" s="68"/>
      <c r="AS622" s="68"/>
      <c r="AT622" s="68"/>
      <c r="AU622" s="68"/>
      <c r="AV622" s="68"/>
      <c r="AW622" s="68"/>
      <c r="AX622" s="68"/>
      <c r="AY622" s="68"/>
      <c r="AZ622" s="68"/>
      <c r="BA622" s="68"/>
      <c r="BB622" s="68"/>
      <c r="BC622" s="68"/>
      <c r="BD622" s="68"/>
      <c r="BE622" s="68"/>
      <c r="BF622" s="68"/>
      <c r="BG622" s="68"/>
      <c r="BH622" s="68"/>
      <c r="BI622" s="68"/>
      <c r="BJ622" s="68"/>
      <c r="BK622" s="68"/>
      <c r="BL622" s="68"/>
      <c r="BM622" s="68"/>
      <c r="BN622" s="68"/>
      <c r="BO622" s="68"/>
      <c r="BP622" s="68"/>
      <c r="BQ622" s="68"/>
      <c r="BR622" s="68"/>
      <c r="BS622" s="68"/>
      <c r="BT622" s="68"/>
      <c r="BU622" s="68"/>
      <c r="BV622" s="68"/>
      <c r="BW622" s="68"/>
      <c r="BX622" s="68"/>
      <c r="BY622" s="68"/>
      <c r="BZ622" s="68"/>
      <c r="CA622" s="68"/>
      <c r="CB622" s="68"/>
      <c r="CC622" s="68"/>
      <c r="CD622" s="68"/>
      <c r="CE622" s="68"/>
      <c r="CF622" s="68"/>
      <c r="CG622" s="68"/>
      <c r="CH622" s="68"/>
      <c r="CI622" s="68"/>
      <c r="CJ622" s="68"/>
      <c r="CK622" s="68"/>
      <c r="CL622" s="68"/>
      <c r="CM622" s="68"/>
      <c r="CN622" s="68"/>
      <c r="CO622" s="68"/>
      <c r="CP622" s="68"/>
      <c r="CQ622" s="68"/>
      <c r="CR622" s="68"/>
      <c r="CS622" s="68"/>
      <c r="CT622" s="68"/>
      <c r="CU622" s="68"/>
      <c r="CV622" s="68"/>
      <c r="CW622" s="68"/>
      <c r="CX622" s="68"/>
    </row>
    <row r="623" spans="1:102" s="71" customFormat="1" hidden="1">
      <c r="A623" s="109"/>
      <c r="B623" s="109"/>
      <c r="C623" s="109"/>
      <c r="D623" s="115"/>
      <c r="E623" s="136"/>
      <c r="F623" s="136"/>
      <c r="G623" s="211"/>
      <c r="H623" s="136"/>
      <c r="I623" s="211"/>
      <c r="J623" s="211"/>
      <c r="K623" s="211"/>
      <c r="L623" s="136"/>
      <c r="M623" s="212"/>
      <c r="N623" s="136"/>
      <c r="O623" s="212"/>
      <c r="P623" s="116"/>
      <c r="Q623" s="103"/>
      <c r="R623" s="103"/>
      <c r="S623" s="103"/>
      <c r="T623" s="103"/>
      <c r="U623" s="68"/>
      <c r="V623" s="69"/>
      <c r="W623" s="68"/>
      <c r="X623" s="68"/>
      <c r="Y623" s="68"/>
      <c r="Z623" s="68"/>
      <c r="AA623" s="68"/>
      <c r="AB623" s="68"/>
      <c r="AC623" s="68"/>
      <c r="AD623" s="68"/>
      <c r="AE623" s="68"/>
      <c r="AF623" s="68"/>
      <c r="AG623" s="68"/>
      <c r="AH623" s="68"/>
      <c r="AI623" s="68"/>
      <c r="AJ623" s="68"/>
      <c r="AK623" s="68"/>
      <c r="AL623" s="68"/>
      <c r="AM623" s="68"/>
      <c r="AN623" s="68"/>
      <c r="AO623" s="68"/>
      <c r="AP623" s="68"/>
      <c r="AQ623" s="68"/>
      <c r="AR623" s="68"/>
      <c r="AS623" s="68"/>
      <c r="AT623" s="68"/>
      <c r="AU623" s="68"/>
      <c r="AV623" s="68"/>
      <c r="AW623" s="68"/>
      <c r="AX623" s="68"/>
      <c r="AY623" s="68"/>
      <c r="AZ623" s="68"/>
      <c r="BA623" s="68"/>
      <c r="BB623" s="68"/>
      <c r="BC623" s="68"/>
      <c r="BD623" s="68"/>
      <c r="BE623" s="68"/>
      <c r="BF623" s="68"/>
      <c r="BG623" s="68"/>
      <c r="BH623" s="68"/>
      <c r="BI623" s="68"/>
      <c r="BJ623" s="68"/>
      <c r="BK623" s="68"/>
      <c r="BL623" s="68"/>
      <c r="BM623" s="68"/>
      <c r="BN623" s="68"/>
      <c r="BO623" s="68"/>
      <c r="BP623" s="68"/>
      <c r="BQ623" s="68"/>
      <c r="BR623" s="68"/>
      <c r="BS623" s="68"/>
      <c r="BT623" s="68"/>
      <c r="BU623" s="68"/>
      <c r="BV623" s="68"/>
      <c r="BW623" s="68"/>
      <c r="BX623" s="68"/>
      <c r="BY623" s="68"/>
      <c r="BZ623" s="68"/>
      <c r="CA623" s="68"/>
      <c r="CB623" s="68"/>
      <c r="CC623" s="68"/>
      <c r="CD623" s="68"/>
      <c r="CE623" s="68"/>
      <c r="CF623" s="68"/>
      <c r="CG623" s="68"/>
      <c r="CH623" s="68"/>
      <c r="CI623" s="68"/>
      <c r="CJ623" s="68"/>
      <c r="CK623" s="68"/>
      <c r="CL623" s="68"/>
      <c r="CM623" s="68"/>
      <c r="CN623" s="68"/>
      <c r="CO623" s="68"/>
      <c r="CP623" s="68"/>
      <c r="CQ623" s="68"/>
      <c r="CR623" s="68"/>
      <c r="CS623" s="68"/>
      <c r="CT623" s="68"/>
      <c r="CU623" s="68"/>
      <c r="CV623" s="68"/>
      <c r="CW623" s="68"/>
      <c r="CX623" s="68"/>
    </row>
    <row r="624" spans="1:102" s="71" customFormat="1" hidden="1">
      <c r="A624" s="109"/>
      <c r="B624" s="109"/>
      <c r="C624" s="109"/>
      <c r="D624" s="115"/>
      <c r="E624" s="136"/>
      <c r="F624" s="136"/>
      <c r="G624" s="211"/>
      <c r="H624" s="136"/>
      <c r="I624" s="211"/>
      <c r="J624" s="211"/>
      <c r="K624" s="211"/>
      <c r="L624" s="136"/>
      <c r="M624" s="212"/>
      <c r="N624" s="136"/>
      <c r="O624" s="212"/>
      <c r="P624" s="116"/>
      <c r="Q624" s="103"/>
      <c r="R624" s="103"/>
      <c r="S624" s="103"/>
      <c r="T624" s="103"/>
      <c r="U624" s="68"/>
      <c r="V624" s="69"/>
      <c r="W624" s="68"/>
      <c r="X624" s="68"/>
      <c r="Y624" s="68"/>
      <c r="Z624" s="68"/>
      <c r="AA624" s="68"/>
      <c r="AB624" s="68"/>
      <c r="AC624" s="68"/>
      <c r="AD624" s="68"/>
      <c r="AE624" s="68"/>
      <c r="AF624" s="68"/>
      <c r="AG624" s="68"/>
      <c r="AH624" s="68"/>
      <c r="AI624" s="68"/>
      <c r="AJ624" s="68"/>
      <c r="AK624" s="68"/>
      <c r="AL624" s="68"/>
      <c r="AM624" s="68"/>
      <c r="AN624" s="68"/>
      <c r="AO624" s="68"/>
      <c r="AP624" s="68"/>
      <c r="AQ624" s="68"/>
      <c r="AR624" s="68"/>
      <c r="AS624" s="68"/>
      <c r="AT624" s="68"/>
      <c r="AU624" s="68"/>
      <c r="AV624" s="68"/>
      <c r="AW624" s="68"/>
      <c r="AX624" s="68"/>
      <c r="AY624" s="68"/>
      <c r="AZ624" s="68"/>
      <c r="BA624" s="68"/>
      <c r="BB624" s="68"/>
      <c r="BC624" s="68"/>
      <c r="BD624" s="68"/>
      <c r="BE624" s="68"/>
      <c r="BF624" s="68"/>
      <c r="BG624" s="68"/>
      <c r="BH624" s="68"/>
      <c r="BI624" s="68"/>
      <c r="BJ624" s="68"/>
      <c r="BK624" s="68"/>
      <c r="BL624" s="68"/>
      <c r="BM624" s="68"/>
      <c r="BN624" s="68"/>
      <c r="BO624" s="68"/>
      <c r="BP624" s="68"/>
      <c r="BQ624" s="68"/>
      <c r="BR624" s="68"/>
      <c r="BS624" s="68"/>
      <c r="BT624" s="68"/>
      <c r="BU624" s="68"/>
      <c r="BV624" s="68"/>
      <c r="BW624" s="68"/>
      <c r="BX624" s="68"/>
      <c r="BY624" s="68"/>
      <c r="BZ624" s="68"/>
      <c r="CA624" s="68"/>
      <c r="CB624" s="68"/>
      <c r="CC624" s="68"/>
      <c r="CD624" s="68"/>
      <c r="CE624" s="68"/>
      <c r="CF624" s="68"/>
      <c r="CG624" s="68"/>
      <c r="CH624" s="68"/>
      <c r="CI624" s="68"/>
      <c r="CJ624" s="68"/>
      <c r="CK624" s="68"/>
      <c r="CL624" s="68"/>
      <c r="CM624" s="68"/>
      <c r="CN624" s="68"/>
      <c r="CO624" s="68"/>
      <c r="CP624" s="68"/>
      <c r="CQ624" s="68"/>
      <c r="CR624" s="68"/>
      <c r="CS624" s="68"/>
      <c r="CT624" s="68"/>
      <c r="CU624" s="68"/>
      <c r="CV624" s="68"/>
      <c r="CW624" s="68"/>
      <c r="CX624" s="68"/>
    </row>
    <row r="625" spans="1:102" s="71" customFormat="1" hidden="1">
      <c r="A625" s="109"/>
      <c r="B625" s="109"/>
      <c r="C625" s="109"/>
      <c r="D625" s="115"/>
      <c r="E625" s="136"/>
      <c r="F625" s="136"/>
      <c r="G625" s="211"/>
      <c r="H625" s="136"/>
      <c r="I625" s="211"/>
      <c r="J625" s="211"/>
      <c r="K625" s="211"/>
      <c r="L625" s="136"/>
      <c r="M625" s="212"/>
      <c r="N625" s="136"/>
      <c r="O625" s="212"/>
      <c r="P625" s="116"/>
      <c r="Q625" s="103"/>
      <c r="R625" s="103"/>
      <c r="S625" s="103"/>
      <c r="T625" s="103"/>
      <c r="U625" s="68"/>
      <c r="V625" s="69"/>
      <c r="W625" s="68"/>
      <c r="X625" s="68"/>
      <c r="Y625" s="68"/>
      <c r="Z625" s="68"/>
      <c r="AA625" s="68"/>
      <c r="AB625" s="68"/>
      <c r="AC625" s="68"/>
      <c r="AD625" s="68"/>
      <c r="AE625" s="68"/>
      <c r="AF625" s="68"/>
      <c r="AG625" s="68"/>
      <c r="AH625" s="68"/>
      <c r="AI625" s="68"/>
      <c r="AJ625" s="68"/>
      <c r="AK625" s="68"/>
      <c r="AL625" s="68"/>
      <c r="AM625" s="68"/>
      <c r="AN625" s="68"/>
      <c r="AO625" s="68"/>
      <c r="AP625" s="68"/>
      <c r="AQ625" s="68"/>
      <c r="AR625" s="68"/>
      <c r="AS625" s="68"/>
      <c r="AT625" s="68"/>
      <c r="AU625" s="68"/>
      <c r="AV625" s="68"/>
      <c r="AW625" s="68"/>
      <c r="AX625" s="68"/>
      <c r="AY625" s="68"/>
      <c r="AZ625" s="68"/>
      <c r="BA625" s="68"/>
      <c r="BB625" s="68"/>
      <c r="BC625" s="68"/>
      <c r="BD625" s="68"/>
      <c r="BE625" s="68"/>
      <c r="BF625" s="68"/>
      <c r="BG625" s="68"/>
      <c r="BH625" s="68"/>
      <c r="BI625" s="68"/>
      <c r="BJ625" s="68"/>
      <c r="BK625" s="68"/>
      <c r="BL625" s="68"/>
      <c r="BM625" s="68"/>
      <c r="BN625" s="68"/>
      <c r="BO625" s="68"/>
      <c r="BP625" s="68"/>
      <c r="BQ625" s="68"/>
      <c r="BR625" s="68"/>
      <c r="BS625" s="68"/>
      <c r="BT625" s="68"/>
      <c r="BU625" s="68"/>
      <c r="BV625" s="68"/>
      <c r="BW625" s="68"/>
      <c r="BX625" s="68"/>
      <c r="BY625" s="68"/>
      <c r="BZ625" s="68"/>
      <c r="CA625" s="68"/>
      <c r="CB625" s="68"/>
      <c r="CC625" s="68"/>
      <c r="CD625" s="68"/>
      <c r="CE625" s="68"/>
      <c r="CF625" s="68"/>
      <c r="CG625" s="68"/>
      <c r="CH625" s="68"/>
      <c r="CI625" s="68"/>
      <c r="CJ625" s="68"/>
      <c r="CK625" s="68"/>
      <c r="CL625" s="68"/>
      <c r="CM625" s="68"/>
      <c r="CN625" s="68"/>
      <c r="CO625" s="68"/>
      <c r="CP625" s="68"/>
      <c r="CQ625" s="68"/>
      <c r="CR625" s="68"/>
      <c r="CS625" s="68"/>
      <c r="CT625" s="68"/>
      <c r="CU625" s="68"/>
      <c r="CV625" s="68"/>
      <c r="CW625" s="68"/>
      <c r="CX625" s="68"/>
    </row>
    <row r="626" spans="1:102" s="71" customFormat="1" hidden="1">
      <c r="A626" s="109"/>
      <c r="B626" s="109"/>
      <c r="C626" s="109"/>
      <c r="D626" s="115"/>
      <c r="E626" s="136"/>
      <c r="F626" s="136"/>
      <c r="G626" s="211"/>
      <c r="H626" s="136"/>
      <c r="I626" s="211"/>
      <c r="J626" s="211"/>
      <c r="K626" s="211"/>
      <c r="L626" s="136"/>
      <c r="M626" s="212"/>
      <c r="N626" s="136"/>
      <c r="O626" s="212"/>
      <c r="P626" s="116"/>
      <c r="Q626" s="103"/>
      <c r="R626" s="103"/>
      <c r="S626" s="103"/>
      <c r="T626" s="103"/>
      <c r="U626" s="68"/>
      <c r="V626" s="69"/>
      <c r="W626" s="68"/>
      <c r="X626" s="68"/>
      <c r="Y626" s="68"/>
      <c r="Z626" s="68"/>
      <c r="AA626" s="68"/>
      <c r="AB626" s="68"/>
      <c r="AC626" s="68"/>
      <c r="AD626" s="68"/>
      <c r="AE626" s="68"/>
      <c r="AF626" s="68"/>
      <c r="AG626" s="68"/>
      <c r="AH626" s="68"/>
      <c r="AI626" s="68"/>
      <c r="AJ626" s="68"/>
      <c r="AK626" s="68"/>
      <c r="AL626" s="68"/>
      <c r="AM626" s="68"/>
      <c r="AN626" s="68"/>
      <c r="AO626" s="68"/>
      <c r="AP626" s="68"/>
      <c r="AQ626" s="68"/>
      <c r="AR626" s="68"/>
      <c r="AS626" s="68"/>
      <c r="AT626" s="68"/>
      <c r="AU626" s="68"/>
      <c r="AV626" s="68"/>
      <c r="AW626" s="68"/>
      <c r="AX626" s="68"/>
      <c r="AY626" s="68"/>
      <c r="AZ626" s="68"/>
      <c r="BA626" s="68"/>
      <c r="BB626" s="68"/>
      <c r="BC626" s="68"/>
      <c r="BD626" s="68"/>
      <c r="BE626" s="68"/>
      <c r="BF626" s="68"/>
      <c r="BG626" s="68"/>
      <c r="BH626" s="68"/>
      <c r="BI626" s="68"/>
      <c r="BJ626" s="68"/>
      <c r="BK626" s="68"/>
      <c r="BL626" s="68"/>
      <c r="BM626" s="68"/>
      <c r="BN626" s="68"/>
      <c r="BO626" s="68"/>
      <c r="BP626" s="68"/>
      <c r="BQ626" s="68"/>
      <c r="BR626" s="68"/>
      <c r="BS626" s="68"/>
      <c r="BT626" s="68"/>
      <c r="BU626" s="68"/>
      <c r="BV626" s="68"/>
      <c r="BW626" s="68"/>
      <c r="BX626" s="68"/>
      <c r="BY626" s="68"/>
      <c r="BZ626" s="68"/>
      <c r="CA626" s="68"/>
      <c r="CB626" s="68"/>
      <c r="CC626" s="68"/>
      <c r="CD626" s="68"/>
      <c r="CE626" s="68"/>
      <c r="CF626" s="68"/>
      <c r="CG626" s="68"/>
      <c r="CH626" s="68"/>
      <c r="CI626" s="68"/>
      <c r="CJ626" s="68"/>
      <c r="CK626" s="68"/>
      <c r="CL626" s="68"/>
      <c r="CM626" s="68"/>
      <c r="CN626" s="68"/>
      <c r="CO626" s="68"/>
      <c r="CP626" s="68"/>
      <c r="CQ626" s="68"/>
      <c r="CR626" s="68"/>
      <c r="CS626" s="68"/>
      <c r="CT626" s="68"/>
      <c r="CU626" s="68"/>
      <c r="CV626" s="68"/>
      <c r="CW626" s="68"/>
      <c r="CX626" s="68"/>
    </row>
    <row r="627" spans="1:102" s="71" customFormat="1" hidden="1">
      <c r="A627" s="109"/>
      <c r="B627" s="109"/>
      <c r="C627" s="109"/>
      <c r="D627" s="115"/>
      <c r="E627" s="136"/>
      <c r="F627" s="136"/>
      <c r="G627" s="211"/>
      <c r="H627" s="136"/>
      <c r="I627" s="211"/>
      <c r="J627" s="211"/>
      <c r="K627" s="211"/>
      <c r="L627" s="136"/>
      <c r="M627" s="212"/>
      <c r="N627" s="136"/>
      <c r="O627" s="212"/>
      <c r="P627" s="116"/>
      <c r="Q627" s="103"/>
      <c r="R627" s="103"/>
      <c r="S627" s="103"/>
      <c r="T627" s="103"/>
      <c r="U627" s="68"/>
      <c r="V627" s="69"/>
      <c r="W627" s="68"/>
      <c r="X627" s="68"/>
      <c r="Y627" s="68"/>
      <c r="Z627" s="68"/>
      <c r="AA627" s="68"/>
      <c r="AB627" s="68"/>
      <c r="AC627" s="68"/>
      <c r="AD627" s="68"/>
      <c r="AE627" s="68"/>
      <c r="AF627" s="68"/>
      <c r="AG627" s="68"/>
      <c r="AH627" s="68"/>
      <c r="AI627" s="68"/>
      <c r="AJ627" s="68"/>
      <c r="AK627" s="68"/>
      <c r="AL627" s="68"/>
      <c r="AM627" s="68"/>
      <c r="AN627" s="68"/>
      <c r="AO627" s="68"/>
      <c r="AP627" s="68"/>
      <c r="AQ627" s="68"/>
      <c r="AR627" s="68"/>
      <c r="AS627" s="68"/>
      <c r="AT627" s="68"/>
      <c r="AU627" s="68"/>
      <c r="AV627" s="68"/>
      <c r="AW627" s="68"/>
      <c r="AX627" s="68"/>
      <c r="AY627" s="68"/>
      <c r="AZ627" s="68"/>
      <c r="BA627" s="68"/>
      <c r="BB627" s="68"/>
      <c r="BC627" s="68"/>
      <c r="BD627" s="68"/>
      <c r="BE627" s="68"/>
      <c r="BF627" s="68"/>
      <c r="BG627" s="68"/>
      <c r="BH627" s="68"/>
      <c r="BI627" s="68"/>
      <c r="BJ627" s="68"/>
      <c r="BK627" s="68"/>
      <c r="BL627" s="68"/>
      <c r="BM627" s="68"/>
      <c r="BN627" s="68"/>
      <c r="BO627" s="68"/>
      <c r="BP627" s="68"/>
      <c r="BQ627" s="68"/>
      <c r="BR627" s="68"/>
      <c r="BS627" s="68"/>
      <c r="BT627" s="68"/>
      <c r="BU627" s="68"/>
      <c r="BV627" s="68"/>
      <c r="BW627" s="68"/>
      <c r="BX627" s="68"/>
      <c r="BY627" s="68"/>
      <c r="BZ627" s="68"/>
      <c r="CA627" s="68"/>
      <c r="CB627" s="68"/>
      <c r="CC627" s="68"/>
      <c r="CD627" s="68"/>
      <c r="CE627" s="68"/>
      <c r="CF627" s="68"/>
      <c r="CG627" s="68"/>
      <c r="CH627" s="68"/>
      <c r="CI627" s="68"/>
      <c r="CJ627" s="68"/>
      <c r="CK627" s="68"/>
      <c r="CL627" s="68"/>
      <c r="CM627" s="68"/>
      <c r="CN627" s="68"/>
      <c r="CO627" s="68"/>
      <c r="CP627" s="68"/>
      <c r="CQ627" s="68"/>
      <c r="CR627" s="68"/>
      <c r="CS627" s="68"/>
      <c r="CT627" s="68"/>
      <c r="CU627" s="68"/>
      <c r="CV627" s="68"/>
      <c r="CW627" s="68"/>
      <c r="CX627" s="68"/>
    </row>
    <row r="628" spans="1:102" s="71" customFormat="1" hidden="1">
      <c r="A628" s="109"/>
      <c r="B628" s="109"/>
      <c r="C628" s="109"/>
      <c r="D628" s="115"/>
      <c r="E628" s="136"/>
      <c r="F628" s="136"/>
      <c r="G628" s="211"/>
      <c r="H628" s="136"/>
      <c r="I628" s="211"/>
      <c r="J628" s="211"/>
      <c r="K628" s="211"/>
      <c r="L628" s="136"/>
      <c r="M628" s="212"/>
      <c r="N628" s="136"/>
      <c r="O628" s="212"/>
      <c r="P628" s="116"/>
      <c r="Q628" s="103"/>
      <c r="R628" s="103"/>
      <c r="S628" s="103"/>
      <c r="T628" s="103"/>
      <c r="U628" s="68"/>
      <c r="V628" s="69"/>
      <c r="W628" s="68"/>
      <c r="X628" s="68"/>
      <c r="Y628" s="68"/>
      <c r="Z628" s="68"/>
      <c r="AA628" s="68"/>
      <c r="AB628" s="68"/>
      <c r="AC628" s="68"/>
      <c r="AD628" s="68"/>
      <c r="AE628" s="68"/>
      <c r="AF628" s="68"/>
      <c r="AG628" s="68"/>
      <c r="AH628" s="68"/>
      <c r="AI628" s="68"/>
      <c r="AJ628" s="68"/>
      <c r="AK628" s="68"/>
      <c r="AL628" s="68"/>
      <c r="AM628" s="68"/>
      <c r="AN628" s="68"/>
      <c r="AO628" s="68"/>
      <c r="AP628" s="68"/>
      <c r="AQ628" s="68"/>
      <c r="AR628" s="68"/>
      <c r="AS628" s="68"/>
      <c r="AT628" s="68"/>
      <c r="AU628" s="68"/>
      <c r="AV628" s="68"/>
      <c r="AW628" s="68"/>
      <c r="AX628" s="68"/>
      <c r="AY628" s="68"/>
      <c r="AZ628" s="68"/>
      <c r="BA628" s="68"/>
      <c r="BB628" s="68"/>
      <c r="BC628" s="68"/>
      <c r="BD628" s="68"/>
      <c r="BE628" s="68"/>
      <c r="BF628" s="68"/>
      <c r="BG628" s="68"/>
      <c r="BH628" s="68"/>
      <c r="BI628" s="68"/>
      <c r="BJ628" s="68"/>
      <c r="BK628" s="68"/>
      <c r="BL628" s="68"/>
      <c r="BM628" s="68"/>
      <c r="BN628" s="68"/>
      <c r="BO628" s="68"/>
      <c r="BP628" s="68"/>
      <c r="BQ628" s="68"/>
      <c r="BR628" s="68"/>
      <c r="BS628" s="68"/>
      <c r="BT628" s="68"/>
      <c r="BU628" s="68"/>
      <c r="BV628" s="68"/>
      <c r="BW628" s="68"/>
      <c r="BX628" s="68"/>
      <c r="BY628" s="68"/>
      <c r="BZ628" s="68"/>
      <c r="CA628" s="68"/>
      <c r="CB628" s="68"/>
      <c r="CC628" s="68"/>
      <c r="CD628" s="68"/>
      <c r="CE628" s="68"/>
      <c r="CF628" s="68"/>
      <c r="CG628" s="68"/>
      <c r="CH628" s="68"/>
      <c r="CI628" s="68"/>
      <c r="CJ628" s="68"/>
      <c r="CK628" s="68"/>
      <c r="CL628" s="68"/>
      <c r="CM628" s="68"/>
      <c r="CN628" s="68"/>
      <c r="CO628" s="68"/>
      <c r="CP628" s="68"/>
      <c r="CQ628" s="68"/>
      <c r="CR628" s="68"/>
      <c r="CS628" s="68"/>
      <c r="CT628" s="68"/>
      <c r="CU628" s="68"/>
      <c r="CV628" s="68"/>
      <c r="CW628" s="68"/>
      <c r="CX628" s="68"/>
    </row>
    <row r="629" spans="1:102" s="71" customFormat="1" hidden="1">
      <c r="A629" s="109"/>
      <c r="B629" s="109"/>
      <c r="C629" s="109"/>
      <c r="D629" s="115"/>
      <c r="E629" s="136"/>
      <c r="F629" s="136"/>
      <c r="G629" s="211"/>
      <c r="H629" s="136"/>
      <c r="I629" s="211"/>
      <c r="J629" s="211"/>
      <c r="K629" s="211"/>
      <c r="L629" s="136"/>
      <c r="M629" s="212"/>
      <c r="N629" s="136"/>
      <c r="O629" s="212"/>
      <c r="P629" s="116"/>
      <c r="Q629" s="103"/>
      <c r="R629" s="103"/>
      <c r="S629" s="103"/>
      <c r="T629" s="103"/>
      <c r="U629" s="68"/>
      <c r="V629" s="69"/>
      <c r="W629" s="68"/>
      <c r="X629" s="68"/>
      <c r="Y629" s="68"/>
      <c r="Z629" s="68"/>
      <c r="AA629" s="68"/>
      <c r="AB629" s="68"/>
      <c r="AC629" s="68"/>
      <c r="AD629" s="68"/>
      <c r="AE629" s="68"/>
      <c r="AF629" s="68"/>
      <c r="AG629" s="68"/>
      <c r="AH629" s="68"/>
      <c r="AI629" s="68"/>
      <c r="AJ629" s="68"/>
      <c r="AK629" s="68"/>
      <c r="AL629" s="68"/>
      <c r="AM629" s="68"/>
      <c r="AN629" s="68"/>
      <c r="AO629" s="68"/>
      <c r="AP629" s="68"/>
      <c r="AQ629" s="68"/>
      <c r="AR629" s="68"/>
      <c r="AS629" s="68"/>
      <c r="AT629" s="68"/>
      <c r="AU629" s="68"/>
      <c r="AV629" s="68"/>
      <c r="AW629" s="68"/>
      <c r="AX629" s="68"/>
      <c r="AY629" s="68"/>
      <c r="AZ629" s="68"/>
      <c r="BA629" s="68"/>
      <c r="BB629" s="68"/>
      <c r="BC629" s="68"/>
      <c r="BD629" s="68"/>
      <c r="BE629" s="68"/>
      <c r="BF629" s="68"/>
      <c r="BG629" s="68"/>
      <c r="BH629" s="68"/>
      <c r="BI629" s="68"/>
      <c r="BJ629" s="68"/>
      <c r="BK629" s="68"/>
      <c r="BL629" s="68"/>
      <c r="BM629" s="68"/>
      <c r="BN629" s="68"/>
      <c r="BO629" s="68"/>
      <c r="BP629" s="68"/>
      <c r="BQ629" s="68"/>
      <c r="BR629" s="68"/>
      <c r="BS629" s="68"/>
      <c r="BT629" s="68"/>
      <c r="BU629" s="68"/>
      <c r="BV629" s="68"/>
      <c r="BW629" s="68"/>
      <c r="BX629" s="68"/>
      <c r="BY629" s="68"/>
      <c r="BZ629" s="68"/>
      <c r="CA629" s="68"/>
      <c r="CB629" s="68"/>
      <c r="CC629" s="68"/>
      <c r="CD629" s="68"/>
      <c r="CE629" s="68"/>
      <c r="CF629" s="68"/>
      <c r="CG629" s="68"/>
      <c r="CH629" s="68"/>
      <c r="CI629" s="68"/>
      <c r="CJ629" s="68"/>
      <c r="CK629" s="68"/>
      <c r="CL629" s="68"/>
      <c r="CM629" s="68"/>
      <c r="CN629" s="68"/>
      <c r="CO629" s="68"/>
      <c r="CP629" s="68"/>
      <c r="CQ629" s="68"/>
      <c r="CR629" s="68"/>
      <c r="CS629" s="68"/>
      <c r="CT629" s="68"/>
      <c r="CU629" s="68"/>
      <c r="CV629" s="68"/>
      <c r="CW629" s="68"/>
      <c r="CX629" s="68"/>
    </row>
    <row r="630" spans="1:102" s="71" customFormat="1" hidden="1">
      <c r="A630" s="109"/>
      <c r="B630" s="109"/>
      <c r="C630" s="109"/>
      <c r="D630" s="115"/>
      <c r="E630" s="136"/>
      <c r="F630" s="136"/>
      <c r="G630" s="211"/>
      <c r="H630" s="136"/>
      <c r="I630" s="211"/>
      <c r="J630" s="211"/>
      <c r="K630" s="211"/>
      <c r="L630" s="136"/>
      <c r="M630" s="212"/>
      <c r="N630" s="136"/>
      <c r="O630" s="212"/>
      <c r="P630" s="116"/>
      <c r="Q630" s="103"/>
      <c r="R630" s="103"/>
      <c r="S630" s="103"/>
      <c r="T630" s="103"/>
      <c r="U630" s="68"/>
      <c r="V630" s="69"/>
      <c r="W630" s="68"/>
      <c r="X630" s="68"/>
      <c r="Y630" s="68"/>
      <c r="Z630" s="68"/>
      <c r="AA630" s="68"/>
      <c r="AB630" s="68"/>
      <c r="AC630" s="68"/>
      <c r="AD630" s="68"/>
      <c r="AE630" s="68"/>
      <c r="AF630" s="68"/>
      <c r="AG630" s="68"/>
      <c r="AH630" s="68"/>
      <c r="AI630" s="68"/>
      <c r="AJ630" s="68"/>
      <c r="AK630" s="68"/>
      <c r="AL630" s="68"/>
      <c r="AM630" s="68"/>
      <c r="AN630" s="68"/>
      <c r="AO630" s="68"/>
      <c r="AP630" s="68"/>
      <c r="AQ630" s="68"/>
      <c r="AR630" s="68"/>
      <c r="AS630" s="68"/>
      <c r="AT630" s="68"/>
      <c r="AU630" s="68"/>
      <c r="AV630" s="68"/>
      <c r="AW630" s="68"/>
      <c r="AX630" s="68"/>
      <c r="AY630" s="68"/>
      <c r="AZ630" s="68"/>
      <c r="BA630" s="68"/>
      <c r="BB630" s="68"/>
      <c r="BC630" s="68"/>
      <c r="BD630" s="68"/>
      <c r="BE630" s="68"/>
      <c r="BF630" s="68"/>
      <c r="BG630" s="68"/>
      <c r="BH630" s="68"/>
      <c r="BI630" s="68"/>
      <c r="BJ630" s="68"/>
      <c r="BK630" s="68"/>
      <c r="BL630" s="68"/>
      <c r="BM630" s="68"/>
      <c r="BN630" s="68"/>
      <c r="BO630" s="68"/>
      <c r="BP630" s="68"/>
      <c r="BQ630" s="68"/>
      <c r="BR630" s="68"/>
      <c r="BS630" s="68"/>
      <c r="BT630" s="68"/>
      <c r="BU630" s="68"/>
      <c r="BV630" s="68"/>
      <c r="BW630" s="68"/>
      <c r="BX630" s="68"/>
      <c r="BY630" s="68"/>
      <c r="BZ630" s="68"/>
      <c r="CA630" s="68"/>
      <c r="CB630" s="68"/>
      <c r="CC630" s="68"/>
      <c r="CD630" s="68"/>
      <c r="CE630" s="68"/>
      <c r="CF630" s="68"/>
      <c r="CG630" s="68"/>
      <c r="CH630" s="68"/>
      <c r="CI630" s="68"/>
      <c r="CJ630" s="68"/>
      <c r="CK630" s="68"/>
      <c r="CL630" s="68"/>
      <c r="CM630" s="68"/>
      <c r="CN630" s="68"/>
      <c r="CO630" s="68"/>
      <c r="CP630" s="68"/>
      <c r="CQ630" s="68"/>
      <c r="CR630" s="68"/>
      <c r="CS630" s="68"/>
      <c r="CT630" s="68"/>
      <c r="CU630" s="68"/>
      <c r="CV630" s="68"/>
      <c r="CW630" s="68"/>
      <c r="CX630" s="68"/>
    </row>
    <row r="631" spans="1:102" s="71" customFormat="1" hidden="1">
      <c r="A631" s="109"/>
      <c r="B631" s="109"/>
      <c r="C631" s="109"/>
      <c r="D631" s="115"/>
      <c r="E631" s="136"/>
      <c r="F631" s="136"/>
      <c r="G631" s="211"/>
      <c r="H631" s="136"/>
      <c r="I631" s="211"/>
      <c r="J631" s="211"/>
      <c r="K631" s="211"/>
      <c r="L631" s="136"/>
      <c r="M631" s="212"/>
      <c r="N631" s="136"/>
      <c r="O631" s="212"/>
      <c r="P631" s="116"/>
      <c r="Q631" s="103"/>
      <c r="R631" s="103"/>
      <c r="S631" s="103"/>
      <c r="T631" s="103"/>
      <c r="U631" s="68"/>
      <c r="V631" s="69"/>
      <c r="W631" s="68"/>
      <c r="X631" s="68"/>
      <c r="Y631" s="68"/>
      <c r="Z631" s="68"/>
      <c r="AA631" s="68"/>
      <c r="AB631" s="68"/>
      <c r="AC631" s="68"/>
      <c r="AD631" s="68"/>
      <c r="AE631" s="68"/>
      <c r="AF631" s="68"/>
      <c r="AG631" s="68"/>
      <c r="AH631" s="68"/>
      <c r="AI631" s="68"/>
      <c r="AJ631" s="68"/>
      <c r="AK631" s="68"/>
      <c r="AL631" s="68"/>
      <c r="AM631" s="68"/>
      <c r="AN631" s="68"/>
      <c r="AO631" s="68"/>
      <c r="AP631" s="68"/>
      <c r="AQ631" s="68"/>
      <c r="AR631" s="68"/>
      <c r="AS631" s="68"/>
      <c r="AT631" s="68"/>
      <c r="AU631" s="68"/>
      <c r="AV631" s="68"/>
      <c r="AW631" s="68"/>
      <c r="AX631" s="68"/>
      <c r="AY631" s="68"/>
      <c r="AZ631" s="68"/>
      <c r="BA631" s="68"/>
      <c r="BB631" s="68"/>
      <c r="BC631" s="68"/>
      <c r="BD631" s="68"/>
      <c r="BE631" s="68"/>
      <c r="BF631" s="68"/>
      <c r="BG631" s="68"/>
      <c r="BH631" s="68"/>
      <c r="BI631" s="68"/>
      <c r="BJ631" s="68"/>
      <c r="BK631" s="68"/>
      <c r="BL631" s="68"/>
      <c r="BM631" s="68"/>
      <c r="BN631" s="68"/>
      <c r="BO631" s="68"/>
      <c r="BP631" s="68"/>
      <c r="BQ631" s="68"/>
      <c r="BR631" s="68"/>
      <c r="BS631" s="68"/>
      <c r="BT631" s="68"/>
      <c r="BU631" s="68"/>
      <c r="BV631" s="68"/>
      <c r="BW631" s="68"/>
      <c r="BX631" s="68"/>
      <c r="BY631" s="68"/>
      <c r="BZ631" s="68"/>
      <c r="CA631" s="68"/>
      <c r="CB631" s="68"/>
      <c r="CC631" s="68"/>
      <c r="CD631" s="68"/>
      <c r="CE631" s="68"/>
      <c r="CF631" s="68"/>
      <c r="CG631" s="68"/>
      <c r="CH631" s="68"/>
      <c r="CI631" s="68"/>
      <c r="CJ631" s="68"/>
      <c r="CK631" s="68"/>
      <c r="CL631" s="68"/>
      <c r="CM631" s="68"/>
      <c r="CN631" s="68"/>
      <c r="CO631" s="68"/>
      <c r="CP631" s="68"/>
      <c r="CQ631" s="68"/>
      <c r="CR631" s="68"/>
      <c r="CS631" s="68"/>
      <c r="CT631" s="68"/>
      <c r="CU631" s="68"/>
      <c r="CV631" s="68"/>
      <c r="CW631" s="68"/>
      <c r="CX631" s="68"/>
    </row>
    <row r="632" spans="1:102" s="71" customFormat="1" hidden="1">
      <c r="A632" s="109"/>
      <c r="B632" s="109"/>
      <c r="C632" s="109"/>
      <c r="D632" s="115"/>
      <c r="E632" s="136"/>
      <c r="F632" s="136"/>
      <c r="G632" s="211"/>
      <c r="H632" s="136"/>
      <c r="I632" s="211"/>
      <c r="J632" s="211"/>
      <c r="K632" s="211"/>
      <c r="L632" s="136"/>
      <c r="M632" s="212"/>
      <c r="N632" s="136"/>
      <c r="O632" s="212"/>
      <c r="P632" s="116"/>
      <c r="Q632" s="103"/>
      <c r="R632" s="103"/>
      <c r="S632" s="103"/>
      <c r="T632" s="103"/>
      <c r="U632" s="68"/>
      <c r="V632" s="69"/>
      <c r="W632" s="68"/>
      <c r="X632" s="68"/>
      <c r="Y632" s="68"/>
      <c r="Z632" s="68"/>
      <c r="AA632" s="68"/>
      <c r="AB632" s="68"/>
      <c r="AC632" s="68"/>
      <c r="AD632" s="68"/>
      <c r="AE632" s="68"/>
      <c r="AF632" s="68"/>
      <c r="AG632" s="68"/>
      <c r="AH632" s="68"/>
      <c r="AI632" s="68"/>
      <c r="AJ632" s="68"/>
      <c r="AK632" s="68"/>
      <c r="AL632" s="68"/>
      <c r="AM632" s="68"/>
      <c r="AN632" s="68"/>
      <c r="AO632" s="68"/>
      <c r="AP632" s="68"/>
      <c r="AQ632" s="68"/>
      <c r="AR632" s="68"/>
      <c r="AS632" s="68"/>
      <c r="AT632" s="68"/>
      <c r="AU632" s="68"/>
      <c r="AV632" s="68"/>
      <c r="AW632" s="68"/>
      <c r="AX632" s="68"/>
      <c r="AY632" s="68"/>
      <c r="AZ632" s="68"/>
      <c r="BA632" s="68"/>
      <c r="BB632" s="68"/>
      <c r="BC632" s="68"/>
      <c r="BD632" s="68"/>
      <c r="BE632" s="68"/>
      <c r="BF632" s="68"/>
      <c r="BG632" s="68"/>
      <c r="BH632" s="68"/>
      <c r="BI632" s="68"/>
      <c r="BJ632" s="68"/>
      <c r="BK632" s="68"/>
      <c r="BL632" s="68"/>
      <c r="BM632" s="68"/>
      <c r="BN632" s="68"/>
      <c r="BO632" s="68"/>
      <c r="BP632" s="68"/>
      <c r="BQ632" s="68"/>
      <c r="BR632" s="68"/>
      <c r="BS632" s="68"/>
      <c r="BT632" s="68"/>
      <c r="BU632" s="68"/>
      <c r="BV632" s="68"/>
      <c r="BW632" s="68"/>
      <c r="BX632" s="68"/>
      <c r="BY632" s="68"/>
      <c r="BZ632" s="68"/>
      <c r="CA632" s="68"/>
      <c r="CB632" s="68"/>
      <c r="CC632" s="68"/>
      <c r="CD632" s="68"/>
      <c r="CE632" s="68"/>
      <c r="CF632" s="68"/>
      <c r="CG632" s="68"/>
      <c r="CH632" s="68"/>
      <c r="CI632" s="68"/>
      <c r="CJ632" s="68"/>
      <c r="CK632" s="68"/>
      <c r="CL632" s="68"/>
      <c r="CM632" s="68"/>
      <c r="CN632" s="68"/>
      <c r="CO632" s="68"/>
      <c r="CP632" s="68"/>
      <c r="CQ632" s="68"/>
      <c r="CR632" s="68"/>
      <c r="CS632" s="68"/>
      <c r="CT632" s="68"/>
      <c r="CU632" s="68"/>
      <c r="CV632" s="68"/>
      <c r="CW632" s="68"/>
      <c r="CX632" s="68"/>
    </row>
    <row r="633" spans="1:102" s="71" customFormat="1" hidden="1">
      <c r="A633" s="109"/>
      <c r="B633" s="109"/>
      <c r="C633" s="109"/>
      <c r="D633" s="115"/>
      <c r="E633" s="136"/>
      <c r="F633" s="136"/>
      <c r="G633" s="211"/>
      <c r="H633" s="136"/>
      <c r="I633" s="211"/>
      <c r="J633" s="211"/>
      <c r="K633" s="211"/>
      <c r="L633" s="136"/>
      <c r="M633" s="212"/>
      <c r="N633" s="136"/>
      <c r="O633" s="212"/>
      <c r="P633" s="116"/>
      <c r="Q633" s="103"/>
      <c r="R633" s="103"/>
      <c r="S633" s="103"/>
      <c r="T633" s="103"/>
      <c r="U633" s="68"/>
      <c r="V633" s="69"/>
      <c r="W633" s="68"/>
      <c r="X633" s="68"/>
      <c r="Y633" s="68"/>
      <c r="Z633" s="68"/>
      <c r="AA633" s="68"/>
      <c r="AB633" s="68"/>
      <c r="AC633" s="68"/>
      <c r="AD633" s="68"/>
      <c r="AE633" s="68"/>
      <c r="AF633" s="68"/>
      <c r="AG633" s="68"/>
      <c r="AH633" s="68"/>
      <c r="AI633" s="68"/>
      <c r="AJ633" s="68"/>
      <c r="AK633" s="68"/>
      <c r="AL633" s="68"/>
      <c r="AM633" s="68"/>
      <c r="AN633" s="68"/>
      <c r="AO633" s="68"/>
      <c r="AP633" s="68"/>
      <c r="AQ633" s="68"/>
      <c r="AR633" s="68"/>
      <c r="AS633" s="68"/>
      <c r="AT633" s="68"/>
      <c r="AU633" s="68"/>
      <c r="AV633" s="68"/>
      <c r="AW633" s="68"/>
      <c r="AX633" s="68"/>
      <c r="AY633" s="68"/>
      <c r="AZ633" s="68"/>
      <c r="BA633" s="68"/>
      <c r="BB633" s="68"/>
      <c r="BC633" s="68"/>
      <c r="BD633" s="68"/>
      <c r="BE633" s="68"/>
      <c r="BF633" s="68"/>
      <c r="BG633" s="68"/>
      <c r="BH633" s="68"/>
      <c r="BI633" s="68"/>
      <c r="BJ633" s="68"/>
      <c r="BK633" s="68"/>
      <c r="BL633" s="68"/>
      <c r="BM633" s="68"/>
      <c r="BN633" s="68"/>
      <c r="BO633" s="68"/>
      <c r="BP633" s="68"/>
      <c r="BQ633" s="68"/>
      <c r="BR633" s="68"/>
      <c r="BS633" s="68"/>
      <c r="BT633" s="68"/>
      <c r="BU633" s="68"/>
      <c r="BV633" s="68"/>
      <c r="BW633" s="68"/>
      <c r="BX633" s="68"/>
      <c r="BY633" s="68"/>
      <c r="BZ633" s="68"/>
      <c r="CA633" s="68"/>
      <c r="CB633" s="68"/>
      <c r="CC633" s="68"/>
      <c r="CD633" s="68"/>
      <c r="CE633" s="68"/>
      <c r="CF633" s="68"/>
      <c r="CG633" s="68"/>
      <c r="CH633" s="68"/>
      <c r="CI633" s="68"/>
      <c r="CJ633" s="68"/>
      <c r="CK633" s="68"/>
      <c r="CL633" s="68"/>
      <c r="CM633" s="68"/>
      <c r="CN633" s="68"/>
      <c r="CO633" s="68"/>
      <c r="CP633" s="68"/>
      <c r="CQ633" s="68"/>
      <c r="CR633" s="68"/>
      <c r="CS633" s="68"/>
      <c r="CT633" s="68"/>
      <c r="CU633" s="68"/>
      <c r="CV633" s="68"/>
      <c r="CW633" s="68"/>
      <c r="CX633" s="68"/>
    </row>
    <row r="634" spans="1:102" s="71" customFormat="1" hidden="1">
      <c r="A634" s="109"/>
      <c r="B634" s="109"/>
      <c r="C634" s="109"/>
      <c r="D634" s="115"/>
      <c r="E634" s="136"/>
      <c r="F634" s="136"/>
      <c r="G634" s="211"/>
      <c r="H634" s="136"/>
      <c r="I634" s="211"/>
      <c r="J634" s="211"/>
      <c r="K634" s="211"/>
      <c r="L634" s="136"/>
      <c r="M634" s="212"/>
      <c r="N634" s="136"/>
      <c r="O634" s="212"/>
      <c r="P634" s="116"/>
      <c r="Q634" s="103"/>
      <c r="R634" s="103"/>
      <c r="S634" s="103"/>
      <c r="T634" s="103"/>
      <c r="U634" s="68"/>
      <c r="V634" s="69"/>
      <c r="W634" s="68"/>
      <c r="X634" s="68"/>
      <c r="Y634" s="68"/>
      <c r="Z634" s="68"/>
      <c r="AA634" s="68"/>
      <c r="AB634" s="68"/>
      <c r="AC634" s="68"/>
      <c r="AD634" s="68"/>
      <c r="AE634" s="68"/>
      <c r="AF634" s="68"/>
      <c r="AG634" s="68"/>
      <c r="AH634" s="68"/>
      <c r="AI634" s="68"/>
      <c r="AJ634" s="68"/>
      <c r="AK634" s="68"/>
      <c r="AL634" s="68"/>
      <c r="AM634" s="68"/>
      <c r="AN634" s="68"/>
      <c r="AO634" s="68"/>
      <c r="AP634" s="68"/>
      <c r="AQ634" s="68"/>
      <c r="AR634" s="68"/>
      <c r="AS634" s="68"/>
      <c r="AT634" s="68"/>
      <c r="AU634" s="68"/>
      <c r="AV634" s="68"/>
      <c r="AW634" s="68"/>
      <c r="AX634" s="68"/>
      <c r="AY634" s="68"/>
      <c r="AZ634" s="68"/>
      <c r="BA634" s="68"/>
      <c r="BB634" s="68"/>
      <c r="BC634" s="68"/>
      <c r="BD634" s="68"/>
      <c r="BE634" s="68"/>
      <c r="BF634" s="68"/>
      <c r="BG634" s="68"/>
      <c r="BH634" s="68"/>
      <c r="BI634" s="68"/>
      <c r="BJ634" s="68"/>
      <c r="BK634" s="68"/>
      <c r="BL634" s="68"/>
      <c r="BM634" s="68"/>
      <c r="BN634" s="68"/>
      <c r="BO634" s="68"/>
      <c r="BP634" s="68"/>
      <c r="BQ634" s="68"/>
      <c r="BR634" s="68"/>
      <c r="BS634" s="68"/>
      <c r="BT634" s="68"/>
      <c r="BU634" s="68"/>
      <c r="BV634" s="68"/>
      <c r="BW634" s="68"/>
      <c r="BX634" s="68"/>
      <c r="BY634" s="68"/>
      <c r="BZ634" s="68"/>
      <c r="CA634" s="68"/>
      <c r="CB634" s="68"/>
      <c r="CC634" s="68"/>
      <c r="CD634" s="68"/>
      <c r="CE634" s="68"/>
      <c r="CF634" s="68"/>
      <c r="CG634" s="68"/>
      <c r="CH634" s="68"/>
      <c r="CI634" s="68"/>
      <c r="CJ634" s="68"/>
      <c r="CK634" s="68"/>
      <c r="CL634" s="68"/>
      <c r="CM634" s="68"/>
      <c r="CN634" s="68"/>
      <c r="CO634" s="68"/>
      <c r="CP634" s="68"/>
      <c r="CQ634" s="68"/>
      <c r="CR634" s="68"/>
      <c r="CS634" s="68"/>
      <c r="CT634" s="68"/>
      <c r="CU634" s="68"/>
      <c r="CV634" s="68"/>
      <c r="CW634" s="68"/>
      <c r="CX634" s="68"/>
    </row>
    <row r="635" spans="1:102" s="71" customFormat="1" hidden="1">
      <c r="A635" s="109"/>
      <c r="B635" s="109"/>
      <c r="C635" s="109"/>
      <c r="D635" s="115"/>
      <c r="E635" s="136"/>
      <c r="F635" s="136"/>
      <c r="G635" s="211"/>
      <c r="H635" s="136"/>
      <c r="I635" s="211"/>
      <c r="J635" s="211"/>
      <c r="K635" s="211"/>
      <c r="L635" s="136"/>
      <c r="M635" s="212"/>
      <c r="N635" s="136"/>
      <c r="O635" s="212"/>
      <c r="P635" s="116"/>
      <c r="Q635" s="103"/>
      <c r="R635" s="103"/>
      <c r="S635" s="103"/>
      <c r="T635" s="103"/>
      <c r="U635" s="68"/>
      <c r="V635" s="69"/>
      <c r="W635" s="68"/>
      <c r="X635" s="68"/>
      <c r="Y635" s="68"/>
      <c r="Z635" s="68"/>
      <c r="AA635" s="68"/>
      <c r="AB635" s="68"/>
      <c r="AC635" s="68"/>
      <c r="AD635" s="68"/>
      <c r="AE635" s="68"/>
      <c r="AF635" s="68"/>
      <c r="AG635" s="68"/>
      <c r="AH635" s="68"/>
      <c r="AI635" s="68"/>
      <c r="AJ635" s="68"/>
      <c r="AK635" s="68"/>
      <c r="AL635" s="68"/>
      <c r="AM635" s="68"/>
      <c r="AN635" s="68"/>
      <c r="AO635" s="68"/>
      <c r="AP635" s="68"/>
      <c r="AQ635" s="68"/>
      <c r="AR635" s="68"/>
      <c r="AS635" s="68"/>
      <c r="AT635" s="68"/>
      <c r="AU635" s="68"/>
      <c r="AV635" s="68"/>
      <c r="AW635" s="68"/>
      <c r="AX635" s="68"/>
      <c r="AY635" s="68"/>
      <c r="AZ635" s="68"/>
      <c r="BA635" s="68"/>
      <c r="BB635" s="68"/>
      <c r="BC635" s="68"/>
      <c r="BD635" s="68"/>
      <c r="BE635" s="68"/>
      <c r="BF635" s="68"/>
      <c r="BG635" s="68"/>
      <c r="BH635" s="68"/>
      <c r="BI635" s="68"/>
      <c r="BJ635" s="68"/>
      <c r="BK635" s="68"/>
      <c r="BL635" s="68"/>
      <c r="BM635" s="68"/>
      <c r="BN635" s="68"/>
      <c r="BO635" s="68"/>
      <c r="BP635" s="68"/>
      <c r="BQ635" s="68"/>
      <c r="BR635" s="68"/>
      <c r="BS635" s="68"/>
      <c r="BT635" s="68"/>
      <c r="BU635" s="68"/>
      <c r="BV635" s="68"/>
      <c r="BW635" s="68"/>
      <c r="BX635" s="68"/>
      <c r="BY635" s="68"/>
      <c r="BZ635" s="68"/>
      <c r="CA635" s="68"/>
      <c r="CB635" s="68"/>
      <c r="CC635" s="68"/>
      <c r="CD635" s="68"/>
      <c r="CE635" s="68"/>
      <c r="CF635" s="68"/>
      <c r="CG635" s="68"/>
      <c r="CH635" s="68"/>
      <c r="CI635" s="68"/>
      <c r="CJ635" s="68"/>
      <c r="CK635" s="68"/>
      <c r="CL635" s="68"/>
      <c r="CM635" s="68"/>
      <c r="CN635" s="68"/>
      <c r="CO635" s="68"/>
      <c r="CP635" s="68"/>
      <c r="CQ635" s="68"/>
      <c r="CR635" s="68"/>
      <c r="CS635" s="68"/>
      <c r="CT635" s="68"/>
      <c r="CU635" s="68"/>
      <c r="CV635" s="68"/>
      <c r="CW635" s="68"/>
      <c r="CX635" s="68"/>
    </row>
    <row r="636" spans="1:102" s="71" customFormat="1" hidden="1">
      <c r="A636" s="109"/>
      <c r="B636" s="109"/>
      <c r="C636" s="109"/>
      <c r="D636" s="115"/>
      <c r="E636" s="136"/>
      <c r="F636" s="136"/>
      <c r="G636" s="211"/>
      <c r="H636" s="136"/>
      <c r="I636" s="211"/>
      <c r="J636" s="211"/>
      <c r="K636" s="211"/>
      <c r="L636" s="136"/>
      <c r="M636" s="212"/>
      <c r="N636" s="136"/>
      <c r="O636" s="212"/>
      <c r="P636" s="116"/>
      <c r="Q636" s="103"/>
      <c r="R636" s="103"/>
      <c r="S636" s="103"/>
      <c r="T636" s="103"/>
      <c r="U636" s="68"/>
      <c r="V636" s="69"/>
      <c r="W636" s="68"/>
      <c r="X636" s="68"/>
      <c r="Y636" s="68"/>
      <c r="Z636" s="68"/>
      <c r="AA636" s="68"/>
      <c r="AB636" s="68"/>
      <c r="AC636" s="68"/>
      <c r="AD636" s="68"/>
      <c r="AE636" s="68"/>
      <c r="AF636" s="68"/>
      <c r="AG636" s="68"/>
      <c r="AH636" s="68"/>
      <c r="AI636" s="68"/>
      <c r="AJ636" s="68"/>
      <c r="AK636" s="68"/>
      <c r="AL636" s="68"/>
      <c r="AM636" s="68"/>
      <c r="AN636" s="68"/>
      <c r="AO636" s="68"/>
      <c r="AP636" s="68"/>
      <c r="AQ636" s="68"/>
      <c r="AR636" s="68"/>
      <c r="AS636" s="68"/>
      <c r="AT636" s="68"/>
      <c r="AU636" s="68"/>
      <c r="AV636" s="68"/>
      <c r="AW636" s="68"/>
      <c r="AX636" s="68"/>
      <c r="AY636" s="68"/>
      <c r="AZ636" s="68"/>
      <c r="BA636" s="68"/>
      <c r="BB636" s="68"/>
      <c r="BC636" s="68"/>
      <c r="BD636" s="68"/>
      <c r="BE636" s="68"/>
      <c r="BF636" s="68"/>
      <c r="BG636" s="68"/>
      <c r="BH636" s="68"/>
      <c r="BI636" s="68"/>
      <c r="BJ636" s="68"/>
      <c r="BK636" s="68"/>
      <c r="BL636" s="68"/>
      <c r="BM636" s="68"/>
      <c r="BN636" s="68"/>
      <c r="BO636" s="68"/>
      <c r="BP636" s="68"/>
      <c r="BQ636" s="68"/>
      <c r="BR636" s="68"/>
      <c r="BS636" s="68"/>
      <c r="BT636" s="68"/>
      <c r="BU636" s="68"/>
      <c r="BV636" s="68"/>
      <c r="BW636" s="68"/>
      <c r="BX636" s="68"/>
      <c r="BY636" s="68"/>
      <c r="BZ636" s="68"/>
      <c r="CA636" s="68"/>
      <c r="CB636" s="68"/>
      <c r="CC636" s="68"/>
      <c r="CD636" s="68"/>
      <c r="CE636" s="68"/>
      <c r="CF636" s="68"/>
      <c r="CG636" s="68"/>
      <c r="CH636" s="68"/>
      <c r="CI636" s="68"/>
      <c r="CJ636" s="68"/>
      <c r="CK636" s="68"/>
      <c r="CL636" s="68"/>
      <c r="CM636" s="68"/>
      <c r="CN636" s="68"/>
      <c r="CO636" s="68"/>
      <c r="CP636" s="68"/>
      <c r="CQ636" s="68"/>
      <c r="CR636" s="68"/>
      <c r="CS636" s="68"/>
      <c r="CT636" s="68"/>
      <c r="CU636" s="68"/>
      <c r="CV636" s="68"/>
      <c r="CW636" s="68"/>
      <c r="CX636" s="68"/>
    </row>
    <row r="637" spans="1:102" s="71" customFormat="1" hidden="1">
      <c r="A637" s="109"/>
      <c r="B637" s="109"/>
      <c r="C637" s="109"/>
      <c r="D637" s="115"/>
      <c r="E637" s="136"/>
      <c r="F637" s="136"/>
      <c r="G637" s="211"/>
      <c r="H637" s="136"/>
      <c r="I637" s="211"/>
      <c r="J637" s="211"/>
      <c r="K637" s="211"/>
      <c r="L637" s="136"/>
      <c r="M637" s="212"/>
      <c r="N637" s="136"/>
      <c r="O637" s="212"/>
      <c r="P637" s="116"/>
      <c r="Q637" s="103"/>
      <c r="R637" s="103"/>
      <c r="S637" s="103"/>
      <c r="T637" s="103"/>
      <c r="U637" s="68"/>
      <c r="V637" s="69"/>
      <c r="W637" s="68"/>
      <c r="X637" s="68"/>
      <c r="Y637" s="68"/>
      <c r="Z637" s="68"/>
      <c r="AA637" s="68"/>
      <c r="AB637" s="68"/>
      <c r="AC637" s="68"/>
      <c r="AD637" s="68"/>
      <c r="AE637" s="68"/>
      <c r="AF637" s="68"/>
      <c r="AG637" s="68"/>
      <c r="AH637" s="68"/>
      <c r="AI637" s="68"/>
      <c r="AJ637" s="68"/>
      <c r="AK637" s="68"/>
      <c r="AL637" s="68"/>
      <c r="AM637" s="68"/>
      <c r="AN637" s="68"/>
      <c r="AO637" s="68"/>
      <c r="AP637" s="68"/>
      <c r="AQ637" s="68"/>
      <c r="AR637" s="68"/>
      <c r="AS637" s="68"/>
      <c r="AT637" s="68"/>
      <c r="AU637" s="68"/>
      <c r="AV637" s="68"/>
      <c r="AW637" s="68"/>
      <c r="AX637" s="68"/>
      <c r="AY637" s="68"/>
      <c r="AZ637" s="68"/>
      <c r="BA637" s="68"/>
      <c r="BB637" s="68"/>
      <c r="BC637" s="68"/>
      <c r="BD637" s="68"/>
      <c r="BE637" s="68"/>
      <c r="BF637" s="68"/>
      <c r="BG637" s="68"/>
      <c r="BH637" s="68"/>
      <c r="BI637" s="68"/>
      <c r="BJ637" s="68"/>
      <c r="BK637" s="68"/>
      <c r="BL637" s="68"/>
      <c r="BM637" s="68"/>
      <c r="BN637" s="68"/>
      <c r="BO637" s="68"/>
      <c r="BP637" s="68"/>
      <c r="BQ637" s="68"/>
      <c r="BR637" s="68"/>
      <c r="BS637" s="68"/>
      <c r="BT637" s="68"/>
      <c r="BU637" s="68"/>
      <c r="BV637" s="68"/>
      <c r="BW637" s="68"/>
      <c r="BX637" s="68"/>
      <c r="BY637" s="68"/>
      <c r="BZ637" s="68"/>
      <c r="CA637" s="68"/>
      <c r="CB637" s="68"/>
      <c r="CC637" s="68"/>
      <c r="CD637" s="68"/>
      <c r="CE637" s="68"/>
      <c r="CF637" s="68"/>
      <c r="CG637" s="68"/>
      <c r="CH637" s="68"/>
      <c r="CI637" s="68"/>
      <c r="CJ637" s="68"/>
      <c r="CK637" s="68"/>
      <c r="CL637" s="68"/>
      <c r="CM637" s="68"/>
      <c r="CN637" s="68"/>
      <c r="CO637" s="68"/>
      <c r="CP637" s="68"/>
      <c r="CQ637" s="68"/>
      <c r="CR637" s="68"/>
      <c r="CS637" s="68"/>
      <c r="CT637" s="68"/>
      <c r="CU637" s="68"/>
      <c r="CV637" s="68"/>
      <c r="CW637" s="68"/>
      <c r="CX637" s="68"/>
    </row>
    <row r="638" spans="1:102" s="71" customFormat="1" hidden="1">
      <c r="A638" s="109"/>
      <c r="B638" s="109"/>
      <c r="C638" s="109"/>
      <c r="D638" s="115"/>
      <c r="E638" s="136"/>
      <c r="F638" s="136"/>
      <c r="G638" s="211"/>
      <c r="H638" s="136"/>
      <c r="I638" s="211"/>
      <c r="J638" s="211"/>
      <c r="K638" s="211"/>
      <c r="L638" s="136"/>
      <c r="M638" s="212"/>
      <c r="N638" s="136"/>
      <c r="O638" s="212"/>
      <c r="P638" s="116"/>
      <c r="Q638" s="103"/>
      <c r="R638" s="103"/>
      <c r="S638" s="103"/>
      <c r="T638" s="103"/>
      <c r="U638" s="68"/>
      <c r="V638" s="69"/>
      <c r="W638" s="68"/>
      <c r="X638" s="68"/>
      <c r="Y638" s="68"/>
      <c r="Z638" s="68"/>
      <c r="AA638" s="68"/>
      <c r="AB638" s="68"/>
      <c r="AC638" s="68"/>
      <c r="AD638" s="68"/>
      <c r="AE638" s="68"/>
      <c r="AF638" s="68"/>
      <c r="AG638" s="68"/>
      <c r="AH638" s="68"/>
      <c r="AI638" s="68"/>
      <c r="AJ638" s="68"/>
      <c r="AK638" s="68"/>
      <c r="AL638" s="68"/>
      <c r="AM638" s="68"/>
      <c r="AN638" s="68"/>
      <c r="AO638" s="68"/>
      <c r="AP638" s="68"/>
      <c r="AQ638" s="68"/>
      <c r="AR638" s="68"/>
      <c r="AS638" s="68"/>
      <c r="AT638" s="68"/>
      <c r="AU638" s="68"/>
      <c r="AV638" s="68"/>
      <c r="AW638" s="68"/>
      <c r="AX638" s="68"/>
      <c r="AY638" s="68"/>
      <c r="AZ638" s="68"/>
      <c r="BA638" s="68"/>
      <c r="BB638" s="68"/>
      <c r="BC638" s="68"/>
      <c r="BD638" s="68"/>
      <c r="BE638" s="68"/>
      <c r="BF638" s="68"/>
      <c r="BG638" s="68"/>
      <c r="BH638" s="68"/>
      <c r="BI638" s="68"/>
      <c r="BJ638" s="68"/>
      <c r="BK638" s="68"/>
      <c r="BL638" s="68"/>
      <c r="BM638" s="68"/>
      <c r="BN638" s="68"/>
      <c r="BO638" s="68"/>
      <c r="BP638" s="68"/>
      <c r="BQ638" s="68"/>
      <c r="BR638" s="68"/>
      <c r="BS638" s="68"/>
      <c r="BT638" s="68"/>
      <c r="BU638" s="68"/>
      <c r="BV638" s="68"/>
      <c r="BW638" s="68"/>
      <c r="BX638" s="68"/>
      <c r="BY638" s="68"/>
      <c r="BZ638" s="68"/>
      <c r="CA638" s="68"/>
      <c r="CB638" s="68"/>
      <c r="CC638" s="68"/>
      <c r="CD638" s="68"/>
      <c r="CE638" s="68"/>
      <c r="CF638" s="68"/>
      <c r="CG638" s="68"/>
      <c r="CH638" s="68"/>
      <c r="CI638" s="68"/>
      <c r="CJ638" s="68"/>
      <c r="CK638" s="68"/>
      <c r="CL638" s="68"/>
      <c r="CM638" s="68"/>
      <c r="CN638" s="68"/>
      <c r="CO638" s="68"/>
      <c r="CP638" s="68"/>
      <c r="CQ638" s="68"/>
      <c r="CR638" s="68"/>
      <c r="CS638" s="68"/>
      <c r="CT638" s="68"/>
      <c r="CU638" s="68"/>
      <c r="CV638" s="68"/>
      <c r="CW638" s="68"/>
      <c r="CX638" s="68"/>
    </row>
    <row r="639" spans="1:102" s="71" customFormat="1" hidden="1">
      <c r="A639" s="109"/>
      <c r="B639" s="109"/>
      <c r="C639" s="109"/>
      <c r="D639" s="115"/>
      <c r="E639" s="136"/>
      <c r="F639" s="136"/>
      <c r="G639" s="211"/>
      <c r="H639" s="136"/>
      <c r="I639" s="211"/>
      <c r="J639" s="211"/>
      <c r="K639" s="211"/>
      <c r="L639" s="136"/>
      <c r="M639" s="212"/>
      <c r="N639" s="136"/>
      <c r="O639" s="212"/>
      <c r="P639" s="116"/>
      <c r="Q639" s="103"/>
      <c r="R639" s="103"/>
      <c r="S639" s="103"/>
      <c r="T639" s="103"/>
      <c r="U639" s="68"/>
      <c r="V639" s="69"/>
      <c r="W639" s="68"/>
      <c r="X639" s="68"/>
      <c r="Y639" s="68"/>
      <c r="Z639" s="68"/>
      <c r="AA639" s="68"/>
      <c r="AB639" s="68"/>
      <c r="AC639" s="68"/>
      <c r="AD639" s="68"/>
      <c r="AE639" s="68"/>
      <c r="AF639" s="68"/>
      <c r="AG639" s="68"/>
      <c r="AH639" s="68"/>
      <c r="AI639" s="68"/>
      <c r="AJ639" s="68"/>
      <c r="AK639" s="68"/>
      <c r="AL639" s="68"/>
      <c r="AM639" s="68"/>
      <c r="AN639" s="68"/>
      <c r="AO639" s="68"/>
      <c r="AP639" s="68"/>
      <c r="AQ639" s="68"/>
      <c r="AR639" s="68"/>
      <c r="AS639" s="68"/>
      <c r="AT639" s="68"/>
      <c r="AU639" s="68"/>
      <c r="AV639" s="68"/>
      <c r="AW639" s="68"/>
      <c r="AX639" s="68"/>
      <c r="AY639" s="68"/>
      <c r="AZ639" s="68"/>
      <c r="BA639" s="68"/>
      <c r="BB639" s="68"/>
      <c r="BC639" s="68"/>
      <c r="BD639" s="68"/>
      <c r="BE639" s="68"/>
      <c r="BF639" s="68"/>
      <c r="BG639" s="68"/>
      <c r="BH639" s="68"/>
      <c r="BI639" s="68"/>
      <c r="BJ639" s="68"/>
      <c r="BK639" s="68"/>
      <c r="BL639" s="68"/>
      <c r="BM639" s="68"/>
      <c r="BN639" s="68"/>
      <c r="BO639" s="68"/>
      <c r="BP639" s="68"/>
      <c r="BQ639" s="68"/>
      <c r="BR639" s="68"/>
      <c r="BS639" s="68"/>
      <c r="BT639" s="68"/>
      <c r="BU639" s="68"/>
      <c r="BV639" s="68"/>
      <c r="BW639" s="68"/>
      <c r="BX639" s="68"/>
      <c r="BY639" s="68"/>
      <c r="BZ639" s="68"/>
      <c r="CA639" s="68"/>
      <c r="CB639" s="68"/>
      <c r="CC639" s="68"/>
      <c r="CD639" s="68"/>
      <c r="CE639" s="68"/>
      <c r="CF639" s="68"/>
      <c r="CG639" s="68"/>
      <c r="CH639" s="68"/>
      <c r="CI639" s="68"/>
      <c r="CJ639" s="68"/>
      <c r="CK639" s="68"/>
      <c r="CL639" s="68"/>
      <c r="CM639" s="68"/>
      <c r="CN639" s="68"/>
      <c r="CO639" s="68"/>
      <c r="CP639" s="68"/>
      <c r="CQ639" s="68"/>
      <c r="CR639" s="68"/>
      <c r="CS639" s="68"/>
      <c r="CT639" s="68"/>
      <c r="CU639" s="68"/>
      <c r="CV639" s="68"/>
      <c r="CW639" s="68"/>
      <c r="CX639" s="68"/>
    </row>
    <row r="640" spans="1:102" s="71" customFormat="1" hidden="1">
      <c r="A640" s="109"/>
      <c r="B640" s="109"/>
      <c r="C640" s="109"/>
      <c r="D640" s="115"/>
      <c r="E640" s="136"/>
      <c r="F640" s="136"/>
      <c r="G640" s="211"/>
      <c r="H640" s="136"/>
      <c r="I640" s="211"/>
      <c r="J640" s="211"/>
      <c r="K640" s="211"/>
      <c r="L640" s="136"/>
      <c r="M640" s="212"/>
      <c r="N640" s="136"/>
      <c r="O640" s="212"/>
      <c r="P640" s="116"/>
      <c r="Q640" s="103"/>
      <c r="R640" s="103"/>
      <c r="S640" s="103"/>
      <c r="T640" s="103"/>
      <c r="U640" s="68"/>
      <c r="V640" s="69"/>
      <c r="W640" s="68"/>
      <c r="X640" s="68"/>
      <c r="Y640" s="68"/>
      <c r="Z640" s="68"/>
      <c r="AA640" s="68"/>
      <c r="AB640" s="68"/>
      <c r="AC640" s="68"/>
      <c r="AD640" s="68"/>
      <c r="AE640" s="68"/>
      <c r="AF640" s="68"/>
      <c r="AG640" s="68"/>
      <c r="AH640" s="68"/>
      <c r="AI640" s="68"/>
      <c r="AJ640" s="68"/>
      <c r="AK640" s="68"/>
      <c r="AL640" s="68"/>
      <c r="AM640" s="68"/>
      <c r="AN640" s="68"/>
      <c r="AO640" s="68"/>
      <c r="AP640" s="68"/>
      <c r="AQ640" s="68"/>
      <c r="AR640" s="68"/>
      <c r="AS640" s="68"/>
      <c r="AT640" s="68"/>
      <c r="AU640" s="68"/>
      <c r="AV640" s="68"/>
      <c r="AW640" s="68"/>
      <c r="AX640" s="68"/>
      <c r="AY640" s="68"/>
      <c r="AZ640" s="68"/>
      <c r="BA640" s="68"/>
      <c r="BB640" s="68"/>
      <c r="BC640" s="68"/>
      <c r="BD640" s="68"/>
      <c r="BE640" s="68"/>
      <c r="BF640" s="68"/>
      <c r="BG640" s="68"/>
      <c r="BH640" s="68"/>
      <c r="BI640" s="68"/>
      <c r="BJ640" s="68"/>
      <c r="BK640" s="68"/>
      <c r="BL640" s="68"/>
      <c r="BM640" s="68"/>
      <c r="BN640" s="68"/>
      <c r="BO640" s="68"/>
      <c r="BP640" s="68"/>
      <c r="BQ640" s="68"/>
      <c r="BR640" s="68"/>
      <c r="BS640" s="68"/>
      <c r="BT640" s="68"/>
      <c r="BU640" s="68"/>
      <c r="BV640" s="68"/>
      <c r="BW640" s="68"/>
      <c r="BX640" s="68"/>
      <c r="BY640" s="68"/>
      <c r="BZ640" s="68"/>
      <c r="CA640" s="68"/>
      <c r="CB640" s="68"/>
      <c r="CC640" s="68"/>
      <c r="CD640" s="68"/>
      <c r="CE640" s="68"/>
      <c r="CF640" s="68"/>
      <c r="CG640" s="68"/>
      <c r="CH640" s="68"/>
      <c r="CI640" s="68"/>
      <c r="CJ640" s="68"/>
      <c r="CK640" s="68"/>
      <c r="CL640" s="68"/>
      <c r="CM640" s="68"/>
      <c r="CN640" s="68"/>
      <c r="CO640" s="68"/>
      <c r="CP640" s="68"/>
      <c r="CQ640" s="68"/>
      <c r="CR640" s="68"/>
      <c r="CS640" s="68"/>
      <c r="CT640" s="68"/>
      <c r="CU640" s="68"/>
      <c r="CV640" s="68"/>
      <c r="CW640" s="68"/>
      <c r="CX640" s="68"/>
    </row>
    <row r="641" spans="1:102" s="71" customFormat="1" hidden="1">
      <c r="A641" s="109"/>
      <c r="B641" s="109"/>
      <c r="C641" s="109"/>
      <c r="D641" s="115"/>
      <c r="E641" s="136"/>
      <c r="F641" s="136"/>
      <c r="G641" s="211"/>
      <c r="H641" s="136"/>
      <c r="I641" s="211"/>
      <c r="J641" s="211"/>
      <c r="K641" s="211"/>
      <c r="L641" s="136"/>
      <c r="M641" s="212"/>
      <c r="N641" s="136"/>
      <c r="O641" s="212"/>
      <c r="P641" s="116"/>
      <c r="Q641" s="103"/>
      <c r="R641" s="103"/>
      <c r="S641" s="103"/>
      <c r="T641" s="103"/>
      <c r="U641" s="68"/>
      <c r="V641" s="69"/>
      <c r="W641" s="68"/>
      <c r="X641" s="68"/>
      <c r="Y641" s="68"/>
      <c r="Z641" s="68"/>
      <c r="AA641" s="68"/>
      <c r="AB641" s="68"/>
      <c r="AC641" s="68"/>
      <c r="AD641" s="68"/>
      <c r="AE641" s="68"/>
      <c r="AF641" s="68"/>
      <c r="AG641" s="68"/>
      <c r="AH641" s="68"/>
      <c r="AI641" s="68"/>
      <c r="AJ641" s="68"/>
      <c r="AK641" s="68"/>
      <c r="AL641" s="68"/>
      <c r="AM641" s="68"/>
      <c r="AN641" s="68"/>
      <c r="AO641" s="68"/>
      <c r="AP641" s="68"/>
      <c r="AQ641" s="68"/>
      <c r="AR641" s="68"/>
      <c r="AS641" s="68"/>
      <c r="AT641" s="68"/>
      <c r="AU641" s="68"/>
      <c r="AV641" s="68"/>
      <c r="AW641" s="68"/>
      <c r="AX641" s="68"/>
      <c r="AY641" s="68"/>
      <c r="AZ641" s="68"/>
      <c r="BA641" s="68"/>
      <c r="BB641" s="68"/>
      <c r="BC641" s="68"/>
      <c r="BD641" s="68"/>
      <c r="BE641" s="68"/>
      <c r="BF641" s="68"/>
      <c r="BG641" s="68"/>
      <c r="BH641" s="68"/>
      <c r="BI641" s="68"/>
      <c r="BJ641" s="68"/>
      <c r="BK641" s="68"/>
      <c r="BL641" s="68"/>
      <c r="BM641" s="68"/>
      <c r="BN641" s="68"/>
      <c r="BO641" s="68"/>
      <c r="BP641" s="68"/>
      <c r="BQ641" s="68"/>
      <c r="BR641" s="68"/>
      <c r="BS641" s="68"/>
      <c r="BT641" s="68"/>
      <c r="BU641" s="68"/>
      <c r="BV641" s="68"/>
      <c r="BW641" s="68"/>
      <c r="BX641" s="68"/>
      <c r="BY641" s="68"/>
      <c r="BZ641" s="68"/>
      <c r="CA641" s="68"/>
      <c r="CB641" s="68"/>
      <c r="CC641" s="68"/>
      <c r="CD641" s="68"/>
      <c r="CE641" s="68"/>
      <c r="CF641" s="68"/>
      <c r="CG641" s="68"/>
      <c r="CH641" s="68"/>
      <c r="CI641" s="68"/>
      <c r="CJ641" s="68"/>
      <c r="CK641" s="68"/>
      <c r="CL641" s="68"/>
      <c r="CM641" s="68"/>
      <c r="CN641" s="68"/>
      <c r="CO641" s="68"/>
      <c r="CP641" s="68"/>
      <c r="CQ641" s="68"/>
      <c r="CR641" s="68"/>
      <c r="CS641" s="68"/>
      <c r="CT641" s="68"/>
      <c r="CU641" s="68"/>
      <c r="CV641" s="68"/>
      <c r="CW641" s="68"/>
      <c r="CX641" s="68"/>
    </row>
    <row r="642" spans="1:102" s="71" customFormat="1" hidden="1">
      <c r="A642" s="109"/>
      <c r="B642" s="109"/>
      <c r="C642" s="109"/>
      <c r="D642" s="115"/>
      <c r="E642" s="136"/>
      <c r="F642" s="136"/>
      <c r="G642" s="211"/>
      <c r="H642" s="136"/>
      <c r="I642" s="211"/>
      <c r="J642" s="211"/>
      <c r="K642" s="211"/>
      <c r="L642" s="136"/>
      <c r="M642" s="212"/>
      <c r="N642" s="136"/>
      <c r="O642" s="212"/>
      <c r="P642" s="116"/>
      <c r="Q642" s="103"/>
      <c r="R642" s="103"/>
      <c r="S642" s="103"/>
      <c r="T642" s="103"/>
      <c r="U642" s="68"/>
      <c r="V642" s="69"/>
      <c r="W642" s="68"/>
      <c r="X642" s="68"/>
      <c r="Y642" s="68"/>
      <c r="Z642" s="68"/>
      <c r="AA642" s="68"/>
      <c r="AB642" s="68"/>
      <c r="AC642" s="68"/>
      <c r="AD642" s="68"/>
      <c r="AE642" s="68"/>
      <c r="AF642" s="68"/>
      <c r="AG642" s="68"/>
      <c r="AH642" s="68"/>
      <c r="AI642" s="68"/>
      <c r="AJ642" s="68"/>
      <c r="AK642" s="68"/>
      <c r="AL642" s="68"/>
      <c r="AM642" s="68"/>
      <c r="AN642" s="68"/>
      <c r="AO642" s="68"/>
      <c r="AP642" s="68"/>
      <c r="AQ642" s="68"/>
      <c r="AR642" s="68"/>
      <c r="AS642" s="68"/>
      <c r="AT642" s="68"/>
      <c r="AU642" s="68"/>
      <c r="AV642" s="68"/>
      <c r="AW642" s="68"/>
      <c r="AX642" s="68"/>
      <c r="AY642" s="68"/>
      <c r="AZ642" s="68"/>
      <c r="BA642" s="68"/>
      <c r="BB642" s="68"/>
      <c r="BC642" s="68"/>
      <c r="BD642" s="68"/>
      <c r="BE642" s="68"/>
      <c r="BF642" s="68"/>
      <c r="BG642" s="68"/>
      <c r="BH642" s="68"/>
      <c r="BI642" s="68"/>
      <c r="BJ642" s="68"/>
      <c r="BK642" s="68"/>
      <c r="BL642" s="68"/>
      <c r="BM642" s="68"/>
      <c r="BN642" s="68"/>
      <c r="BO642" s="68"/>
      <c r="BP642" s="68"/>
      <c r="BQ642" s="68"/>
      <c r="BR642" s="68"/>
      <c r="BS642" s="68"/>
      <c r="BT642" s="68"/>
      <c r="BU642" s="68"/>
      <c r="BV642" s="68"/>
      <c r="BW642" s="68"/>
      <c r="BX642" s="68"/>
      <c r="BY642" s="68"/>
      <c r="BZ642" s="68"/>
      <c r="CA642" s="68"/>
      <c r="CB642" s="68"/>
      <c r="CC642" s="68"/>
      <c r="CD642" s="68"/>
      <c r="CE642" s="68"/>
      <c r="CF642" s="68"/>
      <c r="CG642" s="68"/>
      <c r="CH642" s="68"/>
      <c r="CI642" s="68"/>
      <c r="CJ642" s="68"/>
      <c r="CK642" s="68"/>
      <c r="CL642" s="68"/>
      <c r="CM642" s="68"/>
      <c r="CN642" s="68"/>
      <c r="CO642" s="68"/>
      <c r="CP642" s="68"/>
      <c r="CQ642" s="68"/>
      <c r="CR642" s="68"/>
      <c r="CS642" s="68"/>
      <c r="CT642" s="68"/>
      <c r="CU642" s="68"/>
      <c r="CV642" s="68"/>
      <c r="CW642" s="68"/>
      <c r="CX642" s="68"/>
    </row>
    <row r="643" spans="1:102" s="71" customFormat="1" hidden="1">
      <c r="A643" s="109"/>
      <c r="B643" s="109"/>
      <c r="C643" s="109"/>
      <c r="D643" s="115"/>
      <c r="E643" s="136"/>
      <c r="F643" s="136"/>
      <c r="G643" s="211"/>
      <c r="H643" s="136"/>
      <c r="I643" s="211"/>
      <c r="J643" s="211"/>
      <c r="K643" s="211"/>
      <c r="L643" s="136"/>
      <c r="M643" s="212"/>
      <c r="N643" s="136"/>
      <c r="O643" s="212"/>
      <c r="P643" s="116"/>
      <c r="Q643" s="103"/>
      <c r="R643" s="103"/>
      <c r="S643" s="103"/>
      <c r="T643" s="103"/>
      <c r="U643" s="68"/>
      <c r="V643" s="69"/>
      <c r="W643" s="68"/>
      <c r="X643" s="68"/>
      <c r="Y643" s="68"/>
      <c r="Z643" s="68"/>
      <c r="AA643" s="68"/>
      <c r="AB643" s="68"/>
      <c r="AC643" s="68"/>
      <c r="AD643" s="68"/>
      <c r="AE643" s="68"/>
      <c r="AF643" s="68"/>
      <c r="AG643" s="68"/>
      <c r="AH643" s="68"/>
      <c r="AI643" s="68"/>
      <c r="AJ643" s="68"/>
      <c r="AK643" s="68"/>
      <c r="AL643" s="68"/>
      <c r="AM643" s="68"/>
      <c r="AN643" s="68"/>
      <c r="AO643" s="68"/>
      <c r="AP643" s="68"/>
      <c r="AQ643" s="68"/>
      <c r="AR643" s="68"/>
      <c r="AS643" s="68"/>
      <c r="AT643" s="68"/>
      <c r="AU643" s="68"/>
      <c r="AV643" s="68"/>
      <c r="AW643" s="68"/>
      <c r="AX643" s="68"/>
      <c r="AY643" s="68"/>
      <c r="AZ643" s="68"/>
      <c r="BA643" s="68"/>
      <c r="BB643" s="68"/>
      <c r="BC643" s="68"/>
      <c r="BD643" s="68"/>
      <c r="BE643" s="68"/>
      <c r="BF643" s="68"/>
      <c r="BG643" s="68"/>
      <c r="BH643" s="68"/>
      <c r="BI643" s="68"/>
      <c r="BJ643" s="68"/>
      <c r="BK643" s="68"/>
      <c r="BL643" s="68"/>
      <c r="BM643" s="68"/>
      <c r="BN643" s="68"/>
      <c r="BO643" s="68"/>
      <c r="BP643" s="68"/>
      <c r="BQ643" s="68"/>
      <c r="BR643" s="68"/>
      <c r="BS643" s="68"/>
      <c r="BT643" s="68"/>
      <c r="BU643" s="68"/>
      <c r="BV643" s="68"/>
      <c r="BW643" s="68"/>
      <c r="BX643" s="68"/>
      <c r="BY643" s="68"/>
      <c r="BZ643" s="68"/>
      <c r="CA643" s="68"/>
      <c r="CB643" s="68"/>
      <c r="CC643" s="68"/>
      <c r="CD643" s="68"/>
      <c r="CE643" s="68"/>
      <c r="CF643" s="68"/>
      <c r="CG643" s="68"/>
      <c r="CH643" s="68"/>
      <c r="CI643" s="68"/>
      <c r="CJ643" s="68"/>
      <c r="CK643" s="68"/>
      <c r="CL643" s="68"/>
      <c r="CM643" s="68"/>
      <c r="CN643" s="68"/>
      <c r="CO643" s="68"/>
      <c r="CP643" s="68"/>
      <c r="CQ643" s="68"/>
      <c r="CR643" s="68"/>
      <c r="CS643" s="68"/>
      <c r="CT643" s="68"/>
      <c r="CU643" s="68"/>
      <c r="CV643" s="68"/>
      <c r="CW643" s="68"/>
      <c r="CX643" s="68"/>
    </row>
    <row r="644" spans="1:102" s="71" customFormat="1" hidden="1">
      <c r="A644" s="109"/>
      <c r="B644" s="109"/>
      <c r="C644" s="109"/>
      <c r="D644" s="115"/>
      <c r="E644" s="136"/>
      <c r="F644" s="136"/>
      <c r="G644" s="211"/>
      <c r="H644" s="136"/>
      <c r="I644" s="211"/>
      <c r="J644" s="211"/>
      <c r="K644" s="211"/>
      <c r="L644" s="136"/>
      <c r="M644" s="212"/>
      <c r="N644" s="136"/>
      <c r="O644" s="212"/>
      <c r="P644" s="116"/>
      <c r="Q644" s="103"/>
      <c r="R644" s="103"/>
      <c r="S644" s="103"/>
      <c r="T644" s="103"/>
      <c r="U644" s="68"/>
      <c r="V644" s="69"/>
      <c r="W644" s="68"/>
      <c r="X644" s="68"/>
      <c r="Y644" s="68"/>
      <c r="Z644" s="68"/>
      <c r="AA644" s="68"/>
      <c r="AB644" s="68"/>
      <c r="AC644" s="68"/>
      <c r="AD644" s="68"/>
      <c r="AE644" s="68"/>
      <c r="AF644" s="68"/>
      <c r="AG644" s="68"/>
      <c r="AH644" s="68"/>
      <c r="AI644" s="68"/>
      <c r="AJ644" s="68"/>
      <c r="AK644" s="68"/>
      <c r="AL644" s="68"/>
      <c r="AM644" s="68"/>
      <c r="AN644" s="68"/>
      <c r="AO644" s="68"/>
      <c r="AP644" s="68"/>
      <c r="AQ644" s="68"/>
      <c r="AR644" s="68"/>
      <c r="AS644" s="68"/>
      <c r="AT644" s="68"/>
      <c r="AU644" s="68"/>
      <c r="AV644" s="68"/>
      <c r="AW644" s="68"/>
      <c r="AX644" s="68"/>
      <c r="AY644" s="68"/>
      <c r="AZ644" s="68"/>
      <c r="BA644" s="68"/>
      <c r="BB644" s="68"/>
      <c r="BC644" s="68"/>
      <c r="BD644" s="68"/>
      <c r="BE644" s="68"/>
      <c r="BF644" s="68"/>
      <c r="BG644" s="68"/>
      <c r="BH644" s="68"/>
      <c r="BI644" s="68"/>
      <c r="BJ644" s="68"/>
      <c r="BK644" s="68"/>
      <c r="BL644" s="68"/>
      <c r="BM644" s="68"/>
      <c r="BN644" s="68"/>
      <c r="BO644" s="68"/>
      <c r="BP644" s="68"/>
      <c r="BQ644" s="68"/>
      <c r="BR644" s="68"/>
      <c r="BS644" s="68"/>
      <c r="BT644" s="68"/>
      <c r="BU644" s="68"/>
      <c r="BV644" s="68"/>
      <c r="BW644" s="68"/>
      <c r="BX644" s="68"/>
      <c r="BY644" s="68"/>
      <c r="BZ644" s="68"/>
      <c r="CA644" s="68"/>
      <c r="CB644" s="68"/>
      <c r="CC644" s="68"/>
      <c r="CD644" s="68"/>
      <c r="CE644" s="68"/>
      <c r="CF644" s="68"/>
      <c r="CG644" s="68"/>
      <c r="CH644" s="68"/>
      <c r="CI644" s="68"/>
      <c r="CJ644" s="68"/>
      <c r="CK644" s="68"/>
      <c r="CL644" s="68"/>
      <c r="CM644" s="68"/>
      <c r="CN644" s="68"/>
      <c r="CO644" s="68"/>
      <c r="CP644" s="68"/>
      <c r="CQ644" s="68"/>
      <c r="CR644" s="68"/>
      <c r="CS644" s="68"/>
      <c r="CT644" s="68"/>
      <c r="CU644" s="68"/>
      <c r="CV644" s="68"/>
      <c r="CW644" s="68"/>
      <c r="CX644" s="68"/>
    </row>
    <row r="645" spans="1:102" s="71" customFormat="1" hidden="1">
      <c r="A645" s="109"/>
      <c r="B645" s="109"/>
      <c r="C645" s="109"/>
      <c r="D645" s="115"/>
      <c r="E645" s="136"/>
      <c r="F645" s="136"/>
      <c r="G645" s="211"/>
      <c r="H645" s="136"/>
      <c r="I645" s="211"/>
      <c r="J645" s="211"/>
      <c r="K645" s="211"/>
      <c r="L645" s="136"/>
      <c r="M645" s="212"/>
      <c r="N645" s="136"/>
      <c r="O645" s="212"/>
      <c r="P645" s="116"/>
      <c r="Q645" s="103"/>
      <c r="R645" s="103"/>
      <c r="S645" s="103"/>
      <c r="T645" s="103"/>
      <c r="U645" s="68"/>
      <c r="V645" s="69"/>
      <c r="W645" s="68"/>
      <c r="X645" s="68"/>
      <c r="Y645" s="68"/>
      <c r="Z645" s="68"/>
      <c r="AA645" s="68"/>
      <c r="AB645" s="68"/>
      <c r="AC645" s="68"/>
      <c r="AD645" s="68"/>
      <c r="AE645" s="68"/>
      <c r="AF645" s="68"/>
      <c r="AG645" s="68"/>
      <c r="AH645" s="68"/>
      <c r="AI645" s="68"/>
      <c r="AJ645" s="68"/>
      <c r="AK645" s="68"/>
      <c r="AL645" s="68"/>
      <c r="AM645" s="68"/>
      <c r="AN645" s="68"/>
      <c r="AO645" s="68"/>
      <c r="AP645" s="68"/>
      <c r="AQ645" s="68"/>
      <c r="AR645" s="68"/>
      <c r="AS645" s="68"/>
      <c r="AT645" s="68"/>
      <c r="AU645" s="68"/>
      <c r="AV645" s="68"/>
      <c r="AW645" s="68"/>
      <c r="AX645" s="68"/>
      <c r="AY645" s="68"/>
      <c r="AZ645" s="68"/>
      <c r="BA645" s="68"/>
      <c r="BB645" s="68"/>
      <c r="BC645" s="68"/>
      <c r="BD645" s="68"/>
      <c r="BE645" s="68"/>
      <c r="BF645" s="68"/>
      <c r="BG645" s="68"/>
      <c r="BH645" s="68"/>
      <c r="BI645" s="68"/>
      <c r="BJ645" s="68"/>
      <c r="BK645" s="68"/>
      <c r="BL645" s="68"/>
      <c r="BM645" s="68"/>
      <c r="BN645" s="68"/>
      <c r="BO645" s="68"/>
      <c r="BP645" s="68"/>
      <c r="BQ645" s="68"/>
      <c r="BR645" s="68"/>
      <c r="BS645" s="68"/>
      <c r="BT645" s="68"/>
      <c r="BU645" s="68"/>
      <c r="BV645" s="68"/>
      <c r="BW645" s="68"/>
      <c r="BX645" s="68"/>
      <c r="BY645" s="68"/>
      <c r="BZ645" s="68"/>
      <c r="CA645" s="68"/>
      <c r="CB645" s="68"/>
      <c r="CC645" s="68"/>
      <c r="CD645" s="68"/>
      <c r="CE645" s="68"/>
      <c r="CF645" s="68"/>
      <c r="CG645" s="68"/>
      <c r="CH645" s="68"/>
      <c r="CI645" s="68"/>
      <c r="CJ645" s="68"/>
      <c r="CK645" s="68"/>
      <c r="CL645" s="68"/>
      <c r="CM645" s="68"/>
      <c r="CN645" s="68"/>
      <c r="CO645" s="68"/>
      <c r="CP645" s="68"/>
      <c r="CQ645" s="68"/>
      <c r="CR645" s="68"/>
      <c r="CS645" s="68"/>
      <c r="CT645" s="68"/>
      <c r="CU645" s="68"/>
      <c r="CV645" s="68"/>
      <c r="CW645" s="68"/>
      <c r="CX645" s="68"/>
    </row>
    <row r="646" spans="1:102" s="71" customFormat="1" hidden="1">
      <c r="A646" s="109"/>
      <c r="B646" s="109"/>
      <c r="C646" s="109"/>
      <c r="D646" s="115"/>
      <c r="E646" s="136"/>
      <c r="F646" s="136"/>
      <c r="G646" s="211"/>
      <c r="H646" s="136"/>
      <c r="I646" s="211"/>
      <c r="J646" s="211"/>
      <c r="K646" s="211"/>
      <c r="L646" s="136"/>
      <c r="M646" s="212"/>
      <c r="N646" s="136"/>
      <c r="O646" s="212"/>
      <c r="P646" s="116"/>
      <c r="Q646" s="103"/>
      <c r="R646" s="103"/>
      <c r="S646" s="103"/>
      <c r="T646" s="103"/>
      <c r="U646" s="68"/>
      <c r="V646" s="69"/>
      <c r="W646" s="68"/>
      <c r="X646" s="68"/>
      <c r="Y646" s="68"/>
      <c r="Z646" s="68"/>
      <c r="AA646" s="68"/>
      <c r="AB646" s="68"/>
      <c r="AC646" s="68"/>
      <c r="AD646" s="68"/>
      <c r="AE646" s="68"/>
      <c r="AF646" s="68"/>
      <c r="AG646" s="68"/>
      <c r="AH646" s="68"/>
      <c r="AI646" s="68"/>
      <c r="AJ646" s="68"/>
      <c r="AK646" s="68"/>
      <c r="AL646" s="68"/>
      <c r="AM646" s="68"/>
      <c r="AN646" s="68"/>
      <c r="AO646" s="68"/>
      <c r="AP646" s="68"/>
      <c r="AQ646" s="68"/>
      <c r="AR646" s="68"/>
      <c r="AS646" s="68"/>
      <c r="AT646" s="68"/>
      <c r="AU646" s="68"/>
      <c r="AV646" s="68"/>
      <c r="AW646" s="68"/>
      <c r="AX646" s="68"/>
      <c r="AY646" s="68"/>
      <c r="AZ646" s="68"/>
      <c r="BA646" s="68"/>
      <c r="BB646" s="68"/>
      <c r="BC646" s="68"/>
      <c r="BD646" s="68"/>
      <c r="BE646" s="68"/>
      <c r="BF646" s="68"/>
      <c r="BG646" s="68"/>
      <c r="BH646" s="68"/>
      <c r="BI646" s="68"/>
      <c r="BJ646" s="68"/>
      <c r="BK646" s="68"/>
      <c r="BL646" s="68"/>
      <c r="BM646" s="68"/>
      <c r="BN646" s="68"/>
      <c r="BO646" s="68"/>
      <c r="BP646" s="68"/>
      <c r="BQ646" s="68"/>
      <c r="BR646" s="68"/>
      <c r="BS646" s="68"/>
      <c r="BT646" s="68"/>
      <c r="BU646" s="68"/>
      <c r="BV646" s="68"/>
      <c r="BW646" s="68"/>
      <c r="BX646" s="68"/>
      <c r="BY646" s="68"/>
      <c r="BZ646" s="68"/>
      <c r="CA646" s="68"/>
      <c r="CB646" s="68"/>
      <c r="CC646" s="68"/>
      <c r="CD646" s="68"/>
      <c r="CE646" s="68"/>
      <c r="CF646" s="68"/>
      <c r="CG646" s="68"/>
      <c r="CH646" s="68"/>
      <c r="CI646" s="68"/>
      <c r="CJ646" s="68"/>
      <c r="CK646" s="68"/>
      <c r="CL646" s="68"/>
      <c r="CM646" s="68"/>
      <c r="CN646" s="68"/>
      <c r="CO646" s="68"/>
      <c r="CP646" s="68"/>
      <c r="CQ646" s="68"/>
      <c r="CR646" s="68"/>
      <c r="CS646" s="68"/>
      <c r="CT646" s="68"/>
      <c r="CU646" s="68"/>
      <c r="CV646" s="68"/>
      <c r="CW646" s="68"/>
      <c r="CX646" s="68"/>
    </row>
    <row r="647" spans="1:102" s="71" customFormat="1" hidden="1">
      <c r="A647" s="109"/>
      <c r="B647" s="109"/>
      <c r="C647" s="109"/>
      <c r="D647" s="115"/>
      <c r="E647" s="136"/>
      <c r="F647" s="136"/>
      <c r="G647" s="211"/>
      <c r="H647" s="136"/>
      <c r="I647" s="211"/>
      <c r="J647" s="211"/>
      <c r="K647" s="211"/>
      <c r="L647" s="136"/>
      <c r="M647" s="212"/>
      <c r="N647" s="136"/>
      <c r="O647" s="212"/>
      <c r="P647" s="116"/>
      <c r="Q647" s="103"/>
      <c r="R647" s="103"/>
      <c r="S647" s="103"/>
      <c r="T647" s="103"/>
      <c r="U647" s="68"/>
      <c r="V647" s="69"/>
      <c r="W647" s="68"/>
      <c r="X647" s="68"/>
      <c r="Y647" s="68"/>
      <c r="Z647" s="68"/>
      <c r="AA647" s="68"/>
      <c r="AB647" s="68"/>
      <c r="AC647" s="68"/>
      <c r="AD647" s="68"/>
      <c r="AE647" s="68"/>
      <c r="AF647" s="68"/>
      <c r="AG647" s="68"/>
      <c r="AH647" s="68"/>
      <c r="AI647" s="68"/>
      <c r="AJ647" s="68"/>
      <c r="AK647" s="68"/>
      <c r="AL647" s="68"/>
      <c r="AM647" s="68"/>
      <c r="AN647" s="68"/>
      <c r="AO647" s="68"/>
      <c r="AP647" s="68"/>
      <c r="AQ647" s="68"/>
      <c r="AR647" s="68"/>
      <c r="AS647" s="68"/>
      <c r="AT647" s="68"/>
      <c r="AU647" s="68"/>
      <c r="AV647" s="68"/>
      <c r="AW647" s="68"/>
      <c r="AX647" s="68"/>
      <c r="AY647" s="68"/>
      <c r="AZ647" s="68"/>
      <c r="BA647" s="68"/>
      <c r="BB647" s="68"/>
      <c r="BC647" s="68"/>
      <c r="BD647" s="68"/>
      <c r="BE647" s="68"/>
      <c r="BF647" s="68"/>
      <c r="BG647" s="68"/>
      <c r="BH647" s="68"/>
      <c r="BI647" s="68"/>
      <c r="BJ647" s="68"/>
      <c r="BK647" s="68"/>
      <c r="BL647" s="68"/>
      <c r="BM647" s="68"/>
      <c r="BN647" s="68"/>
      <c r="BO647" s="68"/>
      <c r="BP647" s="68"/>
      <c r="BQ647" s="68"/>
      <c r="BR647" s="68"/>
      <c r="BS647" s="68"/>
      <c r="BT647" s="68"/>
      <c r="BU647" s="68"/>
      <c r="BV647" s="68"/>
      <c r="BW647" s="68"/>
      <c r="BX647" s="68"/>
      <c r="BY647" s="68"/>
      <c r="BZ647" s="68"/>
      <c r="CA647" s="68"/>
      <c r="CB647" s="68"/>
      <c r="CC647" s="68"/>
      <c r="CD647" s="68"/>
      <c r="CE647" s="68"/>
      <c r="CF647" s="68"/>
      <c r="CG647" s="68"/>
      <c r="CH647" s="68"/>
      <c r="CI647" s="68"/>
      <c r="CJ647" s="68"/>
      <c r="CK647" s="68"/>
      <c r="CL647" s="68"/>
      <c r="CM647" s="68"/>
      <c r="CN647" s="68"/>
      <c r="CO647" s="68"/>
      <c r="CP647" s="68"/>
      <c r="CQ647" s="68"/>
      <c r="CR647" s="68"/>
      <c r="CS647" s="68"/>
      <c r="CT647" s="68"/>
      <c r="CU647" s="68"/>
      <c r="CV647" s="68"/>
      <c r="CW647" s="68"/>
      <c r="CX647" s="68"/>
    </row>
    <row r="648" spans="1:102" s="71" customFormat="1" hidden="1">
      <c r="A648" s="109"/>
      <c r="B648" s="109"/>
      <c r="C648" s="109"/>
      <c r="D648" s="115"/>
      <c r="E648" s="136"/>
      <c r="F648" s="136"/>
      <c r="G648" s="211"/>
      <c r="H648" s="136"/>
      <c r="I648" s="211"/>
      <c r="J648" s="211"/>
      <c r="K648" s="211"/>
      <c r="L648" s="136"/>
      <c r="M648" s="212"/>
      <c r="N648" s="136"/>
      <c r="O648" s="212"/>
      <c r="P648" s="116"/>
      <c r="Q648" s="103"/>
      <c r="R648" s="103"/>
      <c r="S648" s="103"/>
      <c r="T648" s="103"/>
      <c r="U648" s="68"/>
      <c r="V648" s="69"/>
      <c r="W648" s="68"/>
      <c r="X648" s="68"/>
      <c r="Y648" s="68"/>
      <c r="Z648" s="68"/>
      <c r="AA648" s="68"/>
      <c r="AB648" s="68"/>
      <c r="AC648" s="68"/>
      <c r="AD648" s="68"/>
      <c r="AE648" s="68"/>
      <c r="AF648" s="68"/>
      <c r="AG648" s="68"/>
      <c r="AH648" s="68"/>
      <c r="AI648" s="68"/>
      <c r="AJ648" s="68"/>
      <c r="AK648" s="68"/>
      <c r="AL648" s="68"/>
      <c r="AM648" s="68"/>
      <c r="AN648" s="68"/>
      <c r="AO648" s="68"/>
      <c r="AP648" s="68"/>
      <c r="AQ648" s="68"/>
      <c r="AR648" s="68"/>
      <c r="AS648" s="68"/>
      <c r="AT648" s="68"/>
      <c r="AU648" s="68"/>
      <c r="AV648" s="68"/>
      <c r="AW648" s="68"/>
      <c r="AX648" s="68"/>
      <c r="AY648" s="68"/>
      <c r="AZ648" s="68"/>
      <c r="BA648" s="68"/>
      <c r="BB648" s="68"/>
      <c r="BC648" s="68"/>
      <c r="BD648" s="68"/>
      <c r="BE648" s="68"/>
      <c r="BF648" s="68"/>
      <c r="BG648" s="68"/>
      <c r="BH648" s="68"/>
      <c r="BI648" s="68"/>
      <c r="BJ648" s="68"/>
      <c r="BK648" s="68"/>
      <c r="BL648" s="68"/>
      <c r="BM648" s="68"/>
      <c r="BN648" s="68"/>
      <c r="BO648" s="68"/>
      <c r="BP648" s="68"/>
      <c r="BQ648" s="68"/>
      <c r="BR648" s="68"/>
      <c r="BS648" s="68"/>
      <c r="BT648" s="68"/>
      <c r="BU648" s="68"/>
      <c r="BV648" s="68"/>
      <c r="BW648" s="68"/>
      <c r="BX648" s="68"/>
      <c r="BY648" s="68"/>
      <c r="BZ648" s="68"/>
      <c r="CA648" s="68"/>
      <c r="CB648" s="68"/>
      <c r="CC648" s="68"/>
      <c r="CD648" s="68"/>
      <c r="CE648" s="68"/>
      <c r="CF648" s="68"/>
      <c r="CG648" s="68"/>
      <c r="CH648" s="68"/>
      <c r="CI648" s="68"/>
      <c r="CJ648" s="68"/>
      <c r="CK648" s="68"/>
      <c r="CL648" s="68"/>
      <c r="CM648" s="68"/>
      <c r="CN648" s="68"/>
      <c r="CO648" s="68"/>
      <c r="CP648" s="68"/>
      <c r="CQ648" s="68"/>
      <c r="CR648" s="68"/>
      <c r="CS648" s="68"/>
      <c r="CT648" s="68"/>
      <c r="CU648" s="68"/>
      <c r="CV648" s="68"/>
      <c r="CW648" s="68"/>
      <c r="CX648" s="68"/>
    </row>
    <row r="649" spans="1:102" s="71" customFormat="1" hidden="1">
      <c r="A649" s="109"/>
      <c r="B649" s="109"/>
      <c r="C649" s="109"/>
      <c r="D649" s="115"/>
      <c r="E649" s="136"/>
      <c r="F649" s="136"/>
      <c r="G649" s="211"/>
      <c r="H649" s="136"/>
      <c r="I649" s="211"/>
      <c r="J649" s="211"/>
      <c r="K649" s="211"/>
      <c r="L649" s="136"/>
      <c r="M649" s="212"/>
      <c r="N649" s="136"/>
      <c r="O649" s="212"/>
      <c r="P649" s="116"/>
      <c r="Q649" s="103"/>
      <c r="R649" s="103"/>
      <c r="S649" s="103"/>
      <c r="T649" s="103"/>
      <c r="U649" s="68"/>
      <c r="V649" s="69"/>
      <c r="W649" s="68"/>
      <c r="X649" s="68"/>
      <c r="Y649" s="68"/>
      <c r="Z649" s="68"/>
      <c r="AA649" s="68"/>
      <c r="AB649" s="68"/>
      <c r="AC649" s="68"/>
      <c r="AD649" s="68"/>
      <c r="AE649" s="68"/>
      <c r="AF649" s="68"/>
      <c r="AG649" s="68"/>
      <c r="AH649" s="68"/>
      <c r="AI649" s="68"/>
      <c r="AJ649" s="68"/>
      <c r="AK649" s="68"/>
      <c r="AL649" s="68"/>
      <c r="AM649" s="68"/>
      <c r="AN649" s="68"/>
      <c r="AO649" s="68"/>
      <c r="AP649" s="68"/>
      <c r="AQ649" s="68"/>
      <c r="AR649" s="68"/>
      <c r="AS649" s="68"/>
      <c r="AT649" s="68"/>
      <c r="AU649" s="68"/>
      <c r="AV649" s="68"/>
      <c r="AW649" s="68"/>
      <c r="AX649" s="68"/>
      <c r="AY649" s="68"/>
      <c r="AZ649" s="68"/>
      <c r="BA649" s="68"/>
      <c r="BB649" s="68"/>
      <c r="BC649" s="68"/>
      <c r="BD649" s="68"/>
      <c r="BE649" s="68"/>
      <c r="BF649" s="68"/>
      <c r="BG649" s="68"/>
      <c r="BH649" s="68"/>
      <c r="BI649" s="68"/>
      <c r="BJ649" s="68"/>
      <c r="BK649" s="68"/>
      <c r="BL649" s="68"/>
      <c r="BM649" s="68"/>
      <c r="BN649" s="68"/>
      <c r="BO649" s="68"/>
      <c r="BP649" s="68"/>
      <c r="BQ649" s="68"/>
      <c r="BR649" s="68"/>
      <c r="BS649" s="68"/>
      <c r="BT649" s="68"/>
      <c r="BU649" s="68"/>
      <c r="BV649" s="68"/>
      <c r="BW649" s="68"/>
      <c r="BX649" s="68"/>
      <c r="BY649" s="68"/>
      <c r="BZ649" s="68"/>
      <c r="CA649" s="68"/>
      <c r="CB649" s="68"/>
      <c r="CC649" s="68"/>
      <c r="CD649" s="68"/>
      <c r="CE649" s="68"/>
      <c r="CF649" s="68"/>
      <c r="CG649" s="68"/>
      <c r="CH649" s="68"/>
      <c r="CI649" s="68"/>
      <c r="CJ649" s="68"/>
      <c r="CK649" s="68"/>
      <c r="CL649" s="68"/>
      <c r="CM649" s="68"/>
      <c r="CN649" s="68"/>
      <c r="CO649" s="68"/>
      <c r="CP649" s="68"/>
      <c r="CQ649" s="68"/>
      <c r="CR649" s="68"/>
      <c r="CS649" s="68"/>
      <c r="CT649" s="68"/>
      <c r="CU649" s="68"/>
      <c r="CV649" s="68"/>
      <c r="CW649" s="68"/>
      <c r="CX649" s="68"/>
    </row>
    <row r="650" spans="1:102" s="71" customFormat="1" hidden="1">
      <c r="A650" s="109"/>
      <c r="B650" s="109"/>
      <c r="C650" s="109"/>
      <c r="D650" s="115"/>
      <c r="E650" s="136"/>
      <c r="F650" s="136"/>
      <c r="G650" s="211"/>
      <c r="H650" s="136"/>
      <c r="I650" s="211"/>
      <c r="J650" s="211"/>
      <c r="K650" s="211"/>
      <c r="L650" s="136"/>
      <c r="M650" s="212"/>
      <c r="N650" s="136"/>
      <c r="O650" s="212"/>
      <c r="P650" s="116"/>
      <c r="Q650" s="103"/>
      <c r="R650" s="103"/>
      <c r="S650" s="103"/>
      <c r="T650" s="103"/>
      <c r="U650" s="68"/>
      <c r="V650" s="69"/>
      <c r="W650" s="68"/>
      <c r="X650" s="68"/>
      <c r="Y650" s="68"/>
      <c r="Z650" s="68"/>
      <c r="AA650" s="68"/>
      <c r="AB650" s="68"/>
      <c r="AC650" s="68"/>
      <c r="AD650" s="68"/>
      <c r="AE650" s="68"/>
      <c r="AF650" s="68"/>
      <c r="AG650" s="68"/>
      <c r="AH650" s="68"/>
      <c r="AI650" s="68"/>
      <c r="AJ650" s="68"/>
      <c r="AK650" s="68"/>
      <c r="AL650" s="68"/>
      <c r="AM650" s="68"/>
      <c r="AN650" s="68"/>
      <c r="AO650" s="68"/>
      <c r="AP650" s="68"/>
      <c r="AQ650" s="68"/>
      <c r="AR650" s="68"/>
      <c r="AS650" s="68"/>
      <c r="AT650" s="68"/>
      <c r="AU650" s="68"/>
      <c r="AV650" s="68"/>
      <c r="AW650" s="68"/>
      <c r="AX650" s="68"/>
      <c r="AY650" s="68"/>
      <c r="AZ650" s="68"/>
      <c r="BA650" s="68"/>
      <c r="BB650" s="68"/>
      <c r="BC650" s="68"/>
      <c r="BD650" s="68"/>
      <c r="BE650" s="68"/>
      <c r="BF650" s="68"/>
      <c r="BG650" s="68"/>
      <c r="BH650" s="68"/>
      <c r="BI650" s="68"/>
      <c r="BJ650" s="68"/>
      <c r="BK650" s="68"/>
      <c r="BL650" s="68"/>
      <c r="BM650" s="68"/>
      <c r="BN650" s="68"/>
      <c r="BO650" s="68"/>
      <c r="BP650" s="68"/>
      <c r="BQ650" s="68"/>
      <c r="BR650" s="68"/>
      <c r="BS650" s="68"/>
      <c r="BT650" s="68"/>
      <c r="BU650" s="68"/>
      <c r="BV650" s="68"/>
      <c r="BW650" s="68"/>
      <c r="BX650" s="68"/>
      <c r="BY650" s="68"/>
      <c r="BZ650" s="68"/>
      <c r="CA650" s="68"/>
      <c r="CB650" s="68"/>
      <c r="CC650" s="68"/>
      <c r="CD650" s="68"/>
      <c r="CE650" s="68"/>
      <c r="CF650" s="68"/>
      <c r="CG650" s="68"/>
      <c r="CH650" s="68"/>
      <c r="CI650" s="68"/>
      <c r="CJ650" s="68"/>
      <c r="CK650" s="68"/>
      <c r="CL650" s="68"/>
      <c r="CM650" s="68"/>
      <c r="CN650" s="68"/>
      <c r="CO650" s="68"/>
      <c r="CP650" s="68"/>
      <c r="CQ650" s="68"/>
      <c r="CR650" s="68"/>
      <c r="CS650" s="68"/>
      <c r="CT650" s="68"/>
      <c r="CU650" s="68"/>
      <c r="CV650" s="68"/>
      <c r="CW650" s="68"/>
      <c r="CX650" s="68"/>
    </row>
    <row r="651" spans="1:102" s="71" customFormat="1" hidden="1">
      <c r="A651" s="109"/>
      <c r="B651" s="109"/>
      <c r="C651" s="109"/>
      <c r="D651" s="115"/>
      <c r="E651" s="136"/>
      <c r="F651" s="136"/>
      <c r="G651" s="211"/>
      <c r="H651" s="136"/>
      <c r="I651" s="211"/>
      <c r="J651" s="211"/>
      <c r="K651" s="211"/>
      <c r="L651" s="136"/>
      <c r="M651" s="212"/>
      <c r="N651" s="136"/>
      <c r="O651" s="212"/>
      <c r="P651" s="116"/>
      <c r="Q651" s="103"/>
      <c r="R651" s="103"/>
      <c r="S651" s="103"/>
      <c r="T651" s="103"/>
      <c r="U651" s="68"/>
      <c r="V651" s="69"/>
      <c r="W651" s="68"/>
      <c r="X651" s="68"/>
      <c r="Y651" s="68"/>
      <c r="Z651" s="68"/>
      <c r="AA651" s="68"/>
      <c r="AB651" s="68"/>
      <c r="AC651" s="68"/>
      <c r="AD651" s="68"/>
      <c r="AE651" s="68"/>
      <c r="AF651" s="68"/>
      <c r="AG651" s="68"/>
      <c r="AH651" s="68"/>
      <c r="AI651" s="68"/>
      <c r="AJ651" s="68"/>
      <c r="AK651" s="68"/>
      <c r="AL651" s="68"/>
      <c r="AM651" s="68"/>
      <c r="AN651" s="68"/>
      <c r="AO651" s="68"/>
      <c r="AP651" s="68"/>
      <c r="AQ651" s="68"/>
      <c r="AR651" s="68"/>
      <c r="AS651" s="68"/>
      <c r="AT651" s="68"/>
      <c r="AU651" s="68"/>
      <c r="AV651" s="68"/>
      <c r="AW651" s="68"/>
      <c r="AX651" s="68"/>
      <c r="AY651" s="68"/>
      <c r="AZ651" s="68"/>
      <c r="BA651" s="68"/>
      <c r="BB651" s="68"/>
      <c r="BC651" s="68"/>
      <c r="BD651" s="68"/>
      <c r="BE651" s="68"/>
      <c r="BF651" s="68"/>
      <c r="BG651" s="68"/>
      <c r="BH651" s="68"/>
      <c r="BI651" s="68"/>
      <c r="BJ651" s="68"/>
      <c r="BK651" s="68"/>
      <c r="BL651" s="68"/>
      <c r="BM651" s="68"/>
      <c r="BN651" s="68"/>
      <c r="BO651" s="68"/>
      <c r="BP651" s="68"/>
      <c r="BQ651" s="68"/>
      <c r="BR651" s="68"/>
      <c r="BS651" s="68"/>
      <c r="BT651" s="68"/>
      <c r="BU651" s="68"/>
      <c r="BV651" s="68"/>
      <c r="BW651" s="68"/>
      <c r="BX651" s="68"/>
      <c r="BY651" s="68"/>
      <c r="BZ651" s="68"/>
      <c r="CA651" s="68"/>
      <c r="CB651" s="68"/>
      <c r="CC651" s="68"/>
      <c r="CD651" s="68"/>
      <c r="CE651" s="68"/>
      <c r="CF651" s="68"/>
      <c r="CG651" s="68"/>
      <c r="CH651" s="68"/>
      <c r="CI651" s="68"/>
      <c r="CJ651" s="68"/>
      <c r="CK651" s="68"/>
      <c r="CL651" s="68"/>
      <c r="CM651" s="68"/>
      <c r="CN651" s="68"/>
      <c r="CO651" s="68"/>
      <c r="CP651" s="68"/>
      <c r="CQ651" s="68"/>
      <c r="CR651" s="68"/>
      <c r="CS651" s="68"/>
      <c r="CT651" s="68"/>
      <c r="CU651" s="68"/>
      <c r="CV651" s="68"/>
      <c r="CW651" s="68"/>
      <c r="CX651" s="68"/>
    </row>
    <row r="652" spans="1:102" s="71" customFormat="1" hidden="1">
      <c r="A652" s="109"/>
      <c r="B652" s="109"/>
      <c r="C652" s="109"/>
      <c r="D652" s="115"/>
      <c r="E652" s="136"/>
      <c r="F652" s="136"/>
      <c r="G652" s="211"/>
      <c r="H652" s="136"/>
      <c r="I652" s="211"/>
      <c r="J652" s="211"/>
      <c r="K652" s="211"/>
      <c r="L652" s="136"/>
      <c r="M652" s="212"/>
      <c r="N652" s="136"/>
      <c r="O652" s="212"/>
      <c r="P652" s="116"/>
      <c r="Q652" s="103"/>
      <c r="R652" s="103"/>
      <c r="S652" s="103"/>
      <c r="T652" s="103"/>
      <c r="U652" s="68"/>
      <c r="V652" s="69"/>
      <c r="W652" s="68"/>
      <c r="X652" s="68"/>
      <c r="Y652" s="68"/>
      <c r="Z652" s="68"/>
      <c r="AA652" s="68"/>
      <c r="AB652" s="68"/>
      <c r="AC652" s="68"/>
      <c r="AD652" s="68"/>
      <c r="AE652" s="68"/>
      <c r="AF652" s="68"/>
      <c r="AG652" s="68"/>
      <c r="AH652" s="68"/>
      <c r="AI652" s="68"/>
      <c r="AJ652" s="68"/>
      <c r="AK652" s="68"/>
      <c r="AL652" s="68"/>
      <c r="AM652" s="68"/>
      <c r="AN652" s="68"/>
      <c r="AO652" s="68"/>
      <c r="AP652" s="68"/>
      <c r="AQ652" s="68"/>
      <c r="AR652" s="68"/>
      <c r="AS652" s="68"/>
      <c r="AT652" s="68"/>
      <c r="AU652" s="68"/>
      <c r="AV652" s="68"/>
      <c r="AW652" s="68"/>
      <c r="AX652" s="68"/>
      <c r="AY652" s="68"/>
      <c r="AZ652" s="68"/>
      <c r="BA652" s="68"/>
      <c r="BB652" s="68"/>
      <c r="BC652" s="68"/>
      <c r="BD652" s="68"/>
      <c r="BE652" s="68"/>
      <c r="BF652" s="68"/>
      <c r="BG652" s="68"/>
      <c r="BH652" s="68"/>
      <c r="BI652" s="68"/>
      <c r="BJ652" s="68"/>
      <c r="BK652" s="68"/>
      <c r="BL652" s="68"/>
      <c r="BM652" s="68"/>
      <c r="BN652" s="68"/>
      <c r="BO652" s="68"/>
      <c r="BP652" s="68"/>
      <c r="BQ652" s="68"/>
      <c r="BR652" s="68"/>
      <c r="BS652" s="68"/>
      <c r="BT652" s="68"/>
      <c r="BU652" s="68"/>
      <c r="BV652" s="68"/>
      <c r="BW652" s="68"/>
      <c r="BX652" s="68"/>
      <c r="BY652" s="68"/>
      <c r="BZ652" s="68"/>
      <c r="CA652" s="68"/>
      <c r="CB652" s="68"/>
      <c r="CC652" s="68"/>
      <c r="CD652" s="68"/>
      <c r="CE652" s="68"/>
      <c r="CF652" s="68"/>
      <c r="CG652" s="68"/>
      <c r="CH652" s="68"/>
      <c r="CI652" s="68"/>
      <c r="CJ652" s="68"/>
      <c r="CK652" s="68"/>
      <c r="CL652" s="68"/>
      <c r="CM652" s="68"/>
      <c r="CN652" s="68"/>
      <c r="CO652" s="68"/>
      <c r="CP652" s="68"/>
      <c r="CQ652" s="68"/>
      <c r="CR652" s="68"/>
      <c r="CS652" s="68"/>
      <c r="CT652" s="68"/>
      <c r="CU652" s="68"/>
      <c r="CV652" s="68"/>
      <c r="CW652" s="68"/>
      <c r="CX652" s="68"/>
    </row>
    <row r="653" spans="1:102" s="71" customFormat="1" hidden="1">
      <c r="A653" s="109"/>
      <c r="B653" s="109"/>
      <c r="C653" s="109"/>
      <c r="D653" s="115"/>
      <c r="E653" s="136"/>
      <c r="F653" s="136"/>
      <c r="G653" s="211"/>
      <c r="H653" s="136"/>
      <c r="I653" s="211"/>
      <c r="J653" s="211"/>
      <c r="K653" s="211"/>
      <c r="L653" s="136"/>
      <c r="M653" s="212"/>
      <c r="N653" s="136"/>
      <c r="O653" s="212"/>
      <c r="P653" s="116"/>
      <c r="Q653" s="103"/>
      <c r="R653" s="103"/>
      <c r="S653" s="103"/>
      <c r="T653" s="103"/>
      <c r="U653" s="68"/>
      <c r="V653" s="69"/>
      <c r="W653" s="68"/>
      <c r="X653" s="68"/>
      <c r="Y653" s="68"/>
      <c r="Z653" s="68"/>
      <c r="AA653" s="68"/>
      <c r="AB653" s="68"/>
      <c r="AC653" s="68"/>
      <c r="AD653" s="68"/>
      <c r="AE653" s="68"/>
      <c r="AF653" s="68"/>
      <c r="AG653" s="68"/>
      <c r="AH653" s="68"/>
      <c r="AI653" s="68"/>
      <c r="AJ653" s="68"/>
      <c r="AK653" s="68"/>
      <c r="AL653" s="68"/>
      <c r="AM653" s="68"/>
      <c r="AN653" s="68"/>
      <c r="AO653" s="68"/>
      <c r="AP653" s="68"/>
      <c r="AQ653" s="68"/>
      <c r="AR653" s="68"/>
      <c r="AS653" s="68"/>
      <c r="AT653" s="68"/>
      <c r="AU653" s="68"/>
      <c r="AV653" s="68"/>
      <c r="AW653" s="68"/>
      <c r="AX653" s="68"/>
      <c r="AY653" s="68"/>
      <c r="AZ653" s="68"/>
      <c r="BA653" s="68"/>
      <c r="BB653" s="68"/>
      <c r="BC653" s="68"/>
      <c r="BD653" s="68"/>
      <c r="BE653" s="68"/>
      <c r="BF653" s="68"/>
      <c r="BG653" s="68"/>
      <c r="BH653" s="68"/>
      <c r="BI653" s="68"/>
      <c r="BJ653" s="68"/>
      <c r="BK653" s="68"/>
      <c r="BL653" s="68"/>
      <c r="BM653" s="68"/>
      <c r="BN653" s="68"/>
      <c r="BO653" s="68"/>
      <c r="BP653" s="68"/>
      <c r="BQ653" s="68"/>
      <c r="BR653" s="68"/>
      <c r="BS653" s="68"/>
      <c r="BT653" s="68"/>
      <c r="BU653" s="68"/>
      <c r="BV653" s="68"/>
      <c r="BW653" s="68"/>
      <c r="BX653" s="68"/>
      <c r="BY653" s="68"/>
      <c r="BZ653" s="68"/>
      <c r="CA653" s="68"/>
      <c r="CB653" s="68"/>
      <c r="CC653" s="68"/>
      <c r="CD653" s="68"/>
      <c r="CE653" s="68"/>
      <c r="CF653" s="68"/>
      <c r="CG653" s="68"/>
      <c r="CH653" s="68"/>
      <c r="CI653" s="68"/>
      <c r="CJ653" s="68"/>
      <c r="CK653" s="68"/>
      <c r="CL653" s="68"/>
      <c r="CM653" s="68"/>
      <c r="CN653" s="68"/>
      <c r="CO653" s="68"/>
      <c r="CP653" s="68"/>
      <c r="CQ653" s="68"/>
      <c r="CR653" s="68"/>
      <c r="CS653" s="68"/>
      <c r="CT653" s="68"/>
      <c r="CU653" s="68"/>
      <c r="CV653" s="68"/>
      <c r="CW653" s="68"/>
      <c r="CX653" s="68"/>
    </row>
    <row r="654" spans="1:102" s="71" customFormat="1" hidden="1">
      <c r="A654" s="109"/>
      <c r="B654" s="109"/>
      <c r="C654" s="109"/>
      <c r="D654" s="115"/>
      <c r="E654" s="136"/>
      <c r="F654" s="136"/>
      <c r="G654" s="211"/>
      <c r="H654" s="136"/>
      <c r="I654" s="211"/>
      <c r="J654" s="211"/>
      <c r="K654" s="211"/>
      <c r="L654" s="136"/>
      <c r="M654" s="212"/>
      <c r="N654" s="136"/>
      <c r="O654" s="212"/>
      <c r="P654" s="116"/>
      <c r="Q654" s="103"/>
      <c r="R654" s="103"/>
      <c r="S654" s="103"/>
      <c r="T654" s="103"/>
      <c r="U654" s="68"/>
      <c r="V654" s="69"/>
      <c r="W654" s="68"/>
      <c r="X654" s="68"/>
      <c r="Y654" s="68"/>
      <c r="Z654" s="68"/>
      <c r="AA654" s="68"/>
      <c r="AB654" s="68"/>
      <c r="AC654" s="68"/>
      <c r="AD654" s="68"/>
      <c r="AE654" s="68"/>
      <c r="AF654" s="68"/>
      <c r="AG654" s="68"/>
      <c r="AH654" s="68"/>
      <c r="AI654" s="68"/>
      <c r="AJ654" s="68"/>
      <c r="AK654" s="68"/>
      <c r="AL654" s="68"/>
      <c r="AM654" s="68"/>
      <c r="AN654" s="68"/>
      <c r="AO654" s="68"/>
      <c r="AP654" s="68"/>
      <c r="AQ654" s="68"/>
      <c r="AR654" s="68"/>
      <c r="AS654" s="68"/>
      <c r="AT654" s="68"/>
      <c r="AU654" s="68"/>
      <c r="AV654" s="68"/>
      <c r="AW654" s="68"/>
      <c r="AX654" s="68"/>
      <c r="AY654" s="68"/>
      <c r="AZ654" s="68"/>
      <c r="BA654" s="68"/>
      <c r="BB654" s="68"/>
      <c r="BC654" s="68"/>
      <c r="BD654" s="68"/>
      <c r="BE654" s="68"/>
      <c r="BF654" s="68"/>
      <c r="BG654" s="68"/>
      <c r="BH654" s="68"/>
      <c r="BI654" s="68"/>
      <c r="BJ654" s="68"/>
      <c r="BK654" s="68"/>
      <c r="BL654" s="68"/>
      <c r="BM654" s="68"/>
      <c r="BN654" s="68"/>
      <c r="BO654" s="68"/>
      <c r="BP654" s="68"/>
      <c r="BQ654" s="68"/>
      <c r="BR654" s="68"/>
      <c r="BS654" s="68"/>
      <c r="BT654" s="68"/>
      <c r="BU654" s="68"/>
      <c r="BV654" s="68"/>
      <c r="BW654" s="68"/>
      <c r="BX654" s="68"/>
      <c r="BY654" s="68"/>
      <c r="BZ654" s="68"/>
      <c r="CA654" s="68"/>
      <c r="CB654" s="68"/>
      <c r="CC654" s="68"/>
      <c r="CD654" s="68"/>
      <c r="CE654" s="68"/>
      <c r="CF654" s="68"/>
      <c r="CG654" s="68"/>
      <c r="CH654" s="68"/>
      <c r="CI654" s="68"/>
      <c r="CJ654" s="68"/>
      <c r="CK654" s="68"/>
      <c r="CL654" s="68"/>
      <c r="CM654" s="68"/>
      <c r="CN654" s="68"/>
      <c r="CO654" s="68"/>
      <c r="CP654" s="68"/>
      <c r="CQ654" s="68"/>
      <c r="CR654" s="68"/>
      <c r="CS654" s="68"/>
      <c r="CT654" s="68"/>
      <c r="CU654" s="68"/>
      <c r="CV654" s="68"/>
      <c r="CW654" s="68"/>
      <c r="CX654" s="68"/>
    </row>
    <row r="655" spans="1:102" s="71" customFormat="1" hidden="1">
      <c r="A655" s="109"/>
      <c r="B655" s="109"/>
      <c r="C655" s="109"/>
      <c r="D655" s="115"/>
      <c r="E655" s="136"/>
      <c r="F655" s="136"/>
      <c r="G655" s="211"/>
      <c r="H655" s="136"/>
      <c r="I655" s="211"/>
      <c r="J655" s="211"/>
      <c r="K655" s="211"/>
      <c r="L655" s="136"/>
      <c r="M655" s="212"/>
      <c r="N655" s="136"/>
      <c r="O655" s="212"/>
      <c r="P655" s="116"/>
      <c r="Q655" s="103"/>
      <c r="R655" s="103"/>
      <c r="S655" s="103"/>
      <c r="T655" s="103"/>
      <c r="U655" s="68"/>
      <c r="V655" s="69"/>
      <c r="W655" s="68"/>
      <c r="X655" s="68"/>
      <c r="Y655" s="68"/>
      <c r="Z655" s="68"/>
      <c r="AA655" s="68"/>
      <c r="AB655" s="68"/>
      <c r="AC655" s="68"/>
      <c r="AD655" s="68"/>
      <c r="AE655" s="68"/>
      <c r="AF655" s="68"/>
      <c r="AG655" s="68"/>
      <c r="AH655" s="68"/>
      <c r="AI655" s="68"/>
      <c r="AJ655" s="68"/>
      <c r="AK655" s="68"/>
      <c r="AL655" s="68"/>
      <c r="AM655" s="68"/>
      <c r="AN655" s="68"/>
      <c r="AO655" s="68"/>
      <c r="AP655" s="68"/>
      <c r="AQ655" s="68"/>
      <c r="AR655" s="68"/>
      <c r="AS655" s="68"/>
      <c r="AT655" s="68"/>
      <c r="AU655" s="68"/>
      <c r="AV655" s="68"/>
      <c r="AW655" s="68"/>
      <c r="AX655" s="68"/>
      <c r="AY655" s="68"/>
      <c r="AZ655" s="68"/>
      <c r="BA655" s="68"/>
      <c r="BB655" s="68"/>
      <c r="BC655" s="68"/>
      <c r="BD655" s="68"/>
      <c r="BE655" s="68"/>
      <c r="BF655" s="68"/>
      <c r="BG655" s="68"/>
      <c r="BH655" s="68"/>
      <c r="BI655" s="68"/>
      <c r="BJ655" s="68"/>
      <c r="BK655" s="68"/>
      <c r="BL655" s="68"/>
      <c r="BM655" s="68"/>
      <c r="BN655" s="68"/>
      <c r="BO655" s="68"/>
      <c r="BP655" s="68"/>
      <c r="BQ655" s="68"/>
      <c r="BR655" s="68"/>
      <c r="BS655" s="68"/>
      <c r="BT655" s="68"/>
      <c r="BU655" s="68"/>
      <c r="BV655" s="68"/>
      <c r="BW655" s="68"/>
      <c r="BX655" s="68"/>
      <c r="BY655" s="68"/>
      <c r="BZ655" s="68"/>
      <c r="CA655" s="68"/>
      <c r="CB655" s="68"/>
      <c r="CC655" s="68"/>
      <c r="CD655" s="68"/>
      <c r="CE655" s="68"/>
      <c r="CF655" s="68"/>
      <c r="CG655" s="68"/>
      <c r="CH655" s="68"/>
      <c r="CI655" s="68"/>
      <c r="CJ655" s="68"/>
      <c r="CK655" s="68"/>
      <c r="CL655" s="68"/>
      <c r="CM655" s="68"/>
      <c r="CN655" s="68"/>
      <c r="CO655" s="68"/>
      <c r="CP655" s="68"/>
      <c r="CQ655" s="68"/>
      <c r="CR655" s="68"/>
      <c r="CS655" s="68"/>
      <c r="CT655" s="68"/>
      <c r="CU655" s="68"/>
      <c r="CV655" s="68"/>
      <c r="CW655" s="68"/>
      <c r="CX655" s="68"/>
    </row>
    <row r="656" spans="1:102" s="71" customFormat="1" hidden="1">
      <c r="A656" s="109"/>
      <c r="B656" s="109"/>
      <c r="C656" s="109"/>
      <c r="D656" s="115"/>
      <c r="E656" s="136"/>
      <c r="F656" s="136"/>
      <c r="G656" s="211"/>
      <c r="H656" s="136"/>
      <c r="I656" s="211"/>
      <c r="J656" s="211"/>
      <c r="K656" s="211"/>
      <c r="L656" s="136"/>
      <c r="M656" s="212"/>
      <c r="N656" s="136"/>
      <c r="O656" s="212"/>
      <c r="P656" s="116"/>
      <c r="Q656" s="103"/>
      <c r="R656" s="103"/>
      <c r="S656" s="103"/>
      <c r="T656" s="103"/>
      <c r="U656" s="68"/>
      <c r="V656" s="69"/>
      <c r="W656" s="68"/>
      <c r="X656" s="68"/>
      <c r="Y656" s="68"/>
      <c r="Z656" s="68"/>
      <c r="AA656" s="68"/>
      <c r="AB656" s="68"/>
      <c r="AC656" s="68"/>
      <c r="AD656" s="68"/>
      <c r="AE656" s="68"/>
      <c r="AF656" s="68"/>
      <c r="AG656" s="68"/>
      <c r="AH656" s="68"/>
      <c r="AI656" s="68"/>
      <c r="AJ656" s="68"/>
      <c r="AK656" s="68"/>
      <c r="AL656" s="68"/>
      <c r="AM656" s="68"/>
      <c r="AN656" s="68"/>
      <c r="AO656" s="68"/>
      <c r="AP656" s="68"/>
      <c r="AQ656" s="68"/>
      <c r="AR656" s="68"/>
      <c r="AS656" s="68"/>
      <c r="AT656" s="68"/>
      <c r="AU656" s="68"/>
      <c r="AV656" s="68"/>
      <c r="AW656" s="68"/>
      <c r="AX656" s="68"/>
      <c r="AY656" s="68"/>
      <c r="AZ656" s="68"/>
      <c r="BA656" s="68"/>
      <c r="BB656" s="68"/>
      <c r="BC656" s="68"/>
      <c r="BD656" s="68"/>
      <c r="BE656" s="68"/>
      <c r="BF656" s="68"/>
      <c r="BG656" s="68"/>
      <c r="BH656" s="68"/>
      <c r="BI656" s="68"/>
      <c r="BJ656" s="68"/>
      <c r="BK656" s="68"/>
      <c r="BL656" s="68"/>
      <c r="BM656" s="68"/>
      <c r="BN656" s="68"/>
      <c r="BO656" s="68"/>
      <c r="BP656" s="68"/>
      <c r="BQ656" s="68"/>
      <c r="BR656" s="68"/>
      <c r="BS656" s="68"/>
      <c r="BT656" s="68"/>
      <c r="BU656" s="68"/>
      <c r="BV656" s="68"/>
      <c r="BW656" s="68"/>
      <c r="BX656" s="68"/>
      <c r="BY656" s="68"/>
      <c r="BZ656" s="68"/>
      <c r="CA656" s="68"/>
      <c r="CB656" s="68"/>
      <c r="CC656" s="68"/>
      <c r="CD656" s="68"/>
      <c r="CE656" s="68"/>
      <c r="CF656" s="68"/>
      <c r="CG656" s="68"/>
      <c r="CH656" s="68"/>
      <c r="CI656" s="68"/>
      <c r="CJ656" s="68"/>
      <c r="CK656" s="68"/>
      <c r="CL656" s="68"/>
      <c r="CM656" s="68"/>
      <c r="CN656" s="68"/>
      <c r="CO656" s="68"/>
      <c r="CP656" s="68"/>
      <c r="CQ656" s="68"/>
      <c r="CR656" s="68"/>
      <c r="CS656" s="68"/>
      <c r="CT656" s="68"/>
      <c r="CU656" s="68"/>
      <c r="CV656" s="68"/>
      <c r="CW656" s="68"/>
      <c r="CX656" s="68"/>
    </row>
    <row r="657" spans="1:102" s="71" customFormat="1" hidden="1">
      <c r="A657" s="109"/>
      <c r="B657" s="109"/>
      <c r="C657" s="109"/>
      <c r="D657" s="115"/>
      <c r="E657" s="136"/>
      <c r="F657" s="136"/>
      <c r="G657" s="211"/>
      <c r="H657" s="136"/>
      <c r="I657" s="211"/>
      <c r="J657" s="211"/>
      <c r="K657" s="211"/>
      <c r="L657" s="136"/>
      <c r="M657" s="212"/>
      <c r="N657" s="136"/>
      <c r="O657" s="212"/>
      <c r="P657" s="116"/>
      <c r="Q657" s="103"/>
      <c r="R657" s="103"/>
      <c r="S657" s="103"/>
      <c r="T657" s="103"/>
      <c r="U657" s="68"/>
      <c r="V657" s="69"/>
      <c r="W657" s="68"/>
      <c r="X657" s="68"/>
      <c r="Y657" s="68"/>
      <c r="Z657" s="68"/>
      <c r="AA657" s="68"/>
      <c r="AB657" s="68"/>
      <c r="AC657" s="68"/>
      <c r="AD657" s="68"/>
      <c r="AE657" s="68"/>
      <c r="AF657" s="68"/>
      <c r="AG657" s="68"/>
      <c r="AH657" s="68"/>
      <c r="AI657" s="68"/>
      <c r="AJ657" s="68"/>
      <c r="AK657" s="68"/>
      <c r="AL657" s="68"/>
      <c r="AM657" s="68"/>
      <c r="AN657" s="68"/>
      <c r="AO657" s="68"/>
      <c r="AP657" s="68"/>
      <c r="AQ657" s="68"/>
      <c r="AR657" s="68"/>
      <c r="AS657" s="68"/>
      <c r="AT657" s="68"/>
      <c r="AU657" s="68"/>
      <c r="AV657" s="68"/>
      <c r="AW657" s="68"/>
      <c r="AX657" s="68"/>
      <c r="AY657" s="68"/>
      <c r="AZ657" s="68"/>
      <c r="BA657" s="68"/>
      <c r="BB657" s="68"/>
      <c r="BC657" s="68"/>
      <c r="BD657" s="68"/>
      <c r="BE657" s="68"/>
      <c r="BF657" s="68"/>
      <c r="BG657" s="68"/>
      <c r="BH657" s="68"/>
      <c r="BI657" s="68"/>
      <c r="BJ657" s="68"/>
      <c r="BK657" s="68"/>
      <c r="BL657" s="68"/>
      <c r="BM657" s="68"/>
      <c r="BN657" s="68"/>
      <c r="BO657" s="68"/>
      <c r="BP657" s="68"/>
      <c r="BQ657" s="68"/>
      <c r="BR657" s="68"/>
      <c r="BS657" s="68"/>
      <c r="BT657" s="68"/>
      <c r="BU657" s="68"/>
      <c r="BV657" s="68"/>
      <c r="BW657" s="68"/>
      <c r="BX657" s="68"/>
      <c r="BY657" s="68"/>
      <c r="BZ657" s="68"/>
      <c r="CA657" s="68"/>
      <c r="CB657" s="68"/>
      <c r="CC657" s="68"/>
      <c r="CD657" s="68"/>
      <c r="CE657" s="68"/>
      <c r="CF657" s="68"/>
      <c r="CG657" s="68"/>
      <c r="CH657" s="68"/>
      <c r="CI657" s="68"/>
      <c r="CJ657" s="68"/>
      <c r="CK657" s="68"/>
      <c r="CL657" s="68"/>
      <c r="CM657" s="68"/>
      <c r="CN657" s="68"/>
      <c r="CO657" s="68"/>
      <c r="CP657" s="68"/>
      <c r="CQ657" s="68"/>
      <c r="CR657" s="68"/>
      <c r="CS657" s="68"/>
      <c r="CT657" s="68"/>
      <c r="CU657" s="68"/>
      <c r="CV657" s="68"/>
      <c r="CW657" s="68"/>
      <c r="CX657" s="68"/>
    </row>
    <row r="658" spans="1:102" s="71" customFormat="1" hidden="1">
      <c r="A658" s="109"/>
      <c r="B658" s="109"/>
      <c r="C658" s="109"/>
      <c r="D658" s="115"/>
      <c r="E658" s="136"/>
      <c r="F658" s="136"/>
      <c r="G658" s="211"/>
      <c r="H658" s="136"/>
      <c r="I658" s="211"/>
      <c r="J658" s="211"/>
      <c r="K658" s="211"/>
      <c r="L658" s="136"/>
      <c r="M658" s="212"/>
      <c r="N658" s="136"/>
      <c r="O658" s="212"/>
      <c r="P658" s="116"/>
      <c r="Q658" s="103"/>
      <c r="R658" s="103"/>
      <c r="S658" s="103"/>
      <c r="T658" s="103"/>
      <c r="U658" s="68"/>
      <c r="V658" s="69"/>
      <c r="W658" s="68"/>
      <c r="X658" s="68"/>
      <c r="Y658" s="68"/>
      <c r="Z658" s="68"/>
      <c r="AA658" s="68"/>
      <c r="AB658" s="68"/>
      <c r="AC658" s="68"/>
      <c r="AD658" s="68"/>
      <c r="AE658" s="68"/>
      <c r="AF658" s="68"/>
      <c r="AG658" s="68"/>
      <c r="AH658" s="68"/>
      <c r="AI658" s="68"/>
      <c r="AJ658" s="68"/>
      <c r="AK658" s="68"/>
      <c r="AL658" s="68"/>
      <c r="AM658" s="68"/>
      <c r="AN658" s="68"/>
      <c r="AO658" s="68"/>
      <c r="AP658" s="68"/>
      <c r="AQ658" s="68"/>
      <c r="AR658" s="68"/>
      <c r="AS658" s="68"/>
      <c r="AT658" s="68"/>
      <c r="AU658" s="68"/>
      <c r="AV658" s="68"/>
      <c r="AW658" s="68"/>
      <c r="AX658" s="68"/>
      <c r="AY658" s="68"/>
      <c r="AZ658" s="68"/>
      <c r="BA658" s="68"/>
      <c r="BB658" s="68"/>
      <c r="BC658" s="68"/>
      <c r="BD658" s="68"/>
      <c r="BE658" s="68"/>
      <c r="BF658" s="68"/>
      <c r="BG658" s="68"/>
      <c r="BH658" s="68"/>
      <c r="BI658" s="68"/>
      <c r="BJ658" s="68"/>
      <c r="BK658" s="68"/>
      <c r="BL658" s="68"/>
      <c r="BM658" s="68"/>
      <c r="BN658" s="68"/>
      <c r="BO658" s="68"/>
      <c r="BP658" s="68"/>
      <c r="BQ658" s="68"/>
      <c r="BR658" s="68"/>
      <c r="BS658" s="68"/>
      <c r="BT658" s="68"/>
      <c r="BU658" s="68"/>
      <c r="BV658" s="68"/>
      <c r="BW658" s="68"/>
      <c r="BX658" s="68"/>
      <c r="BY658" s="68"/>
      <c r="BZ658" s="68"/>
      <c r="CA658" s="68"/>
      <c r="CB658" s="68"/>
      <c r="CC658" s="68"/>
      <c r="CD658" s="68"/>
      <c r="CE658" s="68"/>
      <c r="CF658" s="68"/>
      <c r="CG658" s="68"/>
      <c r="CH658" s="68"/>
      <c r="CI658" s="68"/>
      <c r="CJ658" s="68"/>
      <c r="CK658" s="68"/>
      <c r="CL658" s="68"/>
      <c r="CM658" s="68"/>
      <c r="CN658" s="68"/>
      <c r="CO658" s="68"/>
      <c r="CP658" s="68"/>
      <c r="CQ658" s="68"/>
      <c r="CR658" s="68"/>
      <c r="CS658" s="68"/>
      <c r="CT658" s="68"/>
      <c r="CU658" s="68"/>
      <c r="CV658" s="68"/>
      <c r="CW658" s="68"/>
      <c r="CX658" s="68"/>
    </row>
    <row r="659" spans="1:102" s="71" customFormat="1" hidden="1">
      <c r="A659" s="109"/>
      <c r="B659" s="109"/>
      <c r="C659" s="109"/>
      <c r="D659" s="115"/>
      <c r="E659" s="136"/>
      <c r="F659" s="136"/>
      <c r="G659" s="211"/>
      <c r="H659" s="136"/>
      <c r="I659" s="211"/>
      <c r="J659" s="211"/>
      <c r="K659" s="211"/>
      <c r="L659" s="136"/>
      <c r="M659" s="212"/>
      <c r="N659" s="136"/>
      <c r="O659" s="212"/>
      <c r="P659" s="116"/>
      <c r="Q659" s="103"/>
      <c r="R659" s="103"/>
      <c r="S659" s="103"/>
      <c r="T659" s="103"/>
      <c r="U659" s="68"/>
      <c r="V659" s="69"/>
      <c r="W659" s="68"/>
      <c r="X659" s="68"/>
      <c r="Y659" s="68"/>
      <c r="Z659" s="68"/>
      <c r="AA659" s="68"/>
      <c r="AB659" s="68"/>
      <c r="AC659" s="68"/>
      <c r="AD659" s="68"/>
      <c r="AE659" s="68"/>
      <c r="AF659" s="68"/>
      <c r="AG659" s="68"/>
      <c r="AH659" s="68"/>
      <c r="AI659" s="68"/>
      <c r="AJ659" s="68"/>
      <c r="AK659" s="68"/>
      <c r="AL659" s="68"/>
      <c r="AM659" s="68"/>
      <c r="AN659" s="68"/>
      <c r="AO659" s="68"/>
      <c r="AP659" s="68"/>
      <c r="AQ659" s="68"/>
      <c r="AR659" s="68"/>
      <c r="AS659" s="68"/>
      <c r="AT659" s="68"/>
      <c r="AU659" s="68"/>
      <c r="AV659" s="68"/>
      <c r="AW659" s="68"/>
      <c r="AX659" s="68"/>
      <c r="AY659" s="68"/>
      <c r="AZ659" s="68"/>
      <c r="BA659" s="68"/>
      <c r="BB659" s="68"/>
      <c r="BC659" s="68"/>
      <c r="BD659" s="68"/>
      <c r="BE659" s="68"/>
      <c r="BF659" s="68"/>
      <c r="BG659" s="68"/>
      <c r="BH659" s="68"/>
      <c r="BI659" s="68"/>
      <c r="BJ659" s="68"/>
      <c r="BK659" s="68"/>
      <c r="BL659" s="68"/>
      <c r="BM659" s="68"/>
      <c r="BN659" s="68"/>
      <c r="BO659" s="68"/>
      <c r="BP659" s="68"/>
      <c r="BQ659" s="68"/>
      <c r="BR659" s="68"/>
      <c r="BS659" s="68"/>
      <c r="BT659" s="68"/>
      <c r="BU659" s="68"/>
      <c r="BV659" s="68"/>
      <c r="BW659" s="68"/>
      <c r="BX659" s="68"/>
      <c r="BY659" s="68"/>
      <c r="BZ659" s="68"/>
      <c r="CA659" s="68"/>
      <c r="CB659" s="68"/>
      <c r="CC659" s="68"/>
      <c r="CD659" s="68"/>
      <c r="CE659" s="68"/>
      <c r="CF659" s="68"/>
      <c r="CG659" s="68"/>
      <c r="CH659" s="68"/>
      <c r="CI659" s="68"/>
      <c r="CJ659" s="68"/>
      <c r="CK659" s="68"/>
      <c r="CL659" s="68"/>
      <c r="CM659" s="68"/>
      <c r="CN659" s="68"/>
      <c r="CO659" s="68"/>
      <c r="CP659" s="68"/>
      <c r="CQ659" s="68"/>
      <c r="CR659" s="68"/>
      <c r="CS659" s="68"/>
      <c r="CT659" s="68"/>
      <c r="CU659" s="68"/>
      <c r="CV659" s="68"/>
      <c r="CW659" s="68"/>
      <c r="CX659" s="68"/>
    </row>
    <row r="660" spans="1:102" s="71" customFormat="1" hidden="1">
      <c r="A660" s="109"/>
      <c r="B660" s="109"/>
      <c r="C660" s="109"/>
      <c r="D660" s="115"/>
      <c r="E660" s="136"/>
      <c r="F660" s="136"/>
      <c r="G660" s="211"/>
      <c r="H660" s="136"/>
      <c r="I660" s="211"/>
      <c r="J660" s="211"/>
      <c r="K660" s="211"/>
      <c r="L660" s="136"/>
      <c r="M660" s="212"/>
      <c r="N660" s="136"/>
      <c r="O660" s="212"/>
      <c r="P660" s="116"/>
      <c r="Q660" s="103"/>
      <c r="R660" s="103"/>
      <c r="S660" s="103"/>
      <c r="T660" s="103"/>
      <c r="U660" s="68"/>
      <c r="V660" s="69"/>
      <c r="W660" s="68"/>
      <c r="X660" s="68"/>
      <c r="Y660" s="68"/>
      <c r="Z660" s="68"/>
      <c r="AA660" s="68"/>
      <c r="AB660" s="68"/>
      <c r="AC660" s="68"/>
      <c r="AD660" s="68"/>
      <c r="AE660" s="68"/>
      <c r="AF660" s="68"/>
      <c r="AG660" s="68"/>
      <c r="AH660" s="68"/>
      <c r="AI660" s="68"/>
      <c r="AJ660" s="68"/>
      <c r="AK660" s="68"/>
      <c r="AL660" s="68"/>
      <c r="AM660" s="68"/>
      <c r="AN660" s="68"/>
      <c r="AO660" s="68"/>
      <c r="AP660" s="68"/>
      <c r="AQ660" s="68"/>
      <c r="AR660" s="68"/>
      <c r="AS660" s="68"/>
      <c r="AT660" s="68"/>
      <c r="AU660" s="68"/>
      <c r="AV660" s="68"/>
      <c r="AW660" s="68"/>
      <c r="AX660" s="68"/>
      <c r="AY660" s="68"/>
      <c r="AZ660" s="68"/>
      <c r="BA660" s="68"/>
      <c r="BB660" s="68"/>
      <c r="BC660" s="68"/>
      <c r="BD660" s="68"/>
      <c r="BE660" s="68"/>
      <c r="BF660" s="68"/>
      <c r="BG660" s="68"/>
      <c r="BH660" s="68"/>
      <c r="BI660" s="68"/>
      <c r="BJ660" s="68"/>
      <c r="BK660" s="68"/>
      <c r="BL660" s="68"/>
      <c r="BM660" s="68"/>
      <c r="BN660" s="68"/>
      <c r="BO660" s="68"/>
      <c r="BP660" s="68"/>
      <c r="BQ660" s="68"/>
      <c r="BR660" s="68"/>
      <c r="BS660" s="68"/>
      <c r="BT660" s="68"/>
      <c r="BU660" s="68"/>
      <c r="BV660" s="68"/>
      <c r="BW660" s="68"/>
      <c r="BX660" s="68"/>
      <c r="BY660" s="68"/>
      <c r="BZ660" s="68"/>
      <c r="CA660" s="68"/>
      <c r="CB660" s="68"/>
      <c r="CC660" s="68"/>
      <c r="CD660" s="68"/>
      <c r="CE660" s="68"/>
      <c r="CF660" s="68"/>
      <c r="CG660" s="68"/>
      <c r="CH660" s="68"/>
      <c r="CI660" s="68"/>
      <c r="CJ660" s="68"/>
      <c r="CK660" s="68"/>
      <c r="CL660" s="68"/>
      <c r="CM660" s="68"/>
      <c r="CN660" s="68"/>
      <c r="CO660" s="68"/>
      <c r="CP660" s="68"/>
      <c r="CQ660" s="68"/>
      <c r="CR660" s="68"/>
      <c r="CS660" s="68"/>
      <c r="CT660" s="68"/>
      <c r="CU660" s="68"/>
      <c r="CV660" s="68"/>
      <c r="CW660" s="68"/>
      <c r="CX660" s="68"/>
    </row>
    <row r="661" spans="1:102" s="71" customFormat="1" hidden="1">
      <c r="A661" s="109"/>
      <c r="B661" s="109"/>
      <c r="C661" s="109"/>
      <c r="D661" s="115"/>
      <c r="E661" s="136"/>
      <c r="F661" s="136"/>
      <c r="G661" s="211"/>
      <c r="H661" s="136"/>
      <c r="I661" s="211"/>
      <c r="J661" s="211"/>
      <c r="K661" s="211"/>
      <c r="L661" s="136"/>
      <c r="M661" s="212"/>
      <c r="N661" s="136"/>
      <c r="O661" s="212"/>
      <c r="P661" s="116"/>
      <c r="Q661" s="103"/>
      <c r="R661" s="103"/>
      <c r="S661" s="103"/>
      <c r="T661" s="103"/>
      <c r="U661" s="68"/>
      <c r="V661" s="69"/>
      <c r="W661" s="68"/>
      <c r="X661" s="68"/>
      <c r="Y661" s="68"/>
      <c r="Z661" s="68"/>
      <c r="AA661" s="68"/>
      <c r="AB661" s="68"/>
      <c r="AC661" s="68"/>
      <c r="AD661" s="68"/>
      <c r="AE661" s="68"/>
      <c r="AF661" s="68"/>
      <c r="AG661" s="68"/>
      <c r="AH661" s="68"/>
      <c r="AI661" s="68"/>
      <c r="AJ661" s="68"/>
      <c r="AK661" s="68"/>
      <c r="AL661" s="68"/>
      <c r="AM661" s="68"/>
      <c r="AN661" s="68"/>
      <c r="AO661" s="68"/>
      <c r="AP661" s="68"/>
      <c r="AQ661" s="68"/>
      <c r="AR661" s="68"/>
      <c r="AS661" s="68"/>
      <c r="AT661" s="68"/>
      <c r="AU661" s="68"/>
      <c r="AV661" s="68"/>
      <c r="AW661" s="68"/>
      <c r="AX661" s="68"/>
      <c r="AY661" s="68"/>
      <c r="AZ661" s="68"/>
      <c r="BA661" s="68"/>
      <c r="BB661" s="68"/>
      <c r="BC661" s="68"/>
      <c r="BD661" s="68"/>
      <c r="BE661" s="68"/>
      <c r="BF661" s="68"/>
      <c r="BG661" s="68"/>
      <c r="BH661" s="68"/>
      <c r="BI661" s="68"/>
      <c r="BJ661" s="68"/>
      <c r="BK661" s="68"/>
      <c r="BL661" s="68"/>
      <c r="BM661" s="68"/>
      <c r="BN661" s="68"/>
      <c r="BO661" s="68"/>
      <c r="BP661" s="68"/>
      <c r="BQ661" s="68"/>
      <c r="BR661" s="68"/>
      <c r="BS661" s="68"/>
      <c r="BT661" s="68"/>
      <c r="BU661" s="68"/>
      <c r="BV661" s="68"/>
      <c r="BW661" s="68"/>
      <c r="BX661" s="68"/>
      <c r="BY661" s="68"/>
      <c r="BZ661" s="68"/>
      <c r="CA661" s="68"/>
      <c r="CB661" s="68"/>
      <c r="CC661" s="68"/>
      <c r="CD661" s="68"/>
      <c r="CE661" s="68"/>
      <c r="CF661" s="68"/>
      <c r="CG661" s="68"/>
      <c r="CH661" s="68"/>
      <c r="CI661" s="68"/>
      <c r="CJ661" s="68"/>
      <c r="CK661" s="68"/>
      <c r="CL661" s="68"/>
      <c r="CM661" s="68"/>
      <c r="CN661" s="68"/>
      <c r="CO661" s="68"/>
      <c r="CP661" s="68"/>
      <c r="CQ661" s="68"/>
      <c r="CR661" s="68"/>
      <c r="CS661" s="68"/>
      <c r="CT661" s="68"/>
      <c r="CU661" s="68"/>
      <c r="CV661" s="68"/>
      <c r="CW661" s="68"/>
      <c r="CX661" s="68"/>
    </row>
    <row r="662" spans="1:102" s="71" customFormat="1" hidden="1">
      <c r="A662" s="109"/>
      <c r="B662" s="109"/>
      <c r="C662" s="109"/>
      <c r="D662" s="115"/>
      <c r="E662" s="100"/>
      <c r="F662" s="100"/>
      <c r="G662" s="111"/>
      <c r="H662" s="105"/>
      <c r="I662" s="111"/>
      <c r="J662" s="111"/>
      <c r="K662" s="112"/>
      <c r="L662" s="113"/>
      <c r="M662" s="114"/>
      <c r="N662" s="100"/>
      <c r="O662" s="114"/>
      <c r="P662" s="65"/>
      <c r="Q662" s="103"/>
      <c r="R662" s="103"/>
      <c r="S662" s="103"/>
      <c r="T662" s="103"/>
      <c r="U662" s="68"/>
      <c r="V662" s="69"/>
      <c r="W662" s="68"/>
      <c r="X662" s="68"/>
      <c r="Y662" s="68"/>
      <c r="Z662" s="68"/>
      <c r="AA662" s="68"/>
      <c r="AB662" s="68"/>
      <c r="AC662" s="68"/>
      <c r="AD662" s="68"/>
      <c r="AE662" s="68"/>
      <c r="AF662" s="68"/>
      <c r="AG662" s="68"/>
      <c r="AH662" s="68"/>
      <c r="AI662" s="68"/>
      <c r="AJ662" s="68"/>
      <c r="AK662" s="68"/>
      <c r="AL662" s="68"/>
      <c r="AM662" s="68"/>
      <c r="AN662" s="68"/>
      <c r="AO662" s="68"/>
      <c r="AP662" s="68"/>
      <c r="AQ662" s="68"/>
      <c r="AR662" s="68"/>
      <c r="AS662" s="68"/>
      <c r="AT662" s="68"/>
      <c r="AU662" s="68"/>
      <c r="AV662" s="68"/>
      <c r="AW662" s="68"/>
      <c r="AX662" s="68"/>
      <c r="AY662" s="68"/>
      <c r="AZ662" s="68"/>
      <c r="BA662" s="68"/>
      <c r="BB662" s="68"/>
      <c r="BC662" s="68"/>
      <c r="BD662" s="68"/>
      <c r="BE662" s="68"/>
      <c r="BF662" s="68"/>
      <c r="BG662" s="68"/>
      <c r="BH662" s="68"/>
      <c r="BI662" s="68"/>
      <c r="BJ662" s="68"/>
      <c r="BK662" s="68"/>
      <c r="BL662" s="68"/>
      <c r="BM662" s="68"/>
      <c r="BN662" s="68"/>
      <c r="BO662" s="68"/>
      <c r="BP662" s="68"/>
      <c r="BQ662" s="68"/>
      <c r="BR662" s="68"/>
      <c r="BS662" s="68"/>
      <c r="BT662" s="68"/>
      <c r="BU662" s="68"/>
      <c r="BV662" s="68"/>
      <c r="BW662" s="68"/>
      <c r="BX662" s="68"/>
      <c r="BY662" s="68"/>
      <c r="BZ662" s="68"/>
      <c r="CA662" s="68"/>
      <c r="CB662" s="68"/>
      <c r="CC662" s="68"/>
      <c r="CD662" s="68"/>
      <c r="CE662" s="68"/>
      <c r="CF662" s="68"/>
      <c r="CG662" s="68"/>
      <c r="CH662" s="68"/>
      <c r="CI662" s="68"/>
      <c r="CJ662" s="68"/>
      <c r="CK662" s="68"/>
      <c r="CL662" s="68"/>
      <c r="CM662" s="68"/>
      <c r="CN662" s="68"/>
      <c r="CO662" s="68"/>
      <c r="CP662" s="68"/>
      <c r="CQ662" s="68"/>
      <c r="CR662" s="68"/>
      <c r="CS662" s="68"/>
      <c r="CT662" s="68"/>
      <c r="CU662" s="68"/>
      <c r="CV662" s="68"/>
      <c r="CW662" s="68"/>
      <c r="CX662" s="68"/>
    </row>
    <row r="663" spans="1:102" s="71" customFormat="1" hidden="1">
      <c r="A663" s="109"/>
      <c r="B663" s="109"/>
      <c r="C663" s="109"/>
      <c r="D663" s="115"/>
      <c r="E663" s="100"/>
      <c r="F663" s="100"/>
      <c r="G663" s="111"/>
      <c r="H663" s="105"/>
      <c r="I663" s="111"/>
      <c r="J663" s="111"/>
      <c r="K663" s="112"/>
      <c r="L663" s="113"/>
      <c r="M663" s="114"/>
      <c r="N663" s="100"/>
      <c r="O663" s="114"/>
      <c r="P663" s="65"/>
      <c r="Q663" s="103"/>
      <c r="R663" s="103"/>
      <c r="S663" s="103"/>
      <c r="T663" s="103"/>
      <c r="U663" s="68"/>
      <c r="V663" s="69"/>
      <c r="W663" s="68"/>
      <c r="X663" s="68"/>
      <c r="Y663" s="68"/>
      <c r="Z663" s="68"/>
      <c r="AA663" s="68"/>
      <c r="AB663" s="68"/>
      <c r="AC663" s="68"/>
      <c r="AD663" s="68"/>
      <c r="AE663" s="68"/>
      <c r="AF663" s="68"/>
      <c r="AG663" s="68"/>
      <c r="AH663" s="68"/>
      <c r="AI663" s="68"/>
      <c r="AJ663" s="68"/>
      <c r="AK663" s="68"/>
      <c r="AL663" s="68"/>
      <c r="AM663" s="68"/>
      <c r="AN663" s="68"/>
      <c r="AO663" s="68"/>
      <c r="AP663" s="68"/>
      <c r="AQ663" s="68"/>
      <c r="AR663" s="68"/>
      <c r="AS663" s="68"/>
      <c r="AT663" s="68"/>
      <c r="AU663" s="68"/>
      <c r="AV663" s="68"/>
      <c r="AW663" s="68"/>
      <c r="AX663" s="68"/>
      <c r="AY663" s="68"/>
      <c r="AZ663" s="68"/>
      <c r="BA663" s="68"/>
      <c r="BB663" s="68"/>
      <c r="BC663" s="68"/>
      <c r="BD663" s="68"/>
      <c r="BE663" s="68"/>
      <c r="BF663" s="68"/>
      <c r="BG663" s="68"/>
      <c r="BH663" s="68"/>
      <c r="BI663" s="68"/>
      <c r="BJ663" s="68"/>
      <c r="BK663" s="68"/>
      <c r="BL663" s="68"/>
      <c r="BM663" s="68"/>
      <c r="BN663" s="68"/>
      <c r="BO663" s="68"/>
      <c r="BP663" s="68"/>
      <c r="BQ663" s="68"/>
      <c r="BR663" s="68"/>
      <c r="BS663" s="68"/>
      <c r="BT663" s="68"/>
      <c r="BU663" s="68"/>
      <c r="BV663" s="68"/>
      <c r="BW663" s="68"/>
      <c r="BX663" s="68"/>
      <c r="BY663" s="68"/>
      <c r="BZ663" s="68"/>
      <c r="CA663" s="68"/>
      <c r="CB663" s="68"/>
      <c r="CC663" s="68"/>
      <c r="CD663" s="68"/>
      <c r="CE663" s="68"/>
      <c r="CF663" s="68"/>
      <c r="CG663" s="68"/>
      <c r="CH663" s="68"/>
      <c r="CI663" s="68"/>
      <c r="CJ663" s="68"/>
      <c r="CK663" s="68"/>
      <c r="CL663" s="68"/>
      <c r="CM663" s="68"/>
      <c r="CN663" s="68"/>
      <c r="CO663" s="68"/>
      <c r="CP663" s="68"/>
      <c r="CQ663" s="68"/>
      <c r="CR663" s="68"/>
      <c r="CS663" s="68"/>
      <c r="CT663" s="68"/>
      <c r="CU663" s="68"/>
      <c r="CV663" s="68"/>
      <c r="CW663" s="68"/>
      <c r="CX663" s="68"/>
    </row>
    <row r="664" spans="1:102" s="71" customFormat="1" hidden="1">
      <c r="A664" s="109"/>
      <c r="B664" s="109"/>
      <c r="C664" s="109"/>
      <c r="D664" s="115"/>
      <c r="E664" s="100"/>
      <c r="F664" s="100"/>
      <c r="G664" s="111"/>
      <c r="H664" s="105"/>
      <c r="I664" s="111"/>
      <c r="J664" s="111"/>
      <c r="K664" s="112"/>
      <c r="L664" s="113"/>
      <c r="M664" s="114"/>
      <c r="N664" s="100"/>
      <c r="O664" s="114"/>
      <c r="P664" s="65"/>
      <c r="Q664" s="103"/>
      <c r="R664" s="103"/>
      <c r="S664" s="103"/>
      <c r="T664" s="103"/>
      <c r="U664" s="68"/>
      <c r="V664" s="69"/>
      <c r="W664" s="68"/>
      <c r="X664" s="68"/>
      <c r="Y664" s="68"/>
      <c r="Z664" s="68"/>
      <c r="AA664" s="68"/>
      <c r="AB664" s="68"/>
      <c r="AC664" s="68"/>
      <c r="AD664" s="68"/>
      <c r="AE664" s="68"/>
      <c r="AF664" s="68"/>
      <c r="AG664" s="68"/>
      <c r="AH664" s="68"/>
      <c r="AI664" s="68"/>
      <c r="AJ664" s="68"/>
      <c r="AK664" s="68"/>
      <c r="AL664" s="68"/>
      <c r="AM664" s="68"/>
      <c r="AN664" s="68"/>
      <c r="AO664" s="68"/>
      <c r="AP664" s="68"/>
      <c r="AQ664" s="68"/>
      <c r="AR664" s="68"/>
      <c r="AS664" s="68"/>
      <c r="AT664" s="68"/>
      <c r="AU664" s="68"/>
      <c r="AV664" s="68"/>
      <c r="AW664" s="68"/>
      <c r="AX664" s="68"/>
      <c r="AY664" s="68"/>
      <c r="AZ664" s="68"/>
      <c r="BA664" s="68"/>
      <c r="BB664" s="68"/>
      <c r="BC664" s="68"/>
      <c r="BD664" s="68"/>
      <c r="BE664" s="68"/>
      <c r="BF664" s="68"/>
      <c r="BG664" s="68"/>
      <c r="BH664" s="68"/>
      <c r="BI664" s="68"/>
      <c r="BJ664" s="68"/>
      <c r="BK664" s="68"/>
      <c r="BL664" s="68"/>
      <c r="BM664" s="68"/>
      <c r="BN664" s="68"/>
      <c r="BO664" s="68"/>
      <c r="BP664" s="68"/>
      <c r="BQ664" s="68"/>
      <c r="BR664" s="68"/>
      <c r="BS664" s="68"/>
      <c r="BT664" s="68"/>
      <c r="BU664" s="68"/>
      <c r="BV664" s="68"/>
      <c r="BW664" s="68"/>
      <c r="BX664" s="68"/>
      <c r="BY664" s="68"/>
      <c r="BZ664" s="68"/>
      <c r="CA664" s="68"/>
      <c r="CB664" s="68"/>
      <c r="CC664" s="68"/>
      <c r="CD664" s="68"/>
      <c r="CE664" s="68"/>
      <c r="CF664" s="68"/>
      <c r="CG664" s="68"/>
      <c r="CH664" s="68"/>
      <c r="CI664" s="68"/>
      <c r="CJ664" s="68"/>
      <c r="CK664" s="68"/>
      <c r="CL664" s="68"/>
      <c r="CM664" s="68"/>
      <c r="CN664" s="68"/>
      <c r="CO664" s="68"/>
      <c r="CP664" s="68"/>
      <c r="CQ664" s="68"/>
      <c r="CR664" s="68"/>
      <c r="CS664" s="68"/>
      <c r="CT664" s="68"/>
      <c r="CU664" s="68"/>
      <c r="CV664" s="68"/>
      <c r="CW664" s="68"/>
      <c r="CX664" s="68"/>
    </row>
    <row r="665" spans="1:102" s="71" customFormat="1" hidden="1">
      <c r="A665" s="109"/>
      <c r="B665" s="109"/>
      <c r="C665" s="109"/>
      <c r="D665" s="115"/>
      <c r="E665" s="100"/>
      <c r="F665" s="100"/>
      <c r="G665" s="111"/>
      <c r="H665" s="105"/>
      <c r="I665" s="111"/>
      <c r="J665" s="111"/>
      <c r="K665" s="112"/>
      <c r="L665" s="113"/>
      <c r="M665" s="114"/>
      <c r="N665" s="100"/>
      <c r="O665" s="114"/>
      <c r="P665" s="65"/>
      <c r="Q665" s="103"/>
      <c r="R665" s="103"/>
      <c r="S665" s="103"/>
      <c r="T665" s="103"/>
      <c r="U665" s="68"/>
      <c r="V665" s="69"/>
      <c r="W665" s="68"/>
      <c r="X665" s="68"/>
      <c r="Y665" s="68"/>
      <c r="Z665" s="68"/>
      <c r="AA665" s="68"/>
      <c r="AB665" s="68"/>
      <c r="AC665" s="68"/>
      <c r="AD665" s="68"/>
      <c r="AE665" s="68"/>
      <c r="AF665" s="68"/>
      <c r="AG665" s="68"/>
      <c r="AH665" s="68"/>
      <c r="AI665" s="68"/>
      <c r="AJ665" s="68"/>
      <c r="AK665" s="68"/>
      <c r="AL665" s="68"/>
      <c r="AM665" s="68"/>
      <c r="AN665" s="68"/>
      <c r="AO665" s="68"/>
      <c r="AP665" s="68"/>
      <c r="AQ665" s="68"/>
      <c r="AR665" s="68"/>
      <c r="AS665" s="68"/>
      <c r="AT665" s="68"/>
      <c r="AU665" s="68"/>
      <c r="AV665" s="68"/>
      <c r="AW665" s="68"/>
      <c r="AX665" s="68"/>
      <c r="AY665" s="68"/>
      <c r="AZ665" s="68"/>
      <c r="BA665" s="68"/>
      <c r="BB665" s="68"/>
      <c r="BC665" s="68"/>
      <c r="BD665" s="68"/>
      <c r="BE665" s="68"/>
      <c r="BF665" s="68"/>
      <c r="BG665" s="68"/>
      <c r="BH665" s="68"/>
      <c r="BI665" s="68"/>
      <c r="BJ665" s="68"/>
      <c r="BK665" s="68"/>
      <c r="BL665" s="68"/>
      <c r="BM665" s="68"/>
      <c r="BN665" s="68"/>
      <c r="BO665" s="68"/>
      <c r="BP665" s="68"/>
      <c r="BQ665" s="68"/>
      <c r="BR665" s="68"/>
      <c r="BS665" s="68"/>
      <c r="BT665" s="68"/>
      <c r="BU665" s="68"/>
      <c r="BV665" s="68"/>
      <c r="BW665" s="68"/>
      <c r="BX665" s="68"/>
      <c r="BY665" s="68"/>
      <c r="BZ665" s="68"/>
      <c r="CA665" s="68"/>
      <c r="CB665" s="68"/>
      <c r="CC665" s="68"/>
      <c r="CD665" s="68"/>
      <c r="CE665" s="68"/>
      <c r="CF665" s="68"/>
      <c r="CG665" s="68"/>
      <c r="CH665" s="68"/>
      <c r="CI665" s="68"/>
      <c r="CJ665" s="68"/>
      <c r="CK665" s="68"/>
      <c r="CL665" s="68"/>
      <c r="CM665" s="68"/>
      <c r="CN665" s="68"/>
      <c r="CO665" s="68"/>
      <c r="CP665" s="68"/>
      <c r="CQ665" s="68"/>
      <c r="CR665" s="68"/>
      <c r="CS665" s="68"/>
      <c r="CT665" s="68"/>
      <c r="CU665" s="68"/>
      <c r="CV665" s="68"/>
      <c r="CW665" s="68"/>
      <c r="CX665" s="68"/>
    </row>
    <row r="666" spans="1:102" s="71" customFormat="1" hidden="1">
      <c r="A666" s="109"/>
      <c r="B666" s="109"/>
      <c r="C666" s="109"/>
      <c r="D666" s="115"/>
      <c r="E666" s="100"/>
      <c r="F666" s="100"/>
      <c r="G666" s="111"/>
      <c r="H666" s="105"/>
      <c r="I666" s="111"/>
      <c r="J666" s="111"/>
      <c r="K666" s="112"/>
      <c r="L666" s="113"/>
      <c r="M666" s="114"/>
      <c r="N666" s="100"/>
      <c r="O666" s="114"/>
      <c r="P666" s="65"/>
      <c r="Q666" s="103"/>
      <c r="R666" s="103"/>
      <c r="S666" s="103"/>
      <c r="T666" s="103"/>
      <c r="U666" s="68"/>
      <c r="V666" s="69"/>
      <c r="W666" s="68"/>
      <c r="X666" s="68"/>
      <c r="Y666" s="68"/>
      <c r="Z666" s="68"/>
      <c r="AA666" s="68"/>
      <c r="AB666" s="68"/>
      <c r="AC666" s="68"/>
      <c r="AD666" s="68"/>
      <c r="AE666" s="68"/>
      <c r="AF666" s="68"/>
      <c r="AG666" s="68"/>
      <c r="AH666" s="68"/>
      <c r="AI666" s="68"/>
      <c r="AJ666" s="68"/>
      <c r="AK666" s="68"/>
      <c r="AL666" s="68"/>
      <c r="AM666" s="68"/>
      <c r="AN666" s="68"/>
      <c r="AO666" s="68"/>
      <c r="AP666" s="68"/>
      <c r="AQ666" s="68"/>
      <c r="AR666" s="68"/>
      <c r="AS666" s="68"/>
      <c r="AT666" s="68"/>
      <c r="AU666" s="68"/>
      <c r="AV666" s="68"/>
      <c r="AW666" s="68"/>
      <c r="AX666" s="68"/>
      <c r="AY666" s="68"/>
      <c r="AZ666" s="68"/>
      <c r="BA666" s="68"/>
      <c r="BB666" s="68"/>
      <c r="BC666" s="68"/>
      <c r="BD666" s="68"/>
      <c r="BE666" s="68"/>
      <c r="BF666" s="68"/>
      <c r="BG666" s="68"/>
      <c r="BH666" s="68"/>
      <c r="BI666" s="68"/>
      <c r="BJ666" s="68"/>
      <c r="BK666" s="68"/>
      <c r="BL666" s="68"/>
      <c r="BM666" s="68"/>
      <c r="BN666" s="68"/>
      <c r="BO666" s="68"/>
      <c r="BP666" s="68"/>
      <c r="BQ666" s="68"/>
      <c r="BR666" s="68"/>
      <c r="BS666" s="68"/>
      <c r="BT666" s="68"/>
      <c r="BU666" s="68"/>
      <c r="BV666" s="68"/>
      <c r="BW666" s="68"/>
      <c r="BX666" s="68"/>
      <c r="BY666" s="68"/>
      <c r="BZ666" s="68"/>
      <c r="CA666" s="68"/>
      <c r="CB666" s="68"/>
      <c r="CC666" s="68"/>
      <c r="CD666" s="68"/>
      <c r="CE666" s="68"/>
      <c r="CF666" s="68"/>
      <c r="CG666" s="68"/>
      <c r="CH666" s="68"/>
      <c r="CI666" s="68"/>
      <c r="CJ666" s="68"/>
      <c r="CK666" s="68"/>
      <c r="CL666" s="68"/>
      <c r="CM666" s="68"/>
      <c r="CN666" s="68"/>
      <c r="CO666" s="68"/>
      <c r="CP666" s="68"/>
      <c r="CQ666" s="68"/>
      <c r="CR666" s="68"/>
      <c r="CS666" s="68"/>
      <c r="CT666" s="68"/>
      <c r="CU666" s="68"/>
      <c r="CV666" s="68"/>
      <c r="CW666" s="68"/>
      <c r="CX666" s="68"/>
    </row>
    <row r="667" spans="1:102" s="71" customFormat="1" hidden="1">
      <c r="A667" s="109"/>
      <c r="B667" s="109"/>
      <c r="C667" s="109"/>
      <c r="D667" s="115"/>
      <c r="E667" s="100"/>
      <c r="F667" s="100"/>
      <c r="G667" s="111"/>
      <c r="H667" s="105"/>
      <c r="I667" s="111"/>
      <c r="J667" s="111"/>
      <c r="K667" s="112"/>
      <c r="L667" s="113"/>
      <c r="M667" s="114"/>
      <c r="N667" s="100"/>
      <c r="O667" s="114"/>
      <c r="P667" s="65"/>
      <c r="Q667" s="103"/>
      <c r="R667" s="103"/>
      <c r="S667" s="103"/>
      <c r="T667" s="103"/>
      <c r="U667" s="68"/>
      <c r="V667" s="69"/>
      <c r="W667" s="68"/>
      <c r="X667" s="68"/>
      <c r="Y667" s="68"/>
      <c r="Z667" s="68"/>
      <c r="AA667" s="68"/>
      <c r="AB667" s="68"/>
      <c r="AC667" s="68"/>
      <c r="AD667" s="68"/>
      <c r="AE667" s="68"/>
      <c r="AF667" s="68"/>
      <c r="AG667" s="68"/>
      <c r="AH667" s="68"/>
      <c r="AI667" s="68"/>
      <c r="AJ667" s="68"/>
      <c r="AK667" s="68"/>
      <c r="AL667" s="68"/>
      <c r="AM667" s="68"/>
      <c r="AN667" s="68"/>
      <c r="AO667" s="68"/>
      <c r="AP667" s="68"/>
      <c r="AQ667" s="68"/>
      <c r="AR667" s="68"/>
      <c r="AS667" s="68"/>
      <c r="AT667" s="68"/>
      <c r="AU667" s="68"/>
      <c r="AV667" s="68"/>
      <c r="AW667" s="68"/>
      <c r="AX667" s="68"/>
      <c r="AY667" s="68"/>
      <c r="AZ667" s="68"/>
      <c r="BA667" s="68"/>
      <c r="BB667" s="68"/>
      <c r="BC667" s="68"/>
      <c r="BD667" s="68"/>
      <c r="BE667" s="68"/>
      <c r="BF667" s="68"/>
      <c r="BG667" s="68"/>
      <c r="BH667" s="68"/>
      <c r="BI667" s="68"/>
      <c r="BJ667" s="68"/>
      <c r="BK667" s="68"/>
      <c r="BL667" s="68"/>
      <c r="BM667" s="68"/>
      <c r="BN667" s="68"/>
      <c r="BO667" s="68"/>
      <c r="BP667" s="68"/>
      <c r="BQ667" s="68"/>
      <c r="BR667" s="68"/>
      <c r="BS667" s="68"/>
      <c r="BT667" s="68"/>
      <c r="BU667" s="68"/>
      <c r="BV667" s="68"/>
      <c r="BW667" s="68"/>
      <c r="BX667" s="68"/>
      <c r="BY667" s="68"/>
      <c r="BZ667" s="68"/>
      <c r="CA667" s="68"/>
      <c r="CB667" s="68"/>
      <c r="CC667" s="68"/>
      <c r="CD667" s="68"/>
      <c r="CE667" s="68"/>
      <c r="CF667" s="68"/>
      <c r="CG667" s="68"/>
      <c r="CH667" s="68"/>
      <c r="CI667" s="68"/>
      <c r="CJ667" s="68"/>
      <c r="CK667" s="68"/>
      <c r="CL667" s="68"/>
      <c r="CM667" s="68"/>
      <c r="CN667" s="68"/>
      <c r="CO667" s="68"/>
      <c r="CP667" s="68"/>
      <c r="CQ667" s="68"/>
      <c r="CR667" s="68"/>
      <c r="CS667" s="68"/>
      <c r="CT667" s="68"/>
      <c r="CU667" s="68"/>
      <c r="CV667" s="68"/>
      <c r="CW667" s="68"/>
      <c r="CX667" s="68"/>
    </row>
    <row r="668" spans="1:102" s="71" customFormat="1" hidden="1">
      <c r="A668" s="109"/>
      <c r="B668" s="109"/>
      <c r="C668" s="109"/>
      <c r="D668" s="115"/>
      <c r="E668" s="100"/>
      <c r="F668" s="100"/>
      <c r="G668" s="111"/>
      <c r="H668" s="105"/>
      <c r="I668" s="111"/>
      <c r="J668" s="111"/>
      <c r="K668" s="112"/>
      <c r="L668" s="113"/>
      <c r="M668" s="114"/>
      <c r="N668" s="100"/>
      <c r="O668" s="114"/>
      <c r="P668" s="65"/>
      <c r="Q668" s="103"/>
      <c r="R668" s="103"/>
      <c r="S668" s="103"/>
      <c r="T668" s="103"/>
      <c r="U668" s="68"/>
      <c r="V668" s="69"/>
      <c r="W668" s="68"/>
      <c r="X668" s="68"/>
      <c r="Y668" s="68"/>
      <c r="Z668" s="68"/>
      <c r="AA668" s="68"/>
      <c r="AB668" s="68"/>
      <c r="AC668" s="68"/>
      <c r="AD668" s="68"/>
      <c r="AE668" s="68"/>
      <c r="AF668" s="68"/>
      <c r="AG668" s="68"/>
      <c r="AH668" s="68"/>
      <c r="AI668" s="68"/>
      <c r="AJ668" s="68"/>
      <c r="AK668" s="68"/>
      <c r="AL668" s="68"/>
      <c r="AM668" s="68"/>
      <c r="AN668" s="68"/>
      <c r="AO668" s="68"/>
      <c r="AP668" s="68"/>
      <c r="AQ668" s="68"/>
      <c r="AR668" s="68"/>
      <c r="AS668" s="68"/>
      <c r="AT668" s="68"/>
      <c r="AU668" s="68"/>
      <c r="AV668" s="68"/>
      <c r="AW668" s="68"/>
      <c r="AX668" s="68"/>
      <c r="AY668" s="68"/>
      <c r="AZ668" s="68"/>
      <c r="BA668" s="68"/>
      <c r="BB668" s="68"/>
      <c r="BC668" s="68"/>
      <c r="BD668" s="68"/>
      <c r="BE668" s="68"/>
      <c r="BF668" s="68"/>
      <c r="BG668" s="68"/>
      <c r="BH668" s="68"/>
      <c r="BI668" s="68"/>
      <c r="BJ668" s="68"/>
      <c r="BK668" s="68"/>
      <c r="BL668" s="68"/>
      <c r="BM668" s="68"/>
      <c r="BN668" s="68"/>
      <c r="BO668" s="68"/>
      <c r="BP668" s="68"/>
      <c r="BQ668" s="68"/>
      <c r="BR668" s="68"/>
      <c r="BS668" s="68"/>
      <c r="BT668" s="68"/>
      <c r="BU668" s="68"/>
      <c r="BV668" s="68"/>
      <c r="BW668" s="68"/>
      <c r="BX668" s="68"/>
      <c r="BY668" s="68"/>
      <c r="BZ668" s="68"/>
      <c r="CA668" s="68"/>
      <c r="CB668" s="68"/>
      <c r="CC668" s="68"/>
      <c r="CD668" s="68"/>
      <c r="CE668" s="68"/>
      <c r="CF668" s="68"/>
      <c r="CG668" s="68"/>
      <c r="CH668" s="68"/>
      <c r="CI668" s="68"/>
      <c r="CJ668" s="68"/>
      <c r="CK668" s="68"/>
      <c r="CL668" s="68"/>
      <c r="CM668" s="68"/>
      <c r="CN668" s="68"/>
      <c r="CO668" s="68"/>
      <c r="CP668" s="68"/>
      <c r="CQ668" s="68"/>
      <c r="CR668" s="68"/>
      <c r="CS668" s="68"/>
      <c r="CT668" s="68"/>
      <c r="CU668" s="68"/>
      <c r="CV668" s="68"/>
      <c r="CW668" s="68"/>
      <c r="CX668" s="68"/>
    </row>
    <row r="669" spans="1:102" s="71" customFormat="1" hidden="1">
      <c r="A669" s="109"/>
      <c r="B669" s="109"/>
      <c r="C669" s="109"/>
      <c r="D669" s="115"/>
      <c r="E669" s="100"/>
      <c r="F669" s="100"/>
      <c r="G669" s="111"/>
      <c r="H669" s="105"/>
      <c r="I669" s="111"/>
      <c r="J669" s="111"/>
      <c r="K669" s="112"/>
      <c r="L669" s="113"/>
      <c r="M669" s="114"/>
      <c r="N669" s="100"/>
      <c r="O669" s="114"/>
      <c r="P669" s="65"/>
      <c r="Q669" s="103"/>
      <c r="R669" s="103"/>
      <c r="S669" s="103"/>
      <c r="T669" s="103"/>
      <c r="U669" s="68"/>
      <c r="V669" s="69"/>
      <c r="W669" s="68"/>
      <c r="X669" s="68"/>
      <c r="Y669" s="68"/>
      <c r="Z669" s="68"/>
      <c r="AA669" s="68"/>
      <c r="AB669" s="68"/>
      <c r="AC669" s="68"/>
      <c r="AD669" s="68"/>
      <c r="AE669" s="68"/>
      <c r="AF669" s="68"/>
      <c r="AG669" s="68"/>
      <c r="AH669" s="68"/>
      <c r="AI669" s="68"/>
      <c r="AJ669" s="68"/>
      <c r="AK669" s="68"/>
      <c r="AL669" s="68"/>
      <c r="AM669" s="68"/>
      <c r="AN669" s="68"/>
      <c r="AO669" s="68"/>
      <c r="AP669" s="68"/>
      <c r="AQ669" s="68"/>
      <c r="AR669" s="68"/>
      <c r="AS669" s="68"/>
      <c r="AT669" s="68"/>
      <c r="AU669" s="68"/>
      <c r="AV669" s="68"/>
      <c r="AW669" s="68"/>
      <c r="AX669" s="68"/>
      <c r="AY669" s="68"/>
      <c r="AZ669" s="68"/>
      <c r="BA669" s="68"/>
      <c r="BB669" s="68"/>
      <c r="BC669" s="68"/>
      <c r="BD669" s="68"/>
      <c r="BE669" s="68"/>
      <c r="BF669" s="68"/>
      <c r="BG669" s="68"/>
      <c r="BH669" s="68"/>
      <c r="BI669" s="68"/>
      <c r="BJ669" s="68"/>
      <c r="BK669" s="68"/>
      <c r="BL669" s="68"/>
      <c r="BM669" s="68"/>
      <c r="BN669" s="68"/>
      <c r="BO669" s="68"/>
      <c r="BP669" s="68"/>
      <c r="BQ669" s="68"/>
      <c r="BR669" s="68"/>
      <c r="BS669" s="68"/>
      <c r="BT669" s="68"/>
      <c r="BU669" s="68"/>
      <c r="BV669" s="68"/>
      <c r="BW669" s="68"/>
      <c r="BX669" s="68"/>
      <c r="BY669" s="68"/>
      <c r="BZ669" s="68"/>
      <c r="CA669" s="68"/>
      <c r="CB669" s="68"/>
      <c r="CC669" s="68"/>
      <c r="CD669" s="68"/>
      <c r="CE669" s="68"/>
      <c r="CF669" s="68"/>
      <c r="CG669" s="68"/>
      <c r="CH669" s="68"/>
      <c r="CI669" s="68"/>
      <c r="CJ669" s="68"/>
      <c r="CK669" s="68"/>
      <c r="CL669" s="68"/>
      <c r="CM669" s="68"/>
      <c r="CN669" s="68"/>
      <c r="CO669" s="68"/>
      <c r="CP669" s="68"/>
      <c r="CQ669" s="68"/>
      <c r="CR669" s="68"/>
      <c r="CS669" s="68"/>
      <c r="CT669" s="68"/>
      <c r="CU669" s="68"/>
      <c r="CV669" s="68"/>
      <c r="CW669" s="68"/>
      <c r="CX669" s="68"/>
    </row>
    <row r="670" spans="1:102" s="71" customFormat="1" hidden="1">
      <c r="A670" s="109"/>
      <c r="B670" s="109"/>
      <c r="C670" s="109"/>
      <c r="D670" s="115"/>
      <c r="E670" s="100"/>
      <c r="F670" s="100"/>
      <c r="G670" s="111"/>
      <c r="H670" s="105"/>
      <c r="I670" s="111"/>
      <c r="J670" s="111"/>
      <c r="K670" s="112"/>
      <c r="L670" s="113"/>
      <c r="M670" s="114"/>
      <c r="N670" s="100"/>
      <c r="O670" s="114"/>
      <c r="P670" s="65"/>
      <c r="Q670" s="103"/>
      <c r="R670" s="103"/>
      <c r="S670" s="103"/>
      <c r="T670" s="103"/>
      <c r="U670" s="68"/>
      <c r="V670" s="69"/>
      <c r="W670" s="68"/>
      <c r="X670" s="68"/>
      <c r="Y670" s="68"/>
      <c r="Z670" s="68"/>
      <c r="AA670" s="68"/>
      <c r="AB670" s="68"/>
      <c r="AC670" s="68"/>
      <c r="AD670" s="68"/>
      <c r="AE670" s="68"/>
      <c r="AF670" s="68"/>
      <c r="AG670" s="68"/>
      <c r="AH670" s="68"/>
      <c r="AI670" s="68"/>
      <c r="AJ670" s="68"/>
      <c r="AK670" s="68"/>
      <c r="AL670" s="68"/>
      <c r="AM670" s="68"/>
      <c r="AN670" s="68"/>
      <c r="AO670" s="68"/>
      <c r="AP670" s="68"/>
      <c r="AQ670" s="68"/>
      <c r="AR670" s="68"/>
      <c r="AS670" s="68"/>
      <c r="AT670" s="68"/>
      <c r="AU670" s="68"/>
      <c r="AV670" s="68"/>
      <c r="AW670" s="68"/>
      <c r="AX670" s="68"/>
      <c r="AY670" s="68"/>
      <c r="AZ670" s="68"/>
      <c r="BA670" s="68"/>
      <c r="BB670" s="68"/>
      <c r="BC670" s="68"/>
      <c r="BD670" s="68"/>
      <c r="BE670" s="68"/>
      <c r="BF670" s="68"/>
      <c r="BG670" s="68"/>
      <c r="BH670" s="68"/>
      <c r="BI670" s="68"/>
      <c r="BJ670" s="68"/>
      <c r="BK670" s="68"/>
      <c r="BL670" s="68"/>
      <c r="BM670" s="68"/>
      <c r="BN670" s="68"/>
      <c r="BO670" s="68"/>
      <c r="BP670" s="68"/>
      <c r="BQ670" s="68"/>
      <c r="BR670" s="68"/>
      <c r="BS670" s="68"/>
      <c r="BT670" s="68"/>
      <c r="BU670" s="68"/>
      <c r="BV670" s="68"/>
      <c r="BW670" s="68"/>
      <c r="BX670" s="68"/>
      <c r="BY670" s="68"/>
      <c r="BZ670" s="68"/>
      <c r="CA670" s="68"/>
      <c r="CB670" s="68"/>
      <c r="CC670" s="68"/>
      <c r="CD670" s="68"/>
      <c r="CE670" s="68"/>
      <c r="CF670" s="68"/>
      <c r="CG670" s="68"/>
      <c r="CH670" s="68"/>
      <c r="CI670" s="68"/>
      <c r="CJ670" s="68"/>
      <c r="CK670" s="68"/>
      <c r="CL670" s="68"/>
      <c r="CM670" s="68"/>
      <c r="CN670" s="68"/>
      <c r="CO670" s="68"/>
      <c r="CP670" s="68"/>
      <c r="CQ670" s="68"/>
      <c r="CR670" s="68"/>
      <c r="CS670" s="68"/>
      <c r="CT670" s="68"/>
      <c r="CU670" s="68"/>
      <c r="CV670" s="68"/>
      <c r="CW670" s="68"/>
      <c r="CX670" s="68"/>
    </row>
    <row r="671" spans="1:102" s="71" customFormat="1" hidden="1">
      <c r="A671" s="109"/>
      <c r="B671" s="109"/>
      <c r="C671" s="109"/>
      <c r="D671" s="115"/>
      <c r="E671" s="100"/>
      <c r="F671" s="100"/>
      <c r="G671" s="111"/>
      <c r="H671" s="105"/>
      <c r="I671" s="111"/>
      <c r="J671" s="111"/>
      <c r="K671" s="112"/>
      <c r="L671" s="113"/>
      <c r="M671" s="114"/>
      <c r="N671" s="100"/>
      <c r="O671" s="114"/>
      <c r="P671" s="65"/>
      <c r="Q671" s="103"/>
      <c r="R671" s="103"/>
      <c r="S671" s="103"/>
      <c r="T671" s="103"/>
      <c r="U671" s="68"/>
      <c r="V671" s="69"/>
      <c r="W671" s="68"/>
      <c r="X671" s="68"/>
      <c r="Y671" s="68"/>
      <c r="Z671" s="68"/>
      <c r="AA671" s="68"/>
      <c r="AB671" s="68"/>
      <c r="AC671" s="68"/>
      <c r="AD671" s="68"/>
      <c r="AE671" s="68"/>
      <c r="AF671" s="68"/>
      <c r="AG671" s="68"/>
      <c r="AH671" s="68"/>
      <c r="AI671" s="68"/>
      <c r="AJ671" s="68"/>
      <c r="AK671" s="68"/>
      <c r="AL671" s="68"/>
      <c r="AM671" s="68"/>
      <c r="AN671" s="68"/>
      <c r="AO671" s="68"/>
      <c r="AP671" s="68"/>
      <c r="AQ671" s="68"/>
      <c r="AR671" s="68"/>
      <c r="AS671" s="68"/>
      <c r="AT671" s="68"/>
      <c r="AU671" s="68"/>
      <c r="AV671" s="68"/>
      <c r="AW671" s="68"/>
      <c r="AX671" s="68"/>
      <c r="AY671" s="68"/>
      <c r="AZ671" s="68"/>
      <c r="BA671" s="68"/>
      <c r="BB671" s="68"/>
      <c r="BC671" s="68"/>
      <c r="BD671" s="68"/>
      <c r="BE671" s="68"/>
      <c r="BF671" s="68"/>
      <c r="BG671" s="68"/>
      <c r="BH671" s="68"/>
      <c r="BI671" s="68"/>
      <c r="BJ671" s="68"/>
      <c r="BK671" s="68"/>
      <c r="BL671" s="68"/>
      <c r="BM671" s="68"/>
      <c r="BN671" s="68"/>
      <c r="BO671" s="68"/>
      <c r="BP671" s="68"/>
      <c r="BQ671" s="68"/>
      <c r="BR671" s="68"/>
      <c r="BS671" s="68"/>
      <c r="BT671" s="68"/>
      <c r="BU671" s="68"/>
      <c r="BV671" s="68"/>
      <c r="BW671" s="68"/>
      <c r="BX671" s="68"/>
      <c r="BY671" s="68"/>
      <c r="BZ671" s="68"/>
      <c r="CA671" s="68"/>
      <c r="CB671" s="68"/>
      <c r="CC671" s="68"/>
      <c r="CD671" s="68"/>
      <c r="CE671" s="68"/>
      <c r="CF671" s="68"/>
      <c r="CG671" s="68"/>
      <c r="CH671" s="68"/>
      <c r="CI671" s="68"/>
      <c r="CJ671" s="68"/>
      <c r="CK671" s="68"/>
      <c r="CL671" s="68"/>
      <c r="CM671" s="68"/>
      <c r="CN671" s="68"/>
      <c r="CO671" s="68"/>
      <c r="CP671" s="68"/>
      <c r="CQ671" s="68"/>
      <c r="CR671" s="68"/>
      <c r="CS671" s="68"/>
      <c r="CT671" s="68"/>
      <c r="CU671" s="68"/>
      <c r="CV671" s="68"/>
      <c r="CW671" s="68"/>
      <c r="CX671" s="68"/>
    </row>
    <row r="672" spans="1:102" s="71" customFormat="1" hidden="1">
      <c r="A672" s="109"/>
      <c r="B672" s="109"/>
      <c r="C672" s="109"/>
      <c r="D672" s="115"/>
      <c r="E672" s="100"/>
      <c r="F672" s="100"/>
      <c r="G672" s="111"/>
      <c r="H672" s="105"/>
      <c r="I672" s="111"/>
      <c r="J672" s="111"/>
      <c r="K672" s="112"/>
      <c r="L672" s="113"/>
      <c r="M672" s="114"/>
      <c r="N672" s="100"/>
      <c r="O672" s="114"/>
      <c r="P672" s="65"/>
      <c r="Q672" s="103"/>
      <c r="R672" s="103"/>
      <c r="S672" s="103"/>
      <c r="T672" s="103"/>
      <c r="U672" s="68"/>
      <c r="V672" s="69"/>
      <c r="W672" s="68"/>
      <c r="X672" s="68"/>
      <c r="Y672" s="68"/>
      <c r="Z672" s="68"/>
      <c r="AA672" s="68"/>
      <c r="AB672" s="68"/>
      <c r="AC672" s="68"/>
      <c r="AD672" s="68"/>
      <c r="AE672" s="68"/>
      <c r="AF672" s="68"/>
      <c r="AG672" s="68"/>
      <c r="AH672" s="68"/>
      <c r="AI672" s="68"/>
      <c r="AJ672" s="68"/>
      <c r="AK672" s="68"/>
      <c r="AL672" s="68"/>
      <c r="AM672" s="68"/>
      <c r="AN672" s="68"/>
      <c r="AO672" s="68"/>
      <c r="AP672" s="68"/>
      <c r="AQ672" s="68"/>
      <c r="AR672" s="68"/>
      <c r="AS672" s="68"/>
      <c r="AT672" s="68"/>
      <c r="AU672" s="68"/>
      <c r="AV672" s="68"/>
      <c r="AW672" s="68"/>
      <c r="AX672" s="68"/>
      <c r="AY672" s="68"/>
      <c r="AZ672" s="68"/>
      <c r="BA672" s="68"/>
      <c r="BB672" s="68"/>
      <c r="BC672" s="68"/>
      <c r="BD672" s="68"/>
      <c r="BE672" s="68"/>
      <c r="BF672" s="68"/>
      <c r="BG672" s="68"/>
      <c r="BH672" s="68"/>
      <c r="BI672" s="68"/>
      <c r="BJ672" s="68"/>
      <c r="BK672" s="68"/>
      <c r="BL672" s="68"/>
      <c r="BM672" s="68"/>
      <c r="BN672" s="68"/>
      <c r="BO672" s="68"/>
      <c r="BP672" s="68"/>
      <c r="BQ672" s="68"/>
      <c r="BR672" s="68"/>
      <c r="BS672" s="68"/>
      <c r="BT672" s="68"/>
      <c r="BU672" s="68"/>
      <c r="BV672" s="68"/>
      <c r="BW672" s="68"/>
      <c r="BX672" s="68"/>
      <c r="BY672" s="68"/>
      <c r="BZ672" s="68"/>
      <c r="CA672" s="68"/>
      <c r="CB672" s="68"/>
      <c r="CC672" s="68"/>
      <c r="CD672" s="68"/>
      <c r="CE672" s="68"/>
      <c r="CF672" s="68"/>
      <c r="CG672" s="68"/>
      <c r="CH672" s="68"/>
      <c r="CI672" s="68"/>
      <c r="CJ672" s="68"/>
      <c r="CK672" s="68"/>
      <c r="CL672" s="68"/>
      <c r="CM672" s="68"/>
      <c r="CN672" s="68"/>
      <c r="CO672" s="68"/>
      <c r="CP672" s="68"/>
      <c r="CQ672" s="68"/>
      <c r="CR672" s="68"/>
      <c r="CS672" s="68"/>
      <c r="CT672" s="68"/>
      <c r="CU672" s="68"/>
      <c r="CV672" s="68"/>
      <c r="CW672" s="68"/>
      <c r="CX672" s="68"/>
    </row>
    <row r="673" spans="1:102" s="71" customFormat="1" hidden="1">
      <c r="A673" s="109"/>
      <c r="B673" s="109"/>
      <c r="C673" s="109"/>
      <c r="D673" s="115"/>
      <c r="E673" s="100"/>
      <c r="F673" s="100"/>
      <c r="G673" s="111"/>
      <c r="H673" s="105"/>
      <c r="I673" s="111"/>
      <c r="J673" s="111"/>
      <c r="K673" s="112"/>
      <c r="L673" s="113"/>
      <c r="M673" s="114"/>
      <c r="N673" s="100"/>
      <c r="O673" s="114"/>
      <c r="P673" s="65"/>
      <c r="Q673" s="103"/>
      <c r="R673" s="103"/>
      <c r="S673" s="103"/>
      <c r="T673" s="103"/>
      <c r="U673" s="68"/>
      <c r="V673" s="69"/>
      <c r="W673" s="68"/>
      <c r="X673" s="68"/>
      <c r="Y673" s="68"/>
      <c r="Z673" s="68"/>
      <c r="AA673" s="68"/>
      <c r="AB673" s="68"/>
      <c r="AC673" s="68"/>
      <c r="AD673" s="68"/>
      <c r="AE673" s="68"/>
      <c r="AF673" s="68"/>
      <c r="AG673" s="68"/>
      <c r="AH673" s="68"/>
      <c r="AI673" s="68"/>
      <c r="AJ673" s="68"/>
      <c r="AK673" s="68"/>
      <c r="AL673" s="68"/>
      <c r="AM673" s="68"/>
      <c r="AN673" s="68"/>
      <c r="AO673" s="68"/>
      <c r="AP673" s="68"/>
      <c r="AQ673" s="68"/>
      <c r="AR673" s="68"/>
      <c r="AS673" s="68"/>
      <c r="AT673" s="68"/>
      <c r="AU673" s="68"/>
      <c r="AV673" s="68"/>
      <c r="AW673" s="68"/>
      <c r="AX673" s="68"/>
      <c r="AY673" s="68"/>
      <c r="AZ673" s="68"/>
      <c r="BA673" s="68"/>
      <c r="BB673" s="68"/>
      <c r="BC673" s="68"/>
      <c r="BD673" s="68"/>
      <c r="BE673" s="68"/>
      <c r="BF673" s="68"/>
      <c r="BG673" s="68"/>
      <c r="BH673" s="68"/>
      <c r="BI673" s="68"/>
      <c r="BJ673" s="68"/>
      <c r="BK673" s="68"/>
      <c r="BL673" s="68"/>
      <c r="BM673" s="68"/>
      <c r="BN673" s="68"/>
      <c r="BO673" s="68"/>
      <c r="BP673" s="68"/>
      <c r="BQ673" s="68"/>
      <c r="BR673" s="68"/>
      <c r="BS673" s="68"/>
      <c r="BT673" s="68"/>
      <c r="BU673" s="68"/>
      <c r="BV673" s="68"/>
      <c r="BW673" s="68"/>
      <c r="BX673" s="68"/>
      <c r="BY673" s="68"/>
      <c r="BZ673" s="68"/>
      <c r="CA673" s="68"/>
      <c r="CB673" s="68"/>
      <c r="CC673" s="68"/>
      <c r="CD673" s="68"/>
      <c r="CE673" s="68"/>
      <c r="CF673" s="68"/>
      <c r="CG673" s="68"/>
      <c r="CH673" s="68"/>
      <c r="CI673" s="68"/>
      <c r="CJ673" s="68"/>
      <c r="CK673" s="68"/>
      <c r="CL673" s="68"/>
      <c r="CM673" s="68"/>
      <c r="CN673" s="68"/>
      <c r="CO673" s="68"/>
      <c r="CP673" s="68"/>
      <c r="CQ673" s="68"/>
      <c r="CR673" s="68"/>
      <c r="CS673" s="68"/>
      <c r="CT673" s="68"/>
      <c r="CU673" s="68"/>
      <c r="CV673" s="68"/>
      <c r="CW673" s="68"/>
      <c r="CX673" s="68"/>
    </row>
    <row r="674" spans="1:102" s="71" customFormat="1" hidden="1">
      <c r="A674" s="109"/>
      <c r="B674" s="109"/>
      <c r="C674" s="109"/>
      <c r="D674" s="115"/>
      <c r="E674" s="100"/>
      <c r="F674" s="100"/>
      <c r="G674" s="111"/>
      <c r="H674" s="105"/>
      <c r="I674" s="111"/>
      <c r="J674" s="111"/>
      <c r="K674" s="112"/>
      <c r="L674" s="113"/>
      <c r="M674" s="114"/>
      <c r="N674" s="100"/>
      <c r="O674" s="114"/>
      <c r="P674" s="65"/>
      <c r="Q674" s="103"/>
      <c r="R674" s="103"/>
      <c r="S674" s="103"/>
      <c r="T674" s="103"/>
      <c r="U674" s="68"/>
      <c r="V674" s="69"/>
      <c r="W674" s="68"/>
      <c r="X674" s="68"/>
      <c r="Y674" s="68"/>
      <c r="Z674" s="68"/>
      <c r="AA674" s="68"/>
      <c r="AB674" s="68"/>
      <c r="AC674" s="68"/>
      <c r="AD674" s="68"/>
      <c r="AE674" s="68"/>
      <c r="AF674" s="68"/>
      <c r="AG674" s="68"/>
      <c r="AH674" s="68"/>
      <c r="AI674" s="68"/>
      <c r="AJ674" s="68"/>
      <c r="AK674" s="68"/>
      <c r="AL674" s="68"/>
      <c r="AM674" s="68"/>
      <c r="AN674" s="68"/>
      <c r="AO674" s="68"/>
      <c r="AP674" s="68"/>
      <c r="AQ674" s="68"/>
      <c r="AR674" s="68"/>
      <c r="AS674" s="68"/>
      <c r="AT674" s="68"/>
      <c r="AU674" s="68"/>
      <c r="AV674" s="68"/>
      <c r="AW674" s="68"/>
      <c r="AX674" s="68"/>
      <c r="AY674" s="68"/>
      <c r="AZ674" s="68"/>
      <c r="BA674" s="68"/>
      <c r="BB674" s="68"/>
      <c r="BC674" s="68"/>
      <c r="BD674" s="68"/>
      <c r="BE674" s="68"/>
      <c r="BF674" s="68"/>
      <c r="BG674" s="68"/>
      <c r="BH674" s="68"/>
      <c r="BI674" s="68"/>
      <c r="BJ674" s="68"/>
      <c r="BK674" s="68"/>
      <c r="BL674" s="68"/>
      <c r="BM674" s="68"/>
      <c r="BN674" s="68"/>
      <c r="BO674" s="68"/>
      <c r="BP674" s="68"/>
      <c r="BQ674" s="68"/>
      <c r="BR674" s="68"/>
      <c r="BS674" s="68"/>
      <c r="BT674" s="68"/>
      <c r="BU674" s="68"/>
      <c r="BV674" s="68"/>
      <c r="BW674" s="68"/>
      <c r="BX674" s="68"/>
      <c r="BY674" s="68"/>
      <c r="BZ674" s="68"/>
      <c r="CA674" s="68"/>
      <c r="CB674" s="68"/>
      <c r="CC674" s="68"/>
      <c r="CD674" s="68"/>
      <c r="CE674" s="68"/>
      <c r="CF674" s="68"/>
      <c r="CG674" s="68"/>
      <c r="CH674" s="68"/>
      <c r="CI674" s="68"/>
      <c r="CJ674" s="68"/>
      <c r="CK674" s="68"/>
      <c r="CL674" s="68"/>
      <c r="CM674" s="68"/>
      <c r="CN674" s="68"/>
      <c r="CO674" s="68"/>
      <c r="CP674" s="68"/>
      <c r="CQ674" s="68"/>
      <c r="CR674" s="68"/>
      <c r="CS674" s="68"/>
      <c r="CT674" s="68"/>
      <c r="CU674" s="68"/>
      <c r="CV674" s="68"/>
      <c r="CW674" s="68"/>
      <c r="CX674" s="68"/>
    </row>
    <row r="675" spans="1:102" s="71" customFormat="1" hidden="1">
      <c r="A675" s="109"/>
      <c r="B675" s="109"/>
      <c r="C675" s="109"/>
      <c r="D675" s="115"/>
      <c r="E675" s="100"/>
      <c r="F675" s="100"/>
      <c r="G675" s="111"/>
      <c r="H675" s="105"/>
      <c r="I675" s="111"/>
      <c r="J675" s="111"/>
      <c r="K675" s="112"/>
      <c r="L675" s="113"/>
      <c r="M675" s="114"/>
      <c r="N675" s="100"/>
      <c r="O675" s="114"/>
      <c r="P675" s="65"/>
      <c r="Q675" s="103"/>
      <c r="R675" s="103"/>
      <c r="S675" s="103"/>
      <c r="T675" s="103"/>
      <c r="U675" s="68"/>
      <c r="V675" s="69"/>
      <c r="W675" s="68"/>
      <c r="X675" s="68"/>
      <c r="Y675" s="68"/>
      <c r="Z675" s="68"/>
      <c r="AA675" s="68"/>
      <c r="AB675" s="68"/>
      <c r="AC675" s="68"/>
      <c r="AD675" s="68"/>
      <c r="AE675" s="68"/>
      <c r="AF675" s="68"/>
      <c r="AG675" s="68"/>
      <c r="AH675" s="68"/>
      <c r="AI675" s="68"/>
      <c r="AJ675" s="68"/>
      <c r="AK675" s="68"/>
      <c r="AL675" s="68"/>
      <c r="AM675" s="68"/>
      <c r="AN675" s="68"/>
      <c r="AO675" s="68"/>
      <c r="AP675" s="68"/>
      <c r="AQ675" s="68"/>
      <c r="AR675" s="68"/>
      <c r="AS675" s="68"/>
      <c r="AT675" s="68"/>
      <c r="AU675" s="68"/>
      <c r="AV675" s="68"/>
      <c r="AW675" s="68"/>
      <c r="AX675" s="68"/>
      <c r="AY675" s="68"/>
      <c r="AZ675" s="68"/>
      <c r="BA675" s="68"/>
      <c r="BB675" s="68"/>
      <c r="BC675" s="68"/>
      <c r="BD675" s="68"/>
      <c r="BE675" s="68"/>
      <c r="BF675" s="68"/>
      <c r="BG675" s="68"/>
      <c r="BH675" s="68"/>
      <c r="BI675" s="68"/>
      <c r="BJ675" s="68"/>
      <c r="BK675" s="68"/>
      <c r="BL675" s="68"/>
      <c r="BM675" s="68"/>
      <c r="BN675" s="68"/>
      <c r="BO675" s="68"/>
      <c r="BP675" s="68"/>
      <c r="BQ675" s="68"/>
      <c r="BR675" s="68"/>
      <c r="BS675" s="68"/>
      <c r="BT675" s="68"/>
      <c r="BU675" s="68"/>
      <c r="BV675" s="68"/>
      <c r="BW675" s="68"/>
      <c r="BX675" s="68"/>
      <c r="BY675" s="68"/>
      <c r="BZ675" s="68"/>
      <c r="CA675" s="68"/>
      <c r="CB675" s="68"/>
      <c r="CC675" s="68"/>
      <c r="CD675" s="68"/>
      <c r="CE675" s="68"/>
      <c r="CF675" s="68"/>
      <c r="CG675" s="68"/>
      <c r="CH675" s="68"/>
      <c r="CI675" s="68"/>
      <c r="CJ675" s="68"/>
      <c r="CK675" s="68"/>
      <c r="CL675" s="68"/>
      <c r="CM675" s="68"/>
      <c r="CN675" s="68"/>
      <c r="CO675" s="68"/>
      <c r="CP675" s="68"/>
      <c r="CQ675" s="68"/>
      <c r="CR675" s="68"/>
      <c r="CS675" s="68"/>
      <c r="CT675" s="68"/>
      <c r="CU675" s="68"/>
      <c r="CV675" s="68"/>
      <c r="CW675" s="68"/>
      <c r="CX675" s="68"/>
    </row>
    <row r="676" spans="1:102" s="71" customFormat="1" hidden="1">
      <c r="A676" s="109"/>
      <c r="B676" s="109"/>
      <c r="C676" s="109"/>
      <c r="D676" s="115"/>
      <c r="E676" s="100"/>
      <c r="F676" s="100"/>
      <c r="G676" s="111"/>
      <c r="H676" s="105"/>
      <c r="I676" s="111"/>
      <c r="J676" s="111"/>
      <c r="K676" s="112"/>
      <c r="L676" s="113"/>
      <c r="M676" s="114"/>
      <c r="N676" s="100"/>
      <c r="O676" s="114"/>
      <c r="P676" s="65"/>
      <c r="Q676" s="103"/>
      <c r="R676" s="103"/>
      <c r="S676" s="103"/>
      <c r="T676" s="103"/>
      <c r="U676" s="68"/>
      <c r="V676" s="69"/>
      <c r="W676" s="68"/>
      <c r="X676" s="68"/>
      <c r="Y676" s="68"/>
      <c r="Z676" s="68"/>
      <c r="AA676" s="68"/>
      <c r="AB676" s="68"/>
      <c r="AC676" s="68"/>
      <c r="AD676" s="68"/>
      <c r="AE676" s="68"/>
      <c r="AF676" s="68"/>
      <c r="AG676" s="68"/>
      <c r="AH676" s="68"/>
      <c r="AI676" s="68"/>
      <c r="AJ676" s="68"/>
      <c r="AK676" s="68"/>
      <c r="AL676" s="68"/>
      <c r="AM676" s="68"/>
      <c r="AN676" s="68"/>
      <c r="AO676" s="68"/>
      <c r="AP676" s="68"/>
      <c r="AQ676" s="68"/>
      <c r="AR676" s="68"/>
      <c r="AS676" s="68"/>
      <c r="AT676" s="68"/>
      <c r="AU676" s="68"/>
      <c r="AV676" s="68"/>
      <c r="AW676" s="68"/>
      <c r="AX676" s="68"/>
      <c r="AY676" s="68"/>
      <c r="AZ676" s="68"/>
      <c r="BA676" s="68"/>
      <c r="BB676" s="68"/>
      <c r="BC676" s="68"/>
      <c r="BD676" s="68"/>
      <c r="BE676" s="68"/>
      <c r="BF676" s="68"/>
      <c r="BG676" s="68"/>
      <c r="BH676" s="68"/>
      <c r="BI676" s="68"/>
      <c r="BJ676" s="68"/>
      <c r="BK676" s="68"/>
      <c r="BL676" s="68"/>
      <c r="BM676" s="68"/>
      <c r="BN676" s="68"/>
      <c r="BO676" s="68"/>
      <c r="BP676" s="68"/>
      <c r="BQ676" s="68"/>
      <c r="BR676" s="68"/>
      <c r="BS676" s="68"/>
      <c r="BT676" s="68"/>
      <c r="BU676" s="68"/>
      <c r="BV676" s="68"/>
      <c r="BW676" s="68"/>
      <c r="BX676" s="68"/>
      <c r="BY676" s="68"/>
      <c r="BZ676" s="68"/>
      <c r="CA676" s="68"/>
      <c r="CB676" s="68"/>
      <c r="CC676" s="68"/>
      <c r="CD676" s="68"/>
      <c r="CE676" s="68"/>
      <c r="CF676" s="68"/>
      <c r="CG676" s="68"/>
      <c r="CH676" s="68"/>
      <c r="CI676" s="68"/>
      <c r="CJ676" s="68"/>
      <c r="CK676" s="68"/>
      <c r="CL676" s="68"/>
      <c r="CM676" s="68"/>
      <c r="CN676" s="68"/>
      <c r="CO676" s="68"/>
      <c r="CP676" s="68"/>
      <c r="CQ676" s="68"/>
      <c r="CR676" s="68"/>
      <c r="CS676" s="68"/>
      <c r="CT676" s="68"/>
      <c r="CU676" s="68"/>
      <c r="CV676" s="68"/>
      <c r="CW676" s="68"/>
      <c r="CX676" s="68"/>
    </row>
    <row r="677" spans="1:102" s="71" customFormat="1" hidden="1">
      <c r="A677" s="109"/>
      <c r="B677" s="109"/>
      <c r="C677" s="109"/>
      <c r="D677" s="115"/>
      <c r="E677" s="100"/>
      <c r="F677" s="100"/>
      <c r="G677" s="111"/>
      <c r="H677" s="105"/>
      <c r="I677" s="111"/>
      <c r="J677" s="111"/>
      <c r="K677" s="112"/>
      <c r="L677" s="113"/>
      <c r="M677" s="114"/>
      <c r="N677" s="100"/>
      <c r="O677" s="114"/>
      <c r="P677" s="65"/>
      <c r="Q677" s="103"/>
      <c r="R677" s="103"/>
      <c r="S677" s="103"/>
      <c r="T677" s="103"/>
      <c r="U677" s="68"/>
      <c r="V677" s="69"/>
      <c r="W677" s="68"/>
      <c r="X677" s="68"/>
      <c r="Y677" s="68"/>
      <c r="Z677" s="68"/>
      <c r="AA677" s="68"/>
      <c r="AB677" s="68"/>
      <c r="AC677" s="68"/>
      <c r="AD677" s="68"/>
      <c r="AE677" s="68"/>
      <c r="AF677" s="68"/>
      <c r="AG677" s="68"/>
      <c r="AH677" s="68"/>
      <c r="AI677" s="68"/>
      <c r="AJ677" s="68"/>
      <c r="AK677" s="68"/>
      <c r="AL677" s="68"/>
      <c r="AM677" s="68"/>
      <c r="AN677" s="68"/>
      <c r="AO677" s="68"/>
      <c r="AP677" s="68"/>
      <c r="AQ677" s="68"/>
      <c r="AR677" s="68"/>
      <c r="AS677" s="68"/>
      <c r="AT677" s="68"/>
      <c r="AU677" s="68"/>
      <c r="AV677" s="68"/>
      <c r="AW677" s="68"/>
      <c r="AX677" s="68"/>
      <c r="AY677" s="68"/>
      <c r="AZ677" s="68"/>
      <c r="BA677" s="68"/>
      <c r="BB677" s="68"/>
      <c r="BC677" s="68"/>
      <c r="BD677" s="68"/>
      <c r="BE677" s="68"/>
      <c r="BF677" s="68"/>
      <c r="BG677" s="68"/>
      <c r="BH677" s="68"/>
      <c r="BI677" s="68"/>
      <c r="BJ677" s="68"/>
      <c r="BK677" s="68"/>
      <c r="BL677" s="68"/>
      <c r="BM677" s="68"/>
      <c r="BN677" s="68"/>
      <c r="BO677" s="68"/>
      <c r="BP677" s="68"/>
      <c r="BQ677" s="68"/>
      <c r="BR677" s="68"/>
      <c r="BS677" s="68"/>
      <c r="BT677" s="68"/>
      <c r="BU677" s="68"/>
      <c r="BV677" s="68"/>
      <c r="BW677" s="68"/>
      <c r="BX677" s="68"/>
      <c r="BY677" s="68"/>
      <c r="BZ677" s="68"/>
      <c r="CA677" s="68"/>
      <c r="CB677" s="68"/>
      <c r="CC677" s="68"/>
      <c r="CD677" s="68"/>
      <c r="CE677" s="68"/>
      <c r="CF677" s="68"/>
      <c r="CG677" s="68"/>
      <c r="CH677" s="68"/>
      <c r="CI677" s="68"/>
      <c r="CJ677" s="68"/>
      <c r="CK677" s="68"/>
      <c r="CL677" s="68"/>
      <c r="CM677" s="68"/>
      <c r="CN677" s="68"/>
      <c r="CO677" s="68"/>
      <c r="CP677" s="68"/>
      <c r="CQ677" s="68"/>
      <c r="CR677" s="68"/>
      <c r="CS677" s="68"/>
      <c r="CT677" s="68"/>
      <c r="CU677" s="68"/>
      <c r="CV677" s="68"/>
      <c r="CW677" s="68"/>
      <c r="CX677" s="68"/>
    </row>
    <row r="678" spans="1:102" s="71" customFormat="1" hidden="1">
      <c r="A678" s="109"/>
      <c r="B678" s="109"/>
      <c r="C678" s="109"/>
      <c r="D678" s="115"/>
      <c r="E678" s="100"/>
      <c r="F678" s="100"/>
      <c r="G678" s="111"/>
      <c r="H678" s="105"/>
      <c r="I678" s="111"/>
      <c r="J678" s="111"/>
      <c r="K678" s="112"/>
      <c r="L678" s="113"/>
      <c r="M678" s="114"/>
      <c r="N678" s="100"/>
      <c r="O678" s="114"/>
      <c r="P678" s="65"/>
      <c r="Q678" s="103"/>
      <c r="R678" s="103"/>
      <c r="S678" s="103"/>
      <c r="T678" s="103"/>
      <c r="U678" s="68"/>
      <c r="V678" s="69"/>
      <c r="W678" s="68"/>
      <c r="X678" s="68"/>
      <c r="Y678" s="68"/>
      <c r="Z678" s="68"/>
      <c r="AA678" s="68"/>
      <c r="AB678" s="68"/>
      <c r="AC678" s="68"/>
      <c r="AD678" s="68"/>
      <c r="AE678" s="68"/>
      <c r="AF678" s="68"/>
      <c r="AG678" s="68"/>
      <c r="AH678" s="68"/>
      <c r="AI678" s="68"/>
      <c r="AJ678" s="68"/>
      <c r="AK678" s="68"/>
      <c r="AL678" s="68"/>
      <c r="AM678" s="68"/>
      <c r="AN678" s="68"/>
      <c r="AO678" s="68"/>
      <c r="AP678" s="68"/>
      <c r="AQ678" s="68"/>
      <c r="AR678" s="68"/>
      <c r="AS678" s="68"/>
      <c r="AT678" s="68"/>
      <c r="AU678" s="68"/>
      <c r="AV678" s="68"/>
      <c r="AW678" s="68"/>
      <c r="AX678" s="68"/>
      <c r="AY678" s="68"/>
      <c r="AZ678" s="68"/>
      <c r="BA678" s="68"/>
      <c r="BB678" s="68"/>
      <c r="BC678" s="68"/>
      <c r="BD678" s="68"/>
      <c r="BE678" s="68"/>
      <c r="BF678" s="68"/>
      <c r="BG678" s="68"/>
      <c r="BH678" s="68"/>
      <c r="BI678" s="68"/>
      <c r="BJ678" s="68"/>
      <c r="BK678" s="68"/>
      <c r="BL678" s="68"/>
      <c r="BM678" s="68"/>
      <c r="BN678" s="68"/>
      <c r="BO678" s="68"/>
      <c r="BP678" s="68"/>
      <c r="BQ678" s="68"/>
      <c r="BR678" s="68"/>
      <c r="BS678" s="68"/>
      <c r="BT678" s="68"/>
      <c r="BU678" s="68"/>
      <c r="BV678" s="68"/>
      <c r="BW678" s="68"/>
      <c r="BX678" s="68"/>
      <c r="BY678" s="68"/>
      <c r="BZ678" s="68"/>
      <c r="CA678" s="68"/>
      <c r="CB678" s="68"/>
      <c r="CC678" s="68"/>
      <c r="CD678" s="68"/>
      <c r="CE678" s="68"/>
      <c r="CF678" s="68"/>
      <c r="CG678" s="68"/>
      <c r="CH678" s="68"/>
      <c r="CI678" s="68"/>
      <c r="CJ678" s="68"/>
      <c r="CK678" s="68"/>
      <c r="CL678" s="68"/>
      <c r="CM678" s="68"/>
      <c r="CN678" s="68"/>
      <c r="CO678" s="68"/>
      <c r="CP678" s="68"/>
      <c r="CQ678" s="68"/>
      <c r="CR678" s="68"/>
      <c r="CS678" s="68"/>
      <c r="CT678" s="68"/>
      <c r="CU678" s="68"/>
      <c r="CV678" s="68"/>
      <c r="CW678" s="68"/>
      <c r="CX678" s="68"/>
    </row>
    <row r="679" spans="1:102" s="71" customFormat="1" hidden="1">
      <c r="A679" s="109"/>
      <c r="B679" s="109"/>
      <c r="C679" s="109"/>
      <c r="D679" s="115"/>
      <c r="E679" s="100"/>
      <c r="F679" s="100"/>
      <c r="G679" s="111"/>
      <c r="H679" s="105"/>
      <c r="I679" s="111"/>
      <c r="J679" s="111"/>
      <c r="K679" s="112"/>
      <c r="L679" s="113"/>
      <c r="M679" s="114"/>
      <c r="N679" s="100"/>
      <c r="O679" s="114"/>
      <c r="P679" s="65"/>
      <c r="Q679" s="103"/>
      <c r="R679" s="103"/>
      <c r="S679" s="103"/>
      <c r="T679" s="103"/>
      <c r="U679" s="68"/>
      <c r="V679" s="69"/>
      <c r="W679" s="68"/>
      <c r="X679" s="68"/>
      <c r="Y679" s="68"/>
      <c r="Z679" s="68"/>
      <c r="AA679" s="68"/>
      <c r="AB679" s="68"/>
      <c r="AC679" s="68"/>
      <c r="AD679" s="68"/>
      <c r="AE679" s="68"/>
      <c r="AF679" s="68"/>
      <c r="AG679" s="68"/>
      <c r="AH679" s="68"/>
      <c r="AI679" s="68"/>
      <c r="AJ679" s="68"/>
      <c r="AK679" s="68"/>
      <c r="AL679" s="68"/>
      <c r="AM679" s="68"/>
      <c r="AN679" s="68"/>
      <c r="AO679" s="68"/>
      <c r="AP679" s="68"/>
      <c r="AQ679" s="68"/>
      <c r="AR679" s="68"/>
      <c r="AS679" s="68"/>
      <c r="AT679" s="68"/>
      <c r="AU679" s="68"/>
      <c r="AV679" s="68"/>
      <c r="AW679" s="68"/>
      <c r="AX679" s="68"/>
      <c r="AY679" s="68"/>
      <c r="AZ679" s="68"/>
      <c r="BA679" s="68"/>
      <c r="BB679" s="68"/>
      <c r="BC679" s="68"/>
      <c r="BD679" s="68"/>
      <c r="BE679" s="68"/>
      <c r="BF679" s="68"/>
      <c r="BG679" s="68"/>
      <c r="BH679" s="68"/>
      <c r="BI679" s="68"/>
      <c r="BJ679" s="68"/>
      <c r="BK679" s="68"/>
      <c r="BL679" s="68"/>
      <c r="BM679" s="68"/>
      <c r="BN679" s="68"/>
      <c r="BO679" s="68"/>
      <c r="BP679" s="68"/>
      <c r="BQ679" s="68"/>
      <c r="BR679" s="68"/>
      <c r="BS679" s="68"/>
      <c r="BT679" s="68"/>
      <c r="BU679" s="68"/>
      <c r="BV679" s="68"/>
      <c r="BW679" s="68"/>
      <c r="BX679" s="68"/>
      <c r="BY679" s="68"/>
      <c r="BZ679" s="68"/>
      <c r="CA679" s="68"/>
      <c r="CB679" s="68"/>
      <c r="CC679" s="68"/>
      <c r="CD679" s="68"/>
      <c r="CE679" s="68"/>
      <c r="CF679" s="68"/>
      <c r="CG679" s="68"/>
      <c r="CH679" s="68"/>
      <c r="CI679" s="68"/>
      <c r="CJ679" s="68"/>
      <c r="CK679" s="68"/>
      <c r="CL679" s="68"/>
      <c r="CM679" s="68"/>
      <c r="CN679" s="68"/>
      <c r="CO679" s="68"/>
      <c r="CP679" s="68"/>
      <c r="CQ679" s="68"/>
      <c r="CR679" s="68"/>
      <c r="CS679" s="68"/>
      <c r="CT679" s="68"/>
      <c r="CU679" s="68"/>
      <c r="CV679" s="68"/>
      <c r="CW679" s="68"/>
      <c r="CX679" s="68"/>
    </row>
    <row r="680" spans="1:102" s="71" customFormat="1" hidden="1">
      <c r="A680" s="109"/>
      <c r="B680" s="109"/>
      <c r="C680" s="109"/>
      <c r="D680" s="115"/>
      <c r="E680" s="100"/>
      <c r="F680" s="100"/>
      <c r="G680" s="111"/>
      <c r="H680" s="105"/>
      <c r="I680" s="111"/>
      <c r="J680" s="111"/>
      <c r="K680" s="112"/>
      <c r="L680" s="113"/>
      <c r="M680" s="114"/>
      <c r="N680" s="100"/>
      <c r="O680" s="114"/>
      <c r="P680" s="65"/>
      <c r="Q680" s="103"/>
      <c r="R680" s="103"/>
      <c r="S680" s="103"/>
      <c r="T680" s="103"/>
      <c r="U680" s="68"/>
      <c r="V680" s="69"/>
      <c r="W680" s="68"/>
      <c r="X680" s="68"/>
      <c r="Y680" s="68"/>
      <c r="Z680" s="68"/>
      <c r="AA680" s="68"/>
      <c r="AB680" s="68"/>
      <c r="AC680" s="68"/>
      <c r="AD680" s="68"/>
      <c r="AE680" s="68"/>
      <c r="AF680" s="68"/>
      <c r="AG680" s="68"/>
      <c r="AH680" s="68"/>
      <c r="AI680" s="68"/>
      <c r="AJ680" s="68"/>
      <c r="AK680" s="68"/>
      <c r="AL680" s="68"/>
      <c r="AM680" s="68"/>
      <c r="AN680" s="68"/>
      <c r="AO680" s="68"/>
      <c r="AP680" s="68"/>
      <c r="AQ680" s="68"/>
      <c r="AR680" s="68"/>
      <c r="AS680" s="68"/>
      <c r="AT680" s="68"/>
      <c r="AU680" s="68"/>
      <c r="AV680" s="68"/>
      <c r="AW680" s="68"/>
      <c r="AX680" s="68"/>
      <c r="AY680" s="68"/>
      <c r="AZ680" s="68"/>
      <c r="BA680" s="68"/>
      <c r="BB680" s="68"/>
      <c r="BC680" s="68"/>
      <c r="BD680" s="68"/>
      <c r="BE680" s="68"/>
      <c r="BF680" s="68"/>
      <c r="BG680" s="68"/>
      <c r="BH680" s="68"/>
      <c r="BI680" s="68"/>
      <c r="BJ680" s="68"/>
      <c r="BK680" s="68"/>
      <c r="BL680" s="68"/>
      <c r="BM680" s="68"/>
      <c r="BN680" s="68"/>
      <c r="BO680" s="68"/>
      <c r="BP680" s="68"/>
      <c r="BQ680" s="68"/>
      <c r="BR680" s="68"/>
      <c r="BS680" s="68"/>
      <c r="BT680" s="68"/>
      <c r="BU680" s="68"/>
      <c r="BV680" s="68"/>
      <c r="BW680" s="68"/>
      <c r="BX680" s="68"/>
      <c r="BY680" s="68"/>
      <c r="BZ680" s="68"/>
      <c r="CA680" s="68"/>
      <c r="CB680" s="68"/>
      <c r="CC680" s="68"/>
      <c r="CD680" s="68"/>
      <c r="CE680" s="68"/>
      <c r="CF680" s="68"/>
      <c r="CG680" s="68"/>
      <c r="CH680" s="68"/>
      <c r="CI680" s="68"/>
      <c r="CJ680" s="68"/>
      <c r="CK680" s="68"/>
      <c r="CL680" s="68"/>
      <c r="CM680" s="68"/>
      <c r="CN680" s="68"/>
      <c r="CO680" s="68"/>
      <c r="CP680" s="68"/>
      <c r="CQ680" s="68"/>
      <c r="CR680" s="68"/>
      <c r="CS680" s="68"/>
      <c r="CT680" s="68"/>
      <c r="CU680" s="68"/>
      <c r="CV680" s="68"/>
      <c r="CW680" s="68"/>
      <c r="CX680" s="68"/>
    </row>
    <row r="681" spans="1:102" s="71" customFormat="1" hidden="1">
      <c r="A681" s="109"/>
      <c r="B681" s="109"/>
      <c r="C681" s="109"/>
      <c r="D681" s="115"/>
      <c r="E681" s="100"/>
      <c r="F681" s="100"/>
      <c r="G681" s="111"/>
      <c r="H681" s="105"/>
      <c r="I681" s="111"/>
      <c r="J681" s="111"/>
      <c r="K681" s="112"/>
      <c r="L681" s="113"/>
      <c r="M681" s="114"/>
      <c r="N681" s="100"/>
      <c r="O681" s="114"/>
      <c r="P681" s="65"/>
      <c r="Q681" s="103"/>
      <c r="R681" s="103"/>
      <c r="S681" s="103"/>
      <c r="T681" s="103"/>
      <c r="U681" s="68"/>
      <c r="V681" s="69"/>
      <c r="W681" s="68"/>
      <c r="X681" s="68"/>
      <c r="Y681" s="68"/>
      <c r="Z681" s="68"/>
      <c r="AA681" s="68"/>
      <c r="AB681" s="68"/>
      <c r="AC681" s="68"/>
      <c r="AD681" s="68"/>
      <c r="AE681" s="68"/>
      <c r="AF681" s="68"/>
      <c r="AG681" s="68"/>
      <c r="AH681" s="68"/>
      <c r="AI681" s="68"/>
      <c r="AJ681" s="68"/>
      <c r="AK681" s="68"/>
      <c r="AL681" s="68"/>
      <c r="AM681" s="68"/>
      <c r="AN681" s="68"/>
      <c r="AO681" s="68"/>
      <c r="AP681" s="68"/>
      <c r="AQ681" s="68"/>
      <c r="AR681" s="68"/>
      <c r="AS681" s="68"/>
      <c r="AT681" s="68"/>
      <c r="AU681" s="68"/>
      <c r="AV681" s="68"/>
      <c r="AW681" s="68"/>
      <c r="AX681" s="68"/>
      <c r="AY681" s="68"/>
      <c r="AZ681" s="68"/>
      <c r="BA681" s="68"/>
      <c r="BB681" s="68"/>
      <c r="BC681" s="68"/>
      <c r="BD681" s="68"/>
      <c r="BE681" s="68"/>
      <c r="BF681" s="68"/>
      <c r="BG681" s="68"/>
      <c r="BH681" s="68"/>
      <c r="BI681" s="68"/>
      <c r="BJ681" s="68"/>
      <c r="BK681" s="68"/>
      <c r="BL681" s="68"/>
      <c r="BM681" s="68"/>
      <c r="BN681" s="68"/>
      <c r="BO681" s="68"/>
      <c r="BP681" s="68"/>
      <c r="BQ681" s="68"/>
      <c r="BR681" s="68"/>
      <c r="BS681" s="68"/>
      <c r="BT681" s="68"/>
      <c r="BU681" s="68"/>
      <c r="BV681" s="68"/>
      <c r="BW681" s="68"/>
      <c r="BX681" s="68"/>
      <c r="BY681" s="68"/>
      <c r="BZ681" s="68"/>
      <c r="CA681" s="68"/>
      <c r="CB681" s="68"/>
      <c r="CC681" s="68"/>
      <c r="CD681" s="68"/>
      <c r="CE681" s="68"/>
      <c r="CF681" s="68"/>
      <c r="CG681" s="68"/>
      <c r="CH681" s="68"/>
      <c r="CI681" s="68"/>
      <c r="CJ681" s="68"/>
      <c r="CK681" s="68"/>
      <c r="CL681" s="68"/>
      <c r="CM681" s="68"/>
      <c r="CN681" s="68"/>
      <c r="CO681" s="68"/>
      <c r="CP681" s="68"/>
      <c r="CQ681" s="68"/>
      <c r="CR681" s="68"/>
      <c r="CS681" s="68"/>
      <c r="CT681" s="68"/>
      <c r="CU681" s="68"/>
      <c r="CV681" s="68"/>
      <c r="CW681" s="68"/>
      <c r="CX681" s="68"/>
    </row>
    <row r="682" spans="1:102" s="71" customFormat="1" hidden="1">
      <c r="A682" s="109"/>
      <c r="B682" s="109"/>
      <c r="C682" s="109"/>
      <c r="D682" s="115"/>
      <c r="E682" s="100"/>
      <c r="F682" s="100"/>
      <c r="G682" s="111"/>
      <c r="H682" s="105"/>
      <c r="I682" s="111"/>
      <c r="J682" s="111"/>
      <c r="K682" s="112"/>
      <c r="L682" s="113"/>
      <c r="M682" s="114"/>
      <c r="N682" s="100"/>
      <c r="O682" s="114"/>
      <c r="P682" s="65"/>
      <c r="Q682" s="103"/>
      <c r="R682" s="103"/>
      <c r="S682" s="103"/>
      <c r="T682" s="103"/>
      <c r="U682" s="68"/>
      <c r="V682" s="69"/>
      <c r="W682" s="68"/>
      <c r="X682" s="68"/>
      <c r="Y682" s="68"/>
      <c r="Z682" s="68"/>
      <c r="AA682" s="68"/>
      <c r="AB682" s="68"/>
      <c r="AC682" s="68"/>
      <c r="AD682" s="68"/>
      <c r="AE682" s="68"/>
      <c r="AF682" s="68"/>
      <c r="AG682" s="68"/>
      <c r="AH682" s="68"/>
      <c r="AI682" s="68"/>
      <c r="AJ682" s="68"/>
      <c r="AK682" s="68"/>
      <c r="AL682" s="68"/>
      <c r="AM682" s="68"/>
      <c r="AN682" s="68"/>
      <c r="AO682" s="68"/>
      <c r="AP682" s="68"/>
      <c r="AQ682" s="68"/>
      <c r="AR682" s="68"/>
      <c r="AS682" s="68"/>
      <c r="AT682" s="68"/>
      <c r="AU682" s="68"/>
      <c r="AV682" s="68"/>
      <c r="AW682" s="68"/>
      <c r="AX682" s="68"/>
      <c r="AY682" s="68"/>
      <c r="AZ682" s="68"/>
      <c r="BA682" s="68"/>
      <c r="BB682" s="68"/>
      <c r="BC682" s="68"/>
      <c r="BD682" s="68"/>
      <c r="BE682" s="68"/>
      <c r="BF682" s="68"/>
      <c r="BG682" s="68"/>
      <c r="BH682" s="68"/>
      <c r="BI682" s="68"/>
      <c r="BJ682" s="68"/>
      <c r="BK682" s="68"/>
      <c r="BL682" s="68"/>
      <c r="BM682" s="68"/>
      <c r="BN682" s="68"/>
      <c r="BO682" s="68"/>
      <c r="BP682" s="68"/>
      <c r="BQ682" s="68"/>
      <c r="BR682" s="68"/>
      <c r="BS682" s="68"/>
      <c r="BT682" s="68"/>
      <c r="BU682" s="68"/>
      <c r="BV682" s="68"/>
      <c r="BW682" s="68"/>
      <c r="BX682" s="68"/>
      <c r="BY682" s="68"/>
      <c r="BZ682" s="68"/>
      <c r="CA682" s="68"/>
      <c r="CB682" s="68"/>
      <c r="CC682" s="68"/>
      <c r="CD682" s="68"/>
      <c r="CE682" s="68"/>
      <c r="CF682" s="68"/>
      <c r="CG682" s="68"/>
      <c r="CH682" s="68"/>
      <c r="CI682" s="68"/>
      <c r="CJ682" s="68"/>
      <c r="CK682" s="68"/>
      <c r="CL682" s="68"/>
      <c r="CM682" s="68"/>
      <c r="CN682" s="68"/>
      <c r="CO682" s="68"/>
      <c r="CP682" s="68"/>
      <c r="CQ682" s="68"/>
      <c r="CR682" s="68"/>
      <c r="CS682" s="68"/>
      <c r="CT682" s="68"/>
      <c r="CU682" s="68"/>
      <c r="CV682" s="68"/>
      <c r="CW682" s="68"/>
      <c r="CX682" s="68"/>
    </row>
    <row r="683" spans="1:102" s="71" customFormat="1" hidden="1">
      <c r="A683" s="109"/>
      <c r="B683" s="109"/>
      <c r="C683" s="109"/>
      <c r="D683" s="115"/>
      <c r="E683" s="100"/>
      <c r="F683" s="100"/>
      <c r="G683" s="111"/>
      <c r="H683" s="105"/>
      <c r="I683" s="111"/>
      <c r="J683" s="111"/>
      <c r="K683" s="112"/>
      <c r="L683" s="113"/>
      <c r="M683" s="114"/>
      <c r="N683" s="100"/>
      <c r="O683" s="114"/>
      <c r="P683" s="65"/>
      <c r="Q683" s="103"/>
      <c r="R683" s="103"/>
      <c r="S683" s="103"/>
      <c r="T683" s="103"/>
      <c r="U683" s="68"/>
      <c r="V683" s="69"/>
      <c r="W683" s="68"/>
      <c r="X683" s="68"/>
      <c r="Y683" s="68"/>
      <c r="Z683" s="68"/>
      <c r="AA683" s="68"/>
      <c r="AB683" s="68"/>
      <c r="AC683" s="68"/>
      <c r="AD683" s="68"/>
      <c r="AE683" s="68"/>
      <c r="AF683" s="68"/>
      <c r="AG683" s="68"/>
      <c r="AH683" s="68"/>
      <c r="AI683" s="68"/>
      <c r="AJ683" s="68"/>
      <c r="AK683" s="68"/>
      <c r="AL683" s="68"/>
      <c r="AM683" s="68"/>
      <c r="AN683" s="68"/>
      <c r="AO683" s="68"/>
      <c r="AP683" s="68"/>
      <c r="AQ683" s="68"/>
      <c r="AR683" s="68"/>
      <c r="AS683" s="68"/>
      <c r="AT683" s="68"/>
      <c r="AU683" s="68"/>
      <c r="AV683" s="68"/>
      <c r="AW683" s="68"/>
      <c r="AX683" s="68"/>
      <c r="AY683" s="68"/>
      <c r="AZ683" s="68"/>
      <c r="BA683" s="68"/>
      <c r="BB683" s="68"/>
      <c r="BC683" s="68"/>
      <c r="BD683" s="68"/>
      <c r="BE683" s="68"/>
      <c r="BF683" s="68"/>
      <c r="BG683" s="68"/>
      <c r="BH683" s="68"/>
      <c r="BI683" s="68"/>
      <c r="BJ683" s="68"/>
      <c r="BK683" s="68"/>
      <c r="BL683" s="68"/>
      <c r="BM683" s="68"/>
      <c r="BN683" s="68"/>
      <c r="BO683" s="68"/>
      <c r="BP683" s="68"/>
      <c r="BQ683" s="68"/>
      <c r="BR683" s="68"/>
      <c r="BS683" s="68"/>
      <c r="BT683" s="68"/>
      <c r="BU683" s="68"/>
      <c r="BV683" s="68"/>
      <c r="BW683" s="68"/>
      <c r="BX683" s="68"/>
      <c r="BY683" s="68"/>
      <c r="BZ683" s="68"/>
      <c r="CA683" s="68"/>
      <c r="CB683" s="68"/>
      <c r="CC683" s="68"/>
      <c r="CD683" s="68"/>
      <c r="CE683" s="68"/>
      <c r="CF683" s="68"/>
      <c r="CG683" s="68"/>
      <c r="CH683" s="68"/>
      <c r="CI683" s="68"/>
      <c r="CJ683" s="68"/>
      <c r="CK683" s="68"/>
      <c r="CL683" s="68"/>
      <c r="CM683" s="68"/>
      <c r="CN683" s="68"/>
      <c r="CO683" s="68"/>
      <c r="CP683" s="68"/>
      <c r="CQ683" s="68"/>
      <c r="CR683" s="68"/>
      <c r="CS683" s="68"/>
      <c r="CT683" s="68"/>
      <c r="CU683" s="68"/>
      <c r="CV683" s="68"/>
      <c r="CW683" s="68"/>
      <c r="CX683" s="68"/>
    </row>
    <row r="684" spans="1:102" s="71" customFormat="1" hidden="1">
      <c r="A684" s="109"/>
      <c r="B684" s="109"/>
      <c r="C684" s="109"/>
      <c r="D684" s="115"/>
      <c r="E684" s="100"/>
      <c r="F684" s="100"/>
      <c r="G684" s="111"/>
      <c r="H684" s="105"/>
      <c r="I684" s="111"/>
      <c r="J684" s="111"/>
      <c r="K684" s="112"/>
      <c r="L684" s="113"/>
      <c r="M684" s="114"/>
      <c r="N684" s="100"/>
      <c r="O684" s="114"/>
      <c r="P684" s="65"/>
      <c r="Q684" s="103"/>
      <c r="R684" s="103"/>
      <c r="S684" s="103"/>
      <c r="T684" s="103"/>
      <c r="U684" s="68"/>
      <c r="V684" s="69"/>
      <c r="W684" s="68"/>
      <c r="X684" s="68"/>
      <c r="Y684" s="68"/>
      <c r="Z684" s="68"/>
      <c r="AA684" s="68"/>
      <c r="AB684" s="68"/>
      <c r="AC684" s="68"/>
      <c r="AD684" s="68"/>
      <c r="AE684" s="68"/>
      <c r="AF684" s="68"/>
      <c r="AG684" s="68"/>
      <c r="AH684" s="68"/>
      <c r="AI684" s="68"/>
      <c r="AJ684" s="68"/>
      <c r="AK684" s="68"/>
      <c r="AL684" s="68"/>
      <c r="AM684" s="68"/>
      <c r="AN684" s="68"/>
      <c r="AO684" s="68"/>
      <c r="AP684" s="68"/>
      <c r="AQ684" s="68"/>
      <c r="AR684" s="68"/>
      <c r="AS684" s="68"/>
      <c r="AT684" s="68"/>
      <c r="AU684" s="68"/>
      <c r="AV684" s="68"/>
      <c r="AW684" s="68"/>
      <c r="AX684" s="68"/>
      <c r="AY684" s="68"/>
      <c r="AZ684" s="68"/>
      <c r="BA684" s="68"/>
      <c r="BB684" s="68"/>
      <c r="BC684" s="68"/>
      <c r="BD684" s="68"/>
      <c r="BE684" s="68"/>
      <c r="BF684" s="68"/>
      <c r="BG684" s="68"/>
      <c r="BH684" s="68"/>
      <c r="BI684" s="68"/>
      <c r="BJ684" s="68"/>
      <c r="BK684" s="68"/>
      <c r="BL684" s="68"/>
      <c r="BM684" s="68"/>
      <c r="BN684" s="68"/>
      <c r="BO684" s="68"/>
      <c r="BP684" s="68"/>
      <c r="BQ684" s="68"/>
      <c r="BR684" s="68"/>
      <c r="BS684" s="68"/>
      <c r="BT684" s="68"/>
      <c r="BU684" s="68"/>
      <c r="BV684" s="68"/>
      <c r="BW684" s="68"/>
      <c r="BX684" s="68"/>
      <c r="BY684" s="68"/>
      <c r="BZ684" s="68"/>
      <c r="CA684" s="68"/>
      <c r="CB684" s="68"/>
      <c r="CC684" s="68"/>
      <c r="CD684" s="68"/>
      <c r="CE684" s="68"/>
      <c r="CF684" s="68"/>
      <c r="CG684" s="68"/>
      <c r="CH684" s="68"/>
      <c r="CI684" s="68"/>
      <c r="CJ684" s="68"/>
      <c r="CK684" s="68"/>
      <c r="CL684" s="68"/>
      <c r="CM684" s="68"/>
      <c r="CN684" s="68"/>
      <c r="CO684" s="68"/>
      <c r="CP684" s="68"/>
      <c r="CQ684" s="68"/>
      <c r="CR684" s="68"/>
      <c r="CS684" s="68"/>
      <c r="CT684" s="68"/>
      <c r="CU684" s="68"/>
      <c r="CV684" s="68"/>
      <c r="CW684" s="68"/>
      <c r="CX684" s="68"/>
    </row>
    <row r="685" spans="1:102" s="71" customFormat="1" hidden="1">
      <c r="A685" s="109"/>
      <c r="B685" s="109"/>
      <c r="C685" s="109"/>
      <c r="D685" s="115"/>
      <c r="E685" s="100"/>
      <c r="F685" s="100"/>
      <c r="G685" s="111"/>
      <c r="H685" s="105"/>
      <c r="I685" s="111"/>
      <c r="J685" s="111"/>
      <c r="K685" s="112"/>
      <c r="L685" s="113"/>
      <c r="M685" s="114"/>
      <c r="N685" s="100"/>
      <c r="O685" s="114"/>
      <c r="P685" s="65"/>
      <c r="Q685" s="103"/>
      <c r="R685" s="103"/>
      <c r="S685" s="103"/>
      <c r="T685" s="103"/>
      <c r="U685" s="68"/>
      <c r="V685" s="69"/>
      <c r="W685" s="68"/>
      <c r="X685" s="68"/>
      <c r="Y685" s="68"/>
      <c r="Z685" s="68"/>
      <c r="AA685" s="68"/>
      <c r="AB685" s="68"/>
      <c r="AC685" s="68"/>
      <c r="AD685" s="68"/>
      <c r="AE685" s="68"/>
      <c r="AF685" s="68"/>
      <c r="AG685" s="68"/>
      <c r="AH685" s="68"/>
      <c r="AI685" s="68"/>
      <c r="AJ685" s="68"/>
      <c r="AK685" s="68"/>
      <c r="AL685" s="68"/>
      <c r="AM685" s="68"/>
      <c r="AN685" s="68"/>
      <c r="AO685" s="68"/>
      <c r="AP685" s="68"/>
      <c r="AQ685" s="68"/>
      <c r="AR685" s="68"/>
      <c r="AS685" s="68"/>
      <c r="AT685" s="68"/>
      <c r="AU685" s="68"/>
      <c r="AV685" s="68"/>
      <c r="AW685" s="68"/>
      <c r="AX685" s="68"/>
      <c r="AY685" s="68"/>
      <c r="AZ685" s="68"/>
      <c r="BA685" s="68"/>
      <c r="BB685" s="68"/>
      <c r="BC685" s="68"/>
      <c r="BD685" s="68"/>
      <c r="BE685" s="68"/>
      <c r="BF685" s="68"/>
      <c r="BG685" s="68"/>
      <c r="BH685" s="68"/>
      <c r="BI685" s="68"/>
      <c r="BJ685" s="68"/>
      <c r="BK685" s="68"/>
      <c r="BL685" s="68"/>
      <c r="BM685" s="68"/>
      <c r="BN685" s="68"/>
      <c r="BO685" s="68"/>
      <c r="BP685" s="68"/>
      <c r="BQ685" s="68"/>
      <c r="BR685" s="68"/>
      <c r="BS685" s="68"/>
      <c r="BT685" s="68"/>
      <c r="BU685" s="68"/>
      <c r="BV685" s="68"/>
      <c r="BW685" s="68"/>
      <c r="BX685" s="68"/>
      <c r="BY685" s="68"/>
      <c r="BZ685" s="68"/>
      <c r="CA685" s="68"/>
      <c r="CB685" s="68"/>
      <c r="CC685" s="68"/>
      <c r="CD685" s="68"/>
      <c r="CE685" s="68"/>
      <c r="CF685" s="68"/>
      <c r="CG685" s="68"/>
      <c r="CH685" s="68"/>
      <c r="CI685" s="68"/>
      <c r="CJ685" s="68"/>
      <c r="CK685" s="68"/>
      <c r="CL685" s="68"/>
      <c r="CM685" s="68"/>
      <c r="CN685" s="68"/>
      <c r="CO685" s="68"/>
      <c r="CP685" s="68"/>
      <c r="CQ685" s="68"/>
      <c r="CR685" s="68"/>
      <c r="CS685" s="68"/>
      <c r="CT685" s="68"/>
      <c r="CU685" s="68"/>
      <c r="CV685" s="68"/>
      <c r="CW685" s="68"/>
      <c r="CX685" s="68"/>
    </row>
    <row r="686" spans="1:102" s="71" customFormat="1" hidden="1">
      <c r="A686" s="109"/>
      <c r="B686" s="109"/>
      <c r="C686" s="109"/>
      <c r="D686" s="115"/>
      <c r="E686" s="100"/>
      <c r="F686" s="100"/>
      <c r="G686" s="111"/>
      <c r="H686" s="105"/>
      <c r="I686" s="111"/>
      <c r="J686" s="111"/>
      <c r="K686" s="112"/>
      <c r="L686" s="113"/>
      <c r="M686" s="114"/>
      <c r="N686" s="100"/>
      <c r="O686" s="114"/>
      <c r="P686" s="65"/>
      <c r="Q686" s="103"/>
      <c r="R686" s="103"/>
      <c r="S686" s="103"/>
      <c r="T686" s="103"/>
      <c r="U686" s="68"/>
      <c r="V686" s="69"/>
      <c r="W686" s="68"/>
      <c r="X686" s="68"/>
      <c r="Y686" s="68"/>
      <c r="Z686" s="68"/>
      <c r="AA686" s="68"/>
      <c r="AB686" s="68"/>
      <c r="AC686" s="68"/>
      <c r="AD686" s="68"/>
      <c r="AE686" s="68"/>
      <c r="AF686" s="68"/>
      <c r="AG686" s="68"/>
      <c r="AH686" s="68"/>
      <c r="AI686" s="68"/>
      <c r="AJ686" s="68"/>
      <c r="AK686" s="68"/>
      <c r="AL686" s="68"/>
      <c r="AM686" s="68"/>
      <c r="AN686" s="68"/>
      <c r="AO686" s="68"/>
      <c r="AP686" s="68"/>
      <c r="AQ686" s="68"/>
      <c r="AR686" s="68"/>
      <c r="AS686" s="68"/>
      <c r="AT686" s="68"/>
      <c r="AU686" s="68"/>
      <c r="AV686" s="68"/>
      <c r="AW686" s="68"/>
      <c r="AX686" s="68"/>
      <c r="AY686" s="68"/>
      <c r="AZ686" s="68"/>
      <c r="BA686" s="68"/>
      <c r="BB686" s="68"/>
      <c r="BC686" s="68"/>
      <c r="BD686" s="68"/>
      <c r="BE686" s="68"/>
      <c r="BF686" s="68"/>
      <c r="BG686" s="68"/>
      <c r="BH686" s="68"/>
      <c r="BI686" s="68"/>
      <c r="BJ686" s="68"/>
      <c r="BK686" s="68"/>
      <c r="BL686" s="68"/>
      <c r="BM686" s="68"/>
      <c r="BN686" s="68"/>
      <c r="BO686" s="68"/>
      <c r="BP686" s="68"/>
      <c r="BQ686" s="68"/>
      <c r="BR686" s="68"/>
      <c r="BS686" s="68"/>
      <c r="BT686" s="68"/>
      <c r="BU686" s="68"/>
      <c r="BV686" s="68"/>
      <c r="BW686" s="68"/>
      <c r="BX686" s="68"/>
      <c r="BY686" s="68"/>
      <c r="BZ686" s="68"/>
      <c r="CA686" s="68"/>
      <c r="CB686" s="68"/>
      <c r="CC686" s="68"/>
      <c r="CD686" s="68"/>
      <c r="CE686" s="68"/>
      <c r="CF686" s="68"/>
      <c r="CG686" s="68"/>
      <c r="CH686" s="68"/>
      <c r="CI686" s="68"/>
      <c r="CJ686" s="68"/>
      <c r="CK686" s="68"/>
      <c r="CL686" s="68"/>
      <c r="CM686" s="68"/>
      <c r="CN686" s="68"/>
      <c r="CO686" s="68"/>
      <c r="CP686" s="68"/>
      <c r="CQ686" s="68"/>
      <c r="CR686" s="68"/>
      <c r="CS686" s="68"/>
      <c r="CT686" s="68"/>
      <c r="CU686" s="68"/>
      <c r="CV686" s="68"/>
      <c r="CW686" s="68"/>
      <c r="CX686" s="68"/>
    </row>
    <row r="687" spans="1:102" s="71" customFormat="1" hidden="1">
      <c r="A687" s="109"/>
      <c r="B687" s="109"/>
      <c r="C687" s="109"/>
      <c r="D687" s="115"/>
      <c r="E687" s="100"/>
      <c r="F687" s="100"/>
      <c r="G687" s="111"/>
      <c r="H687" s="105"/>
      <c r="I687" s="111"/>
      <c r="J687" s="111"/>
      <c r="K687" s="112"/>
      <c r="L687" s="113"/>
      <c r="M687" s="114"/>
      <c r="N687" s="100"/>
      <c r="O687" s="114"/>
      <c r="P687" s="65"/>
      <c r="Q687" s="103"/>
      <c r="R687" s="103"/>
      <c r="S687" s="103"/>
      <c r="T687" s="103"/>
      <c r="U687" s="68"/>
      <c r="V687" s="69"/>
      <c r="W687" s="68"/>
      <c r="X687" s="68"/>
      <c r="Y687" s="68"/>
      <c r="Z687" s="68"/>
      <c r="AA687" s="68"/>
      <c r="AB687" s="68"/>
      <c r="AC687" s="68"/>
      <c r="AD687" s="68"/>
      <c r="AE687" s="68"/>
      <c r="AF687" s="68"/>
      <c r="AG687" s="68"/>
      <c r="AH687" s="68"/>
      <c r="AI687" s="68"/>
      <c r="AJ687" s="68"/>
      <c r="AK687" s="68"/>
      <c r="AL687" s="68"/>
      <c r="AM687" s="68"/>
      <c r="AN687" s="68"/>
      <c r="AO687" s="68"/>
      <c r="AP687" s="68"/>
      <c r="AQ687" s="68"/>
      <c r="AR687" s="68"/>
      <c r="AS687" s="68"/>
      <c r="AT687" s="68"/>
      <c r="AU687" s="68"/>
      <c r="AV687" s="68"/>
      <c r="AW687" s="68"/>
      <c r="AX687" s="68"/>
      <c r="AY687" s="68"/>
      <c r="AZ687" s="68"/>
      <c r="BA687" s="68"/>
      <c r="BB687" s="68"/>
      <c r="BC687" s="68"/>
      <c r="BD687" s="68"/>
      <c r="BE687" s="68"/>
      <c r="BF687" s="68"/>
      <c r="BG687" s="68"/>
      <c r="BH687" s="68"/>
      <c r="BI687" s="68"/>
      <c r="BJ687" s="68"/>
      <c r="BK687" s="68"/>
      <c r="BL687" s="68"/>
      <c r="BM687" s="68"/>
      <c r="BN687" s="68"/>
      <c r="BO687" s="68"/>
      <c r="BP687" s="68"/>
      <c r="BQ687" s="68"/>
      <c r="BR687" s="68"/>
      <c r="BS687" s="68"/>
      <c r="BT687" s="68"/>
      <c r="BU687" s="68"/>
      <c r="BV687" s="68"/>
      <c r="BW687" s="68"/>
      <c r="BX687" s="68"/>
      <c r="BY687" s="68"/>
      <c r="BZ687" s="68"/>
      <c r="CA687" s="68"/>
      <c r="CB687" s="68"/>
      <c r="CC687" s="68"/>
      <c r="CD687" s="68"/>
      <c r="CE687" s="68"/>
      <c r="CF687" s="68"/>
      <c r="CG687" s="68"/>
      <c r="CH687" s="68"/>
      <c r="CI687" s="68"/>
      <c r="CJ687" s="68"/>
      <c r="CK687" s="68"/>
      <c r="CL687" s="68"/>
      <c r="CM687" s="68"/>
      <c r="CN687" s="68"/>
      <c r="CO687" s="68"/>
      <c r="CP687" s="68"/>
      <c r="CQ687" s="68"/>
      <c r="CR687" s="68"/>
      <c r="CS687" s="68"/>
      <c r="CT687" s="68"/>
      <c r="CU687" s="68"/>
      <c r="CV687" s="68"/>
      <c r="CW687" s="68"/>
      <c r="CX687" s="68"/>
    </row>
    <row r="688" spans="1:102" s="71" customFormat="1" hidden="1">
      <c r="A688" s="109"/>
      <c r="B688" s="109"/>
      <c r="C688" s="109"/>
      <c r="D688" s="115"/>
      <c r="E688" s="100"/>
      <c r="F688" s="100"/>
      <c r="G688" s="111"/>
      <c r="H688" s="105"/>
      <c r="I688" s="111"/>
      <c r="J688" s="111"/>
      <c r="K688" s="112"/>
      <c r="L688" s="113"/>
      <c r="M688" s="114"/>
      <c r="N688" s="100"/>
      <c r="O688" s="114"/>
      <c r="P688" s="65"/>
      <c r="Q688" s="103"/>
      <c r="R688" s="103"/>
      <c r="S688" s="103"/>
      <c r="T688" s="103"/>
      <c r="U688" s="68"/>
      <c r="V688" s="69"/>
      <c r="W688" s="68"/>
      <c r="X688" s="68"/>
      <c r="Y688" s="68"/>
      <c r="Z688" s="68"/>
      <c r="AA688" s="68"/>
      <c r="AB688" s="68"/>
      <c r="AC688" s="68"/>
      <c r="AD688" s="68"/>
      <c r="AE688" s="68"/>
      <c r="AF688" s="68"/>
      <c r="AG688" s="68"/>
      <c r="AH688" s="68"/>
      <c r="AI688" s="68"/>
      <c r="AJ688" s="68"/>
      <c r="AK688" s="68"/>
      <c r="AL688" s="68"/>
      <c r="AM688" s="68"/>
      <c r="AN688" s="68"/>
      <c r="AO688" s="68"/>
      <c r="AP688" s="68"/>
      <c r="AQ688" s="68"/>
      <c r="AR688" s="68"/>
      <c r="AS688" s="68"/>
      <c r="AT688" s="68"/>
      <c r="AU688" s="68"/>
      <c r="AV688" s="68"/>
      <c r="AW688" s="68"/>
      <c r="AX688" s="68"/>
      <c r="AY688" s="68"/>
      <c r="AZ688" s="68"/>
      <c r="BA688" s="68"/>
      <c r="BB688" s="68"/>
      <c r="BC688" s="68"/>
      <c r="BD688" s="68"/>
      <c r="BE688" s="68"/>
      <c r="BF688" s="68"/>
      <c r="BG688" s="68"/>
      <c r="BH688" s="68"/>
      <c r="BI688" s="68"/>
      <c r="BJ688" s="68"/>
      <c r="BK688" s="68"/>
      <c r="BL688" s="68"/>
      <c r="BM688" s="68"/>
      <c r="BN688" s="68"/>
      <c r="BO688" s="68"/>
      <c r="BP688" s="68"/>
      <c r="BQ688" s="68"/>
      <c r="BR688" s="68"/>
      <c r="BS688" s="68"/>
      <c r="BT688" s="68"/>
      <c r="BU688" s="68"/>
      <c r="BV688" s="68"/>
      <c r="BW688" s="68"/>
      <c r="BX688" s="68"/>
      <c r="BY688" s="68"/>
      <c r="BZ688" s="68"/>
      <c r="CA688" s="68"/>
      <c r="CB688" s="68"/>
      <c r="CC688" s="68"/>
      <c r="CD688" s="68"/>
      <c r="CE688" s="68"/>
      <c r="CF688" s="68"/>
      <c r="CG688" s="68"/>
      <c r="CH688" s="68"/>
      <c r="CI688" s="68"/>
      <c r="CJ688" s="68"/>
      <c r="CK688" s="68"/>
      <c r="CL688" s="68"/>
      <c r="CM688" s="68"/>
      <c r="CN688" s="68"/>
      <c r="CO688" s="68"/>
      <c r="CP688" s="68"/>
      <c r="CQ688" s="68"/>
      <c r="CR688" s="68"/>
      <c r="CS688" s="68"/>
      <c r="CT688" s="68"/>
      <c r="CU688" s="68"/>
      <c r="CV688" s="68"/>
      <c r="CW688" s="68"/>
      <c r="CX688" s="68"/>
    </row>
    <row r="689" spans="1:102" s="71" customFormat="1" hidden="1">
      <c r="A689" s="109"/>
      <c r="B689" s="109"/>
      <c r="C689" s="109"/>
      <c r="D689" s="115"/>
      <c r="E689" s="100"/>
      <c r="F689" s="100"/>
      <c r="G689" s="111"/>
      <c r="H689" s="105"/>
      <c r="I689" s="111"/>
      <c r="J689" s="111"/>
      <c r="K689" s="112"/>
      <c r="L689" s="113"/>
      <c r="M689" s="114"/>
      <c r="N689" s="100"/>
      <c r="O689" s="114"/>
      <c r="P689" s="65"/>
      <c r="Q689" s="103"/>
      <c r="R689" s="103"/>
      <c r="S689" s="103"/>
      <c r="T689" s="103"/>
      <c r="U689" s="68"/>
      <c r="V689" s="69"/>
      <c r="W689" s="68"/>
      <c r="X689" s="68"/>
      <c r="Y689" s="68"/>
      <c r="Z689" s="68"/>
      <c r="AA689" s="68"/>
      <c r="AB689" s="68"/>
      <c r="AC689" s="68"/>
      <c r="AD689" s="68"/>
      <c r="AE689" s="68"/>
      <c r="AF689" s="68"/>
      <c r="AG689" s="68"/>
      <c r="AH689" s="68"/>
      <c r="AI689" s="68"/>
      <c r="AJ689" s="68"/>
      <c r="AK689" s="68"/>
      <c r="AL689" s="68"/>
      <c r="AM689" s="68"/>
      <c r="AN689" s="68"/>
      <c r="AO689" s="68"/>
      <c r="AP689" s="68"/>
      <c r="AQ689" s="68"/>
      <c r="AR689" s="68"/>
      <c r="AS689" s="68"/>
      <c r="AT689" s="68"/>
      <c r="AU689" s="68"/>
      <c r="AV689" s="68"/>
      <c r="AW689" s="68"/>
      <c r="AX689" s="68"/>
      <c r="AY689" s="68"/>
      <c r="AZ689" s="68"/>
      <c r="BA689" s="68"/>
      <c r="BB689" s="68"/>
      <c r="BC689" s="68"/>
      <c r="BD689" s="68"/>
      <c r="BE689" s="68"/>
      <c r="BF689" s="68"/>
      <c r="BG689" s="68"/>
      <c r="BH689" s="68"/>
      <c r="BI689" s="68"/>
      <c r="BJ689" s="68"/>
      <c r="BK689" s="68"/>
      <c r="BL689" s="68"/>
      <c r="BM689" s="68"/>
      <c r="BN689" s="68"/>
      <c r="BO689" s="68"/>
      <c r="BP689" s="68"/>
      <c r="BQ689" s="68"/>
      <c r="BR689" s="68"/>
      <c r="BS689" s="68"/>
      <c r="BT689" s="68"/>
      <c r="BU689" s="68"/>
      <c r="BV689" s="68"/>
      <c r="BW689" s="68"/>
      <c r="BX689" s="68"/>
      <c r="BY689" s="68"/>
      <c r="BZ689" s="68"/>
      <c r="CA689" s="68"/>
      <c r="CB689" s="68"/>
      <c r="CC689" s="68"/>
      <c r="CD689" s="68"/>
      <c r="CE689" s="68"/>
      <c r="CF689" s="68"/>
      <c r="CG689" s="68"/>
      <c r="CH689" s="68"/>
      <c r="CI689" s="68"/>
      <c r="CJ689" s="68"/>
      <c r="CK689" s="68"/>
      <c r="CL689" s="68"/>
      <c r="CM689" s="68"/>
      <c r="CN689" s="68"/>
      <c r="CO689" s="68"/>
      <c r="CP689" s="68"/>
      <c r="CQ689" s="68"/>
      <c r="CR689" s="68"/>
      <c r="CS689" s="68"/>
      <c r="CT689" s="68"/>
      <c r="CU689" s="68"/>
      <c r="CV689" s="68"/>
      <c r="CW689" s="68"/>
      <c r="CX689" s="68"/>
    </row>
    <row r="690" spans="1:102" s="71" customFormat="1" hidden="1">
      <c r="A690" s="109"/>
      <c r="B690" s="109"/>
      <c r="C690" s="109"/>
      <c r="D690" s="115"/>
      <c r="E690" s="100"/>
      <c r="F690" s="100"/>
      <c r="G690" s="111"/>
      <c r="H690" s="105"/>
      <c r="I690" s="111"/>
      <c r="J690" s="111"/>
      <c r="K690" s="112"/>
      <c r="L690" s="113"/>
      <c r="M690" s="114"/>
      <c r="N690" s="100"/>
      <c r="O690" s="114"/>
      <c r="P690" s="65"/>
      <c r="Q690" s="103"/>
      <c r="R690" s="103"/>
      <c r="S690" s="103"/>
      <c r="T690" s="103"/>
      <c r="U690" s="68"/>
      <c r="V690" s="69"/>
      <c r="W690" s="68"/>
      <c r="X690" s="68"/>
      <c r="Y690" s="68"/>
      <c r="Z690" s="68"/>
      <c r="AA690" s="68"/>
      <c r="AB690" s="68"/>
      <c r="AC690" s="68"/>
      <c r="AD690" s="68"/>
      <c r="AE690" s="68"/>
      <c r="AF690" s="68"/>
      <c r="AG690" s="68"/>
      <c r="AH690" s="68"/>
      <c r="AI690" s="68"/>
      <c r="AJ690" s="68"/>
      <c r="AK690" s="68"/>
      <c r="AL690" s="68"/>
      <c r="AM690" s="68"/>
      <c r="AN690" s="68"/>
      <c r="AO690" s="68"/>
      <c r="AP690" s="68"/>
      <c r="AQ690" s="68"/>
      <c r="AR690" s="68"/>
      <c r="AS690" s="68"/>
      <c r="AT690" s="68"/>
      <c r="AU690" s="68"/>
      <c r="AV690" s="68"/>
      <c r="AW690" s="68"/>
      <c r="AX690" s="68"/>
      <c r="AY690" s="68"/>
      <c r="AZ690" s="68"/>
      <c r="BA690" s="68"/>
      <c r="BB690" s="68"/>
      <c r="BC690" s="68"/>
      <c r="BD690" s="68"/>
      <c r="BE690" s="68"/>
      <c r="BF690" s="68"/>
      <c r="BG690" s="68"/>
      <c r="BH690" s="68"/>
      <c r="BI690" s="68"/>
      <c r="BJ690" s="68"/>
      <c r="BK690" s="68"/>
      <c r="BL690" s="68"/>
      <c r="BM690" s="68"/>
      <c r="BN690" s="68"/>
      <c r="BO690" s="68"/>
      <c r="BP690" s="68"/>
      <c r="BQ690" s="68"/>
      <c r="BR690" s="68"/>
      <c r="BS690" s="68"/>
      <c r="BT690" s="68"/>
      <c r="BU690" s="68"/>
      <c r="BV690" s="68"/>
      <c r="BW690" s="68"/>
      <c r="BX690" s="68"/>
      <c r="BY690" s="68"/>
      <c r="BZ690" s="68"/>
      <c r="CA690" s="68"/>
      <c r="CB690" s="68"/>
      <c r="CC690" s="68"/>
      <c r="CD690" s="68"/>
      <c r="CE690" s="68"/>
      <c r="CF690" s="68"/>
      <c r="CG690" s="68"/>
      <c r="CH690" s="68"/>
      <c r="CI690" s="68"/>
      <c r="CJ690" s="68"/>
      <c r="CK690" s="68"/>
      <c r="CL690" s="68"/>
      <c r="CM690" s="68"/>
      <c r="CN690" s="68"/>
      <c r="CO690" s="68"/>
      <c r="CP690" s="68"/>
      <c r="CQ690" s="68"/>
      <c r="CR690" s="68"/>
      <c r="CS690" s="68"/>
      <c r="CT690" s="68"/>
      <c r="CU690" s="68"/>
      <c r="CV690" s="68"/>
      <c r="CW690" s="68"/>
      <c r="CX690" s="68"/>
    </row>
    <row r="691" spans="1:102" s="71" customFormat="1" hidden="1">
      <c r="A691" s="109"/>
      <c r="B691" s="109"/>
      <c r="C691" s="109"/>
      <c r="D691" s="115"/>
      <c r="E691" s="100"/>
      <c r="F691" s="100"/>
      <c r="G691" s="111"/>
      <c r="H691" s="105"/>
      <c r="I691" s="111"/>
      <c r="J691" s="111"/>
      <c r="K691" s="112"/>
      <c r="L691" s="113"/>
      <c r="M691" s="114"/>
      <c r="N691" s="100"/>
      <c r="O691" s="114"/>
      <c r="P691" s="65"/>
      <c r="Q691" s="103"/>
      <c r="R691" s="103"/>
      <c r="S691" s="103"/>
      <c r="T691" s="103"/>
      <c r="U691" s="68"/>
      <c r="V691" s="69"/>
      <c r="W691" s="68"/>
      <c r="X691" s="68"/>
      <c r="Y691" s="68"/>
      <c r="Z691" s="68"/>
      <c r="AA691" s="68"/>
      <c r="AB691" s="68"/>
      <c r="AC691" s="68"/>
      <c r="AD691" s="68"/>
      <c r="AE691" s="68"/>
      <c r="AF691" s="68"/>
      <c r="AG691" s="68"/>
      <c r="AH691" s="68"/>
      <c r="AI691" s="68"/>
      <c r="AJ691" s="68"/>
      <c r="AK691" s="68"/>
      <c r="AL691" s="68"/>
      <c r="AM691" s="68"/>
      <c r="AN691" s="68"/>
      <c r="AO691" s="68"/>
      <c r="AP691" s="68"/>
      <c r="AQ691" s="68"/>
      <c r="AR691" s="68"/>
      <c r="AS691" s="68"/>
      <c r="AT691" s="68"/>
      <c r="AU691" s="68"/>
      <c r="AV691" s="68"/>
      <c r="AW691" s="68"/>
      <c r="AX691" s="68"/>
      <c r="AY691" s="68"/>
      <c r="AZ691" s="68"/>
      <c r="BA691" s="68"/>
      <c r="BB691" s="68"/>
      <c r="BC691" s="68"/>
      <c r="BD691" s="68"/>
      <c r="BE691" s="68"/>
      <c r="BF691" s="68"/>
      <c r="BG691" s="68"/>
      <c r="BH691" s="68"/>
      <c r="BI691" s="68"/>
      <c r="BJ691" s="68"/>
      <c r="BK691" s="68"/>
      <c r="BL691" s="68"/>
      <c r="BM691" s="68"/>
      <c r="BN691" s="68"/>
      <c r="BO691" s="68"/>
      <c r="BP691" s="68"/>
      <c r="BQ691" s="68"/>
      <c r="BR691" s="68"/>
      <c r="BS691" s="68"/>
      <c r="BT691" s="68"/>
      <c r="BU691" s="68"/>
      <c r="BV691" s="68"/>
      <c r="BW691" s="68"/>
      <c r="BX691" s="68"/>
      <c r="BY691" s="68"/>
      <c r="BZ691" s="68"/>
      <c r="CA691" s="68"/>
      <c r="CB691" s="68"/>
      <c r="CC691" s="68"/>
      <c r="CD691" s="68"/>
      <c r="CE691" s="68"/>
      <c r="CF691" s="68"/>
      <c r="CG691" s="68"/>
      <c r="CH691" s="68"/>
      <c r="CI691" s="68"/>
      <c r="CJ691" s="68"/>
      <c r="CK691" s="68"/>
      <c r="CL691" s="68"/>
      <c r="CM691" s="68"/>
      <c r="CN691" s="68"/>
      <c r="CO691" s="68"/>
      <c r="CP691" s="68"/>
      <c r="CQ691" s="68"/>
      <c r="CR691" s="68"/>
      <c r="CS691" s="68"/>
      <c r="CT691" s="68"/>
      <c r="CU691" s="68"/>
      <c r="CV691" s="68"/>
      <c r="CW691" s="68"/>
      <c r="CX691" s="68"/>
    </row>
    <row r="692" spans="1:102" s="71" customFormat="1" hidden="1">
      <c r="A692" s="109"/>
      <c r="B692" s="109"/>
      <c r="C692" s="109"/>
      <c r="D692" s="115"/>
      <c r="E692" s="100"/>
      <c r="F692" s="100"/>
      <c r="G692" s="111"/>
      <c r="H692" s="105"/>
      <c r="I692" s="111"/>
      <c r="J692" s="111"/>
      <c r="K692" s="112"/>
      <c r="L692" s="113"/>
      <c r="M692" s="114"/>
      <c r="N692" s="100"/>
      <c r="O692" s="114"/>
      <c r="P692" s="65"/>
      <c r="Q692" s="103"/>
      <c r="R692" s="103"/>
      <c r="S692" s="103"/>
      <c r="T692" s="103"/>
      <c r="U692" s="68"/>
      <c r="V692" s="69"/>
      <c r="W692" s="68"/>
      <c r="X692" s="68"/>
      <c r="Y692" s="68"/>
      <c r="Z692" s="68"/>
      <c r="AA692" s="68"/>
      <c r="AB692" s="68"/>
      <c r="AC692" s="68"/>
      <c r="AD692" s="68"/>
      <c r="AE692" s="68"/>
      <c r="AF692" s="68"/>
      <c r="AG692" s="68"/>
      <c r="AH692" s="68"/>
      <c r="AI692" s="68"/>
      <c r="AJ692" s="68"/>
      <c r="AK692" s="68"/>
      <c r="AL692" s="68"/>
      <c r="AM692" s="68"/>
      <c r="AN692" s="68"/>
      <c r="AO692" s="68"/>
      <c r="AP692" s="68"/>
      <c r="AQ692" s="68"/>
      <c r="AR692" s="68"/>
      <c r="AS692" s="68"/>
      <c r="AT692" s="68"/>
      <c r="AU692" s="68"/>
      <c r="AV692" s="68"/>
      <c r="AW692" s="68"/>
      <c r="AX692" s="68"/>
      <c r="AY692" s="68"/>
      <c r="AZ692" s="68"/>
      <c r="BA692" s="68"/>
      <c r="BB692" s="68"/>
      <c r="BC692" s="68"/>
      <c r="BD692" s="68"/>
      <c r="BE692" s="68"/>
      <c r="BF692" s="68"/>
      <c r="BG692" s="68"/>
      <c r="BH692" s="68"/>
      <c r="BI692" s="68"/>
      <c r="BJ692" s="68"/>
      <c r="BK692" s="68"/>
      <c r="BL692" s="68"/>
      <c r="BM692" s="68"/>
      <c r="BN692" s="68"/>
      <c r="BO692" s="68"/>
      <c r="BP692" s="68"/>
      <c r="BQ692" s="68"/>
      <c r="BR692" s="68"/>
      <c r="BS692" s="68"/>
      <c r="BT692" s="68"/>
      <c r="BU692" s="68"/>
      <c r="BV692" s="68"/>
      <c r="BW692" s="68"/>
      <c r="BX692" s="68"/>
      <c r="BY692" s="68"/>
      <c r="BZ692" s="68"/>
      <c r="CA692" s="68"/>
      <c r="CB692" s="68"/>
      <c r="CC692" s="68"/>
      <c r="CD692" s="68"/>
      <c r="CE692" s="68"/>
      <c r="CF692" s="68"/>
      <c r="CG692" s="68"/>
      <c r="CH692" s="68"/>
      <c r="CI692" s="68"/>
      <c r="CJ692" s="68"/>
      <c r="CK692" s="68"/>
      <c r="CL692" s="68"/>
      <c r="CM692" s="68"/>
      <c r="CN692" s="68"/>
      <c r="CO692" s="68"/>
      <c r="CP692" s="68"/>
      <c r="CQ692" s="68"/>
      <c r="CR692" s="68"/>
      <c r="CS692" s="68"/>
      <c r="CT692" s="68"/>
      <c r="CU692" s="68"/>
      <c r="CV692" s="68"/>
      <c r="CW692" s="68"/>
      <c r="CX692" s="68"/>
    </row>
    <row r="693" spans="1:102" s="71" customFormat="1" hidden="1">
      <c r="A693" s="109"/>
      <c r="B693" s="109"/>
      <c r="C693" s="109"/>
      <c r="D693" s="115"/>
      <c r="E693" s="100"/>
      <c r="F693" s="100"/>
      <c r="G693" s="111"/>
      <c r="H693" s="105"/>
      <c r="I693" s="111"/>
      <c r="J693" s="111"/>
      <c r="K693" s="112"/>
      <c r="L693" s="113"/>
      <c r="M693" s="114"/>
      <c r="N693" s="100"/>
      <c r="O693" s="114"/>
      <c r="P693" s="65"/>
      <c r="Q693" s="103"/>
      <c r="R693" s="103"/>
      <c r="S693" s="103"/>
      <c r="T693" s="103"/>
      <c r="U693" s="68"/>
      <c r="V693" s="69"/>
      <c r="W693" s="68"/>
      <c r="X693" s="68"/>
      <c r="Y693" s="68"/>
      <c r="Z693" s="68"/>
      <c r="AA693" s="68"/>
      <c r="AB693" s="68"/>
      <c r="AC693" s="68"/>
      <c r="AD693" s="68"/>
      <c r="AE693" s="68"/>
      <c r="AF693" s="68"/>
      <c r="AG693" s="68"/>
      <c r="AH693" s="68"/>
      <c r="AI693" s="68"/>
      <c r="AJ693" s="68"/>
      <c r="AK693" s="68"/>
      <c r="AL693" s="68"/>
      <c r="AM693" s="68"/>
      <c r="AN693" s="68"/>
      <c r="AO693" s="68"/>
      <c r="AP693" s="68"/>
      <c r="AQ693" s="68"/>
      <c r="AR693" s="68"/>
      <c r="AS693" s="68"/>
      <c r="AT693" s="68"/>
      <c r="AU693" s="68"/>
      <c r="AV693" s="68"/>
      <c r="AW693" s="68"/>
      <c r="AX693" s="68"/>
      <c r="AY693" s="68"/>
      <c r="AZ693" s="68"/>
      <c r="BA693" s="68"/>
      <c r="BB693" s="68"/>
      <c r="BC693" s="68"/>
      <c r="BD693" s="68"/>
      <c r="BE693" s="68"/>
      <c r="BF693" s="68"/>
      <c r="BG693" s="68"/>
      <c r="BH693" s="68"/>
      <c r="BI693" s="68"/>
      <c r="BJ693" s="68"/>
      <c r="BK693" s="68"/>
      <c r="BL693" s="68"/>
      <c r="BM693" s="68"/>
      <c r="BN693" s="68"/>
      <c r="BO693" s="68"/>
      <c r="BP693" s="68"/>
      <c r="BQ693" s="68"/>
      <c r="BR693" s="68"/>
      <c r="BS693" s="68"/>
      <c r="BT693" s="68"/>
      <c r="BU693" s="68"/>
      <c r="BV693" s="68"/>
      <c r="BW693" s="68"/>
      <c r="BX693" s="68"/>
      <c r="BY693" s="68"/>
      <c r="BZ693" s="68"/>
      <c r="CA693" s="68"/>
      <c r="CB693" s="68"/>
      <c r="CC693" s="68"/>
      <c r="CD693" s="68"/>
      <c r="CE693" s="68"/>
      <c r="CF693" s="68"/>
      <c r="CG693" s="68"/>
      <c r="CH693" s="68"/>
      <c r="CI693" s="68"/>
      <c r="CJ693" s="68"/>
      <c r="CK693" s="68"/>
      <c r="CL693" s="68"/>
      <c r="CM693" s="68"/>
      <c r="CN693" s="68"/>
      <c r="CO693" s="68"/>
      <c r="CP693" s="68"/>
      <c r="CQ693" s="68"/>
      <c r="CR693" s="68"/>
      <c r="CS693" s="68"/>
      <c r="CT693" s="68"/>
      <c r="CU693" s="68"/>
      <c r="CV693" s="68"/>
      <c r="CW693" s="68"/>
      <c r="CX693" s="68"/>
    </row>
    <row r="694" spans="1:102" s="71" customFormat="1" hidden="1">
      <c r="A694" s="109"/>
      <c r="B694" s="109"/>
      <c r="C694" s="109"/>
      <c r="D694" s="115"/>
      <c r="E694" s="100"/>
      <c r="F694" s="100"/>
      <c r="G694" s="111"/>
      <c r="H694" s="105"/>
      <c r="I694" s="111"/>
      <c r="J694" s="111"/>
      <c r="K694" s="112"/>
      <c r="L694" s="113"/>
      <c r="M694" s="114"/>
      <c r="N694" s="100"/>
      <c r="O694" s="114"/>
      <c r="P694" s="65"/>
      <c r="Q694" s="103"/>
      <c r="R694" s="103"/>
      <c r="S694" s="103"/>
      <c r="T694" s="103"/>
      <c r="U694" s="68"/>
      <c r="V694" s="69"/>
      <c r="W694" s="68"/>
      <c r="X694" s="68"/>
      <c r="Y694" s="68"/>
      <c r="Z694" s="68"/>
      <c r="AA694" s="68"/>
      <c r="AB694" s="68"/>
      <c r="AC694" s="68"/>
      <c r="AD694" s="68"/>
      <c r="AE694" s="68"/>
      <c r="AF694" s="68"/>
      <c r="AG694" s="68"/>
      <c r="AH694" s="68"/>
      <c r="AI694" s="68"/>
      <c r="AJ694" s="68"/>
      <c r="AK694" s="68"/>
      <c r="AL694" s="68"/>
      <c r="AM694" s="68"/>
      <c r="AN694" s="68"/>
      <c r="AO694" s="68"/>
      <c r="AP694" s="68"/>
      <c r="AQ694" s="68"/>
      <c r="AR694" s="68"/>
      <c r="AS694" s="68"/>
      <c r="AT694" s="68"/>
      <c r="AU694" s="68"/>
      <c r="AV694" s="68"/>
      <c r="AW694" s="68"/>
      <c r="AX694" s="68"/>
      <c r="AY694" s="68"/>
      <c r="AZ694" s="68"/>
      <c r="BA694" s="68"/>
      <c r="BB694" s="68"/>
      <c r="BC694" s="68"/>
      <c r="BD694" s="68"/>
      <c r="BE694" s="68"/>
      <c r="BF694" s="68"/>
      <c r="BG694" s="68"/>
      <c r="BH694" s="68"/>
      <c r="BI694" s="68"/>
      <c r="BJ694" s="68"/>
      <c r="BK694" s="68"/>
      <c r="BL694" s="68"/>
      <c r="BM694" s="68"/>
      <c r="BN694" s="68"/>
      <c r="BO694" s="68"/>
      <c r="BP694" s="68"/>
      <c r="BQ694" s="68"/>
      <c r="BR694" s="68"/>
      <c r="BS694" s="68"/>
      <c r="BT694" s="68"/>
      <c r="BU694" s="68"/>
      <c r="BV694" s="68"/>
      <c r="BW694" s="68"/>
      <c r="BX694" s="68"/>
      <c r="BY694" s="68"/>
      <c r="BZ694" s="68"/>
      <c r="CA694" s="68"/>
      <c r="CB694" s="68"/>
      <c r="CC694" s="68"/>
      <c r="CD694" s="68"/>
      <c r="CE694" s="68"/>
      <c r="CF694" s="68"/>
      <c r="CG694" s="68"/>
      <c r="CH694" s="68"/>
      <c r="CI694" s="68"/>
      <c r="CJ694" s="68"/>
      <c r="CK694" s="68"/>
      <c r="CL694" s="68"/>
      <c r="CM694" s="68"/>
      <c r="CN694" s="68"/>
      <c r="CO694" s="68"/>
      <c r="CP694" s="68"/>
      <c r="CQ694" s="68"/>
      <c r="CR694" s="68"/>
      <c r="CS694" s="68"/>
      <c r="CT694" s="68"/>
      <c r="CU694" s="68"/>
      <c r="CV694" s="68"/>
      <c r="CW694" s="68"/>
      <c r="CX694" s="68"/>
    </row>
    <row r="695" spans="1:102" s="71" customFormat="1" hidden="1">
      <c r="A695" s="109"/>
      <c r="B695" s="109"/>
      <c r="C695" s="109"/>
      <c r="D695" s="115"/>
      <c r="E695" s="100"/>
      <c r="F695" s="100"/>
      <c r="G695" s="111"/>
      <c r="H695" s="105"/>
      <c r="I695" s="111"/>
      <c r="J695" s="111"/>
      <c r="K695" s="112"/>
      <c r="L695" s="113"/>
      <c r="M695" s="114"/>
      <c r="N695" s="100"/>
      <c r="O695" s="114"/>
      <c r="P695" s="65"/>
      <c r="Q695" s="103"/>
      <c r="R695" s="103"/>
      <c r="S695" s="103"/>
      <c r="T695" s="103"/>
      <c r="U695" s="68"/>
      <c r="V695" s="69"/>
      <c r="W695" s="68"/>
      <c r="X695" s="68"/>
      <c r="Y695" s="68"/>
      <c r="Z695" s="68"/>
      <c r="AA695" s="68"/>
      <c r="AB695" s="68"/>
      <c r="AC695" s="68"/>
      <c r="AD695" s="68"/>
      <c r="AE695" s="68"/>
      <c r="AF695" s="68"/>
      <c r="AG695" s="68"/>
      <c r="AH695" s="68"/>
      <c r="AI695" s="68"/>
      <c r="AJ695" s="68"/>
      <c r="AK695" s="68"/>
      <c r="AL695" s="68"/>
      <c r="AM695" s="68"/>
      <c r="AN695" s="68"/>
      <c r="AO695" s="68"/>
      <c r="AP695" s="68"/>
      <c r="AQ695" s="68"/>
      <c r="AR695" s="68"/>
      <c r="AS695" s="68"/>
      <c r="AT695" s="68"/>
      <c r="AU695" s="68"/>
      <c r="AV695" s="68"/>
      <c r="AW695" s="68"/>
      <c r="AX695" s="68"/>
      <c r="AY695" s="68"/>
      <c r="AZ695" s="68"/>
      <c r="BA695" s="68"/>
      <c r="BB695" s="68"/>
      <c r="BC695" s="68"/>
      <c r="BD695" s="68"/>
      <c r="BE695" s="68"/>
      <c r="BF695" s="68"/>
      <c r="BG695" s="68"/>
      <c r="BH695" s="68"/>
      <c r="BI695" s="68"/>
      <c r="BJ695" s="68"/>
      <c r="BK695" s="68"/>
      <c r="BL695" s="68"/>
      <c r="BM695" s="68"/>
      <c r="BN695" s="68"/>
      <c r="BO695" s="68"/>
      <c r="BP695" s="68"/>
      <c r="BQ695" s="68"/>
      <c r="BR695" s="68"/>
      <c r="BS695" s="68"/>
      <c r="BT695" s="68"/>
      <c r="BU695" s="68"/>
      <c r="BV695" s="68"/>
      <c r="BW695" s="68"/>
      <c r="BX695" s="68"/>
      <c r="BY695" s="68"/>
      <c r="BZ695" s="68"/>
      <c r="CA695" s="68"/>
      <c r="CB695" s="68"/>
      <c r="CC695" s="68"/>
      <c r="CD695" s="68"/>
      <c r="CE695" s="68"/>
      <c r="CF695" s="68"/>
      <c r="CG695" s="68"/>
      <c r="CH695" s="68"/>
      <c r="CI695" s="68"/>
      <c r="CJ695" s="68"/>
      <c r="CK695" s="68"/>
      <c r="CL695" s="68"/>
      <c r="CM695" s="68"/>
      <c r="CN695" s="68"/>
      <c r="CO695" s="68"/>
      <c r="CP695" s="68"/>
      <c r="CQ695" s="68"/>
      <c r="CR695" s="68"/>
      <c r="CS695" s="68"/>
      <c r="CT695" s="68"/>
      <c r="CU695" s="68"/>
      <c r="CV695" s="68"/>
      <c r="CW695" s="68"/>
      <c r="CX695" s="68"/>
    </row>
    <row r="696" spans="1:102" s="71" customFormat="1" hidden="1">
      <c r="A696" s="109"/>
      <c r="B696" s="109"/>
      <c r="C696" s="109"/>
      <c r="D696" s="115"/>
      <c r="E696" s="100"/>
      <c r="F696" s="100"/>
      <c r="G696" s="111"/>
      <c r="H696" s="105"/>
      <c r="I696" s="111"/>
      <c r="J696" s="111"/>
      <c r="K696" s="112"/>
      <c r="L696" s="113"/>
      <c r="M696" s="114"/>
      <c r="N696" s="100"/>
      <c r="O696" s="114"/>
      <c r="P696" s="65"/>
      <c r="Q696" s="103"/>
      <c r="R696" s="103"/>
      <c r="S696" s="103"/>
      <c r="T696" s="103"/>
      <c r="U696" s="68"/>
      <c r="V696" s="69"/>
      <c r="W696" s="68"/>
      <c r="X696" s="68"/>
      <c r="Y696" s="68"/>
      <c r="Z696" s="68"/>
      <c r="AA696" s="68"/>
      <c r="AB696" s="68"/>
      <c r="AC696" s="68"/>
      <c r="AD696" s="68"/>
      <c r="AE696" s="68"/>
      <c r="AF696" s="68"/>
      <c r="AG696" s="68"/>
      <c r="AH696" s="68"/>
      <c r="AI696" s="68"/>
      <c r="AJ696" s="68"/>
      <c r="AK696" s="68"/>
      <c r="AL696" s="68"/>
      <c r="AM696" s="68"/>
      <c r="AN696" s="68"/>
      <c r="AO696" s="68"/>
      <c r="AP696" s="68"/>
      <c r="AQ696" s="68"/>
      <c r="AR696" s="68"/>
      <c r="AS696" s="68"/>
      <c r="AT696" s="68"/>
      <c r="AU696" s="68"/>
      <c r="AV696" s="68"/>
      <c r="AW696" s="68"/>
      <c r="AX696" s="68"/>
      <c r="AY696" s="68"/>
      <c r="AZ696" s="68"/>
      <c r="BA696" s="68"/>
      <c r="BB696" s="68"/>
      <c r="BC696" s="68"/>
      <c r="BD696" s="68"/>
      <c r="BE696" s="68"/>
      <c r="BF696" s="68"/>
      <c r="BG696" s="68"/>
      <c r="BH696" s="68"/>
      <c r="BI696" s="68"/>
      <c r="BJ696" s="68"/>
      <c r="BK696" s="68"/>
      <c r="BL696" s="68"/>
      <c r="BM696" s="68"/>
      <c r="BN696" s="68"/>
      <c r="BO696" s="68"/>
      <c r="BP696" s="68"/>
      <c r="BQ696" s="68"/>
      <c r="BR696" s="68"/>
      <c r="BS696" s="68"/>
      <c r="BT696" s="68"/>
      <c r="BU696" s="68"/>
      <c r="BV696" s="68"/>
      <c r="BW696" s="68"/>
      <c r="BX696" s="68"/>
      <c r="BY696" s="68"/>
      <c r="BZ696" s="68"/>
      <c r="CA696" s="68"/>
      <c r="CB696" s="68"/>
      <c r="CC696" s="68"/>
      <c r="CD696" s="68"/>
      <c r="CE696" s="68"/>
      <c r="CF696" s="68"/>
      <c r="CG696" s="68"/>
      <c r="CH696" s="68"/>
      <c r="CI696" s="68"/>
      <c r="CJ696" s="68"/>
      <c r="CK696" s="68"/>
      <c r="CL696" s="68"/>
      <c r="CM696" s="68"/>
      <c r="CN696" s="68"/>
      <c r="CO696" s="68"/>
      <c r="CP696" s="68"/>
      <c r="CQ696" s="68"/>
      <c r="CR696" s="68"/>
      <c r="CS696" s="68"/>
      <c r="CT696" s="68"/>
      <c r="CU696" s="68"/>
      <c r="CV696" s="68"/>
      <c r="CW696" s="68"/>
      <c r="CX696" s="68"/>
    </row>
    <row r="697" spans="1:102" s="71" customFormat="1" hidden="1">
      <c r="A697" s="109"/>
      <c r="B697" s="109"/>
      <c r="C697" s="109"/>
      <c r="D697" s="115"/>
      <c r="E697" s="100"/>
      <c r="F697" s="100"/>
      <c r="G697" s="111"/>
      <c r="H697" s="105"/>
      <c r="I697" s="111"/>
      <c r="J697" s="111"/>
      <c r="K697" s="112"/>
      <c r="L697" s="113"/>
      <c r="M697" s="114"/>
      <c r="N697" s="100"/>
      <c r="O697" s="114"/>
      <c r="P697" s="65"/>
      <c r="Q697" s="103"/>
      <c r="R697" s="103"/>
      <c r="S697" s="103"/>
      <c r="T697" s="103"/>
      <c r="U697" s="68"/>
      <c r="V697" s="69"/>
      <c r="W697" s="68"/>
      <c r="X697" s="68"/>
      <c r="Y697" s="68"/>
      <c r="Z697" s="68"/>
      <c r="AA697" s="68"/>
      <c r="AB697" s="68"/>
      <c r="AC697" s="68"/>
      <c r="AD697" s="68"/>
      <c r="AE697" s="68"/>
      <c r="AF697" s="68"/>
      <c r="AG697" s="68"/>
      <c r="AH697" s="68"/>
      <c r="AI697" s="68"/>
      <c r="AJ697" s="68"/>
      <c r="AK697" s="68"/>
      <c r="AL697" s="68"/>
      <c r="AM697" s="68"/>
      <c r="AN697" s="68"/>
      <c r="AO697" s="68"/>
      <c r="AP697" s="68"/>
      <c r="AQ697" s="68"/>
      <c r="AR697" s="68"/>
      <c r="AS697" s="68"/>
      <c r="AT697" s="68"/>
      <c r="AU697" s="68"/>
      <c r="AV697" s="68"/>
      <c r="AW697" s="68"/>
      <c r="AX697" s="68"/>
      <c r="AY697" s="68"/>
      <c r="AZ697" s="68"/>
      <c r="BA697" s="68"/>
      <c r="BB697" s="68"/>
      <c r="BC697" s="68"/>
      <c r="BD697" s="68"/>
      <c r="BE697" s="68"/>
      <c r="BF697" s="68"/>
      <c r="BG697" s="68"/>
      <c r="BH697" s="68"/>
      <c r="BI697" s="68"/>
      <c r="BJ697" s="68"/>
      <c r="BK697" s="68"/>
      <c r="BL697" s="68"/>
      <c r="BM697" s="68"/>
      <c r="BN697" s="68"/>
      <c r="BO697" s="68"/>
      <c r="BP697" s="68"/>
      <c r="BQ697" s="68"/>
      <c r="BR697" s="68"/>
      <c r="BS697" s="68"/>
      <c r="BT697" s="68"/>
      <c r="BU697" s="68"/>
      <c r="BV697" s="68"/>
      <c r="BW697" s="68"/>
      <c r="BX697" s="68"/>
      <c r="BY697" s="68"/>
      <c r="BZ697" s="68"/>
      <c r="CA697" s="68"/>
      <c r="CB697" s="68"/>
      <c r="CC697" s="68"/>
      <c r="CD697" s="68"/>
      <c r="CE697" s="68"/>
      <c r="CF697" s="68"/>
      <c r="CG697" s="68"/>
      <c r="CH697" s="68"/>
      <c r="CI697" s="68"/>
      <c r="CJ697" s="68"/>
      <c r="CK697" s="68"/>
      <c r="CL697" s="68"/>
      <c r="CM697" s="68"/>
      <c r="CN697" s="68"/>
      <c r="CO697" s="68"/>
      <c r="CP697" s="68"/>
      <c r="CQ697" s="68"/>
      <c r="CR697" s="68"/>
      <c r="CS697" s="68"/>
      <c r="CT697" s="68"/>
      <c r="CU697" s="68"/>
      <c r="CV697" s="68"/>
      <c r="CW697" s="68"/>
      <c r="CX697" s="68"/>
    </row>
    <row r="698" spans="1:102" s="71" customFormat="1" hidden="1">
      <c r="A698" s="109"/>
      <c r="B698" s="109"/>
      <c r="C698" s="109"/>
      <c r="D698" s="115"/>
      <c r="E698" s="100"/>
      <c r="F698" s="100"/>
      <c r="G698" s="111"/>
      <c r="H698" s="105"/>
      <c r="I698" s="111"/>
      <c r="J698" s="111"/>
      <c r="K698" s="112"/>
      <c r="L698" s="113"/>
      <c r="M698" s="114"/>
      <c r="N698" s="100"/>
      <c r="O698" s="114"/>
      <c r="P698" s="65"/>
      <c r="Q698" s="103"/>
      <c r="R698" s="103"/>
      <c r="S698" s="103"/>
      <c r="T698" s="103"/>
      <c r="U698" s="68"/>
      <c r="V698" s="69"/>
      <c r="W698" s="68"/>
      <c r="X698" s="68"/>
      <c r="Y698" s="68"/>
      <c r="Z698" s="68"/>
      <c r="AA698" s="68"/>
      <c r="AB698" s="68"/>
      <c r="AC698" s="68"/>
      <c r="AD698" s="68"/>
      <c r="AE698" s="68"/>
      <c r="AF698" s="68"/>
      <c r="AG698" s="68"/>
      <c r="AH698" s="68"/>
      <c r="AI698" s="68"/>
      <c r="AJ698" s="68"/>
      <c r="AK698" s="68"/>
      <c r="AL698" s="68"/>
      <c r="AM698" s="68"/>
      <c r="AN698" s="68"/>
      <c r="AO698" s="68"/>
      <c r="AP698" s="68"/>
      <c r="AQ698" s="68"/>
      <c r="AR698" s="68"/>
      <c r="AS698" s="68"/>
      <c r="AT698" s="68"/>
      <c r="AU698" s="68"/>
      <c r="AV698" s="68"/>
      <c r="AW698" s="68"/>
      <c r="AX698" s="68"/>
      <c r="AY698" s="68"/>
      <c r="AZ698" s="68"/>
      <c r="BA698" s="68"/>
      <c r="BB698" s="68"/>
      <c r="BC698" s="68"/>
      <c r="BD698" s="68"/>
      <c r="BE698" s="68"/>
      <c r="BF698" s="68"/>
      <c r="BG698" s="68"/>
      <c r="BH698" s="68"/>
      <c r="BI698" s="68"/>
      <c r="BJ698" s="68"/>
      <c r="BK698" s="68"/>
      <c r="BL698" s="68"/>
      <c r="BM698" s="68"/>
      <c r="BN698" s="68"/>
      <c r="BO698" s="68"/>
      <c r="BP698" s="68"/>
      <c r="BQ698" s="68"/>
      <c r="BR698" s="68"/>
      <c r="BS698" s="68"/>
      <c r="BT698" s="68"/>
      <c r="BU698" s="68"/>
      <c r="BV698" s="68"/>
      <c r="BW698" s="68"/>
      <c r="BX698" s="68"/>
      <c r="BY698" s="68"/>
      <c r="BZ698" s="68"/>
      <c r="CA698" s="68"/>
      <c r="CB698" s="68"/>
      <c r="CC698" s="68"/>
      <c r="CD698" s="68"/>
      <c r="CE698" s="68"/>
      <c r="CF698" s="68"/>
      <c r="CG698" s="68"/>
      <c r="CH698" s="68"/>
      <c r="CI698" s="68"/>
      <c r="CJ698" s="68"/>
      <c r="CK698" s="68"/>
      <c r="CL698" s="68"/>
      <c r="CM698" s="68"/>
      <c r="CN698" s="68"/>
      <c r="CO698" s="68"/>
      <c r="CP698" s="68"/>
      <c r="CQ698" s="68"/>
      <c r="CR698" s="68"/>
      <c r="CS698" s="68"/>
      <c r="CT698" s="68"/>
      <c r="CU698" s="68"/>
      <c r="CV698" s="68"/>
      <c r="CW698" s="68"/>
      <c r="CX698" s="68"/>
    </row>
    <row r="699" spans="1:102" s="71" customFormat="1" hidden="1">
      <c r="A699" s="109"/>
      <c r="B699" s="109"/>
      <c r="C699" s="109"/>
      <c r="D699" s="115"/>
      <c r="E699" s="100"/>
      <c r="F699" s="100"/>
      <c r="G699" s="111"/>
      <c r="H699" s="105"/>
      <c r="I699" s="111"/>
      <c r="J699" s="111"/>
      <c r="K699" s="112"/>
      <c r="L699" s="113"/>
      <c r="M699" s="114"/>
      <c r="N699" s="100"/>
      <c r="O699" s="114"/>
      <c r="P699" s="65"/>
      <c r="Q699" s="103"/>
      <c r="R699" s="103"/>
      <c r="S699" s="103"/>
      <c r="T699" s="103"/>
      <c r="U699" s="68"/>
      <c r="V699" s="69"/>
      <c r="W699" s="68"/>
      <c r="X699" s="68"/>
      <c r="Y699" s="68"/>
      <c r="Z699" s="68"/>
      <c r="AA699" s="68"/>
      <c r="AB699" s="68"/>
      <c r="AC699" s="68"/>
      <c r="AD699" s="68"/>
      <c r="AE699" s="68"/>
      <c r="AF699" s="68"/>
      <c r="AG699" s="68"/>
      <c r="AH699" s="68"/>
      <c r="AI699" s="68"/>
      <c r="AJ699" s="68"/>
      <c r="AK699" s="68"/>
      <c r="AL699" s="68"/>
      <c r="AM699" s="68"/>
      <c r="AN699" s="68"/>
      <c r="AO699" s="68"/>
      <c r="AP699" s="68"/>
      <c r="AQ699" s="68"/>
      <c r="AR699" s="68"/>
      <c r="AS699" s="68"/>
      <c r="AT699" s="68"/>
      <c r="AU699" s="68"/>
      <c r="AV699" s="68"/>
      <c r="AW699" s="68"/>
      <c r="AX699" s="68"/>
      <c r="AY699" s="68"/>
      <c r="AZ699" s="68"/>
      <c r="BA699" s="68"/>
      <c r="BB699" s="68"/>
      <c r="BC699" s="68"/>
      <c r="BD699" s="68"/>
      <c r="BE699" s="68"/>
      <c r="BF699" s="68"/>
      <c r="BG699" s="68"/>
      <c r="BH699" s="68"/>
      <c r="BI699" s="68"/>
      <c r="BJ699" s="68"/>
      <c r="BK699" s="68"/>
      <c r="BL699" s="68"/>
      <c r="BM699" s="68"/>
      <c r="BN699" s="68"/>
      <c r="BO699" s="68"/>
      <c r="BP699" s="68"/>
      <c r="BQ699" s="68"/>
      <c r="BR699" s="68"/>
      <c r="BS699" s="68"/>
      <c r="BT699" s="68"/>
      <c r="BU699" s="68"/>
      <c r="BV699" s="68"/>
      <c r="BW699" s="68"/>
      <c r="BX699" s="68"/>
      <c r="BY699" s="68"/>
      <c r="BZ699" s="68"/>
      <c r="CA699" s="68"/>
      <c r="CB699" s="68"/>
      <c r="CC699" s="68"/>
      <c r="CD699" s="68"/>
      <c r="CE699" s="68"/>
      <c r="CF699" s="68"/>
      <c r="CG699" s="68"/>
      <c r="CH699" s="68"/>
      <c r="CI699" s="68"/>
      <c r="CJ699" s="68"/>
      <c r="CK699" s="68"/>
      <c r="CL699" s="68"/>
      <c r="CM699" s="68"/>
      <c r="CN699" s="68"/>
      <c r="CO699" s="68"/>
      <c r="CP699" s="68"/>
      <c r="CQ699" s="68"/>
      <c r="CR699" s="68"/>
      <c r="CS699" s="68"/>
      <c r="CT699" s="68"/>
      <c r="CU699" s="68"/>
      <c r="CV699" s="68"/>
      <c r="CW699" s="68"/>
      <c r="CX699" s="68"/>
    </row>
    <row r="700" spans="1:102" s="71" customFormat="1" hidden="1">
      <c r="A700" s="109"/>
      <c r="B700" s="109"/>
      <c r="C700" s="109"/>
      <c r="D700" s="115"/>
      <c r="E700" s="100"/>
      <c r="F700" s="100"/>
      <c r="G700" s="111"/>
      <c r="H700" s="105"/>
      <c r="I700" s="111"/>
      <c r="J700" s="111"/>
      <c r="K700" s="112"/>
      <c r="L700" s="113"/>
      <c r="M700" s="114"/>
      <c r="N700" s="100"/>
      <c r="O700" s="114"/>
      <c r="P700" s="65"/>
      <c r="Q700" s="103"/>
      <c r="R700" s="103"/>
      <c r="S700" s="103"/>
      <c r="T700" s="103"/>
      <c r="U700" s="68"/>
      <c r="V700" s="69"/>
      <c r="W700" s="68"/>
      <c r="X700" s="68"/>
      <c r="Y700" s="68"/>
      <c r="Z700" s="68"/>
      <c r="AA700" s="68"/>
      <c r="AB700" s="68"/>
      <c r="AC700" s="68"/>
      <c r="AD700" s="68"/>
      <c r="AE700" s="68"/>
      <c r="AF700" s="68"/>
      <c r="AG700" s="68"/>
      <c r="AH700" s="68"/>
      <c r="AI700" s="68"/>
      <c r="AJ700" s="68"/>
      <c r="AK700" s="68"/>
      <c r="AL700" s="68"/>
      <c r="AM700" s="68"/>
      <c r="AN700" s="68"/>
      <c r="AO700" s="68"/>
      <c r="AP700" s="68"/>
      <c r="AQ700" s="68"/>
      <c r="AR700" s="68"/>
      <c r="AS700" s="68"/>
      <c r="AT700" s="68"/>
      <c r="AU700" s="68"/>
      <c r="AV700" s="68"/>
      <c r="AW700" s="68"/>
      <c r="AX700" s="68"/>
      <c r="AY700" s="68"/>
      <c r="AZ700" s="68"/>
      <c r="BA700" s="68"/>
      <c r="BB700" s="68"/>
      <c r="BC700" s="68"/>
      <c r="BD700" s="68"/>
      <c r="BE700" s="68"/>
      <c r="BF700" s="68"/>
      <c r="BG700" s="68"/>
      <c r="BH700" s="68"/>
      <c r="BI700" s="68"/>
      <c r="BJ700" s="68"/>
      <c r="BK700" s="68"/>
      <c r="BL700" s="68"/>
      <c r="BM700" s="68"/>
      <c r="BN700" s="68"/>
      <c r="BO700" s="68"/>
      <c r="BP700" s="68"/>
      <c r="BQ700" s="68"/>
      <c r="BR700" s="68"/>
      <c r="BS700" s="68"/>
      <c r="BT700" s="68"/>
      <c r="BU700" s="68"/>
      <c r="BV700" s="68"/>
      <c r="BW700" s="68"/>
      <c r="BX700" s="68"/>
      <c r="BY700" s="68"/>
      <c r="BZ700" s="68"/>
      <c r="CA700" s="68"/>
      <c r="CB700" s="68"/>
      <c r="CC700" s="68"/>
      <c r="CD700" s="68"/>
      <c r="CE700" s="68"/>
      <c r="CF700" s="68"/>
      <c r="CG700" s="68"/>
      <c r="CH700" s="68"/>
      <c r="CI700" s="68"/>
      <c r="CJ700" s="68"/>
      <c r="CK700" s="68"/>
      <c r="CL700" s="68"/>
      <c r="CM700" s="68"/>
      <c r="CN700" s="68"/>
      <c r="CO700" s="68"/>
      <c r="CP700" s="68"/>
      <c r="CQ700" s="68"/>
      <c r="CR700" s="68"/>
      <c r="CS700" s="68"/>
      <c r="CT700" s="68"/>
      <c r="CU700" s="68"/>
      <c r="CV700" s="68"/>
      <c r="CW700" s="68"/>
      <c r="CX700" s="68"/>
    </row>
    <row r="701" spans="1:102" s="71" customFormat="1" hidden="1">
      <c r="A701" s="109"/>
      <c r="B701" s="109"/>
      <c r="C701" s="109"/>
      <c r="D701" s="115"/>
      <c r="E701" s="100"/>
      <c r="F701" s="100"/>
      <c r="G701" s="111"/>
      <c r="H701" s="105"/>
      <c r="I701" s="111"/>
      <c r="J701" s="111"/>
      <c r="K701" s="112"/>
      <c r="L701" s="113"/>
      <c r="M701" s="114"/>
      <c r="N701" s="100"/>
      <c r="O701" s="114"/>
      <c r="P701" s="65"/>
      <c r="Q701" s="103"/>
      <c r="R701" s="103"/>
      <c r="S701" s="103"/>
      <c r="T701" s="103"/>
      <c r="U701" s="68"/>
      <c r="V701" s="69"/>
      <c r="W701" s="68"/>
      <c r="X701" s="68"/>
      <c r="Y701" s="68"/>
      <c r="Z701" s="68"/>
      <c r="AA701" s="68"/>
      <c r="AB701" s="68"/>
      <c r="AC701" s="68"/>
      <c r="AD701" s="68"/>
      <c r="AE701" s="68"/>
      <c r="AF701" s="68"/>
      <c r="AG701" s="68"/>
      <c r="AH701" s="68"/>
      <c r="AI701" s="68"/>
      <c r="AJ701" s="68"/>
      <c r="AK701" s="68"/>
      <c r="AL701" s="68"/>
      <c r="AM701" s="68"/>
      <c r="AN701" s="68"/>
      <c r="AO701" s="68"/>
      <c r="AP701" s="68"/>
      <c r="AQ701" s="68"/>
      <c r="AR701" s="68"/>
      <c r="AS701" s="68"/>
      <c r="AT701" s="68"/>
      <c r="AU701" s="68"/>
      <c r="AV701" s="68"/>
      <c r="AW701" s="68"/>
      <c r="AX701" s="68"/>
      <c r="AY701" s="68"/>
      <c r="AZ701" s="68"/>
      <c r="BA701" s="68"/>
      <c r="BB701" s="68"/>
      <c r="BC701" s="68"/>
      <c r="BD701" s="68"/>
      <c r="BE701" s="68"/>
      <c r="BF701" s="68"/>
      <c r="BG701" s="68"/>
      <c r="BH701" s="68"/>
      <c r="BI701" s="68"/>
      <c r="BJ701" s="68"/>
      <c r="BK701" s="68"/>
      <c r="BL701" s="68"/>
      <c r="BM701" s="68"/>
      <c r="BN701" s="68"/>
      <c r="BO701" s="68"/>
      <c r="BP701" s="68"/>
      <c r="BQ701" s="68"/>
      <c r="BR701" s="68"/>
      <c r="BS701" s="68"/>
      <c r="BT701" s="68"/>
      <c r="BU701" s="68"/>
      <c r="BV701" s="68"/>
      <c r="BW701" s="68"/>
      <c r="BX701" s="68"/>
      <c r="BY701" s="68"/>
      <c r="BZ701" s="68"/>
      <c r="CA701" s="68"/>
      <c r="CB701" s="68"/>
      <c r="CC701" s="68"/>
      <c r="CD701" s="68"/>
      <c r="CE701" s="68"/>
      <c r="CF701" s="68"/>
      <c r="CG701" s="68"/>
      <c r="CH701" s="68"/>
      <c r="CI701" s="68"/>
      <c r="CJ701" s="68"/>
      <c r="CK701" s="68"/>
      <c r="CL701" s="68"/>
      <c r="CM701" s="68"/>
      <c r="CN701" s="68"/>
      <c r="CO701" s="68"/>
      <c r="CP701" s="68"/>
      <c r="CQ701" s="68"/>
      <c r="CR701" s="68"/>
      <c r="CS701" s="68"/>
      <c r="CT701" s="68"/>
      <c r="CU701" s="68"/>
      <c r="CV701" s="68"/>
      <c r="CW701" s="68"/>
      <c r="CX701" s="68"/>
    </row>
    <row r="702" spans="1:102" s="71" customFormat="1" hidden="1">
      <c r="A702" s="109"/>
      <c r="B702" s="109"/>
      <c r="C702" s="109"/>
      <c r="D702" s="115"/>
      <c r="E702" s="100"/>
      <c r="F702" s="100"/>
      <c r="G702" s="111"/>
      <c r="H702" s="105"/>
      <c r="I702" s="111"/>
      <c r="J702" s="111"/>
      <c r="K702" s="112"/>
      <c r="L702" s="113"/>
      <c r="M702" s="114"/>
      <c r="N702" s="100"/>
      <c r="O702" s="114"/>
      <c r="P702" s="65"/>
      <c r="Q702" s="103"/>
      <c r="R702" s="103"/>
      <c r="S702" s="103"/>
      <c r="T702" s="103"/>
      <c r="U702" s="68"/>
      <c r="V702" s="69"/>
      <c r="W702" s="68"/>
      <c r="X702" s="68"/>
      <c r="Y702" s="68"/>
      <c r="Z702" s="68"/>
      <c r="AA702" s="68"/>
      <c r="AB702" s="68"/>
      <c r="AC702" s="68"/>
      <c r="AD702" s="68"/>
      <c r="AE702" s="68"/>
      <c r="AF702" s="68"/>
      <c r="AG702" s="68"/>
      <c r="AH702" s="68"/>
      <c r="AI702" s="68"/>
      <c r="AJ702" s="68"/>
      <c r="AK702" s="68"/>
      <c r="AL702" s="68"/>
      <c r="AM702" s="68"/>
      <c r="AN702" s="68"/>
      <c r="AO702" s="68"/>
      <c r="AP702" s="68"/>
      <c r="AQ702" s="68"/>
      <c r="AR702" s="68"/>
      <c r="AS702" s="68"/>
      <c r="AT702" s="68"/>
      <c r="AU702" s="68"/>
      <c r="AV702" s="68"/>
      <c r="AW702" s="68"/>
      <c r="AX702" s="68"/>
      <c r="AY702" s="68"/>
      <c r="AZ702" s="68"/>
      <c r="BA702" s="68"/>
      <c r="BB702" s="68"/>
      <c r="BC702" s="68"/>
      <c r="BD702" s="68"/>
      <c r="BE702" s="68"/>
      <c r="BF702" s="68"/>
      <c r="BG702" s="68"/>
      <c r="BH702" s="68"/>
      <c r="BI702" s="68"/>
      <c r="BJ702" s="68"/>
      <c r="BK702" s="68"/>
      <c r="BL702" s="68"/>
      <c r="BM702" s="68"/>
      <c r="BN702" s="68"/>
      <c r="BO702" s="68"/>
      <c r="BP702" s="68"/>
      <c r="BQ702" s="68"/>
      <c r="BR702" s="68"/>
      <c r="BS702" s="68"/>
      <c r="BT702" s="68"/>
      <c r="BU702" s="68"/>
      <c r="BV702" s="68"/>
      <c r="BW702" s="68"/>
      <c r="BX702" s="68"/>
      <c r="BY702" s="68"/>
      <c r="BZ702" s="68"/>
      <c r="CA702" s="68"/>
      <c r="CB702" s="68"/>
      <c r="CC702" s="68"/>
      <c r="CD702" s="68"/>
      <c r="CE702" s="68"/>
      <c r="CF702" s="68"/>
      <c r="CG702" s="68"/>
      <c r="CH702" s="68"/>
      <c r="CI702" s="68"/>
      <c r="CJ702" s="68"/>
      <c r="CK702" s="68"/>
      <c r="CL702" s="68"/>
      <c r="CM702" s="68"/>
      <c r="CN702" s="68"/>
      <c r="CO702" s="68"/>
      <c r="CP702" s="68"/>
      <c r="CQ702" s="68"/>
      <c r="CR702" s="68"/>
      <c r="CS702" s="68"/>
      <c r="CT702" s="68"/>
      <c r="CU702" s="68"/>
      <c r="CV702" s="68"/>
      <c r="CW702" s="68"/>
      <c r="CX702" s="68"/>
    </row>
    <row r="703" spans="1:102" s="71" customFormat="1" hidden="1">
      <c r="A703" s="109"/>
      <c r="B703" s="109"/>
      <c r="C703" s="109"/>
      <c r="D703" s="115"/>
      <c r="E703" s="100"/>
      <c r="F703" s="100"/>
      <c r="G703" s="111"/>
      <c r="H703" s="105"/>
      <c r="I703" s="111"/>
      <c r="J703" s="111"/>
      <c r="K703" s="112"/>
      <c r="L703" s="113"/>
      <c r="M703" s="114"/>
      <c r="N703" s="100"/>
      <c r="O703" s="114"/>
      <c r="P703" s="65"/>
      <c r="Q703" s="103"/>
      <c r="R703" s="103"/>
      <c r="S703" s="103"/>
      <c r="T703" s="103"/>
      <c r="U703" s="68"/>
      <c r="V703" s="69"/>
      <c r="W703" s="68"/>
      <c r="X703" s="68"/>
      <c r="Y703" s="68"/>
      <c r="Z703" s="68"/>
      <c r="AA703" s="68"/>
      <c r="AB703" s="68"/>
      <c r="AC703" s="68"/>
      <c r="AD703" s="68"/>
      <c r="AE703" s="68"/>
      <c r="AF703" s="68"/>
      <c r="AG703" s="68"/>
      <c r="AH703" s="68"/>
      <c r="AI703" s="68"/>
      <c r="AJ703" s="68"/>
      <c r="AK703" s="68"/>
      <c r="AL703" s="68"/>
      <c r="AM703" s="68"/>
      <c r="AN703" s="68"/>
      <c r="AO703" s="68"/>
      <c r="AP703" s="68"/>
      <c r="AQ703" s="68"/>
      <c r="AR703" s="68"/>
      <c r="AS703" s="68"/>
      <c r="AT703" s="68"/>
      <c r="AU703" s="68"/>
      <c r="AV703" s="68"/>
      <c r="AW703" s="68"/>
      <c r="AX703" s="68"/>
      <c r="AY703" s="68"/>
      <c r="AZ703" s="68"/>
      <c r="BA703" s="68"/>
      <c r="BB703" s="68"/>
      <c r="BC703" s="68"/>
      <c r="BD703" s="68"/>
      <c r="BE703" s="68"/>
      <c r="BF703" s="68"/>
      <c r="BG703" s="68"/>
      <c r="BH703" s="68"/>
      <c r="BI703" s="68"/>
      <c r="BJ703" s="68"/>
      <c r="BK703" s="68"/>
      <c r="BL703" s="68"/>
      <c r="BM703" s="68"/>
      <c r="BN703" s="68"/>
      <c r="BO703" s="68"/>
      <c r="BP703" s="68"/>
      <c r="BQ703" s="68"/>
      <c r="BR703" s="68"/>
      <c r="BS703" s="68"/>
      <c r="BT703" s="68"/>
      <c r="BU703" s="68"/>
      <c r="BV703" s="68"/>
      <c r="BW703" s="68"/>
      <c r="BX703" s="68"/>
      <c r="BY703" s="68"/>
      <c r="BZ703" s="68"/>
      <c r="CA703" s="68"/>
      <c r="CB703" s="68"/>
      <c r="CC703" s="68"/>
      <c r="CD703" s="68"/>
      <c r="CE703" s="68"/>
      <c r="CF703" s="68"/>
      <c r="CG703" s="68"/>
      <c r="CH703" s="68"/>
      <c r="CI703" s="68"/>
      <c r="CJ703" s="68"/>
      <c r="CK703" s="68"/>
      <c r="CL703" s="68"/>
      <c r="CM703" s="68"/>
      <c r="CN703" s="68"/>
      <c r="CO703" s="68"/>
      <c r="CP703" s="68"/>
      <c r="CQ703" s="68"/>
      <c r="CR703" s="68"/>
      <c r="CS703" s="68"/>
      <c r="CT703" s="68"/>
      <c r="CU703" s="68"/>
      <c r="CV703" s="68"/>
      <c r="CW703" s="68"/>
      <c r="CX703" s="68"/>
    </row>
    <row r="704" spans="1:102" s="71" customFormat="1" hidden="1">
      <c r="A704" s="109"/>
      <c r="B704" s="109"/>
      <c r="C704" s="109"/>
      <c r="D704" s="115"/>
      <c r="E704" s="100"/>
      <c r="F704" s="100"/>
      <c r="G704" s="111"/>
      <c r="H704" s="105"/>
      <c r="I704" s="111"/>
      <c r="J704" s="111"/>
      <c r="K704" s="112"/>
      <c r="L704" s="113"/>
      <c r="M704" s="114"/>
      <c r="N704" s="100"/>
      <c r="O704" s="114"/>
      <c r="P704" s="65"/>
      <c r="Q704" s="103"/>
      <c r="R704" s="103"/>
      <c r="S704" s="103"/>
      <c r="T704" s="103"/>
      <c r="U704" s="68"/>
      <c r="V704" s="69"/>
      <c r="W704" s="68"/>
      <c r="X704" s="68"/>
      <c r="Y704" s="68"/>
      <c r="Z704" s="68"/>
      <c r="AA704" s="68"/>
      <c r="AB704" s="68"/>
      <c r="AC704" s="68"/>
      <c r="AD704" s="68"/>
      <c r="AE704" s="68"/>
      <c r="AF704" s="68"/>
      <c r="AG704" s="68"/>
      <c r="AH704" s="68"/>
      <c r="AI704" s="68"/>
      <c r="AJ704" s="68"/>
      <c r="AK704" s="68"/>
      <c r="AL704" s="68"/>
      <c r="AM704" s="68"/>
      <c r="AN704" s="68"/>
      <c r="AO704" s="68"/>
      <c r="AP704" s="68"/>
      <c r="AQ704" s="68"/>
      <c r="AR704" s="68"/>
      <c r="AS704" s="68"/>
      <c r="AT704" s="68"/>
      <c r="AU704" s="68"/>
      <c r="AV704" s="68"/>
      <c r="AW704" s="68"/>
      <c r="AX704" s="68"/>
      <c r="AY704" s="68"/>
      <c r="AZ704" s="68"/>
      <c r="BA704" s="68"/>
      <c r="BB704" s="68"/>
      <c r="BC704" s="68"/>
      <c r="BD704" s="68"/>
      <c r="BE704" s="68"/>
      <c r="BF704" s="68"/>
      <c r="BG704" s="68"/>
      <c r="BH704" s="68"/>
      <c r="BI704" s="68"/>
      <c r="BJ704" s="68"/>
      <c r="BK704" s="68"/>
      <c r="BL704" s="68"/>
      <c r="BM704" s="68"/>
      <c r="BN704" s="68"/>
      <c r="BO704" s="68"/>
      <c r="BP704" s="68"/>
      <c r="BQ704" s="68"/>
      <c r="BR704" s="68"/>
      <c r="BS704" s="68"/>
      <c r="BT704" s="68"/>
      <c r="BU704" s="68"/>
      <c r="BV704" s="68"/>
      <c r="BW704" s="68"/>
      <c r="BX704" s="68"/>
      <c r="BY704" s="68"/>
      <c r="BZ704" s="68"/>
      <c r="CA704" s="68"/>
      <c r="CB704" s="68"/>
      <c r="CC704" s="68"/>
      <c r="CD704" s="68"/>
      <c r="CE704" s="68"/>
      <c r="CF704" s="68"/>
      <c r="CG704" s="68"/>
      <c r="CH704" s="68"/>
      <c r="CI704" s="68"/>
      <c r="CJ704" s="68"/>
      <c r="CK704" s="68"/>
      <c r="CL704" s="68"/>
      <c r="CM704" s="68"/>
      <c r="CN704" s="68"/>
      <c r="CO704" s="68"/>
      <c r="CP704" s="68"/>
      <c r="CQ704" s="68"/>
      <c r="CR704" s="68"/>
      <c r="CS704" s="68"/>
      <c r="CT704" s="68"/>
      <c r="CU704" s="68"/>
      <c r="CV704" s="68"/>
      <c r="CW704" s="68"/>
      <c r="CX704" s="68"/>
    </row>
    <row r="705" spans="1:102" s="71" customFormat="1" hidden="1">
      <c r="A705" s="109"/>
      <c r="B705" s="109"/>
      <c r="C705" s="109"/>
      <c r="D705" s="115"/>
      <c r="E705" s="100"/>
      <c r="F705" s="100"/>
      <c r="G705" s="111"/>
      <c r="H705" s="105"/>
      <c r="I705" s="111"/>
      <c r="J705" s="111"/>
      <c r="K705" s="112"/>
      <c r="L705" s="113"/>
      <c r="M705" s="114"/>
      <c r="N705" s="100"/>
      <c r="O705" s="114"/>
      <c r="P705" s="65"/>
      <c r="Q705" s="103"/>
      <c r="R705" s="103"/>
      <c r="S705" s="103"/>
      <c r="T705" s="103"/>
      <c r="U705" s="68"/>
      <c r="V705" s="69"/>
      <c r="W705" s="68"/>
      <c r="X705" s="68"/>
      <c r="Y705" s="68"/>
      <c r="Z705" s="68"/>
      <c r="AA705" s="68"/>
      <c r="AB705" s="68"/>
      <c r="AC705" s="68"/>
      <c r="AD705" s="68"/>
      <c r="AE705" s="68"/>
      <c r="AF705" s="68"/>
      <c r="AG705" s="68"/>
      <c r="AH705" s="68"/>
      <c r="AI705" s="68"/>
      <c r="AJ705" s="68"/>
      <c r="AK705" s="68"/>
      <c r="AL705" s="68"/>
      <c r="AM705" s="68"/>
      <c r="AN705" s="68"/>
      <c r="AO705" s="68"/>
      <c r="AP705" s="68"/>
      <c r="AQ705" s="68"/>
      <c r="AR705" s="68"/>
      <c r="AS705" s="68"/>
      <c r="AT705" s="68"/>
      <c r="AU705" s="68"/>
      <c r="AV705" s="68"/>
      <c r="AW705" s="68"/>
      <c r="AX705" s="68"/>
      <c r="AY705" s="68"/>
      <c r="AZ705" s="68"/>
      <c r="BA705" s="68"/>
      <c r="BB705" s="68"/>
      <c r="BC705" s="68"/>
      <c r="BD705" s="68"/>
      <c r="BE705" s="68"/>
      <c r="BF705" s="68"/>
      <c r="BG705" s="68"/>
      <c r="BH705" s="68"/>
      <c r="BI705" s="68"/>
      <c r="BJ705" s="68"/>
      <c r="BK705" s="68"/>
      <c r="BL705" s="68"/>
      <c r="BM705" s="68"/>
      <c r="BN705" s="68"/>
      <c r="BO705" s="68"/>
      <c r="BP705" s="68"/>
      <c r="BQ705" s="68"/>
      <c r="BR705" s="68"/>
      <c r="BS705" s="68"/>
      <c r="BT705" s="68"/>
      <c r="BU705" s="68"/>
      <c r="BV705" s="68"/>
      <c r="BW705" s="68"/>
      <c r="BX705" s="68"/>
      <c r="BY705" s="68"/>
      <c r="BZ705" s="68"/>
      <c r="CA705" s="68"/>
      <c r="CB705" s="68"/>
      <c r="CC705" s="68"/>
      <c r="CD705" s="68"/>
      <c r="CE705" s="68"/>
      <c r="CF705" s="68"/>
      <c r="CG705" s="68"/>
      <c r="CH705" s="68"/>
      <c r="CI705" s="68"/>
      <c r="CJ705" s="68"/>
      <c r="CK705" s="68"/>
      <c r="CL705" s="68"/>
      <c r="CM705" s="68"/>
      <c r="CN705" s="68"/>
      <c r="CO705" s="68"/>
      <c r="CP705" s="68"/>
      <c r="CQ705" s="68"/>
      <c r="CR705" s="68"/>
      <c r="CS705" s="68"/>
      <c r="CT705" s="68"/>
      <c r="CU705" s="68"/>
      <c r="CV705" s="68"/>
      <c r="CW705" s="68"/>
      <c r="CX705" s="68"/>
    </row>
    <row r="706" spans="1:102" s="71" customFormat="1" hidden="1">
      <c r="A706" s="109"/>
      <c r="B706" s="109"/>
      <c r="C706" s="109"/>
      <c r="D706" s="115"/>
      <c r="E706" s="100"/>
      <c r="F706" s="100"/>
      <c r="G706" s="111"/>
      <c r="H706" s="105"/>
      <c r="I706" s="111"/>
      <c r="J706" s="111"/>
      <c r="K706" s="112"/>
      <c r="L706" s="113"/>
      <c r="M706" s="114"/>
      <c r="N706" s="100"/>
      <c r="O706" s="114"/>
      <c r="P706" s="65"/>
      <c r="Q706" s="103"/>
      <c r="R706" s="103"/>
      <c r="S706" s="103"/>
      <c r="T706" s="103"/>
      <c r="U706" s="68"/>
      <c r="V706" s="69"/>
      <c r="W706" s="68"/>
      <c r="X706" s="68"/>
      <c r="Y706" s="68"/>
      <c r="Z706" s="68"/>
      <c r="AA706" s="68"/>
      <c r="AB706" s="68"/>
      <c r="AC706" s="68"/>
      <c r="AD706" s="68"/>
      <c r="AE706" s="68"/>
      <c r="AF706" s="68"/>
      <c r="AG706" s="68"/>
      <c r="AH706" s="68"/>
      <c r="AI706" s="68"/>
      <c r="AJ706" s="68"/>
      <c r="AK706" s="68"/>
      <c r="AL706" s="68"/>
      <c r="AM706" s="68"/>
      <c r="AN706" s="68"/>
      <c r="AO706" s="68"/>
      <c r="AP706" s="68"/>
      <c r="AQ706" s="68"/>
      <c r="AR706" s="68"/>
      <c r="AS706" s="68"/>
      <c r="AT706" s="68"/>
      <c r="AU706" s="68"/>
      <c r="AV706" s="68"/>
      <c r="AW706" s="68"/>
      <c r="AX706" s="68"/>
      <c r="AY706" s="68"/>
      <c r="AZ706" s="68"/>
      <c r="BA706" s="68"/>
      <c r="BB706" s="68"/>
      <c r="BC706" s="68"/>
      <c r="BD706" s="68"/>
      <c r="BE706" s="68"/>
      <c r="BF706" s="68"/>
      <c r="BG706" s="68"/>
      <c r="BH706" s="68"/>
      <c r="BI706" s="68"/>
      <c r="BJ706" s="68"/>
      <c r="BK706" s="68"/>
      <c r="BL706" s="68"/>
      <c r="BM706" s="68"/>
      <c r="BN706" s="68"/>
      <c r="BO706" s="68"/>
      <c r="BP706" s="68"/>
      <c r="BQ706" s="68"/>
      <c r="BR706" s="68"/>
      <c r="BS706" s="68"/>
      <c r="BT706" s="68"/>
      <c r="BU706" s="68"/>
      <c r="BV706" s="68"/>
      <c r="BW706" s="68"/>
      <c r="BX706" s="68"/>
      <c r="BY706" s="68"/>
      <c r="BZ706" s="68"/>
      <c r="CA706" s="68"/>
      <c r="CB706" s="68"/>
      <c r="CC706" s="68"/>
      <c r="CD706" s="68"/>
      <c r="CE706" s="68"/>
      <c r="CF706" s="68"/>
      <c r="CG706" s="68"/>
      <c r="CH706" s="68"/>
      <c r="CI706" s="68"/>
      <c r="CJ706" s="68"/>
      <c r="CK706" s="68"/>
      <c r="CL706" s="68"/>
      <c r="CM706" s="68"/>
      <c r="CN706" s="68"/>
      <c r="CO706" s="68"/>
      <c r="CP706" s="68"/>
      <c r="CQ706" s="68"/>
      <c r="CR706" s="68"/>
      <c r="CS706" s="68"/>
      <c r="CT706" s="68"/>
      <c r="CU706" s="68"/>
      <c r="CV706" s="68"/>
      <c r="CW706" s="68"/>
      <c r="CX706" s="68"/>
    </row>
    <row r="707" spans="1:102" s="71" customFormat="1" hidden="1">
      <c r="A707" s="109"/>
      <c r="B707" s="109"/>
      <c r="C707" s="109"/>
      <c r="D707" s="115"/>
      <c r="E707" s="100"/>
      <c r="F707" s="100"/>
      <c r="G707" s="111"/>
      <c r="H707" s="105"/>
      <c r="I707" s="111"/>
      <c r="J707" s="111"/>
      <c r="K707" s="112"/>
      <c r="L707" s="113"/>
      <c r="M707" s="114"/>
      <c r="N707" s="100"/>
      <c r="O707" s="114"/>
      <c r="P707" s="65"/>
      <c r="Q707" s="103"/>
      <c r="R707" s="103"/>
      <c r="S707" s="103"/>
      <c r="T707" s="103"/>
      <c r="U707" s="68"/>
      <c r="V707" s="69"/>
      <c r="W707" s="68"/>
      <c r="X707" s="68"/>
      <c r="Y707" s="68"/>
      <c r="Z707" s="68"/>
      <c r="AA707" s="68"/>
      <c r="AB707" s="68"/>
      <c r="AC707" s="68"/>
      <c r="AD707" s="68"/>
      <c r="AE707" s="68"/>
      <c r="AF707" s="68"/>
      <c r="AG707" s="68"/>
      <c r="AH707" s="68"/>
      <c r="AI707" s="68"/>
      <c r="AJ707" s="68"/>
      <c r="AK707" s="68"/>
      <c r="AL707" s="68"/>
      <c r="AM707" s="68"/>
      <c r="AN707" s="68"/>
      <c r="AO707" s="68"/>
      <c r="AP707" s="68"/>
      <c r="AQ707" s="68"/>
      <c r="AR707" s="68"/>
      <c r="AS707" s="68"/>
      <c r="AT707" s="68"/>
      <c r="AU707" s="68"/>
      <c r="AV707" s="68"/>
      <c r="AW707" s="68"/>
      <c r="AX707" s="68"/>
      <c r="AY707" s="68"/>
      <c r="AZ707" s="68"/>
      <c r="BA707" s="68"/>
      <c r="BB707" s="68"/>
      <c r="BC707" s="68"/>
      <c r="BD707" s="68"/>
      <c r="BE707" s="68"/>
      <c r="BF707" s="68"/>
      <c r="BG707" s="68"/>
      <c r="BH707" s="68"/>
      <c r="BI707" s="68"/>
      <c r="BJ707" s="68"/>
      <c r="BK707" s="68"/>
      <c r="BL707" s="68"/>
      <c r="BM707" s="68"/>
      <c r="BN707" s="68"/>
      <c r="BO707" s="68"/>
      <c r="BP707" s="68"/>
      <c r="BQ707" s="68"/>
      <c r="BR707" s="68"/>
      <c r="BS707" s="68"/>
      <c r="BT707" s="68"/>
      <c r="BU707" s="68"/>
      <c r="BV707" s="68"/>
      <c r="BW707" s="68"/>
      <c r="BX707" s="68"/>
      <c r="BY707" s="68"/>
      <c r="BZ707" s="68"/>
      <c r="CA707" s="68"/>
      <c r="CB707" s="68"/>
      <c r="CC707" s="68"/>
      <c r="CD707" s="68"/>
      <c r="CE707" s="68"/>
      <c r="CF707" s="68"/>
      <c r="CG707" s="68"/>
      <c r="CH707" s="68"/>
      <c r="CI707" s="68"/>
      <c r="CJ707" s="68"/>
      <c r="CK707" s="68"/>
      <c r="CL707" s="68"/>
      <c r="CM707" s="68"/>
      <c r="CN707" s="68"/>
      <c r="CO707" s="68"/>
      <c r="CP707" s="68"/>
      <c r="CQ707" s="68"/>
      <c r="CR707" s="68"/>
      <c r="CS707" s="68"/>
      <c r="CT707" s="68"/>
      <c r="CU707" s="68"/>
      <c r="CV707" s="68"/>
      <c r="CW707" s="68"/>
      <c r="CX707" s="68"/>
    </row>
    <row r="708" spans="1:102" s="71" customFormat="1" hidden="1">
      <c r="A708" s="109"/>
      <c r="B708" s="109"/>
      <c r="C708" s="109"/>
      <c r="D708" s="115"/>
      <c r="E708" s="100"/>
      <c r="F708" s="100"/>
      <c r="G708" s="111"/>
      <c r="H708" s="105"/>
      <c r="I708" s="111"/>
      <c r="J708" s="111"/>
      <c r="K708" s="112"/>
      <c r="L708" s="113"/>
      <c r="M708" s="114"/>
      <c r="N708" s="100"/>
      <c r="O708" s="114"/>
      <c r="P708" s="65"/>
      <c r="Q708" s="103"/>
      <c r="R708" s="103"/>
      <c r="S708" s="103"/>
      <c r="T708" s="103"/>
      <c r="U708" s="68"/>
      <c r="V708" s="69"/>
      <c r="W708" s="68"/>
      <c r="X708" s="68"/>
      <c r="Y708" s="68"/>
      <c r="Z708" s="68"/>
      <c r="AA708" s="68"/>
      <c r="AB708" s="68"/>
      <c r="AC708" s="68"/>
      <c r="AD708" s="68"/>
      <c r="AE708" s="68"/>
      <c r="AF708" s="68"/>
      <c r="AG708" s="68"/>
      <c r="AH708" s="68"/>
      <c r="AI708" s="68"/>
      <c r="AJ708" s="68"/>
      <c r="AK708" s="68"/>
      <c r="AL708" s="68"/>
      <c r="AM708" s="68"/>
      <c r="AN708" s="68"/>
      <c r="AO708" s="68"/>
      <c r="AP708" s="68"/>
      <c r="AQ708" s="68"/>
      <c r="AR708" s="68"/>
      <c r="AS708" s="68"/>
      <c r="AT708" s="68"/>
      <c r="AU708" s="68"/>
      <c r="AV708" s="68"/>
      <c r="AW708" s="68"/>
      <c r="AX708" s="68"/>
      <c r="AY708" s="68"/>
      <c r="AZ708" s="68"/>
      <c r="BA708" s="68"/>
      <c r="BB708" s="68"/>
      <c r="BC708" s="68"/>
      <c r="BD708" s="68"/>
      <c r="BE708" s="68"/>
      <c r="BF708" s="68"/>
      <c r="BG708" s="68"/>
      <c r="BH708" s="68"/>
      <c r="BI708" s="68"/>
      <c r="BJ708" s="68"/>
      <c r="BK708" s="68"/>
      <c r="BL708" s="68"/>
      <c r="BM708" s="68"/>
      <c r="BN708" s="68"/>
      <c r="BO708" s="68"/>
      <c r="BP708" s="68"/>
      <c r="BQ708" s="68"/>
      <c r="BR708" s="68"/>
      <c r="BS708" s="68"/>
      <c r="BT708" s="68"/>
      <c r="BU708" s="68"/>
      <c r="BV708" s="68"/>
      <c r="BW708" s="68"/>
      <c r="BX708" s="68"/>
      <c r="BY708" s="68"/>
      <c r="BZ708" s="68"/>
      <c r="CA708" s="68"/>
      <c r="CB708" s="68"/>
      <c r="CC708" s="68"/>
      <c r="CD708" s="68"/>
      <c r="CE708" s="68"/>
      <c r="CF708" s="68"/>
      <c r="CG708" s="68"/>
      <c r="CH708" s="68"/>
      <c r="CI708" s="68"/>
      <c r="CJ708" s="68"/>
      <c r="CK708" s="68"/>
      <c r="CL708" s="68"/>
      <c r="CM708" s="68"/>
      <c r="CN708" s="68"/>
      <c r="CO708" s="68"/>
      <c r="CP708" s="68"/>
      <c r="CQ708" s="68"/>
      <c r="CR708" s="68"/>
      <c r="CS708" s="68"/>
      <c r="CT708" s="68"/>
      <c r="CU708" s="68"/>
      <c r="CV708" s="68"/>
      <c r="CW708" s="68"/>
      <c r="CX708" s="68"/>
    </row>
    <row r="709" spans="1:102" s="71" customFormat="1" hidden="1">
      <c r="A709" s="109"/>
      <c r="B709" s="109"/>
      <c r="C709" s="109"/>
      <c r="D709" s="115"/>
      <c r="E709" s="100"/>
      <c r="F709" s="100"/>
      <c r="G709" s="111"/>
      <c r="H709" s="105"/>
      <c r="I709" s="111"/>
      <c r="J709" s="111"/>
      <c r="K709" s="112"/>
      <c r="L709" s="113"/>
      <c r="M709" s="114"/>
      <c r="N709" s="100"/>
      <c r="O709" s="114"/>
      <c r="P709" s="65"/>
      <c r="Q709" s="103"/>
      <c r="R709" s="103"/>
      <c r="S709" s="103"/>
      <c r="T709" s="103"/>
      <c r="U709" s="68"/>
      <c r="V709" s="69"/>
      <c r="W709" s="68"/>
      <c r="X709" s="68"/>
      <c r="Y709" s="68"/>
      <c r="Z709" s="68"/>
      <c r="AA709" s="68"/>
      <c r="AB709" s="68"/>
      <c r="AC709" s="68"/>
      <c r="AD709" s="68"/>
      <c r="AE709" s="68"/>
      <c r="AF709" s="68"/>
      <c r="AG709" s="68"/>
      <c r="AH709" s="68"/>
      <c r="AI709" s="68"/>
      <c r="AJ709" s="68"/>
      <c r="AK709" s="68"/>
      <c r="AL709" s="68"/>
      <c r="AM709" s="68"/>
      <c r="AN709" s="68"/>
      <c r="AO709" s="68"/>
      <c r="AP709" s="68"/>
      <c r="AQ709" s="68"/>
      <c r="AR709" s="68"/>
      <c r="AS709" s="68"/>
      <c r="AT709" s="68"/>
      <c r="AU709" s="68"/>
      <c r="AV709" s="68"/>
      <c r="AW709" s="68"/>
      <c r="AX709" s="68"/>
      <c r="AY709" s="68"/>
      <c r="AZ709" s="68"/>
      <c r="BA709" s="68"/>
      <c r="BB709" s="68"/>
      <c r="BC709" s="68"/>
      <c r="BD709" s="68"/>
      <c r="BE709" s="68"/>
      <c r="BF709" s="68"/>
      <c r="BG709" s="68"/>
      <c r="BH709" s="68"/>
      <c r="BI709" s="68"/>
      <c r="BJ709" s="68"/>
      <c r="BK709" s="68"/>
      <c r="BL709" s="68"/>
      <c r="BM709" s="68"/>
      <c r="BN709" s="68"/>
      <c r="BO709" s="68"/>
      <c r="BP709" s="68"/>
      <c r="BQ709" s="68"/>
      <c r="BR709" s="68"/>
      <c r="BS709" s="68"/>
      <c r="BT709" s="68"/>
      <c r="BU709" s="68"/>
      <c r="BV709" s="68"/>
      <c r="BW709" s="68"/>
      <c r="BX709" s="68"/>
      <c r="BY709" s="68"/>
      <c r="BZ709" s="68"/>
      <c r="CA709" s="68"/>
      <c r="CB709" s="68"/>
      <c r="CC709" s="68"/>
      <c r="CD709" s="68"/>
      <c r="CE709" s="68"/>
      <c r="CF709" s="68"/>
      <c r="CG709" s="68"/>
      <c r="CH709" s="68"/>
      <c r="CI709" s="68"/>
      <c r="CJ709" s="68"/>
      <c r="CK709" s="68"/>
      <c r="CL709" s="68"/>
      <c r="CM709" s="68"/>
      <c r="CN709" s="68"/>
      <c r="CO709" s="68"/>
      <c r="CP709" s="68"/>
      <c r="CQ709" s="68"/>
      <c r="CR709" s="68"/>
      <c r="CS709" s="68"/>
      <c r="CT709" s="68"/>
      <c r="CU709" s="68"/>
      <c r="CV709" s="68"/>
      <c r="CW709" s="68"/>
      <c r="CX709" s="68"/>
    </row>
    <row r="710" spans="1:102" s="71" customFormat="1" hidden="1">
      <c r="A710" s="109"/>
      <c r="B710" s="109"/>
      <c r="C710" s="109"/>
      <c r="D710" s="115"/>
      <c r="E710" s="100"/>
      <c r="F710" s="100"/>
      <c r="G710" s="111"/>
      <c r="H710" s="105"/>
      <c r="I710" s="111"/>
      <c r="J710" s="111"/>
      <c r="K710" s="112"/>
      <c r="L710" s="113"/>
      <c r="M710" s="114"/>
      <c r="N710" s="100"/>
      <c r="O710" s="114"/>
      <c r="P710" s="65"/>
      <c r="Q710" s="103"/>
      <c r="R710" s="103"/>
      <c r="S710" s="103"/>
      <c r="T710" s="103"/>
      <c r="U710" s="68"/>
      <c r="V710" s="69"/>
      <c r="W710" s="68"/>
      <c r="X710" s="68"/>
      <c r="Y710" s="68"/>
      <c r="Z710" s="68"/>
      <c r="AA710" s="68"/>
      <c r="AB710" s="68"/>
      <c r="AC710" s="68"/>
      <c r="AD710" s="68"/>
      <c r="AE710" s="68"/>
      <c r="AF710" s="68"/>
      <c r="AG710" s="68"/>
      <c r="AH710" s="68"/>
      <c r="AI710" s="68"/>
      <c r="AJ710" s="68"/>
      <c r="AK710" s="68"/>
      <c r="AL710" s="68"/>
      <c r="AM710" s="68"/>
      <c r="AN710" s="68"/>
      <c r="AO710" s="68"/>
      <c r="AP710" s="68"/>
      <c r="AQ710" s="68"/>
      <c r="AR710" s="68"/>
      <c r="AS710" s="68"/>
      <c r="AT710" s="68"/>
      <c r="AU710" s="68"/>
      <c r="AV710" s="68"/>
      <c r="AW710" s="68"/>
      <c r="AX710" s="68"/>
      <c r="AY710" s="68"/>
      <c r="AZ710" s="68"/>
      <c r="BA710" s="68"/>
      <c r="BB710" s="68"/>
      <c r="BC710" s="68"/>
      <c r="BD710" s="68"/>
      <c r="BE710" s="68"/>
      <c r="BF710" s="68"/>
      <c r="BG710" s="68"/>
      <c r="BH710" s="68"/>
      <c r="BI710" s="68"/>
      <c r="BJ710" s="68"/>
      <c r="BK710" s="68"/>
      <c r="BL710" s="68"/>
      <c r="BM710" s="68"/>
      <c r="BN710" s="68"/>
      <c r="BO710" s="68"/>
      <c r="BP710" s="68"/>
      <c r="BQ710" s="68"/>
      <c r="BR710" s="68"/>
      <c r="BS710" s="68"/>
      <c r="BT710" s="68"/>
      <c r="BU710" s="68"/>
      <c r="BV710" s="68"/>
      <c r="BW710" s="68"/>
      <c r="BX710" s="68"/>
      <c r="BY710" s="68"/>
      <c r="BZ710" s="68"/>
      <c r="CA710" s="68"/>
      <c r="CB710" s="68"/>
      <c r="CC710" s="68"/>
      <c r="CD710" s="68"/>
      <c r="CE710" s="68"/>
      <c r="CF710" s="68"/>
      <c r="CG710" s="68"/>
      <c r="CH710" s="68"/>
      <c r="CI710" s="68"/>
      <c r="CJ710" s="68"/>
      <c r="CK710" s="68"/>
      <c r="CL710" s="68"/>
      <c r="CM710" s="68"/>
      <c r="CN710" s="68"/>
      <c r="CO710" s="68"/>
      <c r="CP710" s="68"/>
      <c r="CQ710" s="68"/>
      <c r="CR710" s="68"/>
      <c r="CS710" s="68"/>
      <c r="CT710" s="68"/>
      <c r="CU710" s="68"/>
      <c r="CV710" s="68"/>
      <c r="CW710" s="68"/>
      <c r="CX710" s="68"/>
    </row>
    <row r="711" spans="1:102" s="71" customFormat="1" hidden="1">
      <c r="A711" s="109"/>
      <c r="B711" s="109"/>
      <c r="C711" s="109"/>
      <c r="D711" s="115"/>
      <c r="E711" s="100"/>
      <c r="F711" s="100"/>
      <c r="G711" s="111"/>
      <c r="H711" s="105"/>
      <c r="I711" s="111"/>
      <c r="J711" s="111"/>
      <c r="K711" s="112"/>
      <c r="L711" s="113"/>
      <c r="M711" s="114"/>
      <c r="N711" s="100"/>
      <c r="O711" s="114"/>
      <c r="P711" s="65"/>
      <c r="Q711" s="103"/>
      <c r="R711" s="103"/>
      <c r="S711" s="103"/>
      <c r="T711" s="103"/>
      <c r="U711" s="68"/>
      <c r="V711" s="69"/>
      <c r="W711" s="68"/>
      <c r="X711" s="68"/>
      <c r="Y711" s="68"/>
      <c r="Z711" s="68"/>
      <c r="AA711" s="68"/>
      <c r="AB711" s="68"/>
      <c r="AC711" s="68"/>
      <c r="AD711" s="68"/>
      <c r="AE711" s="68"/>
      <c r="AF711" s="68"/>
      <c r="AG711" s="68"/>
      <c r="AH711" s="68"/>
      <c r="AI711" s="68"/>
      <c r="AJ711" s="68"/>
      <c r="AK711" s="68"/>
      <c r="AL711" s="68"/>
      <c r="AM711" s="68"/>
      <c r="AN711" s="68"/>
      <c r="AO711" s="68"/>
      <c r="AP711" s="68"/>
      <c r="AQ711" s="68"/>
      <c r="AR711" s="68"/>
      <c r="AS711" s="68"/>
      <c r="AT711" s="68"/>
      <c r="AU711" s="68"/>
      <c r="AV711" s="68"/>
      <c r="AW711" s="68"/>
      <c r="AX711" s="68"/>
      <c r="AY711" s="68"/>
      <c r="AZ711" s="68"/>
      <c r="BA711" s="68"/>
      <c r="BB711" s="68"/>
      <c r="BC711" s="68"/>
      <c r="BD711" s="68"/>
      <c r="BE711" s="68"/>
      <c r="BF711" s="68"/>
      <c r="BG711" s="68"/>
      <c r="BH711" s="68"/>
      <c r="BI711" s="68"/>
      <c r="BJ711" s="68"/>
      <c r="BK711" s="68"/>
      <c r="BL711" s="68"/>
      <c r="BM711" s="68"/>
      <c r="BN711" s="68"/>
      <c r="BO711" s="68"/>
      <c r="BP711" s="68"/>
      <c r="BQ711" s="68"/>
      <c r="BR711" s="68"/>
      <c r="BS711" s="68"/>
      <c r="BT711" s="68"/>
      <c r="BU711" s="68"/>
      <c r="BV711" s="68"/>
      <c r="BW711" s="68"/>
      <c r="BX711" s="68"/>
      <c r="BY711" s="68"/>
      <c r="BZ711" s="68"/>
      <c r="CA711" s="68"/>
      <c r="CB711" s="68"/>
      <c r="CC711" s="68"/>
      <c r="CD711" s="68"/>
      <c r="CE711" s="68"/>
      <c r="CF711" s="68"/>
      <c r="CG711" s="68"/>
      <c r="CH711" s="68"/>
      <c r="CI711" s="68"/>
      <c r="CJ711" s="68"/>
      <c r="CK711" s="68"/>
      <c r="CL711" s="68"/>
      <c r="CM711" s="68"/>
      <c r="CN711" s="68"/>
      <c r="CO711" s="68"/>
      <c r="CP711" s="68"/>
      <c r="CQ711" s="68"/>
      <c r="CR711" s="68"/>
      <c r="CS711" s="68"/>
      <c r="CT711" s="68"/>
      <c r="CU711" s="68"/>
      <c r="CV711" s="68"/>
      <c r="CW711" s="68"/>
      <c r="CX711" s="68"/>
    </row>
    <row r="712" spans="1:102" s="71" customFormat="1" hidden="1">
      <c r="A712" s="109"/>
      <c r="B712" s="109"/>
      <c r="C712" s="109"/>
      <c r="D712" s="115"/>
      <c r="E712" s="100"/>
      <c r="F712" s="100"/>
      <c r="G712" s="111"/>
      <c r="H712" s="105"/>
      <c r="I712" s="111"/>
      <c r="J712" s="111"/>
      <c r="K712" s="112"/>
      <c r="L712" s="113"/>
      <c r="M712" s="114"/>
      <c r="N712" s="100"/>
      <c r="O712" s="114"/>
      <c r="P712" s="65"/>
      <c r="Q712" s="103"/>
      <c r="R712" s="103"/>
      <c r="S712" s="103"/>
      <c r="T712" s="103"/>
      <c r="U712" s="68"/>
      <c r="V712" s="69"/>
      <c r="W712" s="68"/>
      <c r="X712" s="68"/>
      <c r="Y712" s="68"/>
      <c r="Z712" s="68"/>
      <c r="AA712" s="68"/>
      <c r="AB712" s="68"/>
      <c r="AC712" s="68"/>
      <c r="AD712" s="68"/>
      <c r="AE712" s="68"/>
      <c r="AF712" s="68"/>
      <c r="AG712" s="68"/>
      <c r="AH712" s="68"/>
      <c r="AI712" s="68"/>
      <c r="AJ712" s="68"/>
      <c r="AK712" s="68"/>
      <c r="AL712" s="68"/>
      <c r="AM712" s="68"/>
      <c r="AN712" s="68"/>
      <c r="AO712" s="68"/>
      <c r="AP712" s="68"/>
      <c r="AQ712" s="68"/>
      <c r="AR712" s="68"/>
      <c r="AS712" s="68"/>
      <c r="AT712" s="68"/>
      <c r="AU712" s="68"/>
      <c r="AV712" s="68"/>
      <c r="AW712" s="68"/>
      <c r="AX712" s="68"/>
      <c r="AY712" s="68"/>
      <c r="AZ712" s="68"/>
      <c r="BA712" s="68"/>
      <c r="BB712" s="68"/>
      <c r="BC712" s="68"/>
      <c r="BD712" s="68"/>
      <c r="BE712" s="68"/>
      <c r="BF712" s="68"/>
      <c r="BG712" s="68"/>
      <c r="BH712" s="68"/>
      <c r="BI712" s="68"/>
      <c r="BJ712" s="68"/>
      <c r="BK712" s="68"/>
      <c r="BL712" s="68"/>
      <c r="BM712" s="68"/>
      <c r="BN712" s="68"/>
      <c r="BO712" s="68"/>
      <c r="BP712" s="68"/>
      <c r="BQ712" s="68"/>
      <c r="BR712" s="68"/>
      <c r="BS712" s="68"/>
      <c r="BT712" s="68"/>
      <c r="BU712" s="68"/>
      <c r="BV712" s="68"/>
      <c r="BW712" s="68"/>
      <c r="BX712" s="68"/>
      <c r="BY712" s="68"/>
      <c r="BZ712" s="68"/>
      <c r="CA712" s="68"/>
      <c r="CB712" s="68"/>
      <c r="CC712" s="68"/>
      <c r="CD712" s="68"/>
      <c r="CE712" s="68"/>
      <c r="CF712" s="68"/>
      <c r="CG712" s="68"/>
      <c r="CH712" s="68"/>
      <c r="CI712" s="68"/>
      <c r="CJ712" s="68"/>
      <c r="CK712" s="68"/>
      <c r="CL712" s="68"/>
      <c r="CM712" s="68"/>
      <c r="CN712" s="68"/>
      <c r="CO712" s="68"/>
      <c r="CP712" s="68"/>
      <c r="CQ712" s="68"/>
      <c r="CR712" s="68"/>
      <c r="CS712" s="68"/>
      <c r="CT712" s="68"/>
      <c r="CU712" s="68"/>
      <c r="CV712" s="68"/>
      <c r="CW712" s="68"/>
      <c r="CX712" s="68"/>
    </row>
    <row r="713" spans="1:102" s="71" customFormat="1" hidden="1">
      <c r="A713" s="109"/>
      <c r="B713" s="109"/>
      <c r="C713" s="109"/>
      <c r="D713" s="115"/>
      <c r="E713" s="100"/>
      <c r="F713" s="100"/>
      <c r="G713" s="111"/>
      <c r="H713" s="105"/>
      <c r="I713" s="111"/>
      <c r="J713" s="111"/>
      <c r="K713" s="112"/>
      <c r="L713" s="113"/>
      <c r="M713" s="114"/>
      <c r="N713" s="100"/>
      <c r="O713" s="114"/>
      <c r="P713" s="65"/>
      <c r="Q713" s="103"/>
      <c r="R713" s="103"/>
      <c r="S713" s="103"/>
      <c r="T713" s="103"/>
      <c r="U713" s="68"/>
      <c r="V713" s="69"/>
      <c r="W713" s="68"/>
      <c r="X713" s="68"/>
      <c r="Y713" s="68"/>
      <c r="Z713" s="68"/>
      <c r="AA713" s="68"/>
      <c r="AB713" s="68"/>
      <c r="AC713" s="68"/>
      <c r="AD713" s="68"/>
      <c r="AE713" s="68"/>
      <c r="AF713" s="68"/>
      <c r="AG713" s="68"/>
      <c r="AH713" s="68"/>
      <c r="AI713" s="68"/>
      <c r="AJ713" s="68"/>
      <c r="AK713" s="68"/>
      <c r="AL713" s="68"/>
      <c r="AM713" s="68"/>
      <c r="AN713" s="68"/>
      <c r="AO713" s="68"/>
      <c r="AP713" s="68"/>
      <c r="AQ713" s="68"/>
      <c r="AR713" s="68"/>
      <c r="AS713" s="68"/>
      <c r="AT713" s="68"/>
      <c r="AU713" s="68"/>
      <c r="AV713" s="68"/>
      <c r="AW713" s="68"/>
      <c r="AX713" s="68"/>
      <c r="AY713" s="68"/>
      <c r="AZ713" s="68"/>
      <c r="BA713" s="68"/>
      <c r="BB713" s="68"/>
      <c r="BC713" s="68"/>
      <c r="BD713" s="68"/>
      <c r="BE713" s="68"/>
      <c r="BF713" s="68"/>
      <c r="BG713" s="68"/>
      <c r="BH713" s="68"/>
      <c r="BI713" s="68"/>
      <c r="BJ713" s="68"/>
      <c r="BK713" s="68"/>
      <c r="BL713" s="68"/>
      <c r="BM713" s="68"/>
      <c r="BN713" s="68"/>
      <c r="BO713" s="68"/>
      <c r="BP713" s="68"/>
      <c r="BQ713" s="68"/>
      <c r="BR713" s="68"/>
      <c r="BS713" s="68"/>
      <c r="BT713" s="68"/>
      <c r="BU713" s="68"/>
      <c r="BV713" s="68"/>
      <c r="BW713" s="68"/>
      <c r="BX713" s="68"/>
      <c r="BY713" s="68"/>
      <c r="BZ713" s="68"/>
      <c r="CA713" s="68"/>
      <c r="CB713" s="68"/>
      <c r="CC713" s="68"/>
      <c r="CD713" s="68"/>
      <c r="CE713" s="68"/>
      <c r="CF713" s="68"/>
      <c r="CG713" s="68"/>
      <c r="CH713" s="68"/>
      <c r="CI713" s="68"/>
      <c r="CJ713" s="68"/>
      <c r="CK713" s="68"/>
      <c r="CL713" s="68"/>
      <c r="CM713" s="68"/>
      <c r="CN713" s="68"/>
      <c r="CO713" s="68"/>
      <c r="CP713" s="68"/>
      <c r="CQ713" s="68"/>
      <c r="CR713" s="68"/>
      <c r="CS713" s="68"/>
      <c r="CT713" s="68"/>
      <c r="CU713" s="68"/>
      <c r="CV713" s="68"/>
      <c r="CW713" s="68"/>
      <c r="CX713" s="68"/>
    </row>
    <row r="714" spans="1:102" s="71" customFormat="1" hidden="1">
      <c r="A714" s="109"/>
      <c r="B714" s="109"/>
      <c r="C714" s="109"/>
      <c r="D714" s="115"/>
      <c r="E714" s="100"/>
      <c r="F714" s="100"/>
      <c r="G714" s="111"/>
      <c r="H714" s="105"/>
      <c r="I714" s="111"/>
      <c r="J714" s="111"/>
      <c r="K714" s="112"/>
      <c r="L714" s="113"/>
      <c r="M714" s="114"/>
      <c r="N714" s="100"/>
      <c r="O714" s="114"/>
      <c r="P714" s="65"/>
      <c r="Q714" s="103"/>
      <c r="R714" s="103"/>
      <c r="S714" s="103"/>
      <c r="T714" s="103"/>
      <c r="U714" s="68"/>
      <c r="V714" s="69"/>
      <c r="W714" s="68"/>
      <c r="X714" s="68"/>
      <c r="Y714" s="68"/>
      <c r="Z714" s="68"/>
      <c r="AA714" s="68"/>
      <c r="AB714" s="68"/>
      <c r="AC714" s="68"/>
      <c r="AD714" s="68"/>
      <c r="AE714" s="68"/>
      <c r="AF714" s="68"/>
      <c r="AG714" s="68"/>
      <c r="AH714" s="68"/>
      <c r="AI714" s="68"/>
      <c r="AJ714" s="68"/>
      <c r="AK714" s="68"/>
      <c r="AL714" s="68"/>
      <c r="AM714" s="68"/>
      <c r="AN714" s="68"/>
      <c r="AO714" s="68"/>
      <c r="AP714" s="68"/>
      <c r="AQ714" s="68"/>
      <c r="AR714" s="68"/>
      <c r="AS714" s="68"/>
      <c r="AT714" s="68"/>
      <c r="AU714" s="68"/>
      <c r="AV714" s="68"/>
      <c r="AW714" s="68"/>
      <c r="AX714" s="68"/>
      <c r="AY714" s="68"/>
      <c r="AZ714" s="68"/>
      <c r="BA714" s="68"/>
      <c r="BB714" s="68"/>
      <c r="BC714" s="68"/>
      <c r="BD714" s="68"/>
      <c r="BE714" s="68"/>
      <c r="BF714" s="68"/>
      <c r="BG714" s="68"/>
      <c r="BH714" s="68"/>
      <c r="BI714" s="68"/>
      <c r="BJ714" s="68"/>
      <c r="BK714" s="68"/>
      <c r="BL714" s="68"/>
      <c r="BM714" s="68"/>
      <c r="BN714" s="68"/>
      <c r="BO714" s="68"/>
      <c r="BP714" s="68"/>
      <c r="BQ714" s="68"/>
      <c r="BR714" s="68"/>
      <c r="BS714" s="68"/>
      <c r="BT714" s="68"/>
      <c r="BU714" s="68"/>
      <c r="BV714" s="68"/>
      <c r="BW714" s="68"/>
      <c r="BX714" s="68"/>
      <c r="BY714" s="68"/>
      <c r="BZ714" s="68"/>
      <c r="CA714" s="68"/>
      <c r="CB714" s="68"/>
      <c r="CC714" s="68"/>
      <c r="CD714" s="68"/>
      <c r="CE714" s="68"/>
      <c r="CF714" s="68"/>
      <c r="CG714" s="68"/>
      <c r="CH714" s="68"/>
      <c r="CI714" s="68"/>
      <c r="CJ714" s="68"/>
      <c r="CK714" s="68"/>
      <c r="CL714" s="68"/>
      <c r="CM714" s="68"/>
      <c r="CN714" s="68"/>
      <c r="CO714" s="68"/>
      <c r="CP714" s="68"/>
      <c r="CQ714" s="68"/>
      <c r="CR714" s="68"/>
      <c r="CS714" s="68"/>
      <c r="CT714" s="68"/>
      <c r="CU714" s="68"/>
      <c r="CV714" s="68"/>
      <c r="CW714" s="68"/>
      <c r="CX714" s="68"/>
    </row>
    <row r="715" spans="1:102" s="71" customFormat="1" hidden="1">
      <c r="A715" s="109"/>
      <c r="B715" s="109"/>
      <c r="C715" s="109"/>
      <c r="D715" s="115"/>
      <c r="E715" s="100"/>
      <c r="F715" s="100"/>
      <c r="G715" s="111"/>
      <c r="H715" s="105"/>
      <c r="I715" s="111"/>
      <c r="J715" s="111"/>
      <c r="K715" s="112"/>
      <c r="L715" s="113"/>
      <c r="M715" s="114"/>
      <c r="N715" s="100"/>
      <c r="O715" s="114"/>
      <c r="P715" s="65"/>
      <c r="Q715" s="103"/>
      <c r="R715" s="103"/>
      <c r="S715" s="103"/>
      <c r="T715" s="103"/>
      <c r="U715" s="68"/>
      <c r="V715" s="69"/>
      <c r="W715" s="68"/>
      <c r="X715" s="68"/>
      <c r="Y715" s="68"/>
      <c r="Z715" s="68"/>
      <c r="AA715" s="68"/>
      <c r="AB715" s="68"/>
      <c r="AC715" s="68"/>
      <c r="AD715" s="68"/>
      <c r="AE715" s="68"/>
      <c r="AF715" s="68"/>
      <c r="AG715" s="68"/>
      <c r="AH715" s="68"/>
      <c r="AI715" s="68"/>
      <c r="AJ715" s="68"/>
      <c r="AK715" s="68"/>
      <c r="AL715" s="68"/>
      <c r="AM715" s="68"/>
      <c r="AN715" s="68"/>
      <c r="AO715" s="68"/>
      <c r="AP715" s="68"/>
      <c r="AQ715" s="68"/>
      <c r="AR715" s="68"/>
      <c r="AS715" s="68"/>
      <c r="AT715" s="68"/>
      <c r="AU715" s="68"/>
      <c r="AV715" s="68"/>
      <c r="AW715" s="68"/>
      <c r="AX715" s="68"/>
      <c r="AY715" s="68"/>
      <c r="AZ715" s="68"/>
      <c r="BA715" s="68"/>
      <c r="BB715" s="68"/>
      <c r="BC715" s="68"/>
      <c r="BD715" s="68"/>
      <c r="BE715" s="68"/>
      <c r="BF715" s="68"/>
      <c r="BG715" s="68"/>
      <c r="BH715" s="68"/>
      <c r="BI715" s="68"/>
      <c r="BJ715" s="68"/>
      <c r="BK715" s="68"/>
      <c r="BL715" s="68"/>
      <c r="BM715" s="68"/>
      <c r="BN715" s="68"/>
      <c r="BO715" s="68"/>
      <c r="BP715" s="68"/>
      <c r="BQ715" s="68"/>
      <c r="BR715" s="68"/>
      <c r="BS715" s="68"/>
      <c r="BT715" s="68"/>
      <c r="BU715" s="68"/>
      <c r="BV715" s="68"/>
      <c r="BW715" s="68"/>
      <c r="BX715" s="68"/>
      <c r="BY715" s="68"/>
      <c r="BZ715" s="68"/>
      <c r="CA715" s="68"/>
      <c r="CB715" s="68"/>
      <c r="CC715" s="68"/>
      <c r="CD715" s="68"/>
      <c r="CE715" s="68"/>
      <c r="CF715" s="68"/>
      <c r="CG715" s="68"/>
      <c r="CH715" s="68"/>
      <c r="CI715" s="68"/>
      <c r="CJ715" s="68"/>
      <c r="CK715" s="68"/>
      <c r="CL715" s="68"/>
      <c r="CM715" s="68"/>
      <c r="CN715" s="68"/>
      <c r="CO715" s="68"/>
      <c r="CP715" s="68"/>
      <c r="CQ715" s="68"/>
      <c r="CR715" s="68"/>
      <c r="CS715" s="68"/>
      <c r="CT715" s="68"/>
      <c r="CU715" s="68"/>
      <c r="CV715" s="68"/>
      <c r="CW715" s="68"/>
      <c r="CX715" s="68"/>
    </row>
    <row r="716" spans="1:102" s="71" customFormat="1" hidden="1">
      <c r="A716" s="109"/>
      <c r="B716" s="109"/>
      <c r="C716" s="109"/>
      <c r="D716" s="115"/>
      <c r="E716" s="100"/>
      <c r="F716" s="100"/>
      <c r="G716" s="111"/>
      <c r="H716" s="105"/>
      <c r="I716" s="111"/>
      <c r="J716" s="111"/>
      <c r="K716" s="112"/>
      <c r="L716" s="113"/>
      <c r="M716" s="114"/>
      <c r="N716" s="100"/>
      <c r="O716" s="114"/>
      <c r="P716" s="65"/>
      <c r="Q716" s="103"/>
      <c r="R716" s="103"/>
      <c r="S716" s="103"/>
      <c r="T716" s="103"/>
      <c r="U716" s="68"/>
      <c r="V716" s="69"/>
      <c r="W716" s="68"/>
      <c r="X716" s="68"/>
      <c r="Y716" s="68"/>
      <c r="Z716" s="68"/>
      <c r="AA716" s="68"/>
      <c r="AB716" s="68"/>
      <c r="AC716" s="68"/>
      <c r="AD716" s="68"/>
      <c r="AE716" s="68"/>
      <c r="AF716" s="68"/>
      <c r="AG716" s="68"/>
      <c r="AH716" s="68"/>
      <c r="AI716" s="68"/>
      <c r="AJ716" s="68"/>
      <c r="AK716" s="68"/>
      <c r="AL716" s="68"/>
      <c r="AM716" s="68"/>
      <c r="AN716" s="68"/>
      <c r="AO716" s="68"/>
      <c r="AP716" s="68"/>
      <c r="AQ716" s="68"/>
      <c r="AR716" s="68"/>
      <c r="AS716" s="68"/>
      <c r="AT716" s="68"/>
      <c r="AU716" s="68"/>
      <c r="AV716" s="68"/>
      <c r="AW716" s="68"/>
      <c r="AX716" s="68"/>
      <c r="AY716" s="68"/>
      <c r="AZ716" s="68"/>
      <c r="BA716" s="68"/>
      <c r="BB716" s="68"/>
      <c r="BC716" s="68"/>
      <c r="BD716" s="68"/>
      <c r="BE716" s="68"/>
      <c r="BF716" s="68"/>
      <c r="BG716" s="68"/>
      <c r="BH716" s="68"/>
      <c r="BI716" s="68"/>
      <c r="BJ716" s="68"/>
      <c r="BK716" s="68"/>
      <c r="BL716" s="68"/>
      <c r="BM716" s="68"/>
      <c r="BN716" s="68"/>
      <c r="BO716" s="68"/>
      <c r="BP716" s="68"/>
      <c r="BQ716" s="68"/>
      <c r="BR716" s="68"/>
      <c r="BS716" s="68"/>
      <c r="BT716" s="68"/>
      <c r="BU716" s="68"/>
      <c r="BV716" s="68"/>
      <c r="BW716" s="68"/>
      <c r="BX716" s="68"/>
      <c r="BY716" s="68"/>
      <c r="BZ716" s="68"/>
      <c r="CA716" s="68"/>
      <c r="CB716" s="68"/>
      <c r="CC716" s="68"/>
      <c r="CD716" s="68"/>
      <c r="CE716" s="68"/>
      <c r="CF716" s="68"/>
      <c r="CG716" s="68"/>
      <c r="CH716" s="68"/>
      <c r="CI716" s="68"/>
      <c r="CJ716" s="68"/>
      <c r="CK716" s="68"/>
      <c r="CL716" s="68"/>
      <c r="CM716" s="68"/>
      <c r="CN716" s="68"/>
      <c r="CO716" s="68"/>
      <c r="CP716" s="68"/>
      <c r="CQ716" s="68"/>
      <c r="CR716" s="68"/>
      <c r="CS716" s="68"/>
      <c r="CT716" s="68"/>
      <c r="CU716" s="68"/>
      <c r="CV716" s="68"/>
      <c r="CW716" s="68"/>
      <c r="CX716" s="68"/>
    </row>
    <row r="717" spans="1:102" s="71" customFormat="1" hidden="1">
      <c r="A717" s="109"/>
      <c r="B717" s="109"/>
      <c r="C717" s="109"/>
      <c r="D717" s="115"/>
      <c r="E717" s="100"/>
      <c r="F717" s="100"/>
      <c r="G717" s="111"/>
      <c r="H717" s="105"/>
      <c r="I717" s="111"/>
      <c r="J717" s="111"/>
      <c r="K717" s="112"/>
      <c r="L717" s="113"/>
      <c r="M717" s="114"/>
      <c r="N717" s="100"/>
      <c r="O717" s="114"/>
      <c r="P717" s="65"/>
      <c r="Q717" s="103"/>
      <c r="R717" s="103"/>
      <c r="S717" s="103"/>
      <c r="T717" s="103"/>
      <c r="U717" s="68"/>
      <c r="V717" s="69"/>
      <c r="W717" s="68"/>
      <c r="X717" s="68"/>
      <c r="Y717" s="68"/>
      <c r="Z717" s="68"/>
      <c r="AA717" s="68"/>
      <c r="AB717" s="68"/>
      <c r="AC717" s="68"/>
      <c r="AD717" s="68"/>
      <c r="AE717" s="68"/>
      <c r="AF717" s="68"/>
      <c r="AG717" s="68"/>
      <c r="AH717" s="68"/>
      <c r="AI717" s="68"/>
      <c r="AJ717" s="68"/>
      <c r="AK717" s="68"/>
      <c r="AL717" s="68"/>
      <c r="AM717" s="68"/>
      <c r="AN717" s="68"/>
      <c r="AO717" s="68"/>
      <c r="AP717" s="68"/>
      <c r="AQ717" s="68"/>
      <c r="AR717" s="68"/>
      <c r="AS717" s="68"/>
      <c r="AT717" s="68"/>
      <c r="AU717" s="68"/>
      <c r="AV717" s="68"/>
      <c r="AW717" s="68"/>
      <c r="AX717" s="68"/>
      <c r="AY717" s="68"/>
      <c r="AZ717" s="68"/>
      <c r="BA717" s="68"/>
      <c r="BB717" s="68"/>
      <c r="BC717" s="68"/>
      <c r="BD717" s="68"/>
      <c r="BE717" s="68"/>
      <c r="BF717" s="68"/>
      <c r="BG717" s="68"/>
      <c r="BH717" s="68"/>
      <c r="BI717" s="68"/>
      <c r="BJ717" s="68"/>
      <c r="BK717" s="68"/>
      <c r="BL717" s="68"/>
      <c r="BM717" s="68"/>
      <c r="BN717" s="68"/>
      <c r="BO717" s="68"/>
      <c r="BP717" s="68"/>
      <c r="BQ717" s="68"/>
      <c r="BR717" s="68"/>
      <c r="BS717" s="68"/>
      <c r="BT717" s="68"/>
      <c r="BU717" s="68"/>
      <c r="BV717" s="68"/>
      <c r="BW717" s="68"/>
      <c r="BX717" s="68"/>
      <c r="BY717" s="68"/>
      <c r="BZ717" s="68"/>
      <c r="CA717" s="68"/>
      <c r="CB717" s="68"/>
      <c r="CC717" s="68"/>
      <c r="CD717" s="68"/>
      <c r="CE717" s="68"/>
      <c r="CF717" s="68"/>
      <c r="CG717" s="68"/>
      <c r="CH717" s="68"/>
      <c r="CI717" s="68"/>
      <c r="CJ717" s="68"/>
      <c r="CK717" s="68"/>
      <c r="CL717" s="68"/>
      <c r="CM717" s="68"/>
      <c r="CN717" s="68"/>
      <c r="CO717" s="68"/>
      <c r="CP717" s="68"/>
      <c r="CQ717" s="68"/>
      <c r="CR717" s="68"/>
      <c r="CS717" s="68"/>
      <c r="CT717" s="68"/>
      <c r="CU717" s="68"/>
      <c r="CV717" s="68"/>
      <c r="CW717" s="68"/>
      <c r="CX717" s="68"/>
    </row>
    <row r="718" spans="1:102" s="71" customFormat="1" hidden="1">
      <c r="A718" s="109"/>
      <c r="B718" s="109"/>
      <c r="C718" s="109"/>
      <c r="D718" s="115"/>
      <c r="E718" s="100"/>
      <c r="F718" s="100"/>
      <c r="G718" s="111"/>
      <c r="H718" s="105"/>
      <c r="I718" s="111"/>
      <c r="J718" s="111"/>
      <c r="K718" s="112"/>
      <c r="L718" s="113"/>
      <c r="M718" s="114"/>
      <c r="N718" s="100"/>
      <c r="O718" s="114"/>
      <c r="P718" s="65"/>
      <c r="Q718" s="103"/>
      <c r="R718" s="103"/>
      <c r="S718" s="103"/>
      <c r="T718" s="103"/>
      <c r="U718" s="68"/>
      <c r="V718" s="69"/>
      <c r="W718" s="68"/>
      <c r="X718" s="68"/>
      <c r="Y718" s="68"/>
      <c r="Z718" s="68"/>
      <c r="AA718" s="68"/>
      <c r="AB718" s="68"/>
      <c r="AC718" s="68"/>
      <c r="AD718" s="68"/>
      <c r="AE718" s="68"/>
      <c r="AF718" s="68"/>
      <c r="AG718" s="68"/>
      <c r="AH718" s="68"/>
      <c r="AI718" s="68"/>
      <c r="AJ718" s="68"/>
      <c r="AK718" s="68"/>
      <c r="AL718" s="68"/>
      <c r="AM718" s="68"/>
      <c r="AN718" s="68"/>
      <c r="AO718" s="68"/>
      <c r="AP718" s="68"/>
      <c r="AQ718" s="68"/>
      <c r="AR718" s="68"/>
      <c r="AS718" s="68"/>
      <c r="AT718" s="68"/>
      <c r="AU718" s="68"/>
      <c r="AV718" s="68"/>
      <c r="AW718" s="68"/>
      <c r="AX718" s="68"/>
      <c r="AY718" s="68"/>
      <c r="AZ718" s="68"/>
      <c r="BA718" s="68"/>
      <c r="BB718" s="68"/>
      <c r="BC718" s="68"/>
      <c r="BD718" s="68"/>
      <c r="BE718" s="68"/>
      <c r="BF718" s="68"/>
      <c r="BG718" s="68"/>
      <c r="BH718" s="68"/>
      <c r="BI718" s="68"/>
      <c r="BJ718" s="68"/>
      <c r="BK718" s="68"/>
      <c r="BL718" s="68"/>
      <c r="BM718" s="68"/>
      <c r="BN718" s="68"/>
      <c r="BO718" s="68"/>
      <c r="BP718" s="68"/>
      <c r="BQ718" s="68"/>
      <c r="BR718" s="68"/>
      <c r="BS718" s="68"/>
      <c r="BT718" s="68"/>
      <c r="BU718" s="68"/>
      <c r="BV718" s="68"/>
      <c r="BW718" s="68"/>
      <c r="BX718" s="68"/>
      <c r="BY718" s="68"/>
      <c r="BZ718" s="68"/>
      <c r="CA718" s="68"/>
      <c r="CB718" s="68"/>
      <c r="CC718" s="68"/>
      <c r="CD718" s="68"/>
      <c r="CE718" s="68"/>
      <c r="CF718" s="68"/>
      <c r="CG718" s="68"/>
      <c r="CH718" s="68"/>
      <c r="CI718" s="68"/>
      <c r="CJ718" s="68"/>
      <c r="CK718" s="68"/>
      <c r="CL718" s="68"/>
      <c r="CM718" s="68"/>
      <c r="CN718" s="68"/>
      <c r="CO718" s="68"/>
      <c r="CP718" s="68"/>
      <c r="CQ718" s="68"/>
      <c r="CR718" s="68"/>
      <c r="CS718" s="68"/>
      <c r="CT718" s="68"/>
      <c r="CU718" s="68"/>
      <c r="CV718" s="68"/>
      <c r="CW718" s="68"/>
      <c r="CX718" s="68"/>
    </row>
    <row r="719" spans="1:102" s="71" customFormat="1" hidden="1">
      <c r="A719" s="109"/>
      <c r="B719" s="109"/>
      <c r="C719" s="109"/>
      <c r="D719" s="115"/>
      <c r="E719" s="100"/>
      <c r="F719" s="100"/>
      <c r="G719" s="111"/>
      <c r="H719" s="105"/>
      <c r="I719" s="111"/>
      <c r="J719" s="111"/>
      <c r="K719" s="112"/>
      <c r="L719" s="113"/>
      <c r="M719" s="114"/>
      <c r="N719" s="100"/>
      <c r="O719" s="114"/>
      <c r="P719" s="65"/>
      <c r="Q719" s="103"/>
      <c r="R719" s="103"/>
      <c r="S719" s="103"/>
      <c r="T719" s="103"/>
      <c r="U719" s="68"/>
      <c r="V719" s="69"/>
      <c r="W719" s="68"/>
      <c r="X719" s="68"/>
      <c r="Y719" s="68"/>
      <c r="Z719" s="68"/>
      <c r="AA719" s="68"/>
      <c r="AB719" s="68"/>
      <c r="AC719" s="68"/>
      <c r="AD719" s="68"/>
      <c r="AE719" s="68"/>
      <c r="AF719" s="68"/>
      <c r="AG719" s="68"/>
      <c r="AH719" s="68"/>
      <c r="AI719" s="68"/>
      <c r="AJ719" s="68"/>
      <c r="AK719" s="68"/>
      <c r="AL719" s="68"/>
      <c r="AM719" s="68"/>
      <c r="AN719" s="68"/>
      <c r="AO719" s="68"/>
      <c r="AP719" s="68"/>
      <c r="AQ719" s="68"/>
      <c r="AR719" s="68"/>
      <c r="AS719" s="68"/>
      <c r="AT719" s="68"/>
      <c r="AU719" s="68"/>
      <c r="AV719" s="68"/>
      <c r="AW719" s="68"/>
      <c r="AX719" s="68"/>
      <c r="AY719" s="68"/>
      <c r="AZ719" s="68"/>
      <c r="BA719" s="68"/>
      <c r="BB719" s="68"/>
      <c r="BC719" s="68"/>
      <c r="BD719" s="68"/>
      <c r="BE719" s="68"/>
      <c r="BF719" s="68"/>
      <c r="BG719" s="68"/>
      <c r="BH719" s="68"/>
      <c r="BI719" s="68"/>
      <c r="BJ719" s="68"/>
      <c r="BK719" s="68"/>
      <c r="BL719" s="68"/>
      <c r="BM719" s="68"/>
      <c r="BN719" s="68"/>
      <c r="BO719" s="68"/>
      <c r="BP719" s="68"/>
      <c r="BQ719" s="68"/>
      <c r="BR719" s="68"/>
      <c r="BS719" s="68"/>
      <c r="BT719" s="68"/>
      <c r="BU719" s="68"/>
      <c r="BV719" s="68"/>
      <c r="BW719" s="68"/>
      <c r="BX719" s="68"/>
      <c r="BY719" s="68"/>
      <c r="BZ719" s="68"/>
      <c r="CA719" s="68"/>
      <c r="CB719" s="68"/>
      <c r="CC719" s="68"/>
      <c r="CD719" s="68"/>
      <c r="CE719" s="68"/>
      <c r="CF719" s="68"/>
      <c r="CG719" s="68"/>
      <c r="CH719" s="68"/>
      <c r="CI719" s="68"/>
      <c r="CJ719" s="68"/>
      <c r="CK719" s="68"/>
      <c r="CL719" s="68"/>
      <c r="CM719" s="68"/>
      <c r="CN719" s="68"/>
      <c r="CO719" s="68"/>
      <c r="CP719" s="68"/>
      <c r="CQ719" s="68"/>
      <c r="CR719" s="68"/>
      <c r="CS719" s="68"/>
      <c r="CT719" s="68"/>
      <c r="CU719" s="68"/>
      <c r="CV719" s="68"/>
      <c r="CW719" s="68"/>
      <c r="CX719" s="68"/>
    </row>
    <row r="720" spans="1:102" s="71" customFormat="1" hidden="1">
      <c r="A720" s="109"/>
      <c r="B720" s="109"/>
      <c r="C720" s="109"/>
      <c r="D720" s="115"/>
      <c r="E720" s="100"/>
      <c r="F720" s="100"/>
      <c r="G720" s="111"/>
      <c r="H720" s="105"/>
      <c r="I720" s="111"/>
      <c r="J720" s="111"/>
      <c r="K720" s="112"/>
      <c r="L720" s="113"/>
      <c r="M720" s="114"/>
      <c r="N720" s="100"/>
      <c r="O720" s="114"/>
      <c r="P720" s="65"/>
      <c r="Q720" s="103"/>
      <c r="R720" s="103"/>
      <c r="S720" s="103"/>
      <c r="T720" s="103"/>
      <c r="U720" s="68"/>
      <c r="V720" s="69"/>
      <c r="W720" s="68"/>
      <c r="X720" s="68"/>
      <c r="Y720" s="68"/>
      <c r="Z720" s="68"/>
      <c r="AA720" s="68"/>
      <c r="AB720" s="68"/>
      <c r="AC720" s="68"/>
      <c r="AD720" s="68"/>
      <c r="AE720" s="68"/>
      <c r="AF720" s="68"/>
      <c r="AG720" s="68"/>
      <c r="AH720" s="68"/>
      <c r="AI720" s="68"/>
      <c r="AJ720" s="68"/>
      <c r="AK720" s="68"/>
      <c r="AL720" s="68"/>
      <c r="AM720" s="68"/>
      <c r="AN720" s="68"/>
      <c r="AO720" s="68"/>
      <c r="AP720" s="68"/>
      <c r="AQ720" s="68"/>
      <c r="AR720" s="68"/>
      <c r="AS720" s="68"/>
      <c r="AT720" s="68"/>
      <c r="AU720" s="68"/>
      <c r="AV720" s="68"/>
      <c r="AW720" s="68"/>
      <c r="AX720" s="68"/>
      <c r="AY720" s="68"/>
      <c r="AZ720" s="68"/>
      <c r="BA720" s="68"/>
      <c r="BB720" s="68"/>
      <c r="BC720" s="68"/>
      <c r="BD720" s="68"/>
      <c r="BE720" s="68"/>
      <c r="BF720" s="68"/>
      <c r="BG720" s="68"/>
      <c r="BH720" s="68"/>
      <c r="BI720" s="68"/>
      <c r="BJ720" s="68"/>
      <c r="BK720" s="68"/>
      <c r="BL720" s="68"/>
      <c r="BM720" s="68"/>
      <c r="BN720" s="68"/>
      <c r="BO720" s="68"/>
      <c r="BP720" s="68"/>
      <c r="BQ720" s="68"/>
      <c r="BR720" s="68"/>
      <c r="BS720" s="68"/>
      <c r="BT720" s="68"/>
      <c r="BU720" s="68"/>
      <c r="BV720" s="68"/>
      <c r="BW720" s="68"/>
      <c r="BX720" s="68"/>
      <c r="BY720" s="68"/>
      <c r="BZ720" s="68"/>
      <c r="CA720" s="68"/>
      <c r="CB720" s="68"/>
      <c r="CC720" s="68"/>
      <c r="CD720" s="68"/>
      <c r="CE720" s="68"/>
      <c r="CF720" s="68"/>
      <c r="CG720" s="68"/>
      <c r="CH720" s="68"/>
      <c r="CI720" s="68"/>
      <c r="CJ720" s="68"/>
      <c r="CK720" s="68"/>
      <c r="CL720" s="68"/>
      <c r="CM720" s="68"/>
      <c r="CN720" s="68"/>
      <c r="CO720" s="68"/>
      <c r="CP720" s="68"/>
      <c r="CQ720" s="68"/>
      <c r="CR720" s="68"/>
      <c r="CS720" s="68"/>
      <c r="CT720" s="68"/>
      <c r="CU720" s="68"/>
      <c r="CV720" s="68"/>
      <c r="CW720" s="68"/>
      <c r="CX720" s="68"/>
    </row>
    <row r="721" spans="1:102" s="71" customFormat="1" hidden="1">
      <c r="A721" s="109"/>
      <c r="B721" s="109"/>
      <c r="C721" s="109"/>
      <c r="D721" s="115"/>
      <c r="E721" s="100"/>
      <c r="F721" s="100"/>
      <c r="G721" s="111"/>
      <c r="H721" s="105"/>
      <c r="I721" s="111"/>
      <c r="J721" s="111"/>
      <c r="K721" s="112"/>
      <c r="L721" s="113"/>
      <c r="M721" s="114"/>
      <c r="N721" s="100"/>
      <c r="O721" s="114"/>
      <c r="P721" s="65"/>
      <c r="Q721" s="103"/>
      <c r="R721" s="103"/>
      <c r="S721" s="103"/>
      <c r="T721" s="103"/>
      <c r="U721" s="68"/>
      <c r="V721" s="69"/>
      <c r="W721" s="68"/>
      <c r="X721" s="68"/>
      <c r="Y721" s="68"/>
      <c r="Z721" s="68"/>
      <c r="AA721" s="68"/>
      <c r="AB721" s="68"/>
      <c r="AC721" s="68"/>
      <c r="AD721" s="68"/>
      <c r="AE721" s="68"/>
      <c r="AF721" s="68"/>
      <c r="AG721" s="68"/>
      <c r="AH721" s="68"/>
      <c r="AI721" s="68"/>
      <c r="AJ721" s="68"/>
      <c r="AK721" s="68"/>
      <c r="AL721" s="68"/>
      <c r="AM721" s="68"/>
      <c r="AN721" s="68"/>
      <c r="AO721" s="68"/>
      <c r="AP721" s="68"/>
      <c r="AQ721" s="68"/>
      <c r="AR721" s="68"/>
      <c r="AS721" s="68"/>
      <c r="AT721" s="68"/>
      <c r="AU721" s="68"/>
      <c r="AV721" s="68"/>
      <c r="AW721" s="68"/>
      <c r="AX721" s="68"/>
      <c r="AY721" s="68"/>
      <c r="AZ721" s="68"/>
      <c r="BA721" s="68"/>
      <c r="BB721" s="68"/>
      <c r="BC721" s="68"/>
      <c r="BD721" s="68"/>
      <c r="BE721" s="68"/>
      <c r="BF721" s="68"/>
      <c r="BG721" s="68"/>
      <c r="BH721" s="68"/>
      <c r="BI721" s="68"/>
      <c r="BJ721" s="68"/>
      <c r="BK721" s="68"/>
      <c r="BL721" s="68"/>
      <c r="BM721" s="68"/>
      <c r="BN721" s="68"/>
      <c r="BO721" s="68"/>
      <c r="BP721" s="68"/>
      <c r="BQ721" s="68"/>
      <c r="BR721" s="68"/>
      <c r="BS721" s="68"/>
      <c r="BT721" s="68"/>
      <c r="BU721" s="68"/>
      <c r="BV721" s="68"/>
      <c r="BW721" s="68"/>
      <c r="BX721" s="68"/>
      <c r="BY721" s="68"/>
      <c r="BZ721" s="68"/>
      <c r="CA721" s="68"/>
      <c r="CB721" s="68"/>
      <c r="CC721" s="68"/>
      <c r="CD721" s="68"/>
      <c r="CE721" s="68"/>
      <c r="CF721" s="68"/>
      <c r="CG721" s="68"/>
      <c r="CH721" s="68"/>
      <c r="CI721" s="68"/>
      <c r="CJ721" s="68"/>
      <c r="CK721" s="68"/>
      <c r="CL721" s="68"/>
      <c r="CM721" s="68"/>
      <c r="CN721" s="68"/>
      <c r="CO721" s="68"/>
      <c r="CP721" s="68"/>
      <c r="CQ721" s="68"/>
      <c r="CR721" s="68"/>
      <c r="CS721" s="68"/>
      <c r="CT721" s="68"/>
      <c r="CU721" s="68"/>
      <c r="CV721" s="68"/>
      <c r="CW721" s="68"/>
      <c r="CX721" s="68"/>
    </row>
    <row r="722" spans="1:102" s="71" customFormat="1" hidden="1">
      <c r="A722" s="109"/>
      <c r="B722" s="109"/>
      <c r="C722" s="109"/>
      <c r="D722" s="115"/>
      <c r="E722" s="100"/>
      <c r="F722" s="100"/>
      <c r="G722" s="111"/>
      <c r="H722" s="105"/>
      <c r="I722" s="111"/>
      <c r="J722" s="111"/>
      <c r="K722" s="112"/>
      <c r="L722" s="113"/>
      <c r="M722" s="114"/>
      <c r="N722" s="100"/>
      <c r="O722" s="114"/>
      <c r="P722" s="65"/>
      <c r="Q722" s="103"/>
      <c r="R722" s="103"/>
      <c r="S722" s="103"/>
      <c r="T722" s="103"/>
      <c r="U722" s="68"/>
      <c r="V722" s="69"/>
      <c r="W722" s="68"/>
      <c r="X722" s="68"/>
      <c r="Y722" s="68"/>
      <c r="Z722" s="68"/>
      <c r="AA722" s="68"/>
      <c r="AB722" s="68"/>
      <c r="AC722" s="68"/>
      <c r="AD722" s="68"/>
      <c r="AE722" s="68"/>
      <c r="AF722" s="68"/>
      <c r="AG722" s="68"/>
      <c r="AH722" s="68"/>
      <c r="AI722" s="68"/>
      <c r="AJ722" s="68"/>
      <c r="AK722" s="68"/>
      <c r="AL722" s="68"/>
      <c r="AM722" s="68"/>
      <c r="AN722" s="68"/>
      <c r="AO722" s="68"/>
      <c r="AP722" s="68"/>
      <c r="AQ722" s="68"/>
      <c r="AR722" s="68"/>
      <c r="AS722" s="68"/>
      <c r="AT722" s="68"/>
      <c r="AU722" s="68"/>
      <c r="AV722" s="68"/>
      <c r="AW722" s="68"/>
      <c r="AX722" s="68"/>
      <c r="AY722" s="68"/>
      <c r="AZ722" s="68"/>
      <c r="BA722" s="68"/>
      <c r="BB722" s="68"/>
      <c r="BC722" s="68"/>
      <c r="BD722" s="68"/>
      <c r="BE722" s="68"/>
      <c r="BF722" s="68"/>
      <c r="BG722" s="68"/>
      <c r="BH722" s="68"/>
      <c r="BI722" s="68"/>
      <c r="BJ722" s="68"/>
      <c r="BK722" s="68"/>
      <c r="BL722" s="68"/>
      <c r="BM722" s="68"/>
      <c r="BN722" s="68"/>
      <c r="BO722" s="68"/>
      <c r="BP722" s="68"/>
      <c r="BQ722" s="68"/>
      <c r="BR722" s="68"/>
      <c r="BS722" s="68"/>
      <c r="BT722" s="68"/>
      <c r="BU722" s="68"/>
      <c r="BV722" s="68"/>
      <c r="BW722" s="68"/>
      <c r="BX722" s="68"/>
      <c r="BY722" s="68"/>
      <c r="BZ722" s="68"/>
      <c r="CA722" s="68"/>
      <c r="CB722" s="68"/>
      <c r="CC722" s="68"/>
      <c r="CD722" s="68"/>
      <c r="CE722" s="68"/>
      <c r="CF722" s="68"/>
      <c r="CG722" s="68"/>
      <c r="CH722" s="68"/>
      <c r="CI722" s="68"/>
      <c r="CJ722" s="68"/>
      <c r="CK722" s="68"/>
      <c r="CL722" s="68"/>
      <c r="CM722" s="68"/>
      <c r="CN722" s="68"/>
      <c r="CO722" s="68"/>
      <c r="CP722" s="68"/>
      <c r="CQ722" s="68"/>
      <c r="CR722" s="68"/>
      <c r="CS722" s="68"/>
      <c r="CT722" s="68"/>
      <c r="CU722" s="68"/>
      <c r="CV722" s="68"/>
      <c r="CW722" s="68"/>
      <c r="CX722" s="68"/>
    </row>
    <row r="723" spans="1:102" s="71" customFormat="1" hidden="1">
      <c r="A723" s="109"/>
      <c r="B723" s="109"/>
      <c r="C723" s="109"/>
      <c r="D723" s="115"/>
      <c r="E723" s="100"/>
      <c r="F723" s="100"/>
      <c r="G723" s="111"/>
      <c r="H723" s="105"/>
      <c r="I723" s="111"/>
      <c r="J723" s="111"/>
      <c r="K723" s="112"/>
      <c r="L723" s="113"/>
      <c r="M723" s="114"/>
      <c r="N723" s="100"/>
      <c r="O723" s="114"/>
      <c r="P723" s="65"/>
      <c r="Q723" s="103"/>
      <c r="R723" s="103"/>
      <c r="S723" s="103"/>
      <c r="T723" s="103"/>
      <c r="U723" s="68"/>
      <c r="V723" s="69"/>
      <c r="W723" s="68"/>
      <c r="X723" s="68"/>
      <c r="Y723" s="68"/>
      <c r="Z723" s="68"/>
      <c r="AA723" s="68"/>
      <c r="AB723" s="68"/>
      <c r="AC723" s="68"/>
      <c r="AD723" s="68"/>
      <c r="AE723" s="68"/>
      <c r="AF723" s="68"/>
      <c r="AG723" s="68"/>
      <c r="AH723" s="68"/>
      <c r="AI723" s="68"/>
      <c r="AJ723" s="68"/>
      <c r="AK723" s="68"/>
      <c r="AL723" s="68"/>
      <c r="AM723" s="68"/>
      <c r="AN723" s="68"/>
      <c r="AO723" s="68"/>
      <c r="AP723" s="68"/>
      <c r="AQ723" s="68"/>
      <c r="AR723" s="68"/>
      <c r="AS723" s="68"/>
      <c r="AT723" s="68"/>
      <c r="AU723" s="68"/>
      <c r="AV723" s="68"/>
      <c r="AW723" s="68"/>
      <c r="AX723" s="68"/>
      <c r="AY723" s="68"/>
      <c r="AZ723" s="68"/>
      <c r="BA723" s="68"/>
      <c r="BB723" s="68"/>
      <c r="BC723" s="68"/>
      <c r="BD723" s="68"/>
      <c r="BE723" s="68"/>
      <c r="BF723" s="68"/>
      <c r="BG723" s="68"/>
      <c r="BH723" s="68"/>
      <c r="BI723" s="68"/>
      <c r="BJ723" s="68"/>
      <c r="BK723" s="68"/>
      <c r="BL723" s="68"/>
      <c r="BM723" s="68"/>
      <c r="BN723" s="68"/>
      <c r="BO723" s="68"/>
      <c r="BP723" s="68"/>
      <c r="BQ723" s="68"/>
      <c r="BR723" s="68"/>
      <c r="BS723" s="68"/>
      <c r="BT723" s="68"/>
      <c r="BU723" s="68"/>
      <c r="BV723" s="68"/>
      <c r="BW723" s="68"/>
      <c r="BX723" s="68"/>
      <c r="BY723" s="68"/>
      <c r="BZ723" s="68"/>
      <c r="CA723" s="68"/>
      <c r="CB723" s="68"/>
      <c r="CC723" s="68"/>
      <c r="CD723" s="68"/>
      <c r="CE723" s="68"/>
      <c r="CF723" s="68"/>
      <c r="CG723" s="68"/>
      <c r="CH723" s="68"/>
      <c r="CI723" s="68"/>
      <c r="CJ723" s="68"/>
      <c r="CK723" s="68"/>
      <c r="CL723" s="68"/>
      <c r="CM723" s="68"/>
      <c r="CN723" s="68"/>
      <c r="CO723" s="68"/>
      <c r="CP723" s="68"/>
      <c r="CQ723" s="68"/>
      <c r="CR723" s="68"/>
      <c r="CS723" s="68"/>
      <c r="CT723" s="68"/>
      <c r="CU723" s="68"/>
      <c r="CV723" s="68"/>
      <c r="CW723" s="68"/>
      <c r="CX723" s="68"/>
    </row>
    <row r="724" spans="1:102" s="71" customFormat="1" hidden="1">
      <c r="A724" s="109"/>
      <c r="B724" s="109"/>
      <c r="C724" s="109"/>
      <c r="D724" s="115"/>
      <c r="E724" s="100"/>
      <c r="F724" s="100"/>
      <c r="G724" s="111"/>
      <c r="H724" s="105"/>
      <c r="I724" s="111"/>
      <c r="J724" s="111"/>
      <c r="K724" s="112"/>
      <c r="L724" s="113"/>
      <c r="M724" s="114"/>
      <c r="N724" s="100"/>
      <c r="O724" s="114"/>
      <c r="P724" s="65"/>
      <c r="Q724" s="103"/>
      <c r="R724" s="103"/>
      <c r="S724" s="103"/>
      <c r="T724" s="103"/>
      <c r="U724" s="68"/>
      <c r="V724" s="69"/>
      <c r="W724" s="68"/>
      <c r="X724" s="68"/>
      <c r="Y724" s="68"/>
      <c r="Z724" s="68"/>
      <c r="AA724" s="68"/>
      <c r="AB724" s="68"/>
      <c r="AC724" s="68"/>
      <c r="AD724" s="68"/>
      <c r="AE724" s="68"/>
      <c r="AF724" s="68"/>
      <c r="AG724" s="68"/>
      <c r="AH724" s="68"/>
      <c r="AI724" s="68"/>
      <c r="AJ724" s="68"/>
      <c r="AK724" s="68"/>
      <c r="AL724" s="68"/>
      <c r="AM724" s="68"/>
      <c r="AN724" s="68"/>
      <c r="AO724" s="68"/>
      <c r="AP724" s="68"/>
      <c r="AQ724" s="68"/>
      <c r="AR724" s="68"/>
      <c r="AS724" s="68"/>
      <c r="AT724" s="68"/>
      <c r="AU724" s="68"/>
      <c r="AV724" s="68"/>
      <c r="AW724" s="68"/>
      <c r="AX724" s="68"/>
      <c r="AY724" s="68"/>
      <c r="AZ724" s="68"/>
      <c r="BA724" s="68"/>
      <c r="BB724" s="68"/>
      <c r="BC724" s="68"/>
      <c r="BD724" s="68"/>
      <c r="BE724" s="68"/>
      <c r="BF724" s="68"/>
      <c r="BG724" s="68"/>
      <c r="BH724" s="68"/>
      <c r="BI724" s="68"/>
      <c r="BJ724" s="68"/>
      <c r="BK724" s="68"/>
      <c r="BL724" s="68"/>
      <c r="BM724" s="68"/>
      <c r="BN724" s="68"/>
      <c r="BO724" s="68"/>
      <c r="BP724" s="68"/>
      <c r="BQ724" s="68"/>
      <c r="BR724" s="68"/>
      <c r="BS724" s="68"/>
      <c r="BT724" s="68"/>
      <c r="BU724" s="68"/>
      <c r="BV724" s="68"/>
      <c r="BW724" s="68"/>
      <c r="BX724" s="68"/>
      <c r="BY724" s="68"/>
      <c r="BZ724" s="68"/>
      <c r="CA724" s="68"/>
      <c r="CB724" s="68"/>
      <c r="CC724" s="68"/>
      <c r="CD724" s="68"/>
      <c r="CE724" s="68"/>
      <c r="CF724" s="68"/>
      <c r="CG724" s="68"/>
      <c r="CH724" s="68"/>
      <c r="CI724" s="68"/>
      <c r="CJ724" s="68"/>
      <c r="CK724" s="68"/>
      <c r="CL724" s="68"/>
      <c r="CM724" s="68"/>
      <c r="CN724" s="68"/>
      <c r="CO724" s="68"/>
      <c r="CP724" s="68"/>
      <c r="CQ724" s="68"/>
      <c r="CR724" s="68"/>
      <c r="CS724" s="68"/>
      <c r="CT724" s="68"/>
      <c r="CU724" s="68"/>
      <c r="CV724" s="68"/>
      <c r="CW724" s="68"/>
      <c r="CX724" s="68"/>
    </row>
    <row r="725" spans="1:102" s="71" customFormat="1" hidden="1">
      <c r="A725" s="109"/>
      <c r="B725" s="109"/>
      <c r="C725" s="109"/>
      <c r="D725" s="115"/>
      <c r="E725" s="100"/>
      <c r="F725" s="100"/>
      <c r="G725" s="111"/>
      <c r="H725" s="105"/>
      <c r="I725" s="111"/>
      <c r="J725" s="111"/>
      <c r="K725" s="112"/>
      <c r="L725" s="113"/>
      <c r="M725" s="114"/>
      <c r="N725" s="100"/>
      <c r="O725" s="114"/>
      <c r="P725" s="65"/>
      <c r="Q725" s="103"/>
      <c r="R725" s="103"/>
      <c r="S725" s="103"/>
      <c r="T725" s="103"/>
      <c r="U725" s="68"/>
      <c r="V725" s="69"/>
      <c r="W725" s="68"/>
      <c r="X725" s="68"/>
      <c r="Y725" s="68"/>
      <c r="Z725" s="68"/>
      <c r="AA725" s="68"/>
      <c r="AB725" s="68"/>
      <c r="AC725" s="68"/>
      <c r="AD725" s="68"/>
      <c r="AE725" s="68"/>
      <c r="AF725" s="68"/>
      <c r="AG725" s="68"/>
      <c r="AH725" s="68"/>
      <c r="AI725" s="68"/>
      <c r="AJ725" s="68"/>
      <c r="AK725" s="68"/>
      <c r="AL725" s="68"/>
      <c r="AM725" s="68"/>
      <c r="AN725" s="68"/>
      <c r="AO725" s="68"/>
      <c r="AP725" s="68"/>
      <c r="AQ725" s="68"/>
      <c r="AR725" s="68"/>
      <c r="AS725" s="68"/>
      <c r="AT725" s="68"/>
      <c r="AU725" s="68"/>
      <c r="AV725" s="68"/>
      <c r="AW725" s="68"/>
      <c r="AX725" s="68"/>
      <c r="AY725" s="68"/>
      <c r="AZ725" s="68"/>
      <c r="BA725" s="68"/>
      <c r="BB725" s="68"/>
      <c r="BC725" s="68"/>
      <c r="BD725" s="68"/>
      <c r="BE725" s="68"/>
      <c r="BF725" s="68"/>
      <c r="BG725" s="68"/>
      <c r="BH725" s="68"/>
      <c r="BI725" s="68"/>
      <c r="BJ725" s="68"/>
      <c r="BK725" s="68"/>
      <c r="BL725" s="68"/>
      <c r="BM725" s="68"/>
      <c r="BN725" s="68"/>
      <c r="BO725" s="68"/>
      <c r="BP725" s="68"/>
      <c r="BQ725" s="68"/>
      <c r="BR725" s="68"/>
      <c r="BS725" s="68"/>
      <c r="BT725" s="68"/>
      <c r="BU725" s="68"/>
      <c r="BV725" s="68"/>
      <c r="BW725" s="68"/>
      <c r="BX725" s="68"/>
      <c r="BY725" s="68"/>
      <c r="BZ725" s="68"/>
      <c r="CA725" s="68"/>
      <c r="CB725" s="68"/>
      <c r="CC725" s="68"/>
      <c r="CD725" s="68"/>
      <c r="CE725" s="68"/>
      <c r="CF725" s="68"/>
      <c r="CG725" s="68"/>
      <c r="CH725" s="68"/>
      <c r="CI725" s="68"/>
      <c r="CJ725" s="68"/>
      <c r="CK725" s="68"/>
      <c r="CL725" s="68"/>
      <c r="CM725" s="68"/>
      <c r="CN725" s="68"/>
      <c r="CO725" s="68"/>
      <c r="CP725" s="68"/>
      <c r="CQ725" s="68"/>
      <c r="CR725" s="68"/>
      <c r="CS725" s="68"/>
      <c r="CT725" s="68"/>
      <c r="CU725" s="68"/>
      <c r="CV725" s="68"/>
      <c r="CW725" s="68"/>
      <c r="CX725" s="68"/>
    </row>
    <row r="726" spans="1:102" s="71" customFormat="1" hidden="1">
      <c r="A726" s="109"/>
      <c r="B726" s="109"/>
      <c r="C726" s="109"/>
      <c r="D726" s="115"/>
      <c r="E726" s="100"/>
      <c r="F726" s="100"/>
      <c r="G726" s="111"/>
      <c r="H726" s="105"/>
      <c r="I726" s="111"/>
      <c r="J726" s="111"/>
      <c r="K726" s="112"/>
      <c r="L726" s="113"/>
      <c r="M726" s="114"/>
      <c r="N726" s="100"/>
      <c r="O726" s="114"/>
      <c r="P726" s="65"/>
      <c r="Q726" s="103"/>
      <c r="R726" s="103"/>
      <c r="S726" s="103"/>
      <c r="T726" s="103"/>
      <c r="U726" s="68"/>
      <c r="V726" s="69"/>
      <c r="W726" s="68"/>
      <c r="X726" s="68"/>
      <c r="Y726" s="68"/>
      <c r="Z726" s="68"/>
      <c r="AA726" s="68"/>
      <c r="AB726" s="68"/>
      <c r="AC726" s="68"/>
      <c r="AD726" s="68"/>
      <c r="AE726" s="68"/>
      <c r="AF726" s="68"/>
      <c r="AG726" s="68"/>
      <c r="AH726" s="68"/>
      <c r="AI726" s="68"/>
      <c r="AJ726" s="68"/>
      <c r="AK726" s="68"/>
      <c r="AL726" s="68"/>
      <c r="AM726" s="68"/>
      <c r="AN726" s="68"/>
      <c r="AO726" s="68"/>
      <c r="AP726" s="68"/>
      <c r="AQ726" s="68"/>
      <c r="AR726" s="68"/>
      <c r="AS726" s="68"/>
      <c r="AT726" s="68"/>
      <c r="AU726" s="68"/>
      <c r="AV726" s="68"/>
      <c r="AW726" s="68"/>
      <c r="AX726" s="68"/>
      <c r="AY726" s="68"/>
      <c r="AZ726" s="68"/>
      <c r="BA726" s="68"/>
      <c r="BB726" s="68"/>
      <c r="BC726" s="68"/>
      <c r="BD726" s="68"/>
      <c r="BE726" s="68"/>
      <c r="BF726" s="68"/>
      <c r="BG726" s="68"/>
      <c r="BH726" s="68"/>
      <c r="BI726" s="68"/>
      <c r="BJ726" s="68"/>
      <c r="BK726" s="68"/>
      <c r="BL726" s="68"/>
      <c r="BM726" s="68"/>
      <c r="BN726" s="68"/>
      <c r="BO726" s="68"/>
      <c r="BP726" s="68"/>
      <c r="BQ726" s="68"/>
      <c r="BR726" s="68"/>
      <c r="BS726" s="68"/>
      <c r="BT726" s="68"/>
      <c r="BU726" s="68"/>
      <c r="BV726" s="68"/>
      <c r="BW726" s="68"/>
      <c r="BX726" s="68"/>
      <c r="BY726" s="68"/>
      <c r="BZ726" s="68"/>
      <c r="CA726" s="68"/>
      <c r="CB726" s="68"/>
      <c r="CC726" s="68"/>
      <c r="CD726" s="68"/>
      <c r="CE726" s="68"/>
      <c r="CF726" s="68"/>
      <c r="CG726" s="68"/>
      <c r="CH726" s="68"/>
      <c r="CI726" s="68"/>
      <c r="CJ726" s="68"/>
      <c r="CK726" s="68"/>
      <c r="CL726" s="68"/>
      <c r="CM726" s="68"/>
      <c r="CN726" s="68"/>
      <c r="CO726" s="68"/>
      <c r="CP726" s="68"/>
      <c r="CQ726" s="68"/>
      <c r="CR726" s="68"/>
      <c r="CS726" s="68"/>
      <c r="CT726" s="68"/>
      <c r="CU726" s="68"/>
      <c r="CV726" s="68"/>
      <c r="CW726" s="68"/>
      <c r="CX726" s="68"/>
    </row>
    <row r="727" spans="1:102" s="71" customFormat="1" hidden="1">
      <c r="A727" s="109"/>
      <c r="B727" s="109"/>
      <c r="C727" s="109"/>
      <c r="D727" s="115"/>
      <c r="E727" s="100"/>
      <c r="F727" s="100"/>
      <c r="G727" s="111"/>
      <c r="H727" s="105"/>
      <c r="I727" s="111"/>
      <c r="J727" s="111"/>
      <c r="K727" s="112"/>
      <c r="L727" s="113"/>
      <c r="M727" s="114"/>
      <c r="N727" s="100"/>
      <c r="O727" s="114"/>
      <c r="P727" s="65"/>
      <c r="Q727" s="103"/>
      <c r="R727" s="103"/>
      <c r="S727" s="103"/>
      <c r="T727" s="103"/>
      <c r="U727" s="68"/>
      <c r="V727" s="69"/>
      <c r="W727" s="68"/>
      <c r="X727" s="68"/>
      <c r="Y727" s="68"/>
      <c r="Z727" s="68"/>
      <c r="AA727" s="68"/>
      <c r="AB727" s="68"/>
      <c r="AC727" s="68"/>
      <c r="AD727" s="68"/>
      <c r="AE727" s="68"/>
      <c r="AF727" s="68"/>
      <c r="AG727" s="68"/>
      <c r="AH727" s="68"/>
      <c r="AI727" s="68"/>
      <c r="AJ727" s="68"/>
      <c r="AK727" s="68"/>
      <c r="AL727" s="68"/>
      <c r="AM727" s="68"/>
      <c r="AN727" s="68"/>
      <c r="AO727" s="68"/>
      <c r="AP727" s="68"/>
      <c r="AQ727" s="68"/>
      <c r="AR727" s="68"/>
      <c r="AS727" s="68"/>
      <c r="AT727" s="68"/>
      <c r="AU727" s="68"/>
      <c r="AV727" s="68"/>
      <c r="AW727" s="68"/>
      <c r="AX727" s="68"/>
      <c r="AY727" s="68"/>
      <c r="AZ727" s="68"/>
      <c r="BA727" s="68"/>
      <c r="BB727" s="68"/>
      <c r="BC727" s="68"/>
      <c r="BD727" s="68"/>
      <c r="BE727" s="68"/>
      <c r="BF727" s="68"/>
      <c r="BG727" s="68"/>
      <c r="BH727" s="68"/>
      <c r="BI727" s="68"/>
      <c r="BJ727" s="68"/>
      <c r="BK727" s="68"/>
      <c r="BL727" s="68"/>
      <c r="BM727" s="68"/>
      <c r="BN727" s="68"/>
      <c r="BO727" s="68"/>
      <c r="BP727" s="68"/>
      <c r="BQ727" s="68"/>
      <c r="BR727" s="68"/>
      <c r="BS727" s="68"/>
      <c r="BT727" s="68"/>
      <c r="BU727" s="68"/>
      <c r="BV727" s="68"/>
      <c r="BW727" s="68"/>
      <c r="BX727" s="68"/>
      <c r="BY727" s="68"/>
      <c r="BZ727" s="68"/>
      <c r="CA727" s="68"/>
      <c r="CB727" s="68"/>
      <c r="CC727" s="68"/>
      <c r="CD727" s="68"/>
      <c r="CE727" s="68"/>
      <c r="CF727" s="68"/>
      <c r="CG727" s="68"/>
      <c r="CH727" s="68"/>
      <c r="CI727" s="68"/>
      <c r="CJ727" s="68"/>
      <c r="CK727" s="68"/>
      <c r="CL727" s="68"/>
      <c r="CM727" s="68"/>
      <c r="CN727" s="68"/>
      <c r="CO727" s="68"/>
      <c r="CP727" s="68"/>
      <c r="CQ727" s="68"/>
      <c r="CR727" s="68"/>
      <c r="CS727" s="68"/>
      <c r="CT727" s="68"/>
      <c r="CU727" s="68"/>
      <c r="CV727" s="68"/>
      <c r="CW727" s="68"/>
      <c r="CX727" s="68"/>
    </row>
    <row r="728" spans="1:102" s="71" customFormat="1" hidden="1">
      <c r="A728" s="109"/>
      <c r="B728" s="109"/>
      <c r="C728" s="109"/>
      <c r="D728" s="115"/>
      <c r="E728" s="100"/>
      <c r="F728" s="100"/>
      <c r="G728" s="111"/>
      <c r="H728" s="105"/>
      <c r="I728" s="111"/>
      <c r="J728" s="111"/>
      <c r="K728" s="112"/>
      <c r="L728" s="113"/>
      <c r="M728" s="114"/>
      <c r="N728" s="100"/>
      <c r="O728" s="114"/>
      <c r="P728" s="65"/>
      <c r="Q728" s="103"/>
      <c r="R728" s="103"/>
      <c r="S728" s="103"/>
      <c r="T728" s="103"/>
      <c r="U728" s="68"/>
      <c r="V728" s="69"/>
      <c r="W728" s="68"/>
      <c r="X728" s="68"/>
      <c r="Y728" s="68"/>
      <c r="Z728" s="68"/>
      <c r="AA728" s="68"/>
      <c r="AB728" s="68"/>
      <c r="AC728" s="68"/>
      <c r="AD728" s="68"/>
      <c r="AE728" s="68"/>
      <c r="AF728" s="68"/>
      <c r="AG728" s="68"/>
      <c r="AH728" s="68"/>
      <c r="AI728" s="68"/>
      <c r="AJ728" s="68"/>
      <c r="AK728" s="68"/>
      <c r="AL728" s="68"/>
      <c r="AM728" s="68"/>
      <c r="AN728" s="68"/>
      <c r="AO728" s="68"/>
      <c r="AP728" s="68"/>
      <c r="AQ728" s="68"/>
      <c r="AR728" s="68"/>
      <c r="AS728" s="68"/>
      <c r="AT728" s="68"/>
      <c r="AU728" s="68"/>
      <c r="AV728" s="68"/>
      <c r="AW728" s="68"/>
      <c r="AX728" s="68"/>
      <c r="AY728" s="68"/>
      <c r="AZ728" s="68"/>
      <c r="BA728" s="68"/>
      <c r="BB728" s="68"/>
      <c r="BC728" s="68"/>
      <c r="BD728" s="68"/>
      <c r="BE728" s="68"/>
      <c r="BF728" s="68"/>
      <c r="BG728" s="68"/>
      <c r="BH728" s="68"/>
      <c r="BI728" s="68"/>
      <c r="BJ728" s="68"/>
      <c r="BK728" s="68"/>
      <c r="BL728" s="68"/>
      <c r="BM728" s="68"/>
      <c r="BN728" s="68"/>
      <c r="BO728" s="68"/>
      <c r="BP728" s="68"/>
      <c r="BQ728" s="68"/>
      <c r="BR728" s="68"/>
      <c r="BS728" s="68"/>
      <c r="BT728" s="68"/>
      <c r="BU728" s="68"/>
      <c r="BV728" s="68"/>
      <c r="BW728" s="68"/>
      <c r="BX728" s="68"/>
      <c r="BY728" s="68"/>
      <c r="BZ728" s="68"/>
      <c r="CA728" s="68"/>
      <c r="CB728" s="68"/>
      <c r="CC728" s="68"/>
      <c r="CD728" s="68"/>
      <c r="CE728" s="68"/>
      <c r="CF728" s="68"/>
      <c r="CG728" s="68"/>
      <c r="CH728" s="68"/>
      <c r="CI728" s="68"/>
      <c r="CJ728" s="68"/>
      <c r="CK728" s="68"/>
      <c r="CL728" s="68"/>
      <c r="CM728" s="68"/>
      <c r="CN728" s="68"/>
      <c r="CO728" s="68"/>
      <c r="CP728" s="68"/>
      <c r="CQ728" s="68"/>
      <c r="CR728" s="68"/>
      <c r="CS728" s="68"/>
      <c r="CT728" s="68"/>
      <c r="CU728" s="68"/>
      <c r="CV728" s="68"/>
      <c r="CW728" s="68"/>
      <c r="CX728" s="68"/>
    </row>
    <row r="729" spans="1:102" s="71" customFormat="1" hidden="1">
      <c r="A729" s="109"/>
      <c r="B729" s="109"/>
      <c r="C729" s="109"/>
      <c r="D729" s="115"/>
      <c r="E729" s="100"/>
      <c r="F729" s="100"/>
      <c r="G729" s="111"/>
      <c r="H729" s="105"/>
      <c r="I729" s="111"/>
      <c r="J729" s="111"/>
      <c r="K729" s="112"/>
      <c r="L729" s="113"/>
      <c r="M729" s="114"/>
      <c r="N729" s="100"/>
      <c r="O729" s="114"/>
      <c r="P729" s="65"/>
      <c r="Q729" s="103"/>
      <c r="R729" s="103"/>
      <c r="S729" s="103"/>
      <c r="T729" s="103"/>
      <c r="U729" s="68"/>
      <c r="V729" s="69"/>
      <c r="W729" s="68"/>
      <c r="X729" s="68"/>
      <c r="Y729" s="68"/>
      <c r="Z729" s="68"/>
      <c r="AA729" s="68"/>
      <c r="AB729" s="68"/>
      <c r="AC729" s="68"/>
      <c r="AD729" s="68"/>
      <c r="AE729" s="68"/>
      <c r="AF729" s="68"/>
      <c r="AG729" s="68"/>
      <c r="AH729" s="68"/>
      <c r="AI729" s="68"/>
      <c r="AJ729" s="68"/>
      <c r="AK729" s="68"/>
      <c r="AL729" s="68"/>
      <c r="AM729" s="68"/>
      <c r="AN729" s="68"/>
      <c r="AO729" s="68"/>
      <c r="AP729" s="68"/>
      <c r="AQ729" s="68"/>
      <c r="AR729" s="68"/>
      <c r="AS729" s="68"/>
      <c r="AT729" s="68"/>
      <c r="AU729" s="68"/>
      <c r="AV729" s="68"/>
      <c r="AW729" s="68"/>
      <c r="AX729" s="68"/>
      <c r="AY729" s="68"/>
      <c r="AZ729" s="68"/>
      <c r="BA729" s="68"/>
      <c r="BB729" s="68"/>
      <c r="BC729" s="68"/>
      <c r="BD729" s="68"/>
      <c r="BE729" s="68"/>
      <c r="BF729" s="68"/>
      <c r="BG729" s="68"/>
      <c r="BH729" s="68"/>
      <c r="BI729" s="68"/>
      <c r="BJ729" s="68"/>
      <c r="BK729" s="68"/>
      <c r="BL729" s="68"/>
      <c r="BM729" s="68"/>
      <c r="BN729" s="68"/>
      <c r="BO729" s="68"/>
      <c r="BP729" s="68"/>
      <c r="BQ729" s="68"/>
      <c r="BR729" s="68"/>
      <c r="BS729" s="68"/>
      <c r="BT729" s="68"/>
      <c r="BU729" s="68"/>
      <c r="BV729" s="68"/>
      <c r="BW729" s="68"/>
      <c r="BX729" s="68"/>
      <c r="BY729" s="68"/>
      <c r="BZ729" s="68"/>
      <c r="CA729" s="68"/>
      <c r="CB729" s="68"/>
      <c r="CC729" s="68"/>
      <c r="CD729" s="68"/>
      <c r="CE729" s="68"/>
      <c r="CF729" s="68"/>
      <c r="CG729" s="68"/>
      <c r="CH729" s="68"/>
      <c r="CI729" s="68"/>
      <c r="CJ729" s="68"/>
      <c r="CK729" s="68"/>
      <c r="CL729" s="68"/>
      <c r="CM729" s="68"/>
      <c r="CN729" s="68"/>
      <c r="CO729" s="68"/>
      <c r="CP729" s="68"/>
      <c r="CQ729" s="68"/>
      <c r="CR729" s="68"/>
      <c r="CS729" s="68"/>
      <c r="CT729" s="68"/>
      <c r="CU729" s="68"/>
      <c r="CV729" s="68"/>
      <c r="CW729" s="68"/>
      <c r="CX729" s="68"/>
    </row>
    <row r="730" spans="1:102" s="71" customFormat="1" hidden="1">
      <c r="A730" s="109"/>
      <c r="B730" s="109"/>
      <c r="C730" s="109"/>
      <c r="D730" s="115"/>
      <c r="E730" s="100"/>
      <c r="F730" s="100"/>
      <c r="G730" s="111"/>
      <c r="H730" s="105"/>
      <c r="I730" s="111"/>
      <c r="J730" s="111"/>
      <c r="K730" s="112"/>
      <c r="L730" s="113"/>
      <c r="M730" s="114"/>
      <c r="N730" s="100"/>
      <c r="O730" s="114"/>
      <c r="P730" s="65"/>
      <c r="Q730" s="103"/>
      <c r="R730" s="103"/>
      <c r="S730" s="103"/>
      <c r="T730" s="103"/>
      <c r="U730" s="68"/>
      <c r="V730" s="69"/>
      <c r="W730" s="68"/>
      <c r="X730" s="68"/>
      <c r="Y730" s="68"/>
      <c r="Z730" s="68"/>
      <c r="AA730" s="68"/>
      <c r="AB730" s="68"/>
      <c r="AC730" s="68"/>
      <c r="AD730" s="68"/>
      <c r="AE730" s="68"/>
      <c r="AF730" s="68"/>
      <c r="AG730" s="68"/>
      <c r="AH730" s="68"/>
      <c r="AI730" s="68"/>
      <c r="AJ730" s="68"/>
      <c r="AK730" s="68"/>
      <c r="AL730" s="68"/>
      <c r="AM730" s="68"/>
      <c r="AN730" s="68"/>
      <c r="AO730" s="68"/>
      <c r="AP730" s="68"/>
      <c r="AQ730" s="68"/>
      <c r="AR730" s="68"/>
      <c r="AS730" s="68"/>
      <c r="AT730" s="68"/>
      <c r="AU730" s="68"/>
      <c r="AV730" s="68"/>
      <c r="AW730" s="68"/>
      <c r="AX730" s="68"/>
      <c r="AY730" s="68"/>
      <c r="AZ730" s="68"/>
      <c r="BA730" s="68"/>
      <c r="BB730" s="68"/>
      <c r="BC730" s="68"/>
      <c r="BD730" s="68"/>
      <c r="BE730" s="68"/>
      <c r="BF730" s="68"/>
      <c r="BG730" s="68"/>
      <c r="BH730" s="68"/>
      <c r="BI730" s="68"/>
      <c r="BJ730" s="68"/>
      <c r="BK730" s="68"/>
      <c r="BL730" s="68"/>
      <c r="BM730" s="68"/>
      <c r="BN730" s="68"/>
      <c r="BO730" s="68"/>
      <c r="BP730" s="68"/>
      <c r="BQ730" s="68"/>
      <c r="BR730" s="68"/>
      <c r="BS730" s="68"/>
      <c r="BT730" s="68"/>
      <c r="BU730" s="68"/>
      <c r="BV730" s="68"/>
      <c r="BW730" s="68"/>
      <c r="BX730" s="68"/>
      <c r="BY730" s="68"/>
      <c r="BZ730" s="68"/>
      <c r="CA730" s="68"/>
      <c r="CB730" s="68"/>
      <c r="CC730" s="68"/>
      <c r="CD730" s="68"/>
      <c r="CE730" s="68"/>
      <c r="CF730" s="68"/>
      <c r="CG730" s="68"/>
      <c r="CH730" s="68"/>
      <c r="CI730" s="68"/>
      <c r="CJ730" s="68"/>
      <c r="CK730" s="68"/>
      <c r="CL730" s="68"/>
      <c r="CM730" s="68"/>
      <c r="CN730" s="68"/>
      <c r="CO730" s="68"/>
      <c r="CP730" s="68"/>
      <c r="CQ730" s="68"/>
      <c r="CR730" s="68"/>
      <c r="CS730" s="68"/>
      <c r="CT730" s="68"/>
      <c r="CU730" s="68"/>
      <c r="CV730" s="68"/>
      <c r="CW730" s="68"/>
      <c r="CX730" s="68"/>
    </row>
    <row r="731" spans="1:102" s="71" customFormat="1" hidden="1">
      <c r="A731" s="109"/>
      <c r="B731" s="109"/>
      <c r="C731" s="109"/>
      <c r="D731" s="115"/>
      <c r="E731" s="100"/>
      <c r="F731" s="100"/>
      <c r="G731" s="111"/>
      <c r="H731" s="105"/>
      <c r="I731" s="111"/>
      <c r="J731" s="111"/>
      <c r="K731" s="112"/>
      <c r="L731" s="113"/>
      <c r="M731" s="114"/>
      <c r="N731" s="100"/>
      <c r="O731" s="114"/>
      <c r="P731" s="65"/>
      <c r="Q731" s="103"/>
      <c r="R731" s="103"/>
      <c r="S731" s="103"/>
      <c r="T731" s="103"/>
      <c r="U731" s="68"/>
      <c r="V731" s="69"/>
      <c r="W731" s="68"/>
      <c r="X731" s="68"/>
      <c r="Y731" s="68"/>
      <c r="Z731" s="68"/>
      <c r="AA731" s="68"/>
      <c r="AB731" s="68"/>
      <c r="AC731" s="68"/>
      <c r="AD731" s="68"/>
      <c r="AE731" s="68"/>
      <c r="AF731" s="68"/>
      <c r="AG731" s="68"/>
      <c r="AH731" s="68"/>
      <c r="AI731" s="68"/>
      <c r="AJ731" s="68"/>
      <c r="AK731" s="68"/>
      <c r="AL731" s="68"/>
      <c r="AM731" s="68"/>
      <c r="AN731" s="68"/>
      <c r="AO731" s="68"/>
      <c r="AP731" s="68"/>
      <c r="AQ731" s="68"/>
      <c r="AR731" s="68"/>
      <c r="AS731" s="68"/>
      <c r="AT731" s="68"/>
      <c r="AU731" s="68"/>
      <c r="AV731" s="68"/>
      <c r="AW731" s="68"/>
      <c r="AX731" s="68"/>
      <c r="AY731" s="68"/>
      <c r="AZ731" s="68"/>
      <c r="BA731" s="68"/>
      <c r="BB731" s="68"/>
      <c r="BC731" s="68"/>
      <c r="BD731" s="68"/>
      <c r="BE731" s="68"/>
      <c r="BF731" s="68"/>
      <c r="BG731" s="68"/>
      <c r="BH731" s="68"/>
      <c r="BI731" s="68"/>
      <c r="BJ731" s="68"/>
      <c r="BK731" s="68"/>
      <c r="BL731" s="68"/>
      <c r="BM731" s="68"/>
      <c r="BN731" s="68"/>
      <c r="BO731" s="68"/>
      <c r="BP731" s="68"/>
      <c r="BQ731" s="68"/>
      <c r="BR731" s="68"/>
      <c r="BS731" s="68"/>
      <c r="BT731" s="68"/>
      <c r="BU731" s="68"/>
      <c r="BV731" s="68"/>
      <c r="BW731" s="68"/>
      <c r="BX731" s="68"/>
      <c r="BY731" s="68"/>
      <c r="BZ731" s="68"/>
      <c r="CA731" s="68"/>
      <c r="CB731" s="68"/>
      <c r="CC731" s="68"/>
      <c r="CD731" s="68"/>
      <c r="CE731" s="68"/>
      <c r="CF731" s="68"/>
      <c r="CG731" s="68"/>
      <c r="CH731" s="68"/>
      <c r="CI731" s="68"/>
      <c r="CJ731" s="68"/>
      <c r="CK731" s="68"/>
      <c r="CL731" s="68"/>
      <c r="CM731" s="68"/>
      <c r="CN731" s="68"/>
      <c r="CO731" s="68"/>
      <c r="CP731" s="68"/>
      <c r="CQ731" s="68"/>
      <c r="CR731" s="68"/>
      <c r="CS731" s="68"/>
      <c r="CT731" s="68"/>
      <c r="CU731" s="68"/>
      <c r="CV731" s="68"/>
      <c r="CW731" s="68"/>
      <c r="CX731" s="68"/>
    </row>
    <row r="732" spans="1:102" s="71" customFormat="1" hidden="1">
      <c r="A732" s="109"/>
      <c r="B732" s="109"/>
      <c r="C732" s="109"/>
      <c r="D732" s="115"/>
      <c r="E732" s="100"/>
      <c r="F732" s="100"/>
      <c r="G732" s="111"/>
      <c r="H732" s="105"/>
      <c r="I732" s="111"/>
      <c r="J732" s="111"/>
      <c r="K732" s="112"/>
      <c r="L732" s="113"/>
      <c r="M732" s="114"/>
      <c r="N732" s="100"/>
      <c r="O732" s="114"/>
      <c r="P732" s="65"/>
      <c r="Q732" s="103"/>
      <c r="R732" s="103"/>
      <c r="S732" s="103"/>
      <c r="T732" s="103"/>
      <c r="U732" s="68"/>
      <c r="V732" s="69"/>
      <c r="W732" s="68"/>
      <c r="X732" s="68"/>
      <c r="Y732" s="68"/>
      <c r="Z732" s="68"/>
      <c r="AA732" s="68"/>
      <c r="AB732" s="68"/>
      <c r="AC732" s="68"/>
      <c r="AD732" s="68"/>
      <c r="AE732" s="68"/>
      <c r="AF732" s="68"/>
      <c r="AG732" s="68"/>
      <c r="AH732" s="68"/>
      <c r="AI732" s="68"/>
      <c r="AJ732" s="68"/>
      <c r="AK732" s="68"/>
      <c r="AL732" s="68"/>
      <c r="AM732" s="68"/>
      <c r="AN732" s="68"/>
      <c r="AO732" s="68"/>
      <c r="AP732" s="68"/>
      <c r="AQ732" s="68"/>
      <c r="AR732" s="68"/>
      <c r="AS732" s="68"/>
      <c r="AT732" s="68"/>
      <c r="AU732" s="68"/>
      <c r="AV732" s="68"/>
      <c r="AW732" s="68"/>
      <c r="AX732" s="68"/>
      <c r="AY732" s="68"/>
      <c r="AZ732" s="68"/>
      <c r="BA732" s="68"/>
      <c r="BB732" s="68"/>
      <c r="BC732" s="68"/>
      <c r="BD732" s="68"/>
      <c r="BE732" s="68"/>
      <c r="BF732" s="68"/>
      <c r="BG732" s="68"/>
      <c r="BH732" s="68"/>
      <c r="BI732" s="68"/>
      <c r="BJ732" s="68"/>
      <c r="BK732" s="68"/>
      <c r="BL732" s="68"/>
      <c r="BM732" s="68"/>
      <c r="BN732" s="68"/>
      <c r="BO732" s="68"/>
      <c r="BP732" s="68"/>
      <c r="BQ732" s="68"/>
      <c r="BR732" s="68"/>
      <c r="BS732" s="68"/>
      <c r="BT732" s="68"/>
      <c r="BU732" s="68"/>
      <c r="BV732" s="68"/>
      <c r="BW732" s="68"/>
      <c r="BX732" s="68"/>
      <c r="BY732" s="68"/>
      <c r="BZ732" s="68"/>
      <c r="CA732" s="68"/>
      <c r="CB732" s="68"/>
      <c r="CC732" s="68"/>
      <c r="CD732" s="68"/>
      <c r="CE732" s="68"/>
      <c r="CF732" s="68"/>
      <c r="CG732" s="68"/>
      <c r="CH732" s="68"/>
      <c r="CI732" s="68"/>
      <c r="CJ732" s="68"/>
      <c r="CK732" s="68"/>
      <c r="CL732" s="68"/>
      <c r="CM732" s="68"/>
      <c r="CN732" s="68"/>
      <c r="CO732" s="68"/>
      <c r="CP732" s="68"/>
      <c r="CQ732" s="68"/>
      <c r="CR732" s="68"/>
      <c r="CS732" s="68"/>
      <c r="CT732" s="68"/>
      <c r="CU732" s="68"/>
      <c r="CV732" s="68"/>
      <c r="CW732" s="68"/>
      <c r="CX732" s="68"/>
    </row>
    <row r="733" spans="1:102" s="71" customFormat="1" hidden="1">
      <c r="A733" s="109"/>
      <c r="B733" s="109"/>
      <c r="C733" s="109"/>
      <c r="D733" s="115"/>
      <c r="E733" s="100"/>
      <c r="F733" s="100"/>
      <c r="G733" s="111"/>
      <c r="H733" s="105"/>
      <c r="I733" s="111"/>
      <c r="J733" s="111"/>
      <c r="K733" s="112"/>
      <c r="L733" s="113"/>
      <c r="M733" s="114"/>
      <c r="N733" s="100"/>
      <c r="O733" s="114"/>
      <c r="P733" s="65"/>
      <c r="Q733" s="103"/>
      <c r="R733" s="103"/>
      <c r="S733" s="103"/>
      <c r="T733" s="103"/>
      <c r="U733" s="68"/>
      <c r="V733" s="69"/>
      <c r="W733" s="68"/>
      <c r="X733" s="68"/>
      <c r="Y733" s="68"/>
      <c r="Z733" s="68"/>
      <c r="AA733" s="68"/>
      <c r="AB733" s="68"/>
      <c r="AC733" s="68"/>
      <c r="AD733" s="68"/>
      <c r="AE733" s="68"/>
      <c r="AF733" s="68"/>
      <c r="AG733" s="68"/>
      <c r="AH733" s="68"/>
      <c r="AI733" s="68"/>
      <c r="AJ733" s="68"/>
      <c r="AK733" s="68"/>
      <c r="AL733" s="68"/>
      <c r="AM733" s="68"/>
      <c r="AN733" s="68"/>
      <c r="AO733" s="68"/>
      <c r="AP733" s="68"/>
      <c r="AQ733" s="68"/>
      <c r="AR733" s="68"/>
      <c r="AS733" s="68"/>
      <c r="AT733" s="68"/>
      <c r="AU733" s="68"/>
      <c r="AV733" s="68"/>
      <c r="AW733" s="68"/>
      <c r="AX733" s="68"/>
      <c r="AY733" s="68"/>
      <c r="AZ733" s="68"/>
      <c r="BA733" s="68"/>
      <c r="BB733" s="68"/>
      <c r="BC733" s="68"/>
      <c r="BD733" s="68"/>
      <c r="BE733" s="68"/>
      <c r="BF733" s="68"/>
      <c r="BG733" s="68"/>
      <c r="BH733" s="68"/>
      <c r="BI733" s="68"/>
      <c r="BJ733" s="68"/>
      <c r="BK733" s="68"/>
      <c r="BL733" s="68"/>
      <c r="BM733" s="68"/>
      <c r="BN733" s="68"/>
      <c r="BO733" s="68"/>
      <c r="BP733" s="68"/>
      <c r="BQ733" s="68"/>
      <c r="BR733" s="68"/>
      <c r="BS733" s="68"/>
      <c r="BT733" s="68"/>
      <c r="BU733" s="68"/>
      <c r="BV733" s="68"/>
      <c r="BW733" s="68"/>
      <c r="BX733" s="68"/>
      <c r="BY733" s="68"/>
      <c r="BZ733" s="68"/>
      <c r="CA733" s="68"/>
      <c r="CB733" s="68"/>
      <c r="CC733" s="68"/>
      <c r="CD733" s="68"/>
      <c r="CE733" s="68"/>
      <c r="CF733" s="68"/>
      <c r="CG733" s="68"/>
      <c r="CH733" s="68"/>
      <c r="CI733" s="68"/>
      <c r="CJ733" s="68"/>
      <c r="CK733" s="68"/>
      <c r="CL733" s="68"/>
      <c r="CM733" s="68"/>
      <c r="CN733" s="68"/>
      <c r="CO733" s="68"/>
      <c r="CP733" s="68"/>
      <c r="CQ733" s="68"/>
      <c r="CR733" s="68"/>
      <c r="CS733" s="68"/>
      <c r="CT733" s="68"/>
      <c r="CU733" s="68"/>
      <c r="CV733" s="68"/>
      <c r="CW733" s="68"/>
      <c r="CX733" s="68"/>
    </row>
    <row r="734" spans="1:102" s="71" customFormat="1" hidden="1">
      <c r="A734" s="109"/>
      <c r="B734" s="109"/>
      <c r="C734" s="109"/>
      <c r="D734" s="115"/>
      <c r="E734" s="100"/>
      <c r="F734" s="100"/>
      <c r="G734" s="111"/>
      <c r="H734" s="105"/>
      <c r="I734" s="111"/>
      <c r="J734" s="111"/>
      <c r="K734" s="112"/>
      <c r="L734" s="113"/>
      <c r="M734" s="114"/>
      <c r="N734" s="100"/>
      <c r="O734" s="114"/>
      <c r="P734" s="65"/>
      <c r="Q734" s="103"/>
      <c r="R734" s="103"/>
      <c r="S734" s="103"/>
      <c r="T734" s="103"/>
      <c r="U734" s="68"/>
      <c r="V734" s="69"/>
      <c r="W734" s="68"/>
      <c r="X734" s="68"/>
      <c r="Y734" s="68"/>
      <c r="Z734" s="68"/>
      <c r="AA734" s="68"/>
      <c r="AB734" s="68"/>
      <c r="AC734" s="68"/>
      <c r="AD734" s="68"/>
      <c r="AE734" s="68"/>
      <c r="AF734" s="68"/>
      <c r="AG734" s="68"/>
      <c r="AH734" s="68"/>
      <c r="AI734" s="68"/>
      <c r="AJ734" s="68"/>
      <c r="AK734" s="68"/>
      <c r="AL734" s="68"/>
      <c r="AM734" s="68"/>
      <c r="AN734" s="68"/>
      <c r="AO734" s="68"/>
      <c r="AP734" s="68"/>
      <c r="AQ734" s="68"/>
      <c r="AR734" s="68"/>
      <c r="AS734" s="68"/>
      <c r="AT734" s="68"/>
      <c r="AU734" s="68"/>
      <c r="AV734" s="68"/>
      <c r="AW734" s="68"/>
      <c r="AX734" s="68"/>
      <c r="AY734" s="68"/>
      <c r="AZ734" s="68"/>
      <c r="BA734" s="68"/>
      <c r="BB734" s="68"/>
      <c r="BC734" s="68"/>
      <c r="BD734" s="68"/>
      <c r="BE734" s="68"/>
      <c r="BF734" s="68"/>
      <c r="BG734" s="68"/>
      <c r="BH734" s="68"/>
      <c r="BI734" s="68"/>
      <c r="BJ734" s="68"/>
      <c r="BK734" s="68"/>
      <c r="BL734" s="68"/>
      <c r="BM734" s="68"/>
      <c r="BN734" s="68"/>
      <c r="BO734" s="68"/>
      <c r="BP734" s="68"/>
      <c r="BQ734" s="68"/>
      <c r="BR734" s="68"/>
      <c r="BS734" s="68"/>
      <c r="BT734" s="68"/>
      <c r="BU734" s="68"/>
      <c r="BV734" s="68"/>
      <c r="BW734" s="68"/>
      <c r="BX734" s="68"/>
      <c r="BY734" s="68"/>
      <c r="BZ734" s="68"/>
      <c r="CA734" s="68"/>
      <c r="CB734" s="68"/>
      <c r="CC734" s="68"/>
      <c r="CD734" s="68"/>
      <c r="CE734" s="68"/>
      <c r="CF734" s="68"/>
      <c r="CG734" s="68"/>
      <c r="CH734" s="68"/>
      <c r="CI734" s="68"/>
      <c r="CJ734" s="68"/>
      <c r="CK734" s="68"/>
      <c r="CL734" s="68"/>
      <c r="CM734" s="68"/>
      <c r="CN734" s="68"/>
      <c r="CO734" s="68"/>
      <c r="CP734" s="68"/>
      <c r="CQ734" s="68"/>
      <c r="CR734" s="68"/>
      <c r="CS734" s="68"/>
      <c r="CT734" s="68"/>
      <c r="CU734" s="68"/>
      <c r="CV734" s="68"/>
      <c r="CW734" s="68"/>
      <c r="CX734" s="68"/>
    </row>
    <row r="735" spans="1:102" s="71" customFormat="1" hidden="1">
      <c r="A735" s="109"/>
      <c r="B735" s="109"/>
      <c r="C735" s="109"/>
      <c r="D735" s="115"/>
      <c r="E735" s="100"/>
      <c r="F735" s="100"/>
      <c r="G735" s="111"/>
      <c r="H735" s="105"/>
      <c r="I735" s="111"/>
      <c r="J735" s="111"/>
      <c r="K735" s="112"/>
      <c r="L735" s="113"/>
      <c r="M735" s="114"/>
      <c r="N735" s="100"/>
      <c r="O735" s="114"/>
      <c r="P735" s="65"/>
      <c r="Q735" s="103"/>
      <c r="R735" s="103"/>
      <c r="S735" s="103"/>
      <c r="T735" s="103"/>
      <c r="U735" s="68"/>
      <c r="V735" s="69"/>
      <c r="W735" s="68"/>
      <c r="X735" s="68"/>
      <c r="Y735" s="68"/>
      <c r="Z735" s="68"/>
      <c r="AA735" s="68"/>
      <c r="AB735" s="68"/>
      <c r="AC735" s="68"/>
      <c r="AD735" s="68"/>
      <c r="AE735" s="68"/>
      <c r="AF735" s="68"/>
      <c r="AG735" s="68"/>
      <c r="AH735" s="68"/>
      <c r="AI735" s="68"/>
      <c r="AJ735" s="68"/>
      <c r="AK735" s="68"/>
      <c r="AL735" s="68"/>
      <c r="AM735" s="68"/>
      <c r="AN735" s="68"/>
      <c r="AO735" s="68"/>
      <c r="AP735" s="68"/>
      <c r="AQ735" s="68"/>
      <c r="AR735" s="68"/>
      <c r="AS735" s="68"/>
      <c r="AT735" s="68"/>
      <c r="AU735" s="68"/>
      <c r="AV735" s="68"/>
      <c r="AW735" s="68"/>
      <c r="AX735" s="68"/>
      <c r="AY735" s="68"/>
      <c r="AZ735" s="68"/>
      <c r="BA735" s="68"/>
      <c r="BB735" s="68"/>
      <c r="BC735" s="68"/>
      <c r="BD735" s="68"/>
      <c r="BE735" s="68"/>
      <c r="BF735" s="68"/>
      <c r="BG735" s="68"/>
      <c r="BH735" s="68"/>
      <c r="BI735" s="68"/>
      <c r="BJ735" s="68"/>
      <c r="BK735" s="68"/>
      <c r="BL735" s="68"/>
      <c r="BM735" s="68"/>
      <c r="BN735" s="68"/>
      <c r="BO735" s="68"/>
      <c r="BP735" s="68"/>
      <c r="BQ735" s="68"/>
      <c r="BR735" s="68"/>
      <c r="BS735" s="68"/>
      <c r="BT735" s="68"/>
      <c r="BU735" s="68"/>
      <c r="BV735" s="68"/>
      <c r="BW735" s="68"/>
      <c r="BX735" s="68"/>
      <c r="BY735" s="68"/>
      <c r="BZ735" s="68"/>
      <c r="CA735" s="68"/>
      <c r="CB735" s="68"/>
      <c r="CC735" s="68"/>
      <c r="CD735" s="68"/>
      <c r="CE735" s="68"/>
      <c r="CF735" s="68"/>
      <c r="CG735" s="68"/>
      <c r="CH735" s="68"/>
      <c r="CI735" s="68"/>
      <c r="CJ735" s="68"/>
      <c r="CK735" s="68"/>
      <c r="CL735" s="68"/>
      <c r="CM735" s="68"/>
      <c r="CN735" s="68"/>
      <c r="CO735" s="68"/>
      <c r="CP735" s="68"/>
      <c r="CQ735" s="68"/>
      <c r="CR735" s="68"/>
      <c r="CS735" s="68"/>
      <c r="CT735" s="68"/>
      <c r="CU735" s="68"/>
      <c r="CV735" s="68"/>
      <c r="CW735" s="68"/>
      <c r="CX735" s="68"/>
    </row>
    <row r="736" spans="1:102" s="71" customFormat="1" hidden="1">
      <c r="A736" s="109"/>
      <c r="B736" s="109"/>
      <c r="C736" s="109"/>
      <c r="D736" s="115"/>
      <c r="E736" s="100"/>
      <c r="F736" s="100"/>
      <c r="G736" s="111"/>
      <c r="H736" s="105"/>
      <c r="I736" s="111"/>
      <c r="J736" s="111"/>
      <c r="K736" s="112"/>
      <c r="L736" s="113"/>
      <c r="M736" s="114"/>
      <c r="N736" s="100"/>
      <c r="O736" s="114"/>
      <c r="P736" s="65"/>
      <c r="Q736" s="103"/>
      <c r="R736" s="103"/>
      <c r="S736" s="103"/>
      <c r="T736" s="103"/>
      <c r="U736" s="68"/>
      <c r="V736" s="69"/>
      <c r="W736" s="68"/>
      <c r="X736" s="68"/>
      <c r="Y736" s="68"/>
      <c r="Z736" s="68"/>
      <c r="AA736" s="68"/>
      <c r="AB736" s="68"/>
      <c r="AC736" s="68"/>
      <c r="AD736" s="68"/>
      <c r="AE736" s="68"/>
      <c r="AF736" s="68"/>
      <c r="AG736" s="68"/>
      <c r="AH736" s="68"/>
      <c r="AI736" s="68"/>
      <c r="AJ736" s="68"/>
      <c r="AK736" s="68"/>
      <c r="AL736" s="68"/>
      <c r="AM736" s="68"/>
      <c r="AN736" s="68"/>
      <c r="AO736" s="68"/>
      <c r="AP736" s="68"/>
      <c r="AQ736" s="68"/>
      <c r="AR736" s="68"/>
      <c r="AS736" s="68"/>
      <c r="AT736" s="68"/>
      <c r="AU736" s="68"/>
      <c r="AV736" s="68"/>
      <c r="AW736" s="68"/>
      <c r="AX736" s="68"/>
      <c r="AY736" s="68"/>
      <c r="AZ736" s="68"/>
      <c r="BA736" s="68"/>
      <c r="BB736" s="68"/>
      <c r="BC736" s="68"/>
      <c r="BD736" s="68"/>
      <c r="BE736" s="68"/>
      <c r="BF736" s="68"/>
      <c r="BG736" s="68"/>
      <c r="BH736" s="68"/>
      <c r="BI736" s="68"/>
      <c r="BJ736" s="68"/>
      <c r="BK736" s="68"/>
      <c r="BL736" s="68"/>
      <c r="BM736" s="68"/>
      <c r="BN736" s="68"/>
      <c r="BO736" s="68"/>
      <c r="BP736" s="68"/>
      <c r="BQ736" s="68"/>
      <c r="BR736" s="68"/>
      <c r="BS736" s="68"/>
      <c r="BT736" s="68"/>
      <c r="BU736" s="68"/>
      <c r="BV736" s="68"/>
      <c r="BW736" s="68"/>
      <c r="BX736" s="68"/>
      <c r="BY736" s="68"/>
      <c r="BZ736" s="68"/>
      <c r="CA736" s="68"/>
      <c r="CB736" s="68"/>
      <c r="CC736" s="68"/>
      <c r="CD736" s="68"/>
      <c r="CE736" s="68"/>
      <c r="CF736" s="68"/>
      <c r="CG736" s="68"/>
      <c r="CH736" s="68"/>
      <c r="CI736" s="68"/>
      <c r="CJ736" s="68"/>
      <c r="CK736" s="68"/>
      <c r="CL736" s="68"/>
      <c r="CM736" s="68"/>
      <c r="CN736" s="68"/>
      <c r="CO736" s="68"/>
      <c r="CP736" s="68"/>
      <c r="CQ736" s="68"/>
      <c r="CR736" s="68"/>
      <c r="CS736" s="68"/>
      <c r="CT736" s="68"/>
      <c r="CU736" s="68"/>
      <c r="CV736" s="68"/>
      <c r="CW736" s="68"/>
      <c r="CX736" s="68"/>
    </row>
    <row r="737" spans="1:102" s="71" customFormat="1" hidden="1">
      <c r="A737" s="109"/>
      <c r="B737" s="109"/>
      <c r="C737" s="109"/>
      <c r="D737" s="115"/>
      <c r="E737" s="100"/>
      <c r="F737" s="100"/>
      <c r="G737" s="111"/>
      <c r="H737" s="105"/>
      <c r="I737" s="111"/>
      <c r="J737" s="111"/>
      <c r="K737" s="112"/>
      <c r="L737" s="113"/>
      <c r="M737" s="114"/>
      <c r="N737" s="100"/>
      <c r="O737" s="114"/>
      <c r="P737" s="65"/>
      <c r="Q737" s="103"/>
      <c r="R737" s="103"/>
      <c r="S737" s="103"/>
      <c r="T737" s="103"/>
      <c r="U737" s="68"/>
      <c r="V737" s="69"/>
      <c r="W737" s="68"/>
      <c r="X737" s="68"/>
      <c r="Y737" s="68"/>
      <c r="Z737" s="68"/>
      <c r="AA737" s="68"/>
      <c r="AB737" s="68"/>
      <c r="AC737" s="68"/>
      <c r="AD737" s="68"/>
      <c r="AE737" s="68"/>
      <c r="AF737" s="68"/>
      <c r="AG737" s="68"/>
      <c r="AH737" s="68"/>
      <c r="AI737" s="68"/>
      <c r="AJ737" s="68"/>
      <c r="AK737" s="68"/>
      <c r="AL737" s="68"/>
      <c r="AM737" s="68"/>
      <c r="AN737" s="68"/>
      <c r="AO737" s="68"/>
      <c r="AP737" s="68"/>
      <c r="AQ737" s="68"/>
      <c r="AR737" s="68"/>
      <c r="AS737" s="68"/>
      <c r="AT737" s="68"/>
      <c r="AU737" s="68"/>
      <c r="AV737" s="68"/>
      <c r="AW737" s="68"/>
      <c r="AX737" s="68"/>
      <c r="AY737" s="68"/>
      <c r="AZ737" s="68"/>
      <c r="BA737" s="68"/>
      <c r="BB737" s="68"/>
      <c r="BC737" s="68"/>
      <c r="BD737" s="68"/>
      <c r="BE737" s="68"/>
      <c r="BF737" s="68"/>
      <c r="BG737" s="68"/>
      <c r="BH737" s="68"/>
      <c r="BI737" s="68"/>
      <c r="BJ737" s="68"/>
      <c r="BK737" s="68"/>
      <c r="BL737" s="68"/>
      <c r="BM737" s="68"/>
      <c r="BN737" s="68"/>
      <c r="BO737" s="68"/>
      <c r="BP737" s="68"/>
      <c r="BQ737" s="68"/>
      <c r="BR737" s="68"/>
      <c r="BS737" s="68"/>
      <c r="BT737" s="68"/>
      <c r="BU737" s="68"/>
      <c r="BV737" s="68"/>
      <c r="BW737" s="68"/>
      <c r="BX737" s="68"/>
      <c r="BY737" s="68"/>
      <c r="BZ737" s="68"/>
      <c r="CA737" s="68"/>
      <c r="CB737" s="68"/>
      <c r="CC737" s="68"/>
      <c r="CD737" s="68"/>
      <c r="CE737" s="68"/>
      <c r="CF737" s="68"/>
      <c r="CG737" s="68"/>
      <c r="CH737" s="68"/>
      <c r="CI737" s="68"/>
      <c r="CJ737" s="68"/>
      <c r="CK737" s="68"/>
      <c r="CL737" s="68"/>
      <c r="CM737" s="68"/>
      <c r="CN737" s="68"/>
      <c r="CO737" s="68"/>
      <c r="CP737" s="68"/>
      <c r="CQ737" s="68"/>
      <c r="CR737" s="68"/>
      <c r="CS737" s="68"/>
      <c r="CT737" s="68"/>
      <c r="CU737" s="68"/>
      <c r="CV737" s="68"/>
      <c r="CW737" s="68"/>
      <c r="CX737" s="68"/>
    </row>
    <row r="738" spans="1:102" s="71" customFormat="1" hidden="1">
      <c r="A738" s="109"/>
      <c r="B738" s="109"/>
      <c r="C738" s="109"/>
      <c r="D738" s="115"/>
      <c r="E738" s="100"/>
      <c r="F738" s="100"/>
      <c r="G738" s="111"/>
      <c r="H738" s="105"/>
      <c r="I738" s="111"/>
      <c r="J738" s="111"/>
      <c r="K738" s="112"/>
      <c r="L738" s="113"/>
      <c r="M738" s="114"/>
      <c r="N738" s="100"/>
      <c r="O738" s="114"/>
      <c r="P738" s="65"/>
      <c r="Q738" s="103"/>
      <c r="R738" s="103"/>
      <c r="S738" s="103"/>
      <c r="T738" s="103"/>
      <c r="U738" s="68"/>
      <c r="V738" s="69"/>
      <c r="W738" s="68"/>
      <c r="X738" s="68"/>
      <c r="Y738" s="68"/>
      <c r="Z738" s="68"/>
      <c r="AA738" s="68"/>
      <c r="AB738" s="68"/>
      <c r="AC738" s="68"/>
      <c r="AD738" s="68"/>
      <c r="AE738" s="68"/>
      <c r="AF738" s="68"/>
      <c r="AG738" s="68"/>
      <c r="AH738" s="68"/>
      <c r="AI738" s="68"/>
      <c r="AJ738" s="68"/>
      <c r="AK738" s="68"/>
      <c r="AL738" s="68"/>
      <c r="AM738" s="68"/>
      <c r="AN738" s="68"/>
      <c r="AO738" s="68"/>
      <c r="AP738" s="68"/>
      <c r="AQ738" s="68"/>
      <c r="AR738" s="68"/>
      <c r="AS738" s="68"/>
      <c r="AT738" s="68"/>
      <c r="AU738" s="68"/>
      <c r="AV738" s="68"/>
      <c r="AW738" s="68"/>
      <c r="AX738" s="68"/>
      <c r="AY738" s="68"/>
      <c r="AZ738" s="68"/>
      <c r="BA738" s="68"/>
      <c r="BB738" s="68"/>
      <c r="BC738" s="68"/>
      <c r="BD738" s="68"/>
      <c r="BE738" s="68"/>
      <c r="BF738" s="68"/>
      <c r="BG738" s="68"/>
      <c r="BH738" s="68"/>
      <c r="BI738" s="68"/>
      <c r="BJ738" s="68"/>
      <c r="BK738" s="68"/>
      <c r="BL738" s="68"/>
      <c r="BM738" s="68"/>
      <c r="BN738" s="68"/>
      <c r="BO738" s="68"/>
      <c r="BP738" s="68"/>
      <c r="BQ738" s="68"/>
      <c r="BR738" s="68"/>
      <c r="BS738" s="68"/>
      <c r="BT738" s="68"/>
      <c r="BU738" s="68"/>
      <c r="BV738" s="68"/>
      <c r="BW738" s="68"/>
      <c r="BX738" s="68"/>
      <c r="BY738" s="68"/>
      <c r="BZ738" s="68"/>
      <c r="CA738" s="68"/>
      <c r="CB738" s="68"/>
      <c r="CC738" s="68"/>
      <c r="CD738" s="68"/>
      <c r="CE738" s="68"/>
      <c r="CF738" s="68"/>
      <c r="CG738" s="68"/>
      <c r="CH738" s="68"/>
      <c r="CI738" s="68"/>
      <c r="CJ738" s="68"/>
      <c r="CK738" s="68"/>
      <c r="CL738" s="68"/>
      <c r="CM738" s="68"/>
      <c r="CN738" s="68"/>
      <c r="CO738" s="68"/>
      <c r="CP738" s="68"/>
      <c r="CQ738" s="68"/>
      <c r="CR738" s="68"/>
      <c r="CS738" s="68"/>
      <c r="CT738" s="68"/>
      <c r="CU738" s="68"/>
      <c r="CV738" s="68"/>
      <c r="CW738" s="68"/>
      <c r="CX738" s="68"/>
    </row>
    <row r="739" spans="1:102" s="71" customFormat="1" hidden="1">
      <c r="A739" s="109"/>
      <c r="B739" s="109"/>
      <c r="C739" s="109"/>
      <c r="D739" s="115"/>
      <c r="E739" s="100"/>
      <c r="F739" s="100"/>
      <c r="G739" s="111"/>
      <c r="H739" s="105"/>
      <c r="I739" s="111"/>
      <c r="J739" s="111"/>
      <c r="K739" s="112"/>
      <c r="L739" s="113"/>
      <c r="M739" s="114"/>
      <c r="N739" s="100"/>
      <c r="O739" s="114"/>
      <c r="P739" s="65"/>
      <c r="Q739" s="103"/>
      <c r="R739" s="103"/>
      <c r="S739" s="103"/>
      <c r="T739" s="103"/>
      <c r="U739" s="68"/>
      <c r="V739" s="69"/>
      <c r="W739" s="68"/>
      <c r="X739" s="68"/>
      <c r="Y739" s="68"/>
      <c r="Z739" s="68"/>
      <c r="AA739" s="68"/>
      <c r="AB739" s="68"/>
      <c r="AC739" s="68"/>
      <c r="AD739" s="68"/>
      <c r="AE739" s="68"/>
      <c r="AF739" s="68"/>
      <c r="AG739" s="68"/>
      <c r="AH739" s="68"/>
      <c r="AI739" s="68"/>
      <c r="AJ739" s="68"/>
      <c r="AK739" s="68"/>
      <c r="AL739" s="68"/>
      <c r="AM739" s="68"/>
      <c r="AN739" s="68"/>
      <c r="AO739" s="68"/>
      <c r="AP739" s="68"/>
      <c r="AQ739" s="68"/>
      <c r="AR739" s="68"/>
      <c r="AS739" s="68"/>
      <c r="AT739" s="68"/>
      <c r="AU739" s="68"/>
      <c r="AV739" s="68"/>
      <c r="AW739" s="68"/>
      <c r="AX739" s="68"/>
      <c r="AY739" s="68"/>
      <c r="AZ739" s="68"/>
      <c r="BA739" s="68"/>
      <c r="BB739" s="68"/>
      <c r="BC739" s="68"/>
      <c r="BD739" s="68"/>
      <c r="BE739" s="68"/>
      <c r="BF739" s="68"/>
      <c r="BG739" s="68"/>
      <c r="BH739" s="68"/>
      <c r="BI739" s="68"/>
      <c r="BJ739" s="68"/>
      <c r="BK739" s="68"/>
      <c r="BL739" s="68"/>
      <c r="BM739" s="68"/>
      <c r="BN739" s="68"/>
      <c r="BO739" s="68"/>
      <c r="BP739" s="68"/>
      <c r="BQ739" s="68"/>
      <c r="BR739" s="68"/>
      <c r="BS739" s="68"/>
      <c r="BT739" s="68"/>
      <c r="BU739" s="68"/>
      <c r="BV739" s="68"/>
      <c r="BW739" s="68"/>
      <c r="BX739" s="68"/>
      <c r="BY739" s="68"/>
      <c r="BZ739" s="68"/>
      <c r="CA739" s="68"/>
      <c r="CB739" s="68"/>
      <c r="CC739" s="68"/>
      <c r="CD739" s="68"/>
      <c r="CE739" s="68"/>
      <c r="CF739" s="68"/>
      <c r="CG739" s="68"/>
      <c r="CH739" s="68"/>
      <c r="CI739" s="68"/>
      <c r="CJ739" s="68"/>
      <c r="CK739" s="68"/>
      <c r="CL739" s="68"/>
      <c r="CM739" s="68"/>
      <c r="CN739" s="68"/>
      <c r="CO739" s="68"/>
      <c r="CP739" s="68"/>
      <c r="CQ739" s="68"/>
      <c r="CR739" s="68"/>
      <c r="CS739" s="68"/>
      <c r="CT739" s="68"/>
      <c r="CU739" s="68"/>
      <c r="CV739" s="68"/>
      <c r="CW739" s="68"/>
      <c r="CX739" s="68"/>
    </row>
    <row r="740" spans="1:102" s="71" customFormat="1" hidden="1">
      <c r="A740" s="109"/>
      <c r="B740" s="109"/>
      <c r="C740" s="109"/>
      <c r="D740" s="115"/>
      <c r="E740" s="100"/>
      <c r="F740" s="100"/>
      <c r="G740" s="111"/>
      <c r="H740" s="105"/>
      <c r="I740" s="111"/>
      <c r="J740" s="111"/>
      <c r="K740" s="112"/>
      <c r="L740" s="113"/>
      <c r="M740" s="114"/>
      <c r="N740" s="100"/>
      <c r="O740" s="114"/>
      <c r="P740" s="65"/>
      <c r="Q740" s="103"/>
      <c r="R740" s="103"/>
      <c r="S740" s="103"/>
      <c r="T740" s="103"/>
      <c r="U740" s="68"/>
      <c r="V740" s="69"/>
      <c r="W740" s="68"/>
      <c r="X740" s="68"/>
      <c r="Y740" s="68"/>
      <c r="Z740" s="68"/>
      <c r="AA740" s="68"/>
      <c r="AB740" s="68"/>
      <c r="AC740" s="68"/>
      <c r="AD740" s="68"/>
      <c r="AE740" s="68"/>
      <c r="AF740" s="68"/>
      <c r="AG740" s="68"/>
      <c r="AH740" s="68"/>
      <c r="AI740" s="68"/>
      <c r="AJ740" s="68"/>
      <c r="AK740" s="68"/>
      <c r="AL740" s="68"/>
      <c r="AM740" s="68"/>
      <c r="AN740" s="68"/>
      <c r="AO740" s="68"/>
      <c r="AP740" s="68"/>
      <c r="AQ740" s="68"/>
      <c r="AR740" s="68"/>
      <c r="AS740" s="68"/>
      <c r="AT740" s="68"/>
      <c r="AU740" s="68"/>
      <c r="AV740" s="68"/>
      <c r="AW740" s="68"/>
      <c r="AX740" s="68"/>
      <c r="AY740" s="68"/>
      <c r="AZ740" s="68"/>
      <c r="BA740" s="68"/>
      <c r="BB740" s="68"/>
      <c r="BC740" s="68"/>
      <c r="BD740" s="68"/>
      <c r="BE740" s="68"/>
      <c r="BF740" s="68"/>
      <c r="BG740" s="68"/>
      <c r="BH740" s="68"/>
      <c r="BI740" s="68"/>
      <c r="BJ740" s="68"/>
      <c r="BK740" s="68"/>
      <c r="BL740" s="68"/>
      <c r="BM740" s="68"/>
      <c r="BN740" s="68"/>
      <c r="BO740" s="68"/>
      <c r="BP740" s="68"/>
      <c r="BQ740" s="68"/>
      <c r="BR740" s="68"/>
      <c r="BS740" s="68"/>
      <c r="BT740" s="68"/>
      <c r="BU740" s="68"/>
      <c r="BV740" s="68"/>
      <c r="BW740" s="68"/>
      <c r="BX740" s="68"/>
      <c r="BY740" s="68"/>
      <c r="BZ740" s="68"/>
      <c r="CA740" s="68"/>
      <c r="CB740" s="68"/>
      <c r="CC740" s="68"/>
      <c r="CD740" s="68"/>
      <c r="CE740" s="68"/>
      <c r="CF740" s="68"/>
      <c r="CG740" s="68"/>
      <c r="CH740" s="68"/>
      <c r="CI740" s="68"/>
      <c r="CJ740" s="68"/>
      <c r="CK740" s="68"/>
      <c r="CL740" s="68"/>
      <c r="CM740" s="68"/>
      <c r="CN740" s="68"/>
      <c r="CO740" s="68"/>
      <c r="CP740" s="68"/>
      <c r="CQ740" s="68"/>
      <c r="CR740" s="68"/>
      <c r="CS740" s="68"/>
      <c r="CT740" s="68"/>
      <c r="CU740" s="68"/>
      <c r="CV740" s="68"/>
      <c r="CW740" s="68"/>
      <c r="CX740" s="68"/>
    </row>
    <row r="741" spans="1:102" s="71" customFormat="1" hidden="1">
      <c r="A741" s="109"/>
      <c r="B741" s="109"/>
      <c r="C741" s="109"/>
      <c r="D741" s="115"/>
      <c r="E741" s="100"/>
      <c r="F741" s="100"/>
      <c r="G741" s="111"/>
      <c r="H741" s="105"/>
      <c r="I741" s="111"/>
      <c r="J741" s="111"/>
      <c r="K741" s="112"/>
      <c r="L741" s="113"/>
      <c r="M741" s="114"/>
      <c r="N741" s="100"/>
      <c r="O741" s="114"/>
      <c r="P741" s="65"/>
      <c r="Q741" s="103"/>
      <c r="R741" s="103"/>
      <c r="S741" s="103"/>
      <c r="T741" s="103"/>
      <c r="U741" s="68"/>
      <c r="V741" s="69"/>
      <c r="W741" s="68"/>
      <c r="X741" s="68"/>
      <c r="Y741" s="68"/>
      <c r="Z741" s="68"/>
      <c r="AA741" s="68"/>
      <c r="AB741" s="68"/>
      <c r="AC741" s="68"/>
      <c r="AD741" s="68"/>
      <c r="AE741" s="68"/>
      <c r="AF741" s="68"/>
      <c r="AG741" s="68"/>
      <c r="AH741" s="68"/>
      <c r="AI741" s="68"/>
      <c r="AJ741" s="68"/>
      <c r="AK741" s="68"/>
      <c r="AL741" s="68"/>
      <c r="AM741" s="68"/>
      <c r="AN741" s="68"/>
      <c r="AO741" s="68"/>
      <c r="AP741" s="68"/>
      <c r="AQ741" s="68"/>
      <c r="AR741" s="68"/>
      <c r="AS741" s="68"/>
      <c r="AT741" s="68"/>
      <c r="AU741" s="68"/>
      <c r="AV741" s="68"/>
      <c r="AW741" s="68"/>
      <c r="AX741" s="68"/>
      <c r="AY741" s="68"/>
      <c r="AZ741" s="68"/>
      <c r="BA741" s="68"/>
      <c r="BB741" s="68"/>
      <c r="BC741" s="68"/>
      <c r="BD741" s="68"/>
      <c r="BE741" s="68"/>
      <c r="BF741" s="68"/>
      <c r="BG741" s="68"/>
      <c r="BH741" s="68"/>
      <c r="BI741" s="68"/>
      <c r="BJ741" s="68"/>
      <c r="BK741" s="68"/>
      <c r="BL741" s="68"/>
      <c r="BM741" s="68"/>
      <c r="BN741" s="68"/>
      <c r="BO741" s="68"/>
      <c r="BP741" s="68"/>
      <c r="BQ741" s="68"/>
      <c r="BR741" s="68"/>
      <c r="BS741" s="68"/>
      <c r="BT741" s="68"/>
      <c r="BU741" s="68"/>
      <c r="BV741" s="68"/>
      <c r="BW741" s="68"/>
      <c r="BX741" s="68"/>
      <c r="BY741" s="68"/>
      <c r="BZ741" s="68"/>
      <c r="CA741" s="68"/>
      <c r="CB741" s="68"/>
      <c r="CC741" s="68"/>
      <c r="CD741" s="68"/>
      <c r="CE741" s="68"/>
      <c r="CF741" s="68"/>
      <c r="CG741" s="68"/>
      <c r="CH741" s="68"/>
      <c r="CI741" s="68"/>
      <c r="CJ741" s="68"/>
      <c r="CK741" s="68"/>
      <c r="CL741" s="68"/>
      <c r="CM741" s="68"/>
      <c r="CN741" s="68"/>
      <c r="CO741" s="68"/>
      <c r="CP741" s="68"/>
      <c r="CQ741" s="68"/>
      <c r="CR741" s="68"/>
      <c r="CS741" s="68"/>
      <c r="CT741" s="68"/>
      <c r="CU741" s="68"/>
      <c r="CV741" s="68"/>
      <c r="CW741" s="68"/>
      <c r="CX741" s="68"/>
    </row>
    <row r="742" spans="1:102" s="71" customFormat="1" hidden="1">
      <c r="A742" s="109"/>
      <c r="B742" s="109"/>
      <c r="C742" s="109"/>
      <c r="D742" s="115"/>
      <c r="E742" s="100"/>
      <c r="F742" s="100"/>
      <c r="G742" s="111"/>
      <c r="H742" s="105"/>
      <c r="I742" s="111"/>
      <c r="J742" s="111"/>
      <c r="K742" s="112"/>
      <c r="L742" s="113"/>
      <c r="M742" s="114"/>
      <c r="N742" s="100"/>
      <c r="O742" s="114"/>
      <c r="P742" s="65"/>
      <c r="Q742" s="103"/>
      <c r="R742" s="103"/>
      <c r="S742" s="103"/>
      <c r="T742" s="103"/>
      <c r="U742" s="68"/>
      <c r="V742" s="69"/>
      <c r="W742" s="68"/>
      <c r="X742" s="68"/>
      <c r="Y742" s="68"/>
      <c r="Z742" s="68"/>
      <c r="AA742" s="68"/>
      <c r="AB742" s="68"/>
      <c r="AC742" s="68"/>
      <c r="AD742" s="68"/>
      <c r="AE742" s="68"/>
      <c r="AF742" s="68"/>
      <c r="AG742" s="68"/>
      <c r="AH742" s="68"/>
      <c r="AI742" s="68"/>
      <c r="AJ742" s="68"/>
      <c r="AK742" s="68"/>
      <c r="AL742" s="68"/>
      <c r="AM742" s="68"/>
      <c r="AN742" s="68"/>
      <c r="AO742" s="68"/>
      <c r="AP742" s="68"/>
      <c r="AQ742" s="68"/>
      <c r="AR742" s="68"/>
      <c r="AS742" s="68"/>
      <c r="AT742" s="68"/>
      <c r="AU742" s="68"/>
      <c r="AV742" s="68"/>
      <c r="AW742" s="68"/>
      <c r="AX742" s="68"/>
      <c r="AY742" s="68"/>
      <c r="AZ742" s="68"/>
      <c r="BA742" s="68"/>
      <c r="BB742" s="68"/>
      <c r="BC742" s="68"/>
      <c r="BD742" s="68"/>
      <c r="BE742" s="68"/>
      <c r="BF742" s="68"/>
      <c r="BG742" s="68"/>
      <c r="BH742" s="68"/>
      <c r="BI742" s="68"/>
      <c r="BJ742" s="68"/>
      <c r="BK742" s="68"/>
      <c r="BL742" s="68"/>
      <c r="BM742" s="68"/>
      <c r="BN742" s="68"/>
      <c r="BO742" s="68"/>
      <c r="BP742" s="68"/>
      <c r="BQ742" s="68"/>
      <c r="BR742" s="68"/>
      <c r="BS742" s="68"/>
      <c r="BT742" s="68"/>
      <c r="BU742" s="68"/>
      <c r="BV742" s="68"/>
      <c r="BW742" s="68"/>
      <c r="BX742" s="68"/>
      <c r="BY742" s="68"/>
      <c r="BZ742" s="68"/>
      <c r="CA742" s="68"/>
      <c r="CB742" s="68"/>
      <c r="CC742" s="68"/>
      <c r="CD742" s="68"/>
      <c r="CE742" s="68"/>
      <c r="CF742" s="68"/>
      <c r="CG742" s="68"/>
      <c r="CH742" s="68"/>
      <c r="CI742" s="68"/>
      <c r="CJ742" s="68"/>
      <c r="CK742" s="68"/>
      <c r="CL742" s="68"/>
      <c r="CM742" s="68"/>
      <c r="CN742" s="68"/>
      <c r="CO742" s="68"/>
      <c r="CP742" s="68"/>
      <c r="CQ742" s="68"/>
      <c r="CR742" s="68"/>
      <c r="CS742" s="68"/>
      <c r="CT742" s="68"/>
      <c r="CU742" s="68"/>
      <c r="CV742" s="68"/>
      <c r="CW742" s="68"/>
      <c r="CX742" s="68"/>
    </row>
    <row r="743" spans="1:102" s="71" customFormat="1" hidden="1">
      <c r="A743" s="109"/>
      <c r="B743" s="109"/>
      <c r="C743" s="109"/>
      <c r="D743" s="115"/>
      <c r="E743" s="100"/>
      <c r="F743" s="100"/>
      <c r="G743" s="111"/>
      <c r="H743" s="105"/>
      <c r="I743" s="111"/>
      <c r="J743" s="111"/>
      <c r="K743" s="112"/>
      <c r="L743" s="113"/>
      <c r="M743" s="114"/>
      <c r="N743" s="100"/>
      <c r="O743" s="114"/>
      <c r="P743" s="65"/>
      <c r="Q743" s="103"/>
      <c r="R743" s="103"/>
      <c r="S743" s="103"/>
      <c r="T743" s="103"/>
      <c r="U743" s="68"/>
      <c r="V743" s="69"/>
      <c r="W743" s="68"/>
      <c r="X743" s="68"/>
      <c r="Y743" s="68"/>
      <c r="Z743" s="68"/>
      <c r="AA743" s="68"/>
      <c r="AB743" s="68"/>
      <c r="AC743" s="68"/>
      <c r="AD743" s="68"/>
      <c r="AE743" s="68"/>
      <c r="AF743" s="68"/>
      <c r="AG743" s="68"/>
      <c r="AH743" s="68"/>
      <c r="AI743" s="68"/>
      <c r="AJ743" s="68"/>
      <c r="AK743" s="68"/>
      <c r="AL743" s="68"/>
      <c r="AM743" s="68"/>
      <c r="AN743" s="68"/>
      <c r="AO743" s="68"/>
      <c r="AP743" s="68"/>
      <c r="AQ743" s="68"/>
      <c r="AR743" s="68"/>
      <c r="AS743" s="68"/>
      <c r="AT743" s="68"/>
      <c r="AU743" s="68"/>
      <c r="AV743" s="68"/>
      <c r="AW743" s="68"/>
      <c r="AX743" s="68"/>
      <c r="AY743" s="68"/>
      <c r="AZ743" s="68"/>
      <c r="BA743" s="68"/>
      <c r="BB743" s="68"/>
      <c r="BC743" s="68"/>
      <c r="BD743" s="68"/>
      <c r="BE743" s="68"/>
      <c r="BF743" s="68"/>
      <c r="BG743" s="68"/>
      <c r="BH743" s="68"/>
      <c r="BI743" s="68"/>
      <c r="BJ743" s="68"/>
      <c r="BK743" s="68"/>
      <c r="BL743" s="68"/>
      <c r="BM743" s="68"/>
      <c r="BN743" s="68"/>
      <c r="BO743" s="68"/>
      <c r="BP743" s="68"/>
      <c r="BQ743" s="68"/>
      <c r="BR743" s="68"/>
      <c r="BS743" s="68"/>
      <c r="BT743" s="68"/>
      <c r="BU743" s="68"/>
      <c r="BV743" s="68"/>
      <c r="BW743" s="68"/>
      <c r="BX743" s="68"/>
      <c r="BY743" s="68"/>
      <c r="BZ743" s="68"/>
      <c r="CA743" s="68"/>
      <c r="CB743" s="68"/>
      <c r="CC743" s="68"/>
      <c r="CD743" s="68"/>
      <c r="CE743" s="68"/>
      <c r="CF743" s="68"/>
      <c r="CG743" s="68"/>
      <c r="CH743" s="68"/>
      <c r="CI743" s="68"/>
      <c r="CJ743" s="68"/>
      <c r="CK743" s="68"/>
      <c r="CL743" s="68"/>
      <c r="CM743" s="68"/>
      <c r="CN743" s="68"/>
      <c r="CO743" s="68"/>
      <c r="CP743" s="68"/>
      <c r="CQ743" s="68"/>
      <c r="CR743" s="68"/>
      <c r="CS743" s="68"/>
      <c r="CT743" s="68"/>
      <c r="CU743" s="68"/>
      <c r="CV743" s="68"/>
      <c r="CW743" s="68"/>
      <c r="CX743" s="68"/>
    </row>
    <row r="744" spans="1:102" s="71" customFormat="1" hidden="1">
      <c r="A744" s="109"/>
      <c r="B744" s="109"/>
      <c r="C744" s="109"/>
      <c r="D744" s="115"/>
      <c r="E744" s="100"/>
      <c r="F744" s="100"/>
      <c r="G744" s="111"/>
      <c r="H744" s="105"/>
      <c r="I744" s="111"/>
      <c r="J744" s="111"/>
      <c r="K744" s="112"/>
      <c r="L744" s="113"/>
      <c r="M744" s="114"/>
      <c r="N744" s="100"/>
      <c r="O744" s="114"/>
      <c r="P744" s="65"/>
      <c r="Q744" s="103"/>
      <c r="R744" s="103"/>
      <c r="S744" s="103"/>
      <c r="T744" s="103"/>
      <c r="U744" s="68"/>
      <c r="V744" s="69"/>
      <c r="W744" s="68"/>
      <c r="X744" s="68"/>
      <c r="Y744" s="68"/>
      <c r="Z744" s="68"/>
      <c r="AA744" s="68"/>
      <c r="AB744" s="68"/>
      <c r="AC744" s="68"/>
      <c r="AD744" s="68"/>
      <c r="AE744" s="68"/>
      <c r="AF744" s="68"/>
      <c r="AG744" s="68"/>
      <c r="AH744" s="68"/>
      <c r="AI744" s="68"/>
      <c r="AJ744" s="68"/>
      <c r="AK744" s="68"/>
      <c r="AL744" s="68"/>
      <c r="AM744" s="68"/>
      <c r="AN744" s="68"/>
      <c r="AO744" s="68"/>
      <c r="AP744" s="68"/>
      <c r="AQ744" s="68"/>
      <c r="AR744" s="68"/>
      <c r="AS744" s="68"/>
      <c r="AT744" s="68"/>
      <c r="AU744" s="68"/>
      <c r="AV744" s="68"/>
      <c r="AW744" s="68"/>
      <c r="AX744" s="68"/>
      <c r="AY744" s="68"/>
      <c r="AZ744" s="68"/>
      <c r="BA744" s="68"/>
      <c r="BB744" s="68"/>
      <c r="BC744" s="68"/>
      <c r="BD744" s="68"/>
      <c r="BE744" s="68"/>
      <c r="BF744" s="68"/>
      <c r="BG744" s="68"/>
      <c r="BH744" s="68"/>
      <c r="BI744" s="68"/>
      <c r="BJ744" s="68"/>
      <c r="BK744" s="68"/>
      <c r="BL744" s="68"/>
      <c r="BM744" s="68"/>
      <c r="BN744" s="68"/>
      <c r="BO744" s="68"/>
      <c r="BP744" s="68"/>
      <c r="BQ744" s="68"/>
      <c r="BR744" s="68"/>
      <c r="BS744" s="68"/>
      <c r="BT744" s="68"/>
      <c r="BU744" s="68"/>
      <c r="BV744" s="68"/>
      <c r="BW744" s="68"/>
      <c r="BX744" s="68"/>
      <c r="BY744" s="68"/>
      <c r="BZ744" s="68"/>
      <c r="CA744" s="68"/>
      <c r="CB744" s="68"/>
      <c r="CC744" s="68"/>
      <c r="CD744" s="68"/>
      <c r="CE744" s="68"/>
      <c r="CF744" s="68"/>
      <c r="CG744" s="68"/>
      <c r="CH744" s="68"/>
      <c r="CI744" s="68"/>
      <c r="CJ744" s="68"/>
      <c r="CK744" s="68"/>
      <c r="CL744" s="68"/>
      <c r="CM744" s="68"/>
      <c r="CN744" s="68"/>
      <c r="CO744" s="68"/>
      <c r="CP744" s="68"/>
      <c r="CQ744" s="68"/>
      <c r="CR744" s="68"/>
      <c r="CS744" s="68"/>
      <c r="CT744" s="68"/>
      <c r="CU744" s="68"/>
      <c r="CV744" s="68"/>
      <c r="CW744" s="68"/>
      <c r="CX744" s="68"/>
    </row>
    <row r="745" spans="1:102" s="71" customFormat="1" hidden="1">
      <c r="A745" s="109"/>
      <c r="B745" s="109"/>
      <c r="C745" s="109"/>
      <c r="D745" s="115"/>
      <c r="E745" s="100"/>
      <c r="F745" s="100"/>
      <c r="G745" s="111"/>
      <c r="H745" s="105"/>
      <c r="I745" s="111"/>
      <c r="J745" s="111"/>
      <c r="K745" s="112"/>
      <c r="L745" s="113"/>
      <c r="M745" s="114"/>
      <c r="N745" s="100"/>
      <c r="O745" s="114"/>
      <c r="P745" s="65"/>
      <c r="Q745" s="103"/>
      <c r="R745" s="103"/>
      <c r="S745" s="103"/>
      <c r="T745" s="103"/>
      <c r="U745" s="68"/>
      <c r="V745" s="69"/>
      <c r="W745" s="68"/>
      <c r="X745" s="68"/>
      <c r="Y745" s="68"/>
      <c r="Z745" s="68"/>
      <c r="AA745" s="68"/>
      <c r="AB745" s="68"/>
      <c r="AC745" s="68"/>
      <c r="AD745" s="68"/>
      <c r="AE745" s="68"/>
      <c r="AF745" s="68"/>
      <c r="AG745" s="68"/>
      <c r="AH745" s="68"/>
      <c r="AI745" s="68"/>
      <c r="AJ745" s="68"/>
      <c r="AK745" s="68"/>
      <c r="AL745" s="68"/>
      <c r="AM745" s="68"/>
      <c r="AN745" s="68"/>
      <c r="AO745" s="68"/>
      <c r="AP745" s="68"/>
      <c r="AQ745" s="68"/>
      <c r="AR745" s="68"/>
      <c r="AS745" s="68"/>
      <c r="AT745" s="68"/>
      <c r="AU745" s="68"/>
      <c r="AV745" s="68"/>
      <c r="AW745" s="68"/>
      <c r="AX745" s="68"/>
      <c r="AY745" s="68"/>
      <c r="AZ745" s="68"/>
      <c r="BA745" s="68"/>
      <c r="BB745" s="68"/>
      <c r="BC745" s="68"/>
      <c r="BD745" s="68"/>
      <c r="BE745" s="68"/>
      <c r="BF745" s="68"/>
      <c r="BG745" s="68"/>
      <c r="BH745" s="68"/>
      <c r="BI745" s="68"/>
      <c r="BJ745" s="68"/>
      <c r="BK745" s="68"/>
      <c r="BL745" s="68"/>
      <c r="BM745" s="68"/>
      <c r="BN745" s="68"/>
      <c r="BO745" s="68"/>
      <c r="BP745" s="68"/>
      <c r="BQ745" s="68"/>
      <c r="BR745" s="68"/>
      <c r="BS745" s="68"/>
      <c r="BT745" s="68"/>
      <c r="BU745" s="68"/>
      <c r="BV745" s="68"/>
      <c r="BW745" s="68"/>
      <c r="BX745" s="68"/>
      <c r="BY745" s="68"/>
      <c r="BZ745" s="68"/>
      <c r="CA745" s="68"/>
      <c r="CB745" s="68"/>
      <c r="CC745" s="68"/>
      <c r="CD745" s="68"/>
      <c r="CE745" s="68"/>
      <c r="CF745" s="68"/>
      <c r="CG745" s="68"/>
      <c r="CH745" s="68"/>
      <c r="CI745" s="68"/>
      <c r="CJ745" s="68"/>
      <c r="CK745" s="68"/>
      <c r="CL745" s="68"/>
      <c r="CM745" s="68"/>
      <c r="CN745" s="68"/>
      <c r="CO745" s="68"/>
      <c r="CP745" s="68"/>
      <c r="CQ745" s="68"/>
      <c r="CR745" s="68"/>
      <c r="CS745" s="68"/>
      <c r="CT745" s="68"/>
      <c r="CU745" s="68"/>
      <c r="CV745" s="68"/>
      <c r="CW745" s="68"/>
      <c r="CX745" s="68"/>
    </row>
    <row r="746" spans="1:102" s="71" customFormat="1" hidden="1">
      <c r="A746" s="109"/>
      <c r="B746" s="109"/>
      <c r="C746" s="109"/>
      <c r="D746" s="115"/>
      <c r="E746" s="100"/>
      <c r="F746" s="100"/>
      <c r="G746" s="111"/>
      <c r="H746" s="105"/>
      <c r="I746" s="111"/>
      <c r="J746" s="111"/>
      <c r="K746" s="112"/>
      <c r="L746" s="113"/>
      <c r="M746" s="114"/>
      <c r="N746" s="100"/>
      <c r="O746" s="114"/>
      <c r="P746" s="65"/>
      <c r="Q746" s="103"/>
      <c r="R746" s="103"/>
      <c r="S746" s="103"/>
      <c r="T746" s="103"/>
      <c r="U746" s="68"/>
      <c r="V746" s="69"/>
      <c r="W746" s="68"/>
      <c r="X746" s="68"/>
      <c r="Y746" s="68"/>
      <c r="Z746" s="68"/>
      <c r="AA746" s="68"/>
      <c r="AB746" s="68"/>
      <c r="AC746" s="68"/>
      <c r="AD746" s="68"/>
      <c r="AE746" s="68"/>
      <c r="AF746" s="68"/>
      <c r="AG746" s="68"/>
      <c r="AH746" s="68"/>
      <c r="AI746" s="68"/>
      <c r="AJ746" s="68"/>
      <c r="AK746" s="68"/>
      <c r="AL746" s="68"/>
      <c r="AM746" s="68"/>
      <c r="AN746" s="68"/>
      <c r="AO746" s="68"/>
      <c r="AP746" s="68"/>
      <c r="AQ746" s="68"/>
      <c r="AR746" s="68"/>
      <c r="AS746" s="68"/>
      <c r="AT746" s="68"/>
      <c r="AU746" s="68"/>
      <c r="AV746" s="68"/>
      <c r="AW746" s="68"/>
      <c r="AX746" s="68"/>
      <c r="AY746" s="68"/>
      <c r="AZ746" s="68"/>
      <c r="BA746" s="68"/>
      <c r="BB746" s="68"/>
      <c r="BC746" s="68"/>
      <c r="BD746" s="68"/>
      <c r="BE746" s="68"/>
      <c r="BF746" s="68"/>
      <c r="BG746" s="68"/>
      <c r="BH746" s="68"/>
      <c r="BI746" s="68"/>
      <c r="BJ746" s="68"/>
      <c r="BK746" s="68"/>
      <c r="BL746" s="68"/>
      <c r="BM746" s="68"/>
      <c r="BN746" s="68"/>
      <c r="BO746" s="68"/>
      <c r="BP746" s="68"/>
      <c r="BQ746" s="68"/>
      <c r="BR746" s="68"/>
      <c r="BS746" s="68"/>
      <c r="BT746" s="68"/>
      <c r="BU746" s="68"/>
      <c r="BV746" s="68"/>
      <c r="BW746" s="68"/>
      <c r="BX746" s="68"/>
      <c r="BY746" s="68"/>
      <c r="BZ746" s="68"/>
      <c r="CA746" s="68"/>
      <c r="CB746" s="68"/>
      <c r="CC746" s="68"/>
      <c r="CD746" s="68"/>
      <c r="CE746" s="68"/>
      <c r="CF746" s="68"/>
      <c r="CG746" s="68"/>
      <c r="CH746" s="68"/>
      <c r="CI746" s="68"/>
      <c r="CJ746" s="68"/>
      <c r="CK746" s="68"/>
      <c r="CL746" s="68"/>
      <c r="CM746" s="68"/>
      <c r="CN746" s="68"/>
      <c r="CO746" s="68"/>
      <c r="CP746" s="68"/>
      <c r="CQ746" s="68"/>
      <c r="CR746" s="68"/>
      <c r="CS746" s="68"/>
      <c r="CT746" s="68"/>
      <c r="CU746" s="68"/>
      <c r="CV746" s="68"/>
      <c r="CW746" s="68"/>
      <c r="CX746" s="68"/>
    </row>
    <row r="747" spans="1:102" s="71" customFormat="1" hidden="1">
      <c r="A747" s="109"/>
      <c r="B747" s="109"/>
      <c r="C747" s="109"/>
      <c r="D747" s="115"/>
      <c r="E747" s="100"/>
      <c r="F747" s="100"/>
      <c r="G747" s="111"/>
      <c r="H747" s="105"/>
      <c r="I747" s="111"/>
      <c r="J747" s="111"/>
      <c r="K747" s="112"/>
      <c r="L747" s="113"/>
      <c r="M747" s="114"/>
      <c r="N747" s="100"/>
      <c r="O747" s="114"/>
      <c r="P747" s="65"/>
      <c r="Q747" s="103"/>
      <c r="R747" s="103"/>
      <c r="S747" s="103"/>
      <c r="T747" s="103"/>
      <c r="U747" s="68"/>
      <c r="V747" s="69"/>
      <c r="W747" s="68"/>
      <c r="X747" s="68"/>
      <c r="Y747" s="68"/>
      <c r="Z747" s="68"/>
      <c r="AA747" s="68"/>
      <c r="AB747" s="68"/>
      <c r="AC747" s="68"/>
      <c r="AD747" s="68"/>
      <c r="AE747" s="68"/>
      <c r="AF747" s="68"/>
      <c r="AG747" s="68"/>
      <c r="AH747" s="68"/>
      <c r="AI747" s="68"/>
      <c r="AJ747" s="68"/>
      <c r="AK747" s="68"/>
      <c r="AL747" s="68"/>
      <c r="AM747" s="68"/>
      <c r="AN747" s="68"/>
      <c r="AO747" s="68"/>
      <c r="AP747" s="68"/>
      <c r="AQ747" s="68"/>
      <c r="AR747" s="68"/>
      <c r="AS747" s="68"/>
      <c r="AT747" s="68"/>
      <c r="AU747" s="68"/>
      <c r="AV747" s="68"/>
      <c r="AW747" s="68"/>
      <c r="AX747" s="68"/>
      <c r="AY747" s="68"/>
      <c r="AZ747" s="68"/>
      <c r="BA747" s="68"/>
      <c r="BB747" s="68"/>
      <c r="BC747" s="68"/>
      <c r="BD747" s="68"/>
      <c r="BE747" s="68"/>
      <c r="BF747" s="68"/>
      <c r="BG747" s="68"/>
      <c r="BH747" s="68"/>
      <c r="BI747" s="68"/>
      <c r="BJ747" s="68"/>
      <c r="BK747" s="68"/>
      <c r="BL747" s="68"/>
      <c r="BM747" s="68"/>
      <c r="BN747" s="68"/>
      <c r="BO747" s="68"/>
      <c r="BP747" s="68"/>
      <c r="BQ747" s="68"/>
      <c r="BR747" s="68"/>
      <c r="BS747" s="68"/>
      <c r="BT747" s="68"/>
      <c r="BU747" s="68"/>
      <c r="BV747" s="68"/>
      <c r="BW747" s="68"/>
      <c r="BX747" s="68"/>
      <c r="BY747" s="68"/>
      <c r="BZ747" s="68"/>
      <c r="CA747" s="68"/>
      <c r="CB747" s="68"/>
      <c r="CC747" s="68"/>
      <c r="CD747" s="68"/>
      <c r="CE747" s="68"/>
      <c r="CF747" s="68"/>
      <c r="CG747" s="68"/>
      <c r="CH747" s="68"/>
      <c r="CI747" s="68"/>
      <c r="CJ747" s="68"/>
      <c r="CK747" s="68"/>
      <c r="CL747" s="68"/>
      <c r="CM747" s="68"/>
      <c r="CN747" s="68"/>
      <c r="CO747" s="68"/>
      <c r="CP747" s="68"/>
      <c r="CQ747" s="68"/>
      <c r="CR747" s="68"/>
      <c r="CS747" s="68"/>
      <c r="CT747" s="68"/>
      <c r="CU747" s="68"/>
      <c r="CV747" s="68"/>
      <c r="CW747" s="68"/>
      <c r="CX747" s="68"/>
    </row>
    <row r="748" spans="1:102" s="71" customFormat="1" hidden="1">
      <c r="A748" s="109"/>
      <c r="B748" s="109"/>
      <c r="C748" s="109"/>
      <c r="D748" s="115"/>
      <c r="E748" s="100"/>
      <c r="F748" s="100"/>
      <c r="G748" s="111"/>
      <c r="H748" s="105"/>
      <c r="I748" s="111"/>
      <c r="J748" s="111"/>
      <c r="K748" s="112"/>
      <c r="L748" s="113"/>
      <c r="M748" s="114"/>
      <c r="N748" s="100"/>
      <c r="O748" s="114"/>
      <c r="P748" s="65"/>
      <c r="Q748" s="103"/>
      <c r="R748" s="103"/>
      <c r="S748" s="103"/>
      <c r="T748" s="103"/>
      <c r="U748" s="68"/>
      <c r="V748" s="69"/>
      <c r="W748" s="68"/>
      <c r="X748" s="68"/>
      <c r="Y748" s="68"/>
      <c r="Z748" s="68"/>
      <c r="AA748" s="68"/>
      <c r="AB748" s="68"/>
      <c r="AC748" s="68"/>
      <c r="AD748" s="68"/>
      <c r="AE748" s="68"/>
      <c r="AF748" s="68"/>
      <c r="AG748" s="68"/>
      <c r="AH748" s="68"/>
      <c r="AI748" s="68"/>
      <c r="AJ748" s="68"/>
      <c r="AK748" s="68"/>
      <c r="AL748" s="68"/>
      <c r="AM748" s="68"/>
      <c r="AN748" s="68"/>
      <c r="AO748" s="68"/>
      <c r="AP748" s="68"/>
      <c r="AQ748" s="68"/>
      <c r="AR748" s="68"/>
      <c r="AS748" s="68"/>
      <c r="AT748" s="68"/>
      <c r="AU748" s="68"/>
      <c r="AV748" s="68"/>
      <c r="AW748" s="68"/>
      <c r="AX748" s="68"/>
      <c r="AY748" s="68"/>
      <c r="AZ748" s="68"/>
      <c r="BA748" s="68"/>
      <c r="BB748" s="68"/>
      <c r="BC748" s="68"/>
      <c r="BD748" s="68"/>
      <c r="BE748" s="68"/>
      <c r="BF748" s="68"/>
      <c r="BG748" s="68"/>
      <c r="BH748" s="68"/>
      <c r="BI748" s="68"/>
      <c r="BJ748" s="68"/>
      <c r="BK748" s="68"/>
      <c r="BL748" s="68"/>
      <c r="BM748" s="68"/>
      <c r="BN748" s="68"/>
      <c r="BO748" s="68"/>
      <c r="BP748" s="68"/>
      <c r="BQ748" s="68"/>
      <c r="BR748" s="68"/>
      <c r="BS748" s="68"/>
      <c r="BT748" s="68"/>
      <c r="BU748" s="68"/>
      <c r="BV748" s="68"/>
      <c r="BW748" s="68"/>
      <c r="BX748" s="68"/>
      <c r="BY748" s="68"/>
      <c r="BZ748" s="68"/>
      <c r="CA748" s="68"/>
      <c r="CB748" s="68"/>
      <c r="CC748" s="68"/>
      <c r="CD748" s="68"/>
      <c r="CE748" s="68"/>
      <c r="CF748" s="68"/>
      <c r="CG748" s="68"/>
      <c r="CH748" s="68"/>
      <c r="CI748" s="68"/>
      <c r="CJ748" s="68"/>
      <c r="CK748" s="68"/>
      <c r="CL748" s="68"/>
      <c r="CM748" s="68"/>
      <c r="CN748" s="68"/>
      <c r="CO748" s="68"/>
      <c r="CP748" s="68"/>
      <c r="CQ748" s="68"/>
      <c r="CR748" s="68"/>
      <c r="CS748" s="68"/>
      <c r="CT748" s="68"/>
      <c r="CU748" s="68"/>
      <c r="CV748" s="68"/>
      <c r="CW748" s="68"/>
      <c r="CX748" s="68"/>
    </row>
    <row r="749" spans="1:102" s="71" customFormat="1" hidden="1">
      <c r="A749" s="109"/>
      <c r="B749" s="109"/>
      <c r="C749" s="109"/>
      <c r="D749" s="115"/>
      <c r="E749" s="100"/>
      <c r="F749" s="100"/>
      <c r="G749" s="111"/>
      <c r="H749" s="105"/>
      <c r="I749" s="111"/>
      <c r="J749" s="111"/>
      <c r="K749" s="112"/>
      <c r="L749" s="113"/>
      <c r="M749" s="114"/>
      <c r="N749" s="100"/>
      <c r="O749" s="114"/>
      <c r="P749" s="65"/>
      <c r="Q749" s="103"/>
      <c r="R749" s="103"/>
      <c r="S749" s="103"/>
      <c r="T749" s="103"/>
      <c r="U749" s="68"/>
      <c r="V749" s="69"/>
      <c r="W749" s="68"/>
      <c r="X749" s="68"/>
      <c r="Y749" s="68"/>
      <c r="Z749" s="68"/>
      <c r="AA749" s="68"/>
      <c r="AB749" s="68"/>
      <c r="AC749" s="68"/>
      <c r="AD749" s="68"/>
      <c r="AE749" s="68"/>
      <c r="AF749" s="68"/>
      <c r="AG749" s="68"/>
      <c r="AH749" s="68"/>
      <c r="AI749" s="68"/>
      <c r="AJ749" s="68"/>
      <c r="AK749" s="68"/>
      <c r="AL749" s="68"/>
      <c r="AM749" s="68"/>
      <c r="AN749" s="68"/>
      <c r="AO749" s="68"/>
      <c r="AP749" s="68"/>
      <c r="AQ749" s="68"/>
      <c r="AR749" s="68"/>
      <c r="AS749" s="68"/>
      <c r="AT749" s="68"/>
      <c r="AU749" s="68"/>
      <c r="AV749" s="68"/>
      <c r="AW749" s="68"/>
      <c r="AX749" s="68"/>
      <c r="AY749" s="68"/>
      <c r="AZ749" s="68"/>
      <c r="BA749" s="68"/>
      <c r="BB749" s="68"/>
      <c r="BC749" s="68"/>
      <c r="BD749" s="68"/>
      <c r="BE749" s="68"/>
      <c r="BF749" s="68"/>
      <c r="BG749" s="68"/>
      <c r="BH749" s="68"/>
      <c r="BI749" s="68"/>
      <c r="BJ749" s="68"/>
      <c r="BK749" s="68"/>
      <c r="BL749" s="68"/>
      <c r="BM749" s="68"/>
      <c r="BN749" s="68"/>
      <c r="BO749" s="68"/>
      <c r="BP749" s="68"/>
      <c r="BQ749" s="68"/>
      <c r="BR749" s="68"/>
      <c r="BS749" s="68"/>
      <c r="BT749" s="68"/>
      <c r="BU749" s="68"/>
      <c r="BV749" s="68"/>
      <c r="BW749" s="68"/>
      <c r="BX749" s="68"/>
      <c r="BY749" s="68"/>
      <c r="BZ749" s="68"/>
      <c r="CA749" s="68"/>
      <c r="CB749" s="68"/>
      <c r="CC749" s="68"/>
      <c r="CD749" s="68"/>
      <c r="CE749" s="68"/>
      <c r="CF749" s="68"/>
      <c r="CG749" s="68"/>
      <c r="CH749" s="68"/>
      <c r="CI749" s="68"/>
      <c r="CJ749" s="68"/>
      <c r="CK749" s="68"/>
      <c r="CL749" s="68"/>
      <c r="CM749" s="68"/>
      <c r="CN749" s="68"/>
      <c r="CO749" s="68"/>
      <c r="CP749" s="68"/>
      <c r="CQ749" s="68"/>
      <c r="CR749" s="68"/>
      <c r="CS749" s="68"/>
      <c r="CT749" s="68"/>
      <c r="CU749" s="68"/>
      <c r="CV749" s="68"/>
      <c r="CW749" s="68"/>
      <c r="CX749" s="68"/>
    </row>
    <row r="750" spans="1:102" s="71" customFormat="1" hidden="1">
      <c r="A750" s="109"/>
      <c r="B750" s="109"/>
      <c r="C750" s="109"/>
      <c r="D750" s="115"/>
      <c r="E750" s="100"/>
      <c r="F750" s="100"/>
      <c r="G750" s="111"/>
      <c r="H750" s="105"/>
      <c r="I750" s="111"/>
      <c r="J750" s="111"/>
      <c r="K750" s="112"/>
      <c r="L750" s="113"/>
      <c r="M750" s="114"/>
      <c r="N750" s="100"/>
      <c r="O750" s="114"/>
      <c r="P750" s="65"/>
      <c r="Q750" s="103"/>
      <c r="R750" s="103"/>
      <c r="S750" s="103"/>
      <c r="T750" s="103"/>
      <c r="U750" s="68"/>
      <c r="V750" s="69"/>
      <c r="W750" s="68"/>
      <c r="X750" s="68"/>
      <c r="Y750" s="68"/>
      <c r="Z750" s="68"/>
      <c r="AA750" s="68"/>
      <c r="AB750" s="68"/>
      <c r="AC750" s="68"/>
      <c r="AD750" s="68"/>
      <c r="AE750" s="68"/>
      <c r="AF750" s="68"/>
      <c r="AG750" s="68"/>
      <c r="AH750" s="68"/>
      <c r="AI750" s="68"/>
      <c r="AJ750" s="68"/>
      <c r="AK750" s="68"/>
      <c r="AL750" s="68"/>
      <c r="AM750" s="68"/>
      <c r="AN750" s="68"/>
      <c r="AO750" s="68"/>
      <c r="AP750" s="68"/>
      <c r="AQ750" s="68"/>
      <c r="AR750" s="68"/>
      <c r="AS750" s="68"/>
      <c r="AT750" s="68"/>
      <c r="AU750" s="68"/>
      <c r="AV750" s="68"/>
      <c r="AW750" s="68"/>
      <c r="AX750" s="68"/>
      <c r="AY750" s="68"/>
      <c r="AZ750" s="68"/>
      <c r="BA750" s="68"/>
      <c r="BB750" s="68"/>
      <c r="BC750" s="68"/>
      <c r="BD750" s="68"/>
      <c r="BE750" s="68"/>
      <c r="BF750" s="68"/>
      <c r="BG750" s="68"/>
      <c r="BH750" s="68"/>
      <c r="BI750" s="68"/>
      <c r="BJ750" s="68"/>
      <c r="BK750" s="68"/>
      <c r="BL750" s="68"/>
      <c r="BM750" s="68"/>
      <c r="BN750" s="68"/>
      <c r="BO750" s="68"/>
      <c r="BP750" s="68"/>
      <c r="BQ750" s="68"/>
      <c r="BR750" s="68"/>
      <c r="BS750" s="68"/>
      <c r="BT750" s="68"/>
      <c r="BU750" s="68"/>
      <c r="BV750" s="68"/>
      <c r="BW750" s="68"/>
      <c r="BX750" s="68"/>
      <c r="BY750" s="68"/>
      <c r="BZ750" s="68"/>
      <c r="CA750" s="68"/>
      <c r="CB750" s="68"/>
      <c r="CC750" s="68"/>
      <c r="CD750" s="68"/>
      <c r="CE750" s="68"/>
      <c r="CF750" s="68"/>
      <c r="CG750" s="68"/>
      <c r="CH750" s="68"/>
      <c r="CI750" s="68"/>
      <c r="CJ750" s="68"/>
      <c r="CK750" s="68"/>
      <c r="CL750" s="68"/>
      <c r="CM750" s="68"/>
      <c r="CN750" s="68"/>
      <c r="CO750" s="68"/>
      <c r="CP750" s="68"/>
      <c r="CQ750" s="68"/>
      <c r="CR750" s="68"/>
      <c r="CS750" s="68"/>
      <c r="CT750" s="68"/>
      <c r="CU750" s="68"/>
      <c r="CV750" s="68"/>
      <c r="CW750" s="68"/>
      <c r="CX750" s="68"/>
    </row>
    <row r="751" spans="1:102" s="71" customFormat="1" hidden="1">
      <c r="A751" s="109"/>
      <c r="B751" s="109"/>
      <c r="C751" s="109"/>
      <c r="D751" s="115"/>
      <c r="E751" s="100"/>
      <c r="F751" s="100"/>
      <c r="G751" s="111"/>
      <c r="H751" s="105"/>
      <c r="I751" s="111"/>
      <c r="J751" s="111"/>
      <c r="K751" s="112"/>
      <c r="L751" s="113"/>
      <c r="M751" s="114"/>
      <c r="N751" s="100"/>
      <c r="O751" s="114"/>
      <c r="P751" s="65"/>
      <c r="Q751" s="103"/>
      <c r="R751" s="103"/>
      <c r="S751" s="103"/>
      <c r="T751" s="103"/>
      <c r="U751" s="68"/>
      <c r="V751" s="69"/>
      <c r="W751" s="68"/>
      <c r="X751" s="68"/>
      <c r="Y751" s="68"/>
      <c r="Z751" s="68"/>
      <c r="AA751" s="68"/>
      <c r="AB751" s="68"/>
      <c r="AC751" s="68"/>
      <c r="AD751" s="68"/>
      <c r="AE751" s="68"/>
      <c r="AF751" s="68"/>
      <c r="AG751" s="68"/>
      <c r="AH751" s="68"/>
      <c r="AI751" s="68"/>
      <c r="AJ751" s="68"/>
      <c r="AK751" s="68"/>
      <c r="AL751" s="68"/>
      <c r="AM751" s="68"/>
      <c r="AN751" s="68"/>
      <c r="AO751" s="68"/>
      <c r="AP751" s="68"/>
      <c r="AQ751" s="68"/>
      <c r="AR751" s="68"/>
      <c r="AS751" s="68"/>
      <c r="AT751" s="68"/>
      <c r="AU751" s="68"/>
      <c r="AV751" s="68"/>
      <c r="AW751" s="68"/>
      <c r="AX751" s="68"/>
      <c r="AY751" s="68"/>
      <c r="AZ751" s="68"/>
      <c r="BA751" s="68"/>
      <c r="BB751" s="68"/>
      <c r="BC751" s="68"/>
      <c r="BD751" s="68"/>
      <c r="BE751" s="68"/>
      <c r="BF751" s="68"/>
      <c r="BG751" s="68"/>
      <c r="BH751" s="68"/>
      <c r="BI751" s="68"/>
      <c r="BJ751" s="68"/>
      <c r="BK751" s="68"/>
      <c r="BL751" s="68"/>
      <c r="BM751" s="68"/>
      <c r="BN751" s="68"/>
      <c r="BO751" s="68"/>
      <c r="BP751" s="68"/>
      <c r="BQ751" s="68"/>
      <c r="BR751" s="68"/>
      <c r="BS751" s="68"/>
      <c r="BT751" s="68"/>
      <c r="BU751" s="68"/>
      <c r="BV751" s="68"/>
      <c r="BW751" s="68"/>
      <c r="BX751" s="68"/>
      <c r="BY751" s="68"/>
      <c r="BZ751" s="68"/>
      <c r="CA751" s="68"/>
      <c r="CB751" s="68"/>
      <c r="CC751" s="68"/>
      <c r="CD751" s="68"/>
      <c r="CE751" s="68"/>
      <c r="CF751" s="68"/>
      <c r="CG751" s="68"/>
      <c r="CH751" s="68"/>
      <c r="CI751" s="68"/>
      <c r="CJ751" s="68"/>
      <c r="CK751" s="68"/>
      <c r="CL751" s="68"/>
      <c r="CM751" s="68"/>
      <c r="CN751" s="68"/>
      <c r="CO751" s="68"/>
      <c r="CP751" s="68"/>
      <c r="CQ751" s="68"/>
      <c r="CR751" s="68"/>
      <c r="CS751" s="68"/>
      <c r="CT751" s="68"/>
      <c r="CU751" s="68"/>
      <c r="CV751" s="68"/>
      <c r="CW751" s="68"/>
      <c r="CX751" s="68"/>
    </row>
    <row r="752" spans="1:102" s="71" customFormat="1" hidden="1">
      <c r="A752" s="109"/>
      <c r="B752" s="109"/>
      <c r="C752" s="109"/>
      <c r="D752" s="115"/>
      <c r="E752" s="100"/>
      <c r="F752" s="100"/>
      <c r="G752" s="111"/>
      <c r="H752" s="105"/>
      <c r="I752" s="111"/>
      <c r="J752" s="111"/>
      <c r="K752" s="112"/>
      <c r="L752" s="113"/>
      <c r="M752" s="114"/>
      <c r="N752" s="100"/>
      <c r="O752" s="114"/>
      <c r="P752" s="65"/>
      <c r="Q752" s="103"/>
      <c r="R752" s="103"/>
      <c r="S752" s="103"/>
      <c r="T752" s="103"/>
      <c r="U752" s="68"/>
      <c r="V752" s="69"/>
      <c r="W752" s="68"/>
      <c r="X752" s="68"/>
      <c r="Y752" s="68"/>
      <c r="Z752" s="68"/>
      <c r="AA752" s="68"/>
      <c r="AB752" s="68"/>
      <c r="AC752" s="68"/>
      <c r="AD752" s="68"/>
      <c r="AE752" s="68"/>
      <c r="AF752" s="68"/>
      <c r="AG752" s="68"/>
      <c r="AH752" s="68"/>
      <c r="AI752" s="68"/>
      <c r="AJ752" s="68"/>
      <c r="AK752" s="68"/>
      <c r="AL752" s="68"/>
      <c r="AM752" s="68"/>
      <c r="AN752" s="68"/>
      <c r="AO752" s="68"/>
      <c r="AP752" s="68"/>
      <c r="AQ752" s="68"/>
      <c r="AR752" s="68"/>
      <c r="AS752" s="68"/>
      <c r="AT752" s="68"/>
      <c r="AU752" s="68"/>
      <c r="AV752" s="68"/>
      <c r="AW752" s="68"/>
      <c r="AX752" s="68"/>
      <c r="AY752" s="68"/>
      <c r="AZ752" s="68"/>
      <c r="BA752" s="68"/>
      <c r="BB752" s="68"/>
      <c r="BC752" s="68"/>
      <c r="BD752" s="68"/>
      <c r="BE752" s="68"/>
      <c r="BF752" s="68"/>
      <c r="BG752" s="68"/>
      <c r="BH752" s="68"/>
      <c r="BI752" s="68"/>
      <c r="BJ752" s="68"/>
      <c r="BK752" s="68"/>
      <c r="BL752" s="68"/>
      <c r="BM752" s="68"/>
      <c r="BN752" s="68"/>
      <c r="BO752" s="68"/>
      <c r="BP752" s="68"/>
      <c r="BQ752" s="68"/>
      <c r="BR752" s="68"/>
      <c r="BS752" s="68"/>
      <c r="BT752" s="68"/>
      <c r="BU752" s="68"/>
      <c r="BV752" s="68"/>
      <c r="BW752" s="68"/>
      <c r="BX752" s="68"/>
      <c r="BY752" s="68"/>
      <c r="BZ752" s="68"/>
      <c r="CA752" s="68"/>
      <c r="CB752" s="68"/>
      <c r="CC752" s="68"/>
      <c r="CD752" s="68"/>
      <c r="CE752" s="68"/>
      <c r="CF752" s="68"/>
      <c r="CG752" s="68"/>
      <c r="CH752" s="68"/>
      <c r="CI752" s="68"/>
      <c r="CJ752" s="68"/>
      <c r="CK752" s="68"/>
      <c r="CL752" s="68"/>
      <c r="CM752" s="68"/>
      <c r="CN752" s="68"/>
      <c r="CO752" s="68"/>
      <c r="CP752" s="68"/>
      <c r="CQ752" s="68"/>
      <c r="CR752" s="68"/>
      <c r="CS752" s="68"/>
      <c r="CT752" s="68"/>
      <c r="CU752" s="68"/>
      <c r="CV752" s="68"/>
      <c r="CW752" s="68"/>
      <c r="CX752" s="68"/>
    </row>
    <row r="753" spans="1:102" s="71" customFormat="1" hidden="1">
      <c r="A753" s="109"/>
      <c r="B753" s="109"/>
      <c r="C753" s="109"/>
      <c r="D753" s="115"/>
      <c r="E753" s="100"/>
      <c r="F753" s="100"/>
      <c r="G753" s="111"/>
      <c r="H753" s="105"/>
      <c r="I753" s="111"/>
      <c r="J753" s="111"/>
      <c r="K753" s="112"/>
      <c r="L753" s="113"/>
      <c r="M753" s="114"/>
      <c r="N753" s="100"/>
      <c r="O753" s="114"/>
      <c r="P753" s="65"/>
      <c r="Q753" s="103"/>
      <c r="R753" s="103"/>
      <c r="S753" s="103"/>
      <c r="T753" s="103"/>
      <c r="U753" s="68"/>
      <c r="V753" s="69"/>
      <c r="W753" s="68"/>
      <c r="X753" s="68"/>
      <c r="Y753" s="68"/>
      <c r="Z753" s="68"/>
      <c r="AA753" s="68"/>
      <c r="AB753" s="68"/>
      <c r="AC753" s="68"/>
      <c r="AD753" s="68"/>
      <c r="AE753" s="68"/>
      <c r="AF753" s="68"/>
      <c r="AG753" s="68"/>
      <c r="AH753" s="68"/>
      <c r="AI753" s="68"/>
      <c r="AJ753" s="68"/>
      <c r="AK753" s="68"/>
      <c r="AL753" s="68"/>
      <c r="AM753" s="68"/>
      <c r="AN753" s="68"/>
      <c r="AO753" s="68"/>
      <c r="AP753" s="68"/>
      <c r="AQ753" s="68"/>
      <c r="AR753" s="68"/>
      <c r="AS753" s="68"/>
      <c r="AT753" s="68"/>
      <c r="AU753" s="68"/>
      <c r="AV753" s="68"/>
      <c r="AW753" s="68"/>
      <c r="AX753" s="68"/>
      <c r="AY753" s="68"/>
      <c r="AZ753" s="68"/>
      <c r="BA753" s="68"/>
      <c r="BB753" s="68"/>
      <c r="BC753" s="68"/>
      <c r="BD753" s="68"/>
      <c r="BE753" s="68"/>
      <c r="BF753" s="68"/>
      <c r="BG753" s="68"/>
      <c r="BH753" s="68"/>
      <c r="BI753" s="68"/>
      <c r="BJ753" s="68"/>
      <c r="BK753" s="68"/>
      <c r="BL753" s="68"/>
      <c r="BM753" s="68"/>
      <c r="BN753" s="68"/>
      <c r="BO753" s="68"/>
      <c r="BP753" s="68"/>
      <c r="BQ753" s="68"/>
      <c r="BR753" s="68"/>
      <c r="BS753" s="68"/>
      <c r="BT753" s="68"/>
      <c r="BU753" s="68"/>
      <c r="BV753" s="68"/>
      <c r="BW753" s="68"/>
      <c r="BX753" s="68"/>
      <c r="BY753" s="68"/>
      <c r="BZ753" s="68"/>
      <c r="CA753" s="68"/>
      <c r="CB753" s="68"/>
      <c r="CC753" s="68"/>
      <c r="CD753" s="68"/>
      <c r="CE753" s="68"/>
      <c r="CF753" s="68"/>
      <c r="CG753" s="68"/>
      <c r="CH753" s="68"/>
      <c r="CI753" s="68"/>
      <c r="CJ753" s="68"/>
      <c r="CK753" s="68"/>
      <c r="CL753" s="68"/>
      <c r="CM753" s="68"/>
      <c r="CN753" s="68"/>
      <c r="CO753" s="68"/>
      <c r="CP753" s="68"/>
      <c r="CQ753" s="68"/>
      <c r="CR753" s="68"/>
      <c r="CS753" s="68"/>
      <c r="CT753" s="68"/>
      <c r="CU753" s="68"/>
      <c r="CV753" s="68"/>
      <c r="CW753" s="68"/>
      <c r="CX753" s="68"/>
    </row>
    <row r="754" spans="1:102" s="71" customFormat="1" hidden="1">
      <c r="A754" s="109"/>
      <c r="B754" s="109"/>
      <c r="C754" s="109"/>
      <c r="D754" s="115"/>
      <c r="E754" s="100"/>
      <c r="F754" s="100"/>
      <c r="G754" s="111"/>
      <c r="H754" s="105"/>
      <c r="I754" s="111"/>
      <c r="J754" s="111"/>
      <c r="K754" s="112"/>
      <c r="L754" s="113"/>
      <c r="M754" s="114"/>
      <c r="N754" s="100"/>
      <c r="O754" s="114"/>
      <c r="P754" s="65"/>
      <c r="Q754" s="103"/>
      <c r="R754" s="103"/>
      <c r="S754" s="103"/>
      <c r="T754" s="103"/>
      <c r="U754" s="68"/>
      <c r="V754" s="69"/>
      <c r="W754" s="68"/>
      <c r="X754" s="68"/>
      <c r="Y754" s="68"/>
      <c r="Z754" s="68"/>
      <c r="AA754" s="68"/>
      <c r="AB754" s="68"/>
      <c r="AC754" s="68"/>
      <c r="AD754" s="68"/>
      <c r="AE754" s="68"/>
      <c r="AF754" s="68"/>
      <c r="AG754" s="68"/>
      <c r="AH754" s="68"/>
      <c r="AI754" s="68"/>
      <c r="AJ754" s="68"/>
      <c r="AK754" s="68"/>
      <c r="AL754" s="68"/>
      <c r="AM754" s="68"/>
      <c r="AN754" s="68"/>
      <c r="AO754" s="68"/>
      <c r="AP754" s="68"/>
      <c r="AQ754" s="68"/>
      <c r="AR754" s="68"/>
      <c r="AS754" s="68"/>
      <c r="AT754" s="68"/>
      <c r="AU754" s="68"/>
      <c r="AV754" s="68"/>
      <c r="AW754" s="68"/>
      <c r="AX754" s="68"/>
      <c r="AY754" s="68"/>
      <c r="AZ754" s="68"/>
      <c r="BA754" s="68"/>
      <c r="BB754" s="68"/>
      <c r="BC754" s="68"/>
      <c r="BD754" s="68"/>
      <c r="BE754" s="68"/>
      <c r="BF754" s="68"/>
      <c r="BG754" s="68"/>
      <c r="BH754" s="68"/>
      <c r="BI754" s="68"/>
      <c r="BJ754" s="68"/>
      <c r="BK754" s="68"/>
      <c r="BL754" s="68"/>
      <c r="BM754" s="68"/>
      <c r="BN754" s="68"/>
      <c r="BO754" s="68"/>
      <c r="BP754" s="68"/>
      <c r="BQ754" s="68"/>
      <c r="BR754" s="68"/>
      <c r="BS754" s="68"/>
      <c r="BT754" s="68"/>
      <c r="BU754" s="68"/>
      <c r="BV754" s="68"/>
      <c r="BW754" s="68"/>
      <c r="BX754" s="68"/>
      <c r="BY754" s="68"/>
      <c r="BZ754" s="68"/>
      <c r="CA754" s="68"/>
      <c r="CB754" s="68"/>
      <c r="CC754" s="68"/>
      <c r="CD754" s="68"/>
      <c r="CE754" s="68"/>
      <c r="CF754" s="68"/>
      <c r="CG754" s="68"/>
      <c r="CH754" s="68"/>
      <c r="CI754" s="68"/>
      <c r="CJ754" s="68"/>
      <c r="CK754" s="68"/>
      <c r="CL754" s="68"/>
      <c r="CM754" s="68"/>
      <c r="CN754" s="68"/>
      <c r="CO754" s="68"/>
      <c r="CP754" s="68"/>
      <c r="CQ754" s="68"/>
      <c r="CR754" s="68"/>
      <c r="CS754" s="68"/>
      <c r="CT754" s="68"/>
      <c r="CU754" s="68"/>
      <c r="CV754" s="68"/>
      <c r="CW754" s="68"/>
      <c r="CX754" s="68"/>
    </row>
    <row r="755" spans="1:102" s="71" customFormat="1" hidden="1">
      <c r="A755" s="109"/>
      <c r="B755" s="109"/>
      <c r="C755" s="109"/>
      <c r="D755" s="115"/>
      <c r="E755" s="100"/>
      <c r="F755" s="100"/>
      <c r="G755" s="111"/>
      <c r="H755" s="105"/>
      <c r="I755" s="111"/>
      <c r="J755" s="111"/>
      <c r="K755" s="112"/>
      <c r="L755" s="113"/>
      <c r="M755" s="114"/>
      <c r="N755" s="100"/>
      <c r="O755" s="114"/>
      <c r="P755" s="65"/>
      <c r="Q755" s="103"/>
      <c r="R755" s="103"/>
      <c r="S755" s="103"/>
      <c r="T755" s="103"/>
      <c r="U755" s="68"/>
      <c r="V755" s="69"/>
      <c r="W755" s="68"/>
      <c r="X755" s="68"/>
      <c r="Y755" s="68"/>
      <c r="Z755" s="68"/>
      <c r="AA755" s="68"/>
      <c r="AB755" s="68"/>
      <c r="AC755" s="68"/>
      <c r="AD755" s="68"/>
      <c r="AE755" s="68"/>
      <c r="AF755" s="68"/>
      <c r="AG755" s="68"/>
      <c r="AH755" s="68"/>
      <c r="AI755" s="68"/>
      <c r="AJ755" s="68"/>
      <c r="AK755" s="68"/>
      <c r="AL755" s="68"/>
      <c r="AM755" s="68"/>
      <c r="AN755" s="68"/>
      <c r="AO755" s="68"/>
      <c r="AP755" s="68"/>
      <c r="AQ755" s="68"/>
      <c r="AR755" s="68"/>
      <c r="AS755" s="68"/>
      <c r="AT755" s="68"/>
      <c r="AU755" s="68"/>
      <c r="AV755" s="68"/>
      <c r="AW755" s="68"/>
      <c r="AX755" s="68"/>
      <c r="AY755" s="68"/>
      <c r="AZ755" s="68"/>
      <c r="BA755" s="68"/>
      <c r="BB755" s="68"/>
      <c r="BC755" s="68"/>
      <c r="BD755" s="68"/>
      <c r="BE755" s="68"/>
      <c r="BF755" s="68"/>
      <c r="BG755" s="68"/>
      <c r="BH755" s="68"/>
      <c r="BI755" s="68"/>
      <c r="BJ755" s="68"/>
      <c r="BK755" s="68"/>
      <c r="BL755" s="68"/>
      <c r="BM755" s="68"/>
      <c r="BN755" s="68"/>
      <c r="BO755" s="68"/>
      <c r="BP755" s="68"/>
      <c r="BQ755" s="68"/>
      <c r="BR755" s="68"/>
      <c r="BS755" s="68"/>
      <c r="BT755" s="68"/>
      <c r="BU755" s="68"/>
      <c r="BV755" s="68"/>
      <c r="BW755" s="68"/>
      <c r="BX755" s="68"/>
      <c r="BY755" s="68"/>
      <c r="BZ755" s="68"/>
      <c r="CA755" s="68"/>
      <c r="CB755" s="68"/>
      <c r="CC755" s="68"/>
      <c r="CD755" s="68"/>
      <c r="CE755" s="68"/>
      <c r="CF755" s="68"/>
      <c r="CG755" s="68"/>
      <c r="CH755" s="68"/>
      <c r="CI755" s="68"/>
      <c r="CJ755" s="68"/>
      <c r="CK755" s="68"/>
      <c r="CL755" s="68"/>
      <c r="CM755" s="68"/>
      <c r="CN755" s="68"/>
      <c r="CO755" s="68"/>
      <c r="CP755" s="68"/>
      <c r="CQ755" s="68"/>
      <c r="CR755" s="68"/>
      <c r="CS755" s="68"/>
      <c r="CT755" s="68"/>
      <c r="CU755" s="68"/>
      <c r="CV755" s="68"/>
      <c r="CW755" s="68"/>
      <c r="CX755" s="68"/>
    </row>
    <row r="756" spans="1:102" s="71" customFormat="1" hidden="1">
      <c r="A756" s="109"/>
      <c r="B756" s="109"/>
      <c r="C756" s="109"/>
      <c r="D756" s="115"/>
      <c r="E756" s="100"/>
      <c r="F756" s="100"/>
      <c r="G756" s="111"/>
      <c r="H756" s="105"/>
      <c r="I756" s="111"/>
      <c r="J756" s="111"/>
      <c r="K756" s="112"/>
      <c r="L756" s="113"/>
      <c r="M756" s="114"/>
      <c r="N756" s="100"/>
      <c r="O756" s="114"/>
      <c r="P756" s="65"/>
      <c r="Q756" s="103"/>
      <c r="R756" s="103"/>
      <c r="S756" s="103"/>
      <c r="T756" s="103"/>
      <c r="U756" s="68"/>
      <c r="V756" s="69"/>
      <c r="W756" s="68"/>
      <c r="X756" s="68"/>
      <c r="Y756" s="68"/>
      <c r="Z756" s="68"/>
      <c r="AA756" s="68"/>
      <c r="AB756" s="68"/>
      <c r="AC756" s="68"/>
      <c r="AD756" s="68"/>
      <c r="AE756" s="68"/>
      <c r="AF756" s="68"/>
      <c r="AG756" s="68"/>
      <c r="AH756" s="68"/>
      <c r="AI756" s="68"/>
      <c r="AJ756" s="68"/>
      <c r="AK756" s="68"/>
      <c r="AL756" s="68"/>
      <c r="AM756" s="68"/>
      <c r="AN756" s="68"/>
      <c r="AO756" s="68"/>
      <c r="AP756" s="68"/>
      <c r="AQ756" s="68"/>
      <c r="AR756" s="68"/>
      <c r="AS756" s="68"/>
      <c r="AT756" s="68"/>
      <c r="AU756" s="68"/>
      <c r="AV756" s="68"/>
      <c r="AW756" s="68"/>
      <c r="AX756" s="68"/>
      <c r="AY756" s="68"/>
      <c r="AZ756" s="68"/>
      <c r="BA756" s="68"/>
      <c r="BB756" s="68"/>
      <c r="BC756" s="68"/>
      <c r="BD756" s="68"/>
      <c r="BE756" s="68"/>
      <c r="BF756" s="68"/>
      <c r="BG756" s="68"/>
      <c r="BH756" s="68"/>
      <c r="BI756" s="68"/>
      <c r="BJ756" s="68"/>
      <c r="BK756" s="68"/>
      <c r="BL756" s="68"/>
      <c r="BM756" s="68"/>
      <c r="BN756" s="68"/>
      <c r="BO756" s="68"/>
      <c r="BP756" s="68"/>
      <c r="BQ756" s="68"/>
      <c r="BR756" s="68"/>
      <c r="BS756" s="68"/>
      <c r="BT756" s="68"/>
      <c r="BU756" s="68"/>
      <c r="BV756" s="68"/>
      <c r="BW756" s="68"/>
      <c r="BX756" s="68"/>
      <c r="BY756" s="68"/>
      <c r="BZ756" s="68"/>
      <c r="CA756" s="68"/>
      <c r="CB756" s="68"/>
      <c r="CC756" s="68"/>
      <c r="CD756" s="68"/>
      <c r="CE756" s="68"/>
      <c r="CF756" s="68"/>
      <c r="CG756" s="68"/>
      <c r="CH756" s="68"/>
      <c r="CI756" s="68"/>
      <c r="CJ756" s="68"/>
      <c r="CK756" s="68"/>
      <c r="CL756" s="68"/>
      <c r="CM756" s="68"/>
      <c r="CN756" s="68"/>
      <c r="CO756" s="68"/>
      <c r="CP756" s="68"/>
      <c r="CQ756" s="68"/>
      <c r="CR756" s="68"/>
      <c r="CS756" s="68"/>
      <c r="CT756" s="68"/>
      <c r="CU756" s="68"/>
      <c r="CV756" s="68"/>
      <c r="CW756" s="68"/>
      <c r="CX756" s="68"/>
    </row>
    <row r="757" spans="1:102" s="71" customFormat="1" hidden="1">
      <c r="A757" s="109"/>
      <c r="B757" s="109"/>
      <c r="C757" s="109"/>
      <c r="D757" s="115"/>
      <c r="E757" s="100"/>
      <c r="F757" s="100"/>
      <c r="G757" s="111"/>
      <c r="H757" s="105"/>
      <c r="I757" s="111"/>
      <c r="J757" s="111"/>
      <c r="K757" s="112"/>
      <c r="L757" s="113"/>
      <c r="M757" s="114"/>
      <c r="N757" s="100"/>
      <c r="O757" s="114"/>
      <c r="P757" s="65"/>
      <c r="Q757" s="103"/>
      <c r="R757" s="103"/>
      <c r="S757" s="103"/>
      <c r="T757" s="103"/>
      <c r="U757" s="68"/>
      <c r="V757" s="69"/>
      <c r="W757" s="68"/>
      <c r="X757" s="68"/>
      <c r="Y757" s="68"/>
      <c r="Z757" s="68"/>
      <c r="AA757" s="68"/>
      <c r="AB757" s="68"/>
      <c r="AC757" s="68"/>
      <c r="AD757" s="68"/>
      <c r="AE757" s="68"/>
      <c r="AF757" s="68"/>
      <c r="AG757" s="68"/>
      <c r="AH757" s="68"/>
      <c r="AI757" s="68"/>
      <c r="AJ757" s="68"/>
      <c r="AK757" s="68"/>
      <c r="AL757" s="68"/>
      <c r="AM757" s="68"/>
      <c r="AN757" s="68"/>
      <c r="AO757" s="68"/>
      <c r="AP757" s="68"/>
      <c r="AQ757" s="68"/>
      <c r="AR757" s="68"/>
      <c r="AS757" s="68"/>
      <c r="AT757" s="68"/>
      <c r="AU757" s="68"/>
      <c r="AV757" s="68"/>
      <c r="AW757" s="68"/>
      <c r="AX757" s="68"/>
      <c r="AY757" s="68"/>
      <c r="AZ757" s="68"/>
      <c r="BA757" s="68"/>
      <c r="BB757" s="68"/>
      <c r="BC757" s="68"/>
      <c r="BD757" s="68"/>
      <c r="BE757" s="68"/>
      <c r="BF757" s="68"/>
      <c r="BG757" s="68"/>
      <c r="BH757" s="68"/>
      <c r="BI757" s="68"/>
      <c r="BJ757" s="68"/>
      <c r="BK757" s="68"/>
      <c r="BL757" s="68"/>
      <c r="BM757" s="68"/>
      <c r="BN757" s="68"/>
      <c r="BO757" s="68"/>
      <c r="BP757" s="68"/>
      <c r="BQ757" s="68"/>
      <c r="BR757" s="68"/>
      <c r="BS757" s="68"/>
      <c r="BT757" s="68"/>
      <c r="BU757" s="68"/>
      <c r="BV757" s="68"/>
      <c r="BW757" s="68"/>
      <c r="BX757" s="68"/>
      <c r="BY757" s="68"/>
      <c r="BZ757" s="68"/>
      <c r="CA757" s="68"/>
      <c r="CB757" s="68"/>
      <c r="CC757" s="68"/>
      <c r="CD757" s="68"/>
      <c r="CE757" s="68"/>
      <c r="CF757" s="68"/>
      <c r="CG757" s="68"/>
      <c r="CH757" s="68"/>
      <c r="CI757" s="68"/>
      <c r="CJ757" s="68"/>
      <c r="CK757" s="68"/>
      <c r="CL757" s="68"/>
      <c r="CM757" s="68"/>
      <c r="CN757" s="68"/>
      <c r="CO757" s="68"/>
      <c r="CP757" s="68"/>
      <c r="CQ757" s="68"/>
      <c r="CR757" s="68"/>
      <c r="CS757" s="68"/>
      <c r="CT757" s="68"/>
      <c r="CU757" s="68"/>
      <c r="CV757" s="68"/>
      <c r="CW757" s="68"/>
      <c r="CX757" s="68"/>
    </row>
    <row r="758" spans="1:102" s="71" customFormat="1" hidden="1">
      <c r="A758" s="109"/>
      <c r="B758" s="109"/>
      <c r="C758" s="109"/>
      <c r="D758" s="115"/>
      <c r="E758" s="100"/>
      <c r="F758" s="100"/>
      <c r="G758" s="111"/>
      <c r="H758" s="105"/>
      <c r="I758" s="111"/>
      <c r="J758" s="111"/>
      <c r="K758" s="112"/>
      <c r="L758" s="113"/>
      <c r="M758" s="114"/>
      <c r="N758" s="100"/>
      <c r="O758" s="114"/>
      <c r="P758" s="65"/>
      <c r="Q758" s="103"/>
      <c r="R758" s="103"/>
      <c r="S758" s="103"/>
      <c r="T758" s="103"/>
      <c r="U758" s="68"/>
      <c r="V758" s="69"/>
      <c r="W758" s="68"/>
      <c r="X758" s="68"/>
      <c r="Y758" s="68"/>
      <c r="Z758" s="68"/>
      <c r="AA758" s="68"/>
      <c r="AB758" s="68"/>
      <c r="AC758" s="68"/>
      <c r="AD758" s="68"/>
      <c r="AE758" s="68"/>
      <c r="AF758" s="68"/>
      <c r="AG758" s="68"/>
      <c r="AH758" s="68"/>
      <c r="AI758" s="68"/>
      <c r="AJ758" s="68"/>
      <c r="AK758" s="68"/>
      <c r="AL758" s="68"/>
      <c r="AM758" s="68"/>
      <c r="AN758" s="68"/>
      <c r="AO758" s="68"/>
      <c r="AP758" s="68"/>
      <c r="AQ758" s="68"/>
      <c r="AR758" s="68"/>
      <c r="AS758" s="68"/>
      <c r="AT758" s="68"/>
      <c r="AU758" s="68"/>
      <c r="AV758" s="68"/>
      <c r="AW758" s="68"/>
      <c r="AX758" s="68"/>
      <c r="AY758" s="68"/>
      <c r="AZ758" s="68"/>
      <c r="BA758" s="68"/>
      <c r="BB758" s="68"/>
      <c r="BC758" s="68"/>
      <c r="BD758" s="68"/>
      <c r="BE758" s="68"/>
      <c r="BF758" s="68"/>
      <c r="BG758" s="68"/>
      <c r="BH758" s="68"/>
      <c r="BI758" s="68"/>
      <c r="BJ758" s="68"/>
      <c r="BK758" s="68"/>
      <c r="BL758" s="68"/>
      <c r="BM758" s="68"/>
      <c r="BN758" s="68"/>
      <c r="BO758" s="68"/>
      <c r="BP758" s="68"/>
      <c r="BQ758" s="68"/>
      <c r="BR758" s="68"/>
      <c r="BS758" s="68"/>
      <c r="BT758" s="68"/>
      <c r="BU758" s="68"/>
      <c r="BV758" s="68"/>
      <c r="BW758" s="68"/>
      <c r="BX758" s="68"/>
      <c r="BY758" s="68"/>
      <c r="BZ758" s="68"/>
      <c r="CA758" s="68"/>
      <c r="CB758" s="68"/>
      <c r="CC758" s="68"/>
      <c r="CD758" s="68"/>
      <c r="CE758" s="68"/>
      <c r="CF758" s="68"/>
      <c r="CG758" s="68"/>
      <c r="CH758" s="68"/>
      <c r="CI758" s="68"/>
      <c r="CJ758" s="68"/>
      <c r="CK758" s="68"/>
      <c r="CL758" s="68"/>
      <c r="CM758" s="68"/>
      <c r="CN758" s="68"/>
      <c r="CO758" s="68"/>
      <c r="CP758" s="68"/>
      <c r="CQ758" s="68"/>
      <c r="CR758" s="68"/>
      <c r="CS758" s="68"/>
      <c r="CT758" s="68"/>
      <c r="CU758" s="68"/>
      <c r="CV758" s="68"/>
      <c r="CW758" s="68"/>
      <c r="CX758" s="68"/>
    </row>
    <row r="759" spans="1:102" s="71" customFormat="1" hidden="1">
      <c r="A759" s="109"/>
      <c r="B759" s="109"/>
      <c r="C759" s="109"/>
      <c r="D759" s="115"/>
      <c r="E759" s="100"/>
      <c r="F759" s="100"/>
      <c r="G759" s="111"/>
      <c r="H759" s="105"/>
      <c r="I759" s="111"/>
      <c r="J759" s="111"/>
      <c r="K759" s="112"/>
      <c r="L759" s="113"/>
      <c r="M759" s="114"/>
      <c r="N759" s="100"/>
      <c r="O759" s="114"/>
      <c r="P759" s="65"/>
      <c r="Q759" s="103"/>
      <c r="R759" s="103"/>
      <c r="S759" s="103"/>
      <c r="T759" s="103"/>
      <c r="U759" s="68"/>
      <c r="V759" s="69"/>
      <c r="W759" s="68"/>
      <c r="X759" s="68"/>
      <c r="Y759" s="68"/>
      <c r="Z759" s="68"/>
      <c r="AA759" s="68"/>
      <c r="AB759" s="68"/>
      <c r="AC759" s="68"/>
      <c r="AD759" s="68"/>
      <c r="AE759" s="68"/>
      <c r="AF759" s="68"/>
      <c r="AG759" s="68"/>
      <c r="AH759" s="68"/>
      <c r="AI759" s="68"/>
      <c r="AJ759" s="68"/>
      <c r="AK759" s="68"/>
      <c r="AL759" s="68"/>
      <c r="AM759" s="68"/>
      <c r="AN759" s="68"/>
      <c r="AO759" s="68"/>
      <c r="AP759" s="68"/>
      <c r="AQ759" s="68"/>
      <c r="AR759" s="68"/>
      <c r="AS759" s="68"/>
      <c r="AT759" s="68"/>
      <c r="AU759" s="68"/>
      <c r="AV759" s="68"/>
      <c r="AW759" s="68"/>
      <c r="AX759" s="68"/>
      <c r="AY759" s="68"/>
      <c r="AZ759" s="68"/>
      <c r="BA759" s="68"/>
      <c r="BB759" s="68"/>
      <c r="BC759" s="68"/>
      <c r="BD759" s="68"/>
      <c r="BE759" s="68"/>
      <c r="BF759" s="68"/>
      <c r="BG759" s="68"/>
      <c r="BH759" s="68"/>
      <c r="BI759" s="68"/>
      <c r="BJ759" s="68"/>
      <c r="BK759" s="68"/>
      <c r="BL759" s="68"/>
      <c r="BM759" s="68"/>
      <c r="BN759" s="68"/>
      <c r="BO759" s="68"/>
      <c r="BP759" s="68"/>
      <c r="BQ759" s="68"/>
      <c r="BR759" s="68"/>
      <c r="BS759" s="68"/>
      <c r="BT759" s="68"/>
      <c r="BU759" s="68"/>
      <c r="BV759" s="68"/>
      <c r="BW759" s="68"/>
      <c r="BX759" s="68"/>
      <c r="BY759" s="68"/>
      <c r="BZ759" s="68"/>
      <c r="CA759" s="68"/>
      <c r="CB759" s="68"/>
      <c r="CC759" s="68"/>
      <c r="CD759" s="68"/>
      <c r="CE759" s="68"/>
      <c r="CF759" s="68"/>
      <c r="CG759" s="68"/>
      <c r="CH759" s="68"/>
      <c r="CI759" s="68"/>
      <c r="CJ759" s="68"/>
      <c r="CK759" s="68"/>
      <c r="CL759" s="68"/>
      <c r="CM759" s="68"/>
      <c r="CN759" s="68"/>
      <c r="CO759" s="68"/>
      <c r="CP759" s="68"/>
      <c r="CQ759" s="68"/>
      <c r="CR759" s="68"/>
      <c r="CS759" s="68"/>
      <c r="CT759" s="68"/>
      <c r="CU759" s="68"/>
      <c r="CV759" s="68"/>
      <c r="CW759" s="68"/>
      <c r="CX759" s="68"/>
    </row>
    <row r="760" spans="1:102" s="71" customFormat="1" hidden="1">
      <c r="A760" s="109"/>
      <c r="B760" s="109"/>
      <c r="C760" s="109"/>
      <c r="D760" s="115"/>
      <c r="E760" s="100"/>
      <c r="F760" s="100"/>
      <c r="G760" s="111"/>
      <c r="H760" s="105"/>
      <c r="I760" s="111"/>
      <c r="J760" s="111"/>
      <c r="K760" s="112"/>
      <c r="L760" s="113"/>
      <c r="M760" s="114"/>
      <c r="N760" s="100"/>
      <c r="O760" s="114"/>
      <c r="P760" s="65"/>
      <c r="Q760" s="103"/>
      <c r="R760" s="103"/>
      <c r="S760" s="103"/>
      <c r="T760" s="103"/>
      <c r="U760" s="68"/>
      <c r="V760" s="69"/>
      <c r="W760" s="68"/>
      <c r="X760" s="68"/>
      <c r="Y760" s="68"/>
      <c r="Z760" s="68"/>
      <c r="AA760" s="68"/>
      <c r="AB760" s="68"/>
      <c r="AC760" s="68"/>
      <c r="AD760" s="68"/>
      <c r="AE760" s="68"/>
      <c r="AF760" s="68"/>
      <c r="AG760" s="68"/>
      <c r="AH760" s="68"/>
      <c r="AI760" s="68"/>
      <c r="AJ760" s="68"/>
      <c r="AK760" s="68"/>
      <c r="AL760" s="68"/>
      <c r="AM760" s="68"/>
      <c r="AN760" s="68"/>
      <c r="AO760" s="68"/>
      <c r="AP760" s="68"/>
      <c r="AQ760" s="68"/>
      <c r="AR760" s="68"/>
      <c r="AS760" s="68"/>
      <c r="AT760" s="68"/>
      <c r="AU760" s="68"/>
      <c r="AV760" s="68"/>
      <c r="AW760" s="68"/>
      <c r="AX760" s="68"/>
      <c r="AY760" s="68"/>
      <c r="AZ760" s="68"/>
      <c r="BA760" s="68"/>
      <c r="BB760" s="68"/>
      <c r="BC760" s="68"/>
      <c r="BD760" s="68"/>
      <c r="BE760" s="68"/>
      <c r="BF760" s="68"/>
      <c r="BG760" s="68"/>
      <c r="BH760" s="68"/>
      <c r="BI760" s="68"/>
      <c r="BJ760" s="68"/>
      <c r="BK760" s="68"/>
      <c r="BL760" s="68"/>
      <c r="BM760" s="68"/>
      <c r="BN760" s="68"/>
      <c r="BO760" s="68"/>
      <c r="BP760" s="68"/>
      <c r="BQ760" s="68"/>
      <c r="BR760" s="68"/>
      <c r="BS760" s="68"/>
      <c r="BT760" s="68"/>
      <c r="BU760" s="68"/>
      <c r="BV760" s="68"/>
      <c r="BW760" s="68"/>
      <c r="BX760" s="68"/>
      <c r="BY760" s="68"/>
      <c r="BZ760" s="68"/>
      <c r="CA760" s="68"/>
      <c r="CB760" s="68"/>
      <c r="CC760" s="68"/>
      <c r="CD760" s="68"/>
      <c r="CE760" s="68"/>
      <c r="CF760" s="68"/>
      <c r="CG760" s="68"/>
      <c r="CH760" s="68"/>
      <c r="CI760" s="68"/>
      <c r="CJ760" s="68"/>
      <c r="CK760" s="68"/>
      <c r="CL760" s="68"/>
      <c r="CM760" s="68"/>
      <c r="CN760" s="68"/>
      <c r="CO760" s="68"/>
      <c r="CP760" s="68"/>
      <c r="CQ760" s="68"/>
      <c r="CR760" s="68"/>
      <c r="CS760" s="68"/>
      <c r="CT760" s="68"/>
      <c r="CU760" s="68"/>
      <c r="CV760" s="68"/>
      <c r="CW760" s="68"/>
      <c r="CX760" s="68"/>
    </row>
    <row r="761" spans="1:102" s="71" customFormat="1" hidden="1">
      <c r="A761" s="109"/>
      <c r="B761" s="109"/>
      <c r="C761" s="109"/>
      <c r="D761" s="115"/>
      <c r="E761" s="100"/>
      <c r="F761" s="100"/>
      <c r="G761" s="111"/>
      <c r="H761" s="105"/>
      <c r="I761" s="111"/>
      <c r="J761" s="111"/>
      <c r="K761" s="112"/>
      <c r="L761" s="113"/>
      <c r="M761" s="114"/>
      <c r="N761" s="100"/>
      <c r="O761" s="114"/>
      <c r="P761" s="65"/>
      <c r="Q761" s="103"/>
      <c r="R761" s="103"/>
      <c r="S761" s="103"/>
      <c r="T761" s="103"/>
      <c r="U761" s="68"/>
      <c r="V761" s="69"/>
      <c r="W761" s="68"/>
      <c r="X761" s="68"/>
      <c r="Y761" s="68"/>
      <c r="Z761" s="68"/>
      <c r="AA761" s="68"/>
      <c r="AB761" s="68"/>
      <c r="AC761" s="68"/>
      <c r="AD761" s="68"/>
      <c r="AE761" s="68"/>
      <c r="AF761" s="68"/>
      <c r="AG761" s="68"/>
      <c r="AH761" s="68"/>
      <c r="AI761" s="68"/>
      <c r="AJ761" s="68"/>
      <c r="AK761" s="68"/>
      <c r="AL761" s="68"/>
      <c r="AM761" s="68"/>
      <c r="AN761" s="68"/>
      <c r="AO761" s="68"/>
      <c r="AP761" s="68"/>
      <c r="AQ761" s="68"/>
      <c r="AR761" s="68"/>
      <c r="AS761" s="68"/>
      <c r="AT761" s="68"/>
      <c r="AU761" s="68"/>
      <c r="AV761" s="68"/>
      <c r="AW761" s="68"/>
      <c r="AX761" s="68"/>
      <c r="AY761" s="68"/>
      <c r="AZ761" s="68"/>
      <c r="BA761" s="68"/>
      <c r="BB761" s="68"/>
      <c r="BC761" s="68"/>
      <c r="BD761" s="68"/>
      <c r="BE761" s="68"/>
      <c r="BF761" s="68"/>
      <c r="BG761" s="68"/>
      <c r="BH761" s="68"/>
      <c r="BI761" s="68"/>
      <c r="BJ761" s="68"/>
      <c r="BK761" s="68"/>
      <c r="BL761" s="68"/>
      <c r="BM761" s="68"/>
      <c r="BN761" s="68"/>
      <c r="BO761" s="68"/>
      <c r="BP761" s="68"/>
      <c r="BQ761" s="68"/>
      <c r="BR761" s="68"/>
      <c r="BS761" s="68"/>
      <c r="BT761" s="68"/>
      <c r="BU761" s="68"/>
      <c r="BV761" s="68"/>
      <c r="BW761" s="68"/>
      <c r="BX761" s="68"/>
      <c r="BY761" s="68"/>
      <c r="BZ761" s="68"/>
      <c r="CA761" s="68"/>
      <c r="CB761" s="68"/>
      <c r="CC761" s="68"/>
      <c r="CD761" s="68"/>
      <c r="CE761" s="68"/>
      <c r="CF761" s="68"/>
      <c r="CG761" s="68"/>
      <c r="CH761" s="68"/>
      <c r="CI761" s="68"/>
      <c r="CJ761" s="68"/>
      <c r="CK761" s="68"/>
      <c r="CL761" s="68"/>
      <c r="CM761" s="68"/>
      <c r="CN761" s="68"/>
      <c r="CO761" s="68"/>
      <c r="CP761" s="68"/>
      <c r="CQ761" s="68"/>
      <c r="CR761" s="68"/>
      <c r="CS761" s="68"/>
      <c r="CT761" s="68"/>
      <c r="CU761" s="68"/>
      <c r="CV761" s="68"/>
      <c r="CW761" s="68"/>
      <c r="CX761" s="68"/>
    </row>
    <row r="762" spans="1:102" s="71" customFormat="1" hidden="1">
      <c r="A762" s="109"/>
      <c r="B762" s="109"/>
      <c r="C762" s="109"/>
      <c r="D762" s="115"/>
      <c r="E762" s="100"/>
      <c r="F762" s="100"/>
      <c r="G762" s="111"/>
      <c r="H762" s="105"/>
      <c r="I762" s="111"/>
      <c r="J762" s="111"/>
      <c r="K762" s="112"/>
      <c r="L762" s="113"/>
      <c r="M762" s="114"/>
      <c r="N762" s="100"/>
      <c r="O762" s="114"/>
      <c r="P762" s="65"/>
      <c r="Q762" s="103"/>
      <c r="R762" s="103"/>
      <c r="S762" s="103"/>
      <c r="T762" s="103"/>
      <c r="U762" s="68"/>
      <c r="V762" s="69"/>
      <c r="W762" s="68"/>
      <c r="X762" s="68"/>
      <c r="Y762" s="68"/>
      <c r="Z762" s="68"/>
      <c r="AA762" s="68"/>
      <c r="AB762" s="68"/>
      <c r="AC762" s="68"/>
      <c r="AD762" s="68"/>
      <c r="AE762" s="68"/>
      <c r="AF762" s="68"/>
      <c r="AG762" s="68"/>
      <c r="AH762" s="68"/>
      <c r="AI762" s="68"/>
      <c r="AJ762" s="68"/>
      <c r="AK762" s="68"/>
      <c r="AL762" s="68"/>
      <c r="AM762" s="68"/>
      <c r="AN762" s="68"/>
      <c r="AO762" s="68"/>
      <c r="AP762" s="68"/>
      <c r="AQ762" s="68"/>
      <c r="AR762" s="68"/>
      <c r="AS762" s="68"/>
      <c r="AT762" s="68"/>
      <c r="AU762" s="68"/>
      <c r="AV762" s="68"/>
      <c r="AW762" s="68"/>
      <c r="AX762" s="68"/>
      <c r="AY762" s="68"/>
      <c r="AZ762" s="68"/>
      <c r="BA762" s="68"/>
      <c r="BB762" s="68"/>
      <c r="BC762" s="68"/>
      <c r="BD762" s="68"/>
      <c r="BE762" s="68"/>
      <c r="BF762" s="68"/>
      <c r="BG762" s="68"/>
      <c r="BH762" s="68"/>
      <c r="BI762" s="68"/>
      <c r="BJ762" s="68"/>
      <c r="BK762" s="68"/>
      <c r="BL762" s="68"/>
      <c r="BM762" s="68"/>
      <c r="BN762" s="68"/>
      <c r="BO762" s="68"/>
      <c r="BP762" s="68"/>
      <c r="BQ762" s="68"/>
      <c r="BR762" s="68"/>
      <c r="BS762" s="68"/>
      <c r="BT762" s="68"/>
      <c r="BU762" s="68"/>
      <c r="BV762" s="68"/>
      <c r="BW762" s="68"/>
      <c r="BX762" s="68"/>
      <c r="BY762" s="68"/>
      <c r="BZ762" s="68"/>
      <c r="CA762" s="68"/>
      <c r="CB762" s="68"/>
      <c r="CC762" s="68"/>
      <c r="CD762" s="68"/>
      <c r="CE762" s="68"/>
      <c r="CF762" s="68"/>
      <c r="CG762" s="68"/>
      <c r="CH762" s="68"/>
      <c r="CI762" s="68"/>
      <c r="CJ762" s="68"/>
      <c r="CK762" s="68"/>
      <c r="CL762" s="68"/>
      <c r="CM762" s="68"/>
      <c r="CN762" s="68"/>
      <c r="CO762" s="68"/>
      <c r="CP762" s="68"/>
      <c r="CQ762" s="68"/>
      <c r="CR762" s="68"/>
      <c r="CS762" s="68"/>
      <c r="CT762" s="68"/>
      <c r="CU762" s="68"/>
      <c r="CV762" s="68"/>
      <c r="CW762" s="68"/>
      <c r="CX762" s="68"/>
    </row>
    <row r="763" spans="1:102" s="71" customFormat="1" hidden="1">
      <c r="A763" s="109"/>
      <c r="B763" s="109"/>
      <c r="C763" s="109"/>
      <c r="D763" s="115"/>
      <c r="E763" s="100"/>
      <c r="F763" s="100"/>
      <c r="G763" s="111"/>
      <c r="H763" s="105"/>
      <c r="I763" s="111"/>
      <c r="J763" s="111"/>
      <c r="K763" s="112"/>
      <c r="L763" s="113"/>
      <c r="M763" s="114"/>
      <c r="N763" s="100"/>
      <c r="O763" s="114"/>
      <c r="P763" s="65"/>
      <c r="Q763" s="103"/>
      <c r="R763" s="103"/>
      <c r="S763" s="103"/>
      <c r="T763" s="103"/>
      <c r="U763" s="68"/>
      <c r="V763" s="69"/>
      <c r="W763" s="68"/>
      <c r="X763" s="68"/>
      <c r="Y763" s="68"/>
      <c r="Z763" s="68"/>
      <c r="AA763" s="68"/>
      <c r="AB763" s="68"/>
      <c r="AC763" s="68"/>
      <c r="AD763" s="68"/>
      <c r="AE763" s="68"/>
      <c r="AF763" s="68"/>
      <c r="AG763" s="68"/>
      <c r="AH763" s="68"/>
      <c r="AI763" s="68"/>
      <c r="AJ763" s="68"/>
      <c r="AK763" s="68"/>
      <c r="AL763" s="68"/>
      <c r="AM763" s="68"/>
      <c r="AN763" s="68"/>
      <c r="AO763" s="68"/>
      <c r="AP763" s="68"/>
      <c r="AQ763" s="68"/>
      <c r="AR763" s="68"/>
      <c r="AS763" s="68"/>
      <c r="AT763" s="68"/>
      <c r="AU763" s="68"/>
      <c r="AV763" s="68"/>
      <c r="AW763" s="68"/>
      <c r="AX763" s="68"/>
      <c r="AY763" s="68"/>
      <c r="AZ763" s="68"/>
      <c r="BA763" s="68"/>
      <c r="BB763" s="68"/>
      <c r="BC763" s="68"/>
      <c r="BD763" s="68"/>
      <c r="BE763" s="68"/>
      <c r="BF763" s="68"/>
      <c r="BG763" s="68"/>
      <c r="BH763" s="68"/>
      <c r="BI763" s="68"/>
      <c r="BJ763" s="68"/>
      <c r="BK763" s="68"/>
      <c r="BL763" s="68"/>
      <c r="BM763" s="68"/>
      <c r="BN763" s="68"/>
      <c r="BO763" s="68"/>
      <c r="BP763" s="68"/>
      <c r="BQ763" s="68"/>
      <c r="BR763" s="68"/>
      <c r="BS763" s="68"/>
      <c r="BT763" s="68"/>
      <c r="BU763" s="68"/>
      <c r="BV763" s="68"/>
      <c r="BW763" s="68"/>
      <c r="BX763" s="68"/>
      <c r="BY763" s="68"/>
      <c r="BZ763" s="68"/>
      <c r="CA763" s="68"/>
      <c r="CB763" s="68"/>
      <c r="CC763" s="68"/>
      <c r="CD763" s="68"/>
      <c r="CE763" s="68"/>
      <c r="CF763" s="68"/>
      <c r="CG763" s="68"/>
      <c r="CH763" s="68"/>
      <c r="CI763" s="68"/>
      <c r="CJ763" s="68"/>
      <c r="CK763" s="68"/>
      <c r="CL763" s="68"/>
      <c r="CM763" s="68"/>
      <c r="CN763" s="68"/>
      <c r="CO763" s="68"/>
      <c r="CP763" s="68"/>
      <c r="CQ763" s="68"/>
      <c r="CR763" s="68"/>
      <c r="CS763" s="68"/>
      <c r="CT763" s="68"/>
      <c r="CU763" s="68"/>
      <c r="CV763" s="68"/>
      <c r="CW763" s="68"/>
      <c r="CX763" s="68"/>
    </row>
    <row r="764" spans="1:102" s="71" customFormat="1" hidden="1">
      <c r="D764" s="105"/>
      <c r="E764" s="100"/>
      <c r="F764" s="100"/>
      <c r="G764" s="111"/>
      <c r="H764" s="105"/>
      <c r="I764" s="111"/>
      <c r="J764" s="111"/>
      <c r="K764" s="112"/>
      <c r="L764" s="113"/>
      <c r="M764" s="114"/>
      <c r="N764" s="100"/>
      <c r="O764" s="114"/>
      <c r="P764" s="65"/>
      <c r="Q764" s="103"/>
      <c r="R764" s="103"/>
      <c r="S764" s="103"/>
      <c r="T764" s="103"/>
      <c r="U764" s="68"/>
      <c r="V764" s="69"/>
      <c r="W764" s="68"/>
      <c r="X764" s="68"/>
      <c r="Y764" s="68"/>
      <c r="Z764" s="68"/>
      <c r="AA764" s="68"/>
      <c r="AB764" s="68"/>
      <c r="AC764" s="68"/>
      <c r="AD764" s="68"/>
      <c r="AE764" s="68"/>
      <c r="AF764" s="68"/>
      <c r="AG764" s="68"/>
      <c r="AH764" s="68"/>
      <c r="AI764" s="68"/>
      <c r="AJ764" s="68"/>
      <c r="AK764" s="68"/>
      <c r="AL764" s="68"/>
      <c r="AM764" s="68"/>
      <c r="AN764" s="68"/>
      <c r="AO764" s="68"/>
      <c r="AP764" s="68"/>
      <c r="AQ764" s="68"/>
      <c r="AR764" s="68"/>
      <c r="AS764" s="68"/>
      <c r="AT764" s="68"/>
      <c r="AU764" s="68"/>
      <c r="AV764" s="68"/>
      <c r="AW764" s="68"/>
      <c r="AX764" s="68"/>
      <c r="AY764" s="68"/>
      <c r="AZ764" s="68"/>
      <c r="BA764" s="68"/>
      <c r="BB764" s="68"/>
      <c r="BC764" s="68"/>
      <c r="BD764" s="68"/>
      <c r="BE764" s="68"/>
      <c r="BF764" s="68"/>
      <c r="BG764" s="68"/>
      <c r="BH764" s="68"/>
      <c r="BI764" s="68"/>
      <c r="BJ764" s="68"/>
      <c r="BK764" s="68"/>
      <c r="BL764" s="68"/>
      <c r="BM764" s="68"/>
      <c r="BN764" s="68"/>
      <c r="BO764" s="68"/>
      <c r="BP764" s="68"/>
      <c r="BQ764" s="68"/>
      <c r="BR764" s="68"/>
      <c r="BS764" s="68"/>
      <c r="BT764" s="68"/>
      <c r="BU764" s="68"/>
      <c r="BV764" s="68"/>
      <c r="BW764" s="68"/>
      <c r="BX764" s="68"/>
      <c r="BY764" s="68"/>
      <c r="BZ764" s="68"/>
      <c r="CA764" s="68"/>
      <c r="CB764" s="68"/>
      <c r="CC764" s="68"/>
      <c r="CD764" s="68"/>
      <c r="CE764" s="68"/>
      <c r="CF764" s="68"/>
      <c r="CG764" s="68"/>
      <c r="CH764" s="68"/>
      <c r="CI764" s="68"/>
      <c r="CJ764" s="68"/>
      <c r="CK764" s="68"/>
      <c r="CL764" s="68"/>
      <c r="CM764" s="68"/>
      <c r="CN764" s="68"/>
      <c r="CO764" s="68"/>
      <c r="CP764" s="68"/>
      <c r="CQ764" s="68"/>
      <c r="CR764" s="68"/>
      <c r="CS764" s="68"/>
      <c r="CT764" s="68"/>
      <c r="CU764" s="68"/>
      <c r="CV764" s="68"/>
      <c r="CW764" s="68"/>
      <c r="CX764" s="68"/>
    </row>
    <row r="765" spans="1:102" s="71" customFormat="1" hidden="1">
      <c r="D765" s="105"/>
      <c r="E765" s="100"/>
      <c r="F765" s="100"/>
      <c r="G765" s="111"/>
      <c r="H765" s="105"/>
      <c r="I765" s="111"/>
      <c r="J765" s="111"/>
      <c r="K765" s="112"/>
      <c r="L765" s="113"/>
      <c r="M765" s="114"/>
      <c r="N765" s="100"/>
      <c r="O765" s="114"/>
      <c r="P765" s="65"/>
      <c r="Q765" s="103"/>
      <c r="R765" s="103"/>
      <c r="S765" s="103"/>
      <c r="T765" s="103"/>
      <c r="U765" s="68"/>
      <c r="V765" s="69"/>
      <c r="W765" s="68"/>
      <c r="X765" s="68"/>
      <c r="Y765" s="68"/>
      <c r="Z765" s="68"/>
      <c r="AA765" s="68"/>
      <c r="AB765" s="68"/>
      <c r="AC765" s="68"/>
      <c r="AD765" s="68"/>
      <c r="AE765" s="68"/>
      <c r="AF765" s="68"/>
      <c r="AG765" s="68"/>
      <c r="AH765" s="68"/>
      <c r="AI765" s="68"/>
      <c r="AJ765" s="68"/>
      <c r="AK765" s="68"/>
      <c r="AL765" s="68"/>
      <c r="AM765" s="68"/>
      <c r="AN765" s="68"/>
      <c r="AO765" s="68"/>
      <c r="AP765" s="68"/>
      <c r="AQ765" s="68"/>
      <c r="AR765" s="68"/>
      <c r="AS765" s="68"/>
      <c r="AT765" s="68"/>
      <c r="AU765" s="68"/>
      <c r="AV765" s="68"/>
      <c r="AW765" s="68"/>
      <c r="AX765" s="68"/>
      <c r="AY765" s="68"/>
      <c r="AZ765" s="68"/>
      <c r="BA765" s="68"/>
      <c r="BB765" s="68"/>
      <c r="BC765" s="68"/>
      <c r="BD765" s="68"/>
      <c r="BE765" s="68"/>
      <c r="BF765" s="68"/>
      <c r="BG765" s="68"/>
      <c r="BH765" s="68"/>
      <c r="BI765" s="68"/>
      <c r="BJ765" s="68"/>
      <c r="BK765" s="68"/>
      <c r="BL765" s="68"/>
      <c r="BM765" s="68"/>
      <c r="BN765" s="68"/>
      <c r="BO765" s="68"/>
      <c r="BP765" s="68"/>
      <c r="BQ765" s="68"/>
      <c r="BR765" s="68"/>
      <c r="BS765" s="68"/>
      <c r="BT765" s="68"/>
      <c r="BU765" s="68"/>
      <c r="BV765" s="68"/>
      <c r="BW765" s="68"/>
      <c r="BX765" s="68"/>
      <c r="BY765" s="68"/>
      <c r="BZ765" s="68"/>
      <c r="CA765" s="68"/>
      <c r="CB765" s="68"/>
      <c r="CC765" s="68"/>
      <c r="CD765" s="68"/>
      <c r="CE765" s="68"/>
      <c r="CF765" s="68"/>
      <c r="CG765" s="68"/>
      <c r="CH765" s="68"/>
      <c r="CI765" s="68"/>
      <c r="CJ765" s="68"/>
      <c r="CK765" s="68"/>
      <c r="CL765" s="68"/>
      <c r="CM765" s="68"/>
      <c r="CN765" s="68"/>
      <c r="CO765" s="68"/>
      <c r="CP765" s="68"/>
      <c r="CQ765" s="68"/>
      <c r="CR765" s="68"/>
      <c r="CS765" s="68"/>
      <c r="CT765" s="68"/>
      <c r="CU765" s="68"/>
      <c r="CV765" s="68"/>
      <c r="CW765" s="68"/>
      <c r="CX765" s="68"/>
    </row>
    <row r="766" spans="1:102" s="71" customFormat="1" hidden="1">
      <c r="D766" s="105"/>
      <c r="E766" s="100"/>
      <c r="F766" s="100"/>
      <c r="G766" s="111"/>
      <c r="H766" s="105"/>
      <c r="I766" s="111"/>
      <c r="J766" s="111"/>
      <c r="K766" s="112"/>
      <c r="L766" s="113"/>
      <c r="M766" s="114"/>
      <c r="N766" s="100"/>
      <c r="O766" s="114"/>
      <c r="P766" s="65"/>
      <c r="Q766" s="103"/>
      <c r="R766" s="103"/>
      <c r="S766" s="103"/>
      <c r="T766" s="103"/>
      <c r="U766" s="68"/>
      <c r="V766" s="69"/>
      <c r="W766" s="68"/>
      <c r="X766" s="68"/>
      <c r="Y766" s="68"/>
      <c r="Z766" s="68"/>
      <c r="AA766" s="68"/>
      <c r="AB766" s="68"/>
      <c r="AC766" s="68"/>
      <c r="AD766" s="68"/>
      <c r="AE766" s="68"/>
      <c r="AF766" s="68"/>
      <c r="AG766" s="68"/>
      <c r="AH766" s="68"/>
      <c r="AI766" s="68"/>
      <c r="AJ766" s="68"/>
      <c r="AK766" s="68"/>
      <c r="AL766" s="68"/>
      <c r="AM766" s="68"/>
      <c r="AN766" s="68"/>
      <c r="AO766" s="68"/>
      <c r="AP766" s="68"/>
      <c r="AQ766" s="68"/>
      <c r="AR766" s="68"/>
      <c r="AS766" s="68"/>
      <c r="AT766" s="68"/>
      <c r="AU766" s="68"/>
      <c r="AV766" s="68"/>
      <c r="AW766" s="68"/>
      <c r="AX766" s="68"/>
      <c r="AY766" s="68"/>
      <c r="AZ766" s="68"/>
      <c r="BA766" s="68"/>
      <c r="BB766" s="68"/>
      <c r="BC766" s="68"/>
      <c r="BD766" s="68"/>
      <c r="BE766" s="68"/>
      <c r="BF766" s="68"/>
      <c r="BG766" s="68"/>
      <c r="BH766" s="68"/>
      <c r="BI766" s="68"/>
      <c r="BJ766" s="68"/>
      <c r="BK766" s="68"/>
      <c r="BL766" s="68"/>
      <c r="BM766" s="68"/>
      <c r="BN766" s="68"/>
      <c r="BO766" s="68"/>
      <c r="BP766" s="68"/>
      <c r="BQ766" s="68"/>
      <c r="BR766" s="68"/>
      <c r="BS766" s="68"/>
      <c r="BT766" s="68"/>
      <c r="BU766" s="68"/>
      <c r="BV766" s="68"/>
      <c r="BW766" s="68"/>
      <c r="BX766" s="68"/>
      <c r="BY766" s="68"/>
      <c r="BZ766" s="68"/>
      <c r="CA766" s="68"/>
      <c r="CB766" s="68"/>
      <c r="CC766" s="68"/>
      <c r="CD766" s="68"/>
      <c r="CE766" s="68"/>
      <c r="CF766" s="68"/>
      <c r="CG766" s="68"/>
      <c r="CH766" s="68"/>
      <c r="CI766" s="68"/>
      <c r="CJ766" s="68"/>
      <c r="CK766" s="68"/>
      <c r="CL766" s="68"/>
      <c r="CM766" s="68"/>
      <c r="CN766" s="68"/>
      <c r="CO766" s="68"/>
      <c r="CP766" s="68"/>
      <c r="CQ766" s="68"/>
      <c r="CR766" s="68"/>
      <c r="CS766" s="68"/>
      <c r="CT766" s="68"/>
      <c r="CU766" s="68"/>
      <c r="CV766" s="68"/>
      <c r="CW766" s="68"/>
      <c r="CX766" s="68"/>
    </row>
    <row r="767" spans="1:102" s="71" customFormat="1" hidden="1">
      <c r="D767" s="105"/>
      <c r="E767" s="100"/>
      <c r="F767" s="100"/>
      <c r="G767" s="111"/>
      <c r="H767" s="105"/>
      <c r="I767" s="111"/>
      <c r="J767" s="111"/>
      <c r="K767" s="112"/>
      <c r="L767" s="113"/>
      <c r="M767" s="114"/>
      <c r="N767" s="100"/>
      <c r="O767" s="114"/>
      <c r="P767" s="65"/>
      <c r="Q767" s="103"/>
      <c r="R767" s="103"/>
      <c r="S767" s="103"/>
      <c r="T767" s="103"/>
      <c r="U767" s="68"/>
      <c r="V767" s="69"/>
      <c r="W767" s="68"/>
      <c r="X767" s="68"/>
      <c r="Y767" s="68"/>
      <c r="Z767" s="68"/>
      <c r="AA767" s="68"/>
      <c r="AB767" s="68"/>
      <c r="AC767" s="68"/>
      <c r="AD767" s="68"/>
      <c r="AE767" s="68"/>
      <c r="AF767" s="68"/>
      <c r="AG767" s="68"/>
      <c r="AH767" s="68"/>
      <c r="AI767" s="68"/>
      <c r="AJ767" s="68"/>
      <c r="AK767" s="68"/>
      <c r="AL767" s="68"/>
      <c r="AM767" s="68"/>
      <c r="AN767" s="68"/>
      <c r="AO767" s="68"/>
      <c r="AP767" s="68"/>
      <c r="AQ767" s="68"/>
      <c r="AR767" s="68"/>
      <c r="AS767" s="68"/>
      <c r="AT767" s="68"/>
      <c r="AU767" s="68"/>
      <c r="AV767" s="68"/>
      <c r="AW767" s="68"/>
      <c r="AX767" s="68"/>
      <c r="AY767" s="68"/>
      <c r="AZ767" s="68"/>
      <c r="BA767" s="68"/>
      <c r="BB767" s="68"/>
      <c r="BC767" s="68"/>
      <c r="BD767" s="68"/>
      <c r="BE767" s="68"/>
      <c r="BF767" s="68"/>
      <c r="BG767" s="68"/>
      <c r="BH767" s="68"/>
      <c r="BI767" s="68"/>
      <c r="BJ767" s="68"/>
      <c r="BK767" s="68"/>
      <c r="BL767" s="68"/>
      <c r="BM767" s="68"/>
      <c r="BN767" s="68"/>
      <c r="BO767" s="68"/>
      <c r="BP767" s="68"/>
      <c r="BQ767" s="68"/>
      <c r="BR767" s="68"/>
      <c r="BS767" s="68"/>
      <c r="BT767" s="68"/>
      <c r="BU767" s="68"/>
      <c r="BV767" s="68"/>
      <c r="BW767" s="68"/>
      <c r="BX767" s="68"/>
      <c r="BY767" s="68"/>
      <c r="BZ767" s="68"/>
      <c r="CA767" s="68"/>
      <c r="CB767" s="68"/>
      <c r="CC767" s="68"/>
      <c r="CD767" s="68"/>
      <c r="CE767" s="68"/>
      <c r="CF767" s="68"/>
      <c r="CG767" s="68"/>
      <c r="CH767" s="68"/>
      <c r="CI767" s="68"/>
      <c r="CJ767" s="68"/>
      <c r="CK767" s="68"/>
      <c r="CL767" s="68"/>
      <c r="CM767" s="68"/>
      <c r="CN767" s="68"/>
      <c r="CO767" s="68"/>
      <c r="CP767" s="68"/>
      <c r="CQ767" s="68"/>
      <c r="CR767" s="68"/>
      <c r="CS767" s="68"/>
      <c r="CT767" s="68"/>
      <c r="CU767" s="68"/>
      <c r="CV767" s="68"/>
      <c r="CW767" s="68"/>
      <c r="CX767" s="68"/>
    </row>
    <row r="768" spans="1:102" s="71" customFormat="1" hidden="1">
      <c r="D768" s="105"/>
      <c r="E768" s="100"/>
      <c r="F768" s="100"/>
      <c r="G768" s="111"/>
      <c r="H768" s="105"/>
      <c r="I768" s="111"/>
      <c r="J768" s="111"/>
      <c r="K768" s="112"/>
      <c r="L768" s="113"/>
      <c r="M768" s="114"/>
      <c r="N768" s="100"/>
      <c r="O768" s="114"/>
      <c r="P768" s="65"/>
      <c r="Q768" s="103"/>
      <c r="R768" s="103"/>
      <c r="S768" s="103"/>
      <c r="T768" s="103"/>
      <c r="U768" s="68"/>
      <c r="V768" s="69"/>
      <c r="W768" s="68"/>
      <c r="X768" s="68"/>
      <c r="Y768" s="68"/>
      <c r="Z768" s="68"/>
      <c r="AA768" s="68"/>
      <c r="AB768" s="68"/>
      <c r="AC768" s="68"/>
      <c r="AD768" s="68"/>
      <c r="AE768" s="68"/>
      <c r="AF768" s="68"/>
      <c r="AG768" s="68"/>
      <c r="AH768" s="68"/>
      <c r="AI768" s="68"/>
      <c r="AJ768" s="68"/>
      <c r="AK768" s="68"/>
      <c r="AL768" s="68"/>
      <c r="AM768" s="68"/>
      <c r="AN768" s="68"/>
      <c r="AO768" s="68"/>
      <c r="AP768" s="68"/>
      <c r="AQ768" s="68"/>
      <c r="AR768" s="68"/>
      <c r="AS768" s="68"/>
      <c r="AT768" s="68"/>
      <c r="AU768" s="68"/>
      <c r="AV768" s="68"/>
      <c r="AW768" s="68"/>
      <c r="AX768" s="68"/>
      <c r="AY768" s="68"/>
      <c r="AZ768" s="68"/>
      <c r="BA768" s="68"/>
      <c r="BB768" s="68"/>
      <c r="BC768" s="68"/>
      <c r="BD768" s="68"/>
      <c r="BE768" s="68"/>
      <c r="BF768" s="68"/>
      <c r="BG768" s="68"/>
      <c r="BH768" s="68"/>
      <c r="BI768" s="68"/>
      <c r="BJ768" s="68"/>
      <c r="BK768" s="68"/>
      <c r="BL768" s="68"/>
      <c r="BM768" s="68"/>
      <c r="BN768" s="68"/>
      <c r="BO768" s="68"/>
      <c r="BP768" s="68"/>
      <c r="BQ768" s="68"/>
      <c r="BR768" s="68"/>
      <c r="BS768" s="68"/>
      <c r="BT768" s="68"/>
      <c r="BU768" s="68"/>
      <c r="BV768" s="68"/>
      <c r="BW768" s="68"/>
      <c r="BX768" s="68"/>
      <c r="BY768" s="68"/>
      <c r="BZ768" s="68"/>
      <c r="CA768" s="68"/>
      <c r="CB768" s="68"/>
      <c r="CC768" s="68"/>
      <c r="CD768" s="68"/>
      <c r="CE768" s="68"/>
      <c r="CF768" s="68"/>
      <c r="CG768" s="68"/>
      <c r="CH768" s="68"/>
      <c r="CI768" s="68"/>
      <c r="CJ768" s="68"/>
      <c r="CK768" s="68"/>
      <c r="CL768" s="68"/>
      <c r="CM768" s="68"/>
      <c r="CN768" s="68"/>
      <c r="CO768" s="68"/>
      <c r="CP768" s="68"/>
      <c r="CQ768" s="68"/>
      <c r="CR768" s="68"/>
      <c r="CS768" s="68"/>
      <c r="CT768" s="68"/>
      <c r="CU768" s="68"/>
      <c r="CV768" s="68"/>
      <c r="CW768" s="68"/>
      <c r="CX768" s="68"/>
    </row>
    <row r="769" spans="4:102" s="71" customFormat="1" hidden="1">
      <c r="D769" s="105"/>
      <c r="E769" s="100"/>
      <c r="F769" s="100"/>
      <c r="G769" s="111"/>
      <c r="H769" s="105"/>
      <c r="I769" s="111"/>
      <c r="J769" s="111"/>
      <c r="K769" s="112"/>
      <c r="L769" s="113"/>
      <c r="M769" s="114"/>
      <c r="N769" s="100"/>
      <c r="O769" s="114"/>
      <c r="P769" s="65"/>
      <c r="Q769" s="103"/>
      <c r="R769" s="103"/>
      <c r="S769" s="103"/>
      <c r="T769" s="103"/>
      <c r="U769" s="68"/>
      <c r="V769" s="69"/>
      <c r="W769" s="68"/>
      <c r="X769" s="68"/>
      <c r="Y769" s="68"/>
      <c r="Z769" s="68"/>
      <c r="AA769" s="68"/>
      <c r="AB769" s="68"/>
      <c r="AC769" s="68"/>
      <c r="AD769" s="68"/>
      <c r="AE769" s="68"/>
      <c r="AF769" s="68"/>
      <c r="AG769" s="68"/>
      <c r="AH769" s="68"/>
      <c r="AI769" s="68"/>
      <c r="AJ769" s="68"/>
      <c r="AK769" s="68"/>
      <c r="AL769" s="68"/>
      <c r="AM769" s="68"/>
      <c r="AN769" s="68"/>
      <c r="AO769" s="68"/>
      <c r="AP769" s="68"/>
      <c r="AQ769" s="68"/>
      <c r="AR769" s="68"/>
      <c r="AS769" s="68"/>
      <c r="AT769" s="68"/>
      <c r="AU769" s="68"/>
      <c r="AV769" s="68"/>
      <c r="AW769" s="68"/>
      <c r="AX769" s="68"/>
      <c r="AY769" s="68"/>
      <c r="AZ769" s="68"/>
      <c r="BA769" s="68"/>
      <c r="BB769" s="68"/>
      <c r="BC769" s="68"/>
      <c r="BD769" s="68"/>
      <c r="BE769" s="68"/>
      <c r="BF769" s="68"/>
      <c r="BG769" s="68"/>
      <c r="BH769" s="68"/>
      <c r="BI769" s="68"/>
      <c r="BJ769" s="68"/>
      <c r="BK769" s="68"/>
      <c r="BL769" s="68"/>
      <c r="BM769" s="68"/>
      <c r="BN769" s="68"/>
      <c r="BO769" s="68"/>
      <c r="BP769" s="68"/>
      <c r="BQ769" s="68"/>
      <c r="BR769" s="68"/>
      <c r="BS769" s="68"/>
      <c r="BT769" s="68"/>
      <c r="BU769" s="68"/>
      <c r="BV769" s="68"/>
      <c r="BW769" s="68"/>
      <c r="BX769" s="68"/>
      <c r="BY769" s="68"/>
      <c r="BZ769" s="68"/>
      <c r="CA769" s="68"/>
      <c r="CB769" s="68"/>
      <c r="CC769" s="68"/>
      <c r="CD769" s="68"/>
      <c r="CE769" s="68"/>
      <c r="CF769" s="68"/>
      <c r="CG769" s="68"/>
      <c r="CH769" s="68"/>
      <c r="CI769" s="68"/>
      <c r="CJ769" s="68"/>
      <c r="CK769" s="68"/>
      <c r="CL769" s="68"/>
      <c r="CM769" s="68"/>
      <c r="CN769" s="68"/>
      <c r="CO769" s="68"/>
      <c r="CP769" s="68"/>
      <c r="CQ769" s="68"/>
      <c r="CR769" s="68"/>
      <c r="CS769" s="68"/>
      <c r="CT769" s="68"/>
      <c r="CU769" s="68"/>
      <c r="CV769" s="68"/>
      <c r="CW769" s="68"/>
      <c r="CX769" s="68"/>
    </row>
    <row r="770" spans="4:102" s="71" customFormat="1" hidden="1">
      <c r="D770" s="105"/>
      <c r="E770" s="100"/>
      <c r="F770" s="100"/>
      <c r="G770" s="111"/>
      <c r="H770" s="105"/>
      <c r="I770" s="111"/>
      <c r="J770" s="111"/>
      <c r="K770" s="112"/>
      <c r="L770" s="113"/>
      <c r="M770" s="114"/>
      <c r="N770" s="100"/>
      <c r="O770" s="114"/>
      <c r="P770" s="65"/>
      <c r="Q770" s="103"/>
      <c r="R770" s="103"/>
      <c r="S770" s="103"/>
      <c r="T770" s="103"/>
      <c r="U770" s="68"/>
      <c r="V770" s="69"/>
      <c r="W770" s="68"/>
      <c r="X770" s="68"/>
      <c r="Y770" s="68"/>
      <c r="Z770" s="68"/>
      <c r="AA770" s="68"/>
      <c r="AB770" s="68"/>
      <c r="AC770" s="68"/>
      <c r="AD770" s="68"/>
      <c r="AE770" s="68"/>
      <c r="AF770" s="68"/>
      <c r="AG770" s="68"/>
      <c r="AH770" s="68"/>
      <c r="AI770" s="68"/>
      <c r="AJ770" s="68"/>
      <c r="AK770" s="68"/>
      <c r="AL770" s="68"/>
      <c r="AM770" s="68"/>
      <c r="AN770" s="68"/>
      <c r="AO770" s="68"/>
      <c r="AP770" s="68"/>
      <c r="AQ770" s="68"/>
      <c r="AR770" s="68"/>
      <c r="AS770" s="68"/>
      <c r="AT770" s="68"/>
      <c r="AU770" s="68"/>
      <c r="AV770" s="68"/>
      <c r="AW770" s="68"/>
      <c r="AX770" s="68"/>
      <c r="AY770" s="68"/>
      <c r="AZ770" s="68"/>
      <c r="BA770" s="68"/>
      <c r="BB770" s="68"/>
      <c r="BC770" s="68"/>
      <c r="BD770" s="68"/>
      <c r="BE770" s="68"/>
      <c r="BF770" s="68"/>
      <c r="BG770" s="68"/>
      <c r="BH770" s="68"/>
      <c r="BI770" s="68"/>
      <c r="BJ770" s="68"/>
      <c r="BK770" s="68"/>
      <c r="BL770" s="68"/>
      <c r="BM770" s="68"/>
      <c r="BN770" s="68"/>
      <c r="BO770" s="68"/>
      <c r="BP770" s="68"/>
      <c r="BQ770" s="68"/>
      <c r="BR770" s="68"/>
      <c r="BS770" s="68"/>
      <c r="BT770" s="68"/>
      <c r="BU770" s="68"/>
      <c r="BV770" s="68"/>
      <c r="BW770" s="68"/>
      <c r="BX770" s="68"/>
      <c r="BY770" s="68"/>
      <c r="BZ770" s="68"/>
      <c r="CA770" s="68"/>
      <c r="CB770" s="68"/>
      <c r="CC770" s="68"/>
      <c r="CD770" s="68"/>
      <c r="CE770" s="68"/>
      <c r="CF770" s="68"/>
      <c r="CG770" s="68"/>
      <c r="CH770" s="68"/>
      <c r="CI770" s="68"/>
      <c r="CJ770" s="68"/>
      <c r="CK770" s="68"/>
      <c r="CL770" s="68"/>
      <c r="CM770" s="68"/>
      <c r="CN770" s="68"/>
      <c r="CO770" s="68"/>
      <c r="CP770" s="68"/>
      <c r="CQ770" s="68"/>
      <c r="CR770" s="68"/>
      <c r="CS770" s="68"/>
      <c r="CT770" s="68"/>
      <c r="CU770" s="68"/>
      <c r="CV770" s="68"/>
      <c r="CW770" s="68"/>
      <c r="CX770" s="68"/>
    </row>
    <row r="771" spans="4:102" s="71" customFormat="1" hidden="1">
      <c r="D771" s="105"/>
      <c r="E771" s="100"/>
      <c r="F771" s="100"/>
      <c r="G771" s="111"/>
      <c r="H771" s="105"/>
      <c r="I771" s="111"/>
      <c r="J771" s="111"/>
      <c r="K771" s="112"/>
      <c r="L771" s="113"/>
      <c r="M771" s="114"/>
      <c r="N771" s="100"/>
      <c r="O771" s="114"/>
      <c r="P771" s="65"/>
      <c r="Q771" s="103"/>
      <c r="R771" s="103"/>
      <c r="S771" s="103"/>
      <c r="T771" s="103"/>
      <c r="U771" s="68"/>
      <c r="V771" s="69"/>
      <c r="W771" s="68"/>
      <c r="X771" s="68"/>
      <c r="Y771" s="68"/>
      <c r="Z771" s="68"/>
      <c r="AA771" s="68"/>
      <c r="AB771" s="68"/>
      <c r="AC771" s="68"/>
      <c r="AD771" s="68"/>
      <c r="AE771" s="68"/>
      <c r="AF771" s="68"/>
      <c r="AG771" s="68"/>
      <c r="AH771" s="68"/>
      <c r="AI771" s="68"/>
      <c r="AJ771" s="68"/>
      <c r="AK771" s="68"/>
      <c r="AL771" s="68"/>
      <c r="AM771" s="68"/>
      <c r="AN771" s="68"/>
      <c r="AO771" s="68"/>
      <c r="AP771" s="68"/>
      <c r="AQ771" s="68"/>
      <c r="AR771" s="68"/>
      <c r="AS771" s="68"/>
      <c r="AT771" s="68"/>
      <c r="AU771" s="68"/>
      <c r="AV771" s="68"/>
      <c r="AW771" s="68"/>
      <c r="AX771" s="68"/>
      <c r="AY771" s="68"/>
      <c r="AZ771" s="68"/>
      <c r="BA771" s="68"/>
      <c r="BB771" s="68"/>
      <c r="BC771" s="68"/>
      <c r="BD771" s="68"/>
      <c r="BE771" s="68"/>
      <c r="BF771" s="68"/>
      <c r="BG771" s="68"/>
      <c r="BH771" s="68"/>
      <c r="BI771" s="68"/>
      <c r="BJ771" s="68"/>
      <c r="BK771" s="68"/>
      <c r="BL771" s="68"/>
      <c r="BM771" s="68"/>
      <c r="BN771" s="68"/>
      <c r="BO771" s="68"/>
      <c r="BP771" s="68"/>
      <c r="BQ771" s="68"/>
      <c r="BR771" s="68"/>
      <c r="BS771" s="68"/>
      <c r="BT771" s="68"/>
      <c r="BU771" s="68"/>
      <c r="BV771" s="68"/>
      <c r="BW771" s="68"/>
      <c r="BX771" s="68"/>
      <c r="BY771" s="68"/>
      <c r="BZ771" s="68"/>
      <c r="CA771" s="68"/>
      <c r="CB771" s="68"/>
      <c r="CC771" s="68"/>
      <c r="CD771" s="68"/>
      <c r="CE771" s="68"/>
      <c r="CF771" s="68"/>
      <c r="CG771" s="68"/>
      <c r="CH771" s="68"/>
      <c r="CI771" s="68"/>
      <c r="CJ771" s="68"/>
      <c r="CK771" s="68"/>
      <c r="CL771" s="68"/>
      <c r="CM771" s="68"/>
      <c r="CN771" s="68"/>
      <c r="CO771" s="68"/>
      <c r="CP771" s="68"/>
      <c r="CQ771" s="68"/>
      <c r="CR771" s="68"/>
      <c r="CS771" s="68"/>
      <c r="CT771" s="68"/>
      <c r="CU771" s="68"/>
      <c r="CV771" s="68"/>
      <c r="CW771" s="68"/>
      <c r="CX771" s="68"/>
    </row>
    <row r="772" spans="4:102" s="71" customFormat="1" hidden="1">
      <c r="D772" s="105"/>
      <c r="E772" s="100"/>
      <c r="F772" s="100"/>
      <c r="G772" s="111"/>
      <c r="H772" s="105"/>
      <c r="I772" s="111"/>
      <c r="J772" s="111"/>
      <c r="K772" s="112"/>
      <c r="L772" s="113"/>
      <c r="M772" s="114"/>
      <c r="N772" s="100"/>
      <c r="O772" s="114"/>
      <c r="P772" s="65"/>
      <c r="Q772" s="103"/>
      <c r="R772" s="103"/>
      <c r="S772" s="103"/>
      <c r="T772" s="103"/>
      <c r="U772" s="68"/>
      <c r="V772" s="69"/>
      <c r="W772" s="68"/>
      <c r="X772" s="68"/>
      <c r="Y772" s="68"/>
      <c r="Z772" s="68"/>
      <c r="AA772" s="68"/>
      <c r="AB772" s="68"/>
      <c r="AC772" s="68"/>
      <c r="AD772" s="68"/>
      <c r="AE772" s="68"/>
      <c r="AF772" s="68"/>
      <c r="AG772" s="68"/>
      <c r="AH772" s="68"/>
      <c r="AI772" s="68"/>
      <c r="AJ772" s="68"/>
      <c r="AK772" s="68"/>
      <c r="AL772" s="68"/>
      <c r="AM772" s="68"/>
      <c r="AN772" s="68"/>
      <c r="AO772" s="68"/>
      <c r="AP772" s="68"/>
      <c r="AQ772" s="68"/>
      <c r="AR772" s="68"/>
      <c r="AS772" s="68"/>
      <c r="AT772" s="68"/>
      <c r="AU772" s="68"/>
      <c r="AV772" s="68"/>
      <c r="AW772" s="68"/>
      <c r="AX772" s="68"/>
      <c r="AY772" s="68"/>
      <c r="AZ772" s="68"/>
      <c r="BA772" s="68"/>
      <c r="BB772" s="68"/>
      <c r="BC772" s="68"/>
      <c r="BD772" s="68"/>
      <c r="BE772" s="68"/>
      <c r="BF772" s="68"/>
      <c r="BG772" s="68"/>
      <c r="BH772" s="68"/>
      <c r="BI772" s="68"/>
      <c r="BJ772" s="68"/>
      <c r="BK772" s="68"/>
      <c r="BL772" s="68"/>
      <c r="BM772" s="68"/>
      <c r="BN772" s="68"/>
      <c r="BO772" s="68"/>
      <c r="BP772" s="68"/>
      <c r="BQ772" s="68"/>
      <c r="BR772" s="68"/>
      <c r="BS772" s="68"/>
      <c r="BT772" s="68"/>
      <c r="BU772" s="68"/>
      <c r="BV772" s="68"/>
      <c r="BW772" s="68"/>
      <c r="BX772" s="68"/>
      <c r="BY772" s="68"/>
      <c r="BZ772" s="68"/>
      <c r="CA772" s="68"/>
      <c r="CB772" s="68"/>
      <c r="CC772" s="68"/>
      <c r="CD772" s="68"/>
      <c r="CE772" s="68"/>
      <c r="CF772" s="68"/>
      <c r="CG772" s="68"/>
      <c r="CH772" s="68"/>
      <c r="CI772" s="68"/>
      <c r="CJ772" s="68"/>
      <c r="CK772" s="68"/>
      <c r="CL772" s="68"/>
      <c r="CM772" s="68"/>
      <c r="CN772" s="68"/>
      <c r="CO772" s="68"/>
      <c r="CP772" s="68"/>
      <c r="CQ772" s="68"/>
      <c r="CR772" s="68"/>
      <c r="CS772" s="68"/>
      <c r="CT772" s="68"/>
      <c r="CU772" s="68"/>
      <c r="CV772" s="68"/>
      <c r="CW772" s="68"/>
      <c r="CX772" s="68"/>
    </row>
    <row r="773" spans="4:102" s="71" customFormat="1" hidden="1">
      <c r="D773" s="105"/>
      <c r="E773" s="100"/>
      <c r="F773" s="100"/>
      <c r="G773" s="111"/>
      <c r="H773" s="105"/>
      <c r="I773" s="111"/>
      <c r="J773" s="111"/>
      <c r="K773" s="112"/>
      <c r="L773" s="113"/>
      <c r="M773" s="114"/>
      <c r="N773" s="100"/>
      <c r="O773" s="114"/>
      <c r="P773" s="65"/>
      <c r="Q773" s="103"/>
      <c r="R773" s="103"/>
      <c r="S773" s="103"/>
      <c r="T773" s="103"/>
      <c r="U773" s="68"/>
      <c r="V773" s="69"/>
      <c r="W773" s="68"/>
      <c r="X773" s="68"/>
      <c r="Y773" s="68"/>
      <c r="Z773" s="68"/>
      <c r="AA773" s="68"/>
      <c r="AB773" s="68"/>
      <c r="AC773" s="68"/>
      <c r="AD773" s="68"/>
      <c r="AE773" s="68"/>
      <c r="AF773" s="68"/>
      <c r="AG773" s="68"/>
      <c r="AH773" s="68"/>
      <c r="AI773" s="68"/>
      <c r="AJ773" s="68"/>
      <c r="AK773" s="68"/>
      <c r="AL773" s="68"/>
      <c r="AM773" s="68"/>
      <c r="AN773" s="68"/>
      <c r="AO773" s="68"/>
      <c r="AP773" s="68"/>
      <c r="AQ773" s="68"/>
      <c r="AR773" s="68"/>
      <c r="AS773" s="68"/>
      <c r="AT773" s="68"/>
      <c r="AU773" s="68"/>
      <c r="AV773" s="68"/>
      <c r="AW773" s="68"/>
      <c r="AX773" s="68"/>
      <c r="AY773" s="68"/>
      <c r="AZ773" s="68"/>
      <c r="BA773" s="68"/>
      <c r="BB773" s="68"/>
      <c r="BC773" s="68"/>
      <c r="BD773" s="68"/>
      <c r="BE773" s="68"/>
      <c r="BF773" s="68"/>
      <c r="BG773" s="68"/>
      <c r="BH773" s="68"/>
      <c r="BI773" s="68"/>
      <c r="BJ773" s="68"/>
      <c r="BK773" s="68"/>
      <c r="BL773" s="68"/>
      <c r="BM773" s="68"/>
      <c r="BN773" s="68"/>
      <c r="BO773" s="68"/>
      <c r="BP773" s="68"/>
      <c r="BQ773" s="68"/>
      <c r="BR773" s="68"/>
      <c r="BS773" s="68"/>
      <c r="BT773" s="68"/>
      <c r="BU773" s="68"/>
      <c r="BV773" s="68"/>
      <c r="BW773" s="68"/>
      <c r="BX773" s="68"/>
      <c r="BY773" s="68"/>
      <c r="BZ773" s="68"/>
      <c r="CA773" s="68"/>
      <c r="CB773" s="68"/>
      <c r="CC773" s="68"/>
      <c r="CD773" s="68"/>
      <c r="CE773" s="68"/>
      <c r="CF773" s="68"/>
      <c r="CG773" s="68"/>
      <c r="CH773" s="68"/>
      <c r="CI773" s="68"/>
      <c r="CJ773" s="68"/>
      <c r="CK773" s="68"/>
      <c r="CL773" s="68"/>
      <c r="CM773" s="68"/>
      <c r="CN773" s="68"/>
      <c r="CO773" s="68"/>
      <c r="CP773" s="68"/>
      <c r="CQ773" s="68"/>
      <c r="CR773" s="68"/>
      <c r="CS773" s="68"/>
      <c r="CT773" s="68"/>
      <c r="CU773" s="68"/>
      <c r="CV773" s="68"/>
      <c r="CW773" s="68"/>
      <c r="CX773" s="68"/>
    </row>
    <row r="774" spans="4:102" s="71" customFormat="1" hidden="1">
      <c r="D774" s="105"/>
      <c r="E774" s="100"/>
      <c r="F774" s="100"/>
      <c r="G774" s="111"/>
      <c r="H774" s="105"/>
      <c r="I774" s="111"/>
      <c r="J774" s="111"/>
      <c r="K774" s="112"/>
      <c r="L774" s="113"/>
      <c r="M774" s="114"/>
      <c r="N774" s="100"/>
      <c r="O774" s="114"/>
      <c r="P774" s="65"/>
      <c r="Q774" s="103"/>
      <c r="R774" s="103"/>
      <c r="S774" s="103"/>
      <c r="T774" s="103"/>
      <c r="U774" s="68"/>
      <c r="V774" s="69"/>
      <c r="W774" s="68"/>
      <c r="X774" s="68"/>
      <c r="Y774" s="68"/>
      <c r="Z774" s="68"/>
      <c r="AA774" s="68"/>
      <c r="AB774" s="68"/>
      <c r="AC774" s="68"/>
      <c r="AD774" s="68"/>
      <c r="AE774" s="68"/>
      <c r="AF774" s="68"/>
      <c r="AG774" s="68"/>
      <c r="AH774" s="68"/>
      <c r="AI774" s="68"/>
      <c r="AJ774" s="68"/>
      <c r="AK774" s="68"/>
      <c r="AL774" s="68"/>
      <c r="AM774" s="68"/>
      <c r="AN774" s="68"/>
      <c r="AO774" s="68"/>
      <c r="AP774" s="68"/>
      <c r="AQ774" s="68"/>
      <c r="AR774" s="68"/>
      <c r="AS774" s="68"/>
      <c r="AT774" s="68"/>
      <c r="AU774" s="68"/>
      <c r="AV774" s="68"/>
      <c r="AW774" s="68"/>
      <c r="AX774" s="68"/>
      <c r="AY774" s="68"/>
      <c r="AZ774" s="68"/>
      <c r="BA774" s="68"/>
      <c r="BB774" s="68"/>
      <c r="BC774" s="68"/>
      <c r="BD774" s="68"/>
      <c r="BE774" s="68"/>
      <c r="BF774" s="68"/>
      <c r="BG774" s="68"/>
      <c r="BH774" s="68"/>
      <c r="BI774" s="68"/>
      <c r="BJ774" s="68"/>
      <c r="BK774" s="68"/>
      <c r="BL774" s="68"/>
      <c r="BM774" s="68"/>
      <c r="BN774" s="68"/>
      <c r="BO774" s="68"/>
      <c r="BP774" s="68"/>
      <c r="BQ774" s="68"/>
      <c r="BR774" s="68"/>
      <c r="BS774" s="68"/>
      <c r="BT774" s="68"/>
      <c r="BU774" s="68"/>
      <c r="BV774" s="68"/>
      <c r="BW774" s="68"/>
      <c r="BX774" s="68"/>
      <c r="BY774" s="68"/>
      <c r="BZ774" s="68"/>
      <c r="CA774" s="68"/>
      <c r="CB774" s="68"/>
      <c r="CC774" s="68"/>
      <c r="CD774" s="68"/>
      <c r="CE774" s="68"/>
      <c r="CF774" s="68"/>
      <c r="CG774" s="68"/>
      <c r="CH774" s="68"/>
      <c r="CI774" s="68"/>
      <c r="CJ774" s="68"/>
      <c r="CK774" s="68"/>
      <c r="CL774" s="68"/>
      <c r="CM774" s="68"/>
      <c r="CN774" s="68"/>
      <c r="CO774" s="68"/>
      <c r="CP774" s="68"/>
      <c r="CQ774" s="68"/>
      <c r="CR774" s="68"/>
      <c r="CS774" s="68"/>
      <c r="CT774" s="68"/>
      <c r="CU774" s="68"/>
      <c r="CV774" s="68"/>
      <c r="CW774" s="68"/>
      <c r="CX774" s="68"/>
    </row>
    <row r="775" spans="4:102" s="71" customFormat="1" hidden="1">
      <c r="D775" s="105"/>
      <c r="E775" s="100"/>
      <c r="F775" s="100"/>
      <c r="G775" s="111"/>
      <c r="H775" s="105"/>
      <c r="I775" s="111"/>
      <c r="J775" s="111"/>
      <c r="K775" s="112"/>
      <c r="L775" s="113"/>
      <c r="M775" s="114"/>
      <c r="N775" s="100"/>
      <c r="O775" s="114"/>
      <c r="P775" s="65"/>
      <c r="Q775" s="103"/>
      <c r="R775" s="103"/>
      <c r="S775" s="103"/>
      <c r="T775" s="103"/>
      <c r="U775" s="68"/>
      <c r="V775" s="69"/>
      <c r="W775" s="68"/>
      <c r="X775" s="68"/>
      <c r="Y775" s="68"/>
      <c r="Z775" s="68"/>
      <c r="AA775" s="68"/>
      <c r="AB775" s="68"/>
      <c r="AC775" s="68"/>
      <c r="AD775" s="68"/>
      <c r="AE775" s="68"/>
      <c r="AF775" s="68"/>
      <c r="AG775" s="68"/>
      <c r="AH775" s="68"/>
      <c r="AI775" s="68"/>
      <c r="AJ775" s="68"/>
      <c r="AK775" s="68"/>
      <c r="AL775" s="68"/>
      <c r="AM775" s="68"/>
      <c r="AN775" s="68"/>
      <c r="AO775" s="68"/>
      <c r="AP775" s="68"/>
      <c r="AQ775" s="68"/>
      <c r="AR775" s="68"/>
      <c r="AS775" s="68"/>
      <c r="AT775" s="68"/>
      <c r="AU775" s="68"/>
      <c r="AV775" s="68"/>
      <c r="AW775" s="68"/>
      <c r="AX775" s="68"/>
      <c r="AY775" s="68"/>
      <c r="AZ775" s="68"/>
      <c r="BA775" s="68"/>
      <c r="BB775" s="68"/>
      <c r="BC775" s="68"/>
      <c r="BD775" s="68"/>
      <c r="BE775" s="68"/>
      <c r="BF775" s="68"/>
      <c r="BG775" s="68"/>
      <c r="BH775" s="68"/>
      <c r="BI775" s="68"/>
      <c r="BJ775" s="68"/>
      <c r="BK775" s="68"/>
      <c r="BL775" s="68"/>
      <c r="BM775" s="68"/>
      <c r="BN775" s="68"/>
      <c r="BO775" s="68"/>
      <c r="BP775" s="68"/>
      <c r="BQ775" s="68"/>
      <c r="BR775" s="68"/>
      <c r="BS775" s="68"/>
      <c r="BT775" s="68"/>
      <c r="BU775" s="68"/>
      <c r="BV775" s="68"/>
      <c r="BW775" s="68"/>
      <c r="BX775" s="68"/>
      <c r="BY775" s="68"/>
      <c r="BZ775" s="68"/>
      <c r="CA775" s="68"/>
      <c r="CB775" s="68"/>
      <c r="CC775" s="68"/>
      <c r="CD775" s="68"/>
      <c r="CE775" s="68"/>
      <c r="CF775" s="68"/>
      <c r="CG775" s="68"/>
      <c r="CH775" s="68"/>
      <c r="CI775" s="68"/>
      <c r="CJ775" s="68"/>
      <c r="CK775" s="68"/>
      <c r="CL775" s="68"/>
      <c r="CM775" s="68"/>
      <c r="CN775" s="68"/>
      <c r="CO775" s="68"/>
      <c r="CP775" s="68"/>
      <c r="CQ775" s="68"/>
      <c r="CR775" s="68"/>
      <c r="CS775" s="68"/>
      <c r="CT775" s="68"/>
      <c r="CU775" s="68"/>
      <c r="CV775" s="68"/>
      <c r="CW775" s="68"/>
      <c r="CX775" s="68"/>
    </row>
    <row r="776" spans="4:102" s="71" customFormat="1" hidden="1">
      <c r="D776" s="105"/>
      <c r="E776" s="100"/>
      <c r="F776" s="100"/>
      <c r="G776" s="111"/>
      <c r="H776" s="105"/>
      <c r="I776" s="111"/>
      <c r="J776" s="111"/>
      <c r="K776" s="112"/>
      <c r="L776" s="113"/>
      <c r="M776" s="114"/>
      <c r="N776" s="100"/>
      <c r="O776" s="114"/>
      <c r="P776" s="65"/>
      <c r="Q776" s="103"/>
      <c r="R776" s="103"/>
      <c r="S776" s="103"/>
      <c r="T776" s="103"/>
      <c r="U776" s="68"/>
      <c r="V776" s="69"/>
      <c r="W776" s="68"/>
      <c r="X776" s="68"/>
      <c r="Y776" s="68"/>
      <c r="Z776" s="68"/>
      <c r="AA776" s="68"/>
      <c r="AB776" s="68"/>
      <c r="AC776" s="68"/>
      <c r="AD776" s="68"/>
      <c r="AE776" s="68"/>
      <c r="AF776" s="68"/>
      <c r="AG776" s="68"/>
      <c r="AH776" s="68"/>
      <c r="AI776" s="68"/>
      <c r="AJ776" s="68"/>
      <c r="AK776" s="68"/>
      <c r="AL776" s="68"/>
      <c r="AM776" s="68"/>
      <c r="AN776" s="68"/>
      <c r="AO776" s="68"/>
      <c r="AP776" s="68"/>
      <c r="AQ776" s="68"/>
      <c r="AR776" s="68"/>
      <c r="AS776" s="68"/>
      <c r="AT776" s="68"/>
      <c r="AU776" s="68"/>
      <c r="AV776" s="68"/>
      <c r="AW776" s="68"/>
      <c r="AX776" s="68"/>
      <c r="AY776" s="68"/>
      <c r="AZ776" s="68"/>
      <c r="BA776" s="68"/>
      <c r="BB776" s="68"/>
      <c r="BC776" s="68"/>
      <c r="BD776" s="68"/>
      <c r="BE776" s="68"/>
      <c r="BF776" s="68"/>
      <c r="BG776" s="68"/>
      <c r="BH776" s="68"/>
      <c r="BI776" s="68"/>
      <c r="BJ776" s="68"/>
      <c r="BK776" s="68"/>
      <c r="BL776" s="68"/>
      <c r="BM776" s="68"/>
      <c r="BN776" s="68"/>
      <c r="BO776" s="68"/>
      <c r="BP776" s="68"/>
      <c r="BQ776" s="68"/>
      <c r="BR776" s="68"/>
      <c r="BS776" s="68"/>
      <c r="BT776" s="68"/>
      <c r="BU776" s="68"/>
      <c r="BV776" s="68"/>
      <c r="BW776" s="68"/>
      <c r="BX776" s="68"/>
      <c r="BY776" s="68"/>
      <c r="BZ776" s="68"/>
      <c r="CA776" s="68"/>
      <c r="CB776" s="68"/>
      <c r="CC776" s="68"/>
      <c r="CD776" s="68"/>
      <c r="CE776" s="68"/>
      <c r="CF776" s="68"/>
      <c r="CG776" s="68"/>
      <c r="CH776" s="68"/>
      <c r="CI776" s="68"/>
      <c r="CJ776" s="68"/>
      <c r="CK776" s="68"/>
      <c r="CL776" s="68"/>
      <c r="CM776" s="68"/>
      <c r="CN776" s="68"/>
      <c r="CO776" s="68"/>
      <c r="CP776" s="68"/>
      <c r="CQ776" s="68"/>
      <c r="CR776" s="68"/>
      <c r="CS776" s="68"/>
      <c r="CT776" s="68"/>
      <c r="CU776" s="68"/>
      <c r="CV776" s="68"/>
      <c r="CW776" s="68"/>
      <c r="CX776" s="68"/>
    </row>
    <row r="777" spans="4:102" s="71" customFormat="1" hidden="1">
      <c r="D777" s="105"/>
      <c r="E777" s="100"/>
      <c r="F777" s="100"/>
      <c r="G777" s="111"/>
      <c r="H777" s="105"/>
      <c r="I777" s="111"/>
      <c r="J777" s="111"/>
      <c r="K777" s="112"/>
      <c r="L777" s="113"/>
      <c r="M777" s="114"/>
      <c r="N777" s="100"/>
      <c r="O777" s="114"/>
      <c r="P777" s="65"/>
      <c r="Q777" s="103"/>
      <c r="R777" s="103"/>
      <c r="S777" s="103"/>
      <c r="T777" s="103"/>
      <c r="U777" s="68"/>
      <c r="V777" s="69"/>
      <c r="W777" s="68"/>
      <c r="X777" s="68"/>
      <c r="Y777" s="68"/>
      <c r="Z777" s="68"/>
      <c r="AA777" s="68"/>
      <c r="AB777" s="68"/>
      <c r="AC777" s="68"/>
      <c r="AD777" s="68"/>
      <c r="AE777" s="68"/>
      <c r="AF777" s="68"/>
      <c r="AG777" s="68"/>
      <c r="AH777" s="68"/>
      <c r="AI777" s="68"/>
      <c r="AJ777" s="68"/>
      <c r="AK777" s="68"/>
      <c r="AL777" s="68"/>
      <c r="AM777" s="68"/>
      <c r="AN777" s="68"/>
      <c r="AO777" s="68"/>
      <c r="AP777" s="68"/>
      <c r="AQ777" s="68"/>
      <c r="AR777" s="68"/>
      <c r="AS777" s="68"/>
      <c r="AT777" s="68"/>
      <c r="AU777" s="68"/>
      <c r="AV777" s="68"/>
      <c r="AW777" s="68"/>
      <c r="AX777" s="68"/>
      <c r="AY777" s="68"/>
      <c r="AZ777" s="68"/>
      <c r="BA777" s="68"/>
      <c r="BB777" s="68"/>
      <c r="BC777" s="68"/>
      <c r="BD777" s="68"/>
      <c r="BE777" s="68"/>
      <c r="BF777" s="68"/>
      <c r="BG777" s="68"/>
      <c r="BH777" s="68"/>
      <c r="BI777" s="68"/>
      <c r="BJ777" s="68"/>
      <c r="BK777" s="68"/>
      <c r="BL777" s="68"/>
      <c r="BM777" s="68"/>
      <c r="BN777" s="68"/>
      <c r="BO777" s="68"/>
      <c r="BP777" s="68"/>
      <c r="BQ777" s="68"/>
      <c r="BR777" s="68"/>
      <c r="BS777" s="68"/>
      <c r="BT777" s="68"/>
      <c r="BU777" s="68"/>
      <c r="BV777" s="68"/>
      <c r="BW777" s="68"/>
      <c r="BX777" s="68"/>
      <c r="BY777" s="68"/>
      <c r="BZ777" s="68"/>
      <c r="CA777" s="68"/>
      <c r="CB777" s="68"/>
      <c r="CC777" s="68"/>
      <c r="CD777" s="68"/>
      <c r="CE777" s="68"/>
      <c r="CF777" s="68"/>
      <c r="CG777" s="68"/>
      <c r="CH777" s="68"/>
      <c r="CI777" s="68"/>
      <c r="CJ777" s="68"/>
      <c r="CK777" s="68"/>
      <c r="CL777" s="68"/>
      <c r="CM777" s="68"/>
      <c r="CN777" s="68"/>
      <c r="CO777" s="68"/>
      <c r="CP777" s="68"/>
      <c r="CQ777" s="68"/>
      <c r="CR777" s="68"/>
      <c r="CS777" s="68"/>
      <c r="CT777" s="68"/>
      <c r="CU777" s="68"/>
      <c r="CV777" s="68"/>
      <c r="CW777" s="68"/>
      <c r="CX777" s="68"/>
    </row>
    <row r="778" spans="4:102" s="71" customFormat="1" hidden="1">
      <c r="D778" s="105"/>
      <c r="E778" s="100"/>
      <c r="F778" s="100"/>
      <c r="G778" s="111"/>
      <c r="H778" s="105"/>
      <c r="I778" s="111"/>
      <c r="J778" s="111"/>
      <c r="K778" s="112"/>
      <c r="L778" s="113"/>
      <c r="M778" s="114"/>
      <c r="N778" s="100"/>
      <c r="O778" s="114"/>
      <c r="P778" s="65"/>
      <c r="Q778" s="103"/>
      <c r="R778" s="103"/>
      <c r="S778" s="103"/>
      <c r="T778" s="103"/>
      <c r="U778" s="68"/>
      <c r="V778" s="69"/>
      <c r="W778" s="68"/>
      <c r="X778" s="68"/>
      <c r="Y778" s="68"/>
      <c r="Z778" s="68"/>
      <c r="AA778" s="68"/>
      <c r="AB778" s="68"/>
      <c r="AC778" s="68"/>
      <c r="AD778" s="68"/>
      <c r="AE778" s="68"/>
      <c r="AF778" s="68"/>
      <c r="AG778" s="68"/>
      <c r="AH778" s="68"/>
      <c r="AI778" s="68"/>
      <c r="AJ778" s="68"/>
      <c r="AK778" s="68"/>
      <c r="AL778" s="68"/>
      <c r="AM778" s="68"/>
      <c r="AN778" s="68"/>
      <c r="AO778" s="68"/>
      <c r="AP778" s="68"/>
      <c r="AQ778" s="68"/>
      <c r="AR778" s="68"/>
      <c r="AS778" s="68"/>
      <c r="AT778" s="68"/>
      <c r="AU778" s="68"/>
      <c r="AV778" s="68"/>
      <c r="AW778" s="68"/>
      <c r="AX778" s="68"/>
      <c r="AY778" s="68"/>
      <c r="AZ778" s="68"/>
      <c r="BA778" s="68"/>
      <c r="BB778" s="68"/>
      <c r="BC778" s="68"/>
      <c r="BD778" s="68"/>
      <c r="BE778" s="68"/>
      <c r="BF778" s="68"/>
      <c r="BG778" s="68"/>
      <c r="BH778" s="68"/>
      <c r="BI778" s="68"/>
      <c r="BJ778" s="68"/>
      <c r="BK778" s="68"/>
      <c r="BL778" s="68"/>
      <c r="BM778" s="68"/>
      <c r="BN778" s="68"/>
      <c r="BO778" s="68"/>
      <c r="BP778" s="68"/>
      <c r="BQ778" s="68"/>
      <c r="BR778" s="68"/>
      <c r="BS778" s="68"/>
      <c r="BT778" s="68"/>
      <c r="BU778" s="68"/>
      <c r="BV778" s="68"/>
      <c r="BW778" s="68"/>
      <c r="BX778" s="68"/>
      <c r="BY778" s="68"/>
      <c r="BZ778" s="68"/>
      <c r="CA778" s="68"/>
      <c r="CB778" s="68"/>
      <c r="CC778" s="68"/>
      <c r="CD778" s="68"/>
      <c r="CE778" s="68"/>
      <c r="CF778" s="68"/>
      <c r="CG778" s="68"/>
      <c r="CH778" s="68"/>
      <c r="CI778" s="68"/>
      <c r="CJ778" s="68"/>
      <c r="CK778" s="68"/>
      <c r="CL778" s="68"/>
      <c r="CM778" s="68"/>
      <c r="CN778" s="68"/>
      <c r="CO778" s="68"/>
      <c r="CP778" s="68"/>
      <c r="CQ778" s="68"/>
      <c r="CR778" s="68"/>
      <c r="CS778" s="68"/>
      <c r="CT778" s="68"/>
      <c r="CU778" s="68"/>
      <c r="CV778" s="68"/>
      <c r="CW778" s="68"/>
      <c r="CX778" s="68"/>
    </row>
    <row r="779" spans="4:102" s="71" customFormat="1" hidden="1">
      <c r="D779" s="105"/>
      <c r="E779" s="100"/>
      <c r="F779" s="100"/>
      <c r="G779" s="111"/>
      <c r="H779" s="105"/>
      <c r="I779" s="111"/>
      <c r="J779" s="111"/>
      <c r="K779" s="112"/>
      <c r="L779" s="113"/>
      <c r="M779" s="114"/>
      <c r="N779" s="100"/>
      <c r="O779" s="114"/>
      <c r="P779" s="65"/>
      <c r="Q779" s="103"/>
      <c r="R779" s="103"/>
      <c r="S779" s="103"/>
      <c r="T779" s="103"/>
      <c r="U779" s="68"/>
      <c r="V779" s="69"/>
      <c r="W779" s="68"/>
      <c r="X779" s="68"/>
      <c r="Y779" s="68"/>
      <c r="Z779" s="68"/>
      <c r="AA779" s="68"/>
      <c r="AB779" s="68"/>
      <c r="AC779" s="68"/>
      <c r="AD779" s="68"/>
      <c r="AE779" s="68"/>
      <c r="AF779" s="68"/>
      <c r="AG779" s="68"/>
      <c r="AH779" s="68"/>
      <c r="AI779" s="68"/>
      <c r="AJ779" s="68"/>
      <c r="AK779" s="68"/>
      <c r="AL779" s="68"/>
      <c r="AM779" s="68"/>
      <c r="AN779" s="68"/>
      <c r="AO779" s="68"/>
      <c r="AP779" s="68"/>
      <c r="AQ779" s="68"/>
      <c r="AR779" s="68"/>
      <c r="AS779" s="68"/>
      <c r="AT779" s="68"/>
      <c r="AU779" s="68"/>
      <c r="AV779" s="68"/>
      <c r="AW779" s="68"/>
      <c r="AX779" s="68"/>
      <c r="AY779" s="68"/>
      <c r="AZ779" s="68"/>
      <c r="BA779" s="68"/>
      <c r="BB779" s="68"/>
      <c r="BC779" s="68"/>
      <c r="BD779" s="68"/>
      <c r="BE779" s="68"/>
      <c r="BF779" s="68"/>
      <c r="BG779" s="68"/>
      <c r="BH779" s="68"/>
      <c r="BI779" s="68"/>
      <c r="BJ779" s="68"/>
      <c r="BK779" s="68"/>
      <c r="BL779" s="68"/>
      <c r="BM779" s="68"/>
      <c r="BN779" s="68"/>
      <c r="BO779" s="68"/>
      <c r="BP779" s="68"/>
      <c r="BQ779" s="68"/>
      <c r="BR779" s="68"/>
      <c r="BS779" s="68"/>
      <c r="BT779" s="68"/>
      <c r="BU779" s="68"/>
      <c r="BV779" s="68"/>
      <c r="BW779" s="68"/>
      <c r="BX779" s="68"/>
      <c r="BY779" s="68"/>
      <c r="BZ779" s="68"/>
      <c r="CA779" s="68"/>
      <c r="CB779" s="68"/>
      <c r="CC779" s="68"/>
      <c r="CD779" s="68"/>
      <c r="CE779" s="68"/>
      <c r="CF779" s="68"/>
      <c r="CG779" s="68"/>
      <c r="CH779" s="68"/>
      <c r="CI779" s="68"/>
      <c r="CJ779" s="68"/>
      <c r="CK779" s="68"/>
      <c r="CL779" s="68"/>
      <c r="CM779" s="68"/>
      <c r="CN779" s="68"/>
      <c r="CO779" s="68"/>
      <c r="CP779" s="68"/>
      <c r="CQ779" s="68"/>
      <c r="CR779" s="68"/>
      <c r="CS779" s="68"/>
      <c r="CT779" s="68"/>
      <c r="CU779" s="68"/>
      <c r="CV779" s="68"/>
      <c r="CW779" s="68"/>
      <c r="CX779" s="68"/>
    </row>
    <row r="780" spans="4:102" s="71" customFormat="1" hidden="1">
      <c r="D780" s="105"/>
      <c r="E780" s="100"/>
      <c r="F780" s="100"/>
      <c r="G780" s="111"/>
      <c r="H780" s="105"/>
      <c r="I780" s="111"/>
      <c r="J780" s="111"/>
      <c r="K780" s="112"/>
      <c r="L780" s="113"/>
      <c r="M780" s="114"/>
      <c r="N780" s="100"/>
      <c r="O780" s="114"/>
      <c r="P780" s="65"/>
      <c r="Q780" s="103"/>
      <c r="R780" s="103"/>
      <c r="S780" s="103"/>
      <c r="T780" s="103"/>
      <c r="U780" s="68"/>
      <c r="V780" s="69"/>
      <c r="W780" s="68"/>
      <c r="X780" s="68"/>
      <c r="Y780" s="68"/>
      <c r="Z780" s="68"/>
      <c r="AA780" s="68"/>
      <c r="AB780" s="68"/>
      <c r="AC780" s="68"/>
      <c r="AD780" s="68"/>
      <c r="AE780" s="68"/>
      <c r="AF780" s="68"/>
      <c r="AG780" s="68"/>
      <c r="AH780" s="68"/>
      <c r="AI780" s="68"/>
      <c r="AJ780" s="68"/>
      <c r="AK780" s="68"/>
      <c r="AL780" s="68"/>
      <c r="AM780" s="68"/>
      <c r="AN780" s="68"/>
      <c r="AO780" s="68"/>
      <c r="AP780" s="68"/>
      <c r="AQ780" s="68"/>
      <c r="AR780" s="68"/>
      <c r="AS780" s="68"/>
      <c r="AT780" s="68"/>
      <c r="AU780" s="68"/>
      <c r="AV780" s="68"/>
      <c r="AW780" s="68"/>
      <c r="AX780" s="68"/>
      <c r="AY780" s="68"/>
      <c r="AZ780" s="68"/>
      <c r="BA780" s="68"/>
      <c r="BB780" s="68"/>
      <c r="BC780" s="68"/>
      <c r="BD780" s="68"/>
      <c r="BE780" s="68"/>
      <c r="BF780" s="68"/>
      <c r="BG780" s="68"/>
      <c r="BH780" s="68"/>
      <c r="BI780" s="68"/>
      <c r="BJ780" s="68"/>
      <c r="BK780" s="68"/>
      <c r="BL780" s="68"/>
      <c r="BM780" s="68"/>
      <c r="BN780" s="68"/>
      <c r="BO780" s="68"/>
      <c r="BP780" s="68"/>
      <c r="BQ780" s="68"/>
      <c r="BR780" s="68"/>
      <c r="BS780" s="68"/>
      <c r="BT780" s="68"/>
      <c r="BU780" s="68"/>
      <c r="BV780" s="68"/>
      <c r="BW780" s="68"/>
      <c r="BX780" s="68"/>
      <c r="BY780" s="68"/>
      <c r="BZ780" s="68"/>
      <c r="CA780" s="68"/>
      <c r="CB780" s="68"/>
      <c r="CC780" s="68"/>
      <c r="CD780" s="68"/>
      <c r="CE780" s="68"/>
      <c r="CF780" s="68"/>
      <c r="CG780" s="68"/>
      <c r="CH780" s="68"/>
      <c r="CI780" s="68"/>
      <c r="CJ780" s="68"/>
      <c r="CK780" s="68"/>
      <c r="CL780" s="68"/>
      <c r="CM780" s="68"/>
      <c r="CN780" s="68"/>
      <c r="CO780" s="68"/>
      <c r="CP780" s="68"/>
      <c r="CQ780" s="68"/>
      <c r="CR780" s="68"/>
      <c r="CS780" s="68"/>
      <c r="CT780" s="68"/>
      <c r="CU780" s="68"/>
      <c r="CV780" s="68"/>
      <c r="CW780" s="68"/>
      <c r="CX780" s="68"/>
    </row>
    <row r="781" spans="4:102" s="71" customFormat="1" hidden="1">
      <c r="D781" s="105"/>
      <c r="E781" s="100"/>
      <c r="F781" s="100"/>
      <c r="G781" s="111"/>
      <c r="H781" s="105"/>
      <c r="I781" s="111"/>
      <c r="J781" s="111"/>
      <c r="K781" s="112"/>
      <c r="L781" s="113"/>
      <c r="M781" s="114"/>
      <c r="N781" s="100"/>
      <c r="O781" s="114"/>
      <c r="P781" s="65"/>
      <c r="Q781" s="103"/>
      <c r="R781" s="103"/>
      <c r="S781" s="103"/>
      <c r="T781" s="103"/>
      <c r="U781" s="68"/>
      <c r="V781" s="69"/>
      <c r="W781" s="68"/>
      <c r="X781" s="68"/>
      <c r="Y781" s="68"/>
      <c r="Z781" s="68"/>
      <c r="AA781" s="68"/>
      <c r="AB781" s="68"/>
      <c r="AC781" s="68"/>
      <c r="AD781" s="68"/>
      <c r="AE781" s="68"/>
      <c r="AF781" s="68"/>
      <c r="AG781" s="68"/>
      <c r="AH781" s="68"/>
      <c r="AI781" s="68"/>
      <c r="AJ781" s="68"/>
      <c r="AK781" s="68"/>
      <c r="AL781" s="68"/>
      <c r="AM781" s="68"/>
      <c r="AN781" s="68"/>
      <c r="AO781" s="68"/>
      <c r="AP781" s="68"/>
      <c r="AQ781" s="68"/>
      <c r="AR781" s="68"/>
      <c r="AS781" s="68"/>
      <c r="AT781" s="68"/>
      <c r="AU781" s="68"/>
      <c r="AV781" s="68"/>
      <c r="AW781" s="68"/>
      <c r="AX781" s="68"/>
      <c r="AY781" s="68"/>
      <c r="AZ781" s="68"/>
      <c r="BA781" s="68"/>
      <c r="BB781" s="68"/>
      <c r="BC781" s="68"/>
      <c r="BD781" s="68"/>
      <c r="BE781" s="68"/>
      <c r="BF781" s="68"/>
      <c r="BG781" s="68"/>
      <c r="BH781" s="68"/>
      <c r="BI781" s="68"/>
      <c r="BJ781" s="68"/>
      <c r="BK781" s="68"/>
      <c r="BL781" s="68"/>
      <c r="BM781" s="68"/>
      <c r="BN781" s="68"/>
      <c r="BO781" s="68"/>
      <c r="BP781" s="68"/>
      <c r="BQ781" s="68"/>
      <c r="BR781" s="68"/>
      <c r="BS781" s="68"/>
      <c r="BT781" s="68"/>
      <c r="BU781" s="68"/>
      <c r="BV781" s="68"/>
      <c r="BW781" s="68"/>
      <c r="BX781" s="68"/>
      <c r="BY781" s="68"/>
      <c r="BZ781" s="68"/>
      <c r="CA781" s="68"/>
      <c r="CB781" s="68"/>
      <c r="CC781" s="68"/>
      <c r="CD781" s="68"/>
      <c r="CE781" s="68"/>
      <c r="CF781" s="68"/>
      <c r="CG781" s="68"/>
      <c r="CH781" s="68"/>
      <c r="CI781" s="68"/>
      <c r="CJ781" s="68"/>
      <c r="CK781" s="68"/>
      <c r="CL781" s="68"/>
      <c r="CM781" s="68"/>
      <c r="CN781" s="68"/>
      <c r="CO781" s="68"/>
      <c r="CP781" s="68"/>
      <c r="CQ781" s="68"/>
      <c r="CR781" s="68"/>
      <c r="CS781" s="68"/>
      <c r="CT781" s="68"/>
      <c r="CU781" s="68"/>
      <c r="CV781" s="68"/>
      <c r="CW781" s="68"/>
      <c r="CX781" s="68"/>
    </row>
    <row r="782" spans="4:102" s="71" customFormat="1" hidden="1">
      <c r="D782" s="105"/>
      <c r="E782" s="100"/>
      <c r="F782" s="100"/>
      <c r="G782" s="111"/>
      <c r="H782" s="105"/>
      <c r="I782" s="111"/>
      <c r="J782" s="111"/>
      <c r="K782" s="112"/>
      <c r="L782" s="113"/>
      <c r="M782" s="114"/>
      <c r="N782" s="100"/>
      <c r="O782" s="114"/>
      <c r="P782" s="65"/>
      <c r="Q782" s="103"/>
      <c r="R782" s="103"/>
      <c r="S782" s="103"/>
      <c r="T782" s="103"/>
      <c r="U782" s="68"/>
      <c r="V782" s="69"/>
      <c r="W782" s="68"/>
      <c r="X782" s="68"/>
      <c r="Y782" s="68"/>
      <c r="Z782" s="68"/>
      <c r="AA782" s="68"/>
      <c r="AB782" s="68"/>
      <c r="AC782" s="68"/>
      <c r="AD782" s="68"/>
      <c r="AE782" s="68"/>
      <c r="AF782" s="68"/>
      <c r="AG782" s="68"/>
      <c r="AH782" s="68"/>
      <c r="AI782" s="68"/>
      <c r="AJ782" s="68"/>
      <c r="AK782" s="68"/>
      <c r="AL782" s="68"/>
      <c r="AM782" s="68"/>
      <c r="AN782" s="68"/>
      <c r="AO782" s="68"/>
      <c r="AP782" s="68"/>
      <c r="AQ782" s="68"/>
      <c r="AR782" s="68"/>
      <c r="AS782" s="68"/>
      <c r="AT782" s="68"/>
      <c r="AU782" s="68"/>
      <c r="AV782" s="68"/>
      <c r="AW782" s="68"/>
      <c r="AX782" s="68"/>
      <c r="AY782" s="68"/>
      <c r="AZ782" s="68"/>
      <c r="BA782" s="68"/>
      <c r="BB782" s="68"/>
      <c r="BC782" s="68"/>
      <c r="BD782" s="68"/>
      <c r="BE782" s="68"/>
      <c r="BF782" s="68"/>
      <c r="BG782" s="68"/>
      <c r="BH782" s="68"/>
      <c r="BI782" s="68"/>
      <c r="BJ782" s="68"/>
      <c r="BK782" s="68"/>
      <c r="BL782" s="68"/>
      <c r="BM782" s="68"/>
      <c r="BN782" s="68"/>
      <c r="BO782" s="68"/>
      <c r="BP782" s="68"/>
      <c r="BQ782" s="68"/>
      <c r="BR782" s="68"/>
      <c r="BS782" s="68"/>
      <c r="BT782" s="68"/>
      <c r="BU782" s="68"/>
      <c r="BV782" s="68"/>
      <c r="BW782" s="68"/>
      <c r="BX782" s="68"/>
      <c r="BY782" s="68"/>
      <c r="BZ782" s="68"/>
      <c r="CA782" s="68"/>
      <c r="CB782" s="68"/>
      <c r="CC782" s="68"/>
      <c r="CD782" s="68"/>
      <c r="CE782" s="68"/>
      <c r="CF782" s="68"/>
      <c r="CG782" s="68"/>
      <c r="CH782" s="68"/>
      <c r="CI782" s="68"/>
      <c r="CJ782" s="68"/>
      <c r="CK782" s="68"/>
      <c r="CL782" s="68"/>
      <c r="CM782" s="68"/>
      <c r="CN782" s="68"/>
      <c r="CO782" s="68"/>
      <c r="CP782" s="68"/>
      <c r="CQ782" s="68"/>
      <c r="CR782" s="68"/>
      <c r="CS782" s="68"/>
      <c r="CT782" s="68"/>
      <c r="CU782" s="68"/>
      <c r="CV782" s="68"/>
      <c r="CW782" s="68"/>
      <c r="CX782" s="68"/>
    </row>
    <row r="783" spans="4:102" s="71" customFormat="1" hidden="1">
      <c r="D783" s="105"/>
      <c r="E783" s="100"/>
      <c r="F783" s="100"/>
      <c r="G783" s="111"/>
      <c r="H783" s="105"/>
      <c r="I783" s="111"/>
      <c r="J783" s="111"/>
      <c r="K783" s="112"/>
      <c r="L783" s="113"/>
      <c r="M783" s="114"/>
      <c r="N783" s="100"/>
      <c r="O783" s="114"/>
      <c r="P783" s="65"/>
      <c r="Q783" s="103"/>
      <c r="R783" s="103"/>
      <c r="S783" s="103"/>
      <c r="T783" s="103"/>
      <c r="U783" s="68"/>
      <c r="V783" s="69"/>
      <c r="W783" s="68"/>
      <c r="X783" s="68"/>
      <c r="Y783" s="68"/>
      <c r="Z783" s="68"/>
      <c r="AA783" s="68"/>
      <c r="AB783" s="68"/>
      <c r="AC783" s="68"/>
      <c r="AD783" s="68"/>
      <c r="AE783" s="68"/>
      <c r="AF783" s="68"/>
      <c r="AG783" s="68"/>
      <c r="AH783" s="68"/>
      <c r="AI783" s="68"/>
      <c r="AJ783" s="68"/>
      <c r="AK783" s="68"/>
      <c r="AL783" s="68"/>
      <c r="AM783" s="68"/>
      <c r="AN783" s="68"/>
      <c r="AO783" s="68"/>
      <c r="AP783" s="68"/>
      <c r="AQ783" s="68"/>
      <c r="AR783" s="68"/>
      <c r="AS783" s="68"/>
      <c r="AT783" s="68"/>
      <c r="AU783" s="68"/>
      <c r="AV783" s="68"/>
      <c r="AW783" s="68"/>
      <c r="AX783" s="68"/>
      <c r="AY783" s="68"/>
      <c r="AZ783" s="68"/>
      <c r="BA783" s="68"/>
      <c r="BB783" s="68"/>
      <c r="BC783" s="68"/>
      <c r="BD783" s="68"/>
      <c r="BE783" s="68"/>
      <c r="BF783" s="68"/>
      <c r="BG783" s="68"/>
      <c r="BH783" s="68"/>
      <c r="BI783" s="68"/>
      <c r="BJ783" s="68"/>
      <c r="BK783" s="68"/>
      <c r="BL783" s="68"/>
      <c r="BM783" s="68"/>
      <c r="BN783" s="68"/>
      <c r="BO783" s="68"/>
      <c r="BP783" s="68"/>
      <c r="BQ783" s="68"/>
      <c r="BR783" s="68"/>
      <c r="BS783" s="68"/>
      <c r="BT783" s="68"/>
      <c r="BU783" s="68"/>
      <c r="BV783" s="68"/>
      <c r="BW783" s="68"/>
      <c r="BX783" s="68"/>
      <c r="BY783" s="68"/>
      <c r="BZ783" s="68"/>
      <c r="CA783" s="68"/>
      <c r="CB783" s="68"/>
      <c r="CC783" s="68"/>
      <c r="CD783" s="68"/>
      <c r="CE783" s="68"/>
      <c r="CF783" s="68"/>
      <c r="CG783" s="68"/>
      <c r="CH783" s="68"/>
      <c r="CI783" s="68"/>
      <c r="CJ783" s="68"/>
      <c r="CK783" s="68"/>
      <c r="CL783" s="68"/>
      <c r="CM783" s="68"/>
      <c r="CN783" s="68"/>
      <c r="CO783" s="68"/>
      <c r="CP783" s="68"/>
      <c r="CQ783" s="68"/>
      <c r="CR783" s="68"/>
      <c r="CS783" s="68"/>
      <c r="CT783" s="68"/>
      <c r="CU783" s="68"/>
      <c r="CV783" s="68"/>
      <c r="CW783" s="68"/>
      <c r="CX783" s="68"/>
    </row>
    <row r="784" spans="4:102" s="71" customFormat="1" hidden="1">
      <c r="D784" s="105"/>
      <c r="E784" s="100"/>
      <c r="F784" s="100"/>
      <c r="G784" s="111"/>
      <c r="H784" s="105"/>
      <c r="I784" s="111"/>
      <c r="J784" s="111"/>
      <c r="K784" s="112"/>
      <c r="L784" s="113"/>
      <c r="M784" s="114"/>
      <c r="N784" s="100"/>
      <c r="O784" s="114"/>
      <c r="P784" s="65"/>
      <c r="Q784" s="103"/>
      <c r="R784" s="103"/>
      <c r="S784" s="103"/>
      <c r="T784" s="103"/>
      <c r="U784" s="68"/>
      <c r="V784" s="69"/>
      <c r="W784" s="68"/>
      <c r="X784" s="68"/>
      <c r="Y784" s="68"/>
      <c r="Z784" s="68"/>
      <c r="AA784" s="68"/>
      <c r="AB784" s="68"/>
      <c r="AC784" s="68"/>
      <c r="AD784" s="68"/>
      <c r="AE784" s="68"/>
      <c r="AF784" s="68"/>
      <c r="AG784" s="68"/>
      <c r="AH784" s="68"/>
      <c r="AI784" s="68"/>
      <c r="AJ784" s="68"/>
      <c r="AK784" s="68"/>
      <c r="AL784" s="68"/>
      <c r="AM784" s="68"/>
      <c r="AN784" s="68"/>
      <c r="AO784" s="68"/>
      <c r="AP784" s="68"/>
      <c r="AQ784" s="68"/>
      <c r="AR784" s="68"/>
      <c r="AS784" s="68"/>
      <c r="AT784" s="68"/>
      <c r="AU784" s="68"/>
      <c r="AV784" s="68"/>
      <c r="AW784" s="68"/>
      <c r="AX784" s="68"/>
      <c r="AY784" s="68"/>
      <c r="AZ784" s="68"/>
      <c r="BA784" s="68"/>
      <c r="BB784" s="68"/>
      <c r="BC784" s="68"/>
      <c r="BD784" s="68"/>
      <c r="BE784" s="68"/>
      <c r="BF784" s="68"/>
      <c r="BG784" s="68"/>
      <c r="BH784" s="68"/>
      <c r="BI784" s="68"/>
      <c r="BJ784" s="68"/>
      <c r="BK784" s="68"/>
      <c r="BL784" s="68"/>
      <c r="BM784" s="68"/>
      <c r="BN784" s="68"/>
      <c r="BO784" s="68"/>
      <c r="BP784" s="68"/>
      <c r="BQ784" s="68"/>
      <c r="BR784" s="68"/>
      <c r="BS784" s="68"/>
      <c r="BT784" s="68"/>
      <c r="BU784" s="68"/>
      <c r="BV784" s="68"/>
      <c r="BW784" s="68"/>
      <c r="BX784" s="68"/>
      <c r="BY784" s="68"/>
      <c r="BZ784" s="68"/>
      <c r="CA784" s="68"/>
      <c r="CB784" s="68"/>
      <c r="CC784" s="68"/>
      <c r="CD784" s="68"/>
      <c r="CE784" s="68"/>
      <c r="CF784" s="68"/>
      <c r="CG784" s="68"/>
      <c r="CH784" s="68"/>
      <c r="CI784" s="68"/>
      <c r="CJ784" s="68"/>
      <c r="CK784" s="68"/>
      <c r="CL784" s="68"/>
      <c r="CM784" s="68"/>
      <c r="CN784" s="68"/>
      <c r="CO784" s="68"/>
      <c r="CP784" s="68"/>
      <c r="CQ784" s="68"/>
      <c r="CR784" s="68"/>
      <c r="CS784" s="68"/>
      <c r="CT784" s="68"/>
      <c r="CU784" s="68"/>
      <c r="CV784" s="68"/>
      <c r="CW784" s="68"/>
      <c r="CX784" s="68"/>
    </row>
    <row r="785" spans="4:102" s="71" customFormat="1" hidden="1">
      <c r="D785" s="105"/>
      <c r="E785" s="100"/>
      <c r="F785" s="100"/>
      <c r="G785" s="111"/>
      <c r="H785" s="105"/>
      <c r="I785" s="111"/>
      <c r="J785" s="111"/>
      <c r="K785" s="112"/>
      <c r="L785" s="113"/>
      <c r="M785" s="114"/>
      <c r="N785" s="100"/>
      <c r="O785" s="114"/>
      <c r="P785" s="65"/>
      <c r="Q785" s="103"/>
      <c r="R785" s="103"/>
      <c r="S785" s="103"/>
      <c r="T785" s="103"/>
      <c r="U785" s="68"/>
      <c r="V785" s="69"/>
      <c r="W785" s="68"/>
      <c r="X785" s="68"/>
      <c r="Y785" s="68"/>
      <c r="Z785" s="68"/>
      <c r="AA785" s="68"/>
      <c r="AB785" s="68"/>
      <c r="AC785" s="68"/>
      <c r="AD785" s="68"/>
      <c r="AE785" s="68"/>
      <c r="AF785" s="68"/>
      <c r="AG785" s="68"/>
      <c r="AH785" s="68"/>
      <c r="AI785" s="68"/>
      <c r="AJ785" s="68"/>
      <c r="AK785" s="68"/>
      <c r="AL785" s="68"/>
      <c r="AM785" s="68"/>
      <c r="AN785" s="68"/>
      <c r="AO785" s="68"/>
      <c r="AP785" s="68"/>
      <c r="AQ785" s="68"/>
      <c r="AR785" s="68"/>
      <c r="AS785" s="68"/>
      <c r="AT785" s="68"/>
      <c r="AU785" s="68"/>
      <c r="AV785" s="68"/>
      <c r="AW785" s="68"/>
      <c r="AX785" s="68"/>
      <c r="AY785" s="68"/>
      <c r="AZ785" s="68"/>
      <c r="BA785" s="68"/>
      <c r="BB785" s="68"/>
      <c r="BC785" s="68"/>
      <c r="BD785" s="68"/>
      <c r="BE785" s="68"/>
      <c r="BF785" s="68"/>
      <c r="BG785" s="68"/>
      <c r="BH785" s="68"/>
      <c r="BI785" s="68"/>
      <c r="BJ785" s="68"/>
      <c r="BK785" s="68"/>
      <c r="BL785" s="68"/>
      <c r="BM785" s="68"/>
      <c r="BN785" s="68"/>
      <c r="BO785" s="68"/>
      <c r="BP785" s="68"/>
      <c r="BQ785" s="68"/>
      <c r="BR785" s="68"/>
      <c r="BS785" s="68"/>
      <c r="BT785" s="68"/>
      <c r="BU785" s="68"/>
      <c r="BV785" s="68"/>
      <c r="BW785" s="68"/>
      <c r="BX785" s="68"/>
      <c r="BY785" s="68"/>
      <c r="BZ785" s="68"/>
      <c r="CA785" s="68"/>
      <c r="CB785" s="68"/>
      <c r="CC785" s="68"/>
      <c r="CD785" s="68"/>
      <c r="CE785" s="68"/>
      <c r="CF785" s="68"/>
      <c r="CG785" s="68"/>
      <c r="CH785" s="68"/>
      <c r="CI785" s="68"/>
      <c r="CJ785" s="68"/>
      <c r="CK785" s="68"/>
      <c r="CL785" s="68"/>
      <c r="CM785" s="68"/>
      <c r="CN785" s="68"/>
      <c r="CO785" s="68"/>
      <c r="CP785" s="68"/>
      <c r="CQ785" s="68"/>
      <c r="CR785" s="68"/>
      <c r="CS785" s="68"/>
      <c r="CT785" s="68"/>
      <c r="CU785" s="68"/>
      <c r="CV785" s="68"/>
      <c r="CW785" s="68"/>
      <c r="CX785" s="68"/>
    </row>
    <row r="786" spans="4:102" s="71" customFormat="1" hidden="1">
      <c r="D786" s="105"/>
      <c r="E786" s="100"/>
      <c r="F786" s="100"/>
      <c r="G786" s="111"/>
      <c r="H786" s="105"/>
      <c r="I786" s="111"/>
      <c r="J786" s="111"/>
      <c r="K786" s="112"/>
      <c r="L786" s="113"/>
      <c r="M786" s="114"/>
      <c r="N786" s="100"/>
      <c r="O786" s="114"/>
      <c r="P786" s="65"/>
      <c r="Q786" s="103"/>
      <c r="R786" s="103"/>
      <c r="S786" s="103"/>
      <c r="T786" s="103"/>
      <c r="U786" s="68"/>
      <c r="V786" s="69"/>
      <c r="W786" s="68"/>
      <c r="X786" s="68"/>
      <c r="Y786" s="68"/>
      <c r="Z786" s="68"/>
      <c r="AA786" s="68"/>
      <c r="AB786" s="68"/>
      <c r="AC786" s="68"/>
      <c r="AD786" s="68"/>
      <c r="AE786" s="68"/>
      <c r="AF786" s="68"/>
      <c r="AG786" s="68"/>
      <c r="AH786" s="68"/>
      <c r="AI786" s="68"/>
      <c r="AJ786" s="68"/>
      <c r="AK786" s="68"/>
      <c r="AL786" s="68"/>
      <c r="AM786" s="68"/>
      <c r="AN786" s="68"/>
      <c r="AO786" s="68"/>
      <c r="AP786" s="68"/>
      <c r="AQ786" s="68"/>
      <c r="AR786" s="68"/>
      <c r="AS786" s="68"/>
      <c r="AT786" s="68"/>
      <c r="AU786" s="68"/>
      <c r="AV786" s="68"/>
      <c r="AW786" s="68"/>
      <c r="AX786" s="68"/>
      <c r="AY786" s="68"/>
      <c r="AZ786" s="68"/>
      <c r="BA786" s="68"/>
      <c r="BB786" s="68"/>
      <c r="BC786" s="68"/>
      <c r="BD786" s="68"/>
      <c r="BE786" s="68"/>
      <c r="BF786" s="68"/>
      <c r="BG786" s="68"/>
      <c r="BH786" s="68"/>
      <c r="BI786" s="68"/>
      <c r="BJ786" s="68"/>
      <c r="BK786" s="68"/>
      <c r="BL786" s="68"/>
      <c r="BM786" s="68"/>
      <c r="BN786" s="68"/>
      <c r="BO786" s="68"/>
      <c r="BP786" s="68"/>
      <c r="BQ786" s="68"/>
      <c r="BR786" s="68"/>
      <c r="BS786" s="68"/>
      <c r="BT786" s="68"/>
      <c r="BU786" s="68"/>
      <c r="BV786" s="68"/>
      <c r="BW786" s="68"/>
      <c r="BX786" s="68"/>
      <c r="BY786" s="68"/>
      <c r="BZ786" s="68"/>
      <c r="CA786" s="68"/>
      <c r="CB786" s="68"/>
      <c r="CC786" s="68"/>
      <c r="CD786" s="68"/>
      <c r="CE786" s="68"/>
      <c r="CF786" s="68"/>
      <c r="CG786" s="68"/>
      <c r="CH786" s="68"/>
      <c r="CI786" s="68"/>
      <c r="CJ786" s="68"/>
      <c r="CK786" s="68"/>
      <c r="CL786" s="68"/>
      <c r="CM786" s="68"/>
      <c r="CN786" s="68"/>
      <c r="CO786" s="68"/>
      <c r="CP786" s="68"/>
      <c r="CQ786" s="68"/>
      <c r="CR786" s="68"/>
      <c r="CS786" s="68"/>
      <c r="CT786" s="68"/>
      <c r="CU786" s="68"/>
      <c r="CV786" s="68"/>
      <c r="CW786" s="68"/>
      <c r="CX786" s="68"/>
    </row>
    <row r="787" spans="4:102" s="71" customFormat="1" hidden="1">
      <c r="D787" s="105"/>
      <c r="E787" s="100"/>
      <c r="F787" s="100"/>
      <c r="G787" s="111"/>
      <c r="H787" s="105"/>
      <c r="I787" s="111"/>
      <c r="J787" s="111"/>
      <c r="K787" s="112"/>
      <c r="L787" s="113"/>
      <c r="M787" s="114"/>
      <c r="N787" s="100"/>
      <c r="O787" s="114"/>
      <c r="P787" s="65"/>
      <c r="Q787" s="103"/>
      <c r="R787" s="103"/>
      <c r="S787" s="103"/>
      <c r="T787" s="103"/>
      <c r="U787" s="68"/>
      <c r="V787" s="69"/>
      <c r="W787" s="68"/>
      <c r="X787" s="68"/>
      <c r="Y787" s="68"/>
      <c r="Z787" s="68"/>
      <c r="AA787" s="68"/>
      <c r="AB787" s="68"/>
      <c r="AC787" s="68"/>
      <c r="AD787" s="68"/>
      <c r="AE787" s="68"/>
      <c r="AF787" s="68"/>
      <c r="AG787" s="68"/>
      <c r="AH787" s="68"/>
      <c r="AI787" s="68"/>
      <c r="AJ787" s="68"/>
      <c r="AK787" s="68"/>
      <c r="AL787" s="68"/>
      <c r="AM787" s="68"/>
      <c r="AN787" s="68"/>
      <c r="AO787" s="68"/>
      <c r="AP787" s="68"/>
      <c r="AQ787" s="68"/>
      <c r="AR787" s="68"/>
      <c r="AS787" s="68"/>
      <c r="AT787" s="68"/>
      <c r="AU787" s="68"/>
      <c r="AV787" s="68"/>
      <c r="AW787" s="68"/>
      <c r="AX787" s="68"/>
      <c r="AY787" s="68"/>
      <c r="AZ787" s="68"/>
      <c r="BA787" s="68"/>
      <c r="BB787" s="68"/>
      <c r="BC787" s="68"/>
      <c r="BD787" s="68"/>
      <c r="BE787" s="68"/>
      <c r="BF787" s="68"/>
      <c r="BG787" s="68"/>
      <c r="BH787" s="68"/>
      <c r="BI787" s="68"/>
      <c r="BJ787" s="68"/>
      <c r="BK787" s="68"/>
      <c r="BL787" s="68"/>
      <c r="BM787" s="68"/>
      <c r="BN787" s="68"/>
      <c r="BO787" s="68"/>
      <c r="BP787" s="68"/>
      <c r="BQ787" s="68"/>
      <c r="BR787" s="68"/>
      <c r="BS787" s="68"/>
      <c r="BT787" s="68"/>
      <c r="BU787" s="68"/>
      <c r="BV787" s="68"/>
      <c r="BW787" s="68"/>
      <c r="BX787" s="68"/>
      <c r="BY787" s="68"/>
      <c r="BZ787" s="68"/>
      <c r="CA787" s="68"/>
      <c r="CB787" s="68"/>
      <c r="CC787" s="68"/>
      <c r="CD787" s="68"/>
      <c r="CE787" s="68"/>
      <c r="CF787" s="68"/>
      <c r="CG787" s="68"/>
      <c r="CH787" s="68"/>
      <c r="CI787" s="68"/>
      <c r="CJ787" s="68"/>
      <c r="CK787" s="68"/>
      <c r="CL787" s="68"/>
      <c r="CM787" s="68"/>
      <c r="CN787" s="68"/>
      <c r="CO787" s="68"/>
      <c r="CP787" s="68"/>
      <c r="CQ787" s="68"/>
      <c r="CR787" s="68"/>
      <c r="CS787" s="68"/>
      <c r="CT787" s="68"/>
      <c r="CU787" s="68"/>
      <c r="CV787" s="68"/>
      <c r="CW787" s="68"/>
      <c r="CX787" s="68"/>
    </row>
    <row r="788" spans="4:102" s="71" customFormat="1" hidden="1">
      <c r="D788" s="105"/>
      <c r="E788" s="100"/>
      <c r="F788" s="100"/>
      <c r="G788" s="111"/>
      <c r="H788" s="105"/>
      <c r="I788" s="111"/>
      <c r="J788" s="111"/>
      <c r="K788" s="112"/>
      <c r="L788" s="113"/>
      <c r="M788" s="114"/>
      <c r="N788" s="100"/>
      <c r="O788" s="114"/>
      <c r="P788" s="65"/>
      <c r="Q788" s="103"/>
      <c r="R788" s="103"/>
      <c r="S788" s="103"/>
      <c r="T788" s="103"/>
      <c r="U788" s="68"/>
      <c r="V788" s="69"/>
      <c r="W788" s="68"/>
      <c r="X788" s="68"/>
      <c r="Y788" s="68"/>
      <c r="Z788" s="68"/>
      <c r="AA788" s="68"/>
      <c r="AB788" s="68"/>
      <c r="AC788" s="68"/>
      <c r="AD788" s="68"/>
      <c r="AE788" s="68"/>
      <c r="AF788" s="68"/>
      <c r="AG788" s="68"/>
      <c r="AH788" s="68"/>
      <c r="AI788" s="68"/>
      <c r="AJ788" s="68"/>
      <c r="AK788" s="68"/>
      <c r="AL788" s="68"/>
      <c r="AM788" s="68"/>
      <c r="AN788" s="68"/>
      <c r="AO788" s="68"/>
      <c r="AP788" s="68"/>
      <c r="AQ788" s="68"/>
      <c r="AR788" s="68"/>
      <c r="AS788" s="68"/>
      <c r="AT788" s="68"/>
      <c r="AU788" s="68"/>
      <c r="AV788" s="68"/>
      <c r="AW788" s="68"/>
      <c r="AX788" s="68"/>
      <c r="AY788" s="68"/>
      <c r="AZ788" s="68"/>
      <c r="BA788" s="68"/>
      <c r="BB788" s="68"/>
      <c r="BC788" s="68"/>
      <c r="BD788" s="68"/>
      <c r="BE788" s="68"/>
      <c r="BF788" s="68"/>
      <c r="BG788" s="68"/>
      <c r="BH788" s="68"/>
      <c r="BI788" s="68"/>
      <c r="BJ788" s="68"/>
      <c r="BK788" s="68"/>
      <c r="BL788" s="68"/>
      <c r="BM788" s="68"/>
      <c r="BN788" s="68"/>
      <c r="BO788" s="68"/>
      <c r="BP788" s="68"/>
      <c r="BQ788" s="68"/>
      <c r="BR788" s="68"/>
      <c r="BS788" s="68"/>
      <c r="BT788" s="68"/>
      <c r="BU788" s="68"/>
      <c r="BV788" s="68"/>
      <c r="BW788" s="68"/>
      <c r="BX788" s="68"/>
      <c r="BY788" s="68"/>
      <c r="BZ788" s="68"/>
      <c r="CA788" s="68"/>
      <c r="CB788" s="68"/>
      <c r="CC788" s="68"/>
      <c r="CD788" s="68"/>
      <c r="CE788" s="68"/>
      <c r="CF788" s="68"/>
      <c r="CG788" s="68"/>
      <c r="CH788" s="68"/>
      <c r="CI788" s="68"/>
      <c r="CJ788" s="68"/>
      <c r="CK788" s="68"/>
      <c r="CL788" s="68"/>
      <c r="CM788" s="68"/>
      <c r="CN788" s="68"/>
      <c r="CO788" s="68"/>
      <c r="CP788" s="68"/>
      <c r="CQ788" s="68"/>
      <c r="CR788" s="68"/>
      <c r="CS788" s="68"/>
      <c r="CT788" s="68"/>
      <c r="CU788" s="68"/>
      <c r="CV788" s="68"/>
      <c r="CW788" s="68"/>
      <c r="CX788" s="68"/>
    </row>
    <row r="789" spans="4:102" s="71" customFormat="1" hidden="1">
      <c r="D789" s="105"/>
      <c r="E789" s="100"/>
      <c r="F789" s="100"/>
      <c r="G789" s="111"/>
      <c r="H789" s="105"/>
      <c r="I789" s="111"/>
      <c r="J789" s="111"/>
      <c r="K789" s="112"/>
      <c r="L789" s="113"/>
      <c r="M789" s="114"/>
      <c r="N789" s="100"/>
      <c r="O789" s="114"/>
      <c r="P789" s="65"/>
      <c r="Q789" s="103"/>
      <c r="R789" s="103"/>
      <c r="S789" s="103"/>
      <c r="T789" s="103"/>
      <c r="U789" s="68"/>
      <c r="V789" s="69"/>
      <c r="W789" s="68"/>
      <c r="X789" s="68"/>
      <c r="Y789" s="68"/>
      <c r="Z789" s="68"/>
      <c r="AA789" s="68"/>
      <c r="AB789" s="68"/>
      <c r="AC789" s="68"/>
      <c r="AD789" s="68"/>
      <c r="AE789" s="68"/>
      <c r="AF789" s="68"/>
      <c r="AG789" s="68"/>
      <c r="AH789" s="68"/>
      <c r="AI789" s="68"/>
      <c r="AJ789" s="68"/>
      <c r="AK789" s="68"/>
      <c r="AL789" s="68"/>
      <c r="AM789" s="68"/>
      <c r="AN789" s="68"/>
      <c r="AO789" s="68"/>
      <c r="AP789" s="68"/>
      <c r="AQ789" s="68"/>
      <c r="AR789" s="68"/>
      <c r="AS789" s="68"/>
      <c r="AT789" s="68"/>
      <c r="AU789" s="68"/>
      <c r="AV789" s="68"/>
      <c r="AW789" s="68"/>
      <c r="AX789" s="68"/>
      <c r="AY789" s="68"/>
      <c r="AZ789" s="68"/>
      <c r="BA789" s="68"/>
      <c r="BB789" s="68"/>
      <c r="BC789" s="68"/>
      <c r="BD789" s="68"/>
      <c r="BE789" s="68"/>
      <c r="BF789" s="68"/>
      <c r="BG789" s="68"/>
      <c r="BH789" s="68"/>
      <c r="BI789" s="68"/>
      <c r="BJ789" s="68"/>
      <c r="BK789" s="68"/>
      <c r="BL789" s="68"/>
      <c r="BM789" s="68"/>
      <c r="BN789" s="68"/>
      <c r="BO789" s="68"/>
      <c r="BP789" s="68"/>
      <c r="BQ789" s="68"/>
      <c r="BR789" s="68"/>
      <c r="BS789" s="68"/>
      <c r="BT789" s="68"/>
      <c r="BU789" s="68"/>
      <c r="BV789" s="68"/>
      <c r="BW789" s="68"/>
      <c r="BX789" s="68"/>
      <c r="BY789" s="68"/>
      <c r="BZ789" s="68"/>
      <c r="CA789" s="68"/>
      <c r="CB789" s="68"/>
      <c r="CC789" s="68"/>
      <c r="CD789" s="68"/>
      <c r="CE789" s="68"/>
      <c r="CF789" s="68"/>
      <c r="CG789" s="68"/>
      <c r="CH789" s="68"/>
      <c r="CI789" s="68"/>
      <c r="CJ789" s="68"/>
      <c r="CK789" s="68"/>
      <c r="CL789" s="68"/>
      <c r="CM789" s="68"/>
      <c r="CN789" s="68"/>
      <c r="CO789" s="68"/>
      <c r="CP789" s="68"/>
      <c r="CQ789" s="68"/>
      <c r="CR789" s="68"/>
      <c r="CS789" s="68"/>
      <c r="CT789" s="68"/>
      <c r="CU789" s="68"/>
      <c r="CV789" s="68"/>
      <c r="CW789" s="68"/>
      <c r="CX789" s="68"/>
    </row>
    <row r="790" spans="4:102" s="71" customFormat="1" hidden="1">
      <c r="D790" s="105"/>
      <c r="E790" s="100"/>
      <c r="F790" s="100"/>
      <c r="G790" s="111"/>
      <c r="H790" s="105"/>
      <c r="I790" s="111"/>
      <c r="J790" s="111"/>
      <c r="K790" s="112"/>
      <c r="L790" s="113"/>
      <c r="M790" s="114"/>
      <c r="N790" s="100"/>
      <c r="O790" s="114"/>
      <c r="P790" s="65"/>
      <c r="Q790" s="103"/>
      <c r="R790" s="103"/>
      <c r="S790" s="103"/>
      <c r="T790" s="103"/>
      <c r="U790" s="68"/>
      <c r="V790" s="69"/>
      <c r="W790" s="68"/>
      <c r="X790" s="68"/>
      <c r="Y790" s="68"/>
      <c r="Z790" s="68"/>
      <c r="AA790" s="68"/>
      <c r="AB790" s="68"/>
      <c r="AC790" s="68"/>
      <c r="AD790" s="68"/>
      <c r="AE790" s="68"/>
      <c r="AF790" s="68"/>
      <c r="AG790" s="68"/>
      <c r="AH790" s="68"/>
      <c r="AI790" s="68"/>
      <c r="AJ790" s="68"/>
      <c r="AK790" s="68"/>
      <c r="AL790" s="68"/>
      <c r="AM790" s="68"/>
      <c r="AN790" s="68"/>
      <c r="AO790" s="68"/>
      <c r="AP790" s="68"/>
      <c r="AQ790" s="68"/>
      <c r="AR790" s="68"/>
      <c r="AS790" s="68"/>
      <c r="AT790" s="68"/>
      <c r="AU790" s="68"/>
      <c r="AV790" s="68"/>
      <c r="AW790" s="68"/>
      <c r="AX790" s="68"/>
      <c r="AY790" s="68"/>
      <c r="AZ790" s="68"/>
      <c r="BA790" s="68"/>
      <c r="BB790" s="68"/>
      <c r="BC790" s="68"/>
      <c r="BD790" s="68"/>
      <c r="BE790" s="68"/>
      <c r="BF790" s="68"/>
      <c r="BG790" s="68"/>
      <c r="BH790" s="68"/>
      <c r="BI790" s="68"/>
      <c r="BJ790" s="68"/>
      <c r="BK790" s="68"/>
      <c r="BL790" s="68"/>
      <c r="BM790" s="68"/>
      <c r="BN790" s="68"/>
      <c r="BO790" s="68"/>
      <c r="BP790" s="68"/>
      <c r="BQ790" s="68"/>
      <c r="BR790" s="68"/>
      <c r="BS790" s="68"/>
      <c r="BT790" s="68"/>
      <c r="BU790" s="68"/>
      <c r="BV790" s="68"/>
      <c r="BW790" s="68"/>
      <c r="BX790" s="68"/>
      <c r="BY790" s="68"/>
      <c r="BZ790" s="68"/>
      <c r="CA790" s="68"/>
      <c r="CB790" s="68"/>
      <c r="CC790" s="68"/>
      <c r="CD790" s="68"/>
      <c r="CE790" s="68"/>
      <c r="CF790" s="68"/>
      <c r="CG790" s="68"/>
      <c r="CH790" s="68"/>
      <c r="CI790" s="68"/>
      <c r="CJ790" s="68"/>
      <c r="CK790" s="68"/>
      <c r="CL790" s="68"/>
      <c r="CM790" s="68"/>
      <c r="CN790" s="68"/>
      <c r="CO790" s="68"/>
      <c r="CP790" s="68"/>
      <c r="CQ790" s="68"/>
      <c r="CR790" s="68"/>
      <c r="CS790" s="68"/>
      <c r="CT790" s="68"/>
      <c r="CU790" s="68"/>
      <c r="CV790" s="68"/>
      <c r="CW790" s="68"/>
      <c r="CX790" s="68"/>
    </row>
    <row r="791" spans="4:102" s="71" customFormat="1" hidden="1">
      <c r="D791" s="105"/>
      <c r="E791" s="100"/>
      <c r="F791" s="100"/>
      <c r="G791" s="111"/>
      <c r="H791" s="105"/>
      <c r="I791" s="111"/>
      <c r="J791" s="111"/>
      <c r="K791" s="112"/>
      <c r="L791" s="113"/>
      <c r="M791" s="114"/>
      <c r="N791" s="100"/>
      <c r="O791" s="114"/>
      <c r="P791" s="65"/>
      <c r="Q791" s="103"/>
      <c r="R791" s="103"/>
      <c r="S791" s="103"/>
      <c r="T791" s="103"/>
      <c r="U791" s="68"/>
      <c r="V791" s="69"/>
      <c r="W791" s="68"/>
      <c r="X791" s="68"/>
      <c r="Y791" s="68"/>
      <c r="Z791" s="68"/>
      <c r="AA791" s="68"/>
      <c r="AB791" s="68"/>
      <c r="AC791" s="68"/>
      <c r="AD791" s="68"/>
      <c r="AE791" s="68"/>
      <c r="AF791" s="68"/>
      <c r="AG791" s="68"/>
      <c r="AH791" s="68"/>
      <c r="AI791" s="68"/>
      <c r="AJ791" s="68"/>
      <c r="AK791" s="68"/>
      <c r="AL791" s="68"/>
      <c r="AM791" s="68"/>
      <c r="AN791" s="68"/>
      <c r="AO791" s="68"/>
      <c r="AP791" s="68"/>
      <c r="AQ791" s="68"/>
      <c r="AR791" s="68"/>
      <c r="AS791" s="68"/>
      <c r="AT791" s="68"/>
      <c r="AU791" s="68"/>
      <c r="AV791" s="68"/>
      <c r="AW791" s="68"/>
      <c r="AX791" s="68"/>
      <c r="AY791" s="68"/>
      <c r="AZ791" s="68"/>
      <c r="BA791" s="68"/>
      <c r="BB791" s="68"/>
      <c r="BC791" s="68"/>
      <c r="BD791" s="68"/>
      <c r="BE791" s="68"/>
      <c r="BF791" s="68"/>
      <c r="BG791" s="68"/>
      <c r="BH791" s="68"/>
      <c r="BI791" s="68"/>
      <c r="BJ791" s="68"/>
      <c r="BK791" s="68"/>
      <c r="BL791" s="68"/>
      <c r="BM791" s="68"/>
      <c r="BN791" s="68"/>
      <c r="BO791" s="68"/>
      <c r="BP791" s="68"/>
      <c r="BQ791" s="68"/>
      <c r="BR791" s="68"/>
      <c r="BS791" s="68"/>
      <c r="BT791" s="68"/>
      <c r="BU791" s="68"/>
      <c r="BV791" s="68"/>
      <c r="BW791" s="68"/>
      <c r="BX791" s="68"/>
      <c r="BY791" s="68"/>
      <c r="BZ791" s="68"/>
      <c r="CA791" s="68"/>
      <c r="CB791" s="68"/>
      <c r="CC791" s="68"/>
      <c r="CD791" s="68"/>
      <c r="CE791" s="68"/>
      <c r="CF791" s="68"/>
      <c r="CG791" s="68"/>
      <c r="CH791" s="68"/>
      <c r="CI791" s="68"/>
      <c r="CJ791" s="68"/>
      <c r="CK791" s="68"/>
      <c r="CL791" s="68"/>
      <c r="CM791" s="68"/>
      <c r="CN791" s="68"/>
      <c r="CO791" s="68"/>
      <c r="CP791" s="68"/>
      <c r="CQ791" s="68"/>
      <c r="CR791" s="68"/>
      <c r="CS791" s="68"/>
      <c r="CT791" s="68"/>
      <c r="CU791" s="68"/>
      <c r="CV791" s="68"/>
      <c r="CW791" s="68"/>
      <c r="CX791" s="68"/>
    </row>
    <row r="792" spans="4:102" s="71" customFormat="1" hidden="1">
      <c r="D792" s="105"/>
      <c r="E792" s="100"/>
      <c r="F792" s="100"/>
      <c r="G792" s="111"/>
      <c r="H792" s="105"/>
      <c r="I792" s="111"/>
      <c r="J792" s="111"/>
      <c r="K792" s="112"/>
      <c r="L792" s="113"/>
      <c r="M792" s="114"/>
      <c r="N792" s="100"/>
      <c r="O792" s="114"/>
      <c r="P792" s="65"/>
      <c r="Q792" s="103"/>
      <c r="R792" s="103"/>
      <c r="S792" s="103"/>
      <c r="T792" s="103"/>
      <c r="U792" s="68"/>
      <c r="V792" s="69"/>
      <c r="W792" s="68"/>
      <c r="X792" s="68"/>
      <c r="Y792" s="68"/>
      <c r="Z792" s="68"/>
      <c r="AA792" s="68"/>
      <c r="AB792" s="68"/>
      <c r="AC792" s="68"/>
      <c r="AD792" s="68"/>
      <c r="AE792" s="68"/>
      <c r="AF792" s="68"/>
      <c r="AG792" s="68"/>
      <c r="AH792" s="68"/>
      <c r="AI792" s="68"/>
      <c r="AJ792" s="68"/>
      <c r="AK792" s="68"/>
      <c r="AL792" s="68"/>
      <c r="AM792" s="68"/>
      <c r="AN792" s="68"/>
      <c r="AO792" s="68"/>
      <c r="AP792" s="68"/>
      <c r="AQ792" s="68"/>
      <c r="AR792" s="68"/>
      <c r="AS792" s="68"/>
      <c r="AT792" s="68"/>
      <c r="AU792" s="68"/>
      <c r="AV792" s="68"/>
      <c r="AW792" s="68"/>
      <c r="AX792" s="68"/>
      <c r="AY792" s="68"/>
      <c r="AZ792" s="68"/>
      <c r="BA792" s="68"/>
      <c r="BB792" s="68"/>
      <c r="BC792" s="68"/>
      <c r="BD792" s="68"/>
      <c r="BE792" s="68"/>
      <c r="BF792" s="68"/>
      <c r="BG792" s="68"/>
      <c r="BH792" s="68"/>
      <c r="BI792" s="68"/>
      <c r="BJ792" s="68"/>
      <c r="BK792" s="68"/>
      <c r="BL792" s="68"/>
      <c r="BM792" s="68"/>
      <c r="BN792" s="68"/>
      <c r="BO792" s="68"/>
      <c r="BP792" s="68"/>
      <c r="BQ792" s="68"/>
      <c r="BR792" s="68"/>
      <c r="BS792" s="68"/>
      <c r="BT792" s="68"/>
      <c r="BU792" s="68"/>
      <c r="BV792" s="68"/>
      <c r="BW792" s="68"/>
      <c r="BX792" s="68"/>
      <c r="BY792" s="68"/>
      <c r="BZ792" s="68"/>
      <c r="CA792" s="68"/>
      <c r="CB792" s="68"/>
      <c r="CC792" s="68"/>
      <c r="CD792" s="68"/>
      <c r="CE792" s="68"/>
      <c r="CF792" s="68"/>
      <c r="CG792" s="68"/>
      <c r="CH792" s="68"/>
      <c r="CI792" s="68"/>
      <c r="CJ792" s="68"/>
      <c r="CK792" s="68"/>
      <c r="CL792" s="68"/>
      <c r="CM792" s="68"/>
      <c r="CN792" s="68"/>
      <c r="CO792" s="68"/>
      <c r="CP792" s="68"/>
      <c r="CQ792" s="68"/>
      <c r="CR792" s="68"/>
      <c r="CS792" s="68"/>
      <c r="CT792" s="68"/>
      <c r="CU792" s="68"/>
      <c r="CV792" s="68"/>
      <c r="CW792" s="68"/>
      <c r="CX792" s="68"/>
    </row>
    <row r="793" spans="4:102" s="71" customFormat="1" hidden="1">
      <c r="D793" s="105"/>
      <c r="E793" s="100"/>
      <c r="F793" s="100"/>
      <c r="G793" s="111"/>
      <c r="H793" s="105"/>
      <c r="I793" s="111"/>
      <c r="J793" s="111"/>
      <c r="K793" s="112"/>
      <c r="L793" s="113"/>
      <c r="M793" s="114"/>
      <c r="N793" s="100"/>
      <c r="O793" s="114"/>
      <c r="P793" s="65"/>
      <c r="Q793" s="103"/>
      <c r="R793" s="103"/>
      <c r="S793" s="103"/>
      <c r="T793" s="103"/>
      <c r="U793" s="68"/>
      <c r="V793" s="69"/>
      <c r="W793" s="68"/>
      <c r="X793" s="68"/>
      <c r="Y793" s="68"/>
      <c r="Z793" s="68"/>
      <c r="AA793" s="68"/>
      <c r="AB793" s="68"/>
      <c r="AC793" s="68"/>
      <c r="AD793" s="68"/>
      <c r="AE793" s="68"/>
      <c r="AF793" s="68"/>
      <c r="AG793" s="68"/>
      <c r="AH793" s="68"/>
      <c r="AI793" s="68"/>
      <c r="AJ793" s="68"/>
      <c r="AK793" s="68"/>
      <c r="AL793" s="68"/>
      <c r="AM793" s="68"/>
      <c r="AN793" s="68"/>
      <c r="AO793" s="68"/>
      <c r="AP793" s="68"/>
      <c r="AQ793" s="68"/>
      <c r="AR793" s="68"/>
      <c r="AS793" s="68"/>
      <c r="AT793" s="68"/>
      <c r="AU793" s="68"/>
      <c r="AV793" s="68"/>
      <c r="AW793" s="68"/>
      <c r="AX793" s="68"/>
      <c r="AY793" s="68"/>
      <c r="AZ793" s="68"/>
      <c r="BA793" s="68"/>
      <c r="BB793" s="68"/>
      <c r="BC793" s="68"/>
      <c r="BD793" s="68"/>
      <c r="BE793" s="68"/>
      <c r="BF793" s="68"/>
      <c r="BG793" s="68"/>
      <c r="BH793" s="68"/>
      <c r="BI793" s="68"/>
      <c r="BJ793" s="68"/>
      <c r="BK793" s="68"/>
      <c r="BL793" s="68"/>
      <c r="BM793" s="68"/>
      <c r="BN793" s="68"/>
      <c r="BO793" s="68"/>
      <c r="BP793" s="68"/>
      <c r="BQ793" s="68"/>
      <c r="BR793" s="68"/>
      <c r="BS793" s="68"/>
      <c r="BT793" s="68"/>
      <c r="BU793" s="68"/>
      <c r="BV793" s="68"/>
      <c r="BW793" s="68"/>
      <c r="BX793" s="68"/>
      <c r="BY793" s="68"/>
      <c r="BZ793" s="68"/>
      <c r="CA793" s="68"/>
      <c r="CB793" s="68"/>
      <c r="CC793" s="68"/>
      <c r="CD793" s="68"/>
      <c r="CE793" s="68"/>
      <c r="CF793" s="68"/>
      <c r="CG793" s="68"/>
      <c r="CH793" s="68"/>
      <c r="CI793" s="68"/>
      <c r="CJ793" s="68"/>
      <c r="CK793" s="68"/>
      <c r="CL793" s="68"/>
      <c r="CM793" s="68"/>
      <c r="CN793" s="68"/>
      <c r="CO793" s="68"/>
      <c r="CP793" s="68"/>
      <c r="CQ793" s="68"/>
      <c r="CR793" s="68"/>
      <c r="CS793" s="68"/>
      <c r="CT793" s="68"/>
      <c r="CU793" s="68"/>
      <c r="CV793" s="68"/>
      <c r="CW793" s="68"/>
      <c r="CX793" s="68"/>
    </row>
    <row r="794" spans="4:102" s="71" customFormat="1" hidden="1">
      <c r="D794" s="105"/>
      <c r="E794" s="100"/>
      <c r="F794" s="100"/>
      <c r="G794" s="111"/>
      <c r="H794" s="105"/>
      <c r="I794" s="111"/>
      <c r="J794" s="111"/>
      <c r="K794" s="112"/>
      <c r="L794" s="113"/>
      <c r="M794" s="114"/>
      <c r="N794" s="100"/>
      <c r="O794" s="114"/>
      <c r="P794" s="65"/>
      <c r="Q794" s="103"/>
      <c r="R794" s="103"/>
      <c r="S794" s="103"/>
      <c r="T794" s="103"/>
      <c r="U794" s="68"/>
      <c r="V794" s="69"/>
      <c r="W794" s="68"/>
      <c r="X794" s="68"/>
      <c r="Y794" s="68"/>
      <c r="Z794" s="68"/>
      <c r="AA794" s="68"/>
      <c r="AB794" s="68"/>
      <c r="AC794" s="68"/>
      <c r="AD794" s="68"/>
      <c r="AE794" s="68"/>
      <c r="AF794" s="68"/>
      <c r="AG794" s="68"/>
      <c r="AH794" s="68"/>
      <c r="AI794" s="68"/>
      <c r="AJ794" s="68"/>
      <c r="AK794" s="68"/>
      <c r="AL794" s="68"/>
      <c r="AM794" s="68"/>
      <c r="AN794" s="68"/>
      <c r="AO794" s="68"/>
      <c r="AP794" s="68"/>
      <c r="AQ794" s="68"/>
      <c r="AR794" s="68"/>
      <c r="AS794" s="68"/>
      <c r="AT794" s="68"/>
      <c r="AU794" s="68"/>
      <c r="AV794" s="68"/>
      <c r="AW794" s="68"/>
      <c r="AX794" s="68"/>
      <c r="AY794" s="68"/>
      <c r="AZ794" s="68"/>
      <c r="BA794" s="68"/>
      <c r="BB794" s="68"/>
      <c r="BC794" s="68"/>
      <c r="BD794" s="68"/>
      <c r="BE794" s="68"/>
      <c r="BF794" s="68"/>
      <c r="BG794" s="68"/>
      <c r="BH794" s="68"/>
      <c r="BI794" s="68"/>
      <c r="BJ794" s="68"/>
      <c r="BK794" s="68"/>
      <c r="BL794" s="68"/>
      <c r="BM794" s="68"/>
      <c r="BN794" s="68"/>
      <c r="BO794" s="68"/>
      <c r="BP794" s="68"/>
      <c r="BQ794" s="68"/>
      <c r="BR794" s="68"/>
      <c r="BS794" s="68"/>
      <c r="BT794" s="68"/>
      <c r="BU794" s="68"/>
      <c r="BV794" s="68"/>
      <c r="BW794" s="68"/>
      <c r="BX794" s="68"/>
      <c r="BY794" s="68"/>
      <c r="BZ794" s="68"/>
      <c r="CA794" s="68"/>
      <c r="CB794" s="68"/>
      <c r="CC794" s="68"/>
      <c r="CD794" s="68"/>
      <c r="CE794" s="68"/>
      <c r="CF794" s="68"/>
      <c r="CG794" s="68"/>
      <c r="CH794" s="68"/>
      <c r="CI794" s="68"/>
      <c r="CJ794" s="68"/>
      <c r="CK794" s="68"/>
      <c r="CL794" s="68"/>
      <c r="CM794" s="68"/>
      <c r="CN794" s="68"/>
      <c r="CO794" s="68"/>
      <c r="CP794" s="68"/>
      <c r="CQ794" s="68"/>
      <c r="CR794" s="68"/>
      <c r="CS794" s="68"/>
      <c r="CT794" s="68"/>
      <c r="CU794" s="68"/>
      <c r="CV794" s="68"/>
      <c r="CW794" s="68"/>
      <c r="CX794" s="68"/>
    </row>
    <row r="795" spans="4:102" s="71" customFormat="1" hidden="1">
      <c r="D795" s="105"/>
      <c r="E795" s="100"/>
      <c r="F795" s="100"/>
      <c r="G795" s="111"/>
      <c r="H795" s="105"/>
      <c r="I795" s="111"/>
      <c r="J795" s="111"/>
      <c r="K795" s="112"/>
      <c r="L795" s="113"/>
      <c r="M795" s="114"/>
      <c r="N795" s="100"/>
      <c r="O795" s="114"/>
      <c r="P795" s="65"/>
      <c r="Q795" s="103"/>
      <c r="R795" s="103"/>
      <c r="S795" s="103"/>
      <c r="T795" s="103"/>
      <c r="U795" s="68"/>
      <c r="V795" s="69"/>
      <c r="W795" s="68"/>
      <c r="X795" s="68"/>
      <c r="Y795" s="68"/>
      <c r="Z795" s="68"/>
      <c r="AA795" s="68"/>
      <c r="AB795" s="68"/>
      <c r="AC795" s="68"/>
      <c r="AD795" s="68"/>
      <c r="AE795" s="68"/>
      <c r="AF795" s="68"/>
      <c r="AG795" s="68"/>
      <c r="AH795" s="68"/>
      <c r="AI795" s="68"/>
      <c r="AJ795" s="68"/>
      <c r="AK795" s="68"/>
      <c r="AL795" s="68"/>
      <c r="AM795" s="68"/>
      <c r="AN795" s="68"/>
      <c r="AO795" s="68"/>
      <c r="AP795" s="68"/>
      <c r="AQ795" s="68"/>
      <c r="AR795" s="68"/>
      <c r="AS795" s="68"/>
      <c r="AT795" s="68"/>
      <c r="AU795" s="68"/>
      <c r="AV795" s="68"/>
      <c r="AW795" s="68"/>
      <c r="AX795" s="68"/>
      <c r="AY795" s="68"/>
      <c r="AZ795" s="68"/>
      <c r="BA795" s="68"/>
      <c r="BB795" s="68"/>
      <c r="BC795" s="68"/>
      <c r="BD795" s="68"/>
      <c r="BE795" s="68"/>
      <c r="BF795" s="68"/>
      <c r="BG795" s="68"/>
      <c r="BH795" s="68"/>
      <c r="BI795" s="68"/>
      <c r="BJ795" s="68"/>
      <c r="BK795" s="68"/>
      <c r="BL795" s="68"/>
      <c r="BM795" s="68"/>
      <c r="BN795" s="68"/>
      <c r="BO795" s="68"/>
      <c r="BP795" s="68"/>
      <c r="BQ795" s="68"/>
      <c r="BR795" s="68"/>
      <c r="BS795" s="68"/>
      <c r="BT795" s="68"/>
      <c r="BU795" s="68"/>
      <c r="BV795" s="68"/>
      <c r="BW795" s="68"/>
      <c r="BX795" s="68"/>
      <c r="BY795" s="68"/>
      <c r="BZ795" s="68"/>
      <c r="CA795" s="68"/>
      <c r="CB795" s="68"/>
      <c r="CC795" s="68"/>
      <c r="CD795" s="68"/>
      <c r="CE795" s="68"/>
      <c r="CF795" s="68"/>
      <c r="CG795" s="68"/>
      <c r="CH795" s="68"/>
      <c r="CI795" s="68"/>
      <c r="CJ795" s="68"/>
      <c r="CK795" s="68"/>
      <c r="CL795" s="68"/>
      <c r="CM795" s="68"/>
      <c r="CN795" s="68"/>
      <c r="CO795" s="68"/>
      <c r="CP795" s="68"/>
      <c r="CQ795" s="68"/>
      <c r="CR795" s="68"/>
      <c r="CS795" s="68"/>
      <c r="CT795" s="68"/>
      <c r="CU795" s="68"/>
      <c r="CV795" s="68"/>
      <c r="CW795" s="68"/>
      <c r="CX795" s="68"/>
    </row>
    <row r="796" spans="4:102" s="71" customFormat="1" hidden="1">
      <c r="D796" s="105"/>
      <c r="E796" s="100"/>
      <c r="F796" s="100"/>
      <c r="G796" s="111"/>
      <c r="H796" s="105"/>
      <c r="I796" s="111"/>
      <c r="J796" s="111"/>
      <c r="K796" s="112"/>
      <c r="L796" s="113"/>
      <c r="M796" s="114"/>
      <c r="N796" s="100"/>
      <c r="O796" s="114"/>
      <c r="P796" s="65"/>
      <c r="Q796" s="103"/>
      <c r="R796" s="103"/>
      <c r="S796" s="103"/>
      <c r="T796" s="103"/>
      <c r="U796" s="68"/>
      <c r="V796" s="69"/>
      <c r="W796" s="68"/>
      <c r="X796" s="68"/>
      <c r="Y796" s="68"/>
      <c r="Z796" s="68"/>
      <c r="AA796" s="68"/>
      <c r="AB796" s="68"/>
      <c r="AC796" s="68"/>
      <c r="AD796" s="68"/>
      <c r="AE796" s="68"/>
      <c r="AF796" s="68"/>
      <c r="AG796" s="68"/>
      <c r="AH796" s="68"/>
      <c r="AI796" s="68"/>
      <c r="AJ796" s="68"/>
      <c r="AK796" s="68"/>
      <c r="AL796" s="68"/>
      <c r="AM796" s="68"/>
      <c r="AN796" s="68"/>
      <c r="AO796" s="68"/>
      <c r="AP796" s="68"/>
      <c r="AQ796" s="68"/>
      <c r="AR796" s="68"/>
      <c r="AS796" s="68"/>
      <c r="AT796" s="68"/>
      <c r="AU796" s="68"/>
      <c r="AV796" s="68"/>
      <c r="AW796" s="68"/>
      <c r="AX796" s="68"/>
      <c r="AY796" s="68"/>
      <c r="AZ796" s="68"/>
      <c r="BA796" s="68"/>
      <c r="BB796" s="68"/>
      <c r="BC796" s="68"/>
      <c r="BD796" s="68"/>
      <c r="BE796" s="68"/>
      <c r="BF796" s="68"/>
      <c r="BG796" s="68"/>
      <c r="BH796" s="68"/>
      <c r="BI796" s="68"/>
      <c r="BJ796" s="68"/>
      <c r="BK796" s="68"/>
      <c r="BL796" s="68"/>
      <c r="BM796" s="68"/>
      <c r="BN796" s="68"/>
      <c r="BO796" s="68"/>
      <c r="BP796" s="68"/>
      <c r="BQ796" s="68"/>
      <c r="BR796" s="68"/>
      <c r="BS796" s="68"/>
      <c r="BT796" s="68"/>
      <c r="BU796" s="68"/>
      <c r="BV796" s="68"/>
      <c r="BW796" s="68"/>
      <c r="BX796" s="68"/>
      <c r="BY796" s="68"/>
      <c r="BZ796" s="68"/>
      <c r="CA796" s="68"/>
      <c r="CB796" s="68"/>
      <c r="CC796" s="68"/>
      <c r="CD796" s="68"/>
      <c r="CE796" s="68"/>
      <c r="CF796" s="68"/>
      <c r="CG796" s="68"/>
      <c r="CH796" s="68"/>
      <c r="CI796" s="68"/>
      <c r="CJ796" s="68"/>
      <c r="CK796" s="68"/>
      <c r="CL796" s="68"/>
      <c r="CM796" s="68"/>
      <c r="CN796" s="68"/>
      <c r="CO796" s="68"/>
      <c r="CP796" s="68"/>
      <c r="CQ796" s="68"/>
      <c r="CR796" s="68"/>
      <c r="CS796" s="68"/>
      <c r="CT796" s="68"/>
      <c r="CU796" s="68"/>
      <c r="CV796" s="68"/>
      <c r="CW796" s="68"/>
      <c r="CX796" s="68"/>
    </row>
    <row r="797" spans="4:102" s="71" customFormat="1" hidden="1">
      <c r="D797" s="105"/>
      <c r="E797" s="100"/>
      <c r="F797" s="100"/>
      <c r="G797" s="111"/>
      <c r="H797" s="105"/>
      <c r="I797" s="111"/>
      <c r="J797" s="111"/>
      <c r="K797" s="112"/>
      <c r="L797" s="113"/>
      <c r="M797" s="114"/>
      <c r="N797" s="100"/>
      <c r="O797" s="114"/>
      <c r="P797" s="65"/>
      <c r="Q797" s="103"/>
      <c r="R797" s="103"/>
      <c r="S797" s="103"/>
      <c r="T797" s="103"/>
      <c r="U797" s="68"/>
      <c r="V797" s="69"/>
      <c r="W797" s="68"/>
      <c r="X797" s="68"/>
      <c r="Y797" s="68"/>
      <c r="Z797" s="68"/>
      <c r="AA797" s="68"/>
      <c r="AB797" s="68"/>
      <c r="AC797" s="68"/>
      <c r="AD797" s="68"/>
      <c r="AE797" s="68"/>
      <c r="AF797" s="68"/>
      <c r="AG797" s="68"/>
      <c r="AH797" s="68"/>
      <c r="AI797" s="68"/>
      <c r="AJ797" s="68"/>
      <c r="AK797" s="68"/>
      <c r="AL797" s="68"/>
      <c r="AM797" s="68"/>
      <c r="AN797" s="68"/>
      <c r="AO797" s="68"/>
      <c r="AP797" s="68"/>
      <c r="AQ797" s="68"/>
      <c r="AR797" s="68"/>
      <c r="AS797" s="68"/>
      <c r="AT797" s="68"/>
      <c r="AU797" s="68"/>
      <c r="AV797" s="68"/>
      <c r="AW797" s="68"/>
      <c r="AX797" s="68"/>
      <c r="AY797" s="68"/>
      <c r="AZ797" s="68"/>
      <c r="BA797" s="68"/>
      <c r="BB797" s="68"/>
      <c r="BC797" s="68"/>
      <c r="BD797" s="68"/>
      <c r="BE797" s="68"/>
      <c r="BF797" s="68"/>
      <c r="BG797" s="68"/>
      <c r="BH797" s="68"/>
      <c r="BI797" s="68"/>
      <c r="BJ797" s="68"/>
      <c r="BK797" s="68"/>
      <c r="BL797" s="68"/>
      <c r="BM797" s="68"/>
      <c r="BN797" s="68"/>
      <c r="BO797" s="68"/>
      <c r="BP797" s="68"/>
      <c r="BQ797" s="68"/>
      <c r="BR797" s="68"/>
      <c r="BS797" s="68"/>
      <c r="BT797" s="68"/>
      <c r="BU797" s="68"/>
      <c r="BV797" s="68"/>
      <c r="BW797" s="68"/>
      <c r="BX797" s="68"/>
      <c r="BY797" s="68"/>
      <c r="BZ797" s="68"/>
      <c r="CA797" s="68"/>
      <c r="CB797" s="68"/>
      <c r="CC797" s="68"/>
      <c r="CD797" s="68"/>
      <c r="CE797" s="68"/>
      <c r="CF797" s="68"/>
      <c r="CG797" s="68"/>
      <c r="CH797" s="68"/>
      <c r="CI797" s="68"/>
      <c r="CJ797" s="68"/>
      <c r="CK797" s="68"/>
      <c r="CL797" s="68"/>
      <c r="CM797" s="68"/>
      <c r="CN797" s="68"/>
      <c r="CO797" s="68"/>
      <c r="CP797" s="68"/>
      <c r="CQ797" s="68"/>
      <c r="CR797" s="68"/>
      <c r="CS797" s="68"/>
      <c r="CT797" s="68"/>
      <c r="CU797" s="68"/>
      <c r="CV797" s="68"/>
      <c r="CW797" s="68"/>
      <c r="CX797" s="68"/>
    </row>
    <row r="798" spans="4:102" s="71" customFormat="1" hidden="1">
      <c r="D798" s="105"/>
      <c r="E798" s="100"/>
      <c r="F798" s="100"/>
      <c r="G798" s="111"/>
      <c r="H798" s="105"/>
      <c r="I798" s="111"/>
      <c r="J798" s="111"/>
      <c r="K798" s="112"/>
      <c r="L798" s="113"/>
      <c r="M798" s="114"/>
      <c r="N798" s="100"/>
      <c r="O798" s="114"/>
      <c r="P798" s="65"/>
      <c r="Q798" s="103"/>
      <c r="R798" s="103"/>
      <c r="S798" s="103"/>
      <c r="T798" s="103"/>
      <c r="U798" s="68"/>
      <c r="V798" s="69"/>
      <c r="W798" s="68"/>
      <c r="X798" s="68"/>
      <c r="Y798" s="68"/>
      <c r="Z798" s="68"/>
      <c r="AA798" s="68"/>
      <c r="AB798" s="68"/>
      <c r="AC798" s="68"/>
      <c r="AD798" s="68"/>
      <c r="AE798" s="68"/>
      <c r="AF798" s="68"/>
      <c r="AG798" s="68"/>
      <c r="AH798" s="68"/>
      <c r="AI798" s="68"/>
      <c r="AJ798" s="68"/>
      <c r="AK798" s="68"/>
      <c r="AL798" s="68"/>
      <c r="AM798" s="68"/>
      <c r="AN798" s="68"/>
      <c r="AO798" s="68"/>
      <c r="AP798" s="68"/>
      <c r="AQ798" s="68"/>
      <c r="AR798" s="68"/>
      <c r="AS798" s="68"/>
      <c r="AT798" s="68"/>
      <c r="AU798" s="68"/>
      <c r="AV798" s="68"/>
      <c r="AW798" s="68"/>
      <c r="AX798" s="68"/>
      <c r="AY798" s="68"/>
      <c r="AZ798" s="68"/>
      <c r="BA798" s="68"/>
      <c r="BB798" s="68"/>
      <c r="BC798" s="68"/>
      <c r="BD798" s="68"/>
      <c r="BE798" s="68"/>
      <c r="BF798" s="68"/>
      <c r="BG798" s="68"/>
      <c r="BH798" s="68"/>
      <c r="BI798" s="68"/>
      <c r="BJ798" s="68"/>
      <c r="BK798" s="68"/>
      <c r="BL798" s="68"/>
      <c r="BM798" s="68"/>
      <c r="BN798" s="68"/>
      <c r="BO798" s="68"/>
      <c r="BP798" s="68"/>
      <c r="BQ798" s="68"/>
      <c r="BR798" s="68"/>
      <c r="BS798" s="68"/>
      <c r="BT798" s="68"/>
      <c r="BU798" s="68"/>
      <c r="BV798" s="68"/>
      <c r="BW798" s="68"/>
      <c r="BX798" s="68"/>
      <c r="BY798" s="68"/>
      <c r="BZ798" s="68"/>
      <c r="CA798" s="68"/>
      <c r="CB798" s="68"/>
      <c r="CC798" s="68"/>
      <c r="CD798" s="68"/>
      <c r="CE798" s="68"/>
      <c r="CF798" s="68"/>
      <c r="CG798" s="68"/>
      <c r="CH798" s="68"/>
      <c r="CI798" s="68"/>
      <c r="CJ798" s="68"/>
      <c r="CK798" s="68"/>
      <c r="CL798" s="68"/>
      <c r="CM798" s="68"/>
      <c r="CN798" s="68"/>
      <c r="CO798" s="68"/>
      <c r="CP798" s="68"/>
      <c r="CQ798" s="68"/>
      <c r="CR798" s="68"/>
      <c r="CS798" s="68"/>
      <c r="CT798" s="68"/>
      <c r="CU798" s="68"/>
      <c r="CV798" s="68"/>
      <c r="CW798" s="68"/>
      <c r="CX798" s="68"/>
    </row>
    <row r="799" spans="4:102" s="71" customFormat="1" hidden="1">
      <c r="D799" s="105"/>
      <c r="E799" s="100"/>
      <c r="F799" s="100"/>
      <c r="G799" s="111"/>
      <c r="H799" s="105"/>
      <c r="I799" s="111"/>
      <c r="J799" s="111"/>
      <c r="K799" s="112"/>
      <c r="L799" s="113"/>
      <c r="M799" s="114"/>
      <c r="N799" s="100"/>
      <c r="O799" s="114"/>
      <c r="P799" s="65"/>
      <c r="Q799" s="103"/>
      <c r="R799" s="103"/>
      <c r="S799" s="103"/>
      <c r="T799" s="103"/>
      <c r="U799" s="68"/>
      <c r="V799" s="69"/>
      <c r="W799" s="68"/>
      <c r="X799" s="68"/>
      <c r="Y799" s="68"/>
      <c r="Z799" s="68"/>
      <c r="AA799" s="68"/>
      <c r="AB799" s="68"/>
      <c r="AC799" s="68"/>
      <c r="AD799" s="68"/>
      <c r="AE799" s="68"/>
      <c r="AF799" s="68"/>
      <c r="AG799" s="68"/>
      <c r="AH799" s="68"/>
      <c r="AI799" s="68"/>
      <c r="AJ799" s="68"/>
      <c r="AK799" s="68"/>
      <c r="AL799" s="68"/>
      <c r="AM799" s="68"/>
      <c r="AN799" s="68"/>
      <c r="AO799" s="68"/>
      <c r="AP799" s="68"/>
      <c r="AQ799" s="68"/>
      <c r="AR799" s="68"/>
      <c r="AS799" s="68"/>
      <c r="AT799" s="68"/>
      <c r="AU799" s="68"/>
      <c r="AV799" s="68"/>
      <c r="AW799" s="68"/>
      <c r="AX799" s="68"/>
      <c r="AY799" s="68"/>
      <c r="AZ799" s="68"/>
      <c r="BA799" s="68"/>
      <c r="BB799" s="68"/>
      <c r="BC799" s="68"/>
      <c r="BD799" s="68"/>
      <c r="BE799" s="68"/>
      <c r="BF799" s="68"/>
      <c r="BG799" s="68"/>
      <c r="BH799" s="68"/>
      <c r="BI799" s="68"/>
      <c r="BJ799" s="68"/>
      <c r="BK799" s="68"/>
      <c r="BL799" s="68"/>
      <c r="BM799" s="68"/>
      <c r="BN799" s="68"/>
      <c r="BO799" s="68"/>
      <c r="BP799" s="68"/>
      <c r="BQ799" s="68"/>
      <c r="BR799" s="68"/>
      <c r="BS799" s="68"/>
      <c r="BT799" s="68"/>
      <c r="BU799" s="68"/>
      <c r="BV799" s="68"/>
      <c r="BW799" s="68"/>
      <c r="BX799" s="68"/>
      <c r="BY799" s="68"/>
      <c r="BZ799" s="68"/>
      <c r="CA799" s="68"/>
      <c r="CB799" s="68"/>
      <c r="CC799" s="68"/>
      <c r="CD799" s="68"/>
      <c r="CE799" s="68"/>
      <c r="CF799" s="68"/>
      <c r="CG799" s="68"/>
      <c r="CH799" s="68"/>
      <c r="CI799" s="68"/>
      <c r="CJ799" s="68"/>
      <c r="CK799" s="68"/>
      <c r="CL799" s="68"/>
      <c r="CM799" s="68"/>
      <c r="CN799" s="68"/>
      <c r="CO799" s="68"/>
      <c r="CP799" s="68"/>
      <c r="CQ799" s="68"/>
      <c r="CR799" s="68"/>
      <c r="CS799" s="68"/>
      <c r="CT799" s="68"/>
      <c r="CU799" s="68"/>
      <c r="CV799" s="68"/>
      <c r="CW799" s="68"/>
      <c r="CX799" s="68"/>
    </row>
    <row r="800" spans="4:102" s="71" customFormat="1" hidden="1">
      <c r="D800" s="105"/>
      <c r="E800" s="100"/>
      <c r="F800" s="100"/>
      <c r="G800" s="111"/>
      <c r="H800" s="105"/>
      <c r="I800" s="111"/>
      <c r="J800" s="111"/>
      <c r="K800" s="112"/>
      <c r="L800" s="113"/>
      <c r="M800" s="114"/>
      <c r="N800" s="100"/>
      <c r="O800" s="114"/>
      <c r="P800" s="65"/>
      <c r="Q800" s="103"/>
      <c r="R800" s="103"/>
      <c r="S800" s="103"/>
      <c r="T800" s="103"/>
      <c r="U800" s="68"/>
      <c r="V800" s="69"/>
      <c r="W800" s="68"/>
      <c r="X800" s="68"/>
      <c r="Y800" s="68"/>
      <c r="Z800" s="68"/>
      <c r="AA800" s="68"/>
      <c r="AB800" s="68"/>
      <c r="AC800" s="68"/>
      <c r="AD800" s="68"/>
      <c r="AE800" s="68"/>
      <c r="AF800" s="68"/>
      <c r="AG800" s="68"/>
      <c r="AH800" s="68"/>
      <c r="AI800" s="68"/>
      <c r="AJ800" s="68"/>
      <c r="AK800" s="68"/>
      <c r="AL800" s="68"/>
      <c r="AM800" s="68"/>
      <c r="AN800" s="68"/>
      <c r="AO800" s="68"/>
      <c r="AP800" s="68"/>
      <c r="AQ800" s="68"/>
      <c r="AR800" s="68"/>
      <c r="AS800" s="68"/>
      <c r="AT800" s="68"/>
      <c r="AU800" s="68"/>
      <c r="AV800" s="68"/>
      <c r="AW800" s="68"/>
      <c r="AX800" s="68"/>
      <c r="AY800" s="68"/>
      <c r="AZ800" s="68"/>
      <c r="BA800" s="68"/>
      <c r="BB800" s="68"/>
      <c r="BC800" s="68"/>
      <c r="BD800" s="68"/>
      <c r="BE800" s="68"/>
      <c r="BF800" s="68"/>
      <c r="BG800" s="68"/>
      <c r="BH800" s="68"/>
      <c r="BI800" s="68"/>
      <c r="BJ800" s="68"/>
      <c r="BK800" s="68"/>
      <c r="BL800" s="68"/>
      <c r="BM800" s="68"/>
      <c r="BN800" s="68"/>
      <c r="BO800" s="68"/>
      <c r="BP800" s="68"/>
      <c r="BQ800" s="68"/>
      <c r="BR800" s="68"/>
      <c r="BS800" s="68"/>
      <c r="BT800" s="68"/>
      <c r="BU800" s="68"/>
      <c r="BV800" s="68"/>
      <c r="BW800" s="68"/>
      <c r="BX800" s="68"/>
      <c r="BY800" s="68"/>
      <c r="BZ800" s="68"/>
      <c r="CA800" s="68"/>
      <c r="CB800" s="68"/>
      <c r="CC800" s="68"/>
      <c r="CD800" s="68"/>
      <c r="CE800" s="68"/>
      <c r="CF800" s="68"/>
      <c r="CG800" s="68"/>
      <c r="CH800" s="68"/>
      <c r="CI800" s="68"/>
      <c r="CJ800" s="68"/>
      <c r="CK800" s="68"/>
      <c r="CL800" s="68"/>
      <c r="CM800" s="68"/>
      <c r="CN800" s="68"/>
      <c r="CO800" s="68"/>
      <c r="CP800" s="68"/>
      <c r="CQ800" s="68"/>
      <c r="CR800" s="68"/>
      <c r="CS800" s="68"/>
      <c r="CT800" s="68"/>
      <c r="CU800" s="68"/>
      <c r="CV800" s="68"/>
      <c r="CW800" s="68"/>
      <c r="CX800" s="68"/>
    </row>
    <row r="801" spans="4:102" s="71" customFormat="1" hidden="1">
      <c r="D801" s="105"/>
      <c r="E801" s="100"/>
      <c r="F801" s="100"/>
      <c r="G801" s="111"/>
      <c r="H801" s="105"/>
      <c r="I801" s="111"/>
      <c r="J801" s="111"/>
      <c r="K801" s="112"/>
      <c r="L801" s="113"/>
      <c r="M801" s="114"/>
      <c r="N801" s="100"/>
      <c r="O801" s="114"/>
      <c r="P801" s="65"/>
      <c r="Q801" s="103"/>
      <c r="R801" s="103"/>
      <c r="S801" s="103"/>
      <c r="T801" s="103"/>
      <c r="U801" s="68"/>
      <c r="V801" s="69"/>
      <c r="W801" s="68"/>
      <c r="X801" s="68"/>
      <c r="Y801" s="68"/>
      <c r="Z801" s="68"/>
      <c r="AA801" s="68"/>
      <c r="AB801" s="68"/>
      <c r="AC801" s="68"/>
      <c r="AD801" s="68"/>
      <c r="AE801" s="68"/>
      <c r="AF801" s="68"/>
      <c r="AG801" s="68"/>
      <c r="AH801" s="68"/>
      <c r="AI801" s="68"/>
      <c r="AJ801" s="68"/>
      <c r="AK801" s="68"/>
      <c r="AL801" s="68"/>
      <c r="AM801" s="68"/>
      <c r="AN801" s="68"/>
      <c r="AO801" s="68"/>
      <c r="AP801" s="68"/>
      <c r="AQ801" s="68"/>
      <c r="AR801" s="68"/>
      <c r="AS801" s="68"/>
      <c r="AT801" s="68"/>
      <c r="AU801" s="68"/>
      <c r="AV801" s="68"/>
      <c r="AW801" s="68"/>
      <c r="AX801" s="68"/>
      <c r="AY801" s="68"/>
      <c r="AZ801" s="68"/>
      <c r="BA801" s="68"/>
      <c r="BB801" s="68"/>
      <c r="BC801" s="68"/>
      <c r="BD801" s="68"/>
      <c r="BE801" s="68"/>
      <c r="BF801" s="68"/>
      <c r="BG801" s="68"/>
      <c r="BH801" s="68"/>
      <c r="BI801" s="68"/>
      <c r="BJ801" s="68"/>
      <c r="BK801" s="68"/>
      <c r="BL801" s="68"/>
      <c r="BM801" s="68"/>
      <c r="BN801" s="68"/>
      <c r="BO801" s="68"/>
      <c r="BP801" s="68"/>
      <c r="BQ801" s="68"/>
      <c r="BR801" s="68"/>
      <c r="BS801" s="68"/>
      <c r="BT801" s="68"/>
      <c r="BU801" s="68"/>
      <c r="BV801" s="68"/>
      <c r="BW801" s="68"/>
      <c r="BX801" s="68"/>
      <c r="BY801" s="68"/>
      <c r="BZ801" s="68"/>
      <c r="CA801" s="68"/>
      <c r="CB801" s="68"/>
      <c r="CC801" s="68"/>
      <c r="CD801" s="68"/>
      <c r="CE801" s="68"/>
      <c r="CF801" s="68"/>
      <c r="CG801" s="68"/>
      <c r="CH801" s="68"/>
      <c r="CI801" s="68"/>
      <c r="CJ801" s="68"/>
      <c r="CK801" s="68"/>
      <c r="CL801" s="68"/>
      <c r="CM801" s="68"/>
      <c r="CN801" s="68"/>
      <c r="CO801" s="68"/>
      <c r="CP801" s="68"/>
      <c r="CQ801" s="68"/>
      <c r="CR801" s="68"/>
      <c r="CS801" s="68"/>
      <c r="CT801" s="68"/>
      <c r="CU801" s="68"/>
      <c r="CV801" s="68"/>
      <c r="CW801" s="68"/>
      <c r="CX801" s="68"/>
    </row>
    <row r="802" spans="4:102" s="71" customFormat="1" hidden="1">
      <c r="D802" s="105"/>
      <c r="E802" s="100"/>
      <c r="F802" s="100"/>
      <c r="G802" s="111"/>
      <c r="H802" s="105"/>
      <c r="I802" s="111"/>
      <c r="J802" s="111"/>
      <c r="K802" s="112"/>
      <c r="L802" s="113"/>
      <c r="M802" s="114"/>
      <c r="N802" s="100"/>
      <c r="O802" s="114"/>
      <c r="P802" s="65"/>
      <c r="Q802" s="103"/>
      <c r="R802" s="103"/>
      <c r="S802" s="103"/>
      <c r="T802" s="103"/>
      <c r="U802" s="68"/>
      <c r="V802" s="69"/>
      <c r="W802" s="68"/>
      <c r="X802" s="68"/>
      <c r="Y802" s="68"/>
      <c r="Z802" s="68"/>
      <c r="AA802" s="68"/>
      <c r="AB802" s="68"/>
      <c r="AC802" s="68"/>
      <c r="AD802" s="68"/>
      <c r="AE802" s="68"/>
      <c r="AF802" s="68"/>
      <c r="AG802" s="68"/>
      <c r="AH802" s="68"/>
      <c r="AI802" s="68"/>
      <c r="AJ802" s="68"/>
      <c r="AK802" s="68"/>
      <c r="AL802" s="68"/>
      <c r="AM802" s="68"/>
      <c r="AN802" s="68"/>
      <c r="AO802" s="68"/>
      <c r="AP802" s="68"/>
      <c r="AQ802" s="68"/>
      <c r="AR802" s="68"/>
      <c r="AS802" s="68"/>
      <c r="AT802" s="68"/>
      <c r="AU802" s="68"/>
      <c r="AV802" s="68"/>
      <c r="AW802" s="68"/>
      <c r="AX802" s="68"/>
      <c r="AY802" s="68"/>
      <c r="AZ802" s="68"/>
      <c r="BA802" s="68"/>
      <c r="BB802" s="68"/>
      <c r="BC802" s="68"/>
      <c r="BD802" s="68"/>
      <c r="BE802" s="68"/>
      <c r="BF802" s="68"/>
      <c r="BG802" s="68"/>
      <c r="BH802" s="68"/>
      <c r="BI802" s="68"/>
      <c r="BJ802" s="68"/>
      <c r="BK802" s="68"/>
      <c r="BL802" s="68"/>
      <c r="BM802" s="68"/>
      <c r="BN802" s="68"/>
      <c r="BO802" s="68"/>
      <c r="BP802" s="68"/>
      <c r="BQ802" s="68"/>
      <c r="BR802" s="68"/>
      <c r="BS802" s="68"/>
      <c r="BT802" s="68"/>
      <c r="BU802" s="68"/>
      <c r="BV802" s="68"/>
      <c r="BW802" s="68"/>
      <c r="BX802" s="68"/>
      <c r="BY802" s="68"/>
      <c r="BZ802" s="68"/>
      <c r="CA802" s="68"/>
      <c r="CB802" s="68"/>
      <c r="CC802" s="68"/>
      <c r="CD802" s="68"/>
      <c r="CE802" s="68"/>
      <c r="CF802" s="68"/>
      <c r="CG802" s="68"/>
      <c r="CH802" s="68"/>
      <c r="CI802" s="68"/>
      <c r="CJ802" s="68"/>
      <c r="CK802" s="68"/>
      <c r="CL802" s="68"/>
      <c r="CM802" s="68"/>
      <c r="CN802" s="68"/>
      <c r="CO802" s="68"/>
      <c r="CP802" s="68"/>
      <c r="CQ802" s="68"/>
      <c r="CR802" s="68"/>
      <c r="CS802" s="68"/>
      <c r="CT802" s="68"/>
      <c r="CU802" s="68"/>
      <c r="CV802" s="68"/>
      <c r="CW802" s="68"/>
      <c r="CX802" s="68"/>
    </row>
    <row r="803" spans="4:102" s="71" customFormat="1" hidden="1">
      <c r="D803" s="105"/>
      <c r="E803" s="100"/>
      <c r="F803" s="100"/>
      <c r="G803" s="111"/>
      <c r="H803" s="105"/>
      <c r="I803" s="111"/>
      <c r="J803" s="111"/>
      <c r="K803" s="112"/>
      <c r="L803" s="113"/>
      <c r="M803" s="114"/>
      <c r="N803" s="100"/>
      <c r="O803" s="114"/>
      <c r="P803" s="65"/>
      <c r="Q803" s="103"/>
      <c r="R803" s="103"/>
      <c r="S803" s="103"/>
      <c r="T803" s="103"/>
      <c r="U803" s="68"/>
      <c r="V803" s="69"/>
      <c r="W803" s="68"/>
      <c r="X803" s="68"/>
      <c r="Y803" s="68"/>
      <c r="Z803" s="68"/>
      <c r="AA803" s="68"/>
      <c r="AB803" s="68"/>
      <c r="AC803" s="68"/>
      <c r="AD803" s="68"/>
      <c r="AE803" s="68"/>
      <c r="AF803" s="68"/>
      <c r="AG803" s="68"/>
      <c r="AH803" s="68"/>
      <c r="AI803" s="68"/>
      <c r="AJ803" s="68"/>
      <c r="AK803" s="68"/>
      <c r="AL803" s="68"/>
      <c r="AM803" s="68"/>
      <c r="AN803" s="68"/>
      <c r="AO803" s="68"/>
      <c r="AP803" s="68"/>
      <c r="AQ803" s="68"/>
      <c r="AR803" s="68"/>
      <c r="AS803" s="68"/>
      <c r="AT803" s="68"/>
      <c r="AU803" s="68"/>
      <c r="AV803" s="68"/>
      <c r="AW803" s="68"/>
      <c r="AX803" s="68"/>
      <c r="AY803" s="68"/>
      <c r="AZ803" s="68"/>
      <c r="BA803" s="68"/>
      <c r="BB803" s="68"/>
      <c r="BC803" s="68"/>
      <c r="BD803" s="68"/>
      <c r="BE803" s="68"/>
      <c r="BF803" s="68"/>
      <c r="BG803" s="68"/>
      <c r="BH803" s="68"/>
      <c r="BI803" s="68"/>
      <c r="BJ803" s="68"/>
      <c r="BK803" s="68"/>
      <c r="BL803" s="68"/>
      <c r="BM803" s="68"/>
      <c r="BN803" s="68"/>
      <c r="BO803" s="68"/>
      <c r="BP803" s="68"/>
      <c r="BQ803" s="68"/>
      <c r="BR803" s="68"/>
      <c r="BS803" s="68"/>
      <c r="BT803" s="68"/>
      <c r="BU803" s="68"/>
      <c r="BV803" s="68"/>
      <c r="BW803" s="68"/>
      <c r="BX803" s="68"/>
      <c r="BY803" s="68"/>
      <c r="BZ803" s="68"/>
      <c r="CA803" s="68"/>
      <c r="CB803" s="68"/>
      <c r="CC803" s="68"/>
      <c r="CD803" s="68"/>
      <c r="CE803" s="68"/>
      <c r="CF803" s="68"/>
      <c r="CG803" s="68"/>
      <c r="CH803" s="68"/>
      <c r="CI803" s="68"/>
      <c r="CJ803" s="68"/>
      <c r="CK803" s="68"/>
      <c r="CL803" s="68"/>
      <c r="CM803" s="68"/>
      <c r="CN803" s="68"/>
      <c r="CO803" s="68"/>
      <c r="CP803" s="68"/>
      <c r="CQ803" s="68"/>
      <c r="CR803" s="68"/>
      <c r="CS803" s="68"/>
      <c r="CT803" s="68"/>
      <c r="CU803" s="68"/>
      <c r="CV803" s="68"/>
      <c r="CW803" s="68"/>
      <c r="CX803" s="68"/>
    </row>
    <row r="804" spans="4:102" s="71" customFormat="1" hidden="1">
      <c r="D804" s="105"/>
      <c r="E804" s="100"/>
      <c r="F804" s="100"/>
      <c r="G804" s="111"/>
      <c r="H804" s="105"/>
      <c r="I804" s="111"/>
      <c r="J804" s="111"/>
      <c r="K804" s="112"/>
      <c r="L804" s="113"/>
      <c r="M804" s="114"/>
      <c r="N804" s="100"/>
      <c r="O804" s="114"/>
      <c r="P804" s="65"/>
      <c r="Q804" s="103"/>
      <c r="R804" s="103"/>
      <c r="S804" s="103"/>
      <c r="T804" s="103"/>
      <c r="U804" s="68"/>
      <c r="V804" s="69"/>
      <c r="W804" s="68"/>
      <c r="X804" s="68"/>
      <c r="Y804" s="68"/>
      <c r="Z804" s="68"/>
      <c r="AA804" s="68"/>
      <c r="AB804" s="68"/>
      <c r="AC804" s="68"/>
      <c r="AD804" s="68"/>
      <c r="AE804" s="68"/>
      <c r="AF804" s="68"/>
      <c r="AG804" s="68"/>
      <c r="AH804" s="68"/>
      <c r="AI804" s="68"/>
      <c r="AJ804" s="68"/>
      <c r="AK804" s="68"/>
      <c r="AL804" s="68"/>
      <c r="AM804" s="68"/>
      <c r="AN804" s="68"/>
      <c r="AO804" s="68"/>
      <c r="AP804" s="68"/>
      <c r="AQ804" s="68"/>
      <c r="AR804" s="68"/>
      <c r="AS804" s="68"/>
      <c r="AT804" s="68"/>
      <c r="AU804" s="68"/>
      <c r="AV804" s="68"/>
      <c r="AW804" s="68"/>
      <c r="AX804" s="68"/>
      <c r="AY804" s="68"/>
      <c r="AZ804" s="68"/>
      <c r="BA804" s="68"/>
      <c r="BB804" s="68"/>
      <c r="BC804" s="68"/>
      <c r="BD804" s="68"/>
      <c r="BE804" s="68"/>
      <c r="BF804" s="68"/>
      <c r="BG804" s="68"/>
      <c r="BH804" s="68"/>
      <c r="BI804" s="68"/>
      <c r="BJ804" s="68"/>
      <c r="BK804" s="68"/>
      <c r="BL804" s="68"/>
      <c r="BM804" s="68"/>
      <c r="BN804" s="68"/>
      <c r="BO804" s="68"/>
      <c r="BP804" s="68"/>
      <c r="BQ804" s="68"/>
      <c r="BR804" s="68"/>
      <c r="BS804" s="68"/>
      <c r="BT804" s="68"/>
      <c r="BU804" s="68"/>
      <c r="BV804" s="68"/>
      <c r="BW804" s="68"/>
      <c r="BX804" s="68"/>
      <c r="BY804" s="68"/>
      <c r="BZ804" s="68"/>
      <c r="CA804" s="68"/>
      <c r="CB804" s="68"/>
      <c r="CC804" s="68"/>
      <c r="CD804" s="68"/>
      <c r="CE804" s="68"/>
      <c r="CF804" s="68"/>
      <c r="CG804" s="68"/>
      <c r="CH804" s="68"/>
      <c r="CI804" s="68"/>
      <c r="CJ804" s="68"/>
      <c r="CK804" s="68"/>
      <c r="CL804" s="68"/>
      <c r="CM804" s="68"/>
      <c r="CN804" s="68"/>
      <c r="CO804" s="68"/>
      <c r="CP804" s="68"/>
      <c r="CQ804" s="68"/>
      <c r="CR804" s="68"/>
      <c r="CS804" s="68"/>
      <c r="CT804" s="68"/>
      <c r="CU804" s="68"/>
      <c r="CV804" s="68"/>
      <c r="CW804" s="68"/>
      <c r="CX804" s="68"/>
    </row>
    <row r="805" spans="4:102" s="71" customFormat="1" hidden="1">
      <c r="D805" s="105"/>
      <c r="E805" s="100"/>
      <c r="F805" s="100"/>
      <c r="G805" s="111"/>
      <c r="H805" s="105"/>
      <c r="I805" s="111"/>
      <c r="J805" s="111"/>
      <c r="K805" s="112"/>
      <c r="L805" s="113"/>
      <c r="M805" s="114"/>
      <c r="N805" s="100"/>
      <c r="O805" s="114"/>
      <c r="P805" s="65"/>
      <c r="Q805" s="103"/>
      <c r="R805" s="103"/>
      <c r="S805" s="103"/>
      <c r="T805" s="103"/>
      <c r="U805" s="68"/>
      <c r="V805" s="69"/>
      <c r="W805" s="68"/>
      <c r="X805" s="68"/>
      <c r="Y805" s="68"/>
      <c r="Z805" s="68"/>
      <c r="AA805" s="68"/>
      <c r="AB805" s="68"/>
      <c r="AC805" s="68"/>
      <c r="AD805" s="68"/>
      <c r="AE805" s="68"/>
      <c r="AF805" s="68"/>
      <c r="AG805" s="68"/>
      <c r="AH805" s="68"/>
      <c r="AI805" s="68"/>
      <c r="AJ805" s="68"/>
      <c r="AK805" s="68"/>
      <c r="AL805" s="68"/>
      <c r="AM805" s="68"/>
      <c r="AN805" s="68"/>
      <c r="AO805" s="68"/>
      <c r="AP805" s="68"/>
      <c r="AQ805" s="68"/>
      <c r="AR805" s="68"/>
      <c r="AS805" s="68"/>
      <c r="AT805" s="68"/>
      <c r="AU805" s="68"/>
      <c r="AV805" s="68"/>
      <c r="AW805" s="68"/>
      <c r="AX805" s="68"/>
      <c r="AY805" s="68"/>
      <c r="AZ805" s="68"/>
      <c r="BA805" s="68"/>
      <c r="BB805" s="68"/>
      <c r="BC805" s="68"/>
      <c r="BD805" s="68"/>
      <c r="BE805" s="68"/>
      <c r="BF805" s="68"/>
      <c r="BG805" s="68"/>
      <c r="BH805" s="68"/>
      <c r="BI805" s="68"/>
      <c r="BJ805" s="68"/>
      <c r="BK805" s="68"/>
      <c r="BL805" s="68"/>
      <c r="BM805" s="68"/>
      <c r="BN805" s="68"/>
      <c r="BO805" s="68"/>
      <c r="BP805" s="68"/>
      <c r="BQ805" s="68"/>
      <c r="BR805" s="68"/>
      <c r="BS805" s="68"/>
      <c r="BT805" s="68"/>
      <c r="BU805" s="68"/>
      <c r="BV805" s="68"/>
      <c r="BW805" s="68"/>
      <c r="BX805" s="68"/>
      <c r="BY805" s="68"/>
      <c r="BZ805" s="68"/>
      <c r="CA805" s="68"/>
      <c r="CB805" s="68"/>
      <c r="CC805" s="68"/>
      <c r="CD805" s="68"/>
      <c r="CE805" s="68"/>
      <c r="CF805" s="68"/>
      <c r="CG805" s="68"/>
      <c r="CH805" s="68"/>
      <c r="CI805" s="68"/>
      <c r="CJ805" s="68"/>
      <c r="CK805" s="68"/>
      <c r="CL805" s="68"/>
      <c r="CM805" s="68"/>
      <c r="CN805" s="68"/>
      <c r="CO805" s="68"/>
      <c r="CP805" s="68"/>
      <c r="CQ805" s="68"/>
      <c r="CR805" s="68"/>
      <c r="CS805" s="68"/>
      <c r="CT805" s="68"/>
      <c r="CU805" s="68"/>
      <c r="CV805" s="68"/>
      <c r="CW805" s="68"/>
      <c r="CX805" s="68"/>
    </row>
    <row r="806" spans="4:102" s="71" customFormat="1" hidden="1">
      <c r="D806" s="105"/>
      <c r="E806" s="100"/>
      <c r="F806" s="100"/>
      <c r="G806" s="111"/>
      <c r="H806" s="105"/>
      <c r="I806" s="111"/>
      <c r="J806" s="111"/>
      <c r="K806" s="112"/>
      <c r="L806" s="113"/>
      <c r="M806" s="114"/>
      <c r="N806" s="100"/>
      <c r="O806" s="114"/>
      <c r="P806" s="65"/>
      <c r="Q806" s="103"/>
      <c r="R806" s="103"/>
      <c r="S806" s="103"/>
      <c r="T806" s="103"/>
      <c r="U806" s="68"/>
      <c r="V806" s="69"/>
      <c r="W806" s="68"/>
      <c r="X806" s="68"/>
      <c r="Y806" s="68"/>
      <c r="Z806" s="68"/>
      <c r="AA806" s="68"/>
      <c r="AB806" s="68"/>
      <c r="AC806" s="68"/>
      <c r="AD806" s="68"/>
      <c r="AE806" s="68"/>
      <c r="AF806" s="68"/>
      <c r="AG806" s="68"/>
      <c r="AH806" s="68"/>
      <c r="AI806" s="68"/>
      <c r="AJ806" s="68"/>
      <c r="AK806" s="68"/>
      <c r="AL806" s="68"/>
      <c r="AM806" s="68"/>
      <c r="AN806" s="68"/>
      <c r="AO806" s="68"/>
      <c r="AP806" s="68"/>
      <c r="AQ806" s="68"/>
      <c r="AR806" s="68"/>
      <c r="AS806" s="68"/>
      <c r="AT806" s="68"/>
      <c r="AU806" s="68"/>
      <c r="AV806" s="68"/>
      <c r="AW806" s="68"/>
      <c r="AX806" s="68"/>
      <c r="AY806" s="68"/>
      <c r="AZ806" s="68"/>
      <c r="BA806" s="68"/>
      <c r="BB806" s="68"/>
      <c r="BC806" s="68"/>
      <c r="BD806" s="68"/>
      <c r="BE806" s="68"/>
      <c r="BF806" s="68"/>
      <c r="BG806" s="68"/>
      <c r="BH806" s="68"/>
      <c r="BI806" s="68"/>
      <c r="BJ806" s="68"/>
      <c r="BK806" s="68"/>
      <c r="BL806" s="68"/>
      <c r="BM806" s="68"/>
      <c r="BN806" s="68"/>
      <c r="BO806" s="68"/>
      <c r="BP806" s="68"/>
      <c r="BQ806" s="68"/>
      <c r="BR806" s="68"/>
      <c r="BS806" s="68"/>
      <c r="BT806" s="68"/>
      <c r="BU806" s="68"/>
      <c r="BV806" s="68"/>
      <c r="BW806" s="68"/>
      <c r="BX806" s="68"/>
      <c r="BY806" s="68"/>
      <c r="BZ806" s="68"/>
      <c r="CA806" s="68"/>
      <c r="CB806" s="68"/>
      <c r="CC806" s="68"/>
      <c r="CD806" s="68"/>
      <c r="CE806" s="68"/>
      <c r="CF806" s="68"/>
      <c r="CG806" s="68"/>
      <c r="CH806" s="68"/>
      <c r="CI806" s="68"/>
      <c r="CJ806" s="68"/>
      <c r="CK806" s="68"/>
      <c r="CL806" s="68"/>
      <c r="CM806" s="68"/>
      <c r="CN806" s="68"/>
      <c r="CO806" s="68"/>
      <c r="CP806" s="68"/>
      <c r="CQ806" s="68"/>
      <c r="CR806" s="68"/>
      <c r="CS806" s="68"/>
      <c r="CT806" s="68"/>
      <c r="CU806" s="68"/>
      <c r="CV806" s="68"/>
      <c r="CW806" s="68"/>
      <c r="CX806" s="68"/>
    </row>
    <row r="807" spans="4:102" s="71" customFormat="1" hidden="1">
      <c r="D807" s="105"/>
      <c r="E807" s="100"/>
      <c r="F807" s="100"/>
      <c r="G807" s="111"/>
      <c r="H807" s="105"/>
      <c r="I807" s="111"/>
      <c r="J807" s="111"/>
      <c r="K807" s="112"/>
      <c r="L807" s="113"/>
      <c r="M807" s="114"/>
      <c r="N807" s="100"/>
      <c r="O807" s="114"/>
      <c r="P807" s="65"/>
      <c r="Q807" s="103"/>
      <c r="R807" s="103"/>
      <c r="S807" s="103"/>
      <c r="T807" s="103"/>
      <c r="U807" s="68"/>
      <c r="V807" s="69"/>
      <c r="W807" s="68"/>
      <c r="X807" s="68"/>
      <c r="Y807" s="68"/>
      <c r="Z807" s="68"/>
      <c r="AA807" s="68"/>
      <c r="AB807" s="68"/>
      <c r="AC807" s="68"/>
      <c r="AD807" s="68"/>
      <c r="AE807" s="68"/>
      <c r="AF807" s="68"/>
      <c r="AG807" s="68"/>
      <c r="AH807" s="68"/>
      <c r="AI807" s="68"/>
      <c r="AJ807" s="68"/>
      <c r="AK807" s="68"/>
      <c r="AL807" s="68"/>
      <c r="AM807" s="68"/>
      <c r="AN807" s="68"/>
      <c r="AO807" s="68"/>
      <c r="AP807" s="68"/>
      <c r="AQ807" s="68"/>
      <c r="AR807" s="68"/>
      <c r="AS807" s="68"/>
      <c r="AT807" s="68"/>
      <c r="AU807" s="68"/>
      <c r="AV807" s="68"/>
      <c r="AW807" s="68"/>
      <c r="AX807" s="68"/>
      <c r="AY807" s="68"/>
      <c r="AZ807" s="68"/>
      <c r="BA807" s="68"/>
      <c r="BB807" s="68"/>
      <c r="BC807" s="68"/>
      <c r="BD807" s="68"/>
      <c r="BE807" s="68"/>
      <c r="BF807" s="68"/>
      <c r="BG807" s="68"/>
      <c r="BH807" s="68"/>
      <c r="BI807" s="68"/>
      <c r="BJ807" s="68"/>
      <c r="BK807" s="68"/>
      <c r="BL807" s="68"/>
      <c r="BM807" s="68"/>
      <c r="BN807" s="68"/>
      <c r="BO807" s="68"/>
      <c r="BP807" s="68"/>
      <c r="BQ807" s="68"/>
      <c r="BR807" s="68"/>
      <c r="BS807" s="68"/>
      <c r="BT807" s="68"/>
      <c r="BU807" s="68"/>
      <c r="BV807" s="68"/>
      <c r="BW807" s="68"/>
      <c r="BX807" s="68"/>
      <c r="BY807" s="68"/>
      <c r="BZ807" s="68"/>
      <c r="CA807" s="68"/>
      <c r="CB807" s="68"/>
      <c r="CC807" s="68"/>
      <c r="CD807" s="68"/>
      <c r="CE807" s="68"/>
      <c r="CF807" s="68"/>
      <c r="CG807" s="68"/>
      <c r="CH807" s="68"/>
      <c r="CI807" s="68"/>
      <c r="CJ807" s="68"/>
      <c r="CK807" s="68"/>
      <c r="CL807" s="68"/>
      <c r="CM807" s="68"/>
      <c r="CN807" s="68"/>
      <c r="CO807" s="68"/>
      <c r="CP807" s="68"/>
      <c r="CQ807" s="68"/>
      <c r="CR807" s="68"/>
      <c r="CS807" s="68"/>
      <c r="CT807" s="68"/>
      <c r="CU807" s="68"/>
      <c r="CV807" s="68"/>
      <c r="CW807" s="68"/>
      <c r="CX807" s="68"/>
    </row>
    <row r="808" spans="4:102" s="71" customFormat="1" hidden="1">
      <c r="D808" s="105"/>
      <c r="E808" s="100"/>
      <c r="F808" s="100"/>
      <c r="G808" s="111"/>
      <c r="H808" s="105"/>
      <c r="I808" s="111"/>
      <c r="J808" s="111"/>
      <c r="K808" s="112"/>
      <c r="L808" s="113"/>
      <c r="M808" s="114"/>
      <c r="N808" s="100"/>
      <c r="O808" s="114"/>
      <c r="P808" s="65"/>
      <c r="Q808" s="103"/>
      <c r="R808" s="103"/>
      <c r="S808" s="103"/>
      <c r="T808" s="103"/>
      <c r="U808" s="68"/>
      <c r="V808" s="69"/>
      <c r="W808" s="68"/>
      <c r="X808" s="68"/>
      <c r="Y808" s="68"/>
      <c r="Z808" s="68"/>
      <c r="AA808" s="68"/>
      <c r="AB808" s="68"/>
      <c r="AC808" s="68"/>
      <c r="AD808" s="68"/>
      <c r="AE808" s="68"/>
      <c r="AF808" s="68"/>
      <c r="AG808" s="68"/>
      <c r="AH808" s="68"/>
      <c r="AI808" s="68"/>
      <c r="AJ808" s="68"/>
      <c r="AK808" s="68"/>
      <c r="AL808" s="68"/>
      <c r="AM808" s="68"/>
      <c r="AN808" s="68"/>
      <c r="AO808" s="68"/>
      <c r="AP808" s="68"/>
      <c r="AQ808" s="68"/>
      <c r="AR808" s="68"/>
      <c r="AS808" s="68"/>
      <c r="AT808" s="68"/>
      <c r="AU808" s="68"/>
      <c r="AV808" s="68"/>
      <c r="AW808" s="68"/>
      <c r="AX808" s="68"/>
      <c r="AY808" s="68"/>
      <c r="AZ808" s="68"/>
      <c r="BA808" s="68"/>
      <c r="BB808" s="68"/>
      <c r="BC808" s="68"/>
      <c r="BD808" s="68"/>
      <c r="BE808" s="68"/>
      <c r="BF808" s="68"/>
      <c r="BG808" s="68"/>
      <c r="BH808" s="68"/>
      <c r="BI808" s="68"/>
      <c r="BJ808" s="68"/>
      <c r="BK808" s="68"/>
      <c r="BL808" s="68"/>
      <c r="BM808" s="68"/>
      <c r="BN808" s="68"/>
      <c r="BO808" s="68"/>
      <c r="BP808" s="68"/>
      <c r="BQ808" s="68"/>
      <c r="BR808" s="68"/>
      <c r="BS808" s="68"/>
      <c r="BT808" s="68"/>
      <c r="BU808" s="68"/>
      <c r="BV808" s="68"/>
      <c r="BW808" s="68"/>
      <c r="BX808" s="68"/>
      <c r="BY808" s="68"/>
      <c r="BZ808" s="68"/>
      <c r="CA808" s="68"/>
      <c r="CB808" s="68"/>
      <c r="CC808" s="68"/>
      <c r="CD808" s="68"/>
      <c r="CE808" s="68"/>
      <c r="CF808" s="68"/>
      <c r="CG808" s="68"/>
      <c r="CH808" s="68"/>
      <c r="CI808" s="68"/>
      <c r="CJ808" s="68"/>
      <c r="CK808" s="68"/>
      <c r="CL808" s="68"/>
      <c r="CM808" s="68"/>
      <c r="CN808" s="68"/>
      <c r="CO808" s="68"/>
      <c r="CP808" s="68"/>
      <c r="CQ808" s="68"/>
      <c r="CR808" s="68"/>
      <c r="CS808" s="68"/>
      <c r="CT808" s="68"/>
      <c r="CU808" s="68"/>
      <c r="CV808" s="68"/>
      <c r="CW808" s="68"/>
      <c r="CX808" s="68"/>
    </row>
    <row r="809" spans="4:102" s="71" customFormat="1" hidden="1">
      <c r="D809" s="105"/>
      <c r="E809" s="100"/>
      <c r="F809" s="100"/>
      <c r="G809" s="111"/>
      <c r="H809" s="105"/>
      <c r="I809" s="111"/>
      <c r="J809" s="111"/>
      <c r="K809" s="112"/>
      <c r="L809" s="113"/>
      <c r="M809" s="114"/>
      <c r="N809" s="100"/>
      <c r="O809" s="114"/>
      <c r="P809" s="65"/>
      <c r="Q809" s="103"/>
      <c r="R809" s="103"/>
      <c r="S809" s="103"/>
      <c r="T809" s="103"/>
      <c r="U809" s="68"/>
      <c r="V809" s="69"/>
      <c r="W809" s="68"/>
      <c r="X809" s="68"/>
      <c r="Y809" s="68"/>
      <c r="Z809" s="68"/>
      <c r="AA809" s="68"/>
      <c r="AB809" s="68"/>
      <c r="AC809" s="68"/>
      <c r="AD809" s="68"/>
      <c r="AE809" s="68"/>
      <c r="AF809" s="68"/>
      <c r="AG809" s="68"/>
      <c r="AH809" s="68"/>
      <c r="AI809" s="68"/>
      <c r="AJ809" s="68"/>
      <c r="AK809" s="68"/>
      <c r="AL809" s="68"/>
      <c r="AM809" s="68"/>
      <c r="AN809" s="68"/>
      <c r="AO809" s="68"/>
      <c r="AP809" s="68"/>
      <c r="AQ809" s="68"/>
      <c r="AR809" s="68"/>
      <c r="AS809" s="68"/>
      <c r="AT809" s="68"/>
      <c r="AU809" s="68"/>
      <c r="AV809" s="68"/>
      <c r="AW809" s="68"/>
      <c r="AX809" s="68"/>
      <c r="AY809" s="68"/>
      <c r="AZ809" s="68"/>
      <c r="BA809" s="68"/>
      <c r="BB809" s="68"/>
      <c r="BC809" s="68"/>
      <c r="BD809" s="68"/>
      <c r="BE809" s="68"/>
      <c r="BF809" s="68"/>
      <c r="BG809" s="68"/>
      <c r="BH809" s="68"/>
      <c r="BI809" s="68"/>
      <c r="BJ809" s="68"/>
      <c r="BK809" s="68"/>
      <c r="BL809" s="68"/>
      <c r="BM809" s="68"/>
      <c r="BN809" s="68"/>
      <c r="BO809" s="68"/>
      <c r="BP809" s="68"/>
      <c r="BQ809" s="68"/>
      <c r="BR809" s="68"/>
      <c r="BS809" s="68"/>
      <c r="BT809" s="68"/>
      <c r="BU809" s="68"/>
      <c r="BV809" s="68"/>
      <c r="BW809" s="68"/>
      <c r="BX809" s="68"/>
      <c r="BY809" s="68"/>
      <c r="BZ809" s="68"/>
      <c r="CA809" s="68"/>
      <c r="CB809" s="68"/>
      <c r="CC809" s="68"/>
      <c r="CD809" s="68"/>
      <c r="CE809" s="68"/>
      <c r="CF809" s="68"/>
      <c r="CG809" s="68"/>
      <c r="CH809" s="68"/>
      <c r="CI809" s="68"/>
      <c r="CJ809" s="68"/>
      <c r="CK809" s="68"/>
      <c r="CL809" s="68"/>
      <c r="CM809" s="68"/>
      <c r="CN809" s="68"/>
      <c r="CO809" s="68"/>
      <c r="CP809" s="68"/>
      <c r="CQ809" s="68"/>
      <c r="CR809" s="68"/>
      <c r="CS809" s="68"/>
      <c r="CT809" s="68"/>
      <c r="CU809" s="68"/>
      <c r="CV809" s="68"/>
      <c r="CW809" s="68"/>
      <c r="CX809" s="68"/>
    </row>
    <row r="810" spans="4:102" s="71" customFormat="1" hidden="1">
      <c r="D810" s="105"/>
      <c r="E810" s="100"/>
      <c r="F810" s="100"/>
      <c r="G810" s="111"/>
      <c r="H810" s="105"/>
      <c r="I810" s="111"/>
      <c r="J810" s="111"/>
      <c r="K810" s="112"/>
      <c r="L810" s="113"/>
      <c r="M810" s="114"/>
      <c r="N810" s="100"/>
      <c r="O810" s="114"/>
      <c r="P810" s="65"/>
      <c r="Q810" s="103"/>
      <c r="R810" s="103"/>
      <c r="S810" s="103"/>
      <c r="T810" s="103"/>
      <c r="U810" s="68"/>
      <c r="V810" s="69"/>
      <c r="W810" s="68"/>
      <c r="X810" s="68"/>
      <c r="Y810" s="68"/>
      <c r="Z810" s="68"/>
      <c r="AA810" s="68"/>
      <c r="AB810" s="68"/>
      <c r="AC810" s="68"/>
      <c r="AD810" s="68"/>
      <c r="AE810" s="68"/>
      <c r="AF810" s="68"/>
      <c r="AG810" s="68"/>
      <c r="AH810" s="68"/>
      <c r="AI810" s="68"/>
      <c r="AJ810" s="68"/>
      <c r="AK810" s="68"/>
      <c r="AL810" s="68"/>
      <c r="AM810" s="68"/>
      <c r="AN810" s="68"/>
      <c r="AO810" s="68"/>
      <c r="AP810" s="68"/>
      <c r="AQ810" s="68"/>
      <c r="AR810" s="68"/>
      <c r="AS810" s="68"/>
      <c r="AT810" s="68"/>
      <c r="AU810" s="68"/>
      <c r="AV810" s="68"/>
      <c r="AW810" s="68"/>
      <c r="AX810" s="68"/>
      <c r="AY810" s="68"/>
      <c r="AZ810" s="68"/>
      <c r="BA810" s="68"/>
      <c r="BB810" s="68"/>
      <c r="BC810" s="68"/>
      <c r="BD810" s="68"/>
      <c r="BE810" s="68"/>
      <c r="BF810" s="68"/>
      <c r="BG810" s="68"/>
      <c r="BH810" s="68"/>
      <c r="BI810" s="68"/>
      <c r="BJ810" s="68"/>
      <c r="BK810" s="68"/>
      <c r="BL810" s="68"/>
      <c r="BM810" s="68"/>
      <c r="BN810" s="68"/>
      <c r="BO810" s="68"/>
      <c r="BP810" s="68"/>
      <c r="BQ810" s="68"/>
      <c r="BR810" s="68"/>
      <c r="BS810" s="68"/>
      <c r="BT810" s="68"/>
      <c r="BU810" s="68"/>
      <c r="BV810" s="68"/>
      <c r="BW810" s="68"/>
      <c r="BX810" s="68"/>
      <c r="BY810" s="68"/>
      <c r="BZ810" s="68"/>
      <c r="CA810" s="68"/>
      <c r="CB810" s="68"/>
      <c r="CC810" s="68"/>
      <c r="CD810" s="68"/>
      <c r="CE810" s="68"/>
      <c r="CF810" s="68"/>
      <c r="CG810" s="68"/>
      <c r="CH810" s="68"/>
      <c r="CI810" s="68"/>
      <c r="CJ810" s="68"/>
      <c r="CK810" s="68"/>
      <c r="CL810" s="68"/>
      <c r="CM810" s="68"/>
      <c r="CN810" s="68"/>
      <c r="CO810" s="68"/>
      <c r="CP810" s="68"/>
      <c r="CQ810" s="68"/>
      <c r="CR810" s="68"/>
      <c r="CS810" s="68"/>
      <c r="CT810" s="68"/>
      <c r="CU810" s="68"/>
      <c r="CV810" s="68"/>
      <c r="CW810" s="68"/>
      <c r="CX810" s="68"/>
    </row>
    <row r="811" spans="4:102" s="71" customFormat="1" hidden="1">
      <c r="D811" s="105"/>
      <c r="E811" s="100"/>
      <c r="F811" s="100"/>
      <c r="G811" s="111"/>
      <c r="H811" s="105"/>
      <c r="I811" s="111"/>
      <c r="J811" s="111"/>
      <c r="K811" s="112"/>
      <c r="L811" s="113"/>
      <c r="M811" s="114"/>
      <c r="N811" s="100"/>
      <c r="O811" s="114"/>
      <c r="P811" s="65"/>
      <c r="Q811" s="103"/>
      <c r="R811" s="103"/>
      <c r="S811" s="103"/>
      <c r="T811" s="103"/>
      <c r="U811" s="68"/>
      <c r="V811" s="69"/>
      <c r="W811" s="68"/>
      <c r="X811" s="68"/>
      <c r="Y811" s="68"/>
      <c r="Z811" s="68"/>
      <c r="AA811" s="68"/>
      <c r="AB811" s="68"/>
      <c r="AC811" s="68"/>
      <c r="AD811" s="68"/>
      <c r="AE811" s="68"/>
      <c r="AF811" s="68"/>
      <c r="AG811" s="68"/>
      <c r="AH811" s="68"/>
      <c r="AI811" s="68"/>
      <c r="AJ811" s="68"/>
      <c r="AK811" s="68"/>
      <c r="AL811" s="68"/>
      <c r="AM811" s="68"/>
      <c r="AN811" s="68"/>
      <c r="AO811" s="68"/>
      <c r="AP811" s="68"/>
      <c r="AQ811" s="68"/>
      <c r="AR811" s="68"/>
      <c r="AS811" s="68"/>
      <c r="AT811" s="68"/>
      <c r="AU811" s="68"/>
      <c r="AV811" s="68"/>
      <c r="AW811" s="68"/>
      <c r="AX811" s="68"/>
      <c r="AY811" s="68"/>
      <c r="AZ811" s="68"/>
      <c r="BA811" s="68"/>
      <c r="BB811" s="68"/>
      <c r="BC811" s="68"/>
      <c r="BD811" s="68"/>
      <c r="BE811" s="68"/>
      <c r="BF811" s="68"/>
      <c r="BG811" s="68"/>
      <c r="BH811" s="68"/>
      <c r="BI811" s="68"/>
      <c r="BJ811" s="68"/>
      <c r="BK811" s="68"/>
      <c r="BL811" s="68"/>
      <c r="BM811" s="68"/>
      <c r="BN811" s="68"/>
      <c r="BO811" s="68"/>
      <c r="BP811" s="68"/>
      <c r="BQ811" s="68"/>
      <c r="BR811" s="68"/>
      <c r="BS811" s="68"/>
      <c r="BT811" s="68"/>
      <c r="BU811" s="68"/>
      <c r="BV811" s="68"/>
      <c r="BW811" s="68"/>
      <c r="BX811" s="68"/>
      <c r="BY811" s="68"/>
      <c r="BZ811" s="68"/>
      <c r="CA811" s="68"/>
      <c r="CB811" s="68"/>
      <c r="CC811" s="68"/>
      <c r="CD811" s="68"/>
      <c r="CE811" s="68"/>
      <c r="CF811" s="68"/>
      <c r="CG811" s="68"/>
      <c r="CH811" s="68"/>
      <c r="CI811" s="68"/>
      <c r="CJ811" s="68"/>
      <c r="CK811" s="68"/>
      <c r="CL811" s="68"/>
      <c r="CM811" s="68"/>
      <c r="CN811" s="68"/>
      <c r="CO811" s="68"/>
      <c r="CP811" s="68"/>
      <c r="CQ811" s="68"/>
      <c r="CR811" s="68"/>
      <c r="CS811" s="68"/>
      <c r="CT811" s="68"/>
      <c r="CU811" s="68"/>
      <c r="CV811" s="68"/>
      <c r="CW811" s="68"/>
      <c r="CX811" s="68"/>
    </row>
    <row r="812" spans="4:102" s="71" customFormat="1" hidden="1">
      <c r="D812" s="105"/>
      <c r="E812" s="100"/>
      <c r="F812" s="100"/>
      <c r="G812" s="111"/>
      <c r="H812" s="105"/>
      <c r="I812" s="111"/>
      <c r="J812" s="111"/>
      <c r="K812" s="112"/>
      <c r="L812" s="113"/>
      <c r="M812" s="114"/>
      <c r="N812" s="100"/>
      <c r="O812" s="114"/>
      <c r="P812" s="65"/>
      <c r="Q812" s="103"/>
      <c r="R812" s="103"/>
      <c r="S812" s="103"/>
      <c r="T812" s="103"/>
      <c r="U812" s="68"/>
      <c r="V812" s="69"/>
      <c r="W812" s="68"/>
      <c r="X812" s="68"/>
      <c r="Y812" s="68"/>
      <c r="Z812" s="68"/>
      <c r="AA812" s="68"/>
      <c r="AB812" s="68"/>
      <c r="AC812" s="68"/>
      <c r="AD812" s="68"/>
      <c r="AE812" s="68"/>
      <c r="AF812" s="68"/>
      <c r="AG812" s="68"/>
      <c r="AH812" s="68"/>
      <c r="AI812" s="68"/>
      <c r="AJ812" s="68"/>
      <c r="AK812" s="68"/>
      <c r="AL812" s="68"/>
      <c r="AM812" s="68"/>
      <c r="AN812" s="68"/>
      <c r="AO812" s="68"/>
      <c r="AP812" s="68"/>
      <c r="AQ812" s="68"/>
      <c r="AR812" s="68"/>
      <c r="AS812" s="68"/>
      <c r="AT812" s="68"/>
      <c r="AU812" s="68"/>
      <c r="AV812" s="68"/>
      <c r="AW812" s="68"/>
      <c r="AX812" s="68"/>
      <c r="AY812" s="68"/>
      <c r="AZ812" s="68"/>
      <c r="BA812" s="68"/>
      <c r="BB812" s="68"/>
      <c r="BC812" s="68"/>
      <c r="BD812" s="68"/>
      <c r="BE812" s="68"/>
      <c r="BF812" s="68"/>
      <c r="BG812" s="68"/>
      <c r="BH812" s="68"/>
      <c r="BI812" s="68"/>
      <c r="BJ812" s="68"/>
      <c r="BK812" s="68"/>
      <c r="BL812" s="68"/>
      <c r="BM812" s="68"/>
      <c r="BN812" s="68"/>
      <c r="BO812" s="68"/>
      <c r="BP812" s="68"/>
      <c r="BQ812" s="68"/>
      <c r="BR812" s="68"/>
      <c r="BS812" s="68"/>
      <c r="BT812" s="68"/>
      <c r="BU812" s="68"/>
      <c r="BV812" s="68"/>
      <c r="BW812" s="68"/>
      <c r="BX812" s="68"/>
      <c r="BY812" s="68"/>
      <c r="BZ812" s="68"/>
      <c r="CA812" s="68"/>
      <c r="CB812" s="68"/>
      <c r="CC812" s="68"/>
      <c r="CD812" s="68"/>
      <c r="CE812" s="68"/>
      <c r="CF812" s="68"/>
      <c r="CG812" s="68"/>
      <c r="CH812" s="68"/>
      <c r="CI812" s="68"/>
      <c r="CJ812" s="68"/>
      <c r="CK812" s="68"/>
      <c r="CL812" s="68"/>
      <c r="CM812" s="68"/>
      <c r="CN812" s="68"/>
      <c r="CO812" s="68"/>
      <c r="CP812" s="68"/>
      <c r="CQ812" s="68"/>
      <c r="CR812" s="68"/>
      <c r="CS812" s="68"/>
      <c r="CT812" s="68"/>
      <c r="CU812" s="68"/>
      <c r="CV812" s="68"/>
      <c r="CW812" s="68"/>
      <c r="CX812" s="68"/>
    </row>
    <row r="813" spans="4:102" s="71" customFormat="1" hidden="1">
      <c r="D813" s="105"/>
      <c r="E813" s="100"/>
      <c r="F813" s="100"/>
      <c r="G813" s="111"/>
      <c r="H813" s="105"/>
      <c r="I813" s="111"/>
      <c r="J813" s="111"/>
      <c r="K813" s="112"/>
      <c r="L813" s="113"/>
      <c r="M813" s="114"/>
      <c r="N813" s="100"/>
      <c r="O813" s="114"/>
      <c r="P813" s="65"/>
      <c r="Q813" s="103"/>
      <c r="R813" s="103"/>
      <c r="S813" s="103"/>
      <c r="T813" s="103"/>
      <c r="U813" s="68"/>
      <c r="V813" s="69"/>
      <c r="W813" s="68"/>
      <c r="X813" s="68"/>
      <c r="Y813" s="68"/>
      <c r="Z813" s="68"/>
      <c r="AA813" s="68"/>
      <c r="AB813" s="68"/>
      <c r="AC813" s="68"/>
      <c r="AD813" s="68"/>
      <c r="AE813" s="68"/>
      <c r="AF813" s="68"/>
      <c r="AG813" s="68"/>
      <c r="AH813" s="68"/>
      <c r="AI813" s="68"/>
      <c r="AJ813" s="68"/>
      <c r="AK813" s="68"/>
      <c r="AL813" s="68"/>
      <c r="AM813" s="68"/>
      <c r="AN813" s="68"/>
      <c r="AO813" s="68"/>
      <c r="AP813" s="68"/>
      <c r="AQ813" s="68"/>
      <c r="AR813" s="68"/>
      <c r="AS813" s="68"/>
      <c r="AT813" s="68"/>
      <c r="AU813" s="68"/>
      <c r="AV813" s="68"/>
      <c r="AW813" s="68"/>
      <c r="AX813" s="68"/>
      <c r="AY813" s="68"/>
      <c r="AZ813" s="68"/>
      <c r="BA813" s="68"/>
      <c r="BB813" s="68"/>
      <c r="BC813" s="68"/>
      <c r="BD813" s="68"/>
      <c r="BE813" s="68"/>
      <c r="BF813" s="68"/>
      <c r="BG813" s="68"/>
      <c r="BH813" s="68"/>
      <c r="BI813" s="68"/>
      <c r="BJ813" s="68"/>
      <c r="BK813" s="68"/>
      <c r="BL813" s="68"/>
      <c r="BM813" s="68"/>
      <c r="BN813" s="68"/>
      <c r="BO813" s="68"/>
      <c r="BP813" s="68"/>
      <c r="BQ813" s="68"/>
      <c r="BR813" s="68"/>
      <c r="BS813" s="68"/>
      <c r="BT813" s="68"/>
      <c r="BU813" s="68"/>
      <c r="BV813" s="68"/>
      <c r="BW813" s="68"/>
      <c r="BX813" s="68"/>
      <c r="BY813" s="68"/>
      <c r="BZ813" s="68"/>
      <c r="CA813" s="68"/>
      <c r="CB813" s="68"/>
      <c r="CC813" s="68"/>
      <c r="CD813" s="68"/>
      <c r="CE813" s="68"/>
      <c r="CF813" s="68"/>
      <c r="CG813" s="68"/>
      <c r="CH813" s="68"/>
      <c r="CI813" s="68"/>
      <c r="CJ813" s="68"/>
      <c r="CK813" s="68"/>
      <c r="CL813" s="68"/>
      <c r="CM813" s="68"/>
      <c r="CN813" s="68"/>
      <c r="CO813" s="68"/>
      <c r="CP813" s="68"/>
      <c r="CQ813" s="68"/>
      <c r="CR813" s="68"/>
      <c r="CS813" s="68"/>
      <c r="CT813" s="68"/>
      <c r="CU813" s="68"/>
      <c r="CV813" s="68"/>
      <c r="CW813" s="68"/>
      <c r="CX813" s="68"/>
    </row>
    <row r="814" spans="4:102" s="71" customFormat="1" hidden="1">
      <c r="D814" s="105"/>
      <c r="E814" s="100"/>
      <c r="F814" s="100"/>
      <c r="G814" s="111"/>
      <c r="H814" s="105"/>
      <c r="I814" s="111"/>
      <c r="J814" s="111"/>
      <c r="K814" s="112"/>
      <c r="L814" s="113"/>
      <c r="M814" s="114"/>
      <c r="N814" s="100"/>
      <c r="O814" s="114"/>
      <c r="P814" s="65"/>
      <c r="Q814" s="103"/>
      <c r="R814" s="103"/>
      <c r="S814" s="103"/>
      <c r="T814" s="103"/>
      <c r="U814" s="68"/>
      <c r="V814" s="69"/>
      <c r="W814" s="68"/>
      <c r="X814" s="68"/>
      <c r="Y814" s="68"/>
      <c r="Z814" s="68"/>
      <c r="AA814" s="68"/>
      <c r="AB814" s="68"/>
      <c r="AC814" s="68"/>
      <c r="AD814" s="68"/>
      <c r="AE814" s="68"/>
      <c r="AF814" s="68"/>
      <c r="AG814" s="68"/>
      <c r="AH814" s="68"/>
      <c r="AI814" s="68"/>
      <c r="AJ814" s="68"/>
      <c r="AK814" s="68"/>
      <c r="AL814" s="68"/>
      <c r="AM814" s="68"/>
      <c r="AN814" s="68"/>
      <c r="AO814" s="68"/>
      <c r="AP814" s="68"/>
      <c r="AQ814" s="68"/>
      <c r="AR814" s="68"/>
      <c r="AS814" s="68"/>
      <c r="AT814" s="68"/>
      <c r="AU814" s="68"/>
      <c r="AV814" s="68"/>
      <c r="AW814" s="68"/>
      <c r="AX814" s="68"/>
      <c r="AY814" s="68"/>
      <c r="AZ814" s="68"/>
      <c r="BA814" s="68"/>
      <c r="BB814" s="68"/>
      <c r="BC814" s="68"/>
      <c r="BD814" s="68"/>
      <c r="BE814" s="68"/>
      <c r="BF814" s="68"/>
      <c r="BG814" s="68"/>
      <c r="BH814" s="68"/>
      <c r="BI814" s="68"/>
      <c r="BJ814" s="68"/>
      <c r="BK814" s="68"/>
      <c r="BL814" s="68"/>
      <c r="BM814" s="68"/>
      <c r="BN814" s="68"/>
      <c r="BO814" s="68"/>
      <c r="BP814" s="68"/>
      <c r="BQ814" s="68"/>
      <c r="BR814" s="68"/>
      <c r="BS814" s="68"/>
      <c r="BT814" s="68"/>
      <c r="BU814" s="68"/>
      <c r="BV814" s="68"/>
      <c r="BW814" s="68"/>
      <c r="BX814" s="68"/>
      <c r="BY814" s="68"/>
      <c r="BZ814" s="68"/>
      <c r="CA814" s="68"/>
      <c r="CB814" s="68"/>
      <c r="CC814" s="68"/>
      <c r="CD814" s="68"/>
      <c r="CE814" s="68"/>
      <c r="CF814" s="68"/>
      <c r="CG814" s="68"/>
      <c r="CH814" s="68"/>
      <c r="CI814" s="68"/>
      <c r="CJ814" s="68"/>
      <c r="CK814" s="68"/>
      <c r="CL814" s="68"/>
      <c r="CM814" s="68"/>
      <c r="CN814" s="68"/>
      <c r="CO814" s="68"/>
      <c r="CP814" s="68"/>
      <c r="CQ814" s="68"/>
      <c r="CR814" s="68"/>
      <c r="CS814" s="68"/>
      <c r="CT814" s="68"/>
      <c r="CU814" s="68"/>
      <c r="CV814" s="68"/>
      <c r="CW814" s="68"/>
      <c r="CX814" s="68"/>
    </row>
    <row r="815" spans="4:102" s="71" customFormat="1" hidden="1">
      <c r="D815" s="105"/>
      <c r="E815" s="100"/>
      <c r="F815" s="100"/>
      <c r="G815" s="111"/>
      <c r="H815" s="105"/>
      <c r="I815" s="111"/>
      <c r="J815" s="111"/>
      <c r="K815" s="112"/>
      <c r="L815" s="113"/>
      <c r="M815" s="114"/>
      <c r="N815" s="100"/>
      <c r="O815" s="114"/>
      <c r="P815" s="65"/>
      <c r="Q815" s="103"/>
      <c r="R815" s="103"/>
      <c r="S815" s="103"/>
      <c r="T815" s="103"/>
      <c r="U815" s="68"/>
      <c r="V815" s="69"/>
      <c r="W815" s="68"/>
      <c r="X815" s="68"/>
      <c r="Y815" s="68"/>
      <c r="Z815" s="68"/>
      <c r="AA815" s="68"/>
      <c r="AB815" s="68"/>
      <c r="AC815" s="68"/>
      <c r="AD815" s="68"/>
      <c r="AE815" s="68"/>
      <c r="AF815" s="68"/>
      <c r="AG815" s="68"/>
      <c r="AH815" s="68"/>
      <c r="AI815" s="68"/>
      <c r="AJ815" s="68"/>
      <c r="AK815" s="68"/>
      <c r="AL815" s="68"/>
      <c r="AM815" s="68"/>
      <c r="AN815" s="68"/>
      <c r="AO815" s="68"/>
      <c r="AP815" s="68"/>
      <c r="AQ815" s="68"/>
      <c r="AR815" s="68"/>
      <c r="AS815" s="68"/>
      <c r="AT815" s="68"/>
      <c r="AU815" s="68"/>
      <c r="AV815" s="68"/>
      <c r="AW815" s="68"/>
      <c r="AX815" s="68"/>
      <c r="AY815" s="68"/>
      <c r="AZ815" s="68"/>
      <c r="BA815" s="68"/>
      <c r="BB815" s="68"/>
      <c r="BC815" s="68"/>
      <c r="BD815" s="68"/>
      <c r="BE815" s="68"/>
      <c r="BF815" s="68"/>
      <c r="BG815" s="68"/>
      <c r="BH815" s="68"/>
      <c r="BI815" s="68"/>
      <c r="BJ815" s="68"/>
      <c r="BK815" s="68"/>
      <c r="BL815" s="68"/>
      <c r="BM815" s="68"/>
      <c r="BN815" s="68"/>
      <c r="BO815" s="68"/>
      <c r="BP815" s="68"/>
      <c r="BQ815" s="68"/>
      <c r="BR815" s="68"/>
      <c r="BS815" s="68"/>
      <c r="BT815" s="68"/>
      <c r="BU815" s="68"/>
      <c r="BV815" s="68"/>
      <c r="BW815" s="68"/>
      <c r="BX815" s="68"/>
      <c r="BY815" s="68"/>
      <c r="BZ815" s="68"/>
      <c r="CA815" s="68"/>
      <c r="CB815" s="68"/>
      <c r="CC815" s="68"/>
      <c r="CD815" s="68"/>
      <c r="CE815" s="68"/>
      <c r="CF815" s="68"/>
      <c r="CG815" s="68"/>
      <c r="CH815" s="68"/>
      <c r="CI815" s="68"/>
      <c r="CJ815" s="68"/>
      <c r="CK815" s="68"/>
      <c r="CL815" s="68"/>
      <c r="CM815" s="68"/>
      <c r="CN815" s="68"/>
      <c r="CO815" s="68"/>
      <c r="CP815" s="68"/>
      <c r="CQ815" s="68"/>
      <c r="CR815" s="68"/>
      <c r="CS815" s="68"/>
      <c r="CT815" s="68"/>
      <c r="CU815" s="68"/>
      <c r="CV815" s="68"/>
      <c r="CW815" s="68"/>
      <c r="CX815" s="68"/>
    </row>
    <row r="816" spans="4:102" s="71" customFormat="1" hidden="1">
      <c r="D816" s="105"/>
      <c r="E816" s="100"/>
      <c r="F816" s="100"/>
      <c r="G816" s="111"/>
      <c r="H816" s="105"/>
      <c r="I816" s="111"/>
      <c r="J816" s="111"/>
      <c r="K816" s="112"/>
      <c r="L816" s="113"/>
      <c r="M816" s="114"/>
      <c r="N816" s="100"/>
      <c r="O816" s="114"/>
      <c r="P816" s="65"/>
      <c r="Q816" s="103"/>
      <c r="R816" s="103"/>
      <c r="S816" s="103"/>
      <c r="T816" s="103"/>
      <c r="U816" s="68"/>
      <c r="V816" s="69"/>
      <c r="W816" s="68"/>
      <c r="X816" s="68"/>
      <c r="Y816" s="68"/>
      <c r="Z816" s="68"/>
      <c r="AA816" s="68"/>
      <c r="AB816" s="68"/>
      <c r="AC816" s="68"/>
      <c r="AD816" s="68"/>
      <c r="AE816" s="68"/>
      <c r="AF816" s="68"/>
      <c r="AG816" s="68"/>
      <c r="AH816" s="68"/>
      <c r="AI816" s="68"/>
      <c r="AJ816" s="68"/>
      <c r="AK816" s="68"/>
      <c r="AL816" s="68"/>
      <c r="AM816" s="68"/>
      <c r="AN816" s="68"/>
      <c r="AO816" s="68"/>
      <c r="AP816" s="68"/>
      <c r="AQ816" s="68"/>
      <c r="AR816" s="68"/>
      <c r="AS816" s="68"/>
      <c r="AT816" s="68"/>
      <c r="AU816" s="68"/>
      <c r="AV816" s="68"/>
      <c r="AW816" s="68"/>
      <c r="AX816" s="68"/>
      <c r="AY816" s="68"/>
      <c r="AZ816" s="68"/>
      <c r="BA816" s="68"/>
      <c r="BB816" s="68"/>
      <c r="BC816" s="68"/>
      <c r="BD816" s="68"/>
      <c r="BE816" s="68"/>
      <c r="BF816" s="68"/>
      <c r="BG816" s="68"/>
      <c r="BH816" s="68"/>
      <c r="BI816" s="68"/>
      <c r="BJ816" s="68"/>
      <c r="BK816" s="68"/>
      <c r="BL816" s="68"/>
      <c r="BM816" s="68"/>
      <c r="BN816" s="68"/>
      <c r="BO816" s="68"/>
      <c r="BP816" s="68"/>
      <c r="BQ816" s="68"/>
      <c r="BR816" s="68"/>
      <c r="BS816" s="68"/>
      <c r="BT816" s="68"/>
      <c r="BU816" s="68"/>
      <c r="BV816" s="68"/>
      <c r="BW816" s="68"/>
      <c r="BX816" s="68"/>
      <c r="BY816" s="68"/>
      <c r="BZ816" s="68"/>
      <c r="CA816" s="68"/>
      <c r="CB816" s="68"/>
      <c r="CC816" s="68"/>
      <c r="CD816" s="68"/>
      <c r="CE816" s="68"/>
      <c r="CF816" s="68"/>
      <c r="CG816" s="68"/>
      <c r="CH816" s="68"/>
      <c r="CI816" s="68"/>
      <c r="CJ816" s="68"/>
      <c r="CK816" s="68"/>
      <c r="CL816" s="68"/>
      <c r="CM816" s="68"/>
      <c r="CN816" s="68"/>
      <c r="CO816" s="68"/>
      <c r="CP816" s="68"/>
      <c r="CQ816" s="68"/>
      <c r="CR816" s="68"/>
      <c r="CS816" s="68"/>
      <c r="CT816" s="68"/>
      <c r="CU816" s="68"/>
      <c r="CV816" s="68"/>
      <c r="CW816" s="68"/>
      <c r="CX816" s="68"/>
    </row>
    <row r="817" spans="4:102" s="71" customFormat="1" hidden="1">
      <c r="D817" s="105"/>
      <c r="E817" s="100"/>
      <c r="F817" s="100"/>
      <c r="G817" s="111"/>
      <c r="H817" s="105"/>
      <c r="I817" s="111"/>
      <c r="J817" s="111"/>
      <c r="K817" s="112"/>
      <c r="L817" s="113"/>
      <c r="M817" s="114"/>
      <c r="N817" s="100"/>
      <c r="O817" s="114"/>
      <c r="P817" s="65"/>
      <c r="Q817" s="103"/>
      <c r="R817" s="103"/>
      <c r="S817" s="103"/>
      <c r="T817" s="103"/>
      <c r="U817" s="68"/>
      <c r="V817" s="69"/>
      <c r="W817" s="68"/>
      <c r="X817" s="68"/>
      <c r="Y817" s="68"/>
      <c r="Z817" s="68"/>
      <c r="AA817" s="68"/>
      <c r="AB817" s="68"/>
      <c r="AC817" s="68"/>
      <c r="AD817" s="68"/>
      <c r="AE817" s="68"/>
      <c r="AF817" s="68"/>
      <c r="AG817" s="68"/>
      <c r="AH817" s="68"/>
      <c r="AI817" s="68"/>
      <c r="AJ817" s="68"/>
      <c r="AK817" s="68"/>
      <c r="AL817" s="68"/>
      <c r="AM817" s="68"/>
      <c r="AN817" s="68"/>
      <c r="AO817" s="68"/>
      <c r="AP817" s="68"/>
      <c r="AQ817" s="68"/>
      <c r="AR817" s="68"/>
      <c r="AS817" s="68"/>
      <c r="AT817" s="68"/>
      <c r="AU817" s="68"/>
      <c r="AV817" s="68"/>
      <c r="AW817" s="68"/>
      <c r="AX817" s="68"/>
      <c r="AY817" s="68"/>
      <c r="AZ817" s="68"/>
      <c r="BA817" s="68"/>
      <c r="BB817" s="68"/>
      <c r="BC817" s="68"/>
      <c r="BD817" s="68"/>
      <c r="BE817" s="68"/>
      <c r="BF817" s="68"/>
      <c r="BG817" s="68"/>
      <c r="BH817" s="68"/>
      <c r="BI817" s="68"/>
      <c r="BJ817" s="68"/>
      <c r="BK817" s="68"/>
      <c r="BL817" s="68"/>
      <c r="BM817" s="68"/>
      <c r="BN817" s="68"/>
      <c r="BO817" s="68"/>
      <c r="BP817" s="68"/>
      <c r="BQ817" s="68"/>
      <c r="BR817" s="68"/>
      <c r="BS817" s="68"/>
      <c r="BT817" s="68"/>
      <c r="BU817" s="68"/>
      <c r="BV817" s="68"/>
      <c r="BW817" s="68"/>
      <c r="BX817" s="68"/>
      <c r="BY817" s="68"/>
      <c r="BZ817" s="68"/>
      <c r="CA817" s="68"/>
      <c r="CB817" s="68"/>
      <c r="CC817" s="68"/>
      <c r="CD817" s="68"/>
      <c r="CE817" s="68"/>
      <c r="CF817" s="68"/>
      <c r="CG817" s="68"/>
      <c r="CH817" s="68"/>
      <c r="CI817" s="68"/>
      <c r="CJ817" s="68"/>
      <c r="CK817" s="68"/>
      <c r="CL817" s="68"/>
      <c r="CM817" s="68"/>
      <c r="CN817" s="68"/>
      <c r="CO817" s="68"/>
      <c r="CP817" s="68"/>
      <c r="CQ817" s="68"/>
      <c r="CR817" s="68"/>
      <c r="CS817" s="68"/>
      <c r="CT817" s="68"/>
      <c r="CU817" s="68"/>
      <c r="CV817" s="68"/>
      <c r="CW817" s="68"/>
      <c r="CX817" s="68"/>
    </row>
    <row r="818" spans="4:102" s="71" customFormat="1" hidden="1">
      <c r="D818" s="105"/>
      <c r="E818" s="100"/>
      <c r="F818" s="100"/>
      <c r="G818" s="111"/>
      <c r="H818" s="105"/>
      <c r="I818" s="111"/>
      <c r="J818" s="111"/>
      <c r="K818" s="112"/>
      <c r="L818" s="113"/>
      <c r="M818" s="114"/>
      <c r="N818" s="100"/>
      <c r="O818" s="114"/>
      <c r="P818" s="65"/>
      <c r="Q818" s="103"/>
      <c r="R818" s="103"/>
      <c r="S818" s="103"/>
      <c r="T818" s="103"/>
      <c r="U818" s="68"/>
      <c r="V818" s="69"/>
      <c r="W818" s="68"/>
      <c r="X818" s="68"/>
      <c r="Y818" s="68"/>
      <c r="Z818" s="68"/>
      <c r="AA818" s="68"/>
      <c r="AB818" s="68"/>
      <c r="AC818" s="68"/>
      <c r="AD818" s="68"/>
      <c r="AE818" s="68"/>
      <c r="AF818" s="68"/>
      <c r="AG818" s="68"/>
      <c r="AH818" s="68"/>
      <c r="AI818" s="68"/>
      <c r="AJ818" s="68"/>
      <c r="AK818" s="68"/>
      <c r="AL818" s="68"/>
      <c r="AM818" s="68"/>
      <c r="AN818" s="68"/>
      <c r="AO818" s="68"/>
      <c r="AP818" s="68"/>
      <c r="AQ818" s="68"/>
      <c r="AR818" s="68"/>
      <c r="AS818" s="68"/>
      <c r="AT818" s="68"/>
      <c r="AU818" s="68"/>
      <c r="AV818" s="68"/>
      <c r="AW818" s="68"/>
      <c r="AX818" s="68"/>
      <c r="AY818" s="68"/>
      <c r="AZ818" s="68"/>
      <c r="BA818" s="68"/>
      <c r="BB818" s="68"/>
      <c r="BC818" s="68"/>
      <c r="BD818" s="68"/>
      <c r="BE818" s="68"/>
      <c r="BF818" s="68"/>
      <c r="BG818" s="68"/>
      <c r="BH818" s="68"/>
      <c r="BI818" s="68"/>
      <c r="BJ818" s="68"/>
      <c r="BK818" s="68"/>
      <c r="BL818" s="68"/>
      <c r="BM818" s="68"/>
      <c r="BN818" s="68"/>
      <c r="BO818" s="68"/>
      <c r="BP818" s="68"/>
      <c r="BQ818" s="68"/>
      <c r="BR818" s="68"/>
      <c r="BS818" s="68"/>
      <c r="BT818" s="68"/>
      <c r="BU818" s="68"/>
      <c r="BV818" s="68"/>
      <c r="BW818" s="68"/>
      <c r="BX818" s="68"/>
      <c r="BY818" s="68"/>
      <c r="BZ818" s="68"/>
      <c r="CA818" s="68"/>
      <c r="CB818" s="68"/>
      <c r="CC818" s="68"/>
      <c r="CD818" s="68"/>
      <c r="CE818" s="68"/>
      <c r="CF818" s="68"/>
      <c r="CG818" s="68"/>
      <c r="CH818" s="68"/>
      <c r="CI818" s="68"/>
      <c r="CJ818" s="68"/>
      <c r="CK818" s="68"/>
      <c r="CL818" s="68"/>
      <c r="CM818" s="68"/>
      <c r="CN818" s="68"/>
      <c r="CO818" s="68"/>
      <c r="CP818" s="68"/>
      <c r="CQ818" s="68"/>
      <c r="CR818" s="68"/>
      <c r="CS818" s="68"/>
      <c r="CT818" s="68"/>
      <c r="CU818" s="68"/>
      <c r="CV818" s="68"/>
      <c r="CW818" s="68"/>
      <c r="CX818" s="68"/>
    </row>
    <row r="819" spans="4:102" s="71" customFormat="1" hidden="1">
      <c r="D819" s="105"/>
      <c r="E819" s="100"/>
      <c r="F819" s="100"/>
      <c r="G819" s="111"/>
      <c r="H819" s="105"/>
      <c r="I819" s="111"/>
      <c r="J819" s="111"/>
      <c r="K819" s="112"/>
      <c r="L819" s="113"/>
      <c r="M819" s="114"/>
      <c r="N819" s="100"/>
      <c r="O819" s="114"/>
      <c r="P819" s="65"/>
      <c r="Q819" s="103"/>
      <c r="R819" s="103"/>
      <c r="S819" s="103"/>
      <c r="T819" s="103"/>
      <c r="U819" s="68"/>
      <c r="V819" s="69"/>
      <c r="W819" s="68"/>
      <c r="X819" s="68"/>
      <c r="Y819" s="68"/>
      <c r="Z819" s="68"/>
      <c r="AA819" s="68"/>
      <c r="AB819" s="68"/>
      <c r="AC819" s="68"/>
      <c r="AD819" s="68"/>
      <c r="AE819" s="68"/>
      <c r="AF819" s="68"/>
      <c r="AG819" s="68"/>
      <c r="AH819" s="68"/>
      <c r="AI819" s="68"/>
      <c r="AJ819" s="68"/>
      <c r="AK819" s="68"/>
      <c r="AL819" s="68"/>
      <c r="AM819" s="68"/>
      <c r="AN819" s="68"/>
      <c r="AO819" s="68"/>
      <c r="AP819" s="68"/>
      <c r="AQ819" s="68"/>
      <c r="AR819" s="68"/>
      <c r="AS819" s="68"/>
      <c r="AT819" s="68"/>
      <c r="AU819" s="68"/>
      <c r="AV819" s="68"/>
      <c r="AW819" s="68"/>
      <c r="AX819" s="68"/>
      <c r="AY819" s="68"/>
      <c r="AZ819" s="68"/>
      <c r="BA819" s="68"/>
      <c r="BB819" s="68"/>
      <c r="BC819" s="68"/>
      <c r="BD819" s="68"/>
      <c r="BE819" s="68"/>
      <c r="BF819" s="68"/>
      <c r="BG819" s="68"/>
      <c r="BH819" s="68"/>
      <c r="BI819" s="68"/>
      <c r="BJ819" s="68"/>
      <c r="BK819" s="68"/>
      <c r="BL819" s="68"/>
      <c r="BM819" s="68"/>
      <c r="BN819" s="68"/>
      <c r="BO819" s="68"/>
      <c r="BP819" s="68"/>
      <c r="BQ819" s="68"/>
      <c r="BR819" s="68"/>
      <c r="BS819" s="68"/>
      <c r="BT819" s="68"/>
      <c r="BU819" s="68"/>
      <c r="BV819" s="68"/>
      <c r="BW819" s="68"/>
      <c r="BX819" s="68"/>
      <c r="BY819" s="68"/>
      <c r="BZ819" s="68"/>
      <c r="CA819" s="68"/>
      <c r="CB819" s="68"/>
      <c r="CC819" s="68"/>
      <c r="CD819" s="68"/>
      <c r="CE819" s="68"/>
      <c r="CF819" s="68"/>
      <c r="CG819" s="68"/>
      <c r="CH819" s="68"/>
      <c r="CI819" s="68"/>
      <c r="CJ819" s="68"/>
      <c r="CK819" s="68"/>
      <c r="CL819" s="68"/>
      <c r="CM819" s="68"/>
      <c r="CN819" s="68"/>
      <c r="CO819" s="68"/>
      <c r="CP819" s="68"/>
      <c r="CQ819" s="68"/>
      <c r="CR819" s="68"/>
      <c r="CS819" s="68"/>
      <c r="CT819" s="68"/>
      <c r="CU819" s="68"/>
      <c r="CV819" s="68"/>
      <c r="CW819" s="68"/>
      <c r="CX819" s="68"/>
    </row>
    <row r="820" spans="4:102" s="71" customFormat="1" hidden="1">
      <c r="D820" s="105"/>
      <c r="E820" s="100"/>
      <c r="F820" s="100"/>
      <c r="G820" s="111"/>
      <c r="H820" s="105"/>
      <c r="I820" s="111"/>
      <c r="J820" s="111"/>
      <c r="K820" s="112"/>
      <c r="L820" s="113"/>
      <c r="M820" s="114"/>
      <c r="N820" s="100"/>
      <c r="O820" s="114"/>
      <c r="P820" s="65"/>
      <c r="Q820" s="103"/>
      <c r="R820" s="103"/>
      <c r="S820" s="103"/>
      <c r="T820" s="103"/>
      <c r="U820" s="68"/>
      <c r="V820" s="69"/>
      <c r="W820" s="68"/>
      <c r="X820" s="68"/>
      <c r="Y820" s="68"/>
      <c r="Z820" s="68"/>
      <c r="AA820" s="68"/>
      <c r="AB820" s="68"/>
      <c r="AC820" s="68"/>
      <c r="AD820" s="68"/>
      <c r="AE820" s="68"/>
      <c r="AF820" s="68"/>
      <c r="AG820" s="68"/>
      <c r="AH820" s="68"/>
      <c r="AI820" s="68"/>
      <c r="AJ820" s="68"/>
      <c r="AK820" s="68"/>
      <c r="AL820" s="68"/>
      <c r="AM820" s="68"/>
      <c r="AN820" s="68"/>
      <c r="AO820" s="68"/>
      <c r="AP820" s="68"/>
      <c r="AQ820" s="68"/>
      <c r="AR820" s="68"/>
      <c r="AS820" s="68"/>
      <c r="AT820" s="68"/>
      <c r="AU820" s="68"/>
      <c r="AV820" s="68"/>
      <c r="AW820" s="68"/>
      <c r="AX820" s="68"/>
      <c r="AY820" s="68"/>
      <c r="AZ820" s="68"/>
      <c r="BA820" s="68"/>
      <c r="BB820" s="68"/>
      <c r="BC820" s="68"/>
      <c r="BD820" s="68"/>
      <c r="BE820" s="68"/>
      <c r="BF820" s="68"/>
      <c r="BG820" s="68"/>
      <c r="BH820" s="68"/>
      <c r="BI820" s="68"/>
      <c r="BJ820" s="68"/>
      <c r="BK820" s="68"/>
      <c r="BL820" s="68"/>
      <c r="BM820" s="68"/>
      <c r="BN820" s="68"/>
      <c r="BO820" s="68"/>
      <c r="BP820" s="68"/>
      <c r="BQ820" s="68"/>
      <c r="BR820" s="68"/>
      <c r="BS820" s="68"/>
      <c r="BT820" s="68"/>
      <c r="BU820" s="68"/>
      <c r="BV820" s="68"/>
      <c r="BW820" s="68"/>
      <c r="BX820" s="68"/>
      <c r="BY820" s="68"/>
      <c r="BZ820" s="68"/>
      <c r="CA820" s="68"/>
      <c r="CB820" s="68"/>
      <c r="CC820" s="68"/>
      <c r="CD820" s="68"/>
      <c r="CE820" s="68"/>
      <c r="CF820" s="68"/>
      <c r="CG820" s="68"/>
      <c r="CH820" s="68"/>
      <c r="CI820" s="68"/>
      <c r="CJ820" s="68"/>
      <c r="CK820" s="68"/>
      <c r="CL820" s="68"/>
      <c r="CM820" s="68"/>
      <c r="CN820" s="68"/>
      <c r="CO820" s="68"/>
      <c r="CP820" s="68"/>
      <c r="CQ820" s="68"/>
      <c r="CR820" s="68"/>
      <c r="CS820" s="68"/>
      <c r="CT820" s="68"/>
      <c r="CU820" s="68"/>
      <c r="CV820" s="68"/>
      <c r="CW820" s="68"/>
      <c r="CX820" s="68"/>
    </row>
    <row r="821" spans="4:102" s="71" customFormat="1" hidden="1">
      <c r="D821" s="105"/>
      <c r="E821" s="100"/>
      <c r="F821" s="100"/>
      <c r="G821" s="111"/>
      <c r="H821" s="105"/>
      <c r="I821" s="111"/>
      <c r="J821" s="111"/>
      <c r="K821" s="112"/>
      <c r="L821" s="113"/>
      <c r="M821" s="114"/>
      <c r="N821" s="100"/>
      <c r="O821" s="114"/>
      <c r="P821" s="65"/>
      <c r="Q821" s="103"/>
      <c r="R821" s="103"/>
      <c r="S821" s="103"/>
      <c r="T821" s="103"/>
      <c r="U821" s="68"/>
      <c r="V821" s="69"/>
      <c r="W821" s="68"/>
      <c r="X821" s="68"/>
      <c r="Y821" s="68"/>
      <c r="Z821" s="68"/>
      <c r="AA821" s="68"/>
      <c r="AB821" s="68"/>
      <c r="AC821" s="68"/>
      <c r="AD821" s="68"/>
      <c r="AE821" s="68"/>
      <c r="AF821" s="68"/>
      <c r="AG821" s="68"/>
      <c r="AH821" s="68"/>
      <c r="AI821" s="68"/>
      <c r="AJ821" s="68"/>
      <c r="AK821" s="68"/>
      <c r="AL821" s="68"/>
      <c r="AM821" s="68"/>
      <c r="AN821" s="68"/>
      <c r="AO821" s="68"/>
      <c r="AP821" s="68"/>
      <c r="AQ821" s="68"/>
      <c r="AR821" s="68"/>
      <c r="AS821" s="68"/>
      <c r="AT821" s="68"/>
      <c r="AU821" s="68"/>
      <c r="AV821" s="68"/>
      <c r="AW821" s="68"/>
      <c r="AX821" s="68"/>
      <c r="AY821" s="68"/>
      <c r="AZ821" s="68"/>
      <c r="BA821" s="68"/>
      <c r="BB821" s="68"/>
      <c r="BC821" s="68"/>
      <c r="BD821" s="68"/>
      <c r="BE821" s="68"/>
      <c r="BF821" s="68"/>
      <c r="BG821" s="68"/>
      <c r="BH821" s="68"/>
      <c r="BI821" s="68"/>
      <c r="BJ821" s="68"/>
      <c r="BK821" s="68"/>
      <c r="BL821" s="68"/>
      <c r="BM821" s="68"/>
      <c r="BN821" s="68"/>
      <c r="BO821" s="68"/>
      <c r="BP821" s="68"/>
      <c r="BQ821" s="68"/>
      <c r="BR821" s="68"/>
      <c r="BS821" s="68"/>
      <c r="BT821" s="68"/>
      <c r="BU821" s="68"/>
      <c r="BV821" s="68"/>
      <c r="BW821" s="68"/>
      <c r="BX821" s="68"/>
      <c r="BY821" s="68"/>
      <c r="BZ821" s="68"/>
      <c r="CA821" s="68"/>
      <c r="CB821" s="68"/>
      <c r="CC821" s="68"/>
      <c r="CD821" s="68"/>
      <c r="CE821" s="68"/>
      <c r="CF821" s="68"/>
      <c r="CG821" s="68"/>
      <c r="CH821" s="68"/>
      <c r="CI821" s="68"/>
      <c r="CJ821" s="68"/>
      <c r="CK821" s="68"/>
      <c r="CL821" s="68"/>
      <c r="CM821" s="68"/>
      <c r="CN821" s="68"/>
      <c r="CO821" s="68"/>
      <c r="CP821" s="68"/>
      <c r="CQ821" s="68"/>
      <c r="CR821" s="68"/>
      <c r="CS821" s="68"/>
      <c r="CT821" s="68"/>
      <c r="CU821" s="68"/>
      <c r="CV821" s="68"/>
      <c r="CW821" s="68"/>
      <c r="CX821" s="68"/>
    </row>
    <row r="822" spans="4:102" s="71" customFormat="1" hidden="1">
      <c r="D822" s="105"/>
      <c r="E822" s="100"/>
      <c r="F822" s="100"/>
      <c r="G822" s="111"/>
      <c r="H822" s="105"/>
      <c r="I822" s="111"/>
      <c r="J822" s="111"/>
      <c r="K822" s="112"/>
      <c r="L822" s="113"/>
      <c r="M822" s="114"/>
      <c r="N822" s="100"/>
      <c r="O822" s="114"/>
      <c r="P822" s="65"/>
      <c r="Q822" s="103"/>
      <c r="R822" s="103"/>
      <c r="S822" s="103"/>
      <c r="T822" s="103"/>
      <c r="U822" s="68"/>
      <c r="V822" s="69"/>
      <c r="W822" s="68"/>
      <c r="X822" s="68"/>
      <c r="Y822" s="68"/>
      <c r="Z822" s="68"/>
      <c r="AA822" s="68"/>
      <c r="AB822" s="68"/>
      <c r="AC822" s="68"/>
      <c r="AD822" s="68"/>
      <c r="AE822" s="68"/>
      <c r="AF822" s="68"/>
      <c r="AG822" s="68"/>
      <c r="AH822" s="68"/>
      <c r="AI822" s="68"/>
      <c r="AJ822" s="68"/>
      <c r="AK822" s="68"/>
      <c r="AL822" s="68"/>
      <c r="AM822" s="68"/>
      <c r="AN822" s="68"/>
      <c r="AO822" s="68"/>
      <c r="AP822" s="68"/>
      <c r="AQ822" s="68"/>
      <c r="AR822" s="68"/>
      <c r="AS822" s="68"/>
      <c r="AT822" s="68"/>
      <c r="AU822" s="68"/>
      <c r="AV822" s="68"/>
      <c r="AW822" s="68"/>
      <c r="AX822" s="68"/>
      <c r="AY822" s="68"/>
      <c r="AZ822" s="68"/>
      <c r="BA822" s="68"/>
      <c r="BB822" s="68"/>
      <c r="BC822" s="68"/>
      <c r="BD822" s="68"/>
      <c r="BE822" s="68"/>
      <c r="BF822" s="68"/>
      <c r="BG822" s="68"/>
      <c r="BH822" s="68"/>
      <c r="BI822" s="68"/>
      <c r="BJ822" s="68"/>
      <c r="BK822" s="68"/>
      <c r="BL822" s="68"/>
      <c r="BM822" s="68"/>
      <c r="BN822" s="68"/>
      <c r="BO822" s="68"/>
      <c r="BP822" s="68"/>
      <c r="BQ822" s="68"/>
      <c r="BR822" s="68"/>
      <c r="BS822" s="68"/>
      <c r="BT822" s="68"/>
      <c r="BU822" s="68"/>
      <c r="BV822" s="68"/>
      <c r="BW822" s="68"/>
      <c r="BX822" s="68"/>
      <c r="BY822" s="68"/>
      <c r="BZ822" s="68"/>
      <c r="CA822" s="68"/>
      <c r="CB822" s="68"/>
      <c r="CC822" s="68"/>
      <c r="CD822" s="68"/>
      <c r="CE822" s="68"/>
      <c r="CF822" s="68"/>
      <c r="CG822" s="68"/>
      <c r="CH822" s="68"/>
      <c r="CI822" s="68"/>
      <c r="CJ822" s="68"/>
      <c r="CK822" s="68"/>
      <c r="CL822" s="68"/>
      <c r="CM822" s="68"/>
      <c r="CN822" s="68"/>
      <c r="CO822" s="68"/>
      <c r="CP822" s="68"/>
      <c r="CQ822" s="68"/>
      <c r="CR822" s="68"/>
      <c r="CS822" s="68"/>
      <c r="CT822" s="68"/>
      <c r="CU822" s="68"/>
      <c r="CV822" s="68"/>
      <c r="CW822" s="68"/>
      <c r="CX822" s="68"/>
    </row>
    <row r="823" spans="4:102" s="71" customFormat="1" hidden="1">
      <c r="D823" s="105"/>
      <c r="E823" s="100"/>
      <c r="F823" s="100"/>
      <c r="G823" s="111"/>
      <c r="H823" s="105"/>
      <c r="I823" s="111"/>
      <c r="J823" s="111"/>
      <c r="K823" s="112"/>
      <c r="L823" s="113"/>
      <c r="M823" s="114"/>
      <c r="N823" s="100"/>
      <c r="O823" s="114"/>
      <c r="P823" s="65"/>
      <c r="Q823" s="103"/>
      <c r="R823" s="103"/>
      <c r="S823" s="103"/>
      <c r="T823" s="103"/>
      <c r="U823" s="68"/>
      <c r="V823" s="69"/>
      <c r="W823" s="68"/>
      <c r="X823" s="68"/>
      <c r="Y823" s="68"/>
      <c r="Z823" s="68"/>
      <c r="AA823" s="68"/>
      <c r="AB823" s="68"/>
      <c r="AC823" s="68"/>
      <c r="AD823" s="68"/>
      <c r="AE823" s="68"/>
      <c r="AF823" s="68"/>
      <c r="AG823" s="68"/>
      <c r="AH823" s="68"/>
      <c r="AI823" s="68"/>
      <c r="AJ823" s="68"/>
      <c r="AK823" s="68"/>
      <c r="AL823" s="68"/>
      <c r="AM823" s="68"/>
      <c r="AN823" s="68"/>
      <c r="AO823" s="68"/>
      <c r="AP823" s="68"/>
      <c r="AQ823" s="68"/>
      <c r="AR823" s="68"/>
      <c r="AS823" s="68"/>
      <c r="AT823" s="68"/>
      <c r="AU823" s="68"/>
      <c r="AV823" s="68"/>
      <c r="AW823" s="68"/>
      <c r="AX823" s="68"/>
      <c r="AY823" s="68"/>
      <c r="AZ823" s="68"/>
      <c r="BA823" s="68"/>
      <c r="BB823" s="68"/>
      <c r="BC823" s="68"/>
      <c r="BD823" s="68"/>
      <c r="BE823" s="68"/>
      <c r="BF823" s="68"/>
      <c r="BG823" s="68"/>
      <c r="BH823" s="68"/>
      <c r="BI823" s="68"/>
      <c r="BJ823" s="68"/>
      <c r="BK823" s="68"/>
      <c r="BL823" s="68"/>
      <c r="BM823" s="68"/>
      <c r="BN823" s="68"/>
      <c r="BO823" s="68"/>
      <c r="BP823" s="68"/>
      <c r="BQ823" s="68"/>
      <c r="BR823" s="68"/>
      <c r="BS823" s="68"/>
      <c r="BT823" s="68"/>
      <c r="BU823" s="68"/>
      <c r="BV823" s="68"/>
      <c r="BW823" s="68"/>
      <c r="BX823" s="68"/>
      <c r="BY823" s="68"/>
      <c r="BZ823" s="68"/>
      <c r="CA823" s="68"/>
      <c r="CB823" s="68"/>
      <c r="CC823" s="68"/>
      <c r="CD823" s="68"/>
      <c r="CE823" s="68"/>
      <c r="CF823" s="68"/>
      <c r="CG823" s="68"/>
      <c r="CH823" s="68"/>
      <c r="CI823" s="68"/>
      <c r="CJ823" s="68"/>
      <c r="CK823" s="68"/>
      <c r="CL823" s="68"/>
      <c r="CM823" s="68"/>
      <c r="CN823" s="68"/>
      <c r="CO823" s="68"/>
      <c r="CP823" s="68"/>
      <c r="CQ823" s="68"/>
      <c r="CR823" s="68"/>
      <c r="CS823" s="68"/>
      <c r="CT823" s="68"/>
      <c r="CU823" s="68"/>
      <c r="CV823" s="68"/>
      <c r="CW823" s="68"/>
      <c r="CX823" s="68"/>
    </row>
    <row r="824" spans="4:102" s="71" customFormat="1" hidden="1">
      <c r="D824" s="105"/>
      <c r="E824" s="100"/>
      <c r="F824" s="100"/>
      <c r="G824" s="111"/>
      <c r="H824" s="105"/>
      <c r="I824" s="111"/>
      <c r="J824" s="111"/>
      <c r="K824" s="112"/>
      <c r="L824" s="113"/>
      <c r="M824" s="114"/>
      <c r="N824" s="100"/>
      <c r="O824" s="114"/>
      <c r="P824" s="65"/>
      <c r="Q824" s="103"/>
      <c r="R824" s="103"/>
      <c r="S824" s="103"/>
      <c r="T824" s="103"/>
      <c r="U824" s="68"/>
      <c r="V824" s="69"/>
      <c r="W824" s="68"/>
      <c r="X824" s="68"/>
      <c r="Y824" s="68"/>
      <c r="Z824" s="68"/>
      <c r="AA824" s="68"/>
      <c r="AB824" s="68"/>
      <c r="AC824" s="68"/>
      <c r="AD824" s="68"/>
      <c r="AE824" s="68"/>
      <c r="AF824" s="68"/>
      <c r="AG824" s="68"/>
      <c r="AH824" s="68"/>
      <c r="AI824" s="68"/>
      <c r="AJ824" s="68"/>
      <c r="AK824" s="68"/>
      <c r="AL824" s="68"/>
      <c r="AM824" s="68"/>
      <c r="AN824" s="68"/>
      <c r="AO824" s="68"/>
      <c r="AP824" s="68"/>
      <c r="AQ824" s="68"/>
      <c r="AR824" s="68"/>
      <c r="AS824" s="68"/>
      <c r="AT824" s="68"/>
      <c r="AU824" s="68"/>
      <c r="AV824" s="68"/>
      <c r="AW824" s="68"/>
      <c r="AX824" s="68"/>
      <c r="AY824" s="68"/>
      <c r="AZ824" s="68"/>
      <c r="BA824" s="68"/>
      <c r="BB824" s="68"/>
      <c r="BC824" s="68"/>
      <c r="BD824" s="68"/>
      <c r="BE824" s="68"/>
      <c r="BF824" s="68"/>
      <c r="BG824" s="68"/>
      <c r="BH824" s="68"/>
      <c r="BI824" s="68"/>
      <c r="BJ824" s="68"/>
      <c r="BK824" s="68"/>
      <c r="BL824" s="68"/>
      <c r="BM824" s="68"/>
      <c r="BN824" s="68"/>
      <c r="BO824" s="68"/>
      <c r="BP824" s="68"/>
      <c r="BQ824" s="68"/>
      <c r="BR824" s="68"/>
      <c r="BS824" s="68"/>
      <c r="BT824" s="68"/>
      <c r="BU824" s="68"/>
      <c r="BV824" s="68"/>
      <c r="BW824" s="68"/>
      <c r="BX824" s="68"/>
      <c r="BY824" s="68"/>
      <c r="BZ824" s="68"/>
      <c r="CA824" s="68"/>
      <c r="CB824" s="68"/>
      <c r="CC824" s="68"/>
      <c r="CD824" s="68"/>
      <c r="CE824" s="68"/>
      <c r="CF824" s="68"/>
      <c r="CG824" s="68"/>
      <c r="CH824" s="68"/>
      <c r="CI824" s="68"/>
      <c r="CJ824" s="68"/>
      <c r="CK824" s="68"/>
      <c r="CL824" s="68"/>
      <c r="CM824" s="68"/>
      <c r="CN824" s="68"/>
      <c r="CO824" s="68"/>
      <c r="CP824" s="68"/>
      <c r="CQ824" s="68"/>
      <c r="CR824" s="68"/>
      <c r="CS824" s="68"/>
      <c r="CT824" s="68"/>
      <c r="CU824" s="68"/>
      <c r="CV824" s="68"/>
      <c r="CW824" s="68"/>
      <c r="CX824" s="68"/>
    </row>
    <row r="825" spans="4:102" s="71" customFormat="1" hidden="1">
      <c r="D825" s="105"/>
      <c r="E825" s="100"/>
      <c r="F825" s="100"/>
      <c r="G825" s="111"/>
      <c r="H825" s="105"/>
      <c r="I825" s="111"/>
      <c r="J825" s="111"/>
      <c r="K825" s="112"/>
      <c r="L825" s="113"/>
      <c r="M825" s="114"/>
      <c r="N825" s="100"/>
      <c r="O825" s="114"/>
      <c r="P825" s="65"/>
      <c r="Q825" s="103"/>
      <c r="R825" s="103"/>
      <c r="S825" s="103"/>
      <c r="T825" s="103"/>
      <c r="U825" s="68"/>
      <c r="V825" s="69"/>
      <c r="W825" s="68"/>
      <c r="X825" s="68"/>
      <c r="Y825" s="68"/>
      <c r="Z825" s="68"/>
      <c r="AA825" s="68"/>
      <c r="AB825" s="68"/>
      <c r="AC825" s="68"/>
      <c r="AD825" s="68"/>
      <c r="AE825" s="68"/>
      <c r="AF825" s="68"/>
      <c r="AG825" s="68"/>
      <c r="AH825" s="68"/>
      <c r="AI825" s="68"/>
      <c r="AJ825" s="68"/>
      <c r="AK825" s="68"/>
      <c r="AL825" s="68"/>
      <c r="AM825" s="68"/>
      <c r="AN825" s="68"/>
      <c r="AO825" s="68"/>
      <c r="AP825" s="68"/>
      <c r="AQ825" s="68"/>
      <c r="AR825" s="68"/>
      <c r="AS825" s="68"/>
      <c r="AT825" s="68"/>
      <c r="AU825" s="68"/>
      <c r="AV825" s="68"/>
      <c r="AW825" s="68"/>
      <c r="AX825" s="68"/>
      <c r="AY825" s="68"/>
      <c r="AZ825" s="68"/>
      <c r="BA825" s="68"/>
      <c r="BB825" s="68"/>
      <c r="BC825" s="68"/>
      <c r="BD825" s="68"/>
      <c r="BE825" s="68"/>
      <c r="BF825" s="68"/>
      <c r="BG825" s="68"/>
      <c r="BH825" s="68"/>
      <c r="BI825" s="68"/>
      <c r="BJ825" s="68"/>
      <c r="BK825" s="68"/>
      <c r="BL825" s="68"/>
      <c r="BM825" s="68"/>
      <c r="BN825" s="68"/>
      <c r="BO825" s="68"/>
      <c r="BP825" s="68"/>
      <c r="BQ825" s="68"/>
      <c r="BR825" s="68"/>
      <c r="BS825" s="68"/>
      <c r="BT825" s="68"/>
      <c r="BU825" s="68"/>
      <c r="BV825" s="68"/>
      <c r="BW825" s="68"/>
      <c r="BX825" s="68"/>
      <c r="BY825" s="68"/>
      <c r="BZ825" s="68"/>
      <c r="CA825" s="68"/>
      <c r="CB825" s="68"/>
      <c r="CC825" s="68"/>
      <c r="CD825" s="68"/>
      <c r="CE825" s="68"/>
      <c r="CF825" s="68"/>
      <c r="CG825" s="68"/>
      <c r="CH825" s="68"/>
      <c r="CI825" s="68"/>
      <c r="CJ825" s="68"/>
      <c r="CK825" s="68"/>
      <c r="CL825" s="68"/>
      <c r="CM825" s="68"/>
      <c r="CN825" s="68"/>
      <c r="CO825" s="68"/>
      <c r="CP825" s="68"/>
      <c r="CQ825" s="68"/>
      <c r="CR825" s="68"/>
      <c r="CS825" s="68"/>
      <c r="CT825" s="68"/>
      <c r="CU825" s="68"/>
      <c r="CV825" s="68"/>
      <c r="CW825" s="68"/>
      <c r="CX825" s="68"/>
    </row>
    <row r="826" spans="4:102" s="71" customFormat="1" hidden="1">
      <c r="D826" s="105"/>
      <c r="E826" s="100"/>
      <c r="F826" s="100"/>
      <c r="G826" s="111"/>
      <c r="H826" s="105"/>
      <c r="I826" s="111"/>
      <c r="J826" s="111"/>
      <c r="K826" s="112"/>
      <c r="L826" s="113"/>
      <c r="M826" s="114"/>
      <c r="N826" s="100"/>
      <c r="O826" s="114"/>
      <c r="P826" s="65"/>
      <c r="Q826" s="103"/>
      <c r="R826" s="103"/>
      <c r="S826" s="103"/>
      <c r="T826" s="103"/>
      <c r="U826" s="68"/>
      <c r="V826" s="69"/>
      <c r="W826" s="68"/>
      <c r="X826" s="68"/>
      <c r="Y826" s="68"/>
      <c r="Z826" s="68"/>
      <c r="AA826" s="68"/>
      <c r="AB826" s="68"/>
      <c r="AC826" s="68"/>
      <c r="AD826" s="68"/>
      <c r="AE826" s="68"/>
      <c r="AF826" s="68"/>
      <c r="AG826" s="68"/>
      <c r="AH826" s="68"/>
      <c r="AI826" s="68"/>
      <c r="AJ826" s="68"/>
      <c r="AK826" s="68"/>
      <c r="AL826" s="68"/>
      <c r="AM826" s="68"/>
      <c r="AN826" s="68"/>
      <c r="AO826" s="68"/>
      <c r="AP826" s="68"/>
      <c r="AQ826" s="68"/>
      <c r="AR826" s="68"/>
      <c r="AS826" s="68"/>
      <c r="AT826" s="68"/>
      <c r="AU826" s="68"/>
      <c r="AV826" s="68"/>
      <c r="AW826" s="68"/>
      <c r="AX826" s="68"/>
      <c r="AY826" s="68"/>
      <c r="AZ826" s="68"/>
      <c r="BA826" s="68"/>
      <c r="BB826" s="68"/>
      <c r="BC826" s="68"/>
      <c r="BD826" s="68"/>
      <c r="BE826" s="68"/>
      <c r="BF826" s="68"/>
      <c r="BG826" s="68"/>
      <c r="BH826" s="68"/>
      <c r="BI826" s="68"/>
      <c r="BJ826" s="68"/>
      <c r="BK826" s="68"/>
      <c r="BL826" s="68"/>
      <c r="BM826" s="68"/>
      <c r="BN826" s="68"/>
      <c r="BO826" s="68"/>
      <c r="BP826" s="68"/>
      <c r="BQ826" s="68"/>
      <c r="BR826" s="68"/>
      <c r="BS826" s="68"/>
      <c r="BT826" s="68"/>
      <c r="BU826" s="68"/>
      <c r="BV826" s="68"/>
      <c r="BW826" s="68"/>
      <c r="BX826" s="68"/>
      <c r="BY826" s="68"/>
      <c r="BZ826" s="68"/>
      <c r="CA826" s="68"/>
      <c r="CB826" s="68"/>
      <c r="CC826" s="68"/>
      <c r="CD826" s="68"/>
      <c r="CE826" s="68"/>
      <c r="CF826" s="68"/>
      <c r="CG826" s="68"/>
      <c r="CH826" s="68"/>
      <c r="CI826" s="68"/>
      <c r="CJ826" s="68"/>
      <c r="CK826" s="68"/>
      <c r="CL826" s="68"/>
      <c r="CM826" s="68"/>
      <c r="CN826" s="68"/>
      <c r="CO826" s="68"/>
      <c r="CP826" s="68"/>
      <c r="CQ826" s="68"/>
      <c r="CR826" s="68"/>
      <c r="CS826" s="68"/>
      <c r="CT826" s="68"/>
      <c r="CU826" s="68"/>
      <c r="CV826" s="68"/>
      <c r="CW826" s="68"/>
      <c r="CX826" s="68"/>
    </row>
    <row r="827" spans="4:102" s="71" customFormat="1" hidden="1">
      <c r="D827" s="105"/>
      <c r="E827" s="100"/>
      <c r="F827" s="100"/>
      <c r="G827" s="111"/>
      <c r="H827" s="105"/>
      <c r="I827" s="111"/>
      <c r="J827" s="111"/>
      <c r="K827" s="112"/>
      <c r="L827" s="113"/>
      <c r="M827" s="114"/>
      <c r="N827" s="100"/>
      <c r="O827" s="114"/>
      <c r="P827" s="65"/>
      <c r="Q827" s="103"/>
      <c r="R827" s="103"/>
      <c r="S827" s="103"/>
      <c r="T827" s="103"/>
      <c r="U827" s="68"/>
      <c r="V827" s="69"/>
      <c r="W827" s="68"/>
      <c r="X827" s="68"/>
      <c r="Y827" s="68"/>
      <c r="Z827" s="68"/>
      <c r="AA827" s="68"/>
      <c r="AB827" s="68"/>
      <c r="AC827" s="68"/>
      <c r="AD827" s="68"/>
      <c r="AE827" s="68"/>
      <c r="AF827" s="68"/>
      <c r="AG827" s="68"/>
      <c r="AH827" s="68"/>
      <c r="AI827" s="68"/>
      <c r="AJ827" s="68"/>
      <c r="AK827" s="68"/>
      <c r="AL827" s="68"/>
      <c r="AM827" s="68"/>
      <c r="AN827" s="68"/>
      <c r="AO827" s="68"/>
      <c r="AP827" s="68"/>
      <c r="AQ827" s="68"/>
      <c r="AR827" s="68"/>
      <c r="AS827" s="68"/>
      <c r="AT827" s="68"/>
      <c r="AU827" s="68"/>
      <c r="AV827" s="68"/>
      <c r="AW827" s="68"/>
      <c r="AX827" s="68"/>
      <c r="AY827" s="68"/>
      <c r="AZ827" s="68"/>
      <c r="BA827" s="68"/>
      <c r="BB827" s="68"/>
      <c r="BC827" s="68"/>
      <c r="BD827" s="68"/>
      <c r="BE827" s="68"/>
      <c r="BF827" s="68"/>
      <c r="BG827" s="68"/>
      <c r="BH827" s="68"/>
      <c r="BI827" s="68"/>
      <c r="BJ827" s="68"/>
      <c r="BK827" s="68"/>
      <c r="BL827" s="68"/>
      <c r="BM827" s="68"/>
      <c r="BN827" s="68"/>
      <c r="BO827" s="68"/>
      <c r="BP827" s="68"/>
      <c r="BQ827" s="68"/>
      <c r="BR827" s="68"/>
      <c r="BS827" s="68"/>
      <c r="BT827" s="68"/>
      <c r="BU827" s="68"/>
      <c r="BV827" s="68"/>
      <c r="BW827" s="68"/>
      <c r="BX827" s="68"/>
      <c r="BY827" s="68"/>
      <c r="BZ827" s="68"/>
      <c r="CA827" s="68"/>
      <c r="CB827" s="68"/>
      <c r="CC827" s="68"/>
      <c r="CD827" s="68"/>
      <c r="CE827" s="68"/>
      <c r="CF827" s="68"/>
      <c r="CG827" s="68"/>
      <c r="CH827" s="68"/>
      <c r="CI827" s="68"/>
      <c r="CJ827" s="68"/>
      <c r="CK827" s="68"/>
      <c r="CL827" s="68"/>
      <c r="CM827" s="68"/>
      <c r="CN827" s="68"/>
      <c r="CO827" s="68"/>
      <c r="CP827" s="68"/>
      <c r="CQ827" s="68"/>
      <c r="CR827" s="68"/>
      <c r="CS827" s="68"/>
      <c r="CT827" s="68"/>
      <c r="CU827" s="68"/>
      <c r="CV827" s="68"/>
      <c r="CW827" s="68"/>
      <c r="CX827" s="68"/>
    </row>
    <row r="828" spans="4:102" s="71" customFormat="1" hidden="1">
      <c r="D828" s="105"/>
      <c r="E828" s="100"/>
      <c r="F828" s="100"/>
      <c r="G828" s="111"/>
      <c r="H828" s="105"/>
      <c r="I828" s="111"/>
      <c r="J828" s="111"/>
      <c r="K828" s="112"/>
      <c r="L828" s="113"/>
      <c r="M828" s="114"/>
      <c r="N828" s="100"/>
      <c r="O828" s="114"/>
      <c r="P828" s="65"/>
      <c r="Q828" s="103"/>
      <c r="R828" s="103"/>
      <c r="S828" s="103"/>
      <c r="T828" s="103"/>
      <c r="U828" s="68"/>
      <c r="V828" s="69"/>
      <c r="W828" s="68"/>
      <c r="X828" s="68"/>
      <c r="Y828" s="68"/>
      <c r="Z828" s="68"/>
      <c r="AA828" s="68"/>
      <c r="AB828" s="68"/>
      <c r="AC828" s="68"/>
      <c r="AD828" s="68"/>
      <c r="AE828" s="68"/>
      <c r="AF828" s="68"/>
      <c r="AG828" s="68"/>
      <c r="AH828" s="68"/>
      <c r="AI828" s="68"/>
      <c r="AJ828" s="68"/>
      <c r="AK828" s="68"/>
      <c r="AL828" s="68"/>
      <c r="AM828" s="68"/>
      <c r="AN828" s="68"/>
      <c r="AO828" s="68"/>
      <c r="AP828" s="68"/>
      <c r="AQ828" s="68"/>
      <c r="AR828" s="68"/>
      <c r="AS828" s="68"/>
      <c r="AT828" s="68"/>
      <c r="AU828" s="68"/>
      <c r="AV828" s="68"/>
      <c r="AW828" s="68"/>
      <c r="AX828" s="68"/>
      <c r="AY828" s="68"/>
      <c r="AZ828" s="68"/>
      <c r="BA828" s="68"/>
      <c r="BB828" s="68"/>
      <c r="BC828" s="68"/>
      <c r="BD828" s="68"/>
      <c r="BE828" s="68"/>
      <c r="BF828" s="68"/>
      <c r="BG828" s="68"/>
      <c r="BH828" s="68"/>
      <c r="BI828" s="68"/>
      <c r="BJ828" s="68"/>
      <c r="BK828" s="68"/>
      <c r="BL828" s="68"/>
      <c r="BM828" s="68"/>
      <c r="BN828" s="68"/>
      <c r="BO828" s="68"/>
      <c r="BP828" s="68"/>
      <c r="BQ828" s="68"/>
      <c r="BR828" s="68"/>
      <c r="BS828" s="68"/>
      <c r="BT828" s="68"/>
      <c r="BU828" s="68"/>
      <c r="BV828" s="68"/>
      <c r="BW828" s="68"/>
      <c r="BX828" s="68"/>
      <c r="BY828" s="68"/>
      <c r="BZ828" s="68"/>
      <c r="CA828" s="68"/>
      <c r="CB828" s="68"/>
      <c r="CC828" s="68"/>
      <c r="CD828" s="68"/>
      <c r="CE828" s="68"/>
      <c r="CF828" s="68"/>
      <c r="CG828" s="68"/>
      <c r="CH828" s="68"/>
      <c r="CI828" s="68"/>
      <c r="CJ828" s="68"/>
      <c r="CK828" s="68"/>
      <c r="CL828" s="68"/>
      <c r="CM828" s="68"/>
      <c r="CN828" s="68"/>
      <c r="CO828" s="68"/>
      <c r="CP828" s="68"/>
      <c r="CQ828" s="68"/>
      <c r="CR828" s="68"/>
      <c r="CS828" s="68"/>
      <c r="CT828" s="68"/>
      <c r="CU828" s="68"/>
      <c r="CV828" s="68"/>
      <c r="CW828" s="68"/>
      <c r="CX828" s="68"/>
    </row>
    <row r="829" spans="4:102" s="71" customFormat="1" hidden="1">
      <c r="D829" s="105"/>
      <c r="E829" s="100"/>
      <c r="F829" s="100"/>
      <c r="G829" s="111"/>
      <c r="H829" s="105"/>
      <c r="I829" s="111"/>
      <c r="J829" s="111"/>
      <c r="K829" s="112"/>
      <c r="L829" s="113"/>
      <c r="M829" s="114"/>
      <c r="N829" s="100"/>
      <c r="O829" s="114"/>
      <c r="P829" s="65"/>
      <c r="Q829" s="103"/>
      <c r="R829" s="103"/>
      <c r="S829" s="103"/>
      <c r="T829" s="103"/>
      <c r="U829" s="68"/>
      <c r="V829" s="69"/>
      <c r="W829" s="68"/>
      <c r="X829" s="68"/>
      <c r="Y829" s="68"/>
      <c r="Z829" s="68"/>
      <c r="AA829" s="68"/>
      <c r="AB829" s="68"/>
      <c r="AC829" s="68"/>
      <c r="AD829" s="68"/>
      <c r="AE829" s="68"/>
      <c r="AF829" s="68"/>
      <c r="AG829" s="68"/>
      <c r="AH829" s="68"/>
      <c r="AI829" s="68"/>
      <c r="AJ829" s="68"/>
      <c r="AK829" s="68"/>
      <c r="AL829" s="68"/>
      <c r="AM829" s="68"/>
      <c r="AN829" s="68"/>
      <c r="AO829" s="68"/>
      <c r="AP829" s="68"/>
      <c r="AQ829" s="68"/>
      <c r="AR829" s="68"/>
      <c r="AS829" s="68"/>
      <c r="AT829" s="68"/>
      <c r="AU829" s="68"/>
      <c r="AV829" s="68"/>
      <c r="AW829" s="68"/>
      <c r="AX829" s="68"/>
      <c r="AY829" s="68"/>
      <c r="AZ829" s="68"/>
      <c r="BA829" s="68"/>
      <c r="BB829" s="68"/>
      <c r="BC829" s="68"/>
      <c r="BD829" s="68"/>
      <c r="BE829" s="68"/>
      <c r="BF829" s="68"/>
      <c r="BG829" s="68"/>
      <c r="BH829" s="68"/>
      <c r="BI829" s="68"/>
      <c r="BJ829" s="68"/>
      <c r="BK829" s="68"/>
      <c r="BL829" s="68"/>
      <c r="BM829" s="68"/>
      <c r="BN829" s="68"/>
      <c r="BO829" s="68"/>
      <c r="BP829" s="68"/>
      <c r="BQ829" s="68"/>
      <c r="BR829" s="68"/>
      <c r="BS829" s="68"/>
      <c r="BT829" s="68"/>
      <c r="BU829" s="68"/>
      <c r="BV829" s="68"/>
      <c r="BW829" s="68"/>
      <c r="BX829" s="68"/>
      <c r="BY829" s="68"/>
      <c r="BZ829" s="68"/>
      <c r="CA829" s="68"/>
      <c r="CB829" s="68"/>
      <c r="CC829" s="68"/>
      <c r="CD829" s="68"/>
      <c r="CE829" s="68"/>
      <c r="CF829" s="68"/>
      <c r="CG829" s="68"/>
      <c r="CH829" s="68"/>
      <c r="CI829" s="68"/>
      <c r="CJ829" s="68"/>
      <c r="CK829" s="68"/>
      <c r="CL829" s="68"/>
      <c r="CM829" s="68"/>
      <c r="CN829" s="68"/>
      <c r="CO829" s="68"/>
      <c r="CP829" s="68"/>
      <c r="CQ829" s="68"/>
      <c r="CR829" s="68"/>
      <c r="CS829" s="68"/>
      <c r="CT829" s="68"/>
      <c r="CU829" s="68"/>
      <c r="CV829" s="68"/>
      <c r="CW829" s="68"/>
      <c r="CX829" s="68"/>
    </row>
    <row r="830" spans="4:102" s="71" customFormat="1" hidden="1">
      <c r="D830" s="105"/>
      <c r="E830" s="100"/>
      <c r="F830" s="100"/>
      <c r="G830" s="111"/>
      <c r="H830" s="105"/>
      <c r="I830" s="111"/>
      <c r="J830" s="111"/>
      <c r="K830" s="112"/>
      <c r="L830" s="113"/>
      <c r="M830" s="114"/>
      <c r="N830" s="100"/>
      <c r="O830" s="114"/>
      <c r="P830" s="65"/>
      <c r="Q830" s="103"/>
      <c r="R830" s="103"/>
      <c r="S830" s="103"/>
      <c r="T830" s="103"/>
      <c r="U830" s="68"/>
      <c r="V830" s="69"/>
      <c r="W830" s="68"/>
      <c r="X830" s="68"/>
      <c r="Y830" s="68"/>
      <c r="Z830" s="68"/>
      <c r="AA830" s="68"/>
      <c r="AB830" s="68"/>
      <c r="AC830" s="68"/>
      <c r="AD830" s="68"/>
      <c r="AE830" s="68"/>
      <c r="AF830" s="68"/>
      <c r="AG830" s="68"/>
      <c r="AH830" s="68"/>
      <c r="AI830" s="68"/>
      <c r="AJ830" s="68"/>
      <c r="AK830" s="68"/>
      <c r="AL830" s="68"/>
      <c r="AM830" s="68"/>
      <c r="AN830" s="68"/>
      <c r="AO830" s="68"/>
      <c r="AP830" s="68"/>
      <c r="AQ830" s="68"/>
      <c r="AR830" s="68"/>
      <c r="AS830" s="68"/>
      <c r="AT830" s="68"/>
      <c r="AU830" s="68"/>
      <c r="AV830" s="68"/>
      <c r="AW830" s="68"/>
      <c r="AX830" s="68"/>
      <c r="AY830" s="68"/>
      <c r="AZ830" s="68"/>
      <c r="BA830" s="68"/>
      <c r="BB830" s="68"/>
      <c r="BC830" s="68"/>
      <c r="BD830" s="68"/>
      <c r="BE830" s="68"/>
      <c r="BF830" s="68"/>
      <c r="BG830" s="68"/>
      <c r="BH830" s="68"/>
      <c r="BI830" s="68"/>
      <c r="BJ830" s="68"/>
      <c r="BK830" s="68"/>
      <c r="BL830" s="68"/>
      <c r="BM830" s="68"/>
      <c r="BN830" s="68"/>
      <c r="BO830" s="68"/>
      <c r="BP830" s="68"/>
      <c r="BQ830" s="68"/>
      <c r="BR830" s="68"/>
      <c r="BS830" s="68"/>
      <c r="BT830" s="68"/>
      <c r="BU830" s="68"/>
      <c r="BV830" s="68"/>
      <c r="BW830" s="68"/>
      <c r="BX830" s="68"/>
      <c r="BY830" s="68"/>
      <c r="BZ830" s="68"/>
      <c r="CA830" s="68"/>
      <c r="CB830" s="68"/>
      <c r="CC830" s="68"/>
      <c r="CD830" s="68"/>
      <c r="CE830" s="68"/>
      <c r="CF830" s="68"/>
      <c r="CG830" s="68"/>
      <c r="CH830" s="68"/>
      <c r="CI830" s="68"/>
      <c r="CJ830" s="68"/>
      <c r="CK830" s="68"/>
      <c r="CL830" s="68"/>
      <c r="CM830" s="68"/>
      <c r="CN830" s="68"/>
      <c r="CO830" s="68"/>
      <c r="CP830" s="68"/>
      <c r="CQ830" s="68"/>
      <c r="CR830" s="68"/>
      <c r="CS830" s="68"/>
      <c r="CT830" s="68"/>
      <c r="CU830" s="68"/>
      <c r="CV830" s="68"/>
      <c r="CW830" s="68"/>
      <c r="CX830" s="68"/>
    </row>
    <row r="831" spans="4:102" s="71" customFormat="1" hidden="1">
      <c r="D831" s="105"/>
      <c r="E831" s="100"/>
      <c r="F831" s="100"/>
      <c r="G831" s="111"/>
      <c r="H831" s="105"/>
      <c r="I831" s="111"/>
      <c r="J831" s="111"/>
      <c r="K831" s="112"/>
      <c r="L831" s="113"/>
      <c r="M831" s="114"/>
      <c r="N831" s="100"/>
      <c r="O831" s="114"/>
      <c r="P831" s="65"/>
      <c r="Q831" s="103"/>
      <c r="R831" s="103"/>
      <c r="S831" s="103"/>
      <c r="T831" s="103"/>
      <c r="U831" s="68"/>
      <c r="V831" s="69"/>
      <c r="W831" s="68"/>
      <c r="X831" s="68"/>
      <c r="Y831" s="68"/>
      <c r="Z831" s="68"/>
      <c r="AA831" s="68"/>
      <c r="AB831" s="68"/>
      <c r="AC831" s="68"/>
      <c r="AD831" s="68"/>
      <c r="AE831" s="68"/>
      <c r="AF831" s="68"/>
      <c r="AG831" s="68"/>
      <c r="AH831" s="68"/>
      <c r="AI831" s="68"/>
      <c r="AJ831" s="68"/>
      <c r="AK831" s="68"/>
      <c r="AL831" s="68"/>
      <c r="AM831" s="68"/>
      <c r="AN831" s="68"/>
      <c r="AO831" s="68"/>
      <c r="AP831" s="68"/>
      <c r="AQ831" s="68"/>
      <c r="AR831" s="68"/>
      <c r="AS831" s="68"/>
      <c r="AT831" s="68"/>
      <c r="AU831" s="68"/>
      <c r="AV831" s="68"/>
      <c r="AW831" s="68"/>
      <c r="AX831" s="68"/>
      <c r="AY831" s="68"/>
      <c r="AZ831" s="68"/>
      <c r="BA831" s="68"/>
      <c r="BB831" s="68"/>
      <c r="BC831" s="68"/>
      <c r="BD831" s="68"/>
      <c r="BE831" s="68"/>
      <c r="BF831" s="68"/>
      <c r="BG831" s="68"/>
      <c r="BH831" s="68"/>
      <c r="BI831" s="68"/>
      <c r="BJ831" s="68"/>
      <c r="BK831" s="68"/>
      <c r="BL831" s="68"/>
      <c r="BM831" s="68"/>
      <c r="BN831" s="68"/>
      <c r="BO831" s="68"/>
      <c r="BP831" s="68"/>
      <c r="BQ831" s="68"/>
      <c r="BR831" s="68"/>
      <c r="BS831" s="68"/>
      <c r="BT831" s="68"/>
      <c r="BU831" s="68"/>
      <c r="BV831" s="68"/>
      <c r="BW831" s="68"/>
      <c r="BX831" s="68"/>
      <c r="BY831" s="68"/>
      <c r="BZ831" s="68"/>
      <c r="CA831" s="68"/>
      <c r="CB831" s="68"/>
      <c r="CC831" s="68"/>
      <c r="CD831" s="68"/>
      <c r="CE831" s="68"/>
      <c r="CF831" s="68"/>
      <c r="CG831" s="68"/>
      <c r="CH831" s="68"/>
      <c r="CI831" s="68"/>
      <c r="CJ831" s="68"/>
      <c r="CK831" s="68"/>
      <c r="CL831" s="68"/>
      <c r="CM831" s="68"/>
      <c r="CN831" s="68"/>
      <c r="CO831" s="68"/>
      <c r="CP831" s="68"/>
      <c r="CQ831" s="68"/>
      <c r="CR831" s="68"/>
      <c r="CS831" s="68"/>
      <c r="CT831" s="68"/>
      <c r="CU831" s="68"/>
      <c r="CV831" s="68"/>
      <c r="CW831" s="68"/>
      <c r="CX831" s="68"/>
    </row>
    <row r="832" spans="4:102" s="71" customFormat="1" hidden="1">
      <c r="D832" s="105"/>
      <c r="E832" s="100"/>
      <c r="F832" s="100"/>
      <c r="G832" s="111"/>
      <c r="H832" s="105"/>
      <c r="I832" s="111"/>
      <c r="J832" s="111"/>
      <c r="K832" s="112"/>
      <c r="L832" s="113"/>
      <c r="M832" s="114"/>
      <c r="N832" s="100"/>
      <c r="O832" s="114"/>
      <c r="P832" s="65"/>
      <c r="Q832" s="103"/>
      <c r="R832" s="103"/>
      <c r="S832" s="103"/>
      <c r="T832" s="103"/>
      <c r="U832" s="68"/>
      <c r="V832" s="69"/>
      <c r="W832" s="68"/>
      <c r="X832" s="68"/>
      <c r="Y832" s="68"/>
      <c r="Z832" s="68"/>
      <c r="AA832" s="68"/>
      <c r="AB832" s="68"/>
      <c r="AC832" s="68"/>
      <c r="AD832" s="68"/>
      <c r="AE832" s="68"/>
      <c r="AF832" s="68"/>
      <c r="AG832" s="68"/>
      <c r="AH832" s="68"/>
      <c r="AI832" s="68"/>
      <c r="AJ832" s="68"/>
      <c r="AK832" s="68"/>
      <c r="AL832" s="68"/>
      <c r="AM832" s="68"/>
      <c r="AN832" s="68"/>
      <c r="AO832" s="68"/>
      <c r="AP832" s="68"/>
      <c r="AQ832" s="68"/>
      <c r="AR832" s="68"/>
      <c r="AS832" s="68"/>
      <c r="AT832" s="68"/>
      <c r="AU832" s="68"/>
      <c r="AV832" s="68"/>
      <c r="AW832" s="68"/>
      <c r="AX832" s="68"/>
      <c r="AY832" s="68"/>
      <c r="AZ832" s="68"/>
      <c r="BA832" s="68"/>
      <c r="BB832" s="68"/>
      <c r="BC832" s="68"/>
      <c r="BD832" s="68"/>
      <c r="BE832" s="68"/>
      <c r="BF832" s="68"/>
      <c r="BG832" s="68"/>
      <c r="BH832" s="68"/>
      <c r="BI832" s="68"/>
      <c r="BJ832" s="68"/>
      <c r="BK832" s="68"/>
      <c r="BL832" s="68"/>
      <c r="BM832" s="68"/>
      <c r="BN832" s="68"/>
      <c r="BO832" s="68"/>
      <c r="BP832" s="68"/>
      <c r="BQ832" s="68"/>
      <c r="BR832" s="68"/>
      <c r="BS832" s="68"/>
      <c r="BT832" s="68"/>
      <c r="BU832" s="68"/>
      <c r="BV832" s="68"/>
      <c r="BW832" s="68"/>
      <c r="BX832" s="68"/>
      <c r="BY832" s="68"/>
      <c r="BZ832" s="68"/>
      <c r="CA832" s="68"/>
      <c r="CB832" s="68"/>
      <c r="CC832" s="68"/>
      <c r="CD832" s="68"/>
      <c r="CE832" s="68"/>
      <c r="CF832" s="68"/>
      <c r="CG832" s="68"/>
      <c r="CH832" s="68"/>
      <c r="CI832" s="68"/>
      <c r="CJ832" s="68"/>
      <c r="CK832" s="68"/>
      <c r="CL832" s="68"/>
      <c r="CM832" s="68"/>
      <c r="CN832" s="68"/>
      <c r="CO832" s="68"/>
      <c r="CP832" s="68"/>
      <c r="CQ832" s="68"/>
      <c r="CR832" s="68"/>
      <c r="CS832" s="68"/>
      <c r="CT832" s="68"/>
      <c r="CU832" s="68"/>
      <c r="CV832" s="68"/>
      <c r="CW832" s="68"/>
      <c r="CX832" s="68"/>
    </row>
    <row r="833" spans="4:102" s="71" customFormat="1" hidden="1">
      <c r="D833" s="105"/>
      <c r="E833" s="100"/>
      <c r="F833" s="100"/>
      <c r="G833" s="111"/>
      <c r="H833" s="105"/>
      <c r="I833" s="111"/>
      <c r="J833" s="111"/>
      <c r="K833" s="112"/>
      <c r="L833" s="113"/>
      <c r="M833" s="114"/>
      <c r="N833" s="100"/>
      <c r="O833" s="114"/>
      <c r="P833" s="65"/>
      <c r="Q833" s="103"/>
      <c r="R833" s="103"/>
      <c r="S833" s="103"/>
      <c r="T833" s="103"/>
      <c r="U833" s="68"/>
      <c r="V833" s="69"/>
      <c r="W833" s="68"/>
      <c r="X833" s="68"/>
      <c r="Y833" s="68"/>
      <c r="Z833" s="68"/>
      <c r="AA833" s="68"/>
      <c r="AB833" s="68"/>
      <c r="AC833" s="68"/>
      <c r="AD833" s="68"/>
      <c r="AE833" s="68"/>
      <c r="AF833" s="68"/>
      <c r="AG833" s="68"/>
      <c r="AH833" s="68"/>
      <c r="AI833" s="68"/>
      <c r="AJ833" s="68"/>
      <c r="AK833" s="68"/>
      <c r="AL833" s="68"/>
      <c r="AM833" s="68"/>
      <c r="AN833" s="68"/>
      <c r="AO833" s="68"/>
      <c r="AP833" s="68"/>
      <c r="AQ833" s="68"/>
      <c r="AR833" s="68"/>
      <c r="AS833" s="68"/>
      <c r="AT833" s="68"/>
      <c r="AU833" s="68"/>
      <c r="AV833" s="68"/>
      <c r="AW833" s="68"/>
      <c r="AX833" s="68"/>
      <c r="AY833" s="68"/>
      <c r="AZ833" s="68"/>
      <c r="BA833" s="68"/>
      <c r="BB833" s="68"/>
      <c r="BC833" s="68"/>
      <c r="BD833" s="68"/>
      <c r="BE833" s="68"/>
      <c r="BF833" s="68"/>
      <c r="BG833" s="68"/>
      <c r="BH833" s="68"/>
      <c r="BI833" s="68"/>
      <c r="BJ833" s="68"/>
      <c r="BK833" s="68"/>
      <c r="BL833" s="68"/>
      <c r="BM833" s="68"/>
      <c r="BN833" s="68"/>
      <c r="BO833" s="68"/>
      <c r="BP833" s="68"/>
      <c r="BQ833" s="68"/>
      <c r="BR833" s="68"/>
      <c r="BS833" s="68"/>
      <c r="BT833" s="68"/>
      <c r="BU833" s="68"/>
      <c r="BV833" s="68"/>
      <c r="BW833" s="68"/>
      <c r="BX833" s="68"/>
      <c r="BY833" s="68"/>
      <c r="BZ833" s="68"/>
      <c r="CA833" s="68"/>
      <c r="CB833" s="68"/>
      <c r="CC833" s="68"/>
      <c r="CD833" s="68"/>
      <c r="CE833" s="68"/>
      <c r="CF833" s="68"/>
      <c r="CG833" s="68"/>
      <c r="CH833" s="68"/>
      <c r="CI833" s="68"/>
      <c r="CJ833" s="68"/>
      <c r="CK833" s="68"/>
      <c r="CL833" s="68"/>
      <c r="CM833" s="68"/>
      <c r="CN833" s="68"/>
      <c r="CO833" s="68"/>
      <c r="CP833" s="68"/>
      <c r="CQ833" s="68"/>
      <c r="CR833" s="68"/>
      <c r="CS833" s="68"/>
      <c r="CT833" s="68"/>
      <c r="CU833" s="68"/>
      <c r="CV833" s="68"/>
      <c r="CW833" s="68"/>
      <c r="CX833" s="68"/>
    </row>
    <row r="834" spans="4:102" s="71" customFormat="1" hidden="1">
      <c r="D834" s="105"/>
      <c r="E834" s="100"/>
      <c r="F834" s="100"/>
      <c r="G834" s="111"/>
      <c r="H834" s="105"/>
      <c r="I834" s="111"/>
      <c r="J834" s="111"/>
      <c r="K834" s="112"/>
      <c r="L834" s="113"/>
      <c r="M834" s="114"/>
      <c r="N834" s="100"/>
      <c r="O834" s="114"/>
      <c r="P834" s="65"/>
      <c r="Q834" s="103"/>
      <c r="R834" s="103"/>
      <c r="S834" s="103"/>
      <c r="T834" s="103"/>
      <c r="U834" s="68"/>
      <c r="V834" s="69"/>
      <c r="W834" s="68"/>
      <c r="X834" s="68"/>
      <c r="Y834" s="68"/>
      <c r="Z834" s="68"/>
      <c r="AA834" s="68"/>
      <c r="AB834" s="68"/>
      <c r="AC834" s="68"/>
      <c r="AD834" s="68"/>
      <c r="AE834" s="68"/>
      <c r="AF834" s="68"/>
      <c r="AG834" s="68"/>
      <c r="AH834" s="68"/>
      <c r="AI834" s="68"/>
      <c r="AJ834" s="68"/>
      <c r="AK834" s="68"/>
      <c r="AL834" s="68"/>
      <c r="AM834" s="68"/>
      <c r="AN834" s="68"/>
      <c r="AO834" s="68"/>
      <c r="AP834" s="68"/>
      <c r="AQ834" s="68"/>
      <c r="AR834" s="68"/>
      <c r="AS834" s="68"/>
      <c r="AT834" s="68"/>
      <c r="AU834" s="68"/>
      <c r="AV834" s="68"/>
      <c r="AW834" s="68"/>
      <c r="AX834" s="68"/>
      <c r="AY834" s="68"/>
      <c r="AZ834" s="68"/>
      <c r="BA834" s="68"/>
      <c r="BB834" s="68"/>
      <c r="BC834" s="68"/>
      <c r="BD834" s="68"/>
      <c r="BE834" s="68"/>
      <c r="BF834" s="68"/>
      <c r="BG834" s="68"/>
      <c r="BH834" s="68"/>
      <c r="BI834" s="68"/>
      <c r="BJ834" s="68"/>
      <c r="BK834" s="68"/>
      <c r="BL834" s="68"/>
      <c r="BM834" s="68"/>
      <c r="BN834" s="68"/>
      <c r="BO834" s="68"/>
      <c r="BP834" s="68"/>
      <c r="BQ834" s="68"/>
      <c r="BR834" s="68"/>
      <c r="BS834" s="68"/>
      <c r="BT834" s="68"/>
      <c r="BU834" s="68"/>
      <c r="BV834" s="68"/>
      <c r="BW834" s="68"/>
      <c r="BX834" s="68"/>
      <c r="BY834" s="68"/>
      <c r="BZ834" s="68"/>
      <c r="CA834" s="68"/>
      <c r="CB834" s="68"/>
      <c r="CC834" s="68"/>
      <c r="CD834" s="68"/>
      <c r="CE834" s="68"/>
      <c r="CF834" s="68"/>
      <c r="CG834" s="68"/>
      <c r="CH834" s="68"/>
      <c r="CI834" s="68"/>
      <c r="CJ834" s="68"/>
      <c r="CK834" s="68"/>
      <c r="CL834" s="68"/>
      <c r="CM834" s="68"/>
      <c r="CN834" s="68"/>
      <c r="CO834" s="68"/>
      <c r="CP834" s="68"/>
      <c r="CQ834" s="68"/>
      <c r="CR834" s="68"/>
      <c r="CS834" s="68"/>
      <c r="CT834" s="68"/>
      <c r="CU834" s="68"/>
      <c r="CV834" s="68"/>
      <c r="CW834" s="68"/>
      <c r="CX834" s="68"/>
    </row>
    <row r="835" spans="4:102" s="71" customFormat="1" hidden="1">
      <c r="D835" s="105"/>
      <c r="E835" s="100"/>
      <c r="F835" s="100"/>
      <c r="G835" s="111"/>
      <c r="H835" s="105"/>
      <c r="I835" s="111"/>
      <c r="J835" s="111"/>
      <c r="K835" s="112"/>
      <c r="L835" s="113"/>
      <c r="M835" s="114"/>
      <c r="N835" s="100"/>
      <c r="O835" s="114"/>
      <c r="P835" s="65"/>
      <c r="Q835" s="103"/>
      <c r="R835" s="103"/>
      <c r="S835" s="103"/>
      <c r="T835" s="103"/>
      <c r="U835" s="68"/>
      <c r="V835" s="69"/>
      <c r="W835" s="68"/>
      <c r="X835" s="68"/>
      <c r="Y835" s="68"/>
      <c r="Z835" s="68"/>
      <c r="AA835" s="68"/>
      <c r="AB835" s="68"/>
      <c r="AC835" s="68"/>
      <c r="AD835" s="68"/>
      <c r="AE835" s="68"/>
      <c r="AF835" s="68"/>
      <c r="AG835" s="68"/>
      <c r="AH835" s="68"/>
      <c r="AI835" s="68"/>
      <c r="AJ835" s="68"/>
      <c r="AK835" s="68"/>
      <c r="AL835" s="68"/>
      <c r="AM835" s="68"/>
      <c r="AN835" s="68"/>
      <c r="AO835" s="68"/>
      <c r="AP835" s="68"/>
      <c r="AQ835" s="68"/>
      <c r="AR835" s="68"/>
      <c r="AS835" s="68"/>
      <c r="AT835" s="68"/>
      <c r="AU835" s="68"/>
      <c r="AV835" s="68"/>
      <c r="AW835" s="68"/>
      <c r="AX835" s="68"/>
      <c r="AY835" s="68"/>
      <c r="AZ835" s="68"/>
      <c r="BA835" s="68"/>
      <c r="BB835" s="68"/>
      <c r="BC835" s="68"/>
      <c r="BD835" s="68"/>
      <c r="BE835" s="68"/>
      <c r="BF835" s="68"/>
      <c r="BG835" s="68"/>
      <c r="BH835" s="68"/>
      <c r="BI835" s="68"/>
      <c r="BJ835" s="68"/>
      <c r="BK835" s="68"/>
      <c r="BL835" s="68"/>
      <c r="BM835" s="68"/>
      <c r="BN835" s="68"/>
      <c r="BO835" s="68"/>
      <c r="BP835" s="68"/>
      <c r="BQ835" s="68"/>
      <c r="BR835" s="68"/>
      <c r="BS835" s="68"/>
      <c r="BT835" s="68"/>
      <c r="BU835" s="68"/>
      <c r="BV835" s="68"/>
      <c r="BW835" s="68"/>
      <c r="BX835" s="68"/>
      <c r="BY835" s="68"/>
      <c r="BZ835" s="68"/>
      <c r="CA835" s="68"/>
      <c r="CB835" s="68"/>
      <c r="CC835" s="68"/>
      <c r="CD835" s="68"/>
      <c r="CE835" s="68"/>
      <c r="CF835" s="68"/>
      <c r="CG835" s="68"/>
      <c r="CH835" s="68"/>
      <c r="CI835" s="68"/>
      <c r="CJ835" s="68"/>
      <c r="CK835" s="68"/>
      <c r="CL835" s="68"/>
      <c r="CM835" s="68"/>
      <c r="CN835" s="68"/>
      <c r="CO835" s="68"/>
      <c r="CP835" s="68"/>
      <c r="CQ835" s="68"/>
      <c r="CR835" s="68"/>
      <c r="CS835" s="68"/>
      <c r="CT835" s="68"/>
      <c r="CU835" s="68"/>
      <c r="CV835" s="68"/>
      <c r="CW835" s="68"/>
      <c r="CX835" s="68"/>
    </row>
    <row r="836" spans="4:102" s="71" customFormat="1" hidden="1">
      <c r="D836" s="105"/>
      <c r="E836" s="100"/>
      <c r="F836" s="100"/>
      <c r="G836" s="111"/>
      <c r="H836" s="105"/>
      <c r="I836" s="111"/>
      <c r="J836" s="111"/>
      <c r="K836" s="112"/>
      <c r="L836" s="113"/>
      <c r="M836" s="114"/>
      <c r="N836" s="100"/>
      <c r="O836" s="114"/>
      <c r="P836" s="65"/>
      <c r="Q836" s="103"/>
      <c r="R836" s="103"/>
      <c r="S836" s="103"/>
      <c r="T836" s="103"/>
      <c r="U836" s="68"/>
      <c r="V836" s="69"/>
      <c r="W836" s="68"/>
      <c r="X836" s="68"/>
      <c r="Y836" s="68"/>
      <c r="Z836" s="68"/>
      <c r="AA836" s="68"/>
      <c r="AB836" s="68"/>
      <c r="AC836" s="68"/>
      <c r="AD836" s="68"/>
      <c r="AE836" s="68"/>
      <c r="AF836" s="68"/>
      <c r="AG836" s="68"/>
      <c r="AH836" s="68"/>
      <c r="AI836" s="68"/>
      <c r="AJ836" s="68"/>
      <c r="AK836" s="68"/>
      <c r="AL836" s="68"/>
      <c r="AM836" s="68"/>
      <c r="AN836" s="68"/>
      <c r="AO836" s="68"/>
      <c r="AP836" s="68"/>
      <c r="AQ836" s="68"/>
      <c r="AR836" s="68"/>
      <c r="AS836" s="68"/>
      <c r="AT836" s="68"/>
      <c r="AU836" s="68"/>
      <c r="AV836" s="68"/>
      <c r="AW836" s="68"/>
      <c r="AX836" s="68"/>
      <c r="AY836" s="68"/>
      <c r="AZ836" s="68"/>
      <c r="BA836" s="68"/>
      <c r="BB836" s="68"/>
      <c r="BC836" s="68"/>
      <c r="BD836" s="68"/>
      <c r="BE836" s="68"/>
      <c r="BF836" s="68"/>
      <c r="BG836" s="68"/>
      <c r="BH836" s="68"/>
      <c r="BI836" s="68"/>
      <c r="BJ836" s="68"/>
      <c r="BK836" s="68"/>
      <c r="BL836" s="68"/>
      <c r="BM836" s="68"/>
      <c r="BN836" s="68"/>
      <c r="BO836" s="68"/>
      <c r="BP836" s="68"/>
      <c r="BQ836" s="68"/>
      <c r="BR836" s="68"/>
      <c r="BS836" s="68"/>
      <c r="BT836" s="68"/>
      <c r="BU836" s="68"/>
      <c r="BV836" s="68"/>
      <c r="BW836" s="68"/>
      <c r="BX836" s="68"/>
      <c r="BY836" s="68"/>
      <c r="BZ836" s="68"/>
      <c r="CA836" s="68"/>
      <c r="CB836" s="68"/>
      <c r="CC836" s="68"/>
      <c r="CD836" s="68"/>
      <c r="CE836" s="68"/>
      <c r="CF836" s="68"/>
      <c r="CG836" s="68"/>
      <c r="CH836" s="68"/>
      <c r="CI836" s="68"/>
      <c r="CJ836" s="68"/>
      <c r="CK836" s="68"/>
      <c r="CL836" s="68"/>
      <c r="CM836" s="68"/>
      <c r="CN836" s="68"/>
      <c r="CO836" s="68"/>
      <c r="CP836" s="68"/>
      <c r="CQ836" s="68"/>
      <c r="CR836" s="68"/>
      <c r="CS836" s="68"/>
      <c r="CT836" s="68"/>
      <c r="CU836" s="68"/>
      <c r="CV836" s="68"/>
      <c r="CW836" s="68"/>
      <c r="CX836" s="68"/>
    </row>
    <row r="837" spans="4:102" s="71" customFormat="1" hidden="1">
      <c r="D837" s="105"/>
      <c r="E837" s="100"/>
      <c r="F837" s="100"/>
      <c r="G837" s="111"/>
      <c r="H837" s="105"/>
      <c r="I837" s="111"/>
      <c r="J837" s="111"/>
      <c r="K837" s="112"/>
      <c r="L837" s="113"/>
      <c r="M837" s="114"/>
      <c r="N837" s="100"/>
      <c r="O837" s="114"/>
      <c r="P837" s="65"/>
      <c r="Q837" s="103"/>
      <c r="R837" s="103"/>
      <c r="S837" s="103"/>
      <c r="T837" s="103"/>
      <c r="U837" s="68"/>
      <c r="V837" s="69"/>
      <c r="W837" s="68"/>
      <c r="X837" s="68"/>
      <c r="Y837" s="68"/>
      <c r="Z837" s="68"/>
      <c r="AA837" s="68"/>
      <c r="AB837" s="68"/>
      <c r="AC837" s="68"/>
      <c r="AD837" s="68"/>
      <c r="AE837" s="68"/>
      <c r="AF837" s="68"/>
      <c r="AG837" s="68"/>
      <c r="AH837" s="68"/>
      <c r="AI837" s="68"/>
      <c r="AJ837" s="68"/>
      <c r="AK837" s="68"/>
      <c r="AL837" s="68"/>
      <c r="AM837" s="68"/>
      <c r="AN837" s="68"/>
      <c r="AO837" s="68"/>
      <c r="AP837" s="68"/>
      <c r="AQ837" s="68"/>
      <c r="AR837" s="68"/>
      <c r="AS837" s="68"/>
      <c r="AT837" s="68"/>
      <c r="AU837" s="68"/>
      <c r="AV837" s="68"/>
      <c r="AW837" s="68"/>
      <c r="AX837" s="68"/>
      <c r="AY837" s="68"/>
      <c r="AZ837" s="68"/>
      <c r="BA837" s="68"/>
      <c r="BB837" s="68"/>
      <c r="BC837" s="68"/>
      <c r="BD837" s="68"/>
      <c r="BE837" s="68"/>
      <c r="BF837" s="68"/>
      <c r="BG837" s="68"/>
      <c r="BH837" s="68"/>
      <c r="BI837" s="68"/>
      <c r="BJ837" s="68"/>
      <c r="BK837" s="68"/>
      <c r="BL837" s="68"/>
      <c r="BM837" s="68"/>
      <c r="BN837" s="68"/>
      <c r="BO837" s="68"/>
      <c r="BP837" s="68"/>
      <c r="BQ837" s="68"/>
      <c r="BR837" s="68"/>
      <c r="BS837" s="68"/>
      <c r="BT837" s="68"/>
      <c r="BU837" s="68"/>
      <c r="BV837" s="68"/>
      <c r="BW837" s="68"/>
      <c r="BX837" s="68"/>
      <c r="BY837" s="68"/>
      <c r="BZ837" s="68"/>
      <c r="CA837" s="68"/>
      <c r="CB837" s="68"/>
      <c r="CC837" s="68"/>
      <c r="CD837" s="68"/>
      <c r="CE837" s="68"/>
      <c r="CF837" s="68"/>
      <c r="CG837" s="68"/>
      <c r="CH837" s="68"/>
      <c r="CI837" s="68"/>
      <c r="CJ837" s="68"/>
      <c r="CK837" s="68"/>
      <c r="CL837" s="68"/>
      <c r="CM837" s="68"/>
      <c r="CN837" s="68"/>
      <c r="CO837" s="68"/>
      <c r="CP837" s="68"/>
      <c r="CQ837" s="68"/>
      <c r="CR837" s="68"/>
      <c r="CS837" s="68"/>
      <c r="CT837" s="68"/>
      <c r="CU837" s="68"/>
      <c r="CV837" s="68"/>
      <c r="CW837" s="68"/>
      <c r="CX837" s="68"/>
    </row>
    <row r="838" spans="4:102" s="71" customFormat="1" hidden="1">
      <c r="D838" s="105"/>
      <c r="E838" s="100"/>
      <c r="F838" s="100"/>
      <c r="G838" s="111"/>
      <c r="H838" s="105"/>
      <c r="I838" s="111"/>
      <c r="J838" s="111"/>
      <c r="K838" s="112"/>
      <c r="L838" s="113"/>
      <c r="M838" s="114"/>
      <c r="N838" s="100"/>
      <c r="O838" s="114"/>
      <c r="P838" s="65"/>
      <c r="Q838" s="103"/>
      <c r="R838" s="103"/>
      <c r="S838" s="103"/>
      <c r="T838" s="103"/>
      <c r="U838" s="68"/>
      <c r="V838" s="69"/>
      <c r="W838" s="68"/>
      <c r="X838" s="68"/>
      <c r="Y838" s="68"/>
      <c r="Z838" s="68"/>
      <c r="AA838" s="68"/>
      <c r="AB838" s="68"/>
      <c r="AC838" s="68"/>
      <c r="AD838" s="68"/>
      <c r="AE838" s="68"/>
      <c r="AF838" s="68"/>
      <c r="AG838" s="68"/>
      <c r="AH838" s="68"/>
      <c r="AI838" s="68"/>
      <c r="AJ838" s="68"/>
      <c r="AK838" s="68"/>
      <c r="AL838" s="68"/>
      <c r="AM838" s="68"/>
      <c r="AN838" s="68"/>
      <c r="AO838" s="68"/>
      <c r="AP838" s="68"/>
      <c r="AQ838" s="68"/>
      <c r="AR838" s="68"/>
      <c r="AS838" s="68"/>
      <c r="AT838" s="68"/>
      <c r="AU838" s="68"/>
      <c r="AV838" s="68"/>
      <c r="AW838" s="68"/>
      <c r="AX838" s="68"/>
      <c r="AY838" s="68"/>
      <c r="AZ838" s="68"/>
      <c r="BA838" s="68"/>
      <c r="BB838" s="68"/>
      <c r="BC838" s="68"/>
      <c r="BD838" s="68"/>
      <c r="BE838" s="68"/>
      <c r="BF838" s="68"/>
      <c r="BG838" s="68"/>
      <c r="BH838" s="68"/>
      <c r="BI838" s="68"/>
      <c r="BJ838" s="68"/>
      <c r="BK838" s="68"/>
      <c r="BL838" s="68"/>
      <c r="BM838" s="68"/>
      <c r="BN838" s="68"/>
      <c r="BO838" s="68"/>
      <c r="BP838" s="68"/>
      <c r="BQ838" s="68"/>
      <c r="BR838" s="68"/>
      <c r="BS838" s="68"/>
      <c r="BT838" s="68"/>
      <c r="BU838" s="68"/>
      <c r="BV838" s="68"/>
      <c r="BW838" s="68"/>
      <c r="BX838" s="68"/>
      <c r="BY838" s="68"/>
      <c r="BZ838" s="68"/>
      <c r="CA838" s="68"/>
      <c r="CB838" s="68"/>
      <c r="CC838" s="68"/>
      <c r="CD838" s="68"/>
      <c r="CE838" s="68"/>
      <c r="CF838" s="68"/>
      <c r="CG838" s="68"/>
      <c r="CH838" s="68"/>
      <c r="CI838" s="68"/>
      <c r="CJ838" s="68"/>
      <c r="CK838" s="68"/>
      <c r="CL838" s="68"/>
      <c r="CM838" s="68"/>
      <c r="CN838" s="68"/>
      <c r="CO838" s="68"/>
      <c r="CP838" s="68"/>
      <c r="CQ838" s="68"/>
      <c r="CR838" s="68"/>
      <c r="CS838" s="68"/>
      <c r="CT838" s="68"/>
      <c r="CU838" s="68"/>
      <c r="CV838" s="68"/>
      <c r="CW838" s="68"/>
      <c r="CX838" s="68"/>
    </row>
    <row r="839" spans="4:102" s="71" customFormat="1" hidden="1">
      <c r="D839" s="105"/>
      <c r="E839" s="100"/>
      <c r="F839" s="100"/>
      <c r="G839" s="111"/>
      <c r="H839" s="105"/>
      <c r="I839" s="111"/>
      <c r="J839" s="111"/>
      <c r="K839" s="112"/>
      <c r="L839" s="113"/>
      <c r="M839" s="114"/>
      <c r="N839" s="100"/>
      <c r="O839" s="114"/>
      <c r="P839" s="65"/>
      <c r="Q839" s="103"/>
      <c r="R839" s="103"/>
      <c r="S839" s="103"/>
      <c r="T839" s="103"/>
      <c r="U839" s="68"/>
      <c r="V839" s="69"/>
      <c r="W839" s="68"/>
      <c r="X839" s="68"/>
      <c r="Y839" s="68"/>
      <c r="Z839" s="68"/>
      <c r="AA839" s="68"/>
      <c r="AB839" s="68"/>
      <c r="AC839" s="68"/>
      <c r="AD839" s="68"/>
      <c r="AE839" s="68"/>
      <c r="AF839" s="68"/>
      <c r="AG839" s="68"/>
      <c r="AH839" s="68"/>
      <c r="AI839" s="68"/>
      <c r="AJ839" s="68"/>
      <c r="AK839" s="68"/>
      <c r="AL839" s="68"/>
      <c r="AM839" s="68"/>
      <c r="AN839" s="68"/>
      <c r="AO839" s="68"/>
      <c r="AP839" s="68"/>
      <c r="AQ839" s="68"/>
      <c r="AR839" s="68"/>
      <c r="AS839" s="68"/>
      <c r="AT839" s="68"/>
      <c r="AU839" s="68"/>
      <c r="AV839" s="68"/>
      <c r="AW839" s="68"/>
      <c r="AX839" s="68"/>
      <c r="AY839" s="68"/>
      <c r="AZ839" s="68"/>
      <c r="BA839" s="68"/>
      <c r="BB839" s="68"/>
      <c r="BC839" s="68"/>
      <c r="BD839" s="68"/>
      <c r="BE839" s="68"/>
      <c r="BF839" s="68"/>
      <c r="BG839" s="68"/>
      <c r="BH839" s="68"/>
      <c r="BI839" s="68"/>
      <c r="BJ839" s="68"/>
      <c r="BK839" s="68"/>
      <c r="BL839" s="68"/>
      <c r="BM839" s="68"/>
      <c r="BN839" s="68"/>
      <c r="BO839" s="68"/>
      <c r="BP839" s="68"/>
      <c r="BQ839" s="68"/>
      <c r="BR839" s="68"/>
      <c r="BS839" s="68"/>
      <c r="BT839" s="68"/>
      <c r="BU839" s="68"/>
      <c r="BV839" s="68"/>
      <c r="BW839" s="68"/>
      <c r="BX839" s="68"/>
      <c r="BY839" s="68"/>
      <c r="BZ839" s="68"/>
      <c r="CA839" s="68"/>
      <c r="CB839" s="68"/>
      <c r="CC839" s="68"/>
      <c r="CD839" s="68"/>
      <c r="CE839" s="68"/>
      <c r="CF839" s="68"/>
      <c r="CG839" s="68"/>
      <c r="CH839" s="68"/>
      <c r="CI839" s="68"/>
      <c r="CJ839" s="68"/>
      <c r="CK839" s="68"/>
      <c r="CL839" s="68"/>
      <c r="CM839" s="68"/>
      <c r="CN839" s="68"/>
      <c r="CO839" s="68"/>
      <c r="CP839" s="68"/>
      <c r="CQ839" s="68"/>
      <c r="CR839" s="68"/>
      <c r="CS839" s="68"/>
      <c r="CT839" s="68"/>
      <c r="CU839" s="68"/>
      <c r="CV839" s="68"/>
      <c r="CW839" s="68"/>
      <c r="CX839" s="68"/>
    </row>
    <row r="840" spans="4:102" s="71" customFormat="1" hidden="1">
      <c r="D840" s="105"/>
      <c r="E840" s="100"/>
      <c r="F840" s="100"/>
      <c r="G840" s="111"/>
      <c r="H840" s="105"/>
      <c r="I840" s="111"/>
      <c r="J840" s="111"/>
      <c r="K840" s="112"/>
      <c r="L840" s="113"/>
      <c r="M840" s="114"/>
      <c r="N840" s="100"/>
      <c r="O840" s="114"/>
      <c r="P840" s="65"/>
      <c r="Q840" s="103"/>
      <c r="R840" s="103"/>
      <c r="S840" s="103"/>
      <c r="T840" s="103"/>
      <c r="U840" s="68"/>
      <c r="V840" s="69"/>
      <c r="W840" s="68"/>
      <c r="X840" s="68"/>
      <c r="Y840" s="68"/>
      <c r="Z840" s="68"/>
      <c r="AA840" s="68"/>
      <c r="AB840" s="68"/>
      <c r="AC840" s="68"/>
      <c r="AD840" s="68"/>
      <c r="AE840" s="68"/>
      <c r="AF840" s="68"/>
      <c r="AG840" s="68"/>
      <c r="AH840" s="68"/>
      <c r="AI840" s="68"/>
      <c r="AJ840" s="68"/>
      <c r="AK840" s="68"/>
      <c r="AL840" s="68"/>
      <c r="AM840" s="68"/>
      <c r="AN840" s="68"/>
      <c r="AO840" s="68"/>
      <c r="AP840" s="68"/>
      <c r="AQ840" s="68"/>
      <c r="AR840" s="68"/>
      <c r="AS840" s="68"/>
      <c r="AT840" s="68"/>
      <c r="AU840" s="68"/>
      <c r="AV840" s="68"/>
      <c r="AW840" s="68"/>
      <c r="AX840" s="68"/>
      <c r="AY840" s="68"/>
      <c r="AZ840" s="68"/>
      <c r="BA840" s="68"/>
      <c r="BB840" s="68"/>
      <c r="BC840" s="68"/>
      <c r="BD840" s="68"/>
      <c r="BE840" s="68"/>
      <c r="BF840" s="68"/>
      <c r="BG840" s="68"/>
      <c r="BH840" s="68"/>
      <c r="BI840" s="68"/>
      <c r="BJ840" s="68"/>
      <c r="BK840" s="68"/>
      <c r="BL840" s="68"/>
      <c r="BM840" s="68"/>
      <c r="BN840" s="68"/>
      <c r="BO840" s="68"/>
      <c r="BP840" s="68"/>
      <c r="BQ840" s="68"/>
      <c r="BR840" s="68"/>
      <c r="BS840" s="68"/>
      <c r="BT840" s="68"/>
      <c r="BU840" s="68"/>
      <c r="BV840" s="68"/>
      <c r="BW840" s="68"/>
      <c r="BX840" s="68"/>
      <c r="BY840" s="68"/>
      <c r="BZ840" s="68"/>
      <c r="CA840" s="68"/>
      <c r="CB840" s="68"/>
      <c r="CC840" s="68"/>
      <c r="CD840" s="68"/>
      <c r="CE840" s="68"/>
      <c r="CF840" s="68"/>
      <c r="CG840" s="68"/>
      <c r="CH840" s="68"/>
      <c r="CI840" s="68"/>
      <c r="CJ840" s="68"/>
      <c r="CK840" s="68"/>
      <c r="CL840" s="68"/>
      <c r="CM840" s="68"/>
      <c r="CN840" s="68"/>
      <c r="CO840" s="68"/>
      <c r="CP840" s="68"/>
      <c r="CQ840" s="68"/>
      <c r="CR840" s="68"/>
      <c r="CS840" s="68"/>
      <c r="CT840" s="68"/>
      <c r="CU840" s="68"/>
      <c r="CV840" s="68"/>
      <c r="CW840" s="68"/>
      <c r="CX840" s="68"/>
    </row>
    <row r="841" spans="4:102" s="71" customFormat="1" hidden="1">
      <c r="D841" s="105"/>
      <c r="E841" s="100"/>
      <c r="F841" s="100"/>
      <c r="G841" s="111"/>
      <c r="H841" s="105"/>
      <c r="I841" s="111"/>
      <c r="J841" s="111"/>
      <c r="K841" s="112"/>
      <c r="L841" s="113"/>
      <c r="M841" s="114"/>
      <c r="N841" s="100"/>
      <c r="O841" s="114"/>
      <c r="P841" s="65"/>
      <c r="Q841" s="103"/>
      <c r="R841" s="103"/>
      <c r="S841" s="103"/>
      <c r="T841" s="103"/>
      <c r="U841" s="68"/>
      <c r="V841" s="69"/>
      <c r="W841" s="68"/>
      <c r="X841" s="68"/>
      <c r="Y841" s="68"/>
      <c r="Z841" s="68"/>
      <c r="AA841" s="68"/>
      <c r="AB841" s="68"/>
      <c r="AC841" s="68"/>
      <c r="AD841" s="68"/>
      <c r="AE841" s="68"/>
      <c r="AF841" s="68"/>
      <c r="AG841" s="68"/>
      <c r="AH841" s="68"/>
      <c r="AI841" s="68"/>
      <c r="AJ841" s="68"/>
      <c r="AK841" s="68"/>
      <c r="AL841" s="68"/>
      <c r="AM841" s="68"/>
      <c r="AN841" s="68"/>
      <c r="AO841" s="68"/>
      <c r="AP841" s="68"/>
      <c r="AQ841" s="68"/>
      <c r="AR841" s="68"/>
      <c r="AS841" s="68"/>
      <c r="AT841" s="68"/>
      <c r="AU841" s="68"/>
      <c r="AV841" s="68"/>
      <c r="AW841" s="68"/>
      <c r="AX841" s="68"/>
      <c r="AY841" s="68"/>
      <c r="AZ841" s="68"/>
      <c r="BA841" s="68"/>
      <c r="BB841" s="68"/>
      <c r="BC841" s="68"/>
      <c r="BD841" s="68"/>
      <c r="BE841" s="68"/>
      <c r="BF841" s="68"/>
      <c r="BG841" s="68"/>
      <c r="BH841" s="68"/>
      <c r="BI841" s="68"/>
      <c r="BJ841" s="68"/>
      <c r="BK841" s="68"/>
      <c r="BL841" s="68"/>
      <c r="BM841" s="68"/>
      <c r="BN841" s="68"/>
      <c r="BO841" s="68"/>
      <c r="BP841" s="68"/>
      <c r="BQ841" s="68"/>
      <c r="BR841" s="68"/>
      <c r="BS841" s="68"/>
      <c r="BT841" s="68"/>
      <c r="BU841" s="68"/>
      <c r="BV841" s="68"/>
      <c r="BW841" s="68"/>
      <c r="BX841" s="68"/>
      <c r="BY841" s="68"/>
      <c r="BZ841" s="68"/>
      <c r="CA841" s="68"/>
      <c r="CB841" s="68"/>
      <c r="CC841" s="68"/>
      <c r="CD841" s="68"/>
      <c r="CE841" s="68"/>
      <c r="CF841" s="68"/>
      <c r="CG841" s="68"/>
      <c r="CH841" s="68"/>
      <c r="CI841" s="68"/>
      <c r="CJ841" s="68"/>
      <c r="CK841" s="68"/>
      <c r="CL841" s="68"/>
      <c r="CM841" s="68"/>
      <c r="CN841" s="68"/>
      <c r="CO841" s="68"/>
      <c r="CP841" s="68"/>
      <c r="CQ841" s="68"/>
      <c r="CR841" s="68"/>
      <c r="CS841" s="68"/>
      <c r="CT841" s="68"/>
      <c r="CU841" s="68"/>
      <c r="CV841" s="68"/>
      <c r="CW841" s="68"/>
      <c r="CX841" s="68"/>
    </row>
    <row r="842" spans="4:102" s="71" customFormat="1" hidden="1">
      <c r="D842" s="105"/>
      <c r="E842" s="100"/>
      <c r="F842" s="100"/>
      <c r="G842" s="111"/>
      <c r="H842" s="105"/>
      <c r="I842" s="111"/>
      <c r="J842" s="111"/>
      <c r="K842" s="112"/>
      <c r="L842" s="113"/>
      <c r="M842" s="114"/>
      <c r="N842" s="100"/>
      <c r="O842" s="114"/>
      <c r="P842" s="65"/>
      <c r="Q842" s="103"/>
      <c r="R842" s="103"/>
      <c r="S842" s="103"/>
      <c r="T842" s="103"/>
      <c r="U842" s="68"/>
      <c r="V842" s="69"/>
      <c r="W842" s="68"/>
      <c r="X842" s="68"/>
      <c r="Y842" s="68"/>
      <c r="Z842" s="68"/>
      <c r="AA842" s="68"/>
      <c r="AB842" s="68"/>
      <c r="AC842" s="68"/>
      <c r="AD842" s="68"/>
      <c r="AE842" s="68"/>
      <c r="AF842" s="68"/>
      <c r="AG842" s="68"/>
      <c r="AH842" s="68"/>
      <c r="AI842" s="68"/>
      <c r="AJ842" s="68"/>
      <c r="AK842" s="68"/>
      <c r="AL842" s="68"/>
      <c r="AM842" s="68"/>
      <c r="AN842" s="68"/>
      <c r="AO842" s="68"/>
      <c r="AP842" s="68"/>
      <c r="AQ842" s="68"/>
      <c r="AR842" s="68"/>
      <c r="AS842" s="68"/>
      <c r="AT842" s="68"/>
      <c r="AU842" s="68"/>
      <c r="AV842" s="68"/>
      <c r="AW842" s="68"/>
      <c r="AX842" s="68"/>
      <c r="AY842" s="68"/>
      <c r="AZ842" s="68"/>
      <c r="BA842" s="68"/>
      <c r="BB842" s="68"/>
      <c r="BC842" s="68"/>
      <c r="BD842" s="68"/>
      <c r="BE842" s="68"/>
      <c r="BF842" s="68"/>
      <c r="BG842" s="68"/>
      <c r="BH842" s="68"/>
      <c r="BI842" s="68"/>
      <c r="BJ842" s="68"/>
      <c r="BK842" s="68"/>
      <c r="BL842" s="68"/>
      <c r="BM842" s="68"/>
      <c r="BN842" s="68"/>
      <c r="BO842" s="68"/>
      <c r="BP842" s="68"/>
      <c r="BQ842" s="68"/>
      <c r="BR842" s="68"/>
      <c r="BS842" s="68"/>
      <c r="BT842" s="68"/>
      <c r="BU842" s="68"/>
      <c r="BV842" s="68"/>
      <c r="BW842" s="68"/>
      <c r="BX842" s="68"/>
      <c r="BY842" s="68"/>
      <c r="BZ842" s="68"/>
      <c r="CA842" s="68"/>
      <c r="CB842" s="68"/>
      <c r="CC842" s="68"/>
      <c r="CD842" s="68"/>
      <c r="CE842" s="68"/>
      <c r="CF842" s="68"/>
      <c r="CG842" s="68"/>
      <c r="CH842" s="68"/>
      <c r="CI842" s="68"/>
      <c r="CJ842" s="68"/>
      <c r="CK842" s="68"/>
      <c r="CL842" s="68"/>
      <c r="CM842" s="68"/>
      <c r="CN842" s="68"/>
      <c r="CO842" s="68"/>
      <c r="CP842" s="68"/>
      <c r="CQ842" s="68"/>
      <c r="CR842" s="68"/>
      <c r="CS842" s="68"/>
      <c r="CT842" s="68"/>
      <c r="CU842" s="68"/>
      <c r="CV842" s="68"/>
      <c r="CW842" s="68"/>
      <c r="CX842" s="68"/>
    </row>
    <row r="843" spans="4:102" s="71" customFormat="1" hidden="1">
      <c r="D843" s="105"/>
      <c r="E843" s="100"/>
      <c r="F843" s="100"/>
      <c r="G843" s="111"/>
      <c r="H843" s="105"/>
      <c r="I843" s="111"/>
      <c r="J843" s="111"/>
      <c r="K843" s="112"/>
      <c r="L843" s="113"/>
      <c r="M843" s="114"/>
      <c r="N843" s="100"/>
      <c r="O843" s="114"/>
      <c r="P843" s="65"/>
      <c r="Q843" s="103"/>
      <c r="R843" s="103"/>
      <c r="S843" s="103"/>
      <c r="T843" s="103"/>
      <c r="U843" s="68"/>
      <c r="V843" s="69"/>
      <c r="W843" s="68"/>
      <c r="X843" s="68"/>
      <c r="Y843" s="68"/>
      <c r="Z843" s="68"/>
      <c r="AA843" s="68"/>
      <c r="AB843" s="68"/>
      <c r="AC843" s="68"/>
      <c r="AD843" s="68"/>
      <c r="AE843" s="68"/>
      <c r="AF843" s="68"/>
      <c r="AG843" s="68"/>
      <c r="AH843" s="68"/>
      <c r="AI843" s="68"/>
      <c r="AJ843" s="68"/>
      <c r="AK843" s="68"/>
      <c r="AL843" s="68"/>
      <c r="AM843" s="68"/>
      <c r="AN843" s="68"/>
      <c r="AO843" s="68"/>
      <c r="AP843" s="68"/>
      <c r="AQ843" s="68"/>
      <c r="AR843" s="68"/>
      <c r="AS843" s="68"/>
      <c r="AT843" s="68"/>
      <c r="AU843" s="68"/>
      <c r="AV843" s="68"/>
      <c r="AW843" s="68"/>
      <c r="AX843" s="68"/>
      <c r="AY843" s="68"/>
      <c r="AZ843" s="68"/>
      <c r="BA843" s="68"/>
      <c r="BB843" s="68"/>
      <c r="BC843" s="68"/>
      <c r="BD843" s="68"/>
      <c r="BE843" s="68"/>
      <c r="BF843" s="68"/>
      <c r="BG843" s="68"/>
      <c r="BH843" s="68"/>
      <c r="BI843" s="68"/>
      <c r="BJ843" s="68"/>
      <c r="BK843" s="68"/>
      <c r="BL843" s="68"/>
      <c r="BM843" s="68"/>
      <c r="BN843" s="68"/>
      <c r="BO843" s="68"/>
      <c r="BP843" s="68"/>
      <c r="BQ843" s="68"/>
      <c r="BR843" s="68"/>
      <c r="BS843" s="68"/>
      <c r="BT843" s="68"/>
      <c r="BU843" s="68"/>
      <c r="BV843" s="68"/>
      <c r="BW843" s="68"/>
      <c r="BX843" s="68"/>
      <c r="BY843" s="68"/>
      <c r="BZ843" s="68"/>
      <c r="CA843" s="68"/>
      <c r="CB843" s="68"/>
      <c r="CC843" s="68"/>
      <c r="CD843" s="68"/>
      <c r="CE843" s="68"/>
      <c r="CF843" s="68"/>
      <c r="CG843" s="68"/>
      <c r="CH843" s="68"/>
      <c r="CI843" s="68"/>
      <c r="CJ843" s="68"/>
      <c r="CK843" s="68"/>
      <c r="CL843" s="68"/>
      <c r="CM843" s="68"/>
      <c r="CN843" s="68"/>
      <c r="CO843" s="68"/>
      <c r="CP843" s="68"/>
      <c r="CQ843" s="68"/>
      <c r="CR843" s="68"/>
      <c r="CS843" s="68"/>
      <c r="CT843" s="68"/>
      <c r="CU843" s="68"/>
      <c r="CV843" s="68"/>
      <c r="CW843" s="68"/>
      <c r="CX843" s="68"/>
    </row>
    <row r="844" spans="4:102" s="71" customFormat="1" hidden="1">
      <c r="D844" s="105"/>
      <c r="E844" s="100"/>
      <c r="F844" s="100"/>
      <c r="G844" s="111"/>
      <c r="H844" s="105"/>
      <c r="I844" s="111"/>
      <c r="J844" s="111"/>
      <c r="K844" s="112"/>
      <c r="L844" s="113"/>
      <c r="M844" s="114"/>
      <c r="N844" s="100"/>
      <c r="O844" s="114"/>
      <c r="P844" s="65"/>
      <c r="Q844" s="103"/>
      <c r="R844" s="103"/>
      <c r="S844" s="103"/>
      <c r="T844" s="103"/>
      <c r="U844" s="68"/>
      <c r="V844" s="69"/>
      <c r="W844" s="68"/>
      <c r="X844" s="68"/>
      <c r="Y844" s="68"/>
      <c r="Z844" s="68"/>
      <c r="AA844" s="68"/>
      <c r="AB844" s="68"/>
      <c r="AC844" s="68"/>
      <c r="AD844" s="68"/>
      <c r="AE844" s="68"/>
      <c r="AF844" s="68"/>
      <c r="AG844" s="68"/>
      <c r="AH844" s="68"/>
      <c r="AI844" s="68"/>
      <c r="AJ844" s="68"/>
      <c r="AK844" s="68"/>
      <c r="AL844" s="68"/>
      <c r="AM844" s="68"/>
      <c r="AN844" s="68"/>
      <c r="AO844" s="68"/>
      <c r="AP844" s="68"/>
      <c r="AQ844" s="68"/>
      <c r="AR844" s="68"/>
      <c r="AS844" s="68"/>
      <c r="AT844" s="68"/>
      <c r="AU844" s="68"/>
      <c r="AV844" s="68"/>
      <c r="AW844" s="68"/>
      <c r="AX844" s="68"/>
      <c r="AY844" s="68"/>
      <c r="AZ844" s="68"/>
      <c r="BA844" s="68"/>
      <c r="BB844" s="68"/>
      <c r="BC844" s="68"/>
      <c r="BD844" s="68"/>
      <c r="BE844" s="68"/>
      <c r="BF844" s="68"/>
      <c r="BG844" s="68"/>
      <c r="BH844" s="68"/>
      <c r="BI844" s="68"/>
      <c r="BJ844" s="68"/>
      <c r="BK844" s="68"/>
      <c r="BL844" s="68"/>
      <c r="BM844" s="68"/>
      <c r="BN844" s="68"/>
      <c r="BO844" s="68"/>
      <c r="BP844" s="68"/>
      <c r="BQ844" s="68"/>
      <c r="BR844" s="68"/>
      <c r="BS844" s="68"/>
      <c r="BT844" s="68"/>
      <c r="BU844" s="68"/>
      <c r="BV844" s="68"/>
      <c r="BW844" s="68"/>
      <c r="BX844" s="68"/>
      <c r="BY844" s="68"/>
      <c r="BZ844" s="68"/>
      <c r="CA844" s="68"/>
      <c r="CB844" s="68"/>
      <c r="CC844" s="68"/>
      <c r="CD844" s="68"/>
      <c r="CE844" s="68"/>
      <c r="CF844" s="68"/>
      <c r="CG844" s="68"/>
      <c r="CH844" s="68"/>
      <c r="CI844" s="68"/>
      <c r="CJ844" s="68"/>
      <c r="CK844" s="68"/>
      <c r="CL844" s="68"/>
      <c r="CM844" s="68"/>
      <c r="CN844" s="68"/>
      <c r="CO844" s="68"/>
      <c r="CP844" s="68"/>
      <c r="CQ844" s="68"/>
      <c r="CR844" s="68"/>
      <c r="CS844" s="68"/>
      <c r="CT844" s="68"/>
      <c r="CU844" s="68"/>
      <c r="CV844" s="68"/>
      <c r="CW844" s="68"/>
      <c r="CX844" s="68"/>
    </row>
    <row r="845" spans="4:102" s="71" customFormat="1" hidden="1">
      <c r="D845" s="105"/>
      <c r="E845" s="100"/>
      <c r="F845" s="100"/>
      <c r="G845" s="111"/>
      <c r="H845" s="105"/>
      <c r="I845" s="111"/>
      <c r="J845" s="111"/>
      <c r="K845" s="112"/>
      <c r="L845" s="113"/>
      <c r="M845" s="114"/>
      <c r="N845" s="100"/>
      <c r="O845" s="114"/>
      <c r="P845" s="65"/>
      <c r="Q845" s="103"/>
      <c r="R845" s="103"/>
      <c r="S845" s="103"/>
      <c r="T845" s="103"/>
      <c r="U845" s="68"/>
      <c r="V845" s="69"/>
      <c r="W845" s="68"/>
      <c r="X845" s="68"/>
      <c r="Y845" s="68"/>
      <c r="Z845" s="68"/>
      <c r="AA845" s="68"/>
      <c r="AB845" s="68"/>
      <c r="AC845" s="68"/>
      <c r="AD845" s="68"/>
      <c r="AE845" s="68"/>
      <c r="AF845" s="68"/>
      <c r="AG845" s="68"/>
      <c r="AH845" s="68"/>
      <c r="AI845" s="68"/>
      <c r="AJ845" s="68"/>
      <c r="AK845" s="68"/>
      <c r="AL845" s="68"/>
      <c r="AM845" s="68"/>
      <c r="AN845" s="68"/>
      <c r="AO845" s="68"/>
      <c r="AP845" s="68"/>
      <c r="AQ845" s="68"/>
      <c r="AR845" s="68"/>
      <c r="AS845" s="68"/>
      <c r="AT845" s="68"/>
      <c r="AU845" s="68"/>
      <c r="AV845" s="68"/>
      <c r="AW845" s="68"/>
      <c r="AX845" s="68"/>
      <c r="AY845" s="68"/>
      <c r="AZ845" s="68"/>
      <c r="BA845" s="68"/>
      <c r="BB845" s="68"/>
      <c r="BC845" s="68"/>
      <c r="BD845" s="68"/>
      <c r="BE845" s="68"/>
      <c r="BF845" s="68"/>
      <c r="BG845" s="68"/>
      <c r="BH845" s="68"/>
      <c r="BI845" s="68"/>
      <c r="BJ845" s="68"/>
      <c r="BK845" s="68"/>
      <c r="BL845" s="68"/>
      <c r="BM845" s="68"/>
      <c r="BN845" s="68"/>
      <c r="BO845" s="68"/>
      <c r="BP845" s="68"/>
      <c r="BQ845" s="68"/>
      <c r="BR845" s="68"/>
      <c r="BS845" s="68"/>
      <c r="BT845" s="68"/>
      <c r="BU845" s="68"/>
      <c r="BV845" s="68"/>
      <c r="BW845" s="68"/>
      <c r="BX845" s="68"/>
      <c r="BY845" s="68"/>
      <c r="BZ845" s="68"/>
      <c r="CA845" s="68"/>
      <c r="CB845" s="68"/>
      <c r="CC845" s="68"/>
      <c r="CD845" s="68"/>
      <c r="CE845" s="68"/>
      <c r="CF845" s="68"/>
      <c r="CG845" s="68"/>
      <c r="CH845" s="68"/>
      <c r="CI845" s="68"/>
      <c r="CJ845" s="68"/>
      <c r="CK845" s="68"/>
      <c r="CL845" s="68"/>
      <c r="CM845" s="68"/>
      <c r="CN845" s="68"/>
      <c r="CO845" s="68"/>
      <c r="CP845" s="68"/>
      <c r="CQ845" s="68"/>
      <c r="CR845" s="68"/>
      <c r="CS845" s="68"/>
      <c r="CT845" s="68"/>
      <c r="CU845" s="68"/>
      <c r="CV845" s="68"/>
      <c r="CW845" s="68"/>
      <c r="CX845" s="68"/>
    </row>
    <row r="846" spans="4:102" s="71" customFormat="1" hidden="1">
      <c r="D846" s="105"/>
      <c r="E846" s="100"/>
      <c r="F846" s="100"/>
      <c r="G846" s="111"/>
      <c r="H846" s="105"/>
      <c r="I846" s="111"/>
      <c r="J846" s="111"/>
      <c r="K846" s="112"/>
      <c r="L846" s="113"/>
      <c r="M846" s="114"/>
      <c r="N846" s="100"/>
      <c r="O846" s="114"/>
      <c r="P846" s="65"/>
      <c r="Q846" s="103"/>
      <c r="R846" s="103"/>
      <c r="S846" s="103"/>
      <c r="T846" s="103"/>
      <c r="U846" s="68"/>
      <c r="V846" s="69"/>
      <c r="W846" s="68"/>
      <c r="X846" s="68"/>
      <c r="Y846" s="68"/>
      <c r="Z846" s="68"/>
      <c r="AA846" s="68"/>
      <c r="AB846" s="68"/>
      <c r="AC846" s="68"/>
      <c r="AD846" s="68"/>
      <c r="AE846" s="68"/>
      <c r="AF846" s="68"/>
      <c r="AG846" s="68"/>
      <c r="AH846" s="68"/>
      <c r="AI846" s="68"/>
      <c r="AJ846" s="68"/>
      <c r="AK846" s="68"/>
      <c r="AL846" s="68"/>
      <c r="AM846" s="68"/>
      <c r="AN846" s="68"/>
      <c r="AO846" s="68"/>
      <c r="AP846" s="68"/>
      <c r="AQ846" s="68"/>
      <c r="AR846" s="68"/>
      <c r="AS846" s="68"/>
      <c r="AT846" s="68"/>
      <c r="AU846" s="68"/>
      <c r="AV846" s="68"/>
      <c r="AW846" s="68"/>
      <c r="AX846" s="68"/>
      <c r="AY846" s="68"/>
      <c r="AZ846" s="68"/>
      <c r="BA846" s="68"/>
      <c r="BB846" s="68"/>
      <c r="BC846" s="68"/>
      <c r="BD846" s="68"/>
      <c r="BE846" s="68"/>
      <c r="BF846" s="68"/>
      <c r="BG846" s="68"/>
      <c r="BH846" s="68"/>
      <c r="BI846" s="68"/>
      <c r="BJ846" s="68"/>
      <c r="BK846" s="68"/>
      <c r="BL846" s="68"/>
      <c r="BM846" s="68"/>
      <c r="BN846" s="68"/>
      <c r="BO846" s="68"/>
      <c r="BP846" s="68"/>
      <c r="BQ846" s="68"/>
      <c r="BR846" s="68"/>
      <c r="BS846" s="68"/>
      <c r="BT846" s="68"/>
      <c r="BU846" s="68"/>
      <c r="BV846" s="68"/>
      <c r="BW846" s="68"/>
      <c r="BX846" s="68"/>
      <c r="BY846" s="68"/>
      <c r="BZ846" s="68"/>
      <c r="CA846" s="68"/>
      <c r="CB846" s="68"/>
      <c r="CC846" s="68"/>
      <c r="CD846" s="68"/>
      <c r="CE846" s="68"/>
      <c r="CF846" s="68"/>
      <c r="CG846" s="68"/>
      <c r="CH846" s="68"/>
      <c r="CI846" s="68"/>
      <c r="CJ846" s="68"/>
      <c r="CK846" s="68"/>
      <c r="CL846" s="68"/>
      <c r="CM846" s="68"/>
      <c r="CN846" s="68"/>
      <c r="CO846" s="68"/>
      <c r="CP846" s="68"/>
      <c r="CQ846" s="68"/>
      <c r="CR846" s="68"/>
      <c r="CS846" s="68"/>
      <c r="CT846" s="68"/>
      <c r="CU846" s="68"/>
      <c r="CV846" s="68"/>
      <c r="CW846" s="68"/>
      <c r="CX846" s="68"/>
    </row>
    <row r="847" spans="4:102" s="71" customFormat="1" hidden="1">
      <c r="D847" s="105"/>
      <c r="E847" s="100"/>
      <c r="F847" s="100"/>
      <c r="G847" s="111"/>
      <c r="H847" s="105"/>
      <c r="I847" s="111"/>
      <c r="J847" s="111"/>
      <c r="K847" s="112"/>
      <c r="L847" s="113"/>
      <c r="M847" s="114"/>
      <c r="N847" s="100"/>
      <c r="O847" s="114"/>
      <c r="P847" s="65"/>
      <c r="Q847" s="103"/>
      <c r="R847" s="103"/>
      <c r="S847" s="103"/>
      <c r="T847" s="103"/>
      <c r="U847" s="68"/>
      <c r="V847" s="69"/>
      <c r="W847" s="68"/>
      <c r="X847" s="68"/>
      <c r="Y847" s="68"/>
      <c r="Z847" s="68"/>
      <c r="AA847" s="68"/>
      <c r="AB847" s="68"/>
      <c r="AC847" s="68"/>
      <c r="AD847" s="68"/>
      <c r="AE847" s="68"/>
      <c r="AF847" s="68"/>
      <c r="AG847" s="68"/>
      <c r="AH847" s="68"/>
      <c r="AI847" s="68"/>
      <c r="AJ847" s="68"/>
      <c r="AK847" s="68"/>
      <c r="AL847" s="68"/>
      <c r="AM847" s="68"/>
      <c r="AN847" s="68"/>
      <c r="AO847" s="68"/>
      <c r="AP847" s="68"/>
      <c r="AQ847" s="68"/>
      <c r="AR847" s="68"/>
      <c r="AS847" s="68"/>
      <c r="AT847" s="68"/>
      <c r="AU847" s="68"/>
      <c r="AV847" s="68"/>
      <c r="AW847" s="68"/>
      <c r="AX847" s="68"/>
      <c r="AY847" s="68"/>
      <c r="AZ847" s="68"/>
      <c r="BA847" s="68"/>
      <c r="BB847" s="68"/>
      <c r="BC847" s="68"/>
      <c r="BD847" s="68"/>
      <c r="BE847" s="68"/>
      <c r="BF847" s="68"/>
      <c r="BG847" s="68"/>
      <c r="BH847" s="68"/>
      <c r="BI847" s="68"/>
      <c r="BJ847" s="68"/>
      <c r="BK847" s="68"/>
      <c r="BL847" s="68"/>
      <c r="BM847" s="68"/>
      <c r="BN847" s="68"/>
      <c r="BO847" s="68"/>
      <c r="BP847" s="68"/>
      <c r="BQ847" s="68"/>
      <c r="BR847" s="68"/>
      <c r="BS847" s="68"/>
      <c r="BT847" s="68"/>
      <c r="BU847" s="68"/>
      <c r="BV847" s="68"/>
      <c r="BW847" s="68"/>
      <c r="BX847" s="68"/>
      <c r="BY847" s="68"/>
      <c r="BZ847" s="68"/>
      <c r="CA847" s="68"/>
      <c r="CB847" s="68"/>
      <c r="CC847" s="68"/>
      <c r="CD847" s="68"/>
      <c r="CE847" s="68"/>
      <c r="CF847" s="68"/>
      <c r="CG847" s="68"/>
      <c r="CH847" s="68"/>
      <c r="CI847" s="68"/>
      <c r="CJ847" s="68"/>
      <c r="CK847" s="68"/>
      <c r="CL847" s="68"/>
      <c r="CM847" s="68"/>
      <c r="CN847" s="68"/>
      <c r="CO847" s="68"/>
      <c r="CP847" s="68"/>
      <c r="CQ847" s="68"/>
      <c r="CR847" s="68"/>
      <c r="CS847" s="68"/>
      <c r="CT847" s="68"/>
      <c r="CU847" s="68"/>
      <c r="CV847" s="68"/>
      <c r="CW847" s="68"/>
      <c r="CX847" s="68"/>
    </row>
    <row r="848" spans="4:102" s="71" customFormat="1" hidden="1">
      <c r="D848" s="105"/>
      <c r="E848" s="100"/>
      <c r="F848" s="100"/>
      <c r="G848" s="111"/>
      <c r="H848" s="105"/>
      <c r="I848" s="111"/>
      <c r="J848" s="111"/>
      <c r="K848" s="112"/>
      <c r="L848" s="113"/>
      <c r="M848" s="114"/>
      <c r="N848" s="100"/>
      <c r="O848" s="114"/>
      <c r="P848" s="65"/>
      <c r="Q848" s="103"/>
      <c r="R848" s="103"/>
      <c r="S848" s="103"/>
      <c r="T848" s="103"/>
      <c r="U848" s="68"/>
      <c r="V848" s="69"/>
      <c r="W848" s="68"/>
      <c r="X848" s="68"/>
      <c r="Y848" s="68"/>
      <c r="Z848" s="68"/>
      <c r="AA848" s="68"/>
      <c r="AB848" s="68"/>
      <c r="AC848" s="68"/>
      <c r="AD848" s="68"/>
      <c r="AE848" s="68"/>
      <c r="AF848" s="68"/>
      <c r="AG848" s="68"/>
      <c r="AH848" s="68"/>
      <c r="AI848" s="68"/>
      <c r="AJ848" s="68"/>
      <c r="AK848" s="68"/>
      <c r="AL848" s="68"/>
      <c r="AM848" s="68"/>
      <c r="AN848" s="68"/>
      <c r="AO848" s="68"/>
      <c r="AP848" s="68"/>
      <c r="AQ848" s="68"/>
      <c r="AR848" s="68"/>
      <c r="AS848" s="68"/>
      <c r="AT848" s="68"/>
      <c r="AU848" s="68"/>
      <c r="AV848" s="68"/>
      <c r="AW848" s="68"/>
      <c r="AX848" s="68"/>
      <c r="AY848" s="68"/>
      <c r="AZ848" s="68"/>
      <c r="BA848" s="68"/>
      <c r="BB848" s="68"/>
      <c r="BC848" s="68"/>
      <c r="BD848" s="68"/>
      <c r="BE848" s="68"/>
      <c r="BF848" s="68"/>
      <c r="BG848" s="68"/>
      <c r="BH848" s="68"/>
      <c r="BI848" s="68"/>
      <c r="BJ848" s="68"/>
      <c r="BK848" s="68"/>
      <c r="BL848" s="68"/>
      <c r="BM848" s="68"/>
      <c r="BN848" s="68"/>
      <c r="BO848" s="68"/>
      <c r="BP848" s="68"/>
      <c r="BQ848" s="68"/>
      <c r="BR848" s="68"/>
      <c r="BS848" s="68"/>
      <c r="BT848" s="68"/>
      <c r="BU848" s="68"/>
      <c r="BV848" s="68"/>
      <c r="BW848" s="68"/>
      <c r="BX848" s="68"/>
      <c r="BY848" s="68"/>
      <c r="BZ848" s="68"/>
      <c r="CA848" s="68"/>
      <c r="CB848" s="68"/>
      <c r="CC848" s="68"/>
      <c r="CD848" s="68"/>
      <c r="CE848" s="68"/>
      <c r="CF848" s="68"/>
      <c r="CG848" s="68"/>
      <c r="CH848" s="68"/>
      <c r="CI848" s="68"/>
      <c r="CJ848" s="68"/>
      <c r="CK848" s="68"/>
      <c r="CL848" s="68"/>
      <c r="CM848" s="68"/>
      <c r="CN848" s="68"/>
      <c r="CO848" s="68"/>
      <c r="CP848" s="68"/>
      <c r="CQ848" s="68"/>
      <c r="CR848" s="68"/>
      <c r="CS848" s="68"/>
      <c r="CT848" s="68"/>
      <c r="CU848" s="68"/>
      <c r="CV848" s="68"/>
      <c r="CW848" s="68"/>
      <c r="CX848" s="68"/>
    </row>
    <row r="849" spans="4:102" s="71" customFormat="1" hidden="1">
      <c r="D849" s="105"/>
      <c r="E849" s="100"/>
      <c r="F849" s="100"/>
      <c r="G849" s="111"/>
      <c r="H849" s="105"/>
      <c r="I849" s="111"/>
      <c r="J849" s="111"/>
      <c r="K849" s="112"/>
      <c r="L849" s="113"/>
      <c r="M849" s="114"/>
      <c r="N849" s="100"/>
      <c r="O849" s="114"/>
      <c r="P849" s="65"/>
      <c r="Q849" s="103"/>
      <c r="R849" s="103"/>
      <c r="S849" s="103"/>
      <c r="T849" s="103"/>
      <c r="U849" s="68"/>
      <c r="V849" s="69"/>
      <c r="W849" s="68"/>
      <c r="X849" s="68"/>
      <c r="Y849" s="68"/>
      <c r="Z849" s="68"/>
      <c r="AA849" s="68"/>
      <c r="AB849" s="68"/>
      <c r="AC849" s="68"/>
      <c r="AD849" s="68"/>
      <c r="AE849" s="68"/>
      <c r="AF849" s="68"/>
      <c r="AG849" s="68"/>
      <c r="AH849" s="68"/>
      <c r="AI849" s="68"/>
      <c r="AJ849" s="68"/>
      <c r="AK849" s="68"/>
      <c r="AL849" s="68"/>
      <c r="AM849" s="68"/>
      <c r="AN849" s="68"/>
      <c r="AO849" s="68"/>
      <c r="AP849" s="68"/>
      <c r="AQ849" s="68"/>
      <c r="AR849" s="68"/>
      <c r="AS849" s="68"/>
      <c r="AT849" s="68"/>
      <c r="AU849" s="68"/>
      <c r="AV849" s="68"/>
      <c r="AW849" s="68"/>
      <c r="AX849" s="68"/>
      <c r="AY849" s="68"/>
      <c r="AZ849" s="68"/>
      <c r="BA849" s="68"/>
      <c r="BB849" s="68"/>
      <c r="BC849" s="68"/>
      <c r="BD849" s="68"/>
      <c r="BE849" s="68"/>
      <c r="BF849" s="68"/>
      <c r="BG849" s="68"/>
      <c r="BH849" s="68"/>
      <c r="BI849" s="68"/>
      <c r="BJ849" s="68"/>
      <c r="BK849" s="68"/>
      <c r="BL849" s="68"/>
      <c r="BM849" s="68"/>
      <c r="BN849" s="68"/>
      <c r="BO849" s="68"/>
      <c r="BP849" s="68"/>
      <c r="BQ849" s="68"/>
      <c r="BR849" s="68"/>
      <c r="BS849" s="68"/>
      <c r="BT849" s="68"/>
      <c r="BU849" s="68"/>
      <c r="BV849" s="68"/>
      <c r="BW849" s="68"/>
      <c r="BX849" s="68"/>
      <c r="BY849" s="68"/>
      <c r="BZ849" s="68"/>
      <c r="CA849" s="68"/>
      <c r="CB849" s="68"/>
      <c r="CC849" s="68"/>
      <c r="CD849" s="68"/>
      <c r="CE849" s="68"/>
      <c r="CF849" s="68"/>
      <c r="CG849" s="68"/>
      <c r="CH849" s="68"/>
      <c r="CI849" s="68"/>
      <c r="CJ849" s="68"/>
      <c r="CK849" s="68"/>
      <c r="CL849" s="68"/>
      <c r="CM849" s="68"/>
      <c r="CN849" s="68"/>
      <c r="CO849" s="68"/>
      <c r="CP849" s="68"/>
      <c r="CQ849" s="68"/>
      <c r="CR849" s="68"/>
      <c r="CS849" s="68"/>
      <c r="CT849" s="68"/>
      <c r="CU849" s="68"/>
      <c r="CV849" s="68"/>
      <c r="CW849" s="68"/>
      <c r="CX849" s="68"/>
    </row>
    <row r="850" spans="4:102" s="71" customFormat="1" hidden="1">
      <c r="D850" s="105"/>
      <c r="E850" s="100"/>
      <c r="F850" s="100"/>
      <c r="G850" s="111"/>
      <c r="H850" s="105"/>
      <c r="I850" s="111"/>
      <c r="J850" s="111"/>
      <c r="K850" s="112"/>
      <c r="L850" s="113"/>
      <c r="M850" s="114"/>
      <c r="N850" s="100"/>
      <c r="O850" s="114"/>
      <c r="P850" s="65"/>
      <c r="Q850" s="103"/>
      <c r="R850" s="103"/>
      <c r="S850" s="103"/>
      <c r="T850" s="103"/>
      <c r="U850" s="68"/>
      <c r="V850" s="69"/>
      <c r="W850" s="68"/>
      <c r="X850" s="68"/>
      <c r="Y850" s="68"/>
      <c r="Z850" s="68"/>
      <c r="AA850" s="68"/>
      <c r="AB850" s="68"/>
      <c r="AC850" s="68"/>
      <c r="AD850" s="68"/>
      <c r="AE850" s="68"/>
      <c r="AF850" s="68"/>
      <c r="AG850" s="68"/>
      <c r="AH850" s="68"/>
      <c r="AI850" s="68"/>
      <c r="AJ850" s="68"/>
      <c r="AK850" s="68"/>
      <c r="AL850" s="68"/>
      <c r="AM850" s="68"/>
      <c r="AN850" s="68"/>
      <c r="AO850" s="68"/>
      <c r="AP850" s="68"/>
      <c r="AQ850" s="68"/>
      <c r="AR850" s="68"/>
      <c r="AS850" s="68"/>
      <c r="AT850" s="68"/>
      <c r="AU850" s="68"/>
      <c r="AV850" s="68"/>
      <c r="AW850" s="68"/>
      <c r="AX850" s="68"/>
      <c r="AY850" s="68"/>
      <c r="AZ850" s="68"/>
      <c r="BA850" s="68"/>
      <c r="BB850" s="68"/>
      <c r="BC850" s="68"/>
      <c r="BD850" s="68"/>
      <c r="BE850" s="68"/>
      <c r="BF850" s="68"/>
      <c r="BG850" s="68"/>
      <c r="BH850" s="68"/>
      <c r="BI850" s="68"/>
      <c r="BJ850" s="68"/>
      <c r="BK850" s="68"/>
      <c r="BL850" s="68"/>
      <c r="BM850" s="68"/>
      <c r="BN850" s="68"/>
      <c r="BO850" s="68"/>
      <c r="BP850" s="68"/>
      <c r="BQ850" s="68"/>
      <c r="BR850" s="68"/>
      <c r="BS850" s="68"/>
      <c r="BT850" s="68"/>
      <c r="BU850" s="68"/>
      <c r="BV850" s="68"/>
      <c r="BW850" s="68"/>
      <c r="BX850" s="68"/>
      <c r="BY850" s="68"/>
      <c r="BZ850" s="68"/>
      <c r="CA850" s="68"/>
      <c r="CB850" s="68"/>
      <c r="CC850" s="68"/>
      <c r="CD850" s="68"/>
      <c r="CE850" s="68"/>
      <c r="CF850" s="68"/>
      <c r="CG850" s="68"/>
      <c r="CH850" s="68"/>
      <c r="CI850" s="68"/>
      <c r="CJ850" s="68"/>
      <c r="CK850" s="68"/>
      <c r="CL850" s="68"/>
      <c r="CM850" s="68"/>
      <c r="CN850" s="68"/>
      <c r="CO850" s="68"/>
      <c r="CP850" s="68"/>
      <c r="CQ850" s="68"/>
      <c r="CR850" s="68"/>
      <c r="CS850" s="68"/>
      <c r="CT850" s="68"/>
      <c r="CU850" s="68"/>
      <c r="CV850" s="68"/>
      <c r="CW850" s="68"/>
      <c r="CX850" s="68"/>
    </row>
    <row r="851" spans="4:102" s="71" customFormat="1" hidden="1">
      <c r="D851" s="105"/>
      <c r="E851" s="100"/>
      <c r="F851" s="100"/>
      <c r="G851" s="111"/>
      <c r="H851" s="105"/>
      <c r="I851" s="111"/>
      <c r="J851" s="111"/>
      <c r="K851" s="112"/>
      <c r="L851" s="113"/>
      <c r="M851" s="114"/>
      <c r="N851" s="100"/>
      <c r="O851" s="114"/>
      <c r="P851" s="65"/>
      <c r="Q851" s="103"/>
      <c r="R851" s="103"/>
      <c r="S851" s="103"/>
      <c r="T851" s="103"/>
      <c r="U851" s="68"/>
      <c r="V851" s="69"/>
      <c r="W851" s="68"/>
      <c r="X851" s="68"/>
      <c r="Y851" s="68"/>
      <c r="Z851" s="68"/>
      <c r="AA851" s="68"/>
      <c r="AB851" s="68"/>
      <c r="AC851" s="68"/>
      <c r="AD851" s="68"/>
      <c r="AE851" s="68"/>
      <c r="AF851" s="68"/>
      <c r="AG851" s="68"/>
      <c r="AH851" s="68"/>
      <c r="AI851" s="68"/>
      <c r="AJ851" s="68"/>
      <c r="AK851" s="68"/>
      <c r="AL851" s="68"/>
      <c r="AM851" s="68"/>
      <c r="AN851" s="68"/>
      <c r="AO851" s="68"/>
      <c r="AP851" s="68"/>
      <c r="AQ851" s="68"/>
      <c r="AR851" s="68"/>
      <c r="AS851" s="68"/>
      <c r="AT851" s="68"/>
      <c r="AU851" s="68"/>
      <c r="AV851" s="68"/>
      <c r="AW851" s="68"/>
      <c r="AX851" s="68"/>
      <c r="AY851" s="68"/>
      <c r="AZ851" s="68"/>
      <c r="BA851" s="68"/>
      <c r="BB851" s="68"/>
      <c r="BC851" s="68"/>
      <c r="BD851" s="68"/>
      <c r="BE851" s="68"/>
      <c r="BF851" s="68"/>
      <c r="BG851" s="68"/>
      <c r="BH851" s="68"/>
      <c r="BI851" s="68"/>
      <c r="BJ851" s="68"/>
      <c r="BK851" s="68"/>
      <c r="BL851" s="68"/>
      <c r="BM851" s="68"/>
      <c r="BN851" s="68"/>
      <c r="BO851" s="68"/>
      <c r="BP851" s="68"/>
      <c r="BQ851" s="68"/>
      <c r="BR851" s="68"/>
      <c r="BS851" s="68"/>
      <c r="BT851" s="68"/>
      <c r="BU851" s="68"/>
      <c r="BV851" s="68"/>
      <c r="BW851" s="68"/>
      <c r="BX851" s="68"/>
      <c r="BY851" s="68"/>
      <c r="BZ851" s="68"/>
      <c r="CA851" s="68"/>
      <c r="CB851" s="68"/>
      <c r="CC851" s="68"/>
      <c r="CD851" s="68"/>
      <c r="CE851" s="68"/>
      <c r="CF851" s="68"/>
      <c r="CG851" s="68"/>
      <c r="CH851" s="68"/>
      <c r="CI851" s="68"/>
      <c r="CJ851" s="68"/>
      <c r="CK851" s="68"/>
      <c r="CL851" s="68"/>
      <c r="CM851" s="68"/>
      <c r="CN851" s="68"/>
      <c r="CO851" s="68"/>
      <c r="CP851" s="68"/>
      <c r="CQ851" s="68"/>
      <c r="CR851" s="68"/>
      <c r="CS851" s="68"/>
      <c r="CT851" s="68"/>
      <c r="CU851" s="68"/>
      <c r="CV851" s="68"/>
      <c r="CW851" s="68"/>
      <c r="CX851" s="68"/>
    </row>
    <row r="852" spans="4:102" s="71" customFormat="1" hidden="1">
      <c r="D852" s="105"/>
      <c r="E852" s="100"/>
      <c r="F852" s="100"/>
      <c r="G852" s="111"/>
      <c r="H852" s="105"/>
      <c r="I852" s="111"/>
      <c r="J852" s="111"/>
      <c r="K852" s="112"/>
      <c r="L852" s="113"/>
      <c r="M852" s="114"/>
      <c r="N852" s="100"/>
      <c r="O852" s="114"/>
      <c r="P852" s="65"/>
      <c r="Q852" s="103"/>
      <c r="R852" s="103"/>
      <c r="S852" s="103"/>
      <c r="T852" s="103"/>
      <c r="U852" s="68"/>
      <c r="V852" s="69"/>
      <c r="W852" s="68"/>
      <c r="X852" s="68"/>
      <c r="Y852" s="68"/>
      <c r="Z852" s="68"/>
      <c r="AA852" s="68"/>
      <c r="AB852" s="68"/>
      <c r="AC852" s="68"/>
      <c r="AD852" s="68"/>
      <c r="AE852" s="68"/>
      <c r="AF852" s="68"/>
      <c r="AG852" s="68"/>
      <c r="AH852" s="68"/>
      <c r="AI852" s="68"/>
      <c r="AJ852" s="68"/>
      <c r="AK852" s="68"/>
      <c r="AL852" s="68"/>
      <c r="AM852" s="68"/>
      <c r="AN852" s="68"/>
      <c r="AO852" s="68"/>
      <c r="AP852" s="68"/>
      <c r="AQ852" s="68"/>
      <c r="AR852" s="68"/>
      <c r="AS852" s="68"/>
      <c r="AT852" s="68"/>
      <c r="AU852" s="68"/>
      <c r="AV852" s="68"/>
      <c r="AW852" s="68"/>
      <c r="AX852" s="68"/>
      <c r="AY852" s="68"/>
      <c r="AZ852" s="68"/>
      <c r="BA852" s="68"/>
      <c r="BB852" s="68"/>
      <c r="BC852" s="68"/>
      <c r="BD852" s="68"/>
      <c r="BE852" s="68"/>
      <c r="BF852" s="68"/>
      <c r="BG852" s="68"/>
      <c r="BH852" s="68"/>
      <c r="BI852" s="68"/>
      <c r="BJ852" s="68"/>
      <c r="BK852" s="68"/>
      <c r="BL852" s="68"/>
      <c r="BM852" s="68"/>
      <c r="BN852" s="68"/>
      <c r="BO852" s="68"/>
      <c r="BP852" s="68"/>
      <c r="BQ852" s="68"/>
      <c r="BR852" s="68"/>
      <c r="BS852" s="68"/>
      <c r="BT852" s="68"/>
      <c r="BU852" s="68"/>
      <c r="BV852" s="68"/>
      <c r="BW852" s="68"/>
      <c r="BX852" s="68"/>
      <c r="BY852" s="68"/>
      <c r="BZ852" s="68"/>
      <c r="CA852" s="68"/>
      <c r="CB852" s="68"/>
      <c r="CC852" s="68"/>
      <c r="CD852" s="68"/>
      <c r="CE852" s="68"/>
      <c r="CF852" s="68"/>
      <c r="CG852" s="68"/>
      <c r="CH852" s="68"/>
      <c r="CI852" s="68"/>
      <c r="CJ852" s="68"/>
      <c r="CK852" s="68"/>
      <c r="CL852" s="68"/>
      <c r="CM852" s="68"/>
      <c r="CN852" s="68"/>
      <c r="CO852" s="68"/>
      <c r="CP852" s="68"/>
      <c r="CQ852" s="68"/>
      <c r="CR852" s="68"/>
      <c r="CS852" s="68"/>
      <c r="CT852" s="68"/>
      <c r="CU852" s="68"/>
      <c r="CV852" s="68"/>
      <c r="CW852" s="68"/>
      <c r="CX852" s="68"/>
    </row>
    <row r="853" spans="4:102" s="71" customFormat="1" hidden="1">
      <c r="D853" s="105"/>
      <c r="E853" s="100"/>
      <c r="F853" s="100"/>
      <c r="G853" s="111"/>
      <c r="H853" s="105"/>
      <c r="I853" s="111"/>
      <c r="J853" s="111"/>
      <c r="K853" s="112"/>
      <c r="L853" s="113"/>
      <c r="M853" s="114"/>
      <c r="N853" s="100"/>
      <c r="O853" s="114"/>
      <c r="P853" s="65"/>
      <c r="Q853" s="103"/>
      <c r="R853" s="103"/>
      <c r="S853" s="103"/>
      <c r="T853" s="103"/>
      <c r="U853" s="68"/>
      <c r="V853" s="69"/>
      <c r="W853" s="68"/>
      <c r="X853" s="68"/>
      <c r="Y853" s="68"/>
      <c r="Z853" s="68"/>
      <c r="AA853" s="68"/>
      <c r="AB853" s="68"/>
      <c r="AC853" s="68"/>
      <c r="AD853" s="68"/>
      <c r="AE853" s="68"/>
      <c r="AF853" s="68"/>
      <c r="AG853" s="68"/>
      <c r="AH853" s="68"/>
      <c r="AI853" s="68"/>
      <c r="AJ853" s="68"/>
      <c r="AK853" s="68"/>
      <c r="AL853" s="68"/>
      <c r="AM853" s="68"/>
      <c r="AN853" s="68"/>
      <c r="AO853" s="68"/>
      <c r="AP853" s="68"/>
      <c r="AQ853" s="68"/>
      <c r="AR853" s="68"/>
      <c r="AS853" s="68"/>
      <c r="AT853" s="68"/>
      <c r="AU853" s="68"/>
      <c r="AV853" s="68"/>
      <c r="AW853" s="68"/>
      <c r="AX853" s="68"/>
      <c r="AY853" s="68"/>
      <c r="AZ853" s="68"/>
      <c r="BA853" s="68"/>
      <c r="BB853" s="68"/>
      <c r="BC853" s="68"/>
      <c r="BD853" s="68"/>
      <c r="BE853" s="68"/>
      <c r="BF853" s="68"/>
      <c r="BG853" s="68"/>
      <c r="BH853" s="68"/>
      <c r="BI853" s="68"/>
      <c r="BJ853" s="68"/>
      <c r="BK853" s="68"/>
      <c r="BL853" s="68"/>
      <c r="BM853" s="68"/>
      <c r="BN853" s="68"/>
      <c r="BO853" s="68"/>
      <c r="BP853" s="68"/>
      <c r="BQ853" s="68"/>
      <c r="BR853" s="68"/>
      <c r="BS853" s="68"/>
      <c r="BT853" s="68"/>
      <c r="BU853" s="68"/>
      <c r="BV853" s="68"/>
      <c r="BW853" s="68"/>
      <c r="BX853" s="68"/>
      <c r="BY853" s="68"/>
      <c r="BZ853" s="68"/>
      <c r="CA853" s="68"/>
      <c r="CB853" s="68"/>
      <c r="CC853" s="68"/>
      <c r="CD853" s="68"/>
      <c r="CE853" s="68"/>
      <c r="CF853" s="68"/>
      <c r="CG853" s="68"/>
      <c r="CH853" s="68"/>
      <c r="CI853" s="68"/>
      <c r="CJ853" s="68"/>
      <c r="CK853" s="68"/>
      <c r="CL853" s="68"/>
      <c r="CM853" s="68"/>
      <c r="CN853" s="68"/>
      <c r="CO853" s="68"/>
      <c r="CP853" s="68"/>
      <c r="CQ853" s="68"/>
      <c r="CR853" s="68"/>
      <c r="CS853" s="68"/>
      <c r="CT853" s="68"/>
      <c r="CU853" s="68"/>
      <c r="CV853" s="68"/>
      <c r="CW853" s="68"/>
      <c r="CX853" s="68"/>
    </row>
    <row r="854" spans="4:102" s="71" customFormat="1" hidden="1">
      <c r="D854" s="105"/>
      <c r="E854" s="100"/>
      <c r="F854" s="100"/>
      <c r="G854" s="111"/>
      <c r="H854" s="105"/>
      <c r="I854" s="111"/>
      <c r="J854" s="111"/>
      <c r="K854" s="112"/>
      <c r="L854" s="113"/>
      <c r="M854" s="114"/>
      <c r="N854" s="100"/>
      <c r="O854" s="114"/>
      <c r="P854" s="65"/>
      <c r="Q854" s="103"/>
      <c r="R854" s="103"/>
      <c r="S854" s="103"/>
      <c r="T854" s="103"/>
      <c r="U854" s="68"/>
      <c r="V854" s="69"/>
      <c r="W854" s="68"/>
      <c r="X854" s="68"/>
      <c r="Y854" s="68"/>
      <c r="Z854" s="68"/>
      <c r="AA854" s="68"/>
      <c r="AB854" s="68"/>
      <c r="AC854" s="68"/>
      <c r="AD854" s="68"/>
      <c r="AE854" s="68"/>
      <c r="AF854" s="68"/>
      <c r="AG854" s="68"/>
      <c r="AH854" s="68"/>
      <c r="AI854" s="68"/>
      <c r="AJ854" s="68"/>
      <c r="AK854" s="68"/>
      <c r="AL854" s="68"/>
      <c r="AM854" s="68"/>
      <c r="AN854" s="68"/>
      <c r="AO854" s="68"/>
      <c r="AP854" s="68"/>
      <c r="AQ854" s="68"/>
      <c r="AR854" s="68"/>
      <c r="AS854" s="68"/>
      <c r="AT854" s="68"/>
      <c r="AU854" s="68"/>
      <c r="AV854" s="68"/>
      <c r="AW854" s="68"/>
      <c r="AX854" s="68"/>
      <c r="AY854" s="68"/>
      <c r="AZ854" s="68"/>
      <c r="BA854" s="68"/>
      <c r="BB854" s="68"/>
      <c r="BC854" s="68"/>
      <c r="BD854" s="68"/>
      <c r="BE854" s="68"/>
      <c r="BF854" s="68"/>
      <c r="BG854" s="68"/>
      <c r="BH854" s="68"/>
      <c r="BI854" s="68"/>
      <c r="BJ854" s="68"/>
      <c r="BK854" s="68"/>
      <c r="BL854" s="68"/>
      <c r="BM854" s="68"/>
      <c r="BN854" s="68"/>
      <c r="BO854" s="68"/>
      <c r="BP854" s="68"/>
      <c r="BQ854" s="68"/>
      <c r="BR854" s="68"/>
      <c r="BS854" s="68"/>
      <c r="BT854" s="68"/>
      <c r="BU854" s="68"/>
      <c r="BV854" s="68"/>
      <c r="BW854" s="68"/>
      <c r="BX854" s="68"/>
      <c r="BY854" s="68"/>
      <c r="BZ854" s="68"/>
      <c r="CA854" s="68"/>
      <c r="CB854" s="68"/>
      <c r="CC854" s="68"/>
      <c r="CD854" s="68"/>
      <c r="CE854" s="68"/>
      <c r="CF854" s="68"/>
      <c r="CG854" s="68"/>
      <c r="CH854" s="68"/>
      <c r="CI854" s="68"/>
      <c r="CJ854" s="68"/>
      <c r="CK854" s="68"/>
      <c r="CL854" s="68"/>
      <c r="CM854" s="68"/>
      <c r="CN854" s="68"/>
      <c r="CO854" s="68"/>
      <c r="CP854" s="68"/>
      <c r="CQ854" s="68"/>
      <c r="CR854" s="68"/>
      <c r="CS854" s="68"/>
      <c r="CT854" s="68"/>
      <c r="CU854" s="68"/>
      <c r="CV854" s="68"/>
      <c r="CW854" s="68"/>
      <c r="CX854" s="68"/>
    </row>
    <row r="855" spans="4:102" s="71" customFormat="1" hidden="1">
      <c r="D855" s="105"/>
      <c r="E855" s="100"/>
      <c r="F855" s="100"/>
      <c r="G855" s="111"/>
      <c r="H855" s="105"/>
      <c r="I855" s="111"/>
      <c r="J855" s="111"/>
      <c r="K855" s="112"/>
      <c r="L855" s="113"/>
      <c r="M855" s="114"/>
      <c r="N855" s="100"/>
      <c r="O855" s="114"/>
      <c r="P855" s="65"/>
      <c r="Q855" s="103"/>
      <c r="R855" s="103"/>
      <c r="S855" s="103"/>
      <c r="T855" s="103"/>
      <c r="U855" s="68"/>
      <c r="V855" s="69"/>
      <c r="W855" s="68"/>
      <c r="X855" s="68"/>
      <c r="Y855" s="68"/>
      <c r="Z855" s="68"/>
      <c r="AA855" s="68"/>
      <c r="AB855" s="68"/>
      <c r="AC855" s="68"/>
      <c r="AD855" s="68"/>
      <c r="AE855" s="68"/>
      <c r="AF855" s="68"/>
      <c r="AG855" s="68"/>
      <c r="AH855" s="68"/>
      <c r="AI855" s="68"/>
      <c r="AJ855" s="68"/>
      <c r="AK855" s="68"/>
      <c r="AL855" s="68"/>
      <c r="AM855" s="68"/>
      <c r="AN855" s="68"/>
      <c r="AO855" s="68"/>
      <c r="AP855" s="68"/>
      <c r="AQ855" s="68"/>
      <c r="AR855" s="68"/>
      <c r="AS855" s="68"/>
      <c r="AT855" s="68"/>
      <c r="AU855" s="68"/>
      <c r="AV855" s="68"/>
      <c r="AW855" s="68"/>
      <c r="AX855" s="68"/>
      <c r="AY855" s="68"/>
      <c r="AZ855" s="68"/>
      <c r="BA855" s="68"/>
      <c r="BB855" s="68"/>
      <c r="BC855" s="68"/>
      <c r="BD855" s="68"/>
      <c r="BE855" s="68"/>
      <c r="BF855" s="68"/>
      <c r="BG855" s="68"/>
      <c r="BH855" s="68"/>
      <c r="BI855" s="68"/>
      <c r="BJ855" s="68"/>
      <c r="BK855" s="68"/>
      <c r="BL855" s="68"/>
      <c r="BM855" s="68"/>
      <c r="BN855" s="68"/>
      <c r="BO855" s="68"/>
      <c r="BP855" s="68"/>
      <c r="BQ855" s="68"/>
      <c r="BR855" s="68"/>
      <c r="BS855" s="68"/>
      <c r="BT855" s="68"/>
      <c r="BU855" s="68"/>
      <c r="BV855" s="68"/>
      <c r="BW855" s="68"/>
      <c r="BX855" s="68"/>
      <c r="BY855" s="68"/>
      <c r="BZ855" s="68"/>
      <c r="CA855" s="68"/>
      <c r="CB855" s="68"/>
      <c r="CC855" s="68"/>
      <c r="CD855" s="68"/>
      <c r="CE855" s="68"/>
      <c r="CF855" s="68"/>
      <c r="CG855" s="68"/>
      <c r="CH855" s="68"/>
      <c r="CI855" s="68"/>
      <c r="CJ855" s="68"/>
      <c r="CK855" s="68"/>
      <c r="CL855" s="68"/>
      <c r="CM855" s="68"/>
      <c r="CN855" s="68"/>
      <c r="CO855" s="68"/>
      <c r="CP855" s="68"/>
      <c r="CQ855" s="68"/>
      <c r="CR855" s="68"/>
      <c r="CS855" s="68"/>
      <c r="CT855" s="68"/>
      <c r="CU855" s="68"/>
      <c r="CV855" s="68"/>
      <c r="CW855" s="68"/>
      <c r="CX855" s="68"/>
    </row>
    <row r="856" spans="4:102" s="71" customFormat="1" hidden="1">
      <c r="D856" s="105"/>
      <c r="E856" s="100"/>
      <c r="F856" s="100"/>
      <c r="G856" s="111"/>
      <c r="H856" s="105"/>
      <c r="I856" s="111"/>
      <c r="J856" s="111"/>
      <c r="K856" s="112"/>
      <c r="L856" s="113"/>
      <c r="M856" s="114"/>
      <c r="N856" s="100"/>
      <c r="O856" s="114"/>
      <c r="P856" s="65"/>
      <c r="Q856" s="103"/>
      <c r="R856" s="103"/>
      <c r="S856" s="103"/>
      <c r="T856" s="103"/>
      <c r="U856" s="68"/>
      <c r="V856" s="69"/>
      <c r="W856" s="68"/>
      <c r="X856" s="68"/>
      <c r="Y856" s="68"/>
      <c r="Z856" s="68"/>
      <c r="AA856" s="68"/>
      <c r="AB856" s="68"/>
      <c r="AC856" s="68"/>
      <c r="AD856" s="68"/>
      <c r="AE856" s="68"/>
      <c r="AF856" s="68"/>
      <c r="AG856" s="68"/>
      <c r="AH856" s="68"/>
      <c r="AI856" s="68"/>
      <c r="AJ856" s="68"/>
      <c r="AK856" s="68"/>
      <c r="AL856" s="68"/>
      <c r="AM856" s="68"/>
      <c r="AN856" s="68"/>
      <c r="AO856" s="68"/>
      <c r="AP856" s="68"/>
      <c r="AQ856" s="68"/>
      <c r="AR856" s="68"/>
      <c r="AS856" s="68"/>
      <c r="AT856" s="68"/>
      <c r="AU856" s="68"/>
      <c r="AV856" s="68"/>
      <c r="AW856" s="68"/>
      <c r="AX856" s="68"/>
      <c r="AY856" s="68"/>
      <c r="AZ856" s="68"/>
      <c r="BA856" s="68"/>
      <c r="BB856" s="68"/>
      <c r="BC856" s="68"/>
      <c r="BD856" s="68"/>
      <c r="BE856" s="68"/>
      <c r="BF856" s="68"/>
      <c r="BG856" s="68"/>
      <c r="BH856" s="68"/>
      <c r="BI856" s="68"/>
      <c r="BJ856" s="68"/>
      <c r="BK856" s="68"/>
      <c r="BL856" s="68"/>
      <c r="BM856" s="68"/>
      <c r="BN856" s="68"/>
      <c r="BO856" s="68"/>
      <c r="BP856" s="68"/>
      <c r="BQ856" s="68"/>
      <c r="BR856" s="68"/>
      <c r="BS856" s="68"/>
      <c r="BT856" s="68"/>
      <c r="BU856" s="68"/>
      <c r="BV856" s="68"/>
      <c r="BW856" s="68"/>
      <c r="BX856" s="68"/>
      <c r="BY856" s="68"/>
      <c r="BZ856" s="68"/>
      <c r="CA856" s="68"/>
      <c r="CB856" s="68"/>
      <c r="CC856" s="68"/>
      <c r="CD856" s="68"/>
      <c r="CE856" s="68"/>
      <c r="CF856" s="68"/>
      <c r="CG856" s="68"/>
      <c r="CH856" s="68"/>
      <c r="CI856" s="68"/>
      <c r="CJ856" s="68"/>
      <c r="CK856" s="68"/>
      <c r="CL856" s="68"/>
      <c r="CM856" s="68"/>
      <c r="CN856" s="68"/>
      <c r="CO856" s="68"/>
      <c r="CP856" s="68"/>
      <c r="CQ856" s="68"/>
      <c r="CR856" s="68"/>
      <c r="CS856" s="68"/>
      <c r="CT856" s="68"/>
      <c r="CU856" s="68"/>
      <c r="CV856" s="68"/>
      <c r="CW856" s="68"/>
      <c r="CX856" s="68"/>
    </row>
    <row r="857" spans="4:102" s="71" customFormat="1" hidden="1">
      <c r="D857" s="105"/>
      <c r="E857" s="100"/>
      <c r="F857" s="100"/>
      <c r="G857" s="111"/>
      <c r="H857" s="105"/>
      <c r="I857" s="111"/>
      <c r="J857" s="111"/>
      <c r="K857" s="112"/>
      <c r="L857" s="113"/>
      <c r="M857" s="114"/>
      <c r="N857" s="100"/>
      <c r="O857" s="114"/>
      <c r="P857" s="65"/>
      <c r="Q857" s="103"/>
      <c r="R857" s="103"/>
      <c r="S857" s="103"/>
      <c r="T857" s="103"/>
      <c r="U857" s="68"/>
      <c r="V857" s="69"/>
      <c r="W857" s="68"/>
      <c r="X857" s="68"/>
      <c r="Y857" s="68"/>
      <c r="Z857" s="68"/>
      <c r="AA857" s="68"/>
      <c r="AB857" s="68"/>
      <c r="AC857" s="68"/>
      <c r="AD857" s="68"/>
      <c r="AE857" s="68"/>
      <c r="AF857" s="68"/>
      <c r="AG857" s="68"/>
      <c r="AH857" s="68"/>
      <c r="AI857" s="68"/>
      <c r="AJ857" s="68"/>
      <c r="AK857" s="68"/>
      <c r="AL857" s="68"/>
      <c r="AM857" s="68"/>
      <c r="AN857" s="68"/>
      <c r="AO857" s="68"/>
      <c r="AP857" s="68"/>
      <c r="AQ857" s="68"/>
      <c r="AR857" s="68"/>
      <c r="AS857" s="68"/>
      <c r="AT857" s="68"/>
      <c r="AU857" s="68"/>
      <c r="AV857" s="68"/>
      <c r="AW857" s="68"/>
      <c r="AX857" s="68"/>
      <c r="AY857" s="68"/>
      <c r="AZ857" s="68"/>
      <c r="BA857" s="68"/>
      <c r="BB857" s="68"/>
      <c r="BC857" s="68"/>
      <c r="BD857" s="68"/>
      <c r="BE857" s="68"/>
      <c r="BF857" s="68"/>
      <c r="BG857" s="68"/>
      <c r="BH857" s="68"/>
      <c r="BI857" s="68"/>
      <c r="BJ857" s="68"/>
      <c r="BK857" s="68"/>
      <c r="BL857" s="68"/>
      <c r="BM857" s="68"/>
      <c r="BN857" s="68"/>
      <c r="BO857" s="68"/>
      <c r="BP857" s="68"/>
      <c r="BQ857" s="68"/>
      <c r="BR857" s="68"/>
      <c r="BS857" s="68"/>
      <c r="BT857" s="68"/>
      <c r="BU857" s="68"/>
      <c r="BV857" s="68"/>
      <c r="BW857" s="68"/>
      <c r="BX857" s="68"/>
      <c r="BY857" s="68"/>
      <c r="BZ857" s="68"/>
      <c r="CA857" s="68"/>
      <c r="CB857" s="68"/>
      <c r="CC857" s="68"/>
      <c r="CD857" s="68"/>
      <c r="CE857" s="68"/>
      <c r="CF857" s="68"/>
      <c r="CG857" s="68"/>
      <c r="CH857" s="68"/>
      <c r="CI857" s="68"/>
      <c r="CJ857" s="68"/>
      <c r="CK857" s="68"/>
      <c r="CL857" s="68"/>
      <c r="CM857" s="68"/>
      <c r="CN857" s="68"/>
      <c r="CO857" s="68"/>
      <c r="CP857" s="68"/>
      <c r="CQ857" s="68"/>
      <c r="CR857" s="68"/>
      <c r="CS857" s="68"/>
      <c r="CT857" s="68"/>
      <c r="CU857" s="68"/>
      <c r="CV857" s="68"/>
      <c r="CW857" s="68"/>
      <c r="CX857" s="68"/>
    </row>
    <row r="858" spans="4:102" s="71" customFormat="1" hidden="1">
      <c r="D858" s="105"/>
      <c r="E858" s="100"/>
      <c r="F858" s="100"/>
      <c r="G858" s="111"/>
      <c r="H858" s="105"/>
      <c r="I858" s="111"/>
      <c r="J858" s="111"/>
      <c r="K858" s="112"/>
      <c r="L858" s="113"/>
      <c r="M858" s="114"/>
      <c r="N858" s="100"/>
      <c r="O858" s="114"/>
      <c r="P858" s="65"/>
      <c r="Q858" s="103"/>
      <c r="R858" s="103"/>
      <c r="S858" s="103"/>
      <c r="T858" s="103"/>
      <c r="U858" s="68"/>
      <c r="V858" s="69"/>
      <c r="W858" s="68"/>
      <c r="X858" s="68"/>
      <c r="Y858" s="68"/>
      <c r="Z858" s="68"/>
      <c r="AA858" s="68"/>
      <c r="AB858" s="68"/>
      <c r="AC858" s="68"/>
      <c r="AD858" s="68"/>
      <c r="AE858" s="68"/>
      <c r="AF858" s="68"/>
      <c r="AG858" s="68"/>
      <c r="AH858" s="68"/>
      <c r="AI858" s="68"/>
      <c r="AJ858" s="68"/>
      <c r="AK858" s="68"/>
      <c r="AL858" s="68"/>
      <c r="AM858" s="68"/>
      <c r="AN858" s="68"/>
      <c r="AO858" s="68"/>
      <c r="AP858" s="68"/>
      <c r="AQ858" s="68"/>
      <c r="AR858" s="68"/>
      <c r="AS858" s="68"/>
      <c r="AT858" s="68"/>
      <c r="AU858" s="68"/>
      <c r="AV858" s="68"/>
      <c r="AW858" s="68"/>
      <c r="AX858" s="68"/>
      <c r="AY858" s="68"/>
      <c r="AZ858" s="68"/>
      <c r="BA858" s="68"/>
      <c r="BB858" s="68"/>
      <c r="BC858" s="68"/>
      <c r="BD858" s="68"/>
      <c r="BE858" s="68"/>
      <c r="BF858" s="68"/>
      <c r="BG858" s="68"/>
      <c r="BH858" s="68"/>
      <c r="BI858" s="68"/>
      <c r="BJ858" s="68"/>
      <c r="BK858" s="68"/>
      <c r="BL858" s="68"/>
      <c r="BM858" s="68"/>
      <c r="BN858" s="68"/>
      <c r="BO858" s="68"/>
      <c r="BP858" s="68"/>
      <c r="BQ858" s="68"/>
      <c r="BR858" s="68"/>
      <c r="BS858" s="68"/>
      <c r="BT858" s="68"/>
      <c r="BU858" s="68"/>
      <c r="BV858" s="68"/>
      <c r="BW858" s="68"/>
      <c r="BX858" s="68"/>
      <c r="BY858" s="68"/>
      <c r="BZ858" s="68"/>
      <c r="CA858" s="68"/>
      <c r="CB858" s="68"/>
      <c r="CC858" s="68"/>
      <c r="CD858" s="68"/>
      <c r="CE858" s="68"/>
      <c r="CF858" s="68"/>
      <c r="CG858" s="68"/>
      <c r="CH858" s="68"/>
      <c r="CI858" s="68"/>
      <c r="CJ858" s="68"/>
      <c r="CK858" s="68"/>
      <c r="CL858" s="68"/>
      <c r="CM858" s="68"/>
      <c r="CN858" s="68"/>
      <c r="CO858" s="68"/>
      <c r="CP858" s="68"/>
      <c r="CQ858" s="68"/>
      <c r="CR858" s="68"/>
      <c r="CS858" s="68"/>
      <c r="CT858" s="68"/>
      <c r="CU858" s="68"/>
      <c r="CV858" s="68"/>
      <c r="CW858" s="68"/>
      <c r="CX858" s="68"/>
    </row>
    <row r="859" spans="4:102" s="71" customFormat="1" hidden="1">
      <c r="D859" s="105"/>
      <c r="E859" s="100"/>
      <c r="F859" s="100"/>
      <c r="G859" s="111"/>
      <c r="H859" s="105"/>
      <c r="I859" s="111"/>
      <c r="J859" s="111"/>
      <c r="K859" s="112"/>
      <c r="L859" s="113"/>
      <c r="M859" s="114"/>
      <c r="N859" s="100"/>
      <c r="O859" s="114"/>
      <c r="P859" s="65"/>
      <c r="Q859" s="103"/>
      <c r="R859" s="103"/>
      <c r="S859" s="103"/>
      <c r="T859" s="103"/>
      <c r="U859" s="68"/>
      <c r="V859" s="69"/>
      <c r="W859" s="68"/>
      <c r="X859" s="68"/>
      <c r="Y859" s="68"/>
      <c r="Z859" s="68"/>
      <c r="AA859" s="68"/>
      <c r="AB859" s="68"/>
      <c r="AC859" s="68"/>
      <c r="AD859" s="68"/>
      <c r="AE859" s="68"/>
      <c r="AF859" s="68"/>
      <c r="AG859" s="68"/>
      <c r="AH859" s="68"/>
      <c r="AI859" s="68"/>
      <c r="AJ859" s="68"/>
      <c r="AK859" s="68"/>
      <c r="AL859" s="68"/>
      <c r="AM859" s="68"/>
      <c r="AN859" s="68"/>
      <c r="AO859" s="68"/>
      <c r="AP859" s="68"/>
      <c r="AQ859" s="68"/>
      <c r="AR859" s="68"/>
      <c r="AS859" s="68"/>
      <c r="AT859" s="68"/>
      <c r="AU859" s="68"/>
      <c r="AV859" s="68"/>
      <c r="AW859" s="68"/>
      <c r="AX859" s="68"/>
      <c r="AY859" s="68"/>
      <c r="AZ859" s="68"/>
      <c r="BA859" s="68"/>
      <c r="BB859" s="68"/>
      <c r="BC859" s="68"/>
      <c r="BD859" s="68"/>
      <c r="BE859" s="68"/>
      <c r="BF859" s="68"/>
      <c r="BG859" s="68"/>
      <c r="BH859" s="68"/>
      <c r="BI859" s="68"/>
      <c r="BJ859" s="68"/>
      <c r="BK859" s="68"/>
      <c r="BL859" s="68"/>
      <c r="BM859" s="68"/>
      <c r="BN859" s="68"/>
      <c r="BO859" s="68"/>
      <c r="BP859" s="68"/>
      <c r="BQ859" s="68"/>
      <c r="BR859" s="68"/>
      <c r="BS859" s="68"/>
      <c r="BT859" s="68"/>
      <c r="BU859" s="68"/>
      <c r="BV859" s="68"/>
      <c r="BW859" s="68"/>
      <c r="BX859" s="68"/>
      <c r="BY859" s="68"/>
      <c r="BZ859" s="68"/>
      <c r="CA859" s="68"/>
      <c r="CB859" s="68"/>
      <c r="CC859" s="68"/>
      <c r="CD859" s="68"/>
      <c r="CE859" s="68"/>
      <c r="CF859" s="68"/>
      <c r="CG859" s="68"/>
      <c r="CH859" s="68"/>
      <c r="CI859" s="68"/>
      <c r="CJ859" s="68"/>
      <c r="CK859" s="68"/>
      <c r="CL859" s="68"/>
      <c r="CM859" s="68"/>
      <c r="CN859" s="68"/>
      <c r="CO859" s="68"/>
      <c r="CP859" s="68"/>
      <c r="CQ859" s="68"/>
      <c r="CR859" s="68"/>
      <c r="CS859" s="68"/>
      <c r="CT859" s="68"/>
      <c r="CU859" s="68"/>
      <c r="CV859" s="68"/>
      <c r="CW859" s="68"/>
      <c r="CX859" s="68"/>
    </row>
    <row r="860" spans="4:102" s="71" customFormat="1" hidden="1">
      <c r="D860" s="105"/>
      <c r="E860" s="100"/>
      <c r="F860" s="100"/>
      <c r="G860" s="111"/>
      <c r="H860" s="105"/>
      <c r="I860" s="111"/>
      <c r="J860" s="111"/>
      <c r="K860" s="112"/>
      <c r="L860" s="113"/>
      <c r="M860" s="114"/>
      <c r="N860" s="100"/>
      <c r="O860" s="114"/>
      <c r="P860" s="65"/>
      <c r="Q860" s="103"/>
      <c r="R860" s="103"/>
      <c r="S860" s="103"/>
      <c r="T860" s="103"/>
      <c r="U860" s="68"/>
      <c r="V860" s="69"/>
      <c r="W860" s="68"/>
      <c r="X860" s="68"/>
      <c r="Y860" s="68"/>
      <c r="Z860" s="68"/>
      <c r="AA860" s="68"/>
      <c r="AB860" s="68"/>
      <c r="AC860" s="68"/>
      <c r="AD860" s="68"/>
      <c r="AE860" s="68"/>
      <c r="AF860" s="68"/>
      <c r="AG860" s="68"/>
      <c r="AH860" s="68"/>
      <c r="AI860" s="68"/>
      <c r="AJ860" s="68"/>
      <c r="AK860" s="68"/>
      <c r="AL860" s="68"/>
      <c r="AM860" s="68"/>
      <c r="AN860" s="68"/>
      <c r="AO860" s="68"/>
      <c r="AP860" s="68"/>
      <c r="AQ860" s="68"/>
      <c r="AR860" s="68"/>
      <c r="AS860" s="68"/>
      <c r="AT860" s="68"/>
      <c r="AU860" s="68"/>
      <c r="AV860" s="68"/>
      <c r="AW860" s="68"/>
      <c r="AX860" s="68"/>
      <c r="AY860" s="68"/>
      <c r="AZ860" s="68"/>
      <c r="BA860" s="68"/>
      <c r="BB860" s="68"/>
      <c r="BC860" s="68"/>
      <c r="BD860" s="68"/>
      <c r="BE860" s="68"/>
      <c r="BF860" s="68"/>
      <c r="BG860" s="68"/>
      <c r="BH860" s="68"/>
      <c r="BI860" s="68"/>
      <c r="BJ860" s="68"/>
      <c r="BK860" s="68"/>
      <c r="BL860" s="68"/>
      <c r="BM860" s="68"/>
      <c r="BN860" s="68"/>
      <c r="BO860" s="68"/>
      <c r="BP860" s="68"/>
      <c r="BQ860" s="68"/>
      <c r="BR860" s="68"/>
      <c r="BS860" s="68"/>
      <c r="BT860" s="68"/>
      <c r="BU860" s="68"/>
      <c r="BV860" s="68"/>
      <c r="BW860" s="68"/>
      <c r="BX860" s="68"/>
      <c r="BY860" s="68"/>
      <c r="BZ860" s="68"/>
      <c r="CA860" s="68"/>
      <c r="CB860" s="68"/>
      <c r="CC860" s="68"/>
      <c r="CD860" s="68"/>
      <c r="CE860" s="68"/>
      <c r="CF860" s="68"/>
      <c r="CG860" s="68"/>
      <c r="CH860" s="68"/>
      <c r="CI860" s="68"/>
      <c r="CJ860" s="68"/>
      <c r="CK860" s="68"/>
      <c r="CL860" s="68"/>
      <c r="CM860" s="68"/>
      <c r="CN860" s="68"/>
      <c r="CO860" s="68"/>
      <c r="CP860" s="68"/>
      <c r="CQ860" s="68"/>
      <c r="CR860" s="68"/>
      <c r="CS860" s="68"/>
      <c r="CT860" s="68"/>
      <c r="CU860" s="68"/>
      <c r="CV860" s="68"/>
      <c r="CW860" s="68"/>
      <c r="CX860" s="68"/>
    </row>
    <row r="861" spans="4:102" s="71" customFormat="1" hidden="1">
      <c r="D861" s="105"/>
      <c r="E861" s="100"/>
      <c r="F861" s="100"/>
      <c r="G861" s="111"/>
      <c r="H861" s="105"/>
      <c r="I861" s="111"/>
      <c r="J861" s="111"/>
      <c r="K861" s="112"/>
      <c r="L861" s="113"/>
      <c r="M861" s="114"/>
      <c r="N861" s="100"/>
      <c r="O861" s="114"/>
      <c r="P861" s="65"/>
      <c r="Q861" s="103"/>
      <c r="R861" s="103"/>
      <c r="S861" s="103"/>
      <c r="T861" s="103"/>
      <c r="U861" s="68"/>
      <c r="V861" s="69"/>
      <c r="W861" s="68"/>
      <c r="X861" s="68"/>
      <c r="Y861" s="68"/>
      <c r="Z861" s="68"/>
      <c r="AA861" s="68"/>
      <c r="AB861" s="68"/>
      <c r="AC861" s="68"/>
      <c r="AD861" s="68"/>
      <c r="AE861" s="68"/>
      <c r="AF861" s="68"/>
      <c r="AG861" s="68"/>
      <c r="AH861" s="68"/>
      <c r="AI861" s="68"/>
      <c r="AJ861" s="68"/>
      <c r="AK861" s="68"/>
      <c r="AL861" s="68"/>
      <c r="AM861" s="68"/>
      <c r="AN861" s="68"/>
      <c r="AO861" s="68"/>
      <c r="AP861" s="68"/>
      <c r="AQ861" s="68"/>
      <c r="AR861" s="68"/>
      <c r="AS861" s="68"/>
      <c r="AT861" s="68"/>
      <c r="AU861" s="68"/>
      <c r="AV861" s="68"/>
      <c r="AW861" s="68"/>
      <c r="AX861" s="68"/>
      <c r="AY861" s="68"/>
      <c r="AZ861" s="68"/>
      <c r="BA861" s="68"/>
      <c r="BB861" s="68"/>
      <c r="BC861" s="68"/>
      <c r="BD861" s="68"/>
      <c r="BE861" s="68"/>
      <c r="BF861" s="68"/>
      <c r="BG861" s="68"/>
      <c r="BH861" s="68"/>
      <c r="BI861" s="68"/>
      <c r="BJ861" s="68"/>
      <c r="BK861" s="68"/>
      <c r="BL861" s="68"/>
      <c r="BM861" s="68"/>
      <c r="BN861" s="68"/>
      <c r="BO861" s="68"/>
      <c r="BP861" s="68"/>
      <c r="BQ861" s="68"/>
      <c r="BR861" s="68"/>
      <c r="BS861" s="68"/>
      <c r="BT861" s="68"/>
      <c r="BU861" s="68"/>
      <c r="BV861" s="68"/>
      <c r="BW861" s="68"/>
      <c r="BX861" s="68"/>
      <c r="BY861" s="68"/>
      <c r="BZ861" s="68"/>
      <c r="CA861" s="68"/>
      <c r="CB861" s="68"/>
      <c r="CC861" s="68"/>
      <c r="CD861" s="68"/>
      <c r="CE861" s="68"/>
      <c r="CF861" s="68"/>
      <c r="CG861" s="68"/>
      <c r="CH861" s="68"/>
      <c r="CI861" s="68"/>
      <c r="CJ861" s="68"/>
      <c r="CK861" s="68"/>
      <c r="CL861" s="68"/>
      <c r="CM861" s="68"/>
      <c r="CN861" s="68"/>
      <c r="CO861" s="68"/>
      <c r="CP861" s="68"/>
      <c r="CQ861" s="68"/>
      <c r="CR861" s="68"/>
      <c r="CS861" s="68"/>
      <c r="CT861" s="68"/>
      <c r="CU861" s="68"/>
      <c r="CV861" s="68"/>
      <c r="CW861" s="68"/>
      <c r="CX861" s="68"/>
    </row>
    <row r="862" spans="4:102" s="71" customFormat="1" hidden="1">
      <c r="D862" s="105"/>
      <c r="E862" s="100"/>
      <c r="F862" s="100"/>
      <c r="G862" s="111"/>
      <c r="H862" s="105"/>
      <c r="I862" s="111"/>
      <c r="J862" s="111"/>
      <c r="K862" s="112"/>
      <c r="L862" s="113"/>
      <c r="M862" s="114"/>
      <c r="N862" s="100"/>
      <c r="O862" s="114"/>
      <c r="P862" s="65"/>
      <c r="Q862" s="103"/>
      <c r="R862" s="103"/>
      <c r="S862" s="103"/>
      <c r="T862" s="103"/>
      <c r="U862" s="68"/>
      <c r="V862" s="69"/>
      <c r="W862" s="68"/>
      <c r="X862" s="68"/>
      <c r="Y862" s="68"/>
      <c r="Z862" s="68"/>
      <c r="AA862" s="68"/>
      <c r="AB862" s="68"/>
      <c r="AC862" s="68"/>
      <c r="AD862" s="68"/>
      <c r="AE862" s="68"/>
      <c r="AF862" s="68"/>
      <c r="AG862" s="68"/>
      <c r="AH862" s="68"/>
      <c r="AI862" s="68"/>
      <c r="AJ862" s="68"/>
      <c r="AK862" s="68"/>
      <c r="AL862" s="68"/>
      <c r="AM862" s="68"/>
      <c r="AN862" s="68"/>
      <c r="AO862" s="68"/>
      <c r="AP862" s="68"/>
      <c r="AQ862" s="68"/>
      <c r="AR862" s="68"/>
      <c r="AS862" s="68"/>
      <c r="AT862" s="68"/>
      <c r="AU862" s="68"/>
      <c r="AV862" s="68"/>
      <c r="AW862" s="68"/>
      <c r="AX862" s="68"/>
      <c r="AY862" s="68"/>
      <c r="AZ862" s="68"/>
      <c r="BA862" s="68"/>
      <c r="BB862" s="68"/>
      <c r="BC862" s="68"/>
      <c r="BD862" s="68"/>
      <c r="BE862" s="68"/>
      <c r="BF862" s="68"/>
      <c r="BG862" s="68"/>
      <c r="BH862" s="68"/>
      <c r="BI862" s="68"/>
      <c r="BJ862" s="68"/>
      <c r="BK862" s="68"/>
      <c r="BL862" s="68"/>
      <c r="BM862" s="68"/>
      <c r="BN862" s="68"/>
      <c r="BO862" s="68"/>
      <c r="BP862" s="68"/>
      <c r="BQ862" s="68"/>
      <c r="BR862" s="68"/>
      <c r="BS862" s="68"/>
      <c r="BT862" s="68"/>
      <c r="BU862" s="68"/>
      <c r="BV862" s="68"/>
      <c r="BW862" s="68"/>
      <c r="BX862" s="68"/>
      <c r="BY862" s="68"/>
      <c r="BZ862" s="68"/>
      <c r="CA862" s="68"/>
      <c r="CB862" s="68"/>
      <c r="CC862" s="68"/>
      <c r="CD862" s="68"/>
      <c r="CE862" s="68"/>
      <c r="CF862" s="68"/>
      <c r="CG862" s="68"/>
      <c r="CH862" s="68"/>
      <c r="CI862" s="68"/>
      <c r="CJ862" s="68"/>
      <c r="CK862" s="68"/>
      <c r="CL862" s="68"/>
      <c r="CM862" s="68"/>
      <c r="CN862" s="68"/>
      <c r="CO862" s="68"/>
      <c r="CP862" s="68"/>
      <c r="CQ862" s="68"/>
      <c r="CR862" s="68"/>
      <c r="CS862" s="68"/>
      <c r="CT862" s="68"/>
      <c r="CU862" s="68"/>
      <c r="CV862" s="68"/>
      <c r="CW862" s="68"/>
      <c r="CX862" s="68"/>
    </row>
    <row r="863" spans="4:102" s="71" customFormat="1" hidden="1">
      <c r="D863" s="105"/>
      <c r="E863" s="100"/>
      <c r="F863" s="100"/>
      <c r="G863" s="111"/>
      <c r="H863" s="105"/>
      <c r="I863" s="111"/>
      <c r="J863" s="111"/>
      <c r="K863" s="112"/>
      <c r="L863" s="113"/>
      <c r="M863" s="114"/>
      <c r="N863" s="100"/>
      <c r="O863" s="114"/>
      <c r="P863" s="65"/>
      <c r="Q863" s="103"/>
      <c r="R863" s="103"/>
      <c r="S863" s="103"/>
      <c r="T863" s="103"/>
      <c r="U863" s="68"/>
      <c r="V863" s="69"/>
      <c r="W863" s="68"/>
      <c r="X863" s="68"/>
      <c r="Y863" s="68"/>
      <c r="Z863" s="68"/>
      <c r="AA863" s="68"/>
      <c r="AB863" s="68"/>
      <c r="AC863" s="68"/>
      <c r="AD863" s="68"/>
      <c r="AE863" s="68"/>
      <c r="AF863" s="68"/>
      <c r="AG863" s="68"/>
      <c r="AH863" s="68"/>
      <c r="AI863" s="68"/>
      <c r="AJ863" s="68"/>
      <c r="AK863" s="68"/>
      <c r="AL863" s="68"/>
      <c r="AM863" s="68"/>
      <c r="AN863" s="68"/>
      <c r="AO863" s="68"/>
      <c r="AP863" s="68"/>
      <c r="AQ863" s="68"/>
      <c r="AR863" s="68"/>
      <c r="AS863" s="68"/>
      <c r="AT863" s="68"/>
      <c r="AU863" s="68"/>
      <c r="AV863" s="68"/>
      <c r="AW863" s="68"/>
      <c r="AX863" s="68"/>
      <c r="AY863" s="68"/>
      <c r="AZ863" s="68"/>
      <c r="BA863" s="68"/>
      <c r="BB863" s="68"/>
      <c r="BC863" s="68"/>
      <c r="BD863" s="68"/>
      <c r="BE863" s="68"/>
      <c r="BF863" s="68"/>
      <c r="BG863" s="68"/>
      <c r="BH863" s="68"/>
      <c r="BI863" s="68"/>
      <c r="BJ863" s="68"/>
      <c r="BK863" s="68"/>
      <c r="BL863" s="68"/>
      <c r="BM863" s="68"/>
      <c r="BN863" s="68"/>
      <c r="BO863" s="68"/>
      <c r="BP863" s="68"/>
      <c r="BQ863" s="68"/>
      <c r="BR863" s="68"/>
      <c r="BS863" s="68"/>
      <c r="BT863" s="68"/>
      <c r="BU863" s="68"/>
      <c r="BV863" s="68"/>
      <c r="BW863" s="68"/>
      <c r="BX863" s="68"/>
      <c r="BY863" s="68"/>
      <c r="BZ863" s="68"/>
      <c r="CA863" s="68"/>
      <c r="CB863" s="68"/>
      <c r="CC863" s="68"/>
      <c r="CD863" s="68"/>
      <c r="CE863" s="68"/>
      <c r="CF863" s="68"/>
      <c r="CG863" s="68"/>
      <c r="CH863" s="68"/>
      <c r="CI863" s="68"/>
      <c r="CJ863" s="68"/>
      <c r="CK863" s="68"/>
      <c r="CL863" s="68"/>
      <c r="CM863" s="68"/>
      <c r="CN863" s="68"/>
      <c r="CO863" s="68"/>
      <c r="CP863" s="68"/>
      <c r="CQ863" s="68"/>
      <c r="CR863" s="68"/>
      <c r="CS863" s="68"/>
      <c r="CT863" s="68"/>
      <c r="CU863" s="68"/>
      <c r="CV863" s="68"/>
      <c r="CW863" s="68"/>
      <c r="CX863" s="68"/>
    </row>
    <row r="864" spans="4:102" s="71" customFormat="1" hidden="1">
      <c r="D864" s="105"/>
      <c r="E864" s="100"/>
      <c r="F864" s="100"/>
      <c r="G864" s="111"/>
      <c r="H864" s="105"/>
      <c r="I864" s="111"/>
      <c r="J864" s="111"/>
      <c r="K864" s="112"/>
      <c r="L864" s="113"/>
      <c r="M864" s="114"/>
      <c r="N864" s="100"/>
      <c r="O864" s="114"/>
      <c r="P864" s="65"/>
      <c r="Q864" s="103"/>
      <c r="R864" s="103"/>
      <c r="S864" s="103"/>
      <c r="T864" s="103"/>
      <c r="U864" s="68"/>
      <c r="V864" s="69"/>
      <c r="W864" s="68"/>
      <c r="X864" s="68"/>
      <c r="Y864" s="68"/>
      <c r="Z864" s="68"/>
      <c r="AA864" s="68"/>
      <c r="AB864" s="68"/>
      <c r="AC864" s="68"/>
      <c r="AD864" s="68"/>
      <c r="AE864" s="68"/>
      <c r="AF864" s="68"/>
      <c r="AG864" s="68"/>
      <c r="AH864" s="68"/>
      <c r="AI864" s="68"/>
      <c r="AJ864" s="68"/>
      <c r="AK864" s="68"/>
      <c r="AL864" s="68"/>
      <c r="AM864" s="68"/>
      <c r="AN864" s="68"/>
      <c r="AO864" s="68"/>
      <c r="AP864" s="68"/>
      <c r="AQ864" s="68"/>
      <c r="AR864" s="68"/>
      <c r="AS864" s="68"/>
      <c r="AT864" s="68"/>
      <c r="AU864" s="68"/>
      <c r="AV864" s="68"/>
      <c r="AW864" s="68"/>
      <c r="AX864" s="68"/>
      <c r="AY864" s="68"/>
      <c r="AZ864" s="68"/>
      <c r="BA864" s="68"/>
      <c r="BB864" s="68"/>
      <c r="BC864" s="68"/>
      <c r="BD864" s="68"/>
      <c r="BE864" s="68"/>
      <c r="BF864" s="68"/>
      <c r="BG864" s="68"/>
      <c r="BH864" s="68"/>
      <c r="BI864" s="68"/>
      <c r="BJ864" s="68"/>
      <c r="BK864" s="68"/>
      <c r="BL864" s="68"/>
      <c r="BM864" s="68"/>
      <c r="BN864" s="68"/>
      <c r="BO864" s="68"/>
      <c r="BP864" s="68"/>
      <c r="BQ864" s="68"/>
      <c r="BR864" s="68"/>
      <c r="BS864" s="68"/>
      <c r="BT864" s="68"/>
      <c r="BU864" s="68"/>
      <c r="BV864" s="68"/>
      <c r="BW864" s="68"/>
      <c r="BX864" s="68"/>
      <c r="BY864" s="68"/>
      <c r="BZ864" s="68"/>
      <c r="CA864" s="68"/>
      <c r="CB864" s="68"/>
      <c r="CC864" s="68"/>
      <c r="CD864" s="68"/>
      <c r="CE864" s="68"/>
      <c r="CF864" s="68"/>
      <c r="CG864" s="68"/>
      <c r="CH864" s="68"/>
      <c r="CI864" s="68"/>
      <c r="CJ864" s="68"/>
      <c r="CK864" s="68"/>
      <c r="CL864" s="68"/>
      <c r="CM864" s="68"/>
      <c r="CN864" s="68"/>
      <c r="CO864" s="68"/>
      <c r="CP864" s="68"/>
      <c r="CQ864" s="68"/>
      <c r="CR864" s="68"/>
      <c r="CS864" s="68"/>
      <c r="CT864" s="68"/>
      <c r="CU864" s="68"/>
      <c r="CV864" s="68"/>
      <c r="CW864" s="68"/>
      <c r="CX864" s="68"/>
    </row>
    <row r="865" spans="4:102" s="71" customFormat="1" hidden="1">
      <c r="D865" s="105"/>
      <c r="E865" s="100"/>
      <c r="F865" s="100"/>
      <c r="G865" s="111"/>
      <c r="H865" s="105"/>
      <c r="I865" s="111"/>
      <c r="J865" s="111"/>
      <c r="K865" s="112"/>
      <c r="L865" s="113"/>
      <c r="M865" s="114"/>
      <c r="N865" s="100"/>
      <c r="O865" s="114"/>
      <c r="P865" s="65"/>
      <c r="Q865" s="103"/>
      <c r="R865" s="103"/>
      <c r="S865" s="103"/>
      <c r="T865" s="103"/>
      <c r="U865" s="68"/>
      <c r="V865" s="69"/>
      <c r="W865" s="68"/>
      <c r="X865" s="68"/>
      <c r="Y865" s="68"/>
      <c r="Z865" s="68"/>
      <c r="AA865" s="68"/>
      <c r="AB865" s="68"/>
      <c r="AC865" s="68"/>
      <c r="AD865" s="68"/>
      <c r="AE865" s="68"/>
      <c r="AF865" s="68"/>
      <c r="AG865" s="68"/>
      <c r="AH865" s="68"/>
      <c r="AI865" s="68"/>
      <c r="AJ865" s="68"/>
      <c r="AK865" s="68"/>
      <c r="AL865" s="68"/>
      <c r="AM865" s="68"/>
      <c r="AN865" s="68"/>
      <c r="AO865" s="68"/>
      <c r="AP865" s="68"/>
      <c r="AQ865" s="68"/>
      <c r="AR865" s="68"/>
      <c r="AS865" s="68"/>
      <c r="AT865" s="68"/>
      <c r="AU865" s="68"/>
      <c r="AV865" s="68"/>
      <c r="AW865" s="68"/>
      <c r="AX865" s="68"/>
      <c r="AY865" s="68"/>
      <c r="AZ865" s="68"/>
      <c r="BA865" s="68"/>
      <c r="BB865" s="68"/>
      <c r="BC865" s="68"/>
      <c r="BD865" s="68"/>
      <c r="BE865" s="68"/>
      <c r="BF865" s="68"/>
      <c r="BG865" s="68"/>
      <c r="BH865" s="68"/>
      <c r="BI865" s="68"/>
      <c r="BJ865" s="68"/>
      <c r="BK865" s="68"/>
      <c r="BL865" s="68"/>
      <c r="BM865" s="68"/>
      <c r="BN865" s="68"/>
      <c r="BO865" s="68"/>
      <c r="BP865" s="68"/>
      <c r="BQ865" s="68"/>
      <c r="BR865" s="68"/>
      <c r="BS865" s="68"/>
      <c r="BT865" s="68"/>
      <c r="BU865" s="68"/>
      <c r="BV865" s="68"/>
      <c r="BW865" s="68"/>
      <c r="BX865" s="68"/>
      <c r="BY865" s="68"/>
      <c r="BZ865" s="68"/>
      <c r="CA865" s="68"/>
      <c r="CB865" s="68"/>
      <c r="CC865" s="68"/>
      <c r="CD865" s="68"/>
      <c r="CE865" s="68"/>
      <c r="CF865" s="68"/>
      <c r="CG865" s="68"/>
      <c r="CH865" s="68"/>
      <c r="CI865" s="68"/>
      <c r="CJ865" s="68"/>
      <c r="CK865" s="68"/>
      <c r="CL865" s="68"/>
      <c r="CM865" s="68"/>
      <c r="CN865" s="68"/>
      <c r="CO865" s="68"/>
      <c r="CP865" s="68"/>
      <c r="CQ865" s="68"/>
      <c r="CR865" s="68"/>
      <c r="CS865" s="68"/>
      <c r="CT865" s="68"/>
      <c r="CU865" s="68"/>
      <c r="CV865" s="68"/>
      <c r="CW865" s="68"/>
      <c r="CX865" s="68"/>
    </row>
    <row r="866" spans="4:102" s="71" customFormat="1" hidden="1">
      <c r="D866" s="105"/>
      <c r="E866" s="100"/>
      <c r="F866" s="100"/>
      <c r="G866" s="111"/>
      <c r="H866" s="105"/>
      <c r="I866" s="111"/>
      <c r="J866" s="111"/>
      <c r="K866" s="112"/>
      <c r="L866" s="113"/>
      <c r="M866" s="114"/>
      <c r="N866" s="100"/>
      <c r="O866" s="114"/>
      <c r="P866" s="65"/>
      <c r="Q866" s="103"/>
      <c r="R866" s="103"/>
      <c r="S866" s="103"/>
      <c r="T866" s="103"/>
      <c r="U866" s="68"/>
      <c r="V866" s="69"/>
      <c r="W866" s="68"/>
      <c r="X866" s="68"/>
      <c r="Y866" s="68"/>
      <c r="Z866" s="68"/>
      <c r="AA866" s="68"/>
      <c r="AB866" s="68"/>
      <c r="AC866" s="68"/>
      <c r="AD866" s="68"/>
      <c r="AE866" s="68"/>
      <c r="AF866" s="68"/>
      <c r="AG866" s="68"/>
      <c r="AH866" s="68"/>
      <c r="AI866" s="68"/>
      <c r="AJ866" s="68"/>
      <c r="AK866" s="68"/>
      <c r="AL866" s="68"/>
      <c r="AM866" s="68"/>
      <c r="AN866" s="68"/>
      <c r="AO866" s="68"/>
      <c r="AP866" s="68"/>
      <c r="AQ866" s="68"/>
      <c r="AR866" s="68"/>
      <c r="AS866" s="68"/>
      <c r="AT866" s="68"/>
      <c r="AU866" s="68"/>
      <c r="AV866" s="68"/>
      <c r="AW866" s="68"/>
      <c r="AX866" s="68"/>
      <c r="AY866" s="68"/>
      <c r="AZ866" s="68"/>
      <c r="BA866" s="68"/>
      <c r="BB866" s="68"/>
      <c r="BC866" s="68"/>
      <c r="BD866" s="68"/>
      <c r="BE866" s="68"/>
      <c r="BF866" s="68"/>
      <c r="BG866" s="68"/>
      <c r="BH866" s="68"/>
      <c r="BI866" s="68"/>
      <c r="BJ866" s="68"/>
      <c r="BK866" s="68"/>
      <c r="BL866" s="68"/>
      <c r="BM866" s="68"/>
      <c r="BN866" s="68"/>
      <c r="BO866" s="68"/>
      <c r="BP866" s="68"/>
      <c r="BQ866" s="68"/>
      <c r="BR866" s="68"/>
      <c r="BS866" s="68"/>
      <c r="BT866" s="68"/>
      <c r="BU866" s="68"/>
      <c r="BV866" s="68"/>
      <c r="BW866" s="68"/>
      <c r="BX866" s="68"/>
      <c r="BY866" s="68"/>
      <c r="BZ866" s="68"/>
      <c r="CA866" s="68"/>
      <c r="CB866" s="68"/>
      <c r="CC866" s="68"/>
      <c r="CD866" s="68"/>
      <c r="CE866" s="68"/>
      <c r="CF866" s="68"/>
      <c r="CG866" s="68"/>
      <c r="CH866" s="68"/>
      <c r="CI866" s="68"/>
      <c r="CJ866" s="68"/>
      <c r="CK866" s="68"/>
      <c r="CL866" s="68"/>
      <c r="CM866" s="68"/>
      <c r="CN866" s="68"/>
      <c r="CO866" s="68"/>
      <c r="CP866" s="68"/>
      <c r="CQ866" s="68"/>
      <c r="CR866" s="68"/>
      <c r="CS866" s="68"/>
      <c r="CT866" s="68"/>
      <c r="CU866" s="68"/>
      <c r="CV866" s="68"/>
      <c r="CW866" s="68"/>
      <c r="CX866" s="68"/>
    </row>
    <row r="867" spans="4:102" s="71" customFormat="1" hidden="1">
      <c r="D867" s="105"/>
      <c r="E867" s="100"/>
      <c r="F867" s="100"/>
      <c r="G867" s="111"/>
      <c r="H867" s="105"/>
      <c r="I867" s="111"/>
      <c r="J867" s="111"/>
      <c r="K867" s="112"/>
      <c r="L867" s="113"/>
      <c r="M867" s="114"/>
      <c r="N867" s="100"/>
      <c r="O867" s="114"/>
      <c r="P867" s="65"/>
      <c r="Q867" s="103"/>
      <c r="R867" s="103"/>
      <c r="S867" s="103"/>
      <c r="T867" s="103"/>
      <c r="U867" s="68"/>
      <c r="V867" s="69"/>
      <c r="W867" s="68"/>
      <c r="X867" s="68"/>
      <c r="Y867" s="68"/>
      <c r="Z867" s="68"/>
      <c r="AA867" s="68"/>
      <c r="AB867" s="68"/>
      <c r="AC867" s="68"/>
      <c r="AD867" s="68"/>
      <c r="AE867" s="68"/>
      <c r="AF867" s="68"/>
      <c r="AG867" s="68"/>
      <c r="AH867" s="68"/>
      <c r="AI867" s="68"/>
      <c r="AJ867" s="68"/>
      <c r="AK867" s="68"/>
      <c r="AL867" s="68"/>
      <c r="AM867" s="68"/>
      <c r="AN867" s="68"/>
      <c r="AO867" s="68"/>
      <c r="AP867" s="68"/>
      <c r="AQ867" s="68"/>
      <c r="AR867" s="68"/>
      <c r="AS867" s="68"/>
      <c r="AT867" s="68"/>
      <c r="AU867" s="68"/>
      <c r="AV867" s="68"/>
      <c r="AW867" s="68"/>
      <c r="AX867" s="68"/>
      <c r="AY867" s="68"/>
      <c r="AZ867" s="68"/>
      <c r="BA867" s="68"/>
      <c r="BB867" s="68"/>
      <c r="BC867" s="68"/>
      <c r="BD867" s="68"/>
      <c r="BE867" s="68"/>
      <c r="BF867" s="68"/>
      <c r="BG867" s="68"/>
      <c r="BH867" s="68"/>
      <c r="BI867" s="68"/>
      <c r="BJ867" s="68"/>
      <c r="BK867" s="68"/>
      <c r="BL867" s="68"/>
      <c r="BM867" s="68"/>
      <c r="BN867" s="68"/>
      <c r="BO867" s="68"/>
      <c r="BP867" s="68"/>
      <c r="BQ867" s="68"/>
      <c r="BR867" s="68"/>
      <c r="BS867" s="68"/>
      <c r="BT867" s="68"/>
      <c r="BU867" s="68"/>
      <c r="BV867" s="68"/>
      <c r="BW867" s="68"/>
      <c r="BX867" s="68"/>
      <c r="BY867" s="68"/>
      <c r="BZ867" s="68"/>
      <c r="CA867" s="68"/>
      <c r="CB867" s="68"/>
      <c r="CC867" s="68"/>
      <c r="CD867" s="68"/>
      <c r="CE867" s="68"/>
      <c r="CF867" s="68"/>
      <c r="CG867" s="68"/>
      <c r="CH867" s="68"/>
      <c r="CI867" s="68"/>
      <c r="CJ867" s="68"/>
      <c r="CK867" s="68"/>
      <c r="CL867" s="68"/>
      <c r="CM867" s="68"/>
      <c r="CN867" s="68"/>
      <c r="CO867" s="68"/>
      <c r="CP867" s="68"/>
      <c r="CQ867" s="68"/>
      <c r="CR867" s="68"/>
      <c r="CS867" s="68"/>
      <c r="CT867" s="68"/>
      <c r="CU867" s="68"/>
      <c r="CV867" s="68"/>
      <c r="CW867" s="68"/>
      <c r="CX867" s="68"/>
    </row>
    <row r="868" spans="4:102" s="71" customFormat="1" hidden="1">
      <c r="D868" s="105"/>
      <c r="E868" s="100"/>
      <c r="F868" s="100"/>
      <c r="G868" s="111"/>
      <c r="H868" s="105"/>
      <c r="I868" s="111"/>
      <c r="J868" s="111"/>
      <c r="K868" s="112"/>
      <c r="L868" s="113"/>
      <c r="M868" s="114"/>
      <c r="N868" s="100"/>
      <c r="O868" s="114"/>
      <c r="P868" s="65"/>
      <c r="Q868" s="103"/>
      <c r="R868" s="103"/>
      <c r="S868" s="103"/>
      <c r="T868" s="103"/>
      <c r="U868" s="68"/>
      <c r="V868" s="69"/>
      <c r="W868" s="68"/>
      <c r="X868" s="68"/>
      <c r="Y868" s="68"/>
      <c r="Z868" s="68"/>
      <c r="AA868" s="68"/>
      <c r="AB868" s="68"/>
      <c r="AC868" s="68"/>
      <c r="AD868" s="68"/>
      <c r="AE868" s="68"/>
      <c r="AF868" s="68"/>
      <c r="AG868" s="68"/>
      <c r="AH868" s="68"/>
      <c r="AI868" s="68"/>
      <c r="AJ868" s="68"/>
      <c r="AK868" s="68"/>
      <c r="AL868" s="68"/>
      <c r="AM868" s="68"/>
      <c r="AN868" s="68"/>
      <c r="AO868" s="68"/>
      <c r="AP868" s="68"/>
      <c r="AQ868" s="68"/>
      <c r="AR868" s="68"/>
      <c r="AS868" s="68"/>
      <c r="AT868" s="68"/>
      <c r="AU868" s="68"/>
      <c r="AV868" s="68"/>
      <c r="AW868" s="68"/>
      <c r="AX868" s="68"/>
      <c r="AY868" s="68"/>
      <c r="AZ868" s="68"/>
      <c r="BA868" s="68"/>
      <c r="BB868" s="68"/>
      <c r="BC868" s="68"/>
      <c r="BD868" s="68"/>
      <c r="BE868" s="68"/>
      <c r="BF868" s="68"/>
      <c r="BG868" s="68"/>
      <c r="BH868" s="68"/>
      <c r="BI868" s="68"/>
      <c r="BJ868" s="68"/>
      <c r="BK868" s="68"/>
      <c r="BL868" s="68"/>
      <c r="BM868" s="68"/>
      <c r="BN868" s="68"/>
      <c r="BO868" s="68"/>
      <c r="BP868" s="68"/>
      <c r="BQ868" s="68"/>
      <c r="BR868" s="68"/>
      <c r="BS868" s="68"/>
      <c r="BT868" s="68"/>
      <c r="BU868" s="68"/>
      <c r="BV868" s="68"/>
      <c r="BW868" s="68"/>
      <c r="BX868" s="68"/>
      <c r="BY868" s="68"/>
      <c r="BZ868" s="68"/>
      <c r="CA868" s="68"/>
      <c r="CB868" s="68"/>
      <c r="CC868" s="68"/>
      <c r="CD868" s="68"/>
      <c r="CE868" s="68"/>
      <c r="CF868" s="68"/>
      <c r="CG868" s="68"/>
      <c r="CH868" s="68"/>
      <c r="CI868" s="68"/>
      <c r="CJ868" s="68"/>
      <c r="CK868" s="68"/>
      <c r="CL868" s="68"/>
      <c r="CM868" s="68"/>
      <c r="CN868" s="68"/>
      <c r="CO868" s="68"/>
      <c r="CP868" s="68"/>
      <c r="CQ868" s="68"/>
      <c r="CR868" s="68"/>
      <c r="CS868" s="68"/>
      <c r="CT868" s="68"/>
      <c r="CU868" s="68"/>
      <c r="CV868" s="68"/>
      <c r="CW868" s="68"/>
      <c r="CX868" s="68"/>
    </row>
    <row r="869" spans="4:102" s="71" customFormat="1" hidden="1">
      <c r="D869" s="105"/>
      <c r="E869" s="100"/>
      <c r="F869" s="100"/>
      <c r="G869" s="111"/>
      <c r="H869" s="105"/>
      <c r="I869" s="111"/>
      <c r="J869" s="111"/>
      <c r="K869" s="112"/>
      <c r="L869" s="113"/>
      <c r="M869" s="114"/>
      <c r="N869" s="100"/>
      <c r="O869" s="114"/>
      <c r="P869" s="65"/>
      <c r="Q869" s="103"/>
      <c r="R869" s="103"/>
      <c r="S869" s="103"/>
      <c r="T869" s="103"/>
      <c r="U869" s="68"/>
      <c r="V869" s="69"/>
      <c r="W869" s="68"/>
      <c r="X869" s="68"/>
      <c r="Y869" s="68"/>
      <c r="Z869" s="68"/>
      <c r="AA869" s="68"/>
      <c r="AB869" s="68"/>
      <c r="AC869" s="68"/>
      <c r="AD869" s="68"/>
      <c r="AE869" s="68"/>
      <c r="AF869" s="68"/>
      <c r="AG869" s="68"/>
      <c r="AH869" s="68"/>
      <c r="AI869" s="68"/>
      <c r="AJ869" s="68"/>
      <c r="AK869" s="68"/>
      <c r="AL869" s="68"/>
      <c r="AM869" s="68"/>
      <c r="AN869" s="68"/>
      <c r="AO869" s="68"/>
      <c r="AP869" s="68"/>
      <c r="AQ869" s="68"/>
      <c r="AR869" s="68"/>
      <c r="AS869" s="68"/>
      <c r="AT869" s="68"/>
      <c r="AU869" s="68"/>
      <c r="AV869" s="68"/>
      <c r="AW869" s="68"/>
      <c r="AX869" s="68"/>
      <c r="AY869" s="68"/>
      <c r="AZ869" s="68"/>
      <c r="BA869" s="68"/>
      <c r="BB869" s="68"/>
      <c r="BC869" s="68"/>
      <c r="BD869" s="68"/>
      <c r="BE869" s="68"/>
      <c r="BF869" s="68"/>
      <c r="BG869" s="68"/>
      <c r="BH869" s="68"/>
      <c r="BI869" s="68"/>
      <c r="BJ869" s="68"/>
      <c r="BK869" s="68"/>
      <c r="BL869" s="68"/>
      <c r="BM869" s="68"/>
      <c r="BN869" s="68"/>
      <c r="BO869" s="68"/>
      <c r="BP869" s="68"/>
      <c r="BQ869" s="68"/>
      <c r="BR869" s="68"/>
      <c r="BS869" s="68"/>
      <c r="BT869" s="68"/>
      <c r="BU869" s="68"/>
      <c r="BV869" s="68"/>
      <c r="BW869" s="68"/>
      <c r="BX869" s="68"/>
      <c r="BY869" s="68"/>
      <c r="BZ869" s="68"/>
      <c r="CA869" s="68"/>
      <c r="CB869" s="68"/>
      <c r="CC869" s="68"/>
      <c r="CD869" s="68"/>
      <c r="CE869" s="68"/>
      <c r="CF869" s="68"/>
      <c r="CG869" s="68"/>
      <c r="CH869" s="68"/>
      <c r="CI869" s="68"/>
      <c r="CJ869" s="68"/>
      <c r="CK869" s="68"/>
      <c r="CL869" s="68"/>
      <c r="CM869" s="68"/>
      <c r="CN869" s="68"/>
      <c r="CO869" s="68"/>
      <c r="CP869" s="68"/>
      <c r="CQ869" s="68"/>
      <c r="CR869" s="68"/>
      <c r="CS869" s="68"/>
      <c r="CT869" s="68"/>
      <c r="CU869" s="68"/>
      <c r="CV869" s="68"/>
      <c r="CW869" s="68"/>
      <c r="CX869" s="68"/>
    </row>
    <row r="870" spans="4:102" s="71" customFormat="1" hidden="1">
      <c r="D870" s="105"/>
      <c r="E870" s="100"/>
      <c r="F870" s="100"/>
      <c r="G870" s="111"/>
      <c r="H870" s="105"/>
      <c r="I870" s="111"/>
      <c r="J870" s="111"/>
      <c r="K870" s="112"/>
      <c r="L870" s="113"/>
      <c r="M870" s="114"/>
      <c r="N870" s="100"/>
      <c r="O870" s="114"/>
      <c r="P870" s="65"/>
      <c r="Q870" s="103"/>
      <c r="R870" s="103"/>
      <c r="S870" s="103"/>
      <c r="T870" s="103"/>
      <c r="U870" s="68"/>
      <c r="V870" s="69"/>
      <c r="W870" s="68"/>
      <c r="X870" s="68"/>
      <c r="Y870" s="68"/>
      <c r="Z870" s="68"/>
      <c r="AA870" s="68"/>
      <c r="AB870" s="68"/>
      <c r="AC870" s="68"/>
      <c r="AD870" s="68"/>
      <c r="AE870" s="68"/>
      <c r="AF870" s="68"/>
      <c r="AG870" s="68"/>
      <c r="AH870" s="68"/>
      <c r="AI870" s="68"/>
      <c r="AJ870" s="68"/>
      <c r="AK870" s="68"/>
      <c r="AL870" s="68"/>
      <c r="AM870" s="68"/>
      <c r="AN870" s="68"/>
      <c r="AO870" s="68"/>
      <c r="AP870" s="68"/>
      <c r="AQ870" s="68"/>
      <c r="AR870" s="68"/>
      <c r="AS870" s="68"/>
      <c r="AT870" s="68"/>
      <c r="AU870" s="68"/>
      <c r="AV870" s="68"/>
      <c r="AW870" s="68"/>
      <c r="AX870" s="68"/>
      <c r="AY870" s="68"/>
      <c r="AZ870" s="68"/>
      <c r="BA870" s="68"/>
      <c r="BB870" s="68"/>
      <c r="BC870" s="68"/>
      <c r="BD870" s="68"/>
      <c r="BE870" s="68"/>
      <c r="BF870" s="68"/>
      <c r="BG870" s="68"/>
      <c r="BH870" s="68"/>
      <c r="BI870" s="68"/>
      <c r="BJ870" s="68"/>
      <c r="BK870" s="68"/>
      <c r="BL870" s="68"/>
      <c r="BM870" s="68"/>
      <c r="BN870" s="68"/>
      <c r="BO870" s="68"/>
      <c r="BP870" s="68"/>
      <c r="BQ870" s="68"/>
      <c r="BR870" s="68"/>
      <c r="BS870" s="68"/>
      <c r="BT870" s="68"/>
      <c r="BU870" s="68"/>
      <c r="BV870" s="68"/>
      <c r="BW870" s="68"/>
      <c r="BX870" s="68"/>
      <c r="BY870" s="68"/>
      <c r="BZ870" s="68"/>
      <c r="CA870" s="68"/>
      <c r="CB870" s="68"/>
      <c r="CC870" s="68"/>
      <c r="CD870" s="68"/>
      <c r="CE870" s="68"/>
      <c r="CF870" s="68"/>
      <c r="CG870" s="68"/>
      <c r="CH870" s="68"/>
      <c r="CI870" s="68"/>
      <c r="CJ870" s="68"/>
      <c r="CK870" s="68"/>
      <c r="CL870" s="68"/>
      <c r="CM870" s="68"/>
      <c r="CN870" s="68"/>
      <c r="CO870" s="68"/>
      <c r="CP870" s="68"/>
      <c r="CQ870" s="68"/>
      <c r="CR870" s="68"/>
      <c r="CS870" s="68"/>
      <c r="CT870" s="68"/>
      <c r="CU870" s="68"/>
      <c r="CV870" s="68"/>
      <c r="CW870" s="68"/>
      <c r="CX870" s="68"/>
    </row>
    <row r="871" spans="4:102" s="71" customFormat="1" hidden="1">
      <c r="D871" s="105"/>
      <c r="E871" s="100"/>
      <c r="F871" s="100"/>
      <c r="G871" s="111"/>
      <c r="H871" s="105"/>
      <c r="I871" s="111"/>
      <c r="J871" s="111"/>
      <c r="K871" s="112"/>
      <c r="L871" s="113"/>
      <c r="M871" s="114"/>
      <c r="N871" s="100"/>
      <c r="O871" s="114"/>
      <c r="P871" s="65"/>
      <c r="Q871" s="103"/>
      <c r="R871" s="103"/>
      <c r="S871" s="103"/>
      <c r="T871" s="103"/>
      <c r="U871" s="68"/>
      <c r="V871" s="69"/>
      <c r="W871" s="68"/>
      <c r="X871" s="68"/>
      <c r="Y871" s="68"/>
      <c r="Z871" s="68"/>
      <c r="AA871" s="68"/>
      <c r="AB871" s="68"/>
      <c r="AC871" s="68"/>
      <c r="AD871" s="68"/>
      <c r="AE871" s="68"/>
      <c r="AF871" s="68"/>
      <c r="AG871" s="68"/>
      <c r="AH871" s="68"/>
      <c r="AI871" s="68"/>
      <c r="AJ871" s="68"/>
      <c r="AK871" s="68"/>
      <c r="AL871" s="68"/>
      <c r="AM871" s="68"/>
      <c r="AN871" s="68"/>
      <c r="AO871" s="68"/>
      <c r="AP871" s="68"/>
      <c r="AQ871" s="68"/>
      <c r="AR871" s="68"/>
      <c r="AS871" s="68"/>
      <c r="AT871" s="68"/>
      <c r="AU871" s="68"/>
      <c r="AV871" s="68"/>
      <c r="AW871" s="68"/>
      <c r="AX871" s="68"/>
      <c r="AY871" s="68"/>
      <c r="AZ871" s="68"/>
      <c r="BA871" s="68"/>
      <c r="BB871" s="68"/>
      <c r="BC871" s="68"/>
      <c r="BD871" s="68"/>
      <c r="BE871" s="68"/>
      <c r="BF871" s="68"/>
      <c r="BG871" s="68"/>
      <c r="BH871" s="68"/>
      <c r="BI871" s="68"/>
      <c r="BJ871" s="68"/>
      <c r="BK871" s="68"/>
      <c r="BL871" s="68"/>
      <c r="BM871" s="68"/>
      <c r="BN871" s="68"/>
      <c r="BO871" s="68"/>
      <c r="BP871" s="68"/>
      <c r="BQ871" s="68"/>
      <c r="BR871" s="68"/>
      <c r="BS871" s="68"/>
      <c r="BT871" s="68"/>
      <c r="BU871" s="68"/>
      <c r="BV871" s="68"/>
      <c r="BW871" s="68"/>
      <c r="BX871" s="68"/>
      <c r="BY871" s="68"/>
      <c r="BZ871" s="68"/>
      <c r="CA871" s="68"/>
      <c r="CB871" s="68"/>
      <c r="CC871" s="68"/>
      <c r="CD871" s="68"/>
      <c r="CE871" s="68"/>
      <c r="CF871" s="68"/>
      <c r="CG871" s="68"/>
      <c r="CH871" s="68"/>
      <c r="CI871" s="68"/>
      <c r="CJ871" s="68"/>
      <c r="CK871" s="68"/>
      <c r="CL871" s="68"/>
      <c r="CM871" s="68"/>
      <c r="CN871" s="68"/>
      <c r="CO871" s="68"/>
      <c r="CP871" s="68"/>
      <c r="CQ871" s="68"/>
      <c r="CR871" s="68"/>
      <c r="CS871" s="68"/>
      <c r="CT871" s="68"/>
      <c r="CU871" s="68"/>
      <c r="CV871" s="68"/>
      <c r="CW871" s="68"/>
      <c r="CX871" s="68"/>
    </row>
    <row r="872" spans="4:102" s="71" customFormat="1" hidden="1">
      <c r="D872" s="105"/>
      <c r="E872" s="100"/>
      <c r="F872" s="100"/>
      <c r="G872" s="111"/>
      <c r="H872" s="105"/>
      <c r="I872" s="111"/>
      <c r="J872" s="111"/>
      <c r="K872" s="112"/>
      <c r="L872" s="113"/>
      <c r="M872" s="114"/>
      <c r="N872" s="100"/>
      <c r="O872" s="114"/>
      <c r="P872" s="65"/>
      <c r="Q872" s="103"/>
      <c r="R872" s="103"/>
      <c r="S872" s="103"/>
      <c r="T872" s="103"/>
      <c r="U872" s="68"/>
      <c r="V872" s="69"/>
      <c r="W872" s="68"/>
      <c r="X872" s="68"/>
      <c r="Y872" s="68"/>
      <c r="Z872" s="68"/>
      <c r="AA872" s="68"/>
      <c r="AB872" s="68"/>
      <c r="AC872" s="68"/>
      <c r="AD872" s="68"/>
      <c r="AE872" s="68"/>
      <c r="AF872" s="68"/>
      <c r="AG872" s="68"/>
      <c r="AH872" s="68"/>
      <c r="AI872" s="68"/>
      <c r="AJ872" s="68"/>
      <c r="AK872" s="68"/>
      <c r="AL872" s="68"/>
      <c r="AM872" s="68"/>
      <c r="AN872" s="68"/>
      <c r="AO872" s="68"/>
      <c r="AP872" s="68"/>
      <c r="AQ872" s="68"/>
      <c r="AR872" s="68"/>
      <c r="AS872" s="68"/>
      <c r="AT872" s="68"/>
      <c r="AU872" s="68"/>
      <c r="AV872" s="68"/>
      <c r="AW872" s="68"/>
      <c r="AX872" s="68"/>
      <c r="AY872" s="68"/>
      <c r="AZ872" s="68"/>
      <c r="BA872" s="68"/>
      <c r="BB872" s="68"/>
      <c r="BC872" s="68"/>
      <c r="BD872" s="68"/>
      <c r="BE872" s="68"/>
      <c r="BF872" s="68"/>
      <c r="BG872" s="68"/>
      <c r="BH872" s="68"/>
      <c r="BI872" s="68"/>
      <c r="BJ872" s="68"/>
      <c r="BK872" s="68"/>
      <c r="BL872" s="68"/>
      <c r="BM872" s="68"/>
      <c r="BN872" s="68"/>
      <c r="BO872" s="68"/>
      <c r="BP872" s="68"/>
      <c r="BQ872" s="68"/>
      <c r="BR872" s="68"/>
      <c r="BS872" s="68"/>
      <c r="BT872" s="68"/>
      <c r="BU872" s="68"/>
      <c r="BV872" s="68"/>
      <c r="BW872" s="68"/>
      <c r="BX872" s="68"/>
      <c r="BY872" s="68"/>
      <c r="BZ872" s="68"/>
      <c r="CA872" s="68"/>
      <c r="CB872" s="68"/>
      <c r="CC872" s="68"/>
      <c r="CD872" s="68"/>
      <c r="CE872" s="68"/>
      <c r="CF872" s="68"/>
      <c r="CG872" s="68"/>
      <c r="CH872" s="68"/>
      <c r="CI872" s="68"/>
      <c r="CJ872" s="68"/>
      <c r="CK872" s="68"/>
      <c r="CL872" s="68"/>
      <c r="CM872" s="68"/>
      <c r="CN872" s="68"/>
      <c r="CO872" s="68"/>
      <c r="CP872" s="68"/>
      <c r="CQ872" s="68"/>
      <c r="CR872" s="68"/>
      <c r="CS872" s="68"/>
      <c r="CT872" s="68"/>
      <c r="CU872" s="68"/>
      <c r="CV872" s="68"/>
      <c r="CW872" s="68"/>
      <c r="CX872" s="68"/>
    </row>
    <row r="873" spans="4:102" s="71" customFormat="1" hidden="1">
      <c r="D873" s="105"/>
      <c r="E873" s="100"/>
      <c r="F873" s="100"/>
      <c r="G873" s="111"/>
      <c r="H873" s="105"/>
      <c r="I873" s="111"/>
      <c r="J873" s="111"/>
      <c r="K873" s="112"/>
      <c r="L873" s="113"/>
      <c r="M873" s="114"/>
      <c r="N873" s="100"/>
      <c r="O873" s="114"/>
      <c r="P873" s="65"/>
      <c r="Q873" s="103"/>
      <c r="R873" s="103"/>
      <c r="S873" s="103"/>
      <c r="T873" s="103"/>
      <c r="U873" s="68"/>
      <c r="V873" s="69"/>
      <c r="W873" s="68"/>
      <c r="X873" s="68"/>
      <c r="Y873" s="68"/>
      <c r="Z873" s="68"/>
      <c r="AA873" s="68"/>
      <c r="AB873" s="68"/>
      <c r="AC873" s="68"/>
      <c r="AD873" s="68"/>
      <c r="AE873" s="68"/>
      <c r="AF873" s="68"/>
      <c r="AG873" s="68"/>
      <c r="AH873" s="68"/>
      <c r="AI873" s="68"/>
      <c r="AJ873" s="68"/>
      <c r="AK873" s="68"/>
      <c r="AL873" s="68"/>
      <c r="AM873" s="68"/>
      <c r="AN873" s="68"/>
      <c r="AO873" s="68"/>
      <c r="AP873" s="68"/>
      <c r="AQ873" s="68"/>
      <c r="AR873" s="68"/>
      <c r="AS873" s="68"/>
      <c r="AT873" s="68"/>
      <c r="AU873" s="68"/>
      <c r="AV873" s="68"/>
      <c r="AW873" s="68"/>
      <c r="AX873" s="68"/>
      <c r="AY873" s="68"/>
      <c r="AZ873" s="68"/>
      <c r="BA873" s="68"/>
      <c r="BB873" s="68"/>
      <c r="BC873" s="68"/>
      <c r="BD873" s="68"/>
      <c r="BE873" s="68"/>
      <c r="BF873" s="68"/>
      <c r="BG873" s="68"/>
      <c r="BH873" s="68"/>
      <c r="BI873" s="68"/>
      <c r="BJ873" s="68"/>
      <c r="BK873" s="68"/>
      <c r="BL873" s="68"/>
      <c r="BM873" s="68"/>
      <c r="BN873" s="68"/>
      <c r="BO873" s="68"/>
      <c r="BP873" s="68"/>
      <c r="BQ873" s="68"/>
      <c r="BR873" s="68"/>
      <c r="BS873" s="68"/>
      <c r="BT873" s="68"/>
      <c r="BU873" s="68"/>
      <c r="BV873" s="68"/>
      <c r="BW873" s="68"/>
      <c r="BX873" s="68"/>
      <c r="BY873" s="68"/>
      <c r="BZ873" s="68"/>
      <c r="CA873" s="68"/>
      <c r="CB873" s="68"/>
      <c r="CC873" s="68"/>
      <c r="CD873" s="68"/>
      <c r="CE873" s="68"/>
      <c r="CF873" s="68"/>
      <c r="CG873" s="68"/>
      <c r="CH873" s="68"/>
      <c r="CI873" s="68"/>
      <c r="CJ873" s="68"/>
      <c r="CK873" s="68"/>
      <c r="CL873" s="68"/>
      <c r="CM873" s="68"/>
      <c r="CN873" s="68"/>
      <c r="CO873" s="68"/>
      <c r="CP873" s="68"/>
      <c r="CQ873" s="68"/>
      <c r="CR873" s="68"/>
      <c r="CS873" s="68"/>
      <c r="CT873" s="68"/>
      <c r="CU873" s="68"/>
      <c r="CV873" s="68"/>
      <c r="CW873" s="68"/>
      <c r="CX873" s="68"/>
    </row>
    <row r="874" spans="4:102" s="71" customFormat="1" hidden="1">
      <c r="D874" s="105"/>
      <c r="E874" s="100"/>
      <c r="F874" s="100"/>
      <c r="G874" s="111"/>
      <c r="H874" s="105"/>
      <c r="I874" s="111"/>
      <c r="J874" s="111"/>
      <c r="K874" s="112"/>
      <c r="L874" s="113"/>
      <c r="M874" s="114"/>
      <c r="N874" s="100"/>
      <c r="O874" s="114"/>
      <c r="P874" s="65"/>
      <c r="Q874" s="103"/>
      <c r="R874" s="103"/>
      <c r="S874" s="103"/>
      <c r="T874" s="103"/>
      <c r="U874" s="68"/>
      <c r="V874" s="69"/>
      <c r="W874" s="68"/>
      <c r="X874" s="68"/>
      <c r="Y874" s="68"/>
      <c r="Z874" s="68"/>
      <c r="AA874" s="68"/>
      <c r="AB874" s="68"/>
      <c r="AC874" s="68"/>
      <c r="AD874" s="68"/>
      <c r="AE874" s="68"/>
      <c r="AF874" s="68"/>
      <c r="AG874" s="68"/>
      <c r="AH874" s="68"/>
      <c r="AI874" s="68"/>
      <c r="AJ874" s="68"/>
      <c r="AK874" s="68"/>
      <c r="AL874" s="68"/>
      <c r="AM874" s="68"/>
      <c r="AN874" s="68"/>
      <c r="AO874" s="68"/>
      <c r="AP874" s="68"/>
      <c r="AQ874" s="68"/>
      <c r="AR874" s="68"/>
      <c r="AS874" s="68"/>
      <c r="AT874" s="68"/>
      <c r="AU874" s="68"/>
      <c r="AV874" s="68"/>
      <c r="AW874" s="68"/>
      <c r="AX874" s="68"/>
      <c r="AY874" s="68"/>
      <c r="AZ874" s="68"/>
      <c r="BA874" s="68"/>
      <c r="BB874" s="68"/>
      <c r="BC874" s="68"/>
      <c r="BD874" s="68"/>
      <c r="BE874" s="68"/>
      <c r="BF874" s="68"/>
      <c r="BG874" s="68"/>
      <c r="BH874" s="68"/>
      <c r="BI874" s="68"/>
      <c r="BJ874" s="68"/>
      <c r="BK874" s="68"/>
      <c r="BL874" s="68"/>
      <c r="BM874" s="68"/>
      <c r="BN874" s="68"/>
      <c r="BO874" s="68"/>
      <c r="BP874" s="68"/>
      <c r="BQ874" s="68"/>
      <c r="BR874" s="68"/>
      <c r="BS874" s="68"/>
      <c r="BT874" s="68"/>
      <c r="BU874" s="68"/>
      <c r="BV874" s="68"/>
      <c r="BW874" s="68"/>
      <c r="BX874" s="68"/>
      <c r="BY874" s="68"/>
      <c r="BZ874" s="68"/>
      <c r="CA874" s="68"/>
      <c r="CB874" s="68"/>
      <c r="CC874" s="68"/>
      <c r="CD874" s="68"/>
      <c r="CE874" s="68"/>
      <c r="CF874" s="68"/>
      <c r="CG874" s="68"/>
      <c r="CH874" s="68"/>
      <c r="CI874" s="68"/>
      <c r="CJ874" s="68"/>
      <c r="CK874" s="68"/>
      <c r="CL874" s="68"/>
      <c r="CM874" s="68"/>
      <c r="CN874" s="68"/>
      <c r="CO874" s="68"/>
      <c r="CP874" s="68"/>
      <c r="CQ874" s="68"/>
      <c r="CR874" s="68"/>
      <c r="CS874" s="68"/>
      <c r="CT874" s="68"/>
      <c r="CU874" s="68"/>
      <c r="CV874" s="68"/>
      <c r="CW874" s="68"/>
      <c r="CX874" s="68"/>
    </row>
    <row r="875" spans="4:102" s="71" customFormat="1" hidden="1">
      <c r="D875" s="105"/>
      <c r="E875" s="100"/>
      <c r="F875" s="100"/>
      <c r="G875" s="111"/>
      <c r="H875" s="105"/>
      <c r="I875" s="111"/>
      <c r="J875" s="111"/>
      <c r="K875" s="112"/>
      <c r="L875" s="113"/>
      <c r="M875" s="114"/>
      <c r="N875" s="100"/>
      <c r="O875" s="114"/>
      <c r="P875" s="65"/>
      <c r="Q875" s="103"/>
      <c r="R875" s="103"/>
      <c r="S875" s="103"/>
      <c r="T875" s="103"/>
      <c r="U875" s="68"/>
      <c r="V875" s="69"/>
      <c r="W875" s="68"/>
      <c r="X875" s="68"/>
      <c r="Y875" s="68"/>
      <c r="Z875" s="68"/>
      <c r="AA875" s="68"/>
      <c r="AB875" s="68"/>
      <c r="AC875" s="68"/>
      <c r="AD875" s="68"/>
      <c r="AE875" s="68"/>
      <c r="AF875" s="68"/>
      <c r="AG875" s="68"/>
      <c r="AH875" s="68"/>
      <c r="AI875" s="68"/>
      <c r="AJ875" s="68"/>
      <c r="AK875" s="68"/>
      <c r="AL875" s="68"/>
      <c r="AM875" s="68"/>
      <c r="AN875" s="68"/>
      <c r="AO875" s="68"/>
      <c r="AP875" s="68"/>
      <c r="AQ875" s="68"/>
      <c r="AR875" s="68"/>
      <c r="AS875" s="68"/>
      <c r="AT875" s="68"/>
      <c r="AU875" s="68"/>
      <c r="AV875" s="68"/>
      <c r="AW875" s="68"/>
      <c r="AX875" s="68"/>
      <c r="AY875" s="68"/>
      <c r="AZ875" s="68"/>
      <c r="BA875" s="68"/>
      <c r="BB875" s="68"/>
      <c r="BC875" s="68"/>
      <c r="BD875" s="68"/>
      <c r="BE875" s="68"/>
      <c r="BF875" s="68"/>
      <c r="BG875" s="68"/>
      <c r="BH875" s="68"/>
      <c r="BI875" s="68"/>
      <c r="BJ875" s="68"/>
      <c r="BK875" s="68"/>
      <c r="BL875" s="68"/>
      <c r="BM875" s="68"/>
      <c r="BN875" s="68"/>
      <c r="BO875" s="68"/>
      <c r="BP875" s="68"/>
      <c r="BQ875" s="68"/>
      <c r="BR875" s="68"/>
      <c r="BS875" s="68"/>
      <c r="BT875" s="68"/>
      <c r="BU875" s="68"/>
      <c r="BV875" s="68"/>
      <c r="BW875" s="68"/>
      <c r="BX875" s="68"/>
      <c r="BY875" s="68"/>
      <c r="BZ875" s="68"/>
      <c r="CA875" s="68"/>
      <c r="CB875" s="68"/>
      <c r="CC875" s="68"/>
      <c r="CD875" s="68"/>
      <c r="CE875" s="68"/>
      <c r="CF875" s="68"/>
      <c r="CG875" s="68"/>
      <c r="CH875" s="68"/>
      <c r="CI875" s="68"/>
      <c r="CJ875" s="68"/>
      <c r="CK875" s="68"/>
      <c r="CL875" s="68"/>
      <c r="CM875" s="68"/>
      <c r="CN875" s="68"/>
      <c r="CO875" s="68"/>
      <c r="CP875" s="68"/>
      <c r="CQ875" s="68"/>
      <c r="CR875" s="68"/>
      <c r="CS875" s="68"/>
      <c r="CT875" s="68"/>
      <c r="CU875" s="68"/>
      <c r="CV875" s="68"/>
      <c r="CW875" s="68"/>
      <c r="CX875" s="68"/>
    </row>
    <row r="876" spans="4:102" s="71" customFormat="1" hidden="1">
      <c r="D876" s="105"/>
      <c r="E876" s="100"/>
      <c r="F876" s="100"/>
      <c r="G876" s="111"/>
      <c r="H876" s="105"/>
      <c r="I876" s="111"/>
      <c r="J876" s="111"/>
      <c r="K876" s="112"/>
      <c r="L876" s="113"/>
      <c r="M876" s="114"/>
      <c r="N876" s="100"/>
      <c r="O876" s="114"/>
      <c r="P876" s="65"/>
      <c r="Q876" s="103"/>
      <c r="R876" s="103"/>
      <c r="S876" s="103"/>
      <c r="T876" s="103"/>
      <c r="U876" s="68"/>
      <c r="V876" s="69"/>
      <c r="W876" s="68"/>
      <c r="X876" s="68"/>
      <c r="Y876" s="68"/>
      <c r="Z876" s="68"/>
      <c r="AA876" s="68"/>
      <c r="AB876" s="68"/>
      <c r="AC876" s="68"/>
      <c r="AD876" s="68"/>
      <c r="AE876" s="68"/>
      <c r="AF876" s="68"/>
      <c r="AG876" s="68"/>
      <c r="AH876" s="68"/>
      <c r="AI876" s="68"/>
      <c r="AJ876" s="68"/>
      <c r="AK876" s="68"/>
      <c r="AL876" s="68"/>
      <c r="AM876" s="68"/>
      <c r="AN876" s="68"/>
      <c r="AO876" s="68"/>
      <c r="AP876" s="68"/>
      <c r="AQ876" s="68"/>
      <c r="AR876" s="68"/>
      <c r="AS876" s="68"/>
      <c r="AT876" s="68"/>
      <c r="AU876" s="68"/>
      <c r="AV876" s="68"/>
      <c r="AW876" s="68"/>
      <c r="AX876" s="68"/>
      <c r="AY876" s="68"/>
      <c r="AZ876" s="68"/>
      <c r="BA876" s="68"/>
      <c r="BB876" s="68"/>
      <c r="BC876" s="68"/>
      <c r="BD876" s="68"/>
      <c r="BE876" s="68"/>
      <c r="BF876" s="68"/>
      <c r="BG876" s="68"/>
      <c r="BH876" s="68"/>
      <c r="BI876" s="68"/>
      <c r="BJ876" s="68"/>
      <c r="BK876" s="68"/>
      <c r="BL876" s="68"/>
      <c r="BM876" s="68"/>
      <c r="BN876" s="68"/>
      <c r="BO876" s="68"/>
      <c r="BP876" s="68"/>
      <c r="BQ876" s="68"/>
      <c r="BR876" s="68"/>
      <c r="BS876" s="68"/>
      <c r="BT876" s="68"/>
      <c r="BU876" s="68"/>
      <c r="BV876" s="68"/>
      <c r="BW876" s="68"/>
      <c r="BX876" s="68"/>
      <c r="BY876" s="68"/>
      <c r="BZ876" s="68"/>
      <c r="CA876" s="68"/>
      <c r="CB876" s="68"/>
      <c r="CC876" s="68"/>
      <c r="CD876" s="68"/>
      <c r="CE876" s="68"/>
      <c r="CF876" s="68"/>
      <c r="CG876" s="68"/>
      <c r="CH876" s="68"/>
      <c r="CI876" s="68"/>
      <c r="CJ876" s="68"/>
      <c r="CK876" s="68"/>
      <c r="CL876" s="68"/>
      <c r="CM876" s="68"/>
      <c r="CN876" s="68"/>
      <c r="CO876" s="68"/>
      <c r="CP876" s="68"/>
      <c r="CQ876" s="68"/>
      <c r="CR876" s="68"/>
      <c r="CS876" s="68"/>
      <c r="CT876" s="68"/>
      <c r="CU876" s="68"/>
      <c r="CV876" s="68"/>
      <c r="CW876" s="68"/>
      <c r="CX876" s="68"/>
    </row>
    <row r="877" spans="4:102" s="71" customFormat="1" hidden="1">
      <c r="D877" s="105"/>
      <c r="E877" s="100"/>
      <c r="F877" s="100"/>
      <c r="G877" s="111"/>
      <c r="H877" s="105"/>
      <c r="I877" s="111"/>
      <c r="J877" s="111"/>
      <c r="K877" s="112"/>
      <c r="L877" s="113"/>
      <c r="M877" s="114"/>
      <c r="N877" s="100"/>
      <c r="O877" s="114"/>
      <c r="P877" s="65"/>
      <c r="Q877" s="103"/>
      <c r="R877" s="103"/>
      <c r="S877" s="103"/>
      <c r="T877" s="103"/>
      <c r="U877" s="68"/>
      <c r="V877" s="69"/>
      <c r="W877" s="68"/>
      <c r="X877" s="68"/>
      <c r="Y877" s="68"/>
      <c r="Z877" s="68"/>
      <c r="AA877" s="68"/>
      <c r="AB877" s="68"/>
      <c r="AC877" s="68"/>
      <c r="AD877" s="68"/>
      <c r="AE877" s="68"/>
      <c r="AF877" s="68"/>
      <c r="AG877" s="68"/>
      <c r="AH877" s="68"/>
      <c r="AI877" s="68"/>
      <c r="AJ877" s="68"/>
      <c r="AK877" s="68"/>
      <c r="AL877" s="68"/>
      <c r="AM877" s="68"/>
      <c r="AN877" s="68"/>
      <c r="AO877" s="68"/>
      <c r="AP877" s="68"/>
      <c r="AQ877" s="68"/>
      <c r="AR877" s="68"/>
      <c r="AS877" s="68"/>
      <c r="AT877" s="68"/>
      <c r="AU877" s="68"/>
      <c r="AV877" s="68"/>
      <c r="AW877" s="68"/>
      <c r="AX877" s="68"/>
      <c r="AY877" s="68"/>
      <c r="AZ877" s="68"/>
      <c r="BA877" s="68"/>
      <c r="BB877" s="68"/>
      <c r="BC877" s="68"/>
      <c r="BD877" s="68"/>
      <c r="BE877" s="68"/>
      <c r="BF877" s="68"/>
      <c r="BG877" s="68"/>
      <c r="BH877" s="68"/>
      <c r="BI877" s="68"/>
      <c r="BJ877" s="68"/>
      <c r="BK877" s="68"/>
      <c r="BL877" s="68"/>
      <c r="BM877" s="68"/>
      <c r="BN877" s="68"/>
      <c r="BO877" s="68"/>
      <c r="BP877" s="68"/>
      <c r="BQ877" s="68"/>
      <c r="BR877" s="68"/>
      <c r="BS877" s="68"/>
      <c r="BT877" s="68"/>
      <c r="BU877" s="68"/>
      <c r="BV877" s="68"/>
      <c r="BW877" s="68"/>
      <c r="BX877" s="68"/>
      <c r="BY877" s="68"/>
      <c r="BZ877" s="68"/>
      <c r="CA877" s="68"/>
      <c r="CB877" s="68"/>
      <c r="CC877" s="68"/>
      <c r="CD877" s="68"/>
      <c r="CE877" s="68"/>
      <c r="CF877" s="68"/>
      <c r="CG877" s="68"/>
      <c r="CH877" s="68"/>
      <c r="CI877" s="68"/>
      <c r="CJ877" s="68"/>
      <c r="CK877" s="68"/>
      <c r="CL877" s="68"/>
      <c r="CM877" s="68"/>
      <c r="CN877" s="68"/>
      <c r="CO877" s="68"/>
      <c r="CP877" s="68"/>
      <c r="CQ877" s="68"/>
      <c r="CR877" s="68"/>
      <c r="CS877" s="68"/>
      <c r="CT877" s="68"/>
      <c r="CU877" s="68"/>
      <c r="CV877" s="68"/>
      <c r="CW877" s="68"/>
      <c r="CX877" s="68"/>
    </row>
    <row r="878" spans="4:102" s="71" customFormat="1" hidden="1">
      <c r="D878" s="105"/>
      <c r="E878" s="100"/>
      <c r="F878" s="100"/>
      <c r="G878" s="111"/>
      <c r="H878" s="105"/>
      <c r="I878" s="111"/>
      <c r="J878" s="111"/>
      <c r="K878" s="112"/>
      <c r="L878" s="113"/>
      <c r="M878" s="114"/>
      <c r="N878" s="100"/>
      <c r="O878" s="114"/>
      <c r="P878" s="65"/>
      <c r="Q878" s="103"/>
      <c r="R878" s="103"/>
      <c r="S878" s="103"/>
      <c r="T878" s="103"/>
      <c r="U878" s="68"/>
      <c r="V878" s="69"/>
      <c r="W878" s="68"/>
      <c r="X878" s="68"/>
      <c r="Y878" s="68"/>
      <c r="Z878" s="68"/>
      <c r="AA878" s="68"/>
      <c r="AB878" s="68"/>
      <c r="AC878" s="68"/>
      <c r="AD878" s="68"/>
      <c r="AE878" s="68"/>
      <c r="AF878" s="68"/>
      <c r="AG878" s="68"/>
      <c r="AH878" s="68"/>
      <c r="AI878" s="68"/>
      <c r="AJ878" s="68"/>
      <c r="AK878" s="68"/>
      <c r="AL878" s="68"/>
      <c r="AM878" s="68"/>
      <c r="AN878" s="68"/>
      <c r="AO878" s="68"/>
      <c r="AP878" s="68"/>
      <c r="AQ878" s="68"/>
      <c r="AR878" s="68"/>
      <c r="AS878" s="68"/>
      <c r="AT878" s="68"/>
      <c r="AU878" s="68"/>
      <c r="AV878" s="68"/>
      <c r="AW878" s="68"/>
      <c r="AX878" s="68"/>
      <c r="AY878" s="68"/>
      <c r="AZ878" s="68"/>
      <c r="BA878" s="68"/>
      <c r="BB878" s="68"/>
      <c r="BC878" s="68"/>
      <c r="BD878" s="68"/>
      <c r="BE878" s="68"/>
      <c r="BF878" s="68"/>
      <c r="BG878" s="68"/>
      <c r="BH878" s="68"/>
      <c r="BI878" s="68"/>
      <c r="BJ878" s="68"/>
      <c r="BK878" s="68"/>
      <c r="BL878" s="68"/>
      <c r="BM878" s="68"/>
      <c r="BN878" s="68"/>
      <c r="BO878" s="68"/>
      <c r="BP878" s="68"/>
      <c r="BQ878" s="68"/>
      <c r="BR878" s="68"/>
      <c r="BS878" s="68"/>
      <c r="BT878" s="68"/>
      <c r="BU878" s="68"/>
      <c r="BV878" s="68"/>
      <c r="BW878" s="68"/>
      <c r="BX878" s="68"/>
      <c r="BY878" s="68"/>
      <c r="BZ878" s="68"/>
      <c r="CA878" s="68"/>
      <c r="CB878" s="68"/>
      <c r="CC878" s="68"/>
      <c r="CD878" s="68"/>
      <c r="CE878" s="68"/>
      <c r="CF878" s="68"/>
      <c r="CG878" s="68"/>
      <c r="CH878" s="68"/>
      <c r="CI878" s="68"/>
      <c r="CJ878" s="68"/>
      <c r="CK878" s="68"/>
      <c r="CL878" s="68"/>
      <c r="CM878" s="68"/>
      <c r="CN878" s="68"/>
      <c r="CO878" s="68"/>
      <c r="CP878" s="68"/>
      <c r="CQ878" s="68"/>
      <c r="CR878" s="68"/>
      <c r="CS878" s="68"/>
      <c r="CT878" s="68"/>
      <c r="CU878" s="68"/>
      <c r="CV878" s="68"/>
      <c r="CW878" s="68"/>
      <c r="CX878" s="68"/>
    </row>
    <row r="879" spans="4:102" s="71" customFormat="1" hidden="1">
      <c r="D879" s="105"/>
      <c r="E879" s="100"/>
      <c r="F879" s="100"/>
      <c r="G879" s="111"/>
      <c r="H879" s="105"/>
      <c r="I879" s="111"/>
      <c r="J879" s="111"/>
      <c r="K879" s="112"/>
      <c r="L879" s="113"/>
      <c r="M879" s="114"/>
      <c r="N879" s="100"/>
      <c r="O879" s="114"/>
      <c r="P879" s="65"/>
      <c r="Q879" s="103"/>
      <c r="R879" s="103"/>
      <c r="S879" s="103"/>
      <c r="T879" s="103"/>
      <c r="U879" s="68"/>
      <c r="V879" s="69"/>
      <c r="W879" s="68"/>
      <c r="X879" s="68"/>
      <c r="Y879" s="68"/>
      <c r="Z879" s="68"/>
      <c r="AA879" s="68"/>
      <c r="AB879" s="68"/>
      <c r="AC879" s="68"/>
      <c r="AD879" s="68"/>
      <c r="AE879" s="68"/>
      <c r="AF879" s="68"/>
      <c r="AG879" s="68"/>
      <c r="AH879" s="68"/>
      <c r="AI879" s="68"/>
      <c r="AJ879" s="68"/>
      <c r="AK879" s="68"/>
      <c r="AL879" s="68"/>
      <c r="AM879" s="68"/>
      <c r="AN879" s="68"/>
      <c r="AO879" s="68"/>
      <c r="AP879" s="68"/>
      <c r="AQ879" s="68"/>
      <c r="AR879" s="68"/>
      <c r="AS879" s="68"/>
      <c r="AT879" s="68"/>
      <c r="AU879" s="68"/>
      <c r="AV879" s="68"/>
      <c r="AW879" s="68"/>
      <c r="AX879" s="68"/>
      <c r="AY879" s="68"/>
      <c r="AZ879" s="68"/>
      <c r="BA879" s="68"/>
      <c r="BB879" s="68"/>
      <c r="BC879" s="68"/>
      <c r="BD879" s="68"/>
      <c r="BE879" s="68"/>
      <c r="BF879" s="68"/>
      <c r="BG879" s="68"/>
      <c r="BH879" s="68"/>
      <c r="BI879" s="68"/>
      <c r="BJ879" s="68"/>
      <c r="BK879" s="68"/>
      <c r="BL879" s="68"/>
      <c r="BM879" s="68"/>
      <c r="BN879" s="68"/>
      <c r="BO879" s="68"/>
      <c r="BP879" s="68"/>
      <c r="BQ879" s="68"/>
      <c r="BR879" s="68"/>
      <c r="BS879" s="68"/>
      <c r="BT879" s="68"/>
      <c r="BU879" s="68"/>
      <c r="BV879" s="68"/>
      <c r="BW879" s="68"/>
      <c r="BX879" s="68"/>
      <c r="BY879" s="68"/>
      <c r="BZ879" s="68"/>
      <c r="CA879" s="68"/>
      <c r="CB879" s="68"/>
      <c r="CC879" s="68"/>
      <c r="CD879" s="68"/>
      <c r="CE879" s="68"/>
      <c r="CF879" s="68"/>
      <c r="CG879" s="68"/>
      <c r="CH879" s="68"/>
      <c r="CI879" s="68"/>
      <c r="CJ879" s="68"/>
      <c r="CK879" s="68"/>
      <c r="CL879" s="68"/>
      <c r="CM879" s="68"/>
      <c r="CN879" s="68"/>
      <c r="CO879" s="68"/>
      <c r="CP879" s="68"/>
      <c r="CQ879" s="68"/>
      <c r="CR879" s="68"/>
      <c r="CS879" s="68"/>
      <c r="CT879" s="68"/>
      <c r="CU879" s="68"/>
      <c r="CV879" s="68"/>
      <c r="CW879" s="68"/>
      <c r="CX879" s="68"/>
    </row>
    <row r="880" spans="4:102" s="71" customFormat="1" hidden="1">
      <c r="D880" s="105"/>
      <c r="E880" s="100"/>
      <c r="F880" s="100"/>
      <c r="G880" s="111"/>
      <c r="H880" s="105"/>
      <c r="I880" s="111"/>
      <c r="J880" s="111"/>
      <c r="K880" s="112"/>
      <c r="L880" s="113"/>
      <c r="M880" s="114"/>
      <c r="N880" s="100"/>
      <c r="O880" s="114"/>
      <c r="P880" s="65"/>
      <c r="Q880" s="103"/>
      <c r="R880" s="103"/>
      <c r="S880" s="103"/>
      <c r="T880" s="103"/>
      <c r="U880" s="68"/>
      <c r="V880" s="69"/>
      <c r="W880" s="68"/>
      <c r="X880" s="68"/>
      <c r="Y880" s="68"/>
      <c r="Z880" s="68"/>
      <c r="AA880" s="68"/>
      <c r="AB880" s="68"/>
      <c r="AC880" s="68"/>
      <c r="AD880" s="68"/>
      <c r="AE880" s="68"/>
      <c r="AF880" s="68"/>
      <c r="AG880" s="68"/>
      <c r="AH880" s="68"/>
      <c r="AI880" s="68"/>
      <c r="AJ880" s="68"/>
      <c r="AK880" s="68"/>
      <c r="AL880" s="68"/>
      <c r="AM880" s="68"/>
      <c r="AN880" s="68"/>
      <c r="AO880" s="68"/>
      <c r="AP880" s="68"/>
      <c r="AQ880" s="68"/>
      <c r="AR880" s="68"/>
      <c r="AS880" s="68"/>
      <c r="AT880" s="68"/>
      <c r="AU880" s="68"/>
      <c r="AV880" s="68"/>
      <c r="AW880" s="68"/>
      <c r="AX880" s="68"/>
      <c r="AY880" s="68"/>
      <c r="AZ880" s="68"/>
      <c r="BA880" s="68"/>
      <c r="BB880" s="68"/>
      <c r="BC880" s="68"/>
      <c r="BD880" s="68"/>
      <c r="BE880" s="68"/>
      <c r="BF880" s="68"/>
      <c r="BG880" s="68"/>
      <c r="BH880" s="68"/>
      <c r="BI880" s="68"/>
      <c r="BJ880" s="68"/>
      <c r="BK880" s="68"/>
      <c r="BL880" s="68"/>
      <c r="BM880" s="68"/>
      <c r="BN880" s="68"/>
      <c r="BO880" s="68"/>
      <c r="BP880" s="68"/>
      <c r="BQ880" s="68"/>
      <c r="BR880" s="68"/>
      <c r="BS880" s="68"/>
      <c r="BT880" s="68"/>
      <c r="BU880" s="68"/>
      <c r="BV880" s="68"/>
      <c r="BW880" s="68"/>
      <c r="BX880" s="68"/>
      <c r="BY880" s="68"/>
      <c r="BZ880" s="68"/>
      <c r="CA880" s="68"/>
      <c r="CB880" s="68"/>
      <c r="CC880" s="68"/>
      <c r="CD880" s="68"/>
      <c r="CE880" s="68"/>
      <c r="CF880" s="68"/>
      <c r="CG880" s="68"/>
      <c r="CH880" s="68"/>
      <c r="CI880" s="68"/>
      <c r="CJ880" s="68"/>
      <c r="CK880" s="68"/>
      <c r="CL880" s="68"/>
      <c r="CM880" s="68"/>
      <c r="CN880" s="68"/>
      <c r="CO880" s="68"/>
      <c r="CP880" s="68"/>
      <c r="CQ880" s="68"/>
      <c r="CR880" s="68"/>
      <c r="CS880" s="68"/>
      <c r="CT880" s="68"/>
      <c r="CU880" s="68"/>
      <c r="CV880" s="68"/>
      <c r="CW880" s="68"/>
      <c r="CX880" s="68"/>
    </row>
    <row r="881" spans="4:102" s="71" customFormat="1" hidden="1">
      <c r="D881" s="105"/>
      <c r="E881" s="100"/>
      <c r="F881" s="100"/>
      <c r="G881" s="111"/>
      <c r="H881" s="105"/>
      <c r="I881" s="111"/>
      <c r="J881" s="111"/>
      <c r="K881" s="112"/>
      <c r="L881" s="113"/>
      <c r="M881" s="114"/>
      <c r="N881" s="100"/>
      <c r="O881" s="114"/>
      <c r="P881" s="65"/>
      <c r="Q881" s="103"/>
      <c r="R881" s="103"/>
      <c r="S881" s="103"/>
      <c r="T881" s="103"/>
      <c r="U881" s="68"/>
      <c r="V881" s="69"/>
      <c r="W881" s="68"/>
      <c r="X881" s="68"/>
      <c r="Y881" s="68"/>
      <c r="Z881" s="68"/>
      <c r="AA881" s="68"/>
      <c r="AB881" s="68"/>
      <c r="AC881" s="68"/>
      <c r="AD881" s="68"/>
      <c r="AE881" s="68"/>
      <c r="AF881" s="68"/>
      <c r="AG881" s="68"/>
      <c r="AH881" s="68"/>
      <c r="AI881" s="68"/>
      <c r="AJ881" s="68"/>
      <c r="AK881" s="68"/>
      <c r="AL881" s="68"/>
      <c r="AM881" s="68"/>
      <c r="AN881" s="68"/>
      <c r="AO881" s="68"/>
      <c r="AP881" s="68"/>
      <c r="AQ881" s="68"/>
      <c r="AR881" s="68"/>
      <c r="AS881" s="68"/>
      <c r="AT881" s="68"/>
      <c r="AU881" s="68"/>
      <c r="AV881" s="68"/>
      <c r="AW881" s="68"/>
      <c r="AX881" s="68"/>
      <c r="AY881" s="68"/>
      <c r="AZ881" s="68"/>
      <c r="BA881" s="68"/>
      <c r="BB881" s="68"/>
      <c r="BC881" s="68"/>
      <c r="BD881" s="68"/>
      <c r="BE881" s="68"/>
      <c r="BF881" s="68"/>
      <c r="BG881" s="68"/>
      <c r="BH881" s="68"/>
      <c r="BI881" s="68"/>
      <c r="BJ881" s="68"/>
      <c r="BK881" s="68"/>
      <c r="BL881" s="68"/>
      <c r="BM881" s="68"/>
      <c r="BN881" s="68"/>
      <c r="BO881" s="68"/>
      <c r="BP881" s="68"/>
      <c r="BQ881" s="68"/>
      <c r="BR881" s="68"/>
      <c r="BS881" s="68"/>
      <c r="BT881" s="68"/>
      <c r="BU881" s="68"/>
      <c r="BV881" s="68"/>
      <c r="BW881" s="68"/>
      <c r="BX881" s="68"/>
      <c r="BY881" s="68"/>
      <c r="BZ881" s="68"/>
      <c r="CA881" s="68"/>
      <c r="CB881" s="68"/>
      <c r="CC881" s="68"/>
      <c r="CD881" s="68"/>
      <c r="CE881" s="68"/>
      <c r="CF881" s="68"/>
      <c r="CG881" s="68"/>
      <c r="CH881" s="68"/>
      <c r="CI881" s="68"/>
      <c r="CJ881" s="68"/>
      <c r="CK881" s="68"/>
      <c r="CL881" s="68"/>
      <c r="CM881" s="68"/>
      <c r="CN881" s="68"/>
      <c r="CO881" s="68"/>
      <c r="CP881" s="68"/>
      <c r="CQ881" s="68"/>
      <c r="CR881" s="68"/>
      <c r="CS881" s="68"/>
      <c r="CT881" s="68"/>
      <c r="CU881" s="68"/>
      <c r="CV881" s="68"/>
      <c r="CW881" s="68"/>
      <c r="CX881" s="68"/>
    </row>
    <row r="882" spans="4:102" s="71" customFormat="1" hidden="1">
      <c r="D882" s="105"/>
      <c r="E882" s="100"/>
      <c r="F882" s="100"/>
      <c r="G882" s="111"/>
      <c r="H882" s="105"/>
      <c r="I882" s="111"/>
      <c r="J882" s="111"/>
      <c r="K882" s="112"/>
      <c r="L882" s="113"/>
      <c r="M882" s="114"/>
      <c r="N882" s="100"/>
      <c r="O882" s="114"/>
      <c r="P882" s="65"/>
      <c r="Q882" s="103"/>
      <c r="R882" s="103"/>
      <c r="S882" s="103"/>
      <c r="T882" s="103"/>
      <c r="U882" s="68"/>
      <c r="V882" s="69"/>
      <c r="W882" s="68"/>
      <c r="X882" s="68"/>
      <c r="Y882" s="68"/>
      <c r="Z882" s="68"/>
      <c r="AA882" s="68"/>
      <c r="AB882" s="68"/>
      <c r="AC882" s="68"/>
      <c r="AD882" s="68"/>
      <c r="AE882" s="68"/>
      <c r="AF882" s="68"/>
      <c r="AG882" s="68"/>
      <c r="AH882" s="68"/>
      <c r="AI882" s="68"/>
      <c r="AJ882" s="68"/>
      <c r="AK882" s="68"/>
      <c r="AL882" s="68"/>
      <c r="AM882" s="68"/>
      <c r="AN882" s="68"/>
      <c r="AO882" s="68"/>
      <c r="AP882" s="68"/>
      <c r="AQ882" s="68"/>
      <c r="AR882" s="68"/>
      <c r="AS882" s="68"/>
      <c r="AT882" s="68"/>
      <c r="AU882" s="68"/>
      <c r="AV882" s="68"/>
      <c r="AW882" s="68"/>
      <c r="AX882" s="68"/>
      <c r="AY882" s="68"/>
      <c r="AZ882" s="68"/>
      <c r="BA882" s="68"/>
      <c r="BB882" s="68"/>
      <c r="BC882" s="68"/>
      <c r="BD882" s="68"/>
      <c r="BE882" s="68"/>
      <c r="BF882" s="68"/>
      <c r="BG882" s="68"/>
      <c r="BH882" s="68"/>
      <c r="BI882" s="68"/>
      <c r="BJ882" s="68"/>
      <c r="BK882" s="68"/>
      <c r="BL882" s="68"/>
      <c r="BM882" s="68"/>
      <c r="BN882" s="68"/>
      <c r="BO882" s="68"/>
      <c r="BP882" s="68"/>
      <c r="BQ882" s="68"/>
      <c r="BR882" s="68"/>
      <c r="BS882" s="68"/>
      <c r="BT882" s="68"/>
      <c r="BU882" s="68"/>
      <c r="BV882" s="68"/>
      <c r="BW882" s="68"/>
      <c r="BX882" s="68"/>
      <c r="BY882" s="68"/>
      <c r="BZ882" s="68"/>
      <c r="CA882" s="68"/>
      <c r="CB882" s="68"/>
      <c r="CC882" s="68"/>
      <c r="CD882" s="68"/>
      <c r="CE882" s="68"/>
      <c r="CF882" s="68"/>
      <c r="CG882" s="68"/>
      <c r="CH882" s="68"/>
      <c r="CI882" s="68"/>
      <c r="CJ882" s="68"/>
      <c r="CK882" s="68"/>
      <c r="CL882" s="68"/>
      <c r="CM882" s="68"/>
      <c r="CN882" s="68"/>
      <c r="CO882" s="68"/>
      <c r="CP882" s="68"/>
      <c r="CQ882" s="68"/>
      <c r="CR882" s="68"/>
      <c r="CS882" s="68"/>
      <c r="CT882" s="68"/>
      <c r="CU882" s="68"/>
      <c r="CV882" s="68"/>
      <c r="CW882" s="68"/>
      <c r="CX882" s="68"/>
    </row>
    <row r="883" spans="4:102" s="71" customFormat="1" hidden="1">
      <c r="D883" s="105"/>
      <c r="E883" s="100"/>
      <c r="F883" s="100"/>
      <c r="G883" s="111"/>
      <c r="H883" s="105"/>
      <c r="I883" s="111"/>
      <c r="J883" s="111"/>
      <c r="K883" s="112"/>
      <c r="L883" s="113"/>
      <c r="M883" s="114"/>
      <c r="N883" s="100"/>
      <c r="O883" s="114"/>
      <c r="P883" s="65"/>
      <c r="Q883" s="103"/>
      <c r="R883" s="103"/>
      <c r="S883" s="103"/>
      <c r="T883" s="103"/>
      <c r="U883" s="68"/>
      <c r="V883" s="69"/>
      <c r="W883" s="68"/>
      <c r="X883" s="68"/>
      <c r="Y883" s="68"/>
      <c r="Z883" s="68"/>
      <c r="AA883" s="68"/>
      <c r="AB883" s="68"/>
      <c r="AC883" s="68"/>
      <c r="AD883" s="68"/>
      <c r="AE883" s="68"/>
      <c r="AF883" s="68"/>
      <c r="AG883" s="68"/>
      <c r="AH883" s="68"/>
      <c r="AI883" s="68"/>
      <c r="AJ883" s="68"/>
      <c r="AK883" s="68"/>
      <c r="AL883" s="68"/>
      <c r="AM883" s="68"/>
      <c r="AN883" s="68"/>
      <c r="AO883" s="68"/>
      <c r="AP883" s="68"/>
      <c r="AQ883" s="68"/>
      <c r="AR883" s="68"/>
      <c r="AS883" s="68"/>
      <c r="AT883" s="68"/>
      <c r="AU883" s="68"/>
      <c r="AV883" s="68"/>
      <c r="AW883" s="68"/>
      <c r="AX883" s="68"/>
      <c r="AY883" s="68"/>
      <c r="AZ883" s="68"/>
      <c r="BA883" s="68"/>
      <c r="BB883" s="68"/>
      <c r="BC883" s="68"/>
      <c r="BD883" s="68"/>
      <c r="BE883" s="68"/>
      <c r="BF883" s="68"/>
      <c r="BG883" s="68"/>
      <c r="BH883" s="68"/>
      <c r="BI883" s="68"/>
      <c r="BJ883" s="68"/>
      <c r="BK883" s="68"/>
      <c r="BL883" s="68"/>
      <c r="BM883" s="68"/>
      <c r="BN883" s="68"/>
      <c r="BO883" s="68"/>
      <c r="BP883" s="68"/>
      <c r="BQ883" s="68"/>
      <c r="BR883" s="68"/>
      <c r="BS883" s="68"/>
      <c r="BT883" s="68"/>
      <c r="BU883" s="68"/>
      <c r="BV883" s="68"/>
      <c r="BW883" s="68"/>
      <c r="BX883" s="68"/>
      <c r="BY883" s="68"/>
      <c r="BZ883" s="68"/>
      <c r="CA883" s="68"/>
      <c r="CB883" s="68"/>
      <c r="CC883" s="68"/>
      <c r="CD883" s="68"/>
      <c r="CE883" s="68"/>
      <c r="CF883" s="68"/>
      <c r="CG883" s="68"/>
      <c r="CH883" s="68"/>
      <c r="CI883" s="68"/>
      <c r="CJ883" s="68"/>
      <c r="CK883" s="68"/>
      <c r="CL883" s="68"/>
      <c r="CM883" s="68"/>
      <c r="CN883" s="68"/>
      <c r="CO883" s="68"/>
      <c r="CP883" s="68"/>
      <c r="CQ883" s="68"/>
      <c r="CR883" s="68"/>
      <c r="CS883" s="68"/>
      <c r="CT883" s="68"/>
      <c r="CU883" s="68"/>
      <c r="CV883" s="68"/>
      <c r="CW883" s="68"/>
      <c r="CX883" s="68"/>
    </row>
    <row r="884" spans="4:102" s="71" customFormat="1" hidden="1">
      <c r="D884" s="105"/>
      <c r="E884" s="100"/>
      <c r="F884" s="100"/>
      <c r="G884" s="111"/>
      <c r="H884" s="105"/>
      <c r="I884" s="111"/>
      <c r="J884" s="111"/>
      <c r="K884" s="112"/>
      <c r="L884" s="113"/>
      <c r="M884" s="114"/>
      <c r="N884" s="100"/>
      <c r="O884" s="114"/>
      <c r="P884" s="65"/>
      <c r="Q884" s="103"/>
      <c r="R884" s="103"/>
      <c r="S884" s="103"/>
      <c r="T884" s="103"/>
      <c r="U884" s="68"/>
      <c r="V884" s="69"/>
      <c r="W884" s="68"/>
      <c r="X884" s="68"/>
      <c r="Y884" s="68"/>
      <c r="Z884" s="68"/>
      <c r="AA884" s="68"/>
      <c r="AB884" s="68"/>
      <c r="AC884" s="68"/>
      <c r="AD884" s="68"/>
      <c r="AE884" s="68"/>
      <c r="AF884" s="68"/>
      <c r="AG884" s="68"/>
      <c r="AH884" s="68"/>
      <c r="AI884" s="68"/>
      <c r="AJ884" s="68"/>
      <c r="AK884" s="68"/>
      <c r="AL884" s="68"/>
      <c r="AM884" s="68"/>
      <c r="AN884" s="68"/>
      <c r="AO884" s="68"/>
      <c r="AP884" s="68"/>
      <c r="AQ884" s="68"/>
      <c r="AR884" s="68"/>
      <c r="AS884" s="68"/>
      <c r="AT884" s="68"/>
      <c r="AU884" s="68"/>
      <c r="AV884" s="68"/>
      <c r="AW884" s="68"/>
      <c r="AX884" s="68"/>
      <c r="AY884" s="68"/>
      <c r="AZ884" s="68"/>
      <c r="BA884" s="68"/>
      <c r="BB884" s="68"/>
      <c r="BC884" s="68"/>
      <c r="BD884" s="68"/>
      <c r="BE884" s="68"/>
      <c r="BF884" s="68"/>
      <c r="BG884" s="68"/>
      <c r="BH884" s="68"/>
      <c r="BI884" s="68"/>
      <c r="BJ884" s="68"/>
      <c r="BK884" s="68"/>
      <c r="BL884" s="68"/>
      <c r="BM884" s="68"/>
      <c r="BN884" s="68"/>
      <c r="BO884" s="68"/>
      <c r="BP884" s="68"/>
      <c r="BQ884" s="68"/>
      <c r="BR884" s="68"/>
      <c r="BS884" s="68"/>
      <c r="BT884" s="68"/>
      <c r="BU884" s="68"/>
      <c r="BV884" s="68"/>
      <c r="BW884" s="68"/>
      <c r="BX884" s="68"/>
      <c r="BY884" s="68"/>
      <c r="BZ884" s="68"/>
      <c r="CA884" s="68"/>
      <c r="CB884" s="68"/>
      <c r="CC884" s="68"/>
      <c r="CD884" s="68"/>
      <c r="CE884" s="68"/>
      <c r="CF884" s="68"/>
      <c r="CG884" s="68"/>
      <c r="CH884" s="68"/>
      <c r="CI884" s="68"/>
      <c r="CJ884" s="68"/>
      <c r="CK884" s="68"/>
      <c r="CL884" s="68"/>
      <c r="CM884" s="68"/>
      <c r="CN884" s="68"/>
      <c r="CO884" s="68"/>
      <c r="CP884" s="68"/>
      <c r="CQ884" s="68"/>
      <c r="CR884" s="68"/>
      <c r="CS884" s="68"/>
      <c r="CT884" s="68"/>
      <c r="CU884" s="68"/>
      <c r="CV884" s="68"/>
      <c r="CW884" s="68"/>
      <c r="CX884" s="68"/>
    </row>
    <row r="885" spans="4:102" s="71" customFormat="1" hidden="1">
      <c r="D885" s="105"/>
      <c r="E885" s="100"/>
      <c r="F885" s="100"/>
      <c r="G885" s="111"/>
      <c r="H885" s="105"/>
      <c r="I885" s="111"/>
      <c r="J885" s="111"/>
      <c r="K885" s="112"/>
      <c r="L885" s="113"/>
      <c r="M885" s="114"/>
      <c r="N885" s="100"/>
      <c r="O885" s="114"/>
      <c r="P885" s="65"/>
      <c r="Q885" s="103"/>
      <c r="R885" s="103"/>
      <c r="S885" s="103"/>
      <c r="T885" s="103"/>
      <c r="U885" s="68"/>
      <c r="V885" s="69"/>
      <c r="W885" s="68"/>
      <c r="X885" s="68"/>
      <c r="Y885" s="68"/>
      <c r="Z885" s="68"/>
      <c r="AA885" s="68"/>
      <c r="AB885" s="68"/>
      <c r="AC885" s="68"/>
      <c r="AD885" s="68"/>
      <c r="AE885" s="68"/>
      <c r="AF885" s="68"/>
      <c r="AG885" s="68"/>
      <c r="AH885" s="68"/>
      <c r="AI885" s="68"/>
      <c r="AJ885" s="68"/>
      <c r="AK885" s="68"/>
      <c r="AL885" s="68"/>
      <c r="AM885" s="68"/>
      <c r="AN885" s="68"/>
      <c r="AO885" s="68"/>
      <c r="AP885" s="68"/>
      <c r="AQ885" s="68"/>
      <c r="AR885" s="68"/>
      <c r="AS885" s="68"/>
      <c r="AT885" s="68"/>
      <c r="AU885" s="68"/>
      <c r="AV885" s="68"/>
      <c r="AW885" s="68"/>
      <c r="AX885" s="68"/>
      <c r="AY885" s="68"/>
      <c r="AZ885" s="68"/>
      <c r="BA885" s="68"/>
      <c r="BB885" s="68"/>
      <c r="BC885" s="68"/>
      <c r="BD885" s="68"/>
      <c r="BE885" s="68"/>
      <c r="BF885" s="68"/>
      <c r="BG885" s="68"/>
      <c r="BH885" s="68"/>
      <c r="BI885" s="68"/>
      <c r="BJ885" s="68"/>
      <c r="BK885" s="68"/>
      <c r="BL885" s="68"/>
      <c r="BM885" s="68"/>
      <c r="BN885" s="68"/>
      <c r="BO885" s="68"/>
      <c r="BP885" s="68"/>
      <c r="BQ885" s="68"/>
      <c r="BR885" s="68"/>
      <c r="BS885" s="68"/>
      <c r="BT885" s="68"/>
      <c r="BU885" s="68"/>
      <c r="BV885" s="68"/>
      <c r="BW885" s="68"/>
      <c r="BX885" s="68"/>
      <c r="BY885" s="68"/>
      <c r="BZ885" s="68"/>
      <c r="CA885" s="68"/>
      <c r="CB885" s="68"/>
      <c r="CC885" s="68"/>
      <c r="CD885" s="68"/>
      <c r="CE885" s="68"/>
      <c r="CF885" s="68"/>
      <c r="CG885" s="68"/>
      <c r="CH885" s="68"/>
      <c r="CI885" s="68"/>
      <c r="CJ885" s="68"/>
      <c r="CK885" s="68"/>
      <c r="CL885" s="68"/>
      <c r="CM885" s="68"/>
      <c r="CN885" s="68"/>
      <c r="CO885" s="68"/>
      <c r="CP885" s="68"/>
      <c r="CQ885" s="68"/>
      <c r="CR885" s="68"/>
      <c r="CS885" s="68"/>
      <c r="CT885" s="68"/>
      <c r="CU885" s="68"/>
      <c r="CV885" s="68"/>
      <c r="CW885" s="68"/>
      <c r="CX885" s="68"/>
    </row>
    <row r="886" spans="4:102" s="71" customFormat="1" hidden="1">
      <c r="D886" s="105"/>
      <c r="E886" s="100"/>
      <c r="F886" s="100"/>
      <c r="G886" s="111"/>
      <c r="H886" s="105"/>
      <c r="I886" s="111"/>
      <c r="J886" s="111"/>
      <c r="K886" s="112"/>
      <c r="L886" s="113"/>
      <c r="M886" s="114"/>
      <c r="N886" s="100"/>
      <c r="O886" s="114"/>
      <c r="P886" s="65"/>
      <c r="Q886" s="103"/>
      <c r="R886" s="103"/>
      <c r="S886" s="103"/>
      <c r="T886" s="103"/>
      <c r="U886" s="68"/>
      <c r="V886" s="69"/>
      <c r="W886" s="68"/>
      <c r="X886" s="68"/>
      <c r="Y886" s="68"/>
      <c r="Z886" s="68"/>
      <c r="AA886" s="68"/>
      <c r="AB886" s="68"/>
      <c r="AC886" s="68"/>
      <c r="AD886" s="68"/>
      <c r="AE886" s="68"/>
      <c r="AF886" s="68"/>
      <c r="AG886" s="68"/>
      <c r="AH886" s="68"/>
      <c r="AI886" s="68"/>
      <c r="AJ886" s="68"/>
      <c r="AK886" s="68"/>
      <c r="AL886" s="68"/>
      <c r="AM886" s="68"/>
      <c r="AN886" s="68"/>
      <c r="AO886" s="68"/>
      <c r="AP886" s="68"/>
      <c r="AQ886" s="68"/>
      <c r="AR886" s="68"/>
      <c r="AS886" s="68"/>
      <c r="AT886" s="68"/>
      <c r="AU886" s="68"/>
      <c r="AV886" s="68"/>
      <c r="AW886" s="68"/>
      <c r="AX886" s="68"/>
      <c r="AY886" s="68"/>
      <c r="AZ886" s="68"/>
      <c r="BA886" s="68"/>
      <c r="BB886" s="68"/>
      <c r="BC886" s="68"/>
      <c r="BD886" s="68"/>
      <c r="BE886" s="68"/>
      <c r="BF886" s="68"/>
      <c r="BG886" s="68"/>
      <c r="BH886" s="68"/>
      <c r="BI886" s="68"/>
      <c r="BJ886" s="68"/>
      <c r="BK886" s="68"/>
      <c r="BL886" s="68"/>
      <c r="BM886" s="68"/>
      <c r="BN886" s="68"/>
      <c r="BO886" s="68"/>
      <c r="BP886" s="68"/>
      <c r="BQ886" s="68"/>
      <c r="BR886" s="68"/>
      <c r="BS886" s="68"/>
      <c r="BT886" s="68"/>
      <c r="BU886" s="68"/>
      <c r="BV886" s="68"/>
      <c r="BW886" s="68"/>
      <c r="BX886" s="68"/>
      <c r="BY886" s="68"/>
      <c r="BZ886" s="68"/>
      <c r="CA886" s="68"/>
      <c r="CB886" s="68"/>
      <c r="CC886" s="68"/>
      <c r="CD886" s="68"/>
      <c r="CE886" s="68"/>
      <c r="CF886" s="68"/>
      <c r="CG886" s="68"/>
      <c r="CH886" s="68"/>
      <c r="CI886" s="68"/>
      <c r="CJ886" s="68"/>
      <c r="CK886" s="68"/>
      <c r="CL886" s="68"/>
      <c r="CM886" s="68"/>
      <c r="CN886" s="68"/>
      <c r="CO886" s="68"/>
      <c r="CP886" s="68"/>
      <c r="CQ886" s="68"/>
      <c r="CR886" s="68"/>
      <c r="CS886" s="68"/>
      <c r="CT886" s="68"/>
      <c r="CU886" s="68"/>
      <c r="CV886" s="68"/>
      <c r="CW886" s="68"/>
      <c r="CX886" s="68"/>
    </row>
    <row r="887" spans="4:102" s="71" customFormat="1" hidden="1">
      <c r="D887" s="105"/>
      <c r="E887" s="100"/>
      <c r="F887" s="100"/>
      <c r="G887" s="111"/>
      <c r="H887" s="105"/>
      <c r="I887" s="111"/>
      <c r="J887" s="111"/>
      <c r="K887" s="112"/>
      <c r="L887" s="113"/>
      <c r="M887" s="114"/>
      <c r="N887" s="100"/>
      <c r="O887" s="114"/>
      <c r="P887" s="65"/>
      <c r="Q887" s="103"/>
      <c r="R887" s="103"/>
      <c r="S887" s="103"/>
      <c r="T887" s="103"/>
      <c r="U887" s="68"/>
      <c r="V887" s="69"/>
      <c r="W887" s="68"/>
      <c r="X887" s="68"/>
      <c r="Y887" s="68"/>
      <c r="Z887" s="68"/>
      <c r="AA887" s="68"/>
      <c r="AB887" s="68"/>
      <c r="AC887" s="68"/>
      <c r="AD887" s="68"/>
      <c r="AE887" s="68"/>
      <c r="AF887" s="68"/>
      <c r="AG887" s="68"/>
      <c r="AH887" s="68"/>
      <c r="AI887" s="68"/>
      <c r="AJ887" s="68"/>
      <c r="AK887" s="68"/>
      <c r="AL887" s="68"/>
      <c r="AM887" s="68"/>
      <c r="AN887" s="68"/>
      <c r="AO887" s="68"/>
      <c r="AP887" s="68"/>
      <c r="AQ887" s="68"/>
      <c r="AR887" s="68"/>
      <c r="AS887" s="68"/>
      <c r="AT887" s="68"/>
      <c r="AU887" s="68"/>
      <c r="AV887" s="68"/>
      <c r="AW887" s="68"/>
      <c r="AX887" s="68"/>
      <c r="AY887" s="68"/>
      <c r="AZ887" s="68"/>
      <c r="BA887" s="68"/>
      <c r="BB887" s="68"/>
      <c r="BC887" s="68"/>
      <c r="BD887" s="68"/>
      <c r="BE887" s="68"/>
      <c r="BF887" s="68"/>
      <c r="BG887" s="68"/>
      <c r="BH887" s="68"/>
      <c r="BI887" s="68"/>
      <c r="BJ887" s="68"/>
      <c r="BK887" s="68"/>
      <c r="BL887" s="68"/>
      <c r="BM887" s="68"/>
      <c r="BN887" s="68"/>
      <c r="BO887" s="68"/>
      <c r="BP887" s="68"/>
      <c r="BQ887" s="68"/>
      <c r="BR887" s="68"/>
      <c r="BS887" s="68"/>
      <c r="BT887" s="68"/>
      <c r="BU887" s="68"/>
      <c r="BV887" s="68"/>
      <c r="BW887" s="68"/>
      <c r="BX887" s="68"/>
      <c r="BY887" s="68"/>
      <c r="BZ887" s="68"/>
      <c r="CA887" s="68"/>
      <c r="CB887" s="68"/>
      <c r="CC887" s="68"/>
      <c r="CD887" s="68"/>
      <c r="CE887" s="68"/>
      <c r="CF887" s="68"/>
      <c r="CG887" s="68"/>
      <c r="CH887" s="68"/>
      <c r="CI887" s="68"/>
      <c r="CJ887" s="68"/>
      <c r="CK887" s="68"/>
      <c r="CL887" s="68"/>
      <c r="CM887" s="68"/>
      <c r="CN887" s="68"/>
      <c r="CO887" s="68"/>
      <c r="CP887" s="68"/>
      <c r="CQ887" s="68"/>
      <c r="CR887" s="68"/>
      <c r="CS887" s="68"/>
      <c r="CT887" s="68"/>
      <c r="CU887" s="68"/>
      <c r="CV887" s="68"/>
      <c r="CW887" s="68"/>
      <c r="CX887" s="68"/>
    </row>
    <row r="888" spans="4:102" s="71" customFormat="1" hidden="1">
      <c r="D888" s="105"/>
      <c r="E888" s="100"/>
      <c r="F888" s="100"/>
      <c r="G888" s="111"/>
      <c r="H888" s="105"/>
      <c r="I888" s="111"/>
      <c r="J888" s="111"/>
      <c r="K888" s="112"/>
      <c r="L888" s="113"/>
      <c r="M888" s="114"/>
      <c r="N888" s="100"/>
      <c r="O888" s="114"/>
      <c r="P888" s="65"/>
      <c r="Q888" s="103"/>
      <c r="R888" s="103"/>
      <c r="S888" s="103"/>
      <c r="T888" s="103"/>
      <c r="U888" s="68"/>
      <c r="V888" s="69"/>
      <c r="W888" s="68"/>
      <c r="X888" s="68"/>
      <c r="Y888" s="68"/>
      <c r="Z888" s="68"/>
      <c r="AA888" s="68"/>
      <c r="AB888" s="68"/>
      <c r="AC888" s="68"/>
      <c r="AD888" s="68"/>
      <c r="AE888" s="68"/>
      <c r="AF888" s="68"/>
      <c r="AG888" s="68"/>
      <c r="AH888" s="68"/>
      <c r="AI888" s="68"/>
      <c r="AJ888" s="68"/>
      <c r="AK888" s="68"/>
      <c r="AL888" s="68"/>
      <c r="AM888" s="68"/>
      <c r="AN888" s="68"/>
      <c r="AO888" s="68"/>
      <c r="AP888" s="68"/>
      <c r="AQ888" s="68"/>
      <c r="AR888" s="68"/>
      <c r="AS888" s="68"/>
      <c r="AT888" s="68"/>
      <c r="AU888" s="68"/>
      <c r="AV888" s="68"/>
      <c r="AW888" s="68"/>
      <c r="AX888" s="68"/>
      <c r="AY888" s="68"/>
      <c r="AZ888" s="68"/>
      <c r="BA888" s="68"/>
      <c r="BB888" s="68"/>
      <c r="BC888" s="68"/>
      <c r="BD888" s="68"/>
      <c r="BE888" s="68"/>
      <c r="BF888" s="68"/>
      <c r="BG888" s="68"/>
      <c r="BH888" s="68"/>
      <c r="BI888" s="68"/>
      <c r="BJ888" s="68"/>
      <c r="BK888" s="68"/>
      <c r="BL888" s="68"/>
      <c r="BM888" s="68"/>
      <c r="BN888" s="68"/>
      <c r="BO888" s="68"/>
      <c r="BP888" s="68"/>
      <c r="BQ888" s="68"/>
      <c r="BR888" s="68"/>
      <c r="BS888" s="68"/>
      <c r="BT888" s="68"/>
      <c r="BU888" s="68"/>
      <c r="BV888" s="68"/>
      <c r="BW888" s="68"/>
      <c r="BX888" s="68"/>
      <c r="BY888" s="68"/>
      <c r="BZ888" s="68"/>
      <c r="CA888" s="68"/>
      <c r="CB888" s="68"/>
      <c r="CC888" s="68"/>
      <c r="CD888" s="68"/>
      <c r="CE888" s="68"/>
      <c r="CF888" s="68"/>
      <c r="CG888" s="68"/>
      <c r="CH888" s="68"/>
      <c r="CI888" s="68"/>
      <c r="CJ888" s="68"/>
      <c r="CK888" s="68"/>
      <c r="CL888" s="68"/>
      <c r="CM888" s="68"/>
      <c r="CN888" s="68"/>
      <c r="CO888" s="68"/>
      <c r="CP888" s="68"/>
      <c r="CQ888" s="68"/>
      <c r="CR888" s="68"/>
      <c r="CS888" s="68"/>
      <c r="CT888" s="68"/>
      <c r="CU888" s="68"/>
      <c r="CV888" s="68"/>
      <c r="CW888" s="68"/>
      <c r="CX888" s="68"/>
    </row>
    <row r="889" spans="4:102" s="71" customFormat="1" hidden="1">
      <c r="D889" s="105"/>
      <c r="E889" s="100"/>
      <c r="F889" s="100"/>
      <c r="G889" s="111"/>
      <c r="H889" s="105"/>
      <c r="I889" s="111"/>
      <c r="J889" s="111"/>
      <c r="K889" s="112"/>
      <c r="L889" s="113"/>
      <c r="M889" s="114"/>
      <c r="N889" s="100"/>
      <c r="O889" s="114"/>
      <c r="P889" s="65"/>
      <c r="Q889" s="103"/>
      <c r="R889" s="103"/>
      <c r="S889" s="103"/>
      <c r="T889" s="103"/>
      <c r="U889" s="68"/>
      <c r="V889" s="69"/>
      <c r="W889" s="68"/>
      <c r="X889" s="68"/>
      <c r="Y889" s="68"/>
      <c r="Z889" s="68"/>
      <c r="AA889" s="68"/>
      <c r="AB889" s="68"/>
      <c r="AC889" s="68"/>
      <c r="AD889" s="68"/>
      <c r="AE889" s="68"/>
      <c r="AF889" s="68"/>
      <c r="AG889" s="68"/>
      <c r="AH889" s="68"/>
      <c r="AI889" s="68"/>
      <c r="AJ889" s="68"/>
      <c r="AK889" s="68"/>
      <c r="AL889" s="68"/>
      <c r="AM889" s="68"/>
      <c r="AN889" s="68"/>
      <c r="AO889" s="68"/>
      <c r="AP889" s="68"/>
      <c r="AQ889" s="68"/>
      <c r="AR889" s="68"/>
      <c r="AS889" s="68"/>
      <c r="AT889" s="68"/>
      <c r="AU889" s="68"/>
      <c r="AV889" s="68"/>
      <c r="AW889" s="68"/>
      <c r="AX889" s="68"/>
      <c r="AY889" s="68"/>
      <c r="AZ889" s="68"/>
      <c r="BA889" s="68"/>
      <c r="BB889" s="68"/>
      <c r="BC889" s="68"/>
      <c r="BD889" s="68"/>
      <c r="BE889" s="68"/>
      <c r="BF889" s="68"/>
      <c r="BG889" s="68"/>
      <c r="BH889" s="68"/>
      <c r="BI889" s="68"/>
      <c r="BJ889" s="68"/>
      <c r="BK889" s="68"/>
      <c r="BL889" s="68"/>
      <c r="BM889" s="68"/>
      <c r="BN889" s="68"/>
      <c r="BO889" s="68"/>
      <c r="BP889" s="68"/>
      <c r="BQ889" s="68"/>
      <c r="BR889" s="68"/>
      <c r="BS889" s="68"/>
      <c r="BT889" s="68"/>
      <c r="BU889" s="68"/>
      <c r="BV889" s="68"/>
      <c r="BW889" s="68"/>
      <c r="BX889" s="68"/>
      <c r="BY889" s="68"/>
      <c r="BZ889" s="68"/>
      <c r="CA889" s="68"/>
      <c r="CB889" s="68"/>
      <c r="CC889" s="68"/>
      <c r="CD889" s="68"/>
      <c r="CE889" s="68"/>
      <c r="CF889" s="68"/>
      <c r="CG889" s="68"/>
      <c r="CH889" s="68"/>
      <c r="CI889" s="68"/>
      <c r="CJ889" s="68"/>
      <c r="CK889" s="68"/>
      <c r="CL889" s="68"/>
      <c r="CM889" s="68"/>
      <c r="CN889" s="68"/>
      <c r="CO889" s="68"/>
      <c r="CP889" s="68"/>
      <c r="CQ889" s="68"/>
      <c r="CR889" s="68"/>
      <c r="CS889" s="68"/>
      <c r="CT889" s="68"/>
      <c r="CU889" s="68"/>
      <c r="CV889" s="68"/>
      <c r="CW889" s="68"/>
      <c r="CX889" s="68"/>
    </row>
    <row r="890" spans="4:102" s="71" customFormat="1" hidden="1">
      <c r="D890" s="105"/>
      <c r="E890" s="100"/>
      <c r="F890" s="100"/>
      <c r="G890" s="111"/>
      <c r="H890" s="105"/>
      <c r="I890" s="111"/>
      <c r="J890" s="111"/>
      <c r="K890" s="112"/>
      <c r="L890" s="113"/>
      <c r="M890" s="114"/>
      <c r="N890" s="100"/>
      <c r="O890" s="114"/>
      <c r="P890" s="65"/>
      <c r="Q890" s="103"/>
      <c r="R890" s="103"/>
      <c r="S890" s="103"/>
      <c r="T890" s="103"/>
      <c r="U890" s="68"/>
      <c r="V890" s="69"/>
      <c r="W890" s="68"/>
      <c r="X890" s="68"/>
      <c r="Y890" s="68"/>
      <c r="Z890" s="68"/>
      <c r="AA890" s="68"/>
      <c r="AB890" s="68"/>
      <c r="AC890" s="68"/>
      <c r="AD890" s="68"/>
      <c r="AE890" s="68"/>
      <c r="AF890" s="68"/>
      <c r="AG890" s="68"/>
      <c r="AH890" s="68"/>
      <c r="AI890" s="68"/>
      <c r="AJ890" s="68"/>
      <c r="AK890" s="68"/>
      <c r="AL890" s="68"/>
      <c r="AM890" s="68"/>
      <c r="AN890" s="68"/>
      <c r="AO890" s="68"/>
      <c r="AP890" s="68"/>
      <c r="AQ890" s="68"/>
      <c r="AR890" s="68"/>
      <c r="AS890" s="68"/>
      <c r="AT890" s="68"/>
      <c r="AU890" s="68"/>
      <c r="AV890" s="68"/>
      <c r="AW890" s="68"/>
      <c r="AX890" s="68"/>
      <c r="AY890" s="68"/>
      <c r="AZ890" s="68"/>
      <c r="BA890" s="68"/>
      <c r="BB890" s="68"/>
      <c r="BC890" s="68"/>
      <c r="BD890" s="68"/>
      <c r="BE890" s="68"/>
      <c r="BF890" s="68"/>
      <c r="BG890" s="68"/>
      <c r="BH890" s="68"/>
      <c r="BI890" s="68"/>
      <c r="BJ890" s="68"/>
      <c r="BK890" s="68"/>
      <c r="BL890" s="68"/>
      <c r="BM890" s="68"/>
      <c r="BN890" s="68"/>
      <c r="BO890" s="68"/>
      <c r="BP890" s="68"/>
      <c r="BQ890" s="68"/>
      <c r="BR890" s="68"/>
      <c r="BS890" s="68"/>
      <c r="BT890" s="68"/>
      <c r="BU890" s="68"/>
      <c r="BV890" s="68"/>
      <c r="BW890" s="68"/>
      <c r="BX890" s="68"/>
      <c r="BY890" s="68"/>
      <c r="BZ890" s="68"/>
      <c r="CA890" s="68"/>
      <c r="CB890" s="68"/>
      <c r="CC890" s="68"/>
      <c r="CD890" s="68"/>
      <c r="CE890" s="68"/>
      <c r="CF890" s="68"/>
      <c r="CG890" s="68"/>
      <c r="CH890" s="68"/>
      <c r="CI890" s="68"/>
      <c r="CJ890" s="68"/>
      <c r="CK890" s="68"/>
      <c r="CL890" s="68"/>
      <c r="CM890" s="68"/>
      <c r="CN890" s="68"/>
      <c r="CO890" s="68"/>
      <c r="CP890" s="68"/>
      <c r="CQ890" s="68"/>
      <c r="CR890" s="68"/>
      <c r="CS890" s="68"/>
      <c r="CT890" s="68"/>
      <c r="CU890" s="68"/>
      <c r="CV890" s="68"/>
      <c r="CW890" s="68"/>
      <c r="CX890" s="68"/>
    </row>
    <row r="891" spans="4:102" s="71" customFormat="1" hidden="1">
      <c r="D891" s="105"/>
      <c r="E891" s="100"/>
      <c r="F891" s="100"/>
      <c r="G891" s="111"/>
      <c r="H891" s="105"/>
      <c r="I891" s="111"/>
      <c r="J891" s="111"/>
      <c r="K891" s="112"/>
      <c r="L891" s="113"/>
      <c r="M891" s="114"/>
      <c r="N891" s="100"/>
      <c r="O891" s="114"/>
      <c r="P891" s="65"/>
      <c r="Q891" s="103"/>
      <c r="R891" s="103"/>
      <c r="S891" s="103"/>
      <c r="T891" s="103"/>
      <c r="U891" s="68"/>
      <c r="V891" s="69"/>
      <c r="W891" s="68"/>
      <c r="X891" s="68"/>
      <c r="Y891" s="68"/>
      <c r="Z891" s="68"/>
      <c r="AA891" s="68"/>
      <c r="AB891" s="68"/>
      <c r="AC891" s="68"/>
      <c r="AD891" s="68"/>
      <c r="AE891" s="68"/>
      <c r="AF891" s="68"/>
      <c r="AG891" s="68"/>
      <c r="AH891" s="68"/>
      <c r="AI891" s="68"/>
      <c r="AJ891" s="68"/>
      <c r="AK891" s="68"/>
      <c r="AL891" s="68"/>
      <c r="AM891" s="68"/>
      <c r="AN891" s="68"/>
      <c r="AO891" s="68"/>
      <c r="AP891" s="68"/>
      <c r="AQ891" s="68"/>
      <c r="AR891" s="68"/>
      <c r="AS891" s="68"/>
      <c r="AT891" s="68"/>
      <c r="AU891" s="68"/>
      <c r="AV891" s="68"/>
      <c r="AW891" s="68"/>
      <c r="AX891" s="68"/>
      <c r="AY891" s="68"/>
      <c r="AZ891" s="68"/>
      <c r="BA891" s="68"/>
      <c r="BB891" s="68"/>
      <c r="BC891" s="68"/>
      <c r="BD891" s="68"/>
      <c r="BE891" s="68"/>
      <c r="BF891" s="68"/>
      <c r="BG891" s="68"/>
      <c r="BH891" s="68"/>
      <c r="BI891" s="68"/>
      <c r="BJ891" s="68"/>
      <c r="BK891" s="68"/>
      <c r="BL891" s="68"/>
      <c r="BM891" s="68"/>
      <c r="BN891" s="68"/>
      <c r="BO891" s="68"/>
      <c r="BP891" s="68"/>
      <c r="BQ891" s="68"/>
      <c r="BR891" s="68"/>
      <c r="BS891" s="68"/>
      <c r="BT891" s="68"/>
      <c r="BU891" s="68"/>
      <c r="BV891" s="68"/>
      <c r="BW891" s="68"/>
      <c r="BX891" s="68"/>
      <c r="BY891" s="68"/>
      <c r="BZ891" s="68"/>
      <c r="CA891" s="68"/>
      <c r="CB891" s="68"/>
      <c r="CC891" s="68"/>
      <c r="CD891" s="68"/>
      <c r="CE891" s="68"/>
      <c r="CF891" s="68"/>
      <c r="CG891" s="68"/>
      <c r="CH891" s="68"/>
      <c r="CI891" s="68"/>
      <c r="CJ891" s="68"/>
      <c r="CK891" s="68"/>
      <c r="CL891" s="68"/>
      <c r="CM891" s="68"/>
      <c r="CN891" s="68"/>
      <c r="CO891" s="68"/>
      <c r="CP891" s="68"/>
      <c r="CQ891" s="68"/>
      <c r="CR891" s="68"/>
      <c r="CS891" s="68"/>
      <c r="CT891" s="68"/>
      <c r="CU891" s="68"/>
      <c r="CV891" s="68"/>
      <c r="CW891" s="68"/>
      <c r="CX891" s="68"/>
    </row>
    <row r="892" spans="4:102" s="71" customFormat="1" hidden="1">
      <c r="D892" s="105"/>
      <c r="E892" s="100"/>
      <c r="F892" s="100"/>
      <c r="G892" s="111"/>
      <c r="H892" s="105"/>
      <c r="I892" s="111"/>
      <c r="J892" s="111"/>
      <c r="K892" s="112"/>
      <c r="L892" s="113"/>
      <c r="M892" s="114"/>
      <c r="N892" s="100"/>
      <c r="O892" s="114"/>
      <c r="P892" s="65"/>
      <c r="Q892" s="103"/>
      <c r="R892" s="103"/>
      <c r="S892" s="103"/>
      <c r="T892" s="103"/>
      <c r="U892" s="68"/>
      <c r="V892" s="69"/>
      <c r="W892" s="68"/>
      <c r="X892" s="68"/>
      <c r="Y892" s="68"/>
      <c r="Z892" s="68"/>
      <c r="AA892" s="68"/>
      <c r="AB892" s="68"/>
      <c r="AC892" s="68"/>
      <c r="AD892" s="68"/>
      <c r="AE892" s="68"/>
      <c r="AF892" s="68"/>
      <c r="AG892" s="68"/>
      <c r="AH892" s="68"/>
      <c r="AI892" s="68"/>
      <c r="AJ892" s="68"/>
      <c r="AK892" s="68"/>
      <c r="AL892" s="68"/>
      <c r="AM892" s="68"/>
      <c r="AN892" s="68"/>
      <c r="AO892" s="68"/>
      <c r="AP892" s="68"/>
      <c r="AQ892" s="68"/>
      <c r="AR892" s="68"/>
      <c r="AS892" s="68"/>
      <c r="AT892" s="68"/>
      <c r="AU892" s="68"/>
      <c r="AV892" s="68"/>
      <c r="AW892" s="68"/>
      <c r="AX892" s="68"/>
      <c r="AY892" s="68"/>
      <c r="AZ892" s="68"/>
      <c r="BA892" s="68"/>
      <c r="BB892" s="68"/>
      <c r="BC892" s="68"/>
      <c r="BD892" s="68"/>
      <c r="BE892" s="68"/>
      <c r="BF892" s="68"/>
      <c r="BG892" s="68"/>
      <c r="BH892" s="68"/>
      <c r="BI892" s="68"/>
      <c r="BJ892" s="68"/>
      <c r="BK892" s="68"/>
      <c r="BL892" s="68"/>
      <c r="BM892" s="68"/>
      <c r="BN892" s="68"/>
      <c r="BO892" s="68"/>
      <c r="BP892" s="68"/>
      <c r="BQ892" s="68"/>
      <c r="BR892" s="68"/>
      <c r="BS892" s="68"/>
      <c r="BT892" s="68"/>
      <c r="BU892" s="68"/>
      <c r="BV892" s="68"/>
      <c r="BW892" s="68"/>
      <c r="BX892" s="68"/>
      <c r="BY892" s="68"/>
      <c r="BZ892" s="68"/>
      <c r="CA892" s="68"/>
      <c r="CB892" s="68"/>
      <c r="CC892" s="68"/>
      <c r="CD892" s="68"/>
      <c r="CE892" s="68"/>
      <c r="CF892" s="68"/>
      <c r="CG892" s="68"/>
      <c r="CH892" s="68"/>
      <c r="CI892" s="68"/>
      <c r="CJ892" s="68"/>
      <c r="CK892" s="68"/>
      <c r="CL892" s="68"/>
      <c r="CM892" s="68"/>
      <c r="CN892" s="68"/>
      <c r="CO892" s="68"/>
      <c r="CP892" s="68"/>
      <c r="CQ892" s="68"/>
      <c r="CR892" s="68"/>
      <c r="CS892" s="68"/>
      <c r="CT892" s="68"/>
      <c r="CU892" s="68"/>
      <c r="CV892" s="68"/>
      <c r="CW892" s="68"/>
      <c r="CX892" s="68"/>
    </row>
    <row r="893" spans="4:102" s="71" customFormat="1" hidden="1">
      <c r="D893" s="105"/>
      <c r="E893" s="100"/>
      <c r="F893" s="100"/>
      <c r="G893" s="111"/>
      <c r="H893" s="105"/>
      <c r="I893" s="111"/>
      <c r="J893" s="111"/>
      <c r="K893" s="112"/>
      <c r="L893" s="113"/>
      <c r="M893" s="114"/>
      <c r="N893" s="100"/>
      <c r="O893" s="114"/>
      <c r="P893" s="65"/>
      <c r="Q893" s="103"/>
      <c r="R893" s="103"/>
      <c r="S893" s="103"/>
      <c r="T893" s="103"/>
      <c r="U893" s="68"/>
      <c r="V893" s="69"/>
      <c r="W893" s="68"/>
      <c r="X893" s="68"/>
      <c r="Y893" s="68"/>
      <c r="Z893" s="68"/>
      <c r="AA893" s="68"/>
      <c r="AB893" s="68"/>
      <c r="AC893" s="68"/>
      <c r="AD893" s="68"/>
      <c r="AE893" s="68"/>
      <c r="AF893" s="68"/>
      <c r="AG893" s="68"/>
      <c r="AH893" s="68"/>
      <c r="AI893" s="68"/>
      <c r="AJ893" s="68"/>
      <c r="AK893" s="68"/>
      <c r="AL893" s="68"/>
      <c r="AM893" s="68"/>
      <c r="AN893" s="68"/>
      <c r="AO893" s="68"/>
      <c r="AP893" s="68"/>
      <c r="AQ893" s="68"/>
      <c r="AR893" s="68"/>
      <c r="AS893" s="68"/>
      <c r="AT893" s="68"/>
      <c r="AU893" s="68"/>
      <c r="AV893" s="68"/>
      <c r="AW893" s="68"/>
      <c r="AX893" s="68"/>
      <c r="AY893" s="68"/>
      <c r="AZ893" s="68"/>
      <c r="BA893" s="68"/>
      <c r="BB893" s="68"/>
      <c r="BC893" s="68"/>
      <c r="BD893" s="68"/>
      <c r="BE893" s="68"/>
      <c r="BF893" s="68"/>
      <c r="BG893" s="68"/>
      <c r="BH893" s="68"/>
      <c r="BI893" s="68"/>
      <c r="BJ893" s="68"/>
      <c r="BK893" s="68"/>
      <c r="BL893" s="68"/>
      <c r="BM893" s="68"/>
      <c r="BN893" s="68"/>
      <c r="BO893" s="68"/>
      <c r="BP893" s="68"/>
      <c r="BQ893" s="68"/>
      <c r="BR893" s="68"/>
      <c r="BS893" s="68"/>
      <c r="BT893" s="68"/>
      <c r="BU893" s="68"/>
      <c r="BV893" s="68"/>
      <c r="BW893" s="68"/>
      <c r="BX893" s="68"/>
      <c r="BY893" s="68"/>
      <c r="BZ893" s="68"/>
      <c r="CA893" s="68"/>
      <c r="CB893" s="68"/>
      <c r="CC893" s="68"/>
      <c r="CD893" s="68"/>
      <c r="CE893" s="68"/>
      <c r="CF893" s="68"/>
      <c r="CG893" s="68"/>
      <c r="CH893" s="68"/>
      <c r="CI893" s="68"/>
      <c r="CJ893" s="68"/>
      <c r="CK893" s="68"/>
      <c r="CL893" s="68"/>
      <c r="CM893" s="68"/>
      <c r="CN893" s="68"/>
      <c r="CO893" s="68"/>
      <c r="CP893" s="68"/>
      <c r="CQ893" s="68"/>
      <c r="CR893" s="68"/>
      <c r="CS893" s="68"/>
      <c r="CT893" s="68"/>
      <c r="CU893" s="68"/>
      <c r="CV893" s="68"/>
      <c r="CW893" s="68"/>
      <c r="CX893" s="68"/>
    </row>
    <row r="894" spans="4:102" s="71" customFormat="1" hidden="1">
      <c r="D894" s="105"/>
      <c r="E894" s="100"/>
      <c r="F894" s="100"/>
      <c r="G894" s="111"/>
      <c r="H894" s="105"/>
      <c r="I894" s="111"/>
      <c r="J894" s="111"/>
      <c r="K894" s="112"/>
      <c r="L894" s="113"/>
      <c r="M894" s="114"/>
      <c r="N894" s="100"/>
      <c r="O894" s="114"/>
      <c r="P894" s="65"/>
      <c r="Q894" s="103"/>
      <c r="R894" s="103"/>
      <c r="S894" s="103"/>
      <c r="T894" s="103"/>
      <c r="U894" s="68"/>
      <c r="V894" s="69"/>
      <c r="W894" s="68"/>
      <c r="X894" s="68"/>
      <c r="Y894" s="68"/>
      <c r="Z894" s="68"/>
      <c r="AA894" s="68"/>
      <c r="AB894" s="68"/>
      <c r="AC894" s="68"/>
      <c r="AD894" s="68"/>
      <c r="AE894" s="68"/>
      <c r="AF894" s="68"/>
      <c r="AG894" s="68"/>
      <c r="AH894" s="68"/>
      <c r="AI894" s="68"/>
      <c r="AJ894" s="68"/>
      <c r="AK894" s="68"/>
      <c r="AL894" s="68"/>
      <c r="AM894" s="68"/>
      <c r="AN894" s="68"/>
      <c r="AO894" s="68"/>
      <c r="AP894" s="68"/>
      <c r="AQ894" s="68"/>
      <c r="AR894" s="68"/>
      <c r="AS894" s="68"/>
      <c r="AT894" s="68"/>
      <c r="AU894" s="68"/>
      <c r="AV894" s="68"/>
      <c r="AW894" s="68"/>
      <c r="AX894" s="68"/>
      <c r="AY894" s="68"/>
      <c r="AZ894" s="68"/>
      <c r="BA894" s="68"/>
      <c r="BB894" s="68"/>
      <c r="BC894" s="68"/>
      <c r="BD894" s="68"/>
      <c r="BE894" s="68"/>
      <c r="BF894" s="68"/>
      <c r="BG894" s="68"/>
      <c r="BH894" s="68"/>
      <c r="BI894" s="68"/>
      <c r="BJ894" s="68"/>
      <c r="BK894" s="68"/>
      <c r="BL894" s="68"/>
      <c r="BM894" s="68"/>
      <c r="BN894" s="68"/>
      <c r="BO894" s="68"/>
      <c r="BP894" s="68"/>
      <c r="BQ894" s="68"/>
      <c r="BR894" s="68"/>
      <c r="BS894" s="68"/>
      <c r="BT894" s="68"/>
      <c r="BU894" s="68"/>
      <c r="BV894" s="68"/>
      <c r="BW894" s="68"/>
      <c r="BX894" s="68"/>
      <c r="BY894" s="68"/>
      <c r="BZ894" s="68"/>
      <c r="CA894" s="68"/>
      <c r="CB894" s="68"/>
      <c r="CC894" s="68"/>
      <c r="CD894" s="68"/>
      <c r="CE894" s="68"/>
      <c r="CF894" s="68"/>
      <c r="CG894" s="68"/>
      <c r="CH894" s="68"/>
      <c r="CI894" s="68"/>
      <c r="CJ894" s="68"/>
      <c r="CK894" s="68"/>
      <c r="CL894" s="68"/>
      <c r="CM894" s="68"/>
      <c r="CN894" s="68"/>
      <c r="CO894" s="68"/>
      <c r="CP894" s="68"/>
      <c r="CQ894" s="68"/>
      <c r="CR894" s="68"/>
      <c r="CS894" s="68"/>
      <c r="CT894" s="68"/>
      <c r="CU894" s="68"/>
      <c r="CV894" s="68"/>
      <c r="CW894" s="68"/>
      <c r="CX894" s="68"/>
    </row>
    <row r="895" spans="4:102" s="71" customFormat="1" hidden="1">
      <c r="D895" s="105"/>
      <c r="E895" s="100"/>
      <c r="F895" s="100"/>
      <c r="G895" s="111"/>
      <c r="H895" s="105"/>
      <c r="I895" s="111"/>
      <c r="J895" s="111"/>
      <c r="K895" s="112"/>
      <c r="L895" s="113"/>
      <c r="M895" s="114"/>
      <c r="N895" s="100"/>
      <c r="O895" s="114"/>
      <c r="P895" s="65"/>
      <c r="Q895" s="103"/>
      <c r="R895" s="103"/>
      <c r="S895" s="103"/>
      <c r="T895" s="103"/>
      <c r="U895" s="68"/>
      <c r="V895" s="69"/>
      <c r="W895" s="68"/>
      <c r="X895" s="68"/>
      <c r="Y895" s="68"/>
      <c r="Z895" s="68"/>
      <c r="AA895" s="68"/>
      <c r="AB895" s="68"/>
      <c r="AC895" s="68"/>
      <c r="AD895" s="68"/>
      <c r="AE895" s="68"/>
      <c r="AF895" s="68"/>
      <c r="AG895" s="68"/>
      <c r="AH895" s="68"/>
      <c r="AI895" s="68"/>
      <c r="AJ895" s="68"/>
      <c r="AK895" s="68"/>
      <c r="AL895" s="68"/>
      <c r="AM895" s="68"/>
      <c r="AN895" s="68"/>
      <c r="AO895" s="68"/>
      <c r="AP895" s="68"/>
      <c r="AQ895" s="68"/>
      <c r="AR895" s="68"/>
      <c r="AS895" s="68"/>
      <c r="AT895" s="68"/>
      <c r="AU895" s="68"/>
      <c r="AV895" s="68"/>
      <c r="AW895" s="68"/>
      <c r="AX895" s="68"/>
      <c r="AY895" s="68"/>
      <c r="AZ895" s="68"/>
      <c r="BA895" s="68"/>
      <c r="BB895" s="68"/>
      <c r="BC895" s="68"/>
      <c r="BD895" s="68"/>
      <c r="BE895" s="68"/>
      <c r="BF895" s="68"/>
      <c r="BG895" s="68"/>
      <c r="BH895" s="68"/>
      <c r="BI895" s="68"/>
      <c r="BJ895" s="68"/>
      <c r="BK895" s="68"/>
      <c r="BL895" s="68"/>
      <c r="BM895" s="68"/>
      <c r="BN895" s="68"/>
      <c r="BO895" s="68"/>
      <c r="BP895" s="68"/>
      <c r="BQ895" s="68"/>
      <c r="BR895" s="68"/>
      <c r="BS895" s="68"/>
      <c r="BT895" s="68"/>
      <c r="BU895" s="68"/>
      <c r="BV895" s="68"/>
      <c r="BW895" s="68"/>
      <c r="BX895" s="68"/>
      <c r="BY895" s="68"/>
      <c r="BZ895" s="68"/>
      <c r="CA895" s="68"/>
      <c r="CB895" s="68"/>
      <c r="CC895" s="68"/>
      <c r="CD895" s="68"/>
      <c r="CE895" s="68"/>
      <c r="CF895" s="68"/>
      <c r="CG895" s="68"/>
      <c r="CH895" s="68"/>
      <c r="CI895" s="68"/>
      <c r="CJ895" s="68"/>
      <c r="CK895" s="68"/>
      <c r="CL895" s="68"/>
      <c r="CM895" s="68"/>
      <c r="CN895" s="68"/>
      <c r="CO895" s="68"/>
      <c r="CP895" s="68"/>
      <c r="CQ895" s="68"/>
      <c r="CR895" s="68"/>
      <c r="CS895" s="68"/>
      <c r="CT895" s="68"/>
      <c r="CU895" s="68"/>
      <c r="CV895" s="68"/>
      <c r="CW895" s="68"/>
      <c r="CX895" s="68"/>
    </row>
    <row r="896" spans="4:102" s="71" customFormat="1" hidden="1">
      <c r="D896" s="105"/>
      <c r="E896" s="100"/>
      <c r="F896" s="100"/>
      <c r="G896" s="111"/>
      <c r="H896" s="105"/>
      <c r="I896" s="111"/>
      <c r="J896" s="111"/>
      <c r="K896" s="112"/>
      <c r="L896" s="113"/>
      <c r="M896" s="114"/>
      <c r="N896" s="100"/>
      <c r="O896" s="114"/>
      <c r="P896" s="65"/>
      <c r="Q896" s="103"/>
      <c r="R896" s="103"/>
      <c r="S896" s="103"/>
      <c r="T896" s="103"/>
      <c r="U896" s="68"/>
      <c r="V896" s="69"/>
      <c r="W896" s="68"/>
      <c r="X896" s="68"/>
      <c r="Y896" s="68"/>
      <c r="Z896" s="68"/>
      <c r="AA896" s="68"/>
      <c r="AB896" s="68"/>
      <c r="AC896" s="68"/>
      <c r="AD896" s="68"/>
      <c r="AE896" s="68"/>
      <c r="AF896" s="68"/>
      <c r="AG896" s="68"/>
      <c r="AH896" s="68"/>
      <c r="AI896" s="68"/>
      <c r="AJ896" s="68"/>
      <c r="AK896" s="68"/>
      <c r="AL896" s="68"/>
      <c r="AM896" s="68"/>
      <c r="AN896" s="68"/>
      <c r="AO896" s="68"/>
      <c r="AP896" s="68"/>
      <c r="AQ896" s="68"/>
      <c r="AR896" s="68"/>
      <c r="AS896" s="68"/>
      <c r="AT896" s="68"/>
      <c r="AU896" s="68"/>
      <c r="AV896" s="68"/>
      <c r="AW896" s="68"/>
      <c r="AX896" s="68"/>
      <c r="AY896" s="68"/>
      <c r="AZ896" s="68"/>
      <c r="BA896" s="68"/>
      <c r="BB896" s="68"/>
      <c r="BC896" s="68"/>
      <c r="BD896" s="68"/>
      <c r="BE896" s="68"/>
      <c r="BF896" s="68"/>
      <c r="BG896" s="68"/>
      <c r="BH896" s="68"/>
      <c r="BI896" s="68"/>
      <c r="BJ896" s="68"/>
      <c r="BK896" s="68"/>
      <c r="BL896" s="68"/>
      <c r="BM896" s="68"/>
      <c r="BN896" s="68"/>
      <c r="BO896" s="68"/>
      <c r="BP896" s="68"/>
      <c r="BQ896" s="68"/>
      <c r="BR896" s="68"/>
      <c r="BS896" s="68"/>
      <c r="BT896" s="68"/>
      <c r="BU896" s="68"/>
      <c r="BV896" s="68"/>
      <c r="BW896" s="68"/>
      <c r="BX896" s="68"/>
      <c r="BY896" s="68"/>
      <c r="BZ896" s="68"/>
      <c r="CA896" s="68"/>
      <c r="CB896" s="68"/>
      <c r="CC896" s="68"/>
      <c r="CD896" s="68"/>
      <c r="CE896" s="68"/>
      <c r="CF896" s="68"/>
      <c r="CG896" s="68"/>
      <c r="CH896" s="68"/>
      <c r="CI896" s="68"/>
      <c r="CJ896" s="68"/>
      <c r="CK896" s="68"/>
      <c r="CL896" s="68"/>
      <c r="CM896" s="68"/>
      <c r="CN896" s="68"/>
      <c r="CO896" s="68"/>
      <c r="CP896" s="68"/>
      <c r="CQ896" s="68"/>
      <c r="CR896" s="68"/>
      <c r="CS896" s="68"/>
      <c r="CT896" s="68"/>
      <c r="CU896" s="68"/>
      <c r="CV896" s="68"/>
      <c r="CW896" s="68"/>
      <c r="CX896" s="68"/>
    </row>
    <row r="897" spans="4:102" s="71" customFormat="1" hidden="1">
      <c r="D897" s="105"/>
      <c r="E897" s="100"/>
      <c r="F897" s="100"/>
      <c r="G897" s="111"/>
      <c r="H897" s="105"/>
      <c r="I897" s="111"/>
      <c r="J897" s="111"/>
      <c r="K897" s="112"/>
      <c r="L897" s="113"/>
      <c r="M897" s="114"/>
      <c r="N897" s="100"/>
      <c r="O897" s="114"/>
      <c r="P897" s="65"/>
      <c r="Q897" s="103"/>
      <c r="R897" s="103"/>
      <c r="S897" s="103"/>
      <c r="T897" s="103"/>
      <c r="U897" s="68"/>
      <c r="V897" s="69"/>
      <c r="W897" s="68"/>
      <c r="X897" s="68"/>
      <c r="Y897" s="68"/>
      <c r="Z897" s="68"/>
      <c r="AA897" s="68"/>
      <c r="AB897" s="68"/>
      <c r="AC897" s="68"/>
      <c r="AD897" s="68"/>
      <c r="AE897" s="68"/>
      <c r="AF897" s="68"/>
      <c r="AG897" s="68"/>
      <c r="AH897" s="68"/>
      <c r="AI897" s="68"/>
      <c r="AJ897" s="68"/>
      <c r="AK897" s="68"/>
      <c r="AL897" s="68"/>
      <c r="AM897" s="68"/>
      <c r="AN897" s="68"/>
      <c r="AO897" s="68"/>
      <c r="AP897" s="68"/>
      <c r="AQ897" s="68"/>
      <c r="AR897" s="68"/>
      <c r="AS897" s="68"/>
      <c r="AT897" s="68"/>
      <c r="AU897" s="68"/>
      <c r="AV897" s="68"/>
      <c r="AW897" s="68"/>
      <c r="AX897" s="68"/>
      <c r="AY897" s="68"/>
      <c r="AZ897" s="68"/>
      <c r="BA897" s="68"/>
      <c r="BB897" s="68"/>
      <c r="BC897" s="68"/>
      <c r="BD897" s="68"/>
      <c r="BE897" s="68"/>
      <c r="BF897" s="68"/>
      <c r="BG897" s="68"/>
      <c r="BH897" s="68"/>
      <c r="BI897" s="68"/>
      <c r="BJ897" s="68"/>
      <c r="BK897" s="68"/>
      <c r="BL897" s="68"/>
      <c r="BM897" s="68"/>
      <c r="BN897" s="68"/>
      <c r="BO897" s="68"/>
      <c r="BP897" s="68"/>
      <c r="BQ897" s="68"/>
      <c r="BR897" s="68"/>
      <c r="BS897" s="68"/>
      <c r="BT897" s="68"/>
      <c r="BU897" s="68"/>
      <c r="BV897" s="68"/>
      <c r="BW897" s="68"/>
      <c r="BX897" s="68"/>
      <c r="BY897" s="68"/>
      <c r="BZ897" s="68"/>
      <c r="CA897" s="68"/>
      <c r="CB897" s="68"/>
      <c r="CC897" s="68"/>
      <c r="CD897" s="68"/>
      <c r="CE897" s="68"/>
      <c r="CF897" s="68"/>
      <c r="CG897" s="68"/>
      <c r="CH897" s="68"/>
      <c r="CI897" s="68"/>
      <c r="CJ897" s="68"/>
      <c r="CK897" s="68"/>
      <c r="CL897" s="68"/>
      <c r="CM897" s="68"/>
      <c r="CN897" s="68"/>
      <c r="CO897" s="68"/>
      <c r="CP897" s="68"/>
      <c r="CQ897" s="68"/>
      <c r="CR897" s="68"/>
      <c r="CS897" s="68"/>
      <c r="CT897" s="68"/>
      <c r="CU897" s="68"/>
      <c r="CV897" s="68"/>
      <c r="CW897" s="68"/>
      <c r="CX897" s="68"/>
    </row>
    <row r="898" spans="4:102" s="71" customFormat="1" hidden="1">
      <c r="D898" s="105"/>
      <c r="E898" s="100"/>
      <c r="F898" s="100"/>
      <c r="G898" s="111"/>
      <c r="H898" s="105"/>
      <c r="I898" s="111"/>
      <c r="J898" s="111"/>
      <c r="K898" s="112"/>
      <c r="L898" s="113"/>
      <c r="M898" s="114"/>
      <c r="N898" s="100"/>
      <c r="O898" s="114"/>
      <c r="P898" s="65"/>
      <c r="Q898" s="103"/>
      <c r="R898" s="103"/>
      <c r="S898" s="103"/>
      <c r="T898" s="103"/>
      <c r="U898" s="68"/>
      <c r="V898" s="69"/>
      <c r="W898" s="68"/>
      <c r="X898" s="68"/>
      <c r="Y898" s="68"/>
      <c r="Z898" s="68"/>
      <c r="AA898" s="68"/>
      <c r="AB898" s="68"/>
      <c r="AC898" s="68"/>
      <c r="AD898" s="68"/>
      <c r="AE898" s="68"/>
      <c r="AF898" s="68"/>
      <c r="AG898" s="68"/>
      <c r="AH898" s="68"/>
      <c r="AI898" s="68"/>
      <c r="AJ898" s="68"/>
      <c r="AK898" s="68"/>
      <c r="AL898" s="68"/>
      <c r="AM898" s="68"/>
      <c r="AN898" s="68"/>
      <c r="AO898" s="68"/>
      <c r="AP898" s="68"/>
      <c r="AQ898" s="68"/>
      <c r="AR898" s="68"/>
      <c r="AS898" s="68"/>
      <c r="AT898" s="68"/>
      <c r="AU898" s="68"/>
      <c r="AV898" s="68"/>
      <c r="AW898" s="68"/>
      <c r="AX898" s="68"/>
      <c r="AY898" s="68"/>
      <c r="AZ898" s="68"/>
      <c r="BA898" s="68"/>
      <c r="BB898" s="68"/>
      <c r="BC898" s="68"/>
      <c r="BD898" s="68"/>
      <c r="BE898" s="68"/>
      <c r="BF898" s="68"/>
      <c r="BG898" s="68"/>
      <c r="BH898" s="68"/>
      <c r="BI898" s="68"/>
      <c r="BJ898" s="68"/>
      <c r="BK898" s="68"/>
      <c r="BL898" s="68"/>
      <c r="BM898" s="68"/>
      <c r="BN898" s="68"/>
      <c r="BO898" s="68"/>
      <c r="BP898" s="68"/>
      <c r="BQ898" s="68"/>
      <c r="BR898" s="68"/>
      <c r="BS898" s="68"/>
      <c r="BT898" s="68"/>
      <c r="BU898" s="68"/>
      <c r="BV898" s="68"/>
      <c r="BW898" s="68"/>
      <c r="BX898" s="68"/>
      <c r="BY898" s="68"/>
      <c r="BZ898" s="68"/>
      <c r="CA898" s="68"/>
      <c r="CB898" s="68"/>
      <c r="CC898" s="68"/>
      <c r="CD898" s="68"/>
      <c r="CE898" s="68"/>
      <c r="CF898" s="68"/>
      <c r="CG898" s="68"/>
      <c r="CH898" s="68"/>
      <c r="CI898" s="68"/>
      <c r="CJ898" s="68"/>
      <c r="CK898" s="68"/>
      <c r="CL898" s="68"/>
      <c r="CM898" s="68"/>
      <c r="CN898" s="68"/>
      <c r="CO898" s="68"/>
      <c r="CP898" s="68"/>
      <c r="CQ898" s="68"/>
      <c r="CR898" s="68"/>
      <c r="CS898" s="68"/>
      <c r="CT898" s="68"/>
      <c r="CU898" s="68"/>
      <c r="CV898" s="68"/>
      <c r="CW898" s="68"/>
      <c r="CX898" s="68"/>
    </row>
    <row r="899" spans="4:102" s="71" customFormat="1" hidden="1">
      <c r="D899" s="105"/>
      <c r="E899" s="100"/>
      <c r="F899" s="100"/>
      <c r="G899" s="111"/>
      <c r="H899" s="105"/>
      <c r="I899" s="111"/>
      <c r="J899" s="111"/>
      <c r="K899" s="112"/>
      <c r="L899" s="113"/>
      <c r="M899" s="114"/>
      <c r="N899" s="100"/>
      <c r="O899" s="114"/>
      <c r="P899" s="65"/>
      <c r="Q899" s="103"/>
      <c r="R899" s="103"/>
      <c r="S899" s="103"/>
      <c r="T899" s="103"/>
      <c r="U899" s="68"/>
      <c r="V899" s="69"/>
      <c r="W899" s="68"/>
      <c r="X899" s="68"/>
      <c r="Y899" s="68"/>
      <c r="Z899" s="68"/>
      <c r="AA899" s="68"/>
      <c r="AB899" s="68"/>
      <c r="AC899" s="68"/>
      <c r="AD899" s="68"/>
      <c r="AE899" s="68"/>
      <c r="AF899" s="68"/>
      <c r="AG899" s="68"/>
      <c r="AH899" s="68"/>
      <c r="AI899" s="68"/>
      <c r="AJ899" s="68"/>
      <c r="AK899" s="68"/>
      <c r="AL899" s="68"/>
      <c r="AM899" s="68"/>
      <c r="AN899" s="68"/>
      <c r="AO899" s="68"/>
      <c r="AP899" s="68"/>
      <c r="AQ899" s="68"/>
      <c r="AR899" s="68"/>
      <c r="AS899" s="68"/>
      <c r="AT899" s="68"/>
      <c r="AU899" s="68"/>
      <c r="AV899" s="68"/>
      <c r="AW899" s="68"/>
      <c r="AX899" s="68"/>
      <c r="AY899" s="68"/>
      <c r="AZ899" s="68"/>
      <c r="BA899" s="68"/>
      <c r="BB899" s="68"/>
      <c r="BC899" s="68"/>
      <c r="BD899" s="68"/>
      <c r="BE899" s="68"/>
      <c r="BF899" s="68"/>
      <c r="BG899" s="68"/>
      <c r="BH899" s="68"/>
      <c r="BI899" s="68"/>
      <c r="BJ899" s="68"/>
      <c r="BK899" s="68"/>
      <c r="BL899" s="68"/>
      <c r="BM899" s="68"/>
      <c r="BN899" s="68"/>
      <c r="BO899" s="68"/>
      <c r="BP899" s="68"/>
      <c r="BQ899" s="68"/>
      <c r="BR899" s="68"/>
      <c r="BS899" s="68"/>
      <c r="BT899" s="68"/>
      <c r="BU899" s="68"/>
      <c r="BV899" s="68"/>
      <c r="BW899" s="68"/>
      <c r="BX899" s="68"/>
      <c r="BY899" s="68"/>
      <c r="BZ899" s="68"/>
      <c r="CA899" s="68"/>
      <c r="CB899" s="68"/>
      <c r="CC899" s="68"/>
      <c r="CD899" s="68"/>
      <c r="CE899" s="68"/>
      <c r="CF899" s="68"/>
      <c r="CG899" s="68"/>
      <c r="CH899" s="68"/>
      <c r="CI899" s="68"/>
      <c r="CJ899" s="68"/>
      <c r="CK899" s="68"/>
      <c r="CL899" s="68"/>
      <c r="CM899" s="68"/>
      <c r="CN899" s="68"/>
      <c r="CO899" s="68"/>
      <c r="CP899" s="68"/>
      <c r="CQ899" s="68"/>
      <c r="CR899" s="68"/>
      <c r="CS899" s="68"/>
      <c r="CT899" s="68"/>
      <c r="CU899" s="68"/>
      <c r="CV899" s="68"/>
      <c r="CW899" s="68"/>
      <c r="CX899" s="68"/>
    </row>
    <row r="900" spans="4:102" s="71" customFormat="1" hidden="1">
      <c r="D900" s="105"/>
      <c r="E900" s="100"/>
      <c r="F900" s="100"/>
      <c r="G900" s="111"/>
      <c r="H900" s="105"/>
      <c r="I900" s="111"/>
      <c r="J900" s="111"/>
      <c r="K900" s="112"/>
      <c r="L900" s="113"/>
      <c r="M900" s="114"/>
      <c r="N900" s="100"/>
      <c r="O900" s="114"/>
      <c r="P900" s="65"/>
      <c r="Q900" s="103"/>
      <c r="R900" s="103"/>
      <c r="S900" s="103"/>
      <c r="T900" s="103"/>
      <c r="U900" s="68"/>
      <c r="V900" s="69"/>
      <c r="W900" s="68"/>
      <c r="X900" s="68"/>
      <c r="Y900" s="68"/>
      <c r="Z900" s="68"/>
      <c r="AA900" s="68"/>
      <c r="AB900" s="68"/>
      <c r="AC900" s="68"/>
      <c r="AD900" s="68"/>
      <c r="AE900" s="68"/>
      <c r="AF900" s="68"/>
      <c r="AG900" s="68"/>
      <c r="AH900" s="68"/>
      <c r="AI900" s="68"/>
      <c r="AJ900" s="68"/>
      <c r="AK900" s="68"/>
      <c r="AL900" s="68"/>
      <c r="AM900" s="68"/>
      <c r="AN900" s="68"/>
      <c r="AO900" s="68"/>
      <c r="AP900" s="68"/>
      <c r="AQ900" s="68"/>
      <c r="AR900" s="68"/>
      <c r="AS900" s="68"/>
      <c r="AT900" s="68"/>
      <c r="AU900" s="68"/>
      <c r="AV900" s="68"/>
      <c r="AW900" s="68"/>
      <c r="AX900" s="68"/>
      <c r="AY900" s="68"/>
      <c r="AZ900" s="68"/>
      <c r="BA900" s="68"/>
      <c r="BB900" s="68"/>
      <c r="BC900" s="68"/>
      <c r="BD900" s="68"/>
      <c r="BE900" s="68"/>
      <c r="BF900" s="68"/>
      <c r="BG900" s="68"/>
      <c r="BH900" s="68"/>
      <c r="BI900" s="68"/>
      <c r="BJ900" s="68"/>
      <c r="BK900" s="68"/>
      <c r="BL900" s="68"/>
      <c r="BM900" s="68"/>
      <c r="BN900" s="68"/>
      <c r="BO900" s="68"/>
      <c r="BP900" s="68"/>
      <c r="BQ900" s="68"/>
      <c r="BR900" s="68"/>
      <c r="BS900" s="68"/>
      <c r="BT900" s="68"/>
      <c r="BU900" s="68"/>
      <c r="BV900" s="68"/>
      <c r="BW900" s="68"/>
      <c r="BX900" s="68"/>
      <c r="BY900" s="68"/>
      <c r="BZ900" s="68"/>
      <c r="CA900" s="68"/>
      <c r="CB900" s="68"/>
      <c r="CC900" s="68"/>
      <c r="CD900" s="68"/>
      <c r="CE900" s="68"/>
      <c r="CF900" s="68"/>
      <c r="CG900" s="68"/>
      <c r="CH900" s="68"/>
      <c r="CI900" s="68"/>
      <c r="CJ900" s="68"/>
      <c r="CK900" s="68"/>
      <c r="CL900" s="68"/>
      <c r="CM900" s="68"/>
      <c r="CN900" s="68"/>
      <c r="CO900" s="68"/>
      <c r="CP900" s="68"/>
      <c r="CQ900" s="68"/>
      <c r="CR900" s="68"/>
      <c r="CS900" s="68"/>
      <c r="CT900" s="68"/>
      <c r="CU900" s="68"/>
      <c r="CV900" s="68"/>
      <c r="CW900" s="68"/>
      <c r="CX900" s="68"/>
    </row>
    <row r="901" spans="4:102" s="71" customFormat="1" hidden="1">
      <c r="D901" s="105"/>
      <c r="E901" s="100"/>
      <c r="F901" s="100"/>
      <c r="G901" s="111"/>
      <c r="H901" s="105"/>
      <c r="I901" s="111"/>
      <c r="J901" s="111"/>
      <c r="K901" s="112"/>
      <c r="L901" s="113"/>
      <c r="M901" s="114"/>
      <c r="N901" s="100"/>
      <c r="O901" s="114"/>
      <c r="P901" s="65"/>
      <c r="Q901" s="103"/>
      <c r="R901" s="103"/>
      <c r="S901" s="103"/>
      <c r="T901" s="103"/>
      <c r="U901" s="68"/>
      <c r="V901" s="69"/>
      <c r="W901" s="68"/>
      <c r="X901" s="68"/>
      <c r="Y901" s="68"/>
      <c r="Z901" s="68"/>
      <c r="AA901" s="68"/>
      <c r="AB901" s="68"/>
      <c r="AC901" s="68"/>
      <c r="AD901" s="68"/>
      <c r="AE901" s="68"/>
      <c r="AF901" s="68"/>
      <c r="AG901" s="68"/>
      <c r="AH901" s="68"/>
      <c r="AI901" s="68"/>
      <c r="AJ901" s="68"/>
      <c r="AK901" s="68"/>
      <c r="AL901" s="68"/>
      <c r="AM901" s="68"/>
      <c r="AN901" s="68"/>
      <c r="AO901" s="68"/>
      <c r="AP901" s="68"/>
      <c r="AQ901" s="68"/>
      <c r="AR901" s="68"/>
      <c r="AS901" s="68"/>
      <c r="AT901" s="68"/>
      <c r="AU901" s="68"/>
      <c r="AV901" s="68"/>
      <c r="AW901" s="68"/>
      <c r="AX901" s="68"/>
      <c r="AY901" s="68"/>
      <c r="AZ901" s="68"/>
      <c r="BA901" s="68"/>
      <c r="BB901" s="68"/>
      <c r="BC901" s="68"/>
      <c r="BD901" s="68"/>
      <c r="BE901" s="68"/>
      <c r="BF901" s="68"/>
      <c r="BG901" s="68"/>
      <c r="BH901" s="68"/>
      <c r="BI901" s="68"/>
      <c r="BJ901" s="68"/>
      <c r="BK901" s="68"/>
      <c r="BL901" s="68"/>
      <c r="BM901" s="68"/>
      <c r="BN901" s="68"/>
      <c r="BO901" s="68"/>
      <c r="BP901" s="68"/>
      <c r="BQ901" s="68"/>
      <c r="BR901" s="68"/>
      <c r="BS901" s="68"/>
      <c r="BT901" s="68"/>
      <c r="BU901" s="68"/>
      <c r="BV901" s="68"/>
      <c r="BW901" s="68"/>
      <c r="BX901" s="68"/>
      <c r="BY901" s="68"/>
      <c r="BZ901" s="68"/>
      <c r="CA901" s="68"/>
      <c r="CB901" s="68"/>
      <c r="CC901" s="68"/>
      <c r="CD901" s="68"/>
      <c r="CE901" s="68"/>
      <c r="CF901" s="68"/>
      <c r="CG901" s="68"/>
      <c r="CH901" s="68"/>
      <c r="CI901" s="68"/>
      <c r="CJ901" s="68"/>
      <c r="CK901" s="68"/>
      <c r="CL901" s="68"/>
      <c r="CM901" s="68"/>
      <c r="CN901" s="68"/>
      <c r="CO901" s="68"/>
      <c r="CP901" s="68"/>
      <c r="CQ901" s="68"/>
      <c r="CR901" s="68"/>
      <c r="CS901" s="68"/>
      <c r="CT901" s="68"/>
      <c r="CU901" s="68"/>
      <c r="CV901" s="68"/>
      <c r="CW901" s="68"/>
      <c r="CX901" s="68"/>
    </row>
    <row r="902" spans="4:102" s="71" customFormat="1" hidden="1">
      <c r="D902" s="105"/>
      <c r="E902" s="100"/>
      <c r="F902" s="100"/>
      <c r="G902" s="111"/>
      <c r="H902" s="105"/>
      <c r="I902" s="111"/>
      <c r="J902" s="111"/>
      <c r="K902" s="112"/>
      <c r="L902" s="113"/>
      <c r="M902" s="114"/>
      <c r="N902" s="100"/>
      <c r="O902" s="114"/>
      <c r="P902" s="65"/>
      <c r="Q902" s="103"/>
      <c r="R902" s="103"/>
      <c r="S902" s="103"/>
      <c r="T902" s="103"/>
      <c r="U902" s="68"/>
      <c r="V902" s="69"/>
      <c r="W902" s="68"/>
      <c r="X902" s="68"/>
      <c r="Y902" s="68"/>
      <c r="Z902" s="68"/>
      <c r="AA902" s="68"/>
      <c r="AB902" s="68"/>
      <c r="AC902" s="68"/>
      <c r="AD902" s="68"/>
      <c r="AE902" s="68"/>
      <c r="AF902" s="68"/>
      <c r="AG902" s="68"/>
      <c r="AH902" s="68"/>
      <c r="AI902" s="68"/>
      <c r="AJ902" s="68"/>
      <c r="AK902" s="68"/>
      <c r="AL902" s="68"/>
      <c r="AM902" s="68"/>
      <c r="AN902" s="68"/>
      <c r="AO902" s="68"/>
      <c r="AP902" s="68"/>
      <c r="AQ902" s="68"/>
      <c r="AR902" s="68"/>
      <c r="AS902" s="68"/>
      <c r="AT902" s="68"/>
      <c r="AU902" s="68"/>
      <c r="AV902" s="68"/>
      <c r="AW902" s="68"/>
      <c r="AX902" s="68"/>
      <c r="AY902" s="68"/>
      <c r="AZ902" s="68"/>
      <c r="BA902" s="68"/>
      <c r="BB902" s="68"/>
      <c r="BC902" s="68"/>
      <c r="BD902" s="68"/>
      <c r="BE902" s="68"/>
      <c r="BF902" s="68"/>
      <c r="BG902" s="68"/>
      <c r="BH902" s="68"/>
      <c r="BI902" s="68"/>
      <c r="BJ902" s="68"/>
      <c r="BK902" s="68"/>
      <c r="BL902" s="68"/>
      <c r="BM902" s="68"/>
      <c r="BN902" s="68"/>
      <c r="BO902" s="68"/>
      <c r="BP902" s="68"/>
      <c r="BQ902" s="68"/>
      <c r="BR902" s="68"/>
      <c r="BS902" s="68"/>
      <c r="BT902" s="68"/>
      <c r="BU902" s="68"/>
      <c r="BV902" s="68"/>
      <c r="BW902" s="68"/>
      <c r="BX902" s="68"/>
      <c r="BY902" s="68"/>
      <c r="BZ902" s="68"/>
      <c r="CA902" s="68"/>
      <c r="CB902" s="68"/>
      <c r="CC902" s="68"/>
      <c r="CD902" s="68"/>
      <c r="CE902" s="68"/>
      <c r="CF902" s="68"/>
      <c r="CG902" s="68"/>
      <c r="CH902" s="68"/>
      <c r="CI902" s="68"/>
      <c r="CJ902" s="68"/>
      <c r="CK902" s="68"/>
      <c r="CL902" s="68"/>
      <c r="CM902" s="68"/>
      <c r="CN902" s="68"/>
      <c r="CO902" s="68"/>
      <c r="CP902" s="68"/>
      <c r="CQ902" s="68"/>
      <c r="CR902" s="68"/>
      <c r="CS902" s="68"/>
      <c r="CT902" s="68"/>
      <c r="CU902" s="68"/>
      <c r="CV902" s="68"/>
      <c r="CW902" s="68"/>
      <c r="CX902" s="68"/>
    </row>
    <row r="903" spans="4:102" s="71" customFormat="1" hidden="1">
      <c r="D903" s="105"/>
      <c r="E903" s="100"/>
      <c r="F903" s="100"/>
      <c r="G903" s="111"/>
      <c r="H903" s="105"/>
      <c r="I903" s="111"/>
      <c r="J903" s="111"/>
      <c r="K903" s="112"/>
      <c r="L903" s="113"/>
      <c r="M903" s="114"/>
      <c r="N903" s="100"/>
      <c r="O903" s="114"/>
      <c r="P903" s="65"/>
      <c r="Q903" s="103"/>
      <c r="R903" s="103"/>
      <c r="S903" s="103"/>
      <c r="T903" s="103"/>
      <c r="U903" s="68"/>
      <c r="V903" s="69"/>
      <c r="W903" s="68"/>
      <c r="X903" s="68"/>
      <c r="Y903" s="68"/>
      <c r="Z903" s="68"/>
      <c r="AA903" s="68"/>
      <c r="AB903" s="68"/>
      <c r="AC903" s="68"/>
      <c r="AD903" s="68"/>
      <c r="AE903" s="68"/>
      <c r="AF903" s="68"/>
      <c r="AG903" s="68"/>
      <c r="AH903" s="68"/>
      <c r="AI903" s="68"/>
      <c r="AJ903" s="68"/>
      <c r="AK903" s="68"/>
      <c r="AL903" s="68"/>
      <c r="AM903" s="68"/>
      <c r="AN903" s="68"/>
      <c r="AO903" s="68"/>
      <c r="AP903" s="68"/>
      <c r="AQ903" s="68"/>
      <c r="AR903" s="68"/>
      <c r="AS903" s="68"/>
      <c r="AT903" s="68"/>
      <c r="AU903" s="68"/>
      <c r="AV903" s="68"/>
      <c r="AW903" s="68"/>
      <c r="AX903" s="68"/>
      <c r="AY903" s="68"/>
      <c r="AZ903" s="68"/>
      <c r="BA903" s="68"/>
      <c r="BB903" s="68"/>
      <c r="BC903" s="68"/>
      <c r="BD903" s="68"/>
      <c r="BE903" s="68"/>
      <c r="BF903" s="68"/>
      <c r="BG903" s="68"/>
      <c r="BH903" s="68"/>
      <c r="BI903" s="68"/>
      <c r="BJ903" s="68"/>
      <c r="BK903" s="68"/>
      <c r="BL903" s="68"/>
      <c r="BM903" s="68"/>
      <c r="BN903" s="68"/>
      <c r="BO903" s="68"/>
      <c r="BP903" s="68"/>
      <c r="BQ903" s="68"/>
      <c r="BR903" s="68"/>
      <c r="BS903" s="68"/>
      <c r="BT903" s="68"/>
      <c r="BU903" s="68"/>
      <c r="BV903" s="68"/>
      <c r="BW903" s="68"/>
      <c r="BX903" s="68"/>
      <c r="BY903" s="68"/>
      <c r="BZ903" s="68"/>
      <c r="CA903" s="68"/>
      <c r="CB903" s="68"/>
      <c r="CC903" s="68"/>
      <c r="CD903" s="68"/>
      <c r="CE903" s="68"/>
      <c r="CF903" s="68"/>
      <c r="CG903" s="68"/>
      <c r="CH903" s="68"/>
      <c r="CI903" s="68"/>
      <c r="CJ903" s="68"/>
      <c r="CK903" s="68"/>
      <c r="CL903" s="68"/>
      <c r="CM903" s="68"/>
      <c r="CN903" s="68"/>
      <c r="CO903" s="68"/>
      <c r="CP903" s="68"/>
      <c r="CQ903" s="68"/>
      <c r="CR903" s="68"/>
      <c r="CS903" s="68"/>
      <c r="CT903" s="68"/>
      <c r="CU903" s="68"/>
      <c r="CV903" s="68"/>
      <c r="CW903" s="68"/>
      <c r="CX903" s="68"/>
    </row>
    <row r="904" spans="4:102" s="71" customFormat="1" hidden="1">
      <c r="D904" s="105"/>
      <c r="E904" s="100"/>
      <c r="F904" s="100"/>
      <c r="G904" s="111"/>
      <c r="H904" s="105"/>
      <c r="I904" s="111"/>
      <c r="J904" s="111"/>
      <c r="K904" s="112"/>
      <c r="L904" s="113"/>
      <c r="M904" s="114"/>
      <c r="N904" s="100"/>
      <c r="O904" s="114"/>
      <c r="P904" s="65"/>
      <c r="Q904" s="103"/>
      <c r="R904" s="103"/>
      <c r="S904" s="103"/>
      <c r="T904" s="103"/>
      <c r="U904" s="68"/>
      <c r="V904" s="69"/>
      <c r="W904" s="68"/>
      <c r="X904" s="68"/>
      <c r="Y904" s="68"/>
      <c r="Z904" s="68"/>
      <c r="AA904" s="68"/>
      <c r="AB904" s="68"/>
      <c r="AC904" s="68"/>
      <c r="AD904" s="68"/>
      <c r="AE904" s="68"/>
      <c r="AF904" s="68"/>
      <c r="AG904" s="68"/>
      <c r="AH904" s="68"/>
      <c r="AI904" s="68"/>
      <c r="AJ904" s="68"/>
      <c r="AK904" s="68"/>
      <c r="AL904" s="68"/>
      <c r="AM904" s="68"/>
      <c r="AN904" s="68"/>
      <c r="AO904" s="68"/>
      <c r="AP904" s="68"/>
      <c r="AQ904" s="68"/>
      <c r="AR904" s="68"/>
      <c r="AS904" s="68"/>
      <c r="AT904" s="68"/>
      <c r="AU904" s="68"/>
      <c r="AV904" s="68"/>
      <c r="AW904" s="68"/>
      <c r="AX904" s="68"/>
      <c r="AY904" s="68"/>
      <c r="AZ904" s="68"/>
      <c r="BA904" s="68"/>
      <c r="BB904" s="68"/>
      <c r="BC904" s="68"/>
      <c r="BD904" s="68"/>
      <c r="BE904" s="68"/>
      <c r="BF904" s="68"/>
      <c r="BG904" s="68"/>
      <c r="BH904" s="68"/>
      <c r="BI904" s="68"/>
      <c r="BJ904" s="68"/>
      <c r="BK904" s="68"/>
      <c r="BL904" s="68"/>
      <c r="BM904" s="68"/>
      <c r="BN904" s="68"/>
      <c r="BO904" s="68"/>
      <c r="BP904" s="68"/>
      <c r="BQ904" s="68"/>
      <c r="BR904" s="68"/>
      <c r="BS904" s="68"/>
      <c r="BT904" s="68"/>
      <c r="BU904" s="68"/>
      <c r="BV904" s="68"/>
      <c r="BW904" s="68"/>
      <c r="BX904" s="68"/>
      <c r="BY904" s="68"/>
      <c r="BZ904" s="68"/>
      <c r="CA904" s="68"/>
      <c r="CB904" s="68"/>
      <c r="CC904" s="68"/>
      <c r="CD904" s="68"/>
      <c r="CE904" s="68"/>
      <c r="CF904" s="68"/>
      <c r="CG904" s="68"/>
      <c r="CH904" s="68"/>
      <c r="CI904" s="68"/>
      <c r="CJ904" s="68"/>
      <c r="CK904" s="68"/>
      <c r="CL904" s="68"/>
      <c r="CM904" s="68"/>
      <c r="CN904" s="68"/>
      <c r="CO904" s="68"/>
      <c r="CP904" s="68"/>
      <c r="CQ904" s="68"/>
      <c r="CR904" s="68"/>
      <c r="CS904" s="68"/>
      <c r="CT904" s="68"/>
      <c r="CU904" s="68"/>
      <c r="CV904" s="68"/>
      <c r="CW904" s="68"/>
      <c r="CX904" s="68"/>
    </row>
    <row r="905" spans="4:102" s="71" customFormat="1" hidden="1">
      <c r="D905" s="105"/>
      <c r="E905" s="100"/>
      <c r="F905" s="100"/>
      <c r="G905" s="111"/>
      <c r="H905" s="105"/>
      <c r="I905" s="111"/>
      <c r="J905" s="111"/>
      <c r="K905" s="112"/>
      <c r="L905" s="113"/>
      <c r="M905" s="114"/>
      <c r="N905" s="100"/>
      <c r="O905" s="114"/>
      <c r="P905" s="65"/>
      <c r="Q905" s="103"/>
      <c r="R905" s="103"/>
      <c r="S905" s="103"/>
      <c r="T905" s="103"/>
      <c r="U905" s="68"/>
      <c r="V905" s="69"/>
      <c r="W905" s="68"/>
      <c r="X905" s="68"/>
      <c r="Y905" s="68"/>
      <c r="Z905" s="68"/>
      <c r="AA905" s="68"/>
      <c r="AB905" s="68"/>
      <c r="AC905" s="68"/>
      <c r="AD905" s="68"/>
      <c r="AE905" s="68"/>
      <c r="AF905" s="68"/>
      <c r="AG905" s="68"/>
      <c r="AH905" s="68"/>
      <c r="AI905" s="68"/>
      <c r="AJ905" s="68"/>
      <c r="AK905" s="68"/>
      <c r="AL905" s="68"/>
      <c r="AM905" s="68"/>
      <c r="AN905" s="68"/>
      <c r="AO905" s="68"/>
      <c r="AP905" s="68"/>
      <c r="AQ905" s="68"/>
      <c r="AR905" s="68"/>
      <c r="AS905" s="68"/>
      <c r="AT905" s="68"/>
      <c r="AU905" s="68"/>
      <c r="AV905" s="68"/>
      <c r="AW905" s="68"/>
      <c r="AX905" s="68"/>
      <c r="AY905" s="68"/>
      <c r="AZ905" s="68"/>
      <c r="BA905" s="68"/>
      <c r="BB905" s="68"/>
      <c r="BC905" s="68"/>
      <c r="BD905" s="68"/>
      <c r="BE905" s="68"/>
      <c r="BF905" s="68"/>
      <c r="BG905" s="68"/>
      <c r="BH905" s="68"/>
      <c r="BI905" s="68"/>
      <c r="BJ905" s="68"/>
      <c r="BK905" s="68"/>
      <c r="BL905" s="68"/>
      <c r="BM905" s="68"/>
      <c r="BN905" s="68"/>
      <c r="BO905" s="68"/>
      <c r="BP905" s="68"/>
      <c r="BQ905" s="68"/>
      <c r="BR905" s="68"/>
      <c r="BS905" s="68"/>
      <c r="BT905" s="68"/>
      <c r="BU905" s="68"/>
      <c r="BV905" s="68"/>
      <c r="BW905" s="68"/>
      <c r="BX905" s="68"/>
      <c r="BY905" s="68"/>
      <c r="BZ905" s="68"/>
      <c r="CA905" s="68"/>
      <c r="CB905" s="68"/>
      <c r="CC905" s="68"/>
      <c r="CD905" s="68"/>
      <c r="CE905" s="68"/>
      <c r="CF905" s="68"/>
      <c r="CG905" s="68"/>
      <c r="CH905" s="68"/>
      <c r="CI905" s="68"/>
      <c r="CJ905" s="68"/>
      <c r="CK905" s="68"/>
      <c r="CL905" s="68"/>
      <c r="CM905" s="68"/>
      <c r="CN905" s="68"/>
      <c r="CO905" s="68"/>
      <c r="CP905" s="68"/>
      <c r="CQ905" s="68"/>
      <c r="CR905" s="68"/>
      <c r="CS905" s="68"/>
      <c r="CT905" s="68"/>
      <c r="CU905" s="68"/>
      <c r="CV905" s="68"/>
      <c r="CW905" s="68"/>
      <c r="CX905" s="68"/>
    </row>
    <row r="906" spans="4:102" s="71" customFormat="1" hidden="1">
      <c r="D906" s="105"/>
      <c r="E906" s="100"/>
      <c r="F906" s="100"/>
      <c r="G906" s="111"/>
      <c r="H906" s="105"/>
      <c r="I906" s="111"/>
      <c r="J906" s="111"/>
      <c r="K906" s="112"/>
      <c r="L906" s="113"/>
      <c r="M906" s="114"/>
      <c r="N906" s="100"/>
      <c r="O906" s="114"/>
      <c r="P906" s="65"/>
      <c r="Q906" s="103"/>
      <c r="R906" s="103"/>
      <c r="S906" s="103"/>
      <c r="T906" s="103"/>
      <c r="U906" s="68"/>
      <c r="V906" s="69"/>
      <c r="W906" s="68"/>
      <c r="X906" s="68"/>
      <c r="Y906" s="68"/>
      <c r="Z906" s="68"/>
      <c r="AA906" s="68"/>
      <c r="AB906" s="68"/>
      <c r="AC906" s="68"/>
      <c r="AD906" s="68"/>
      <c r="AE906" s="68"/>
      <c r="AF906" s="68"/>
      <c r="AG906" s="68"/>
      <c r="AH906" s="68"/>
      <c r="AI906" s="68"/>
      <c r="AJ906" s="68"/>
      <c r="AK906" s="68"/>
      <c r="AL906" s="68"/>
      <c r="AM906" s="68"/>
      <c r="AN906" s="68"/>
      <c r="AO906" s="68"/>
      <c r="AP906" s="68"/>
      <c r="AQ906" s="68"/>
      <c r="AR906" s="68"/>
      <c r="AS906" s="68"/>
      <c r="AT906" s="68"/>
      <c r="AU906" s="68"/>
      <c r="AV906" s="68"/>
      <c r="AW906" s="68"/>
      <c r="AX906" s="68"/>
      <c r="AY906" s="68"/>
      <c r="AZ906" s="68"/>
      <c r="BA906" s="68"/>
      <c r="BB906" s="68"/>
      <c r="BC906" s="68"/>
      <c r="BD906" s="68"/>
      <c r="BE906" s="68"/>
      <c r="BF906" s="68"/>
      <c r="BG906" s="68"/>
      <c r="BH906" s="68"/>
      <c r="BI906" s="68"/>
      <c r="BJ906" s="68"/>
      <c r="BK906" s="68"/>
      <c r="BL906" s="68"/>
      <c r="BM906" s="68"/>
      <c r="BN906" s="68"/>
      <c r="BO906" s="68"/>
      <c r="BP906" s="68"/>
      <c r="BQ906" s="68"/>
      <c r="BR906" s="68"/>
      <c r="BS906" s="68"/>
      <c r="BT906" s="68"/>
      <c r="BU906" s="68"/>
      <c r="BV906" s="68"/>
      <c r="BW906" s="68"/>
      <c r="BX906" s="68"/>
      <c r="BY906" s="68"/>
      <c r="BZ906" s="68"/>
      <c r="CA906" s="68"/>
      <c r="CB906" s="68"/>
      <c r="CC906" s="68"/>
      <c r="CD906" s="68"/>
      <c r="CE906" s="68"/>
      <c r="CF906" s="68"/>
      <c r="CG906" s="68"/>
      <c r="CH906" s="68"/>
      <c r="CI906" s="68"/>
      <c r="CJ906" s="68"/>
      <c r="CK906" s="68"/>
      <c r="CL906" s="68"/>
      <c r="CM906" s="68"/>
      <c r="CN906" s="68"/>
      <c r="CO906" s="68"/>
      <c r="CP906" s="68"/>
      <c r="CQ906" s="68"/>
      <c r="CR906" s="68"/>
      <c r="CS906" s="68"/>
      <c r="CT906" s="68"/>
      <c r="CU906" s="68"/>
      <c r="CV906" s="68"/>
      <c r="CW906" s="68"/>
      <c r="CX906" s="68"/>
    </row>
    <row r="907" spans="4:102" s="71" customFormat="1" hidden="1">
      <c r="D907" s="105"/>
      <c r="E907" s="100"/>
      <c r="F907" s="100"/>
      <c r="G907" s="111"/>
      <c r="H907" s="105"/>
      <c r="I907" s="111"/>
      <c r="J907" s="111"/>
      <c r="K907" s="112"/>
      <c r="L907" s="113"/>
      <c r="M907" s="114"/>
      <c r="N907" s="100"/>
      <c r="O907" s="114"/>
      <c r="P907" s="65"/>
      <c r="Q907" s="103"/>
      <c r="R907" s="103"/>
      <c r="S907" s="103"/>
      <c r="T907" s="103"/>
      <c r="U907" s="68"/>
      <c r="V907" s="69"/>
      <c r="W907" s="68"/>
      <c r="X907" s="68"/>
      <c r="Y907" s="68"/>
      <c r="Z907" s="68"/>
      <c r="AA907" s="68"/>
      <c r="AB907" s="68"/>
      <c r="AC907" s="68"/>
      <c r="AD907" s="68"/>
      <c r="AE907" s="68"/>
      <c r="AF907" s="68"/>
      <c r="AG907" s="68"/>
      <c r="AH907" s="68"/>
      <c r="AI907" s="68"/>
      <c r="AJ907" s="68"/>
      <c r="AK907" s="68"/>
      <c r="AL907" s="68"/>
      <c r="AM907" s="68"/>
      <c r="AN907" s="68"/>
      <c r="AO907" s="68"/>
      <c r="AP907" s="68"/>
      <c r="AQ907" s="68"/>
      <c r="AR907" s="68"/>
      <c r="AS907" s="68"/>
      <c r="AT907" s="68"/>
      <c r="AU907" s="68"/>
      <c r="AV907" s="68"/>
      <c r="AW907" s="68"/>
      <c r="AX907" s="68"/>
      <c r="AY907" s="68"/>
      <c r="AZ907" s="68"/>
      <c r="BA907" s="68"/>
      <c r="BB907" s="68"/>
      <c r="BC907" s="68"/>
      <c r="BD907" s="68"/>
      <c r="BE907" s="68"/>
      <c r="BF907" s="68"/>
      <c r="BG907" s="68"/>
      <c r="BH907" s="68"/>
      <c r="BI907" s="68"/>
      <c r="BJ907" s="68"/>
      <c r="BK907" s="68"/>
      <c r="BL907" s="68"/>
      <c r="BM907" s="68"/>
      <c r="BN907" s="68"/>
      <c r="BO907" s="68"/>
      <c r="BP907" s="68"/>
      <c r="BQ907" s="68"/>
      <c r="BR907" s="68"/>
      <c r="BS907" s="68"/>
      <c r="BT907" s="68"/>
      <c r="BU907" s="68"/>
      <c r="BV907" s="68"/>
      <c r="BW907" s="68"/>
      <c r="BX907" s="68"/>
      <c r="BY907" s="68"/>
      <c r="BZ907" s="68"/>
      <c r="CA907" s="68"/>
      <c r="CB907" s="68"/>
      <c r="CC907" s="68"/>
      <c r="CD907" s="68"/>
      <c r="CE907" s="68"/>
      <c r="CF907" s="68"/>
      <c r="CG907" s="68"/>
      <c r="CH907" s="68"/>
      <c r="CI907" s="68"/>
      <c r="CJ907" s="68"/>
      <c r="CK907" s="68"/>
      <c r="CL907" s="68"/>
      <c r="CM907" s="68"/>
      <c r="CN907" s="68"/>
      <c r="CO907" s="68"/>
      <c r="CP907" s="68"/>
      <c r="CQ907" s="68"/>
      <c r="CR907" s="68"/>
      <c r="CS907" s="68"/>
      <c r="CT907" s="68"/>
      <c r="CU907" s="68"/>
      <c r="CV907" s="68"/>
      <c r="CW907" s="68"/>
      <c r="CX907" s="68"/>
    </row>
    <row r="908" spans="4:102" s="71" customFormat="1" hidden="1">
      <c r="D908" s="105"/>
      <c r="E908" s="100"/>
      <c r="F908" s="100"/>
      <c r="G908" s="111"/>
      <c r="H908" s="105"/>
      <c r="I908" s="111"/>
      <c r="J908" s="111"/>
      <c r="K908" s="112"/>
      <c r="L908" s="113"/>
      <c r="M908" s="114"/>
      <c r="N908" s="100"/>
      <c r="O908" s="114"/>
      <c r="P908" s="65"/>
      <c r="Q908" s="103"/>
      <c r="R908" s="103"/>
      <c r="S908" s="103"/>
      <c r="T908" s="103"/>
      <c r="U908" s="68"/>
      <c r="V908" s="69"/>
      <c r="W908" s="68"/>
      <c r="X908" s="68"/>
      <c r="Y908" s="68"/>
      <c r="Z908" s="68"/>
      <c r="AA908" s="68"/>
      <c r="AB908" s="68"/>
      <c r="AC908" s="68"/>
      <c r="AD908" s="68"/>
      <c r="AE908" s="68"/>
      <c r="AF908" s="68"/>
      <c r="AG908" s="68"/>
      <c r="AH908" s="68"/>
      <c r="AI908" s="68"/>
      <c r="AJ908" s="68"/>
      <c r="AK908" s="68"/>
      <c r="AL908" s="68"/>
      <c r="AM908" s="68"/>
      <c r="AN908" s="68"/>
      <c r="AO908" s="68"/>
      <c r="AP908" s="68"/>
      <c r="AQ908" s="68"/>
      <c r="AR908" s="68"/>
      <c r="AS908" s="68"/>
      <c r="AT908" s="68"/>
      <c r="AU908" s="68"/>
      <c r="AV908" s="68"/>
      <c r="AW908" s="68"/>
      <c r="AX908" s="68"/>
      <c r="AY908" s="68"/>
      <c r="AZ908" s="68"/>
      <c r="BA908" s="68"/>
      <c r="BB908" s="68"/>
      <c r="BC908" s="68"/>
      <c r="BD908" s="68"/>
      <c r="BE908" s="68"/>
      <c r="BF908" s="68"/>
      <c r="BG908" s="68"/>
      <c r="BH908" s="68"/>
      <c r="BI908" s="68"/>
      <c r="BJ908" s="68"/>
      <c r="BK908" s="68"/>
      <c r="BL908" s="68"/>
      <c r="BM908" s="68"/>
      <c r="BN908" s="68"/>
      <c r="BO908" s="68"/>
      <c r="BP908" s="68"/>
      <c r="BQ908" s="68"/>
      <c r="BR908" s="68"/>
      <c r="BS908" s="68"/>
      <c r="BT908" s="68"/>
      <c r="BU908" s="68"/>
      <c r="BV908" s="68"/>
      <c r="BW908" s="68"/>
      <c r="BX908" s="68"/>
      <c r="BY908" s="68"/>
      <c r="BZ908" s="68"/>
      <c r="CA908" s="68"/>
      <c r="CB908" s="68"/>
      <c r="CC908" s="68"/>
      <c r="CD908" s="68"/>
      <c r="CE908" s="68"/>
      <c r="CF908" s="68"/>
      <c r="CG908" s="68"/>
      <c r="CH908" s="68"/>
      <c r="CI908" s="68"/>
      <c r="CJ908" s="68"/>
      <c r="CK908" s="68"/>
      <c r="CL908" s="68"/>
      <c r="CM908" s="68"/>
      <c r="CN908" s="68"/>
      <c r="CO908" s="68"/>
      <c r="CP908" s="68"/>
      <c r="CQ908" s="68"/>
      <c r="CR908" s="68"/>
      <c r="CS908" s="68"/>
      <c r="CT908" s="68"/>
      <c r="CU908" s="68"/>
      <c r="CV908" s="68"/>
      <c r="CW908" s="68"/>
      <c r="CX908" s="68"/>
    </row>
    <row r="909" spans="4:102" s="71" customFormat="1" hidden="1">
      <c r="D909" s="105"/>
      <c r="E909" s="100"/>
      <c r="F909" s="100"/>
      <c r="G909" s="111"/>
      <c r="H909" s="105"/>
      <c r="I909" s="111"/>
      <c r="J909" s="111"/>
      <c r="K909" s="112"/>
      <c r="L909" s="113"/>
      <c r="M909" s="114"/>
      <c r="N909" s="100"/>
      <c r="O909" s="114"/>
      <c r="P909" s="65"/>
      <c r="Q909" s="103"/>
      <c r="R909" s="103"/>
      <c r="S909" s="103"/>
      <c r="T909" s="103"/>
      <c r="U909" s="68"/>
      <c r="V909" s="69"/>
      <c r="W909" s="68"/>
      <c r="X909" s="68"/>
      <c r="Y909" s="68"/>
      <c r="Z909" s="68"/>
      <c r="AA909" s="68"/>
      <c r="AB909" s="68"/>
      <c r="AC909" s="68"/>
      <c r="AD909" s="68"/>
      <c r="AE909" s="68"/>
      <c r="AF909" s="68"/>
      <c r="AG909" s="68"/>
      <c r="AH909" s="68"/>
      <c r="AI909" s="68"/>
      <c r="AJ909" s="68"/>
      <c r="AK909" s="68"/>
      <c r="AL909" s="68"/>
      <c r="AM909" s="68"/>
      <c r="AN909" s="68"/>
      <c r="AO909" s="68"/>
      <c r="AP909" s="68"/>
      <c r="AQ909" s="68"/>
      <c r="AR909" s="68"/>
      <c r="AS909" s="68"/>
      <c r="AT909" s="68"/>
      <c r="AU909" s="68"/>
      <c r="AV909" s="68"/>
      <c r="AW909" s="68"/>
      <c r="AX909" s="68"/>
      <c r="AY909" s="68"/>
      <c r="AZ909" s="68"/>
      <c r="BA909" s="68"/>
      <c r="BB909" s="68"/>
      <c r="BC909" s="68"/>
      <c r="BD909" s="68"/>
      <c r="BE909" s="68"/>
      <c r="BF909" s="68"/>
      <c r="BG909" s="68"/>
      <c r="BH909" s="68"/>
      <c r="BI909" s="68"/>
      <c r="BJ909" s="68"/>
      <c r="BK909" s="68"/>
      <c r="BL909" s="68"/>
      <c r="BM909" s="68"/>
      <c r="BN909" s="68"/>
      <c r="BO909" s="68"/>
      <c r="BP909" s="68"/>
      <c r="BQ909" s="68"/>
      <c r="BR909" s="68"/>
      <c r="BS909" s="68"/>
      <c r="BT909" s="68"/>
      <c r="BU909" s="68"/>
      <c r="BV909" s="68"/>
      <c r="BW909" s="68"/>
      <c r="BX909" s="68"/>
      <c r="BY909" s="68"/>
      <c r="BZ909" s="68"/>
      <c r="CA909" s="68"/>
      <c r="CB909" s="68"/>
      <c r="CC909" s="68"/>
      <c r="CD909" s="68"/>
      <c r="CE909" s="68"/>
      <c r="CF909" s="68"/>
      <c r="CG909" s="68"/>
      <c r="CH909" s="68"/>
      <c r="CI909" s="68"/>
      <c r="CJ909" s="68"/>
      <c r="CK909" s="68"/>
      <c r="CL909" s="68"/>
      <c r="CM909" s="68"/>
      <c r="CN909" s="68"/>
      <c r="CO909" s="68"/>
      <c r="CP909" s="68"/>
      <c r="CQ909" s="68"/>
      <c r="CR909" s="68"/>
      <c r="CS909" s="68"/>
      <c r="CT909" s="68"/>
      <c r="CU909" s="68"/>
      <c r="CV909" s="68"/>
      <c r="CW909" s="68"/>
      <c r="CX909" s="68"/>
    </row>
    <row r="910" spans="4:102" s="71" customFormat="1" hidden="1">
      <c r="D910" s="105"/>
      <c r="E910" s="100"/>
      <c r="F910" s="100"/>
      <c r="G910" s="111"/>
      <c r="H910" s="105"/>
      <c r="I910" s="111"/>
      <c r="J910" s="111"/>
      <c r="K910" s="112"/>
      <c r="L910" s="113"/>
      <c r="M910" s="114"/>
      <c r="N910" s="100"/>
      <c r="O910" s="114"/>
      <c r="P910" s="65"/>
      <c r="Q910" s="103"/>
      <c r="R910" s="103"/>
      <c r="S910" s="103"/>
      <c r="T910" s="103"/>
      <c r="U910" s="68"/>
      <c r="V910" s="69"/>
      <c r="W910" s="68"/>
      <c r="X910" s="68"/>
      <c r="Y910" s="68"/>
      <c r="Z910" s="68"/>
      <c r="AA910" s="68"/>
      <c r="AB910" s="68"/>
      <c r="AC910" s="68"/>
      <c r="AD910" s="68"/>
      <c r="AE910" s="68"/>
      <c r="AF910" s="68"/>
      <c r="AG910" s="68"/>
      <c r="AH910" s="68"/>
      <c r="AI910" s="68"/>
      <c r="AJ910" s="68"/>
      <c r="AK910" s="68"/>
      <c r="AL910" s="68"/>
      <c r="AM910" s="68"/>
      <c r="AN910" s="68"/>
      <c r="AO910" s="68"/>
      <c r="AP910" s="68"/>
      <c r="AQ910" s="68"/>
      <c r="AR910" s="68"/>
      <c r="AS910" s="68"/>
      <c r="AT910" s="68"/>
      <c r="AU910" s="68"/>
      <c r="AV910" s="68"/>
      <c r="AW910" s="68"/>
      <c r="AX910" s="68"/>
      <c r="AY910" s="68"/>
      <c r="AZ910" s="68"/>
      <c r="BA910" s="68"/>
      <c r="BB910" s="68"/>
      <c r="BC910" s="68"/>
      <c r="BD910" s="68"/>
      <c r="BE910" s="68"/>
      <c r="BF910" s="68"/>
      <c r="BG910" s="68"/>
      <c r="BH910" s="68"/>
      <c r="BI910" s="68"/>
      <c r="BJ910" s="68"/>
      <c r="BK910" s="68"/>
      <c r="BL910" s="68"/>
      <c r="BM910" s="68"/>
      <c r="BN910" s="68"/>
      <c r="BO910" s="68"/>
      <c r="BP910" s="68"/>
      <c r="BQ910" s="68"/>
      <c r="BR910" s="68"/>
      <c r="BS910" s="68"/>
      <c r="BT910" s="68"/>
      <c r="BU910" s="68"/>
      <c r="BV910" s="68"/>
      <c r="BW910" s="68"/>
      <c r="BX910" s="68"/>
      <c r="BY910" s="68"/>
      <c r="BZ910" s="68"/>
      <c r="CA910" s="68"/>
      <c r="CB910" s="68"/>
      <c r="CC910" s="68"/>
      <c r="CD910" s="68"/>
      <c r="CE910" s="68"/>
      <c r="CF910" s="68"/>
      <c r="CG910" s="68"/>
      <c r="CH910" s="68"/>
      <c r="CI910" s="68"/>
      <c r="CJ910" s="68"/>
      <c r="CK910" s="68"/>
      <c r="CL910" s="68"/>
      <c r="CM910" s="68"/>
      <c r="CN910" s="68"/>
      <c r="CO910" s="68"/>
      <c r="CP910" s="68"/>
      <c r="CQ910" s="68"/>
      <c r="CR910" s="68"/>
      <c r="CS910" s="68"/>
      <c r="CT910" s="68"/>
      <c r="CU910" s="68"/>
      <c r="CV910" s="68"/>
      <c r="CW910" s="68"/>
      <c r="CX910" s="68"/>
    </row>
    <row r="911" spans="4:102" s="71" customFormat="1" hidden="1">
      <c r="D911" s="105"/>
      <c r="E911" s="100"/>
      <c r="F911" s="100"/>
      <c r="G911" s="111"/>
      <c r="H911" s="105"/>
      <c r="I911" s="111"/>
      <c r="J911" s="111"/>
      <c r="K911" s="112"/>
      <c r="L911" s="113"/>
      <c r="M911" s="114"/>
      <c r="N911" s="100"/>
      <c r="O911" s="114"/>
      <c r="P911" s="65"/>
      <c r="Q911" s="103"/>
      <c r="R911" s="103"/>
      <c r="S911" s="103"/>
      <c r="T911" s="103"/>
      <c r="U911" s="68"/>
      <c r="V911" s="69"/>
      <c r="W911" s="68"/>
      <c r="X911" s="68"/>
      <c r="Y911" s="68"/>
      <c r="Z911" s="68"/>
      <c r="AA911" s="68"/>
      <c r="AB911" s="68"/>
      <c r="AC911" s="68"/>
      <c r="AD911" s="68"/>
      <c r="AE911" s="68"/>
      <c r="AF911" s="68"/>
      <c r="AG911" s="68"/>
      <c r="AH911" s="68"/>
      <c r="AI911" s="68"/>
      <c r="AJ911" s="68"/>
      <c r="AK911" s="68"/>
      <c r="AL911" s="68"/>
      <c r="AM911" s="68"/>
      <c r="AN911" s="68"/>
      <c r="AO911" s="68"/>
      <c r="AP911" s="68"/>
      <c r="AQ911" s="68"/>
      <c r="AR911" s="68"/>
      <c r="AS911" s="68"/>
      <c r="AT911" s="68"/>
      <c r="AU911" s="68"/>
      <c r="AV911" s="68"/>
      <c r="AW911" s="68"/>
      <c r="AX911" s="68"/>
      <c r="AY911" s="68"/>
      <c r="AZ911" s="68"/>
      <c r="BA911" s="68"/>
      <c r="BB911" s="68"/>
      <c r="BC911" s="68"/>
      <c r="BD911" s="68"/>
      <c r="BE911" s="68"/>
      <c r="BF911" s="68"/>
      <c r="BG911" s="68"/>
      <c r="BH911" s="68"/>
      <c r="BI911" s="68"/>
      <c r="BJ911" s="68"/>
      <c r="BK911" s="68"/>
      <c r="BL911" s="68"/>
      <c r="BM911" s="68"/>
      <c r="BN911" s="68"/>
      <c r="BO911" s="68"/>
      <c r="BP911" s="68"/>
      <c r="BQ911" s="68"/>
      <c r="BR911" s="68"/>
      <c r="BS911" s="68"/>
      <c r="BT911" s="68"/>
      <c r="BU911" s="68"/>
      <c r="BV911" s="68"/>
      <c r="BW911" s="68"/>
      <c r="BX911" s="68"/>
      <c r="BY911" s="68"/>
      <c r="BZ911" s="68"/>
      <c r="CA911" s="68"/>
      <c r="CB911" s="68"/>
      <c r="CC911" s="68"/>
      <c r="CD911" s="68"/>
      <c r="CE911" s="68"/>
      <c r="CF911" s="68"/>
      <c r="CG911" s="68"/>
      <c r="CH911" s="68"/>
      <c r="CI911" s="68"/>
      <c r="CJ911" s="68"/>
      <c r="CK911" s="68"/>
      <c r="CL911" s="68"/>
      <c r="CM911" s="68"/>
      <c r="CN911" s="68"/>
      <c r="CO911" s="68"/>
      <c r="CP911" s="68"/>
      <c r="CQ911" s="68"/>
      <c r="CR911" s="68"/>
      <c r="CS911" s="68"/>
      <c r="CT911" s="68"/>
      <c r="CU911" s="68"/>
      <c r="CV911" s="68"/>
      <c r="CW911" s="68"/>
      <c r="CX911" s="68"/>
    </row>
    <row r="912" spans="4:102" s="71" customFormat="1" hidden="1">
      <c r="D912" s="105"/>
      <c r="E912" s="100"/>
      <c r="F912" s="100"/>
      <c r="G912" s="111"/>
      <c r="H912" s="105"/>
      <c r="I912" s="111"/>
      <c r="J912" s="111"/>
      <c r="K912" s="112"/>
      <c r="L912" s="113"/>
      <c r="M912" s="114"/>
      <c r="N912" s="100"/>
      <c r="O912" s="114"/>
      <c r="P912" s="65"/>
      <c r="Q912" s="103"/>
      <c r="R912" s="103"/>
      <c r="S912" s="103"/>
      <c r="T912" s="103"/>
      <c r="U912" s="68"/>
      <c r="V912" s="69"/>
      <c r="W912" s="68"/>
      <c r="X912" s="68"/>
      <c r="Y912" s="68"/>
      <c r="Z912" s="68"/>
      <c r="AA912" s="68"/>
      <c r="AB912" s="68"/>
      <c r="AC912" s="68"/>
      <c r="AD912" s="68"/>
      <c r="AE912" s="68"/>
      <c r="AF912" s="68"/>
      <c r="AG912" s="68"/>
      <c r="AH912" s="68"/>
      <c r="AI912" s="68"/>
      <c r="AJ912" s="68"/>
      <c r="AK912" s="68"/>
      <c r="AL912" s="68"/>
      <c r="AM912" s="68"/>
      <c r="AN912" s="68"/>
      <c r="AO912" s="68"/>
      <c r="AP912" s="68"/>
      <c r="AQ912" s="68"/>
      <c r="AR912" s="68"/>
      <c r="AS912" s="68"/>
      <c r="AT912" s="68"/>
      <c r="AU912" s="68"/>
      <c r="AV912" s="68"/>
      <c r="AW912" s="68"/>
      <c r="AX912" s="68"/>
      <c r="AY912" s="68"/>
      <c r="AZ912" s="68"/>
      <c r="BA912" s="68"/>
      <c r="BB912" s="68"/>
      <c r="BC912" s="68"/>
      <c r="BD912" s="68"/>
      <c r="BE912" s="68"/>
      <c r="BF912" s="68"/>
      <c r="BG912" s="68"/>
      <c r="BH912" s="68"/>
      <c r="BI912" s="68"/>
      <c r="BJ912" s="68"/>
      <c r="BK912" s="68"/>
      <c r="BL912" s="68"/>
      <c r="BM912" s="68"/>
      <c r="BN912" s="68"/>
      <c r="BO912" s="68"/>
      <c r="BP912" s="68"/>
      <c r="BQ912" s="68"/>
      <c r="BR912" s="68"/>
      <c r="BS912" s="68"/>
      <c r="BT912" s="68"/>
      <c r="BU912" s="68"/>
      <c r="BV912" s="68"/>
      <c r="BW912" s="68"/>
      <c r="BX912" s="68"/>
      <c r="BY912" s="68"/>
      <c r="BZ912" s="68"/>
      <c r="CA912" s="68"/>
      <c r="CB912" s="68"/>
      <c r="CC912" s="68"/>
      <c r="CD912" s="68"/>
      <c r="CE912" s="68"/>
      <c r="CF912" s="68"/>
      <c r="CG912" s="68"/>
      <c r="CH912" s="68"/>
      <c r="CI912" s="68"/>
      <c r="CJ912" s="68"/>
      <c r="CK912" s="68"/>
      <c r="CL912" s="68"/>
      <c r="CM912" s="68"/>
      <c r="CN912" s="68"/>
      <c r="CO912" s="68"/>
      <c r="CP912" s="68"/>
      <c r="CQ912" s="68"/>
      <c r="CR912" s="68"/>
      <c r="CS912" s="68"/>
      <c r="CT912" s="68"/>
      <c r="CU912" s="68"/>
      <c r="CV912" s="68"/>
      <c r="CW912" s="68"/>
      <c r="CX912" s="68"/>
    </row>
    <row r="913" spans="4:102" s="71" customFormat="1" hidden="1">
      <c r="D913" s="105"/>
      <c r="E913" s="100"/>
      <c r="F913" s="100"/>
      <c r="G913" s="111"/>
      <c r="H913" s="105"/>
      <c r="I913" s="111"/>
      <c r="J913" s="111"/>
      <c r="K913" s="112"/>
      <c r="L913" s="113"/>
      <c r="M913" s="114"/>
      <c r="N913" s="100"/>
      <c r="O913" s="114"/>
      <c r="P913" s="65"/>
      <c r="Q913" s="103"/>
      <c r="R913" s="103"/>
      <c r="S913" s="103"/>
      <c r="T913" s="103"/>
      <c r="U913" s="68"/>
      <c r="V913" s="69"/>
      <c r="W913" s="68"/>
      <c r="X913" s="68"/>
      <c r="Y913" s="68"/>
      <c r="Z913" s="68"/>
      <c r="AA913" s="68"/>
      <c r="AB913" s="68"/>
      <c r="AC913" s="68"/>
      <c r="AD913" s="68"/>
      <c r="AE913" s="68"/>
      <c r="AF913" s="68"/>
      <c r="AG913" s="68"/>
      <c r="AH913" s="68"/>
      <c r="AI913" s="68"/>
      <c r="AJ913" s="68"/>
      <c r="AK913" s="68"/>
      <c r="AL913" s="68"/>
      <c r="AM913" s="68"/>
      <c r="AN913" s="68"/>
      <c r="AO913" s="68"/>
      <c r="AP913" s="68"/>
      <c r="AQ913" s="68"/>
      <c r="AR913" s="68"/>
      <c r="AS913" s="68"/>
      <c r="AT913" s="68"/>
      <c r="AU913" s="68"/>
      <c r="AV913" s="68"/>
      <c r="AW913" s="68"/>
      <c r="AX913" s="68"/>
      <c r="AY913" s="68"/>
      <c r="AZ913" s="68"/>
      <c r="BA913" s="68"/>
      <c r="BB913" s="68"/>
      <c r="BC913" s="68"/>
      <c r="BD913" s="68"/>
      <c r="BE913" s="68"/>
      <c r="BF913" s="68"/>
      <c r="BG913" s="68"/>
      <c r="BH913" s="68"/>
      <c r="BI913" s="68"/>
      <c r="BJ913" s="68"/>
      <c r="BK913" s="68"/>
      <c r="BL913" s="68"/>
      <c r="BM913" s="68"/>
      <c r="BN913" s="68"/>
      <c r="BO913" s="68"/>
      <c r="BP913" s="68"/>
      <c r="BQ913" s="68"/>
      <c r="BR913" s="68"/>
      <c r="BS913" s="68"/>
      <c r="BT913" s="68"/>
      <c r="BU913" s="68"/>
      <c r="BV913" s="68"/>
      <c r="BW913" s="68"/>
      <c r="BX913" s="68"/>
      <c r="BY913" s="68"/>
      <c r="BZ913" s="68"/>
      <c r="CA913" s="68"/>
      <c r="CB913" s="68"/>
      <c r="CC913" s="68"/>
      <c r="CD913" s="68"/>
      <c r="CE913" s="68"/>
      <c r="CF913" s="68"/>
      <c r="CG913" s="68"/>
      <c r="CH913" s="68"/>
      <c r="CI913" s="68"/>
      <c r="CJ913" s="68"/>
      <c r="CK913" s="68"/>
      <c r="CL913" s="68"/>
      <c r="CM913" s="68"/>
      <c r="CN913" s="68"/>
      <c r="CO913" s="68"/>
      <c r="CP913" s="68"/>
      <c r="CQ913" s="68"/>
      <c r="CR913" s="68"/>
      <c r="CS913" s="68"/>
      <c r="CT913" s="68"/>
      <c r="CU913" s="68"/>
      <c r="CV913" s="68"/>
      <c r="CW913" s="68"/>
      <c r="CX913" s="68"/>
    </row>
    <row r="914" spans="4:102" s="71" customFormat="1" hidden="1">
      <c r="D914" s="105"/>
      <c r="E914" s="100"/>
      <c r="F914" s="100"/>
      <c r="G914" s="111"/>
      <c r="H914" s="105"/>
      <c r="I914" s="111"/>
      <c r="J914" s="111"/>
      <c r="K914" s="112"/>
      <c r="L914" s="113"/>
      <c r="M914" s="114"/>
      <c r="N914" s="100"/>
      <c r="O914" s="114"/>
      <c r="P914" s="65"/>
      <c r="Q914" s="103"/>
      <c r="R914" s="103"/>
      <c r="S914" s="103"/>
      <c r="T914" s="103"/>
      <c r="U914" s="68"/>
      <c r="V914" s="69"/>
      <c r="W914" s="68"/>
      <c r="X914" s="68"/>
      <c r="Y914" s="68"/>
      <c r="Z914" s="68"/>
      <c r="AA914" s="68"/>
      <c r="AB914" s="68"/>
      <c r="AC914" s="68"/>
      <c r="AD914" s="68"/>
      <c r="AE914" s="68"/>
      <c r="AF914" s="68"/>
      <c r="AG914" s="68"/>
      <c r="AH914" s="68"/>
      <c r="AI914" s="68"/>
      <c r="AJ914" s="68"/>
      <c r="AK914" s="68"/>
      <c r="AL914" s="68"/>
      <c r="AM914" s="68"/>
      <c r="AN914" s="68"/>
      <c r="AO914" s="68"/>
      <c r="AP914" s="68"/>
      <c r="AQ914" s="68"/>
      <c r="AR914" s="68"/>
      <c r="AS914" s="68"/>
      <c r="AT914" s="68"/>
      <c r="AU914" s="68"/>
      <c r="AV914" s="68"/>
      <c r="AW914" s="68"/>
      <c r="AX914" s="68"/>
      <c r="AY914" s="68"/>
      <c r="AZ914" s="68"/>
      <c r="BA914" s="68"/>
      <c r="BB914" s="68"/>
      <c r="BC914" s="68"/>
      <c r="BD914" s="68"/>
      <c r="BE914" s="68"/>
      <c r="BF914" s="68"/>
      <c r="BG914" s="68"/>
      <c r="BH914" s="68"/>
      <c r="BI914" s="68"/>
      <c r="BJ914" s="68"/>
      <c r="BK914" s="68"/>
      <c r="BL914" s="68"/>
      <c r="BM914" s="68"/>
      <c r="BN914" s="68"/>
      <c r="BO914" s="68"/>
      <c r="BP914" s="68"/>
      <c r="BQ914" s="68"/>
      <c r="BR914" s="68"/>
      <c r="BS914" s="68"/>
      <c r="BT914" s="68"/>
      <c r="BU914" s="68"/>
      <c r="BV914" s="68"/>
      <c r="BW914" s="68"/>
      <c r="BX914" s="68"/>
      <c r="BY914" s="68"/>
      <c r="BZ914" s="68"/>
      <c r="CA914" s="68"/>
      <c r="CB914" s="68"/>
      <c r="CC914" s="68"/>
      <c r="CD914" s="68"/>
      <c r="CE914" s="68"/>
      <c r="CF914" s="68"/>
      <c r="CG914" s="68"/>
      <c r="CH914" s="68"/>
      <c r="CI914" s="68"/>
      <c r="CJ914" s="68"/>
      <c r="CK914" s="68"/>
      <c r="CL914" s="68"/>
      <c r="CM914" s="68"/>
      <c r="CN914" s="68"/>
      <c r="CO914" s="68"/>
      <c r="CP914" s="68"/>
      <c r="CQ914" s="68"/>
      <c r="CR914" s="68"/>
      <c r="CS914" s="68"/>
      <c r="CT914" s="68"/>
      <c r="CU914" s="68"/>
      <c r="CV914" s="68"/>
      <c r="CW914" s="68"/>
      <c r="CX914" s="68"/>
    </row>
    <row r="915" spans="4:102" s="71" customFormat="1" hidden="1">
      <c r="D915" s="105"/>
      <c r="E915" s="100"/>
      <c r="F915" s="100"/>
      <c r="G915" s="111"/>
      <c r="H915" s="105"/>
      <c r="I915" s="111"/>
      <c r="J915" s="111"/>
      <c r="K915" s="112"/>
      <c r="L915" s="113"/>
      <c r="M915" s="114"/>
      <c r="N915" s="100"/>
      <c r="O915" s="114"/>
      <c r="P915" s="65"/>
      <c r="Q915" s="103"/>
      <c r="R915" s="103"/>
      <c r="S915" s="103"/>
      <c r="T915" s="103"/>
      <c r="U915" s="68"/>
      <c r="V915" s="69"/>
      <c r="W915" s="68"/>
      <c r="X915" s="68"/>
      <c r="Y915" s="68"/>
      <c r="Z915" s="68"/>
      <c r="AA915" s="68"/>
      <c r="AB915" s="68"/>
      <c r="AC915" s="68"/>
      <c r="AD915" s="68"/>
      <c r="AE915" s="68"/>
      <c r="AF915" s="68"/>
      <c r="AG915" s="68"/>
      <c r="AH915" s="68"/>
      <c r="AI915" s="68"/>
      <c r="AJ915" s="68"/>
      <c r="AK915" s="68"/>
      <c r="AL915" s="68"/>
      <c r="AM915" s="68"/>
      <c r="AN915" s="68"/>
      <c r="AO915" s="68"/>
      <c r="AP915" s="68"/>
      <c r="AQ915" s="68"/>
      <c r="AR915" s="68"/>
      <c r="AS915" s="68"/>
      <c r="AT915" s="68"/>
      <c r="AU915" s="68"/>
      <c r="AV915" s="68"/>
      <c r="AW915" s="68"/>
      <c r="AX915" s="68"/>
      <c r="AY915" s="68"/>
      <c r="AZ915" s="68"/>
      <c r="BA915" s="68"/>
      <c r="BB915" s="68"/>
      <c r="BC915" s="68"/>
      <c r="BD915" s="68"/>
      <c r="BE915" s="68"/>
      <c r="BF915" s="68"/>
      <c r="BG915" s="68"/>
      <c r="BH915" s="68"/>
      <c r="BI915" s="68"/>
      <c r="BJ915" s="68"/>
      <c r="BK915" s="68"/>
      <c r="BL915" s="68"/>
      <c r="BM915" s="68"/>
      <c r="BN915" s="68"/>
      <c r="BO915" s="68"/>
      <c r="BP915" s="68"/>
      <c r="BQ915" s="68"/>
      <c r="BR915" s="68"/>
      <c r="BS915" s="68"/>
      <c r="BT915" s="68"/>
      <c r="BU915" s="68"/>
      <c r="BV915" s="68"/>
      <c r="BW915" s="68"/>
      <c r="BX915" s="68"/>
      <c r="BY915" s="68"/>
      <c r="BZ915" s="68"/>
      <c r="CA915" s="68"/>
      <c r="CB915" s="68"/>
      <c r="CC915" s="68"/>
      <c r="CD915" s="68"/>
      <c r="CE915" s="68"/>
      <c r="CF915" s="68"/>
      <c r="CG915" s="68"/>
      <c r="CH915" s="68"/>
      <c r="CI915" s="68"/>
      <c r="CJ915" s="68"/>
      <c r="CK915" s="68"/>
      <c r="CL915" s="68"/>
      <c r="CM915" s="68"/>
      <c r="CN915" s="68"/>
      <c r="CO915" s="68"/>
      <c r="CP915" s="68"/>
      <c r="CQ915" s="68"/>
      <c r="CR915" s="68"/>
      <c r="CS915" s="68"/>
      <c r="CT915" s="68"/>
      <c r="CU915" s="68"/>
      <c r="CV915" s="68"/>
      <c r="CW915" s="68"/>
      <c r="CX915" s="68"/>
    </row>
    <row r="916" spans="4:102" s="71" customFormat="1" hidden="1">
      <c r="D916" s="105"/>
      <c r="E916" s="100"/>
      <c r="F916" s="100"/>
      <c r="G916" s="111"/>
      <c r="H916" s="105"/>
      <c r="I916" s="111"/>
      <c r="J916" s="111"/>
      <c r="K916" s="112"/>
      <c r="L916" s="113"/>
      <c r="M916" s="114"/>
      <c r="N916" s="100"/>
      <c r="O916" s="114"/>
      <c r="P916" s="65"/>
      <c r="Q916" s="103"/>
      <c r="R916" s="103"/>
      <c r="S916" s="103"/>
      <c r="T916" s="103"/>
      <c r="U916" s="68"/>
      <c r="V916" s="69"/>
      <c r="W916" s="68"/>
      <c r="X916" s="68"/>
      <c r="Y916" s="68"/>
      <c r="Z916" s="68"/>
      <c r="AA916" s="68"/>
      <c r="AB916" s="68"/>
      <c r="AC916" s="68"/>
      <c r="AD916" s="68"/>
      <c r="AE916" s="68"/>
      <c r="AF916" s="68"/>
      <c r="AG916" s="68"/>
      <c r="AH916" s="68"/>
      <c r="AI916" s="68"/>
      <c r="AJ916" s="68"/>
      <c r="AK916" s="68"/>
      <c r="AL916" s="68"/>
      <c r="AM916" s="68"/>
      <c r="AN916" s="68"/>
      <c r="AO916" s="68"/>
      <c r="AP916" s="68"/>
      <c r="AQ916" s="68"/>
      <c r="AR916" s="68"/>
      <c r="AS916" s="68"/>
      <c r="AT916" s="68"/>
      <c r="AU916" s="68"/>
      <c r="AV916" s="68"/>
      <c r="AW916" s="68"/>
      <c r="AX916" s="68"/>
      <c r="AY916" s="68"/>
      <c r="AZ916" s="68"/>
      <c r="BA916" s="68"/>
      <c r="BB916" s="68"/>
      <c r="BC916" s="68"/>
      <c r="BD916" s="68"/>
      <c r="BE916" s="68"/>
      <c r="BF916" s="68"/>
      <c r="BG916" s="68"/>
      <c r="BH916" s="68"/>
      <c r="BI916" s="68"/>
      <c r="BJ916" s="68"/>
      <c r="BK916" s="68"/>
      <c r="BL916" s="68"/>
      <c r="BM916" s="68"/>
      <c r="BN916" s="68"/>
      <c r="BO916" s="68"/>
      <c r="BP916" s="68"/>
      <c r="BQ916" s="68"/>
      <c r="BR916" s="68"/>
      <c r="BS916" s="68"/>
      <c r="BT916" s="68"/>
      <c r="BU916" s="68"/>
      <c r="BV916" s="68"/>
      <c r="BW916" s="68"/>
      <c r="BX916" s="68"/>
      <c r="BY916" s="68"/>
      <c r="BZ916" s="68"/>
      <c r="CA916" s="68"/>
      <c r="CB916" s="68"/>
      <c r="CC916" s="68"/>
      <c r="CD916" s="68"/>
      <c r="CE916" s="68"/>
      <c r="CF916" s="68"/>
      <c r="CG916" s="68"/>
      <c r="CH916" s="68"/>
      <c r="CI916" s="68"/>
      <c r="CJ916" s="68"/>
      <c r="CK916" s="68"/>
      <c r="CL916" s="68"/>
      <c r="CM916" s="68"/>
      <c r="CN916" s="68"/>
      <c r="CO916" s="68"/>
      <c r="CP916" s="68"/>
      <c r="CQ916" s="68"/>
      <c r="CR916" s="68"/>
      <c r="CS916" s="68"/>
      <c r="CT916" s="68"/>
      <c r="CU916" s="68"/>
      <c r="CV916" s="68"/>
      <c r="CW916" s="68"/>
      <c r="CX916" s="68"/>
    </row>
    <row r="917" spans="4:102" s="71" customFormat="1" hidden="1">
      <c r="D917" s="105"/>
      <c r="E917" s="100"/>
      <c r="F917" s="100"/>
      <c r="G917" s="111"/>
      <c r="H917" s="105"/>
      <c r="I917" s="111"/>
      <c r="J917" s="111"/>
      <c r="K917" s="112"/>
      <c r="L917" s="113"/>
      <c r="M917" s="114"/>
      <c r="N917" s="100"/>
      <c r="O917" s="114"/>
      <c r="P917" s="65"/>
      <c r="Q917" s="103"/>
      <c r="R917" s="103"/>
      <c r="S917" s="103"/>
      <c r="T917" s="103"/>
      <c r="U917" s="68"/>
      <c r="V917" s="69"/>
      <c r="W917" s="68"/>
      <c r="X917" s="68"/>
      <c r="Y917" s="68"/>
      <c r="Z917" s="68"/>
      <c r="AA917" s="68"/>
      <c r="AB917" s="68"/>
      <c r="AC917" s="68"/>
      <c r="AD917" s="68"/>
      <c r="AE917" s="68"/>
      <c r="AF917" s="68"/>
      <c r="AG917" s="68"/>
      <c r="AH917" s="68"/>
      <c r="AI917" s="68"/>
      <c r="AJ917" s="68"/>
      <c r="AK917" s="68"/>
      <c r="AL917" s="68"/>
      <c r="AM917" s="68"/>
      <c r="AN917" s="68"/>
      <c r="AO917" s="68"/>
      <c r="AP917" s="68"/>
      <c r="AQ917" s="68"/>
      <c r="AR917" s="68"/>
      <c r="AS917" s="68"/>
      <c r="AT917" s="68"/>
      <c r="AU917" s="68"/>
      <c r="AV917" s="68"/>
      <c r="AW917" s="68"/>
      <c r="AX917" s="68"/>
      <c r="AY917" s="68"/>
      <c r="AZ917" s="68"/>
      <c r="BA917" s="68"/>
      <c r="BB917" s="68"/>
      <c r="BC917" s="68"/>
      <c r="BD917" s="68"/>
      <c r="BE917" s="68"/>
      <c r="BF917" s="68"/>
      <c r="BG917" s="68"/>
      <c r="BH917" s="68"/>
      <c r="BI917" s="68"/>
      <c r="BJ917" s="68"/>
      <c r="BK917" s="68"/>
      <c r="BL917" s="68"/>
      <c r="BM917" s="68"/>
      <c r="BN917" s="68"/>
      <c r="BO917" s="68"/>
      <c r="BP917" s="68"/>
      <c r="BQ917" s="68"/>
      <c r="BR917" s="68"/>
      <c r="BS917" s="68"/>
      <c r="BT917" s="68"/>
      <c r="BU917" s="68"/>
      <c r="BV917" s="68"/>
      <c r="BW917" s="68"/>
      <c r="BX917" s="68"/>
      <c r="BY917" s="68"/>
      <c r="BZ917" s="68"/>
      <c r="CA917" s="68"/>
      <c r="CB917" s="68"/>
      <c r="CC917" s="68"/>
      <c r="CD917" s="68"/>
      <c r="CE917" s="68"/>
      <c r="CF917" s="68"/>
      <c r="CG917" s="68"/>
      <c r="CH917" s="68"/>
      <c r="CI917" s="68"/>
      <c r="CJ917" s="68"/>
      <c r="CK917" s="68"/>
      <c r="CL917" s="68"/>
      <c r="CM917" s="68"/>
      <c r="CN917" s="68"/>
      <c r="CO917" s="68"/>
      <c r="CP917" s="68"/>
      <c r="CQ917" s="68"/>
      <c r="CR917" s="68"/>
      <c r="CS917" s="68"/>
      <c r="CT917" s="68"/>
      <c r="CU917" s="68"/>
      <c r="CV917" s="68"/>
      <c r="CW917" s="68"/>
      <c r="CX917" s="68"/>
    </row>
    <row r="918" spans="4:102" s="71" customFormat="1" hidden="1">
      <c r="D918" s="105"/>
      <c r="E918" s="100"/>
      <c r="F918" s="100"/>
      <c r="G918" s="111"/>
      <c r="H918" s="105"/>
      <c r="I918" s="111"/>
      <c r="J918" s="111"/>
      <c r="K918" s="112"/>
      <c r="L918" s="113"/>
      <c r="M918" s="114"/>
      <c r="N918" s="100"/>
      <c r="O918" s="114"/>
      <c r="P918" s="65"/>
      <c r="Q918" s="103"/>
      <c r="R918" s="103"/>
      <c r="S918" s="103"/>
      <c r="T918" s="103"/>
      <c r="U918" s="68"/>
      <c r="V918" s="69"/>
      <c r="W918" s="68"/>
      <c r="X918" s="68"/>
      <c r="Y918" s="68"/>
      <c r="Z918" s="68"/>
      <c r="AA918" s="68"/>
      <c r="AB918" s="68"/>
      <c r="AC918" s="68"/>
      <c r="AD918" s="68"/>
      <c r="AE918" s="68"/>
      <c r="AF918" s="68"/>
      <c r="AG918" s="68"/>
      <c r="AH918" s="68"/>
      <c r="AI918" s="68"/>
      <c r="AJ918" s="68"/>
      <c r="AK918" s="68"/>
      <c r="AL918" s="68"/>
      <c r="AM918" s="68"/>
      <c r="AN918" s="68"/>
      <c r="AO918" s="68"/>
      <c r="AP918" s="68"/>
      <c r="AQ918" s="68"/>
      <c r="AR918" s="68"/>
      <c r="AS918" s="68"/>
      <c r="AT918" s="68"/>
      <c r="AU918" s="68"/>
      <c r="AV918" s="68"/>
      <c r="AW918" s="68"/>
      <c r="AX918" s="68"/>
      <c r="AY918" s="68"/>
      <c r="AZ918" s="68"/>
      <c r="BA918" s="68"/>
      <c r="BB918" s="68"/>
      <c r="BC918" s="68"/>
      <c r="BD918" s="68"/>
      <c r="BE918" s="68"/>
      <c r="BF918" s="68"/>
      <c r="BG918" s="68"/>
      <c r="BH918" s="68"/>
      <c r="BI918" s="68"/>
      <c r="BJ918" s="68"/>
      <c r="BK918" s="68"/>
      <c r="BL918" s="68"/>
      <c r="BM918" s="68"/>
      <c r="BN918" s="68"/>
      <c r="BO918" s="68"/>
      <c r="BP918" s="68"/>
      <c r="BQ918" s="68"/>
      <c r="BR918" s="68"/>
      <c r="BS918" s="68"/>
      <c r="BT918" s="68"/>
      <c r="BU918" s="68"/>
      <c r="BV918" s="68"/>
      <c r="BW918" s="68"/>
      <c r="BX918" s="68"/>
      <c r="BY918" s="68"/>
      <c r="BZ918" s="68"/>
      <c r="CA918" s="68"/>
      <c r="CB918" s="68"/>
      <c r="CC918" s="68"/>
      <c r="CD918" s="68"/>
      <c r="CE918" s="68"/>
      <c r="CF918" s="68"/>
      <c r="CG918" s="68"/>
      <c r="CH918" s="68"/>
      <c r="CI918" s="68"/>
      <c r="CJ918" s="68"/>
      <c r="CK918" s="68"/>
      <c r="CL918" s="68"/>
      <c r="CM918" s="68"/>
      <c r="CN918" s="68"/>
      <c r="CO918" s="68"/>
      <c r="CP918" s="68"/>
      <c r="CQ918" s="68"/>
      <c r="CR918" s="68"/>
      <c r="CS918" s="68"/>
      <c r="CT918" s="68"/>
      <c r="CU918" s="68"/>
      <c r="CV918" s="68"/>
      <c r="CW918" s="68"/>
      <c r="CX918" s="68"/>
    </row>
    <row r="919" spans="4:102" s="71" customFormat="1" hidden="1">
      <c r="D919" s="105"/>
      <c r="E919" s="100"/>
      <c r="F919" s="100"/>
      <c r="G919" s="111"/>
      <c r="H919" s="105"/>
      <c r="I919" s="111"/>
      <c r="J919" s="111"/>
      <c r="K919" s="112"/>
      <c r="L919" s="113"/>
      <c r="M919" s="114"/>
      <c r="N919" s="100"/>
      <c r="O919" s="114"/>
      <c r="P919" s="65"/>
      <c r="Q919" s="103"/>
      <c r="R919" s="103"/>
      <c r="S919" s="103"/>
      <c r="T919" s="103"/>
      <c r="U919" s="68"/>
      <c r="V919" s="69"/>
      <c r="W919" s="68"/>
      <c r="X919" s="68"/>
      <c r="Y919" s="68"/>
      <c r="Z919" s="68"/>
      <c r="AA919" s="68"/>
      <c r="AB919" s="68"/>
      <c r="AC919" s="68"/>
      <c r="AD919" s="68"/>
      <c r="AE919" s="68"/>
      <c r="AF919" s="68"/>
      <c r="AG919" s="68"/>
      <c r="AH919" s="68"/>
      <c r="AI919" s="68"/>
      <c r="AJ919" s="68"/>
      <c r="AK919" s="68"/>
      <c r="AL919" s="68"/>
      <c r="AM919" s="68"/>
      <c r="AN919" s="68"/>
      <c r="AO919" s="68"/>
      <c r="AP919" s="68"/>
      <c r="AQ919" s="68"/>
      <c r="AR919" s="68"/>
      <c r="AS919" s="68"/>
      <c r="AT919" s="68"/>
      <c r="AU919" s="68"/>
      <c r="AV919" s="68"/>
      <c r="AW919" s="68"/>
      <c r="AX919" s="68"/>
      <c r="AY919" s="68"/>
      <c r="AZ919" s="68"/>
      <c r="BA919" s="68"/>
      <c r="BB919" s="68"/>
      <c r="BC919" s="68"/>
      <c r="BD919" s="68"/>
      <c r="BE919" s="68"/>
      <c r="BF919" s="68"/>
      <c r="BG919" s="68"/>
      <c r="BH919" s="68"/>
      <c r="BI919" s="68"/>
      <c r="BJ919" s="68"/>
      <c r="BK919" s="68"/>
      <c r="BL919" s="68"/>
      <c r="BM919" s="68"/>
      <c r="BN919" s="68"/>
      <c r="BO919" s="68"/>
      <c r="BP919" s="68"/>
      <c r="BQ919" s="68"/>
      <c r="BR919" s="68"/>
      <c r="BS919" s="68"/>
      <c r="BT919" s="68"/>
      <c r="BU919" s="68"/>
      <c r="BV919" s="68"/>
      <c r="BW919" s="68"/>
      <c r="BX919" s="68"/>
      <c r="BY919" s="68"/>
      <c r="BZ919" s="68"/>
      <c r="CA919" s="68"/>
      <c r="CB919" s="68"/>
      <c r="CC919" s="68"/>
      <c r="CD919" s="68"/>
      <c r="CE919" s="68"/>
      <c r="CF919" s="68"/>
      <c r="CG919" s="68"/>
      <c r="CH919" s="68"/>
      <c r="CI919" s="68"/>
      <c r="CJ919" s="68"/>
      <c r="CK919" s="68"/>
      <c r="CL919" s="68"/>
      <c r="CM919" s="68"/>
      <c r="CN919" s="68"/>
      <c r="CO919" s="68"/>
      <c r="CP919" s="68"/>
      <c r="CQ919" s="68"/>
      <c r="CR919" s="68"/>
      <c r="CS919" s="68"/>
      <c r="CT919" s="68"/>
      <c r="CU919" s="68"/>
      <c r="CV919" s="68"/>
      <c r="CW919" s="68"/>
      <c r="CX919" s="68"/>
    </row>
    <row r="920" spans="4:102" s="71" customFormat="1" hidden="1">
      <c r="D920" s="105"/>
      <c r="E920" s="100"/>
      <c r="F920" s="100"/>
      <c r="G920" s="111"/>
      <c r="H920" s="105"/>
      <c r="I920" s="111"/>
      <c r="J920" s="111"/>
      <c r="K920" s="112"/>
      <c r="L920" s="113"/>
      <c r="M920" s="114"/>
      <c r="N920" s="100"/>
      <c r="O920" s="114"/>
      <c r="P920" s="65"/>
      <c r="Q920" s="103"/>
      <c r="R920" s="103"/>
      <c r="S920" s="103"/>
      <c r="T920" s="103"/>
      <c r="U920" s="68"/>
      <c r="V920" s="69"/>
      <c r="W920" s="68"/>
      <c r="X920" s="68"/>
      <c r="Y920" s="68"/>
      <c r="Z920" s="68"/>
      <c r="AA920" s="68"/>
      <c r="AB920" s="68"/>
      <c r="AC920" s="68"/>
      <c r="AD920" s="68"/>
      <c r="AE920" s="68"/>
      <c r="AF920" s="68"/>
      <c r="AG920" s="68"/>
      <c r="AH920" s="68"/>
      <c r="AI920" s="68"/>
      <c r="AJ920" s="68"/>
      <c r="AK920" s="68"/>
      <c r="AL920" s="68"/>
      <c r="AM920" s="68"/>
      <c r="AN920" s="68"/>
      <c r="AO920" s="68"/>
      <c r="AP920" s="68"/>
      <c r="AQ920" s="68"/>
      <c r="AR920" s="68"/>
      <c r="AS920" s="68"/>
      <c r="AT920" s="68"/>
      <c r="AU920" s="68"/>
      <c r="AV920" s="68"/>
      <c r="AW920" s="68"/>
      <c r="AX920" s="68"/>
      <c r="AY920" s="68"/>
      <c r="AZ920" s="68"/>
      <c r="BA920" s="68"/>
      <c r="BB920" s="68"/>
      <c r="BC920" s="68"/>
      <c r="BD920" s="68"/>
      <c r="BE920" s="68"/>
      <c r="BF920" s="68"/>
      <c r="BG920" s="68"/>
      <c r="BH920" s="68"/>
      <c r="BI920" s="68"/>
      <c r="BJ920" s="68"/>
      <c r="BK920" s="68"/>
      <c r="BL920" s="68"/>
      <c r="BM920" s="68"/>
      <c r="BN920" s="68"/>
      <c r="BO920" s="68"/>
      <c r="BP920" s="68"/>
      <c r="BQ920" s="68"/>
      <c r="BR920" s="68"/>
      <c r="BS920" s="68"/>
      <c r="BT920" s="68"/>
      <c r="BU920" s="68"/>
      <c r="BV920" s="68"/>
      <c r="BW920" s="68"/>
      <c r="BX920" s="68"/>
      <c r="BY920" s="68"/>
      <c r="BZ920" s="68"/>
      <c r="CA920" s="68"/>
      <c r="CB920" s="68"/>
      <c r="CC920" s="68"/>
      <c r="CD920" s="68"/>
      <c r="CE920" s="68"/>
      <c r="CF920" s="68"/>
      <c r="CG920" s="68"/>
      <c r="CH920" s="68"/>
      <c r="CI920" s="68"/>
      <c r="CJ920" s="68"/>
      <c r="CK920" s="68"/>
      <c r="CL920" s="68"/>
      <c r="CM920" s="68"/>
      <c r="CN920" s="68"/>
      <c r="CO920" s="68"/>
      <c r="CP920" s="68"/>
      <c r="CQ920" s="68"/>
      <c r="CR920" s="68"/>
      <c r="CS920" s="68"/>
      <c r="CT920" s="68"/>
      <c r="CU920" s="68"/>
      <c r="CV920" s="68"/>
      <c r="CW920" s="68"/>
      <c r="CX920" s="68"/>
    </row>
    <row r="921" spans="4:102" s="71" customFormat="1" hidden="1">
      <c r="D921" s="105"/>
      <c r="E921" s="100"/>
      <c r="F921" s="100"/>
      <c r="G921" s="111"/>
      <c r="H921" s="105"/>
      <c r="I921" s="111"/>
      <c r="J921" s="111"/>
      <c r="K921" s="112"/>
      <c r="L921" s="113"/>
      <c r="M921" s="114"/>
      <c r="N921" s="100"/>
      <c r="O921" s="114"/>
      <c r="P921" s="65"/>
      <c r="Q921" s="103"/>
      <c r="R921" s="103"/>
      <c r="S921" s="103"/>
      <c r="T921" s="103"/>
      <c r="U921" s="68"/>
      <c r="V921" s="69"/>
      <c r="W921" s="68"/>
      <c r="X921" s="68"/>
      <c r="Y921" s="68"/>
      <c r="Z921" s="68"/>
      <c r="AA921" s="68"/>
      <c r="AB921" s="68"/>
      <c r="AC921" s="68"/>
      <c r="AD921" s="68"/>
      <c r="AE921" s="68"/>
      <c r="AF921" s="68"/>
      <c r="AG921" s="68"/>
      <c r="AH921" s="68"/>
      <c r="AI921" s="68"/>
      <c r="AJ921" s="68"/>
      <c r="AK921" s="68"/>
      <c r="AL921" s="68"/>
      <c r="AM921" s="68"/>
      <c r="AN921" s="68"/>
      <c r="AO921" s="68"/>
      <c r="AP921" s="68"/>
      <c r="AQ921" s="68"/>
      <c r="AR921" s="68"/>
      <c r="AS921" s="68"/>
      <c r="AT921" s="68"/>
      <c r="AU921" s="68"/>
      <c r="AV921" s="68"/>
      <c r="AW921" s="68"/>
      <c r="AX921" s="68"/>
      <c r="AY921" s="68"/>
      <c r="AZ921" s="68"/>
      <c r="BA921" s="68"/>
      <c r="BB921" s="68"/>
      <c r="BC921" s="68"/>
      <c r="BD921" s="68"/>
      <c r="BE921" s="68"/>
      <c r="BF921" s="68"/>
      <c r="BG921" s="68"/>
      <c r="BH921" s="68"/>
      <c r="BI921" s="68"/>
      <c r="BJ921" s="68"/>
      <c r="BK921" s="68"/>
      <c r="BL921" s="68"/>
      <c r="BM921" s="68"/>
      <c r="BN921" s="68"/>
      <c r="BO921" s="68"/>
      <c r="BP921" s="68"/>
      <c r="BQ921" s="68"/>
      <c r="BR921" s="68"/>
      <c r="BS921" s="68"/>
      <c r="BT921" s="68"/>
      <c r="BU921" s="68"/>
      <c r="BV921" s="68"/>
      <c r="BW921" s="68"/>
      <c r="BX921" s="68"/>
      <c r="BY921" s="68"/>
      <c r="BZ921" s="68"/>
      <c r="CA921" s="68"/>
      <c r="CB921" s="68"/>
      <c r="CC921" s="68"/>
      <c r="CD921" s="68"/>
      <c r="CE921" s="68"/>
      <c r="CF921" s="68"/>
      <c r="CG921" s="68"/>
      <c r="CH921" s="68"/>
      <c r="CI921" s="68"/>
      <c r="CJ921" s="68"/>
      <c r="CK921" s="68"/>
      <c r="CL921" s="68"/>
      <c r="CM921" s="68"/>
      <c r="CN921" s="68"/>
      <c r="CO921" s="68"/>
      <c r="CP921" s="68"/>
      <c r="CQ921" s="68"/>
      <c r="CR921" s="68"/>
      <c r="CS921" s="68"/>
      <c r="CT921" s="68"/>
      <c r="CU921" s="68"/>
      <c r="CV921" s="68"/>
      <c r="CW921" s="68"/>
      <c r="CX921" s="68"/>
    </row>
    <row r="922" spans="4:102" s="71" customFormat="1" hidden="1">
      <c r="D922" s="105"/>
      <c r="E922" s="100"/>
      <c r="F922" s="100"/>
      <c r="G922" s="111"/>
      <c r="H922" s="105"/>
      <c r="I922" s="111"/>
      <c r="J922" s="111"/>
      <c r="K922" s="112"/>
      <c r="L922" s="113"/>
      <c r="M922" s="114"/>
      <c r="N922" s="100"/>
      <c r="O922" s="114"/>
      <c r="P922" s="65"/>
      <c r="Q922" s="103"/>
      <c r="R922" s="103"/>
      <c r="S922" s="103"/>
      <c r="T922" s="103"/>
      <c r="U922" s="68"/>
      <c r="V922" s="69"/>
      <c r="W922" s="68"/>
      <c r="X922" s="68"/>
      <c r="Y922" s="68"/>
      <c r="Z922" s="68"/>
      <c r="AA922" s="68"/>
      <c r="AB922" s="68"/>
      <c r="AC922" s="68"/>
      <c r="AD922" s="68"/>
      <c r="AE922" s="68"/>
      <c r="AF922" s="68"/>
      <c r="AG922" s="68"/>
      <c r="AH922" s="68"/>
      <c r="AI922" s="68"/>
      <c r="AJ922" s="68"/>
      <c r="AK922" s="68"/>
      <c r="AL922" s="68"/>
      <c r="AM922" s="68"/>
      <c r="AN922" s="68"/>
      <c r="AO922" s="68"/>
      <c r="AP922" s="68"/>
      <c r="AQ922" s="68"/>
      <c r="AR922" s="68"/>
      <c r="AS922" s="68"/>
      <c r="AT922" s="68"/>
      <c r="AU922" s="68"/>
      <c r="AV922" s="68"/>
      <c r="AW922" s="68"/>
      <c r="AX922" s="68"/>
      <c r="AY922" s="68"/>
      <c r="AZ922" s="68"/>
      <c r="BA922" s="68"/>
      <c r="BB922" s="68"/>
      <c r="BC922" s="68"/>
      <c r="BD922" s="68"/>
      <c r="BE922" s="68"/>
      <c r="BF922" s="68"/>
      <c r="BG922" s="68"/>
      <c r="BH922" s="68"/>
      <c r="BI922" s="68"/>
      <c r="BJ922" s="68"/>
      <c r="BK922" s="68"/>
      <c r="BL922" s="68"/>
      <c r="BM922" s="68"/>
      <c r="BN922" s="68"/>
      <c r="BO922" s="68"/>
      <c r="BP922" s="68"/>
      <c r="BQ922" s="68"/>
      <c r="BR922" s="68"/>
      <c r="BS922" s="68"/>
      <c r="BT922" s="68"/>
      <c r="BU922" s="68"/>
      <c r="BV922" s="68"/>
      <c r="BW922" s="68"/>
      <c r="BX922" s="68"/>
      <c r="BY922" s="68"/>
      <c r="BZ922" s="68"/>
      <c r="CA922" s="68"/>
      <c r="CB922" s="68"/>
      <c r="CC922" s="68"/>
      <c r="CD922" s="68"/>
      <c r="CE922" s="68"/>
      <c r="CF922" s="68"/>
      <c r="CG922" s="68"/>
      <c r="CH922" s="68"/>
      <c r="CI922" s="68"/>
      <c r="CJ922" s="68"/>
      <c r="CK922" s="68"/>
      <c r="CL922" s="68"/>
      <c r="CM922" s="68"/>
      <c r="CN922" s="68"/>
      <c r="CO922" s="68"/>
      <c r="CP922" s="68"/>
      <c r="CQ922" s="68"/>
      <c r="CR922" s="68"/>
      <c r="CS922" s="68"/>
      <c r="CT922" s="68"/>
      <c r="CU922" s="68"/>
      <c r="CV922" s="68"/>
      <c r="CW922" s="68"/>
      <c r="CX922" s="68"/>
    </row>
    <row r="923" spans="4:102" s="71" customFormat="1" hidden="1">
      <c r="D923" s="105"/>
      <c r="E923" s="100"/>
      <c r="F923" s="100"/>
      <c r="G923" s="111"/>
      <c r="H923" s="105"/>
      <c r="I923" s="111"/>
      <c r="J923" s="111"/>
      <c r="K923" s="112"/>
      <c r="L923" s="113"/>
      <c r="M923" s="114"/>
      <c r="N923" s="100"/>
      <c r="O923" s="114"/>
      <c r="P923" s="65"/>
      <c r="Q923" s="103"/>
      <c r="R923" s="103"/>
      <c r="S923" s="103"/>
      <c r="T923" s="103"/>
      <c r="U923" s="68"/>
      <c r="V923" s="69"/>
      <c r="W923" s="68"/>
      <c r="X923" s="68"/>
      <c r="Y923" s="68"/>
      <c r="Z923" s="68"/>
      <c r="AA923" s="68"/>
      <c r="AB923" s="68"/>
      <c r="AC923" s="68"/>
      <c r="AD923" s="68"/>
      <c r="AE923" s="68"/>
      <c r="AF923" s="68"/>
      <c r="AG923" s="68"/>
      <c r="AH923" s="68"/>
      <c r="AI923" s="68"/>
      <c r="AJ923" s="68"/>
      <c r="AK923" s="68"/>
      <c r="AL923" s="68"/>
      <c r="AM923" s="68"/>
      <c r="AN923" s="68"/>
      <c r="AO923" s="68"/>
      <c r="AP923" s="68"/>
      <c r="AQ923" s="68"/>
      <c r="AR923" s="68"/>
      <c r="AS923" s="68"/>
      <c r="AT923" s="68"/>
      <c r="AU923" s="68"/>
      <c r="AV923" s="68"/>
      <c r="AW923" s="68"/>
      <c r="AX923" s="68"/>
      <c r="AY923" s="68"/>
      <c r="AZ923" s="68"/>
      <c r="BA923" s="68"/>
      <c r="BB923" s="68"/>
      <c r="BC923" s="68"/>
      <c r="BD923" s="68"/>
      <c r="BE923" s="68"/>
      <c r="BF923" s="68"/>
      <c r="BG923" s="68"/>
      <c r="BH923" s="68"/>
      <c r="BI923" s="68"/>
      <c r="BJ923" s="68"/>
      <c r="BK923" s="68"/>
      <c r="BL923" s="68"/>
      <c r="BM923" s="68"/>
      <c r="BN923" s="68"/>
      <c r="BO923" s="68"/>
      <c r="BP923" s="68"/>
      <c r="BQ923" s="68"/>
      <c r="BR923" s="68"/>
      <c r="BS923" s="68"/>
      <c r="BT923" s="68"/>
      <c r="BU923" s="68"/>
      <c r="BV923" s="68"/>
      <c r="BW923" s="68"/>
      <c r="BX923" s="68"/>
      <c r="BY923" s="68"/>
      <c r="BZ923" s="68"/>
      <c r="CA923" s="68"/>
      <c r="CB923" s="68"/>
      <c r="CC923" s="68"/>
      <c r="CD923" s="68"/>
      <c r="CE923" s="68"/>
      <c r="CF923" s="68"/>
      <c r="CG923" s="68"/>
      <c r="CH923" s="68"/>
      <c r="CI923" s="68"/>
      <c r="CJ923" s="68"/>
      <c r="CK923" s="68"/>
      <c r="CL923" s="68"/>
      <c r="CM923" s="68"/>
      <c r="CN923" s="68"/>
      <c r="CO923" s="68"/>
      <c r="CP923" s="68"/>
      <c r="CQ923" s="68"/>
      <c r="CR923" s="68"/>
      <c r="CS923" s="68"/>
      <c r="CT923" s="68"/>
      <c r="CU923" s="68"/>
      <c r="CV923" s="68"/>
      <c r="CW923" s="68"/>
      <c r="CX923" s="68"/>
    </row>
    <row r="924" spans="4:102" s="71" customFormat="1" hidden="1">
      <c r="D924" s="105"/>
      <c r="E924" s="100"/>
      <c r="F924" s="100"/>
      <c r="G924" s="111"/>
      <c r="H924" s="105"/>
      <c r="I924" s="111"/>
      <c r="J924" s="111"/>
      <c r="K924" s="112"/>
      <c r="L924" s="113"/>
      <c r="M924" s="114"/>
      <c r="N924" s="100"/>
      <c r="O924" s="114"/>
      <c r="P924" s="65"/>
      <c r="Q924" s="103"/>
      <c r="R924" s="103"/>
      <c r="S924" s="103"/>
      <c r="T924" s="103"/>
      <c r="U924" s="68"/>
      <c r="V924" s="69"/>
      <c r="W924" s="68"/>
      <c r="X924" s="68"/>
      <c r="Y924" s="68"/>
      <c r="Z924" s="68"/>
      <c r="AA924" s="68"/>
      <c r="AB924" s="68"/>
      <c r="AC924" s="68"/>
      <c r="AD924" s="68"/>
      <c r="AE924" s="68"/>
      <c r="AF924" s="68"/>
      <c r="AG924" s="68"/>
      <c r="AH924" s="68"/>
      <c r="AI924" s="68"/>
      <c r="AJ924" s="68"/>
      <c r="AK924" s="68"/>
      <c r="AL924" s="68"/>
      <c r="AM924" s="68"/>
      <c r="AN924" s="68"/>
      <c r="AO924" s="68"/>
      <c r="AP924" s="68"/>
      <c r="AQ924" s="68"/>
      <c r="AR924" s="68"/>
      <c r="AS924" s="68"/>
      <c r="AT924" s="68"/>
      <c r="AU924" s="68"/>
      <c r="AV924" s="68"/>
      <c r="AW924" s="68"/>
      <c r="AX924" s="68"/>
      <c r="AY924" s="68"/>
      <c r="AZ924" s="68"/>
      <c r="BA924" s="68"/>
      <c r="BB924" s="68"/>
      <c r="BC924" s="68"/>
      <c r="BD924" s="68"/>
      <c r="BE924" s="68"/>
      <c r="BF924" s="68"/>
      <c r="BG924" s="68"/>
      <c r="BH924" s="68"/>
      <c r="BI924" s="68"/>
      <c r="BJ924" s="68"/>
      <c r="BK924" s="68"/>
      <c r="BL924" s="68"/>
      <c r="BM924" s="68"/>
      <c r="BN924" s="68"/>
      <c r="BO924" s="68"/>
      <c r="BP924" s="68"/>
      <c r="BQ924" s="68"/>
      <c r="BR924" s="68"/>
      <c r="BS924" s="68"/>
      <c r="BT924" s="68"/>
      <c r="BU924" s="68"/>
      <c r="BV924" s="68"/>
      <c r="BW924" s="68"/>
      <c r="BX924" s="68"/>
      <c r="BY924" s="68"/>
      <c r="BZ924" s="68"/>
      <c r="CA924" s="68"/>
      <c r="CB924" s="68"/>
      <c r="CC924" s="68"/>
      <c r="CD924" s="68"/>
      <c r="CE924" s="68"/>
      <c r="CF924" s="68"/>
      <c r="CG924" s="68"/>
      <c r="CH924" s="68"/>
      <c r="CI924" s="68"/>
      <c r="CJ924" s="68"/>
      <c r="CK924" s="68"/>
      <c r="CL924" s="68"/>
      <c r="CM924" s="68"/>
      <c r="CN924" s="68"/>
      <c r="CO924" s="68"/>
      <c r="CP924" s="68"/>
      <c r="CQ924" s="68"/>
      <c r="CR924" s="68"/>
      <c r="CS924" s="68"/>
      <c r="CT924" s="68"/>
      <c r="CU924" s="68"/>
      <c r="CV924" s="68"/>
      <c r="CW924" s="68"/>
      <c r="CX924" s="68"/>
    </row>
    <row r="925" spans="4:102" s="71" customFormat="1" hidden="1">
      <c r="D925" s="105"/>
      <c r="E925" s="100"/>
      <c r="F925" s="100"/>
      <c r="G925" s="111"/>
      <c r="H925" s="105"/>
      <c r="I925" s="111"/>
      <c r="J925" s="111"/>
      <c r="K925" s="112"/>
      <c r="L925" s="113"/>
      <c r="M925" s="114"/>
      <c r="N925" s="100"/>
      <c r="O925" s="114"/>
      <c r="P925" s="65"/>
      <c r="Q925" s="103"/>
      <c r="R925" s="103"/>
      <c r="S925" s="103"/>
      <c r="T925" s="103"/>
      <c r="U925" s="68"/>
      <c r="V925" s="69"/>
      <c r="W925" s="68"/>
      <c r="X925" s="68"/>
      <c r="Y925" s="68"/>
      <c r="Z925" s="68"/>
      <c r="AA925" s="68"/>
      <c r="AB925" s="68"/>
      <c r="AC925" s="68"/>
      <c r="AD925" s="68"/>
      <c r="AE925" s="68"/>
      <c r="AF925" s="68"/>
      <c r="AG925" s="68"/>
      <c r="AH925" s="68"/>
      <c r="AI925" s="68"/>
      <c r="AJ925" s="68"/>
      <c r="AK925" s="68"/>
      <c r="AL925" s="68"/>
      <c r="AM925" s="68"/>
      <c r="AN925" s="68"/>
      <c r="AO925" s="68"/>
      <c r="AP925" s="68"/>
      <c r="AQ925" s="68"/>
      <c r="AR925" s="68"/>
      <c r="AS925" s="68"/>
      <c r="AT925" s="68"/>
      <c r="AU925" s="68"/>
      <c r="AV925" s="68"/>
      <c r="AW925" s="68"/>
      <c r="AX925" s="68"/>
      <c r="AY925" s="68"/>
      <c r="AZ925" s="68"/>
      <c r="BA925" s="68"/>
      <c r="BB925" s="68"/>
      <c r="BC925" s="68"/>
      <c r="BD925" s="68"/>
      <c r="BE925" s="68"/>
      <c r="BF925" s="68"/>
      <c r="BG925" s="68"/>
      <c r="BH925" s="68"/>
      <c r="BI925" s="68"/>
      <c r="BJ925" s="68"/>
      <c r="BK925" s="68"/>
      <c r="BL925" s="68"/>
      <c r="BM925" s="68"/>
      <c r="BN925" s="68"/>
      <c r="BO925" s="68"/>
      <c r="BP925" s="68"/>
      <c r="BQ925" s="68"/>
      <c r="BR925" s="68"/>
      <c r="BS925" s="68"/>
      <c r="BT925" s="68"/>
      <c r="BU925" s="68"/>
      <c r="BV925" s="68"/>
      <c r="BW925" s="68"/>
      <c r="BX925" s="68"/>
      <c r="BY925" s="68"/>
      <c r="BZ925" s="68"/>
      <c r="CA925" s="68"/>
      <c r="CB925" s="68"/>
      <c r="CC925" s="68"/>
      <c r="CD925" s="68"/>
      <c r="CE925" s="68"/>
      <c r="CF925" s="68"/>
      <c r="CG925" s="68"/>
      <c r="CH925" s="68"/>
      <c r="CI925" s="68"/>
      <c r="CJ925" s="68"/>
      <c r="CK925" s="68"/>
      <c r="CL925" s="68"/>
      <c r="CM925" s="68"/>
      <c r="CN925" s="68"/>
      <c r="CO925" s="68"/>
      <c r="CP925" s="68"/>
      <c r="CQ925" s="68"/>
      <c r="CR925" s="68"/>
      <c r="CS925" s="68"/>
      <c r="CT925" s="68"/>
      <c r="CU925" s="68"/>
      <c r="CV925" s="68"/>
      <c r="CW925" s="68"/>
      <c r="CX925" s="68"/>
    </row>
    <row r="926" spans="4:102" s="71" customFormat="1" hidden="1">
      <c r="D926" s="105"/>
      <c r="E926" s="100"/>
      <c r="F926" s="100"/>
      <c r="G926" s="111"/>
      <c r="H926" s="105"/>
      <c r="I926" s="111"/>
      <c r="J926" s="111"/>
      <c r="K926" s="112"/>
      <c r="L926" s="113"/>
      <c r="M926" s="114"/>
      <c r="N926" s="100"/>
      <c r="O926" s="114"/>
      <c r="P926" s="65"/>
      <c r="Q926" s="103"/>
      <c r="R926" s="103"/>
      <c r="S926" s="103"/>
      <c r="T926" s="103"/>
      <c r="U926" s="68"/>
      <c r="V926" s="69"/>
      <c r="W926" s="68"/>
      <c r="X926" s="68"/>
      <c r="Y926" s="68"/>
      <c r="Z926" s="68"/>
      <c r="AA926" s="68"/>
      <c r="AB926" s="68"/>
      <c r="AC926" s="68"/>
      <c r="AD926" s="68"/>
      <c r="AE926" s="68"/>
      <c r="AF926" s="68"/>
      <c r="AG926" s="68"/>
      <c r="AH926" s="68"/>
      <c r="AI926" s="68"/>
      <c r="AJ926" s="68"/>
      <c r="AK926" s="68"/>
      <c r="AL926" s="68"/>
      <c r="AM926" s="68"/>
      <c r="AN926" s="68"/>
      <c r="AO926" s="68"/>
      <c r="AP926" s="68"/>
      <c r="AQ926" s="68"/>
      <c r="AR926" s="68"/>
      <c r="AS926" s="68"/>
      <c r="AT926" s="68"/>
      <c r="AU926" s="68"/>
      <c r="AV926" s="68"/>
      <c r="AW926" s="68"/>
      <c r="AX926" s="68"/>
      <c r="AY926" s="68"/>
      <c r="AZ926" s="68"/>
      <c r="BA926" s="68"/>
      <c r="BB926" s="68"/>
      <c r="BC926" s="68"/>
      <c r="BD926" s="68"/>
      <c r="BE926" s="68"/>
      <c r="BF926" s="68"/>
      <c r="BG926" s="68"/>
      <c r="BH926" s="68"/>
      <c r="BI926" s="68"/>
      <c r="BJ926" s="68"/>
      <c r="BK926" s="68"/>
      <c r="BL926" s="68"/>
      <c r="BM926" s="68"/>
      <c r="BN926" s="68"/>
      <c r="BO926" s="68"/>
      <c r="BP926" s="68"/>
      <c r="BQ926" s="68"/>
      <c r="BR926" s="68"/>
      <c r="BS926" s="68"/>
      <c r="BT926" s="68"/>
      <c r="BU926" s="68"/>
      <c r="BV926" s="68"/>
      <c r="BW926" s="68"/>
      <c r="BX926" s="68"/>
      <c r="BY926" s="68"/>
      <c r="BZ926" s="68"/>
      <c r="CA926" s="68"/>
      <c r="CB926" s="68"/>
      <c r="CC926" s="68"/>
      <c r="CD926" s="68"/>
      <c r="CE926" s="68"/>
      <c r="CF926" s="68"/>
      <c r="CG926" s="68"/>
      <c r="CH926" s="68"/>
      <c r="CI926" s="68"/>
      <c r="CJ926" s="68"/>
      <c r="CK926" s="68"/>
      <c r="CL926" s="68"/>
      <c r="CM926" s="68"/>
      <c r="CN926" s="68"/>
      <c r="CO926" s="68"/>
      <c r="CP926" s="68"/>
      <c r="CQ926" s="68"/>
      <c r="CR926" s="68"/>
      <c r="CS926" s="68"/>
      <c r="CT926" s="68"/>
      <c r="CU926" s="68"/>
      <c r="CV926" s="68"/>
      <c r="CW926" s="68"/>
      <c r="CX926" s="68"/>
    </row>
    <row r="927" spans="4:102" s="71" customFormat="1" hidden="1">
      <c r="D927" s="105"/>
      <c r="E927" s="100"/>
      <c r="F927" s="100"/>
      <c r="G927" s="111"/>
      <c r="H927" s="105"/>
      <c r="I927" s="111"/>
      <c r="J927" s="111"/>
      <c r="K927" s="112"/>
      <c r="L927" s="113"/>
      <c r="M927" s="114"/>
      <c r="N927" s="100"/>
      <c r="O927" s="114"/>
      <c r="P927" s="65"/>
      <c r="Q927" s="103"/>
      <c r="R927" s="103"/>
      <c r="S927" s="103"/>
      <c r="T927" s="103"/>
      <c r="U927" s="68"/>
      <c r="V927" s="69"/>
      <c r="W927" s="68"/>
      <c r="X927" s="68"/>
      <c r="Y927" s="68"/>
      <c r="Z927" s="68"/>
      <c r="AA927" s="68"/>
      <c r="AB927" s="68"/>
      <c r="AC927" s="68"/>
      <c r="AD927" s="68"/>
      <c r="AE927" s="68"/>
      <c r="AF927" s="68"/>
      <c r="AG927" s="68"/>
      <c r="AH927" s="68"/>
      <c r="AI927" s="68"/>
      <c r="AJ927" s="68"/>
      <c r="AK927" s="68"/>
      <c r="AL927" s="68"/>
      <c r="AM927" s="68"/>
      <c r="AN927" s="68"/>
      <c r="AO927" s="68"/>
      <c r="AP927" s="68"/>
      <c r="AQ927" s="68"/>
      <c r="AR927" s="68"/>
      <c r="AS927" s="68"/>
      <c r="AT927" s="68"/>
      <c r="AU927" s="68"/>
      <c r="AV927" s="68"/>
      <c r="AW927" s="68"/>
      <c r="AX927" s="68"/>
      <c r="AY927" s="68"/>
      <c r="AZ927" s="68"/>
      <c r="BA927" s="68"/>
      <c r="BB927" s="68"/>
      <c r="BC927" s="68"/>
      <c r="BD927" s="68"/>
      <c r="BE927" s="68"/>
      <c r="BF927" s="68"/>
      <c r="BG927" s="68"/>
      <c r="BH927" s="68"/>
      <c r="BI927" s="68"/>
      <c r="BJ927" s="68"/>
      <c r="BK927" s="68"/>
      <c r="BL927" s="68"/>
      <c r="BM927" s="68"/>
      <c r="BN927" s="68"/>
      <c r="BO927" s="68"/>
      <c r="BP927" s="68"/>
      <c r="BQ927" s="68"/>
      <c r="BR927" s="68"/>
      <c r="BS927" s="68"/>
      <c r="BT927" s="68"/>
      <c r="BU927" s="68"/>
      <c r="BV927" s="68"/>
      <c r="BW927" s="68"/>
      <c r="BX927" s="68"/>
      <c r="BY927" s="68"/>
      <c r="BZ927" s="68"/>
      <c r="CA927" s="68"/>
      <c r="CB927" s="68"/>
      <c r="CC927" s="68"/>
      <c r="CD927" s="68"/>
      <c r="CE927" s="68"/>
      <c r="CF927" s="68"/>
      <c r="CG927" s="68"/>
      <c r="CH927" s="68"/>
      <c r="CI927" s="68"/>
      <c r="CJ927" s="68"/>
      <c r="CK927" s="68"/>
      <c r="CL927" s="68"/>
      <c r="CM927" s="68"/>
      <c r="CN927" s="68"/>
      <c r="CO927" s="68"/>
      <c r="CP927" s="68"/>
      <c r="CQ927" s="68"/>
      <c r="CR927" s="68"/>
      <c r="CS927" s="68"/>
      <c r="CT927" s="68"/>
      <c r="CU927" s="68"/>
      <c r="CV927" s="68"/>
      <c r="CW927" s="68"/>
      <c r="CX927" s="68"/>
    </row>
    <row r="928" spans="4:102" s="71" customFormat="1" hidden="1">
      <c r="D928" s="105"/>
      <c r="E928" s="100"/>
      <c r="F928" s="100"/>
      <c r="G928" s="111"/>
      <c r="H928" s="105"/>
      <c r="I928" s="111"/>
      <c r="J928" s="111"/>
      <c r="K928" s="112"/>
      <c r="L928" s="113"/>
      <c r="M928" s="114"/>
      <c r="N928" s="100"/>
      <c r="O928" s="114"/>
      <c r="P928" s="65"/>
      <c r="Q928" s="103"/>
      <c r="R928" s="103"/>
      <c r="S928" s="103"/>
      <c r="T928" s="103"/>
      <c r="U928" s="68"/>
      <c r="V928" s="69"/>
      <c r="W928" s="68"/>
      <c r="X928" s="68"/>
      <c r="Y928" s="68"/>
      <c r="Z928" s="68"/>
      <c r="AA928" s="68"/>
      <c r="AB928" s="68"/>
      <c r="AC928" s="68"/>
      <c r="AD928" s="68"/>
      <c r="AE928" s="68"/>
      <c r="AF928" s="68"/>
      <c r="AG928" s="68"/>
      <c r="AH928" s="68"/>
      <c r="AI928" s="68"/>
      <c r="AJ928" s="68"/>
      <c r="AK928" s="68"/>
      <c r="AL928" s="68"/>
      <c r="AM928" s="68"/>
      <c r="AN928" s="68"/>
      <c r="AO928" s="68"/>
      <c r="AP928" s="68"/>
      <c r="AQ928" s="68"/>
      <c r="AR928" s="68"/>
      <c r="AS928" s="68"/>
      <c r="AT928" s="68"/>
      <c r="AU928" s="68"/>
      <c r="AV928" s="68"/>
      <c r="AW928" s="68"/>
      <c r="AX928" s="68"/>
      <c r="AY928" s="68"/>
      <c r="AZ928" s="68"/>
      <c r="BA928" s="68"/>
      <c r="BB928" s="68"/>
      <c r="BC928" s="68"/>
      <c r="BD928" s="68"/>
      <c r="BE928" s="68"/>
      <c r="BF928" s="68"/>
      <c r="BG928" s="68"/>
      <c r="BH928" s="68"/>
      <c r="BI928" s="68"/>
      <c r="BJ928" s="68"/>
      <c r="BK928" s="68"/>
      <c r="BL928" s="68"/>
      <c r="BM928" s="68"/>
      <c r="BN928" s="68"/>
      <c r="BO928" s="68"/>
      <c r="BP928" s="68"/>
      <c r="BQ928" s="68"/>
      <c r="BR928" s="68"/>
      <c r="BS928" s="68"/>
      <c r="BT928" s="68"/>
      <c r="BU928" s="68"/>
      <c r="BV928" s="68"/>
      <c r="BW928" s="68"/>
      <c r="BX928" s="68"/>
      <c r="BY928" s="68"/>
      <c r="BZ928" s="68"/>
      <c r="CA928" s="68"/>
      <c r="CB928" s="68"/>
      <c r="CC928" s="68"/>
      <c r="CD928" s="68"/>
      <c r="CE928" s="68"/>
      <c r="CF928" s="68"/>
      <c r="CG928" s="68"/>
      <c r="CH928" s="68"/>
      <c r="CI928" s="68"/>
      <c r="CJ928" s="68"/>
      <c r="CK928" s="68"/>
      <c r="CL928" s="68"/>
      <c r="CM928" s="68"/>
      <c r="CN928" s="68"/>
      <c r="CO928" s="68"/>
      <c r="CP928" s="68"/>
      <c r="CQ928" s="68"/>
      <c r="CR928" s="68"/>
      <c r="CS928" s="68"/>
      <c r="CT928" s="68"/>
      <c r="CU928" s="68"/>
      <c r="CV928" s="68"/>
      <c r="CW928" s="68"/>
      <c r="CX928" s="68"/>
    </row>
    <row r="929" spans="4:102" s="71" customFormat="1" hidden="1">
      <c r="D929" s="105"/>
      <c r="E929" s="100"/>
      <c r="F929" s="100"/>
      <c r="G929" s="111"/>
      <c r="H929" s="105"/>
      <c r="I929" s="111"/>
      <c r="J929" s="111"/>
      <c r="K929" s="112"/>
      <c r="L929" s="113"/>
      <c r="M929" s="114"/>
      <c r="N929" s="100"/>
      <c r="O929" s="114"/>
      <c r="P929" s="65"/>
      <c r="Q929" s="103"/>
      <c r="R929" s="103"/>
      <c r="S929" s="103"/>
      <c r="T929" s="103"/>
      <c r="U929" s="68"/>
      <c r="V929" s="69"/>
      <c r="W929" s="68"/>
      <c r="X929" s="68"/>
      <c r="Y929" s="68"/>
      <c r="Z929" s="68"/>
      <c r="AA929" s="68"/>
      <c r="AB929" s="68"/>
      <c r="AC929" s="68"/>
      <c r="AD929" s="68"/>
      <c r="AE929" s="68"/>
      <c r="AF929" s="68"/>
      <c r="AG929" s="68"/>
      <c r="AH929" s="68"/>
      <c r="AI929" s="68"/>
      <c r="AJ929" s="68"/>
      <c r="AK929" s="68"/>
      <c r="AL929" s="68"/>
      <c r="AM929" s="68"/>
      <c r="AN929" s="68"/>
      <c r="AO929" s="68"/>
      <c r="AP929" s="68"/>
      <c r="AQ929" s="68"/>
      <c r="AR929" s="68"/>
      <c r="AS929" s="68"/>
      <c r="AT929" s="68"/>
      <c r="AU929" s="68"/>
      <c r="AV929" s="68"/>
      <c r="AW929" s="68"/>
      <c r="AX929" s="68"/>
      <c r="AY929" s="68"/>
      <c r="AZ929" s="68"/>
      <c r="BA929" s="68"/>
      <c r="BB929" s="68"/>
      <c r="BC929" s="68"/>
      <c r="BD929" s="68"/>
      <c r="BE929" s="68"/>
      <c r="BF929" s="68"/>
      <c r="BG929" s="68"/>
      <c r="BH929" s="68"/>
      <c r="BI929" s="68"/>
      <c r="BJ929" s="68"/>
      <c r="BK929" s="68"/>
      <c r="BL929" s="68"/>
      <c r="BM929" s="68"/>
      <c r="BN929" s="68"/>
      <c r="BO929" s="68"/>
      <c r="BP929" s="68"/>
      <c r="BQ929" s="68"/>
      <c r="BR929" s="68"/>
      <c r="BS929" s="68"/>
      <c r="BT929" s="68"/>
      <c r="BU929" s="68"/>
      <c r="BV929" s="68"/>
      <c r="BW929" s="68"/>
      <c r="BX929" s="68"/>
      <c r="BY929" s="68"/>
      <c r="BZ929" s="68"/>
      <c r="CA929" s="68"/>
      <c r="CB929" s="68"/>
      <c r="CC929" s="68"/>
      <c r="CD929" s="68"/>
      <c r="CE929" s="68"/>
      <c r="CF929" s="68"/>
      <c r="CG929" s="68"/>
      <c r="CH929" s="68"/>
      <c r="CI929" s="68"/>
      <c r="CJ929" s="68"/>
      <c r="CK929" s="68"/>
      <c r="CL929" s="68"/>
      <c r="CM929" s="68"/>
      <c r="CN929" s="68"/>
      <c r="CO929" s="68"/>
      <c r="CP929" s="68"/>
      <c r="CQ929" s="68"/>
      <c r="CR929" s="68"/>
      <c r="CS929" s="68"/>
      <c r="CT929" s="68"/>
      <c r="CU929" s="68"/>
      <c r="CV929" s="68"/>
      <c r="CW929" s="68"/>
      <c r="CX929" s="68"/>
    </row>
    <row r="930" spans="4:102" s="71" customFormat="1" hidden="1">
      <c r="D930" s="105"/>
      <c r="E930" s="100"/>
      <c r="F930" s="100"/>
      <c r="G930" s="111"/>
      <c r="H930" s="105"/>
      <c r="I930" s="111"/>
      <c r="J930" s="111"/>
      <c r="K930" s="112"/>
      <c r="L930" s="113"/>
      <c r="M930" s="114"/>
      <c r="N930" s="100"/>
      <c r="O930" s="114"/>
      <c r="P930" s="65"/>
      <c r="Q930" s="103"/>
      <c r="R930" s="103"/>
      <c r="S930" s="103"/>
      <c r="T930" s="103"/>
      <c r="U930" s="68"/>
      <c r="V930" s="69"/>
      <c r="W930" s="68"/>
      <c r="X930" s="68"/>
      <c r="Y930" s="68"/>
      <c r="Z930" s="68"/>
      <c r="AA930" s="68"/>
      <c r="AB930" s="68"/>
      <c r="AC930" s="68"/>
      <c r="AD930" s="68"/>
      <c r="AE930" s="68"/>
      <c r="AF930" s="68"/>
      <c r="AG930" s="68"/>
      <c r="AH930" s="68"/>
      <c r="AI930" s="68"/>
      <c r="AJ930" s="68"/>
      <c r="AK930" s="68"/>
      <c r="AL930" s="68"/>
      <c r="AM930" s="68"/>
      <c r="AN930" s="68"/>
      <c r="AO930" s="68"/>
      <c r="AP930" s="68"/>
      <c r="AQ930" s="68"/>
      <c r="AR930" s="68"/>
      <c r="AS930" s="68"/>
      <c r="AT930" s="68"/>
      <c r="AU930" s="68"/>
      <c r="AV930" s="68"/>
      <c r="AW930" s="68"/>
      <c r="AX930" s="68"/>
      <c r="AY930" s="68"/>
      <c r="AZ930" s="68"/>
      <c r="BA930" s="68"/>
      <c r="BB930" s="68"/>
      <c r="BC930" s="68"/>
      <c r="BD930" s="68"/>
      <c r="BE930" s="68"/>
      <c r="BF930" s="68"/>
      <c r="BG930" s="68"/>
      <c r="BH930" s="68"/>
      <c r="BI930" s="68"/>
      <c r="BJ930" s="68"/>
      <c r="BK930" s="68"/>
      <c r="BL930" s="68"/>
      <c r="BM930" s="68"/>
      <c r="BN930" s="68"/>
      <c r="BO930" s="68"/>
      <c r="BP930" s="68"/>
      <c r="BQ930" s="68"/>
      <c r="BR930" s="68"/>
      <c r="BS930" s="68"/>
      <c r="BT930" s="68"/>
      <c r="BU930" s="68"/>
      <c r="BV930" s="68"/>
      <c r="BW930" s="68"/>
      <c r="BX930" s="68"/>
      <c r="BY930" s="68"/>
      <c r="BZ930" s="68"/>
      <c r="CA930" s="68"/>
      <c r="CB930" s="68"/>
      <c r="CC930" s="68"/>
      <c r="CD930" s="68"/>
      <c r="CE930" s="68"/>
      <c r="CF930" s="68"/>
      <c r="CG930" s="68"/>
      <c r="CH930" s="68"/>
      <c r="CI930" s="68"/>
      <c r="CJ930" s="68"/>
      <c r="CK930" s="68"/>
      <c r="CL930" s="68"/>
      <c r="CM930" s="68"/>
      <c r="CN930" s="68"/>
      <c r="CO930" s="68"/>
      <c r="CP930" s="68"/>
      <c r="CQ930" s="68"/>
      <c r="CR930" s="68"/>
      <c r="CS930" s="68"/>
      <c r="CT930" s="68"/>
      <c r="CU930" s="68"/>
      <c r="CV930" s="68"/>
      <c r="CW930" s="68"/>
      <c r="CX930" s="68"/>
    </row>
    <row r="931" spans="4:102" s="71" customFormat="1" hidden="1">
      <c r="D931" s="105"/>
      <c r="E931" s="100"/>
      <c r="F931" s="100"/>
      <c r="G931" s="111"/>
      <c r="H931" s="105"/>
      <c r="I931" s="111"/>
      <c r="J931" s="111"/>
      <c r="K931" s="112"/>
      <c r="L931" s="113"/>
      <c r="M931" s="114"/>
      <c r="N931" s="100"/>
      <c r="O931" s="114"/>
      <c r="P931" s="65"/>
      <c r="Q931" s="103"/>
      <c r="R931" s="103"/>
      <c r="S931" s="103"/>
      <c r="T931" s="103"/>
      <c r="U931" s="68"/>
      <c r="V931" s="69"/>
      <c r="W931" s="68"/>
      <c r="X931" s="68"/>
      <c r="Y931" s="68"/>
      <c r="Z931" s="68"/>
      <c r="AA931" s="68"/>
      <c r="AB931" s="68"/>
      <c r="AC931" s="68"/>
      <c r="AD931" s="68"/>
      <c r="AE931" s="68"/>
      <c r="AF931" s="68"/>
      <c r="AG931" s="68"/>
      <c r="AH931" s="68"/>
      <c r="AI931" s="68"/>
      <c r="AJ931" s="68"/>
      <c r="AK931" s="68"/>
      <c r="AL931" s="68"/>
      <c r="AM931" s="68"/>
      <c r="AN931" s="68"/>
      <c r="AO931" s="68"/>
      <c r="AP931" s="68"/>
      <c r="AQ931" s="68"/>
      <c r="AR931" s="68"/>
      <c r="AS931" s="68"/>
      <c r="AT931" s="68"/>
      <c r="AU931" s="68"/>
      <c r="AV931" s="68"/>
      <c r="AW931" s="68"/>
      <c r="AX931" s="68"/>
      <c r="AY931" s="68"/>
      <c r="AZ931" s="68"/>
      <c r="BA931" s="68"/>
      <c r="BB931" s="68"/>
      <c r="BC931" s="68"/>
      <c r="BD931" s="68"/>
      <c r="BE931" s="68"/>
      <c r="BF931" s="68"/>
      <c r="BG931" s="68"/>
      <c r="BH931" s="68"/>
      <c r="BI931" s="68"/>
      <c r="BJ931" s="68"/>
      <c r="BK931" s="68"/>
      <c r="BL931" s="68"/>
      <c r="BM931" s="68"/>
      <c r="BN931" s="68"/>
      <c r="BO931" s="68"/>
      <c r="BP931" s="68"/>
      <c r="BQ931" s="68"/>
      <c r="BR931" s="68"/>
      <c r="BS931" s="68"/>
      <c r="BT931" s="68"/>
      <c r="BU931" s="68"/>
      <c r="BV931" s="68"/>
      <c r="BW931" s="68"/>
      <c r="BX931" s="68"/>
      <c r="BY931" s="68"/>
      <c r="BZ931" s="68"/>
      <c r="CA931" s="68"/>
      <c r="CB931" s="68"/>
      <c r="CC931" s="68"/>
      <c r="CD931" s="68"/>
      <c r="CE931" s="68"/>
      <c r="CF931" s="68"/>
      <c r="CG931" s="68"/>
      <c r="CH931" s="68"/>
      <c r="CI931" s="68"/>
      <c r="CJ931" s="68"/>
      <c r="CK931" s="68"/>
      <c r="CL931" s="68"/>
      <c r="CM931" s="68"/>
      <c r="CN931" s="68"/>
      <c r="CO931" s="68"/>
      <c r="CP931" s="68"/>
      <c r="CQ931" s="68"/>
      <c r="CR931" s="68"/>
      <c r="CS931" s="68"/>
      <c r="CT931" s="68"/>
      <c r="CU931" s="68"/>
      <c r="CV931" s="68"/>
      <c r="CW931" s="68"/>
      <c r="CX931" s="68"/>
    </row>
    <row r="932" spans="4:102" s="71" customFormat="1" hidden="1">
      <c r="D932" s="105"/>
      <c r="E932" s="100"/>
      <c r="F932" s="100"/>
      <c r="G932" s="111"/>
      <c r="H932" s="105"/>
      <c r="I932" s="111"/>
      <c r="J932" s="111"/>
      <c r="K932" s="112"/>
      <c r="L932" s="113"/>
      <c r="M932" s="114"/>
      <c r="N932" s="100"/>
      <c r="O932" s="114"/>
      <c r="P932" s="65"/>
      <c r="Q932" s="103"/>
      <c r="R932" s="103"/>
      <c r="S932" s="103"/>
      <c r="T932" s="103"/>
      <c r="U932" s="68"/>
      <c r="V932" s="69"/>
      <c r="W932" s="68"/>
      <c r="X932" s="68"/>
      <c r="Y932" s="68"/>
      <c r="Z932" s="68"/>
      <c r="AA932" s="68"/>
      <c r="AB932" s="68"/>
      <c r="AC932" s="68"/>
      <c r="AD932" s="68"/>
      <c r="AE932" s="68"/>
      <c r="AF932" s="68"/>
      <c r="AG932" s="68"/>
      <c r="AH932" s="68"/>
      <c r="AI932" s="68"/>
      <c r="AJ932" s="68"/>
      <c r="AK932" s="68"/>
      <c r="AL932" s="68"/>
      <c r="AM932" s="68"/>
      <c r="AN932" s="68"/>
      <c r="AO932" s="68"/>
      <c r="AP932" s="68"/>
      <c r="AQ932" s="68"/>
      <c r="AR932" s="68"/>
      <c r="AS932" s="68"/>
      <c r="AT932" s="68"/>
      <c r="AU932" s="68"/>
      <c r="AV932" s="68"/>
      <c r="AW932" s="68"/>
      <c r="AX932" s="68"/>
      <c r="AY932" s="68"/>
      <c r="AZ932" s="68"/>
      <c r="BA932" s="68"/>
      <c r="BB932" s="68"/>
      <c r="BC932" s="68"/>
      <c r="BD932" s="68"/>
      <c r="BE932" s="68"/>
      <c r="BF932" s="68"/>
      <c r="BG932" s="68"/>
      <c r="BH932" s="68"/>
      <c r="BI932" s="68"/>
      <c r="BJ932" s="68"/>
      <c r="BK932" s="68"/>
      <c r="BL932" s="68"/>
      <c r="BM932" s="68"/>
      <c r="BN932" s="68"/>
      <c r="BO932" s="68"/>
      <c r="BP932" s="68"/>
      <c r="BQ932" s="68"/>
      <c r="BR932" s="68"/>
      <c r="BS932" s="68"/>
      <c r="BT932" s="68"/>
      <c r="BU932" s="68"/>
      <c r="BV932" s="68"/>
      <c r="BW932" s="68"/>
      <c r="BX932" s="68"/>
      <c r="BY932" s="68"/>
      <c r="BZ932" s="68"/>
      <c r="CA932" s="68"/>
      <c r="CB932" s="68"/>
      <c r="CC932" s="68"/>
      <c r="CD932" s="68"/>
      <c r="CE932" s="68"/>
      <c r="CF932" s="68"/>
      <c r="CG932" s="68"/>
      <c r="CH932" s="68"/>
      <c r="CI932" s="68"/>
      <c r="CJ932" s="68"/>
      <c r="CK932" s="68"/>
      <c r="CL932" s="68"/>
      <c r="CM932" s="68"/>
      <c r="CN932" s="68"/>
      <c r="CO932" s="68"/>
      <c r="CP932" s="68"/>
      <c r="CQ932" s="68"/>
      <c r="CR932" s="68"/>
      <c r="CS932" s="68"/>
      <c r="CT932" s="68"/>
      <c r="CU932" s="68"/>
      <c r="CV932" s="68"/>
      <c r="CW932" s="68"/>
      <c r="CX932" s="68"/>
    </row>
    <row r="933" spans="4:102" s="71" customFormat="1" hidden="1">
      <c r="D933" s="105"/>
      <c r="E933" s="100"/>
      <c r="F933" s="100"/>
      <c r="G933" s="111"/>
      <c r="H933" s="105"/>
      <c r="I933" s="111"/>
      <c r="J933" s="111"/>
      <c r="K933" s="112"/>
      <c r="L933" s="113"/>
      <c r="M933" s="114"/>
      <c r="N933" s="100"/>
      <c r="O933" s="114"/>
      <c r="P933" s="65"/>
      <c r="Q933" s="103"/>
      <c r="R933" s="103"/>
      <c r="S933" s="103"/>
      <c r="T933" s="103"/>
      <c r="U933" s="68"/>
      <c r="V933" s="69"/>
      <c r="W933" s="68"/>
      <c r="X933" s="68"/>
      <c r="Y933" s="68"/>
      <c r="Z933" s="68"/>
      <c r="AA933" s="68"/>
      <c r="AB933" s="68"/>
      <c r="AC933" s="68"/>
      <c r="AD933" s="68"/>
      <c r="AE933" s="68"/>
      <c r="AF933" s="68"/>
      <c r="AG933" s="68"/>
      <c r="AH933" s="68"/>
      <c r="AI933" s="68"/>
      <c r="AJ933" s="68"/>
      <c r="AK933" s="68"/>
      <c r="AL933" s="68"/>
      <c r="AM933" s="68"/>
      <c r="AN933" s="68"/>
      <c r="AO933" s="68"/>
      <c r="AP933" s="68"/>
      <c r="AQ933" s="68"/>
      <c r="AR933" s="68"/>
      <c r="AS933" s="68"/>
      <c r="AT933" s="68"/>
      <c r="AU933" s="68"/>
      <c r="AV933" s="68"/>
      <c r="AW933" s="68"/>
      <c r="AX933" s="68"/>
      <c r="AY933" s="68"/>
      <c r="AZ933" s="68"/>
      <c r="BA933" s="68"/>
      <c r="BB933" s="68"/>
      <c r="BC933" s="68"/>
      <c r="BD933" s="68"/>
      <c r="BE933" s="68"/>
      <c r="BF933" s="68"/>
      <c r="BG933" s="68"/>
      <c r="BH933" s="68"/>
      <c r="BI933" s="68"/>
      <c r="BJ933" s="68"/>
      <c r="BK933" s="68"/>
      <c r="BL933" s="68"/>
      <c r="BM933" s="68"/>
      <c r="BN933" s="68"/>
      <c r="BO933" s="68"/>
      <c r="BP933" s="68"/>
      <c r="BQ933" s="68"/>
      <c r="BR933" s="68"/>
      <c r="BS933" s="68"/>
      <c r="BT933" s="68"/>
      <c r="BU933" s="68"/>
      <c r="BV933" s="68"/>
      <c r="BW933" s="68"/>
      <c r="BX933" s="68"/>
      <c r="BY933" s="68"/>
      <c r="BZ933" s="68"/>
      <c r="CA933" s="68"/>
      <c r="CB933" s="68"/>
      <c r="CC933" s="68"/>
      <c r="CD933" s="68"/>
      <c r="CE933" s="68"/>
      <c r="CF933" s="68"/>
      <c r="CG933" s="68"/>
      <c r="CH933" s="68"/>
      <c r="CI933" s="68"/>
      <c r="CJ933" s="68"/>
      <c r="CK933" s="68"/>
      <c r="CL933" s="68"/>
      <c r="CM933" s="68"/>
      <c r="CN933" s="68"/>
      <c r="CO933" s="68"/>
      <c r="CP933" s="68"/>
      <c r="CQ933" s="68"/>
      <c r="CR933" s="68"/>
      <c r="CS933" s="68"/>
      <c r="CT933" s="68"/>
      <c r="CU933" s="68"/>
      <c r="CV933" s="68"/>
      <c r="CW933" s="68"/>
      <c r="CX933" s="68"/>
    </row>
    <row r="934" spans="4:102" s="71" customFormat="1" hidden="1">
      <c r="D934" s="105"/>
      <c r="E934" s="100"/>
      <c r="F934" s="100"/>
      <c r="G934" s="111"/>
      <c r="H934" s="105"/>
      <c r="I934" s="111"/>
      <c r="J934" s="111"/>
      <c r="K934" s="112"/>
      <c r="L934" s="113"/>
      <c r="M934" s="114"/>
      <c r="N934" s="100"/>
      <c r="O934" s="114"/>
      <c r="P934" s="65"/>
      <c r="Q934" s="103"/>
      <c r="R934" s="103"/>
      <c r="S934" s="103"/>
      <c r="T934" s="103"/>
      <c r="U934" s="68"/>
      <c r="V934" s="69"/>
      <c r="W934" s="68"/>
      <c r="X934" s="68"/>
      <c r="Y934" s="68"/>
      <c r="Z934" s="68"/>
      <c r="AA934" s="68"/>
      <c r="AB934" s="68"/>
      <c r="AC934" s="68"/>
      <c r="AD934" s="68"/>
      <c r="AE934" s="68"/>
      <c r="AF934" s="68"/>
      <c r="AG934" s="68"/>
      <c r="AH934" s="68"/>
      <c r="AI934" s="68"/>
      <c r="AJ934" s="68"/>
      <c r="AK934" s="68"/>
      <c r="AL934" s="68"/>
      <c r="AM934" s="68"/>
      <c r="AN934" s="68"/>
      <c r="AO934" s="68"/>
      <c r="AP934" s="68"/>
      <c r="AQ934" s="68"/>
      <c r="AR934" s="68"/>
      <c r="AS934" s="68"/>
      <c r="AT934" s="68"/>
      <c r="AU934" s="68"/>
      <c r="AV934" s="68"/>
      <c r="AW934" s="68"/>
      <c r="AX934" s="68"/>
      <c r="AY934" s="68"/>
      <c r="AZ934" s="68"/>
      <c r="BA934" s="68"/>
      <c r="BB934" s="68"/>
      <c r="BC934" s="68"/>
      <c r="BD934" s="68"/>
      <c r="BE934" s="68"/>
      <c r="BF934" s="68"/>
      <c r="BG934" s="68"/>
      <c r="BH934" s="68"/>
      <c r="BI934" s="68"/>
      <c r="BJ934" s="68"/>
      <c r="BK934" s="68"/>
      <c r="BL934" s="68"/>
      <c r="BM934" s="68"/>
      <c r="BN934" s="68"/>
      <c r="BO934" s="68"/>
      <c r="BP934" s="68"/>
      <c r="BQ934" s="68"/>
      <c r="BR934" s="68"/>
      <c r="BS934" s="68"/>
      <c r="BT934" s="68"/>
      <c r="BU934" s="68"/>
      <c r="BV934" s="68"/>
      <c r="BW934" s="68"/>
      <c r="BX934" s="68"/>
      <c r="BY934" s="68"/>
      <c r="BZ934" s="68"/>
      <c r="CA934" s="68"/>
      <c r="CB934" s="68"/>
      <c r="CC934" s="68"/>
      <c r="CD934" s="68"/>
      <c r="CE934" s="68"/>
      <c r="CF934" s="68"/>
      <c r="CG934" s="68"/>
      <c r="CH934" s="68"/>
      <c r="CI934" s="68"/>
      <c r="CJ934" s="68"/>
      <c r="CK934" s="68"/>
      <c r="CL934" s="68"/>
      <c r="CM934" s="68"/>
      <c r="CN934" s="68"/>
      <c r="CO934" s="68"/>
      <c r="CP934" s="68"/>
      <c r="CQ934" s="68"/>
      <c r="CR934" s="68"/>
      <c r="CS934" s="68"/>
      <c r="CT934" s="68"/>
      <c r="CU934" s="68"/>
      <c r="CV934" s="68"/>
      <c r="CW934" s="68"/>
      <c r="CX934" s="68"/>
    </row>
    <row r="935" spans="4:102" s="71" customFormat="1" hidden="1">
      <c r="D935" s="105"/>
      <c r="E935" s="100"/>
      <c r="F935" s="100"/>
      <c r="G935" s="111"/>
      <c r="H935" s="105"/>
      <c r="I935" s="111"/>
      <c r="J935" s="111"/>
      <c r="K935" s="112"/>
      <c r="L935" s="113"/>
      <c r="M935" s="114"/>
      <c r="N935" s="100"/>
      <c r="O935" s="114"/>
      <c r="P935" s="65"/>
      <c r="Q935" s="103"/>
      <c r="R935" s="103"/>
      <c r="S935" s="103"/>
      <c r="T935" s="103"/>
      <c r="U935" s="68"/>
      <c r="V935" s="69"/>
      <c r="W935" s="68"/>
      <c r="X935" s="68"/>
      <c r="Y935" s="68"/>
      <c r="Z935" s="68"/>
      <c r="AA935" s="68"/>
      <c r="AB935" s="68"/>
      <c r="AC935" s="68"/>
      <c r="AD935" s="68"/>
      <c r="AE935" s="68"/>
      <c r="AF935" s="68"/>
      <c r="AG935" s="68"/>
      <c r="AH935" s="68"/>
      <c r="AI935" s="68"/>
      <c r="AJ935" s="68"/>
      <c r="AK935" s="68"/>
      <c r="AL935" s="68"/>
      <c r="AM935" s="68"/>
      <c r="AN935" s="68"/>
      <c r="AO935" s="68"/>
      <c r="AP935" s="68"/>
      <c r="AQ935" s="68"/>
      <c r="AR935" s="68"/>
      <c r="AS935" s="68"/>
      <c r="AT935" s="68"/>
      <c r="AU935" s="68"/>
      <c r="AV935" s="68"/>
      <c r="AW935" s="68"/>
      <c r="AX935" s="68"/>
      <c r="AY935" s="68"/>
      <c r="AZ935" s="68"/>
      <c r="BA935" s="68"/>
      <c r="BB935" s="68"/>
      <c r="BC935" s="68"/>
      <c r="BD935" s="68"/>
      <c r="BE935" s="68"/>
      <c r="BF935" s="68"/>
      <c r="BG935" s="68"/>
      <c r="BH935" s="68"/>
      <c r="BI935" s="68"/>
      <c r="BJ935" s="68"/>
      <c r="BK935" s="68"/>
      <c r="BL935" s="68"/>
      <c r="BM935" s="68"/>
      <c r="BN935" s="68"/>
      <c r="BO935" s="68"/>
      <c r="BP935" s="68"/>
      <c r="BQ935" s="68"/>
      <c r="BR935" s="68"/>
      <c r="BS935" s="68"/>
      <c r="BT935" s="68"/>
      <c r="BU935" s="68"/>
      <c r="BV935" s="68"/>
      <c r="BW935" s="68"/>
      <c r="BX935" s="68"/>
      <c r="BY935" s="68"/>
      <c r="BZ935" s="68"/>
      <c r="CA935" s="68"/>
      <c r="CB935" s="68"/>
      <c r="CC935" s="68"/>
      <c r="CD935" s="68"/>
      <c r="CE935" s="68"/>
      <c r="CF935" s="68"/>
      <c r="CG935" s="68"/>
      <c r="CH935" s="68"/>
      <c r="CI935" s="68"/>
      <c r="CJ935" s="68"/>
      <c r="CK935" s="68"/>
      <c r="CL935" s="68"/>
      <c r="CM935" s="68"/>
      <c r="CN935" s="68"/>
      <c r="CO935" s="68"/>
      <c r="CP935" s="68"/>
      <c r="CQ935" s="68"/>
      <c r="CR935" s="68"/>
      <c r="CS935" s="68"/>
      <c r="CT935" s="68"/>
      <c r="CU935" s="68"/>
      <c r="CV935" s="68"/>
      <c r="CW935" s="68"/>
      <c r="CX935" s="68"/>
    </row>
    <row r="936" spans="4:102" s="71" customFormat="1" hidden="1">
      <c r="D936" s="105"/>
      <c r="E936" s="100"/>
      <c r="F936" s="100"/>
      <c r="G936" s="111"/>
      <c r="H936" s="105"/>
      <c r="I936" s="111"/>
      <c r="J936" s="111"/>
      <c r="K936" s="112"/>
      <c r="L936" s="113"/>
      <c r="M936" s="114"/>
      <c r="N936" s="100"/>
      <c r="O936" s="114"/>
      <c r="P936" s="65"/>
      <c r="Q936" s="103"/>
      <c r="R936" s="103"/>
      <c r="S936" s="103"/>
      <c r="T936" s="103"/>
      <c r="U936" s="68"/>
      <c r="V936" s="69"/>
      <c r="W936" s="68"/>
      <c r="X936" s="68"/>
      <c r="Y936" s="68"/>
      <c r="Z936" s="68"/>
      <c r="AA936" s="68"/>
      <c r="AB936" s="68"/>
      <c r="AC936" s="68"/>
      <c r="AD936" s="68"/>
      <c r="AE936" s="68"/>
      <c r="AF936" s="68"/>
      <c r="AG936" s="68"/>
      <c r="AH936" s="68"/>
      <c r="AI936" s="68"/>
      <c r="AJ936" s="68"/>
      <c r="AK936" s="68"/>
      <c r="AL936" s="68"/>
      <c r="AM936" s="68"/>
      <c r="AN936" s="68"/>
      <c r="AO936" s="68"/>
      <c r="AP936" s="68"/>
      <c r="AQ936" s="68"/>
      <c r="AR936" s="68"/>
      <c r="AS936" s="68"/>
      <c r="AT936" s="68"/>
      <c r="AU936" s="68"/>
      <c r="AV936" s="68"/>
      <c r="AW936" s="68"/>
      <c r="AX936" s="68"/>
      <c r="AY936" s="68"/>
      <c r="AZ936" s="68"/>
      <c r="BA936" s="68"/>
      <c r="BB936" s="68"/>
      <c r="BC936" s="68"/>
      <c r="BD936" s="68"/>
      <c r="BE936" s="68"/>
      <c r="BF936" s="68"/>
      <c r="BG936" s="68"/>
      <c r="BH936" s="68"/>
      <c r="BI936" s="68"/>
      <c r="BJ936" s="68"/>
      <c r="BK936" s="68"/>
      <c r="BL936" s="68"/>
      <c r="BM936" s="68"/>
      <c r="BN936" s="68"/>
      <c r="BO936" s="68"/>
      <c r="BP936" s="68"/>
      <c r="BQ936" s="68"/>
      <c r="BR936" s="68"/>
      <c r="BS936" s="68"/>
      <c r="BT936" s="68"/>
      <c r="BU936" s="68"/>
      <c r="BV936" s="68"/>
      <c r="BW936" s="68"/>
      <c r="BX936" s="68"/>
      <c r="BY936" s="68"/>
      <c r="BZ936" s="68"/>
      <c r="CA936" s="68"/>
      <c r="CB936" s="68"/>
      <c r="CC936" s="68"/>
      <c r="CD936" s="68"/>
      <c r="CE936" s="68"/>
      <c r="CF936" s="68"/>
      <c r="CG936" s="68"/>
      <c r="CH936" s="68"/>
      <c r="CI936" s="68"/>
      <c r="CJ936" s="68"/>
      <c r="CK936" s="68"/>
      <c r="CL936" s="68"/>
      <c r="CM936" s="68"/>
      <c r="CN936" s="68"/>
      <c r="CO936" s="68"/>
      <c r="CP936" s="68"/>
      <c r="CQ936" s="68"/>
      <c r="CR936" s="68"/>
      <c r="CS936" s="68"/>
      <c r="CT936" s="68"/>
      <c r="CU936" s="68"/>
      <c r="CV936" s="68"/>
      <c r="CW936" s="68"/>
      <c r="CX936" s="68"/>
    </row>
    <row r="937" spans="4:102" s="71" customFormat="1" hidden="1">
      <c r="D937" s="105"/>
      <c r="E937" s="100"/>
      <c r="F937" s="100"/>
      <c r="G937" s="111"/>
      <c r="H937" s="105"/>
      <c r="I937" s="111"/>
      <c r="J937" s="111"/>
      <c r="K937" s="112"/>
      <c r="L937" s="113"/>
      <c r="M937" s="114"/>
      <c r="N937" s="100"/>
      <c r="O937" s="114"/>
      <c r="P937" s="65"/>
      <c r="Q937" s="103"/>
      <c r="R937" s="103"/>
      <c r="S937" s="103"/>
      <c r="T937" s="103"/>
      <c r="U937" s="68"/>
      <c r="V937" s="69"/>
      <c r="W937" s="68"/>
      <c r="X937" s="68"/>
      <c r="Y937" s="68"/>
      <c r="Z937" s="68"/>
      <c r="AA937" s="68"/>
      <c r="AB937" s="68"/>
      <c r="AC937" s="68"/>
      <c r="AD937" s="68"/>
      <c r="AE937" s="68"/>
      <c r="AF937" s="68"/>
      <c r="AG937" s="68"/>
      <c r="AH937" s="68"/>
      <c r="AI937" s="68"/>
      <c r="AJ937" s="68"/>
      <c r="AK937" s="68"/>
      <c r="AL937" s="68"/>
      <c r="AM937" s="68"/>
      <c r="AN937" s="68"/>
      <c r="AO937" s="68"/>
      <c r="AP937" s="68"/>
      <c r="AQ937" s="68"/>
      <c r="AR937" s="68"/>
      <c r="AS937" s="68"/>
      <c r="AT937" s="68"/>
      <c r="AU937" s="68"/>
      <c r="AV937" s="68"/>
      <c r="AW937" s="68"/>
      <c r="AX937" s="68"/>
      <c r="AY937" s="68"/>
      <c r="AZ937" s="68"/>
      <c r="BA937" s="68"/>
      <c r="BB937" s="68"/>
      <c r="BC937" s="68"/>
      <c r="BD937" s="68"/>
      <c r="BE937" s="68"/>
      <c r="BF937" s="68"/>
      <c r="BG937" s="68"/>
      <c r="BH937" s="68"/>
      <c r="BI937" s="68"/>
      <c r="BJ937" s="68"/>
      <c r="BK937" s="68"/>
      <c r="BL937" s="68"/>
      <c r="BM937" s="68"/>
      <c r="BN937" s="68"/>
      <c r="BO937" s="68"/>
      <c r="BP937" s="68"/>
      <c r="BQ937" s="68"/>
      <c r="BR937" s="68"/>
      <c r="BS937" s="68"/>
      <c r="BT937" s="68"/>
      <c r="BU937" s="68"/>
      <c r="BV937" s="68"/>
      <c r="BW937" s="68"/>
      <c r="BX937" s="68"/>
      <c r="BY937" s="68"/>
      <c r="BZ937" s="68"/>
      <c r="CA937" s="68"/>
      <c r="CB937" s="68"/>
      <c r="CC937" s="68"/>
      <c r="CD937" s="68"/>
      <c r="CE937" s="68"/>
      <c r="CF937" s="68"/>
      <c r="CG937" s="68"/>
      <c r="CH937" s="68"/>
      <c r="CI937" s="68"/>
      <c r="CJ937" s="68"/>
      <c r="CK937" s="68"/>
      <c r="CL937" s="68"/>
      <c r="CM937" s="68"/>
      <c r="CN937" s="68"/>
      <c r="CO937" s="68"/>
      <c r="CP937" s="68"/>
      <c r="CQ937" s="68"/>
      <c r="CR937" s="68"/>
      <c r="CS937" s="68"/>
      <c r="CT937" s="68"/>
      <c r="CU937" s="68"/>
      <c r="CV937" s="68"/>
      <c r="CW937" s="68"/>
      <c r="CX937" s="68"/>
    </row>
    <row r="938" spans="4:102" s="71" customFormat="1" hidden="1">
      <c r="D938" s="105"/>
      <c r="E938" s="100"/>
      <c r="F938" s="100"/>
      <c r="G938" s="111"/>
      <c r="H938" s="105"/>
      <c r="I938" s="111"/>
      <c r="J938" s="111"/>
      <c r="K938" s="112"/>
      <c r="L938" s="113"/>
      <c r="M938" s="114"/>
      <c r="N938" s="100"/>
      <c r="O938" s="114"/>
      <c r="P938" s="65"/>
      <c r="Q938" s="103"/>
      <c r="R938" s="103"/>
      <c r="S938" s="103"/>
      <c r="T938" s="103"/>
      <c r="U938" s="68"/>
      <c r="V938" s="69"/>
      <c r="W938" s="68"/>
      <c r="X938" s="68"/>
      <c r="Y938" s="68"/>
      <c r="Z938" s="68"/>
      <c r="AA938" s="68"/>
      <c r="AB938" s="68"/>
      <c r="AC938" s="68"/>
      <c r="AD938" s="68"/>
      <c r="AE938" s="68"/>
      <c r="AF938" s="68"/>
      <c r="AG938" s="68"/>
      <c r="AH938" s="68"/>
      <c r="AI938" s="68"/>
      <c r="AJ938" s="68"/>
      <c r="AK938" s="68"/>
      <c r="AL938" s="68"/>
      <c r="AM938" s="68"/>
      <c r="AN938" s="68"/>
      <c r="AO938" s="68"/>
      <c r="AP938" s="68"/>
      <c r="AQ938" s="68"/>
      <c r="AR938" s="68"/>
      <c r="AS938" s="68"/>
      <c r="AT938" s="68"/>
      <c r="AU938" s="68"/>
      <c r="AV938" s="68"/>
      <c r="AW938" s="68"/>
      <c r="AX938" s="68"/>
      <c r="AY938" s="68"/>
      <c r="AZ938" s="68"/>
      <c r="BA938" s="68"/>
      <c r="BB938" s="68"/>
      <c r="BC938" s="68"/>
      <c r="BD938" s="68"/>
      <c r="BE938" s="68"/>
      <c r="BF938" s="68"/>
      <c r="BG938" s="68"/>
      <c r="BH938" s="68"/>
      <c r="BI938" s="68"/>
      <c r="BJ938" s="68"/>
      <c r="BK938" s="68"/>
      <c r="BL938" s="68"/>
      <c r="BM938" s="68"/>
      <c r="BN938" s="68"/>
      <c r="BO938" s="68"/>
      <c r="BP938" s="68"/>
      <c r="BQ938" s="68"/>
      <c r="BR938" s="68"/>
      <c r="BS938" s="68"/>
      <c r="BT938" s="68"/>
      <c r="BU938" s="68"/>
      <c r="BV938" s="68"/>
      <c r="BW938" s="68"/>
      <c r="BX938" s="68"/>
      <c r="BY938" s="68"/>
      <c r="BZ938" s="68"/>
      <c r="CA938" s="68"/>
      <c r="CB938" s="68"/>
      <c r="CC938" s="68"/>
      <c r="CD938" s="68"/>
      <c r="CE938" s="68"/>
      <c r="CF938" s="68"/>
      <c r="CG938" s="68"/>
      <c r="CH938" s="68"/>
      <c r="CI938" s="68"/>
      <c r="CJ938" s="68"/>
      <c r="CK938" s="68"/>
      <c r="CL938" s="68"/>
      <c r="CM938" s="68"/>
      <c r="CN938" s="68"/>
      <c r="CO938" s="68"/>
      <c r="CP938" s="68"/>
      <c r="CQ938" s="68"/>
      <c r="CR938" s="68"/>
      <c r="CS938" s="68"/>
      <c r="CT938" s="68"/>
      <c r="CU938" s="68"/>
      <c r="CV938" s="68"/>
      <c r="CW938" s="68"/>
      <c r="CX938" s="68"/>
    </row>
    <row r="939" spans="4:102" s="71" customFormat="1" hidden="1">
      <c r="D939" s="105"/>
      <c r="E939" s="100"/>
      <c r="F939" s="100"/>
      <c r="G939" s="111"/>
      <c r="H939" s="105"/>
      <c r="I939" s="111"/>
      <c r="J939" s="111"/>
      <c r="K939" s="112"/>
      <c r="L939" s="113"/>
      <c r="M939" s="114"/>
      <c r="N939" s="100"/>
      <c r="O939" s="114"/>
      <c r="P939" s="65"/>
      <c r="Q939" s="103"/>
      <c r="R939" s="103"/>
      <c r="S939" s="103"/>
      <c r="T939" s="103"/>
      <c r="U939" s="68"/>
      <c r="V939" s="69"/>
      <c r="W939" s="68"/>
      <c r="X939" s="68"/>
      <c r="Y939" s="68"/>
      <c r="Z939" s="68"/>
      <c r="AA939" s="68"/>
      <c r="AB939" s="68"/>
      <c r="AC939" s="68"/>
      <c r="AD939" s="68"/>
      <c r="AE939" s="68"/>
      <c r="AF939" s="68"/>
      <c r="AG939" s="68"/>
      <c r="AH939" s="68"/>
      <c r="AI939" s="68"/>
      <c r="AJ939" s="68"/>
      <c r="AK939" s="68"/>
      <c r="AL939" s="68"/>
      <c r="AM939" s="68"/>
      <c r="AN939" s="68"/>
      <c r="AO939" s="68"/>
      <c r="AP939" s="68"/>
      <c r="AQ939" s="68"/>
      <c r="AR939" s="68"/>
      <c r="AS939" s="68"/>
      <c r="AT939" s="68"/>
      <c r="AU939" s="68"/>
      <c r="AV939" s="68"/>
      <c r="AW939" s="68"/>
      <c r="AX939" s="68"/>
      <c r="AY939" s="68"/>
      <c r="AZ939" s="68"/>
      <c r="BA939" s="68"/>
      <c r="BB939" s="68"/>
      <c r="BC939" s="68"/>
      <c r="BD939" s="68"/>
      <c r="BE939" s="68"/>
      <c r="BF939" s="68"/>
      <c r="BG939" s="68"/>
      <c r="BH939" s="68"/>
      <c r="BI939" s="68"/>
      <c r="BJ939" s="68"/>
      <c r="BK939" s="68"/>
      <c r="BL939" s="68"/>
      <c r="BM939" s="68"/>
      <c r="BN939" s="68"/>
      <c r="BO939" s="68"/>
      <c r="BP939" s="68"/>
      <c r="BQ939" s="68"/>
      <c r="BR939" s="68"/>
      <c r="BS939" s="68"/>
      <c r="BT939" s="68"/>
      <c r="BU939" s="68"/>
      <c r="BV939" s="68"/>
      <c r="BW939" s="68"/>
      <c r="BX939" s="68"/>
      <c r="BY939" s="68"/>
      <c r="BZ939" s="68"/>
      <c r="CA939" s="68"/>
      <c r="CB939" s="68"/>
      <c r="CC939" s="68"/>
      <c r="CD939" s="68"/>
      <c r="CE939" s="68"/>
      <c r="CF939" s="68"/>
      <c r="CG939" s="68"/>
      <c r="CH939" s="68"/>
      <c r="CI939" s="68"/>
      <c r="CJ939" s="68"/>
      <c r="CK939" s="68"/>
      <c r="CL939" s="68"/>
      <c r="CM939" s="68"/>
      <c r="CN939" s="68"/>
      <c r="CO939" s="68"/>
      <c r="CP939" s="68"/>
      <c r="CQ939" s="68"/>
      <c r="CR939" s="68"/>
      <c r="CS939" s="68"/>
      <c r="CT939" s="68"/>
      <c r="CU939" s="68"/>
      <c r="CV939" s="68"/>
      <c r="CW939" s="68"/>
      <c r="CX939" s="68"/>
    </row>
    <row r="940" spans="4:102" s="71" customFormat="1" hidden="1">
      <c r="D940" s="105"/>
      <c r="E940" s="100"/>
      <c r="F940" s="100"/>
      <c r="G940" s="111"/>
      <c r="H940" s="105"/>
      <c r="I940" s="111"/>
      <c r="J940" s="111"/>
      <c r="K940" s="112"/>
      <c r="L940" s="113"/>
      <c r="M940" s="114"/>
      <c r="N940" s="100"/>
      <c r="O940" s="114"/>
      <c r="P940" s="65"/>
      <c r="Q940" s="103"/>
      <c r="R940" s="103"/>
      <c r="S940" s="103"/>
      <c r="T940" s="103"/>
      <c r="U940" s="68"/>
      <c r="V940" s="69"/>
      <c r="W940" s="68"/>
      <c r="X940" s="68"/>
      <c r="Y940" s="68"/>
      <c r="Z940" s="68"/>
      <c r="AA940" s="68"/>
      <c r="AB940" s="68"/>
      <c r="AC940" s="68"/>
      <c r="AD940" s="68"/>
      <c r="AE940" s="68"/>
      <c r="AF940" s="68"/>
      <c r="AG940" s="68"/>
      <c r="AH940" s="68"/>
      <c r="AI940" s="68"/>
      <c r="AJ940" s="68"/>
      <c r="AK940" s="68"/>
      <c r="AL940" s="68"/>
      <c r="AM940" s="68"/>
      <c r="AN940" s="68"/>
      <c r="AO940" s="68"/>
      <c r="AP940" s="68"/>
      <c r="AQ940" s="68"/>
      <c r="AR940" s="68"/>
      <c r="AS940" s="68"/>
      <c r="AT940" s="68"/>
      <c r="AU940" s="68"/>
      <c r="AV940" s="68"/>
      <c r="AW940" s="68"/>
      <c r="AX940" s="68"/>
      <c r="AY940" s="68"/>
      <c r="AZ940" s="68"/>
      <c r="BA940" s="68"/>
      <c r="BB940" s="68"/>
      <c r="BC940" s="68"/>
      <c r="BD940" s="68"/>
      <c r="BE940" s="68"/>
      <c r="BF940" s="68"/>
      <c r="BG940" s="68"/>
      <c r="BH940" s="68"/>
      <c r="BI940" s="68"/>
      <c r="BJ940" s="68"/>
      <c r="BK940" s="68"/>
      <c r="BL940" s="68"/>
      <c r="BM940" s="68"/>
      <c r="BN940" s="68"/>
      <c r="BO940" s="68"/>
      <c r="BP940" s="68"/>
      <c r="BQ940" s="68"/>
      <c r="BR940" s="68"/>
      <c r="BS940" s="68"/>
      <c r="BT940" s="68"/>
      <c r="BU940" s="68"/>
      <c r="BV940" s="68"/>
      <c r="BW940" s="68"/>
      <c r="BX940" s="68"/>
      <c r="BY940" s="68"/>
      <c r="BZ940" s="68"/>
      <c r="CA940" s="68"/>
      <c r="CB940" s="68"/>
      <c r="CC940" s="68"/>
      <c r="CD940" s="68"/>
      <c r="CE940" s="68"/>
      <c r="CF940" s="68"/>
      <c r="CG940" s="68"/>
      <c r="CH940" s="68"/>
      <c r="CI940" s="68"/>
      <c r="CJ940" s="68"/>
      <c r="CK940" s="68"/>
      <c r="CL940" s="68"/>
      <c r="CM940" s="68"/>
      <c r="CN940" s="68"/>
      <c r="CO940" s="68"/>
      <c r="CP940" s="68"/>
      <c r="CQ940" s="68"/>
      <c r="CR940" s="68"/>
      <c r="CS940" s="68"/>
      <c r="CT940" s="68"/>
      <c r="CU940" s="68"/>
      <c r="CV940" s="68"/>
      <c r="CW940" s="68"/>
      <c r="CX940" s="68"/>
    </row>
    <row r="941" spans="4:102" s="71" customFormat="1" hidden="1">
      <c r="D941" s="105"/>
      <c r="E941" s="100"/>
      <c r="F941" s="100"/>
      <c r="G941" s="111"/>
      <c r="H941" s="105"/>
      <c r="I941" s="111"/>
      <c r="J941" s="111"/>
      <c r="K941" s="112"/>
      <c r="L941" s="113"/>
      <c r="M941" s="114"/>
      <c r="N941" s="100"/>
      <c r="O941" s="114"/>
      <c r="P941" s="65"/>
      <c r="Q941" s="103"/>
      <c r="R941" s="103"/>
      <c r="S941" s="103"/>
      <c r="T941" s="103"/>
      <c r="U941" s="68"/>
      <c r="V941" s="69"/>
      <c r="W941" s="68"/>
      <c r="X941" s="68"/>
      <c r="Y941" s="68"/>
      <c r="Z941" s="68"/>
      <c r="AA941" s="68"/>
      <c r="AB941" s="68"/>
      <c r="AC941" s="68"/>
      <c r="AD941" s="68"/>
      <c r="AE941" s="68"/>
      <c r="AF941" s="68"/>
      <c r="AG941" s="68"/>
      <c r="AH941" s="68"/>
      <c r="AI941" s="68"/>
      <c r="AJ941" s="68"/>
      <c r="AK941" s="68"/>
      <c r="AL941" s="68"/>
      <c r="AM941" s="68"/>
      <c r="AN941" s="68"/>
      <c r="AO941" s="68"/>
      <c r="AP941" s="68"/>
      <c r="AQ941" s="68"/>
      <c r="AR941" s="68"/>
      <c r="AS941" s="68"/>
      <c r="AT941" s="68"/>
      <c r="AU941" s="68"/>
      <c r="AV941" s="68"/>
      <c r="AW941" s="68"/>
      <c r="AX941" s="68"/>
      <c r="AY941" s="68"/>
      <c r="AZ941" s="68"/>
      <c r="BA941" s="68"/>
      <c r="BB941" s="68"/>
      <c r="BC941" s="68"/>
      <c r="BD941" s="68"/>
      <c r="BE941" s="68"/>
      <c r="BF941" s="68"/>
      <c r="BG941" s="68"/>
      <c r="BH941" s="68"/>
      <c r="BI941" s="68"/>
      <c r="BJ941" s="68"/>
      <c r="BK941" s="68"/>
      <c r="BL941" s="68"/>
      <c r="BM941" s="68"/>
      <c r="BN941" s="68"/>
      <c r="BO941" s="68"/>
      <c r="BP941" s="68"/>
      <c r="BQ941" s="68"/>
      <c r="BR941" s="68"/>
      <c r="BS941" s="68"/>
      <c r="BT941" s="68"/>
      <c r="BU941" s="68"/>
      <c r="BV941" s="68"/>
      <c r="BW941" s="68"/>
      <c r="BX941" s="68"/>
      <c r="BY941" s="68"/>
      <c r="BZ941" s="68"/>
      <c r="CA941" s="68"/>
      <c r="CB941" s="68"/>
      <c r="CC941" s="68"/>
      <c r="CD941" s="68"/>
      <c r="CE941" s="68"/>
      <c r="CF941" s="68"/>
      <c r="CG941" s="68"/>
      <c r="CH941" s="68"/>
      <c r="CI941" s="68"/>
      <c r="CJ941" s="68"/>
      <c r="CK941" s="68"/>
      <c r="CL941" s="68"/>
      <c r="CM941" s="68"/>
      <c r="CN941" s="68"/>
      <c r="CO941" s="68"/>
      <c r="CP941" s="68"/>
      <c r="CQ941" s="68"/>
      <c r="CR941" s="68"/>
      <c r="CS941" s="68"/>
      <c r="CT941" s="68"/>
      <c r="CU941" s="68"/>
      <c r="CV941" s="68"/>
      <c r="CW941" s="68"/>
      <c r="CX941" s="68"/>
    </row>
    <row r="942" spans="4:102" s="71" customFormat="1" hidden="1">
      <c r="D942" s="105"/>
      <c r="E942" s="100"/>
      <c r="F942" s="100"/>
      <c r="G942" s="111"/>
      <c r="H942" s="105"/>
      <c r="I942" s="111"/>
      <c r="J942" s="111"/>
      <c r="K942" s="112"/>
      <c r="L942" s="113"/>
      <c r="M942" s="114"/>
      <c r="N942" s="100"/>
      <c r="O942" s="114"/>
      <c r="P942" s="65"/>
      <c r="Q942" s="103"/>
      <c r="R942" s="103"/>
      <c r="S942" s="103"/>
      <c r="T942" s="103"/>
      <c r="U942" s="68"/>
      <c r="V942" s="69"/>
      <c r="W942" s="68"/>
      <c r="X942" s="68"/>
      <c r="Y942" s="68"/>
      <c r="Z942" s="68"/>
      <c r="AA942" s="68"/>
      <c r="AB942" s="68"/>
      <c r="AC942" s="68"/>
      <c r="AD942" s="68"/>
      <c r="AE942" s="68"/>
      <c r="AF942" s="68"/>
      <c r="AG942" s="68"/>
      <c r="AH942" s="68"/>
      <c r="AI942" s="68"/>
      <c r="AJ942" s="68"/>
      <c r="AK942" s="68"/>
      <c r="AL942" s="68"/>
      <c r="AM942" s="68"/>
      <c r="AN942" s="68"/>
      <c r="AO942" s="68"/>
      <c r="AP942" s="68"/>
      <c r="AQ942" s="68"/>
      <c r="AR942" s="68"/>
      <c r="AS942" s="68"/>
      <c r="AT942" s="68"/>
      <c r="AU942" s="68"/>
      <c r="AV942" s="68"/>
      <c r="AW942" s="68"/>
      <c r="AX942" s="68"/>
      <c r="AY942" s="68"/>
      <c r="AZ942" s="68"/>
      <c r="BA942" s="68"/>
      <c r="BB942" s="68"/>
      <c r="BC942" s="68"/>
      <c r="BD942" s="68"/>
      <c r="BE942" s="68"/>
      <c r="BF942" s="68"/>
      <c r="BG942" s="68"/>
      <c r="BH942" s="68"/>
      <c r="BI942" s="68"/>
      <c r="BJ942" s="68"/>
      <c r="BK942" s="68"/>
      <c r="BL942" s="68"/>
      <c r="BM942" s="68"/>
      <c r="BN942" s="68"/>
      <c r="BO942" s="68"/>
      <c r="BP942" s="68"/>
      <c r="BQ942" s="68"/>
      <c r="BR942" s="68"/>
      <c r="BS942" s="68"/>
      <c r="BT942" s="68"/>
      <c r="BU942" s="68"/>
      <c r="BV942" s="68"/>
      <c r="BW942" s="68"/>
      <c r="BX942" s="68"/>
      <c r="BY942" s="68"/>
      <c r="BZ942" s="68"/>
      <c r="CA942" s="68"/>
      <c r="CB942" s="68"/>
      <c r="CC942" s="68"/>
      <c r="CD942" s="68"/>
      <c r="CE942" s="68"/>
      <c r="CF942" s="68"/>
      <c r="CG942" s="68"/>
      <c r="CH942" s="68"/>
      <c r="CI942" s="68"/>
      <c r="CJ942" s="68"/>
      <c r="CK942" s="68"/>
      <c r="CL942" s="68"/>
      <c r="CM942" s="68"/>
      <c r="CN942" s="68"/>
      <c r="CO942" s="68"/>
      <c r="CP942" s="68"/>
      <c r="CQ942" s="68"/>
      <c r="CR942" s="68"/>
      <c r="CS942" s="68"/>
      <c r="CT942" s="68"/>
      <c r="CU942" s="68"/>
      <c r="CV942" s="68"/>
      <c r="CW942" s="68"/>
      <c r="CX942" s="68"/>
    </row>
    <row r="943" spans="4:102" s="71" customFormat="1" hidden="1">
      <c r="D943" s="105"/>
      <c r="E943" s="100"/>
      <c r="F943" s="100"/>
      <c r="G943" s="111"/>
      <c r="H943" s="105"/>
      <c r="I943" s="111"/>
      <c r="J943" s="111"/>
      <c r="K943" s="112"/>
      <c r="L943" s="113"/>
      <c r="M943" s="114"/>
      <c r="N943" s="100"/>
      <c r="O943" s="114"/>
      <c r="P943" s="65"/>
      <c r="Q943" s="103"/>
      <c r="R943" s="103"/>
      <c r="S943" s="103"/>
      <c r="T943" s="103"/>
      <c r="U943" s="68"/>
      <c r="V943" s="69"/>
      <c r="W943" s="68"/>
      <c r="X943" s="68"/>
      <c r="Y943" s="68"/>
      <c r="Z943" s="68"/>
      <c r="AA943" s="68"/>
      <c r="AB943" s="68"/>
      <c r="AC943" s="68"/>
      <c r="AD943" s="68"/>
      <c r="AE943" s="68"/>
      <c r="AF943" s="68"/>
      <c r="AG943" s="68"/>
      <c r="AH943" s="68"/>
      <c r="AI943" s="68"/>
      <c r="AJ943" s="68"/>
      <c r="AK943" s="68"/>
      <c r="AL943" s="68"/>
      <c r="AM943" s="68"/>
      <c r="AN943" s="68"/>
      <c r="AO943" s="68"/>
      <c r="AP943" s="68"/>
      <c r="AQ943" s="68"/>
      <c r="AR943" s="68"/>
      <c r="AS943" s="68"/>
      <c r="AT943" s="68"/>
      <c r="AU943" s="68"/>
      <c r="AV943" s="68"/>
      <c r="AW943" s="68"/>
      <c r="AX943" s="68"/>
      <c r="AY943" s="68"/>
      <c r="AZ943" s="68"/>
      <c r="BA943" s="68"/>
      <c r="BB943" s="68"/>
      <c r="BC943" s="68"/>
      <c r="BD943" s="68"/>
      <c r="BE943" s="68"/>
      <c r="BF943" s="68"/>
      <c r="BG943" s="68"/>
      <c r="BH943" s="68"/>
      <c r="BI943" s="68"/>
      <c r="BJ943" s="68"/>
      <c r="BK943" s="68"/>
      <c r="BL943" s="68"/>
      <c r="BM943" s="68"/>
      <c r="BN943" s="68"/>
      <c r="BO943" s="68"/>
      <c r="BP943" s="68"/>
      <c r="BQ943" s="68"/>
      <c r="BR943" s="68"/>
      <c r="BS943" s="68"/>
      <c r="BT943" s="68"/>
      <c r="BU943" s="68"/>
      <c r="BV943" s="68"/>
      <c r="BW943" s="68"/>
      <c r="BX943" s="68"/>
      <c r="BY943" s="68"/>
      <c r="BZ943" s="68"/>
      <c r="CA943" s="68"/>
      <c r="CB943" s="68"/>
      <c r="CC943" s="68"/>
      <c r="CD943" s="68"/>
      <c r="CE943" s="68"/>
      <c r="CF943" s="68"/>
      <c r="CG943" s="68"/>
      <c r="CH943" s="68"/>
      <c r="CI943" s="68"/>
      <c r="CJ943" s="68"/>
      <c r="CK943" s="68"/>
      <c r="CL943" s="68"/>
      <c r="CM943" s="68"/>
      <c r="CN943" s="68"/>
      <c r="CO943" s="68"/>
      <c r="CP943" s="68"/>
      <c r="CQ943" s="68"/>
      <c r="CR943" s="68"/>
      <c r="CS943" s="68"/>
      <c r="CT943" s="68"/>
      <c r="CU943" s="68"/>
      <c r="CV943" s="68"/>
      <c r="CW943" s="68"/>
      <c r="CX943" s="68"/>
    </row>
    <row r="944" spans="4:102" s="71" customFormat="1" hidden="1">
      <c r="D944" s="105"/>
      <c r="E944" s="100"/>
      <c r="F944" s="100"/>
      <c r="G944" s="111"/>
      <c r="H944" s="105"/>
      <c r="I944" s="111"/>
      <c r="J944" s="111"/>
      <c r="K944" s="112"/>
      <c r="L944" s="113"/>
      <c r="M944" s="114"/>
      <c r="N944" s="100"/>
      <c r="O944" s="114"/>
      <c r="P944" s="65"/>
      <c r="Q944" s="103"/>
      <c r="R944" s="103"/>
      <c r="S944" s="103"/>
      <c r="T944" s="103"/>
      <c r="U944" s="68"/>
      <c r="V944" s="69"/>
      <c r="W944" s="68"/>
      <c r="X944" s="68"/>
      <c r="Y944" s="68"/>
      <c r="Z944" s="68"/>
      <c r="AA944" s="68"/>
      <c r="AB944" s="68"/>
      <c r="AC944" s="68"/>
      <c r="AD944" s="68"/>
      <c r="AE944" s="68"/>
      <c r="AF944" s="68"/>
      <c r="AG944" s="68"/>
      <c r="AH944" s="68"/>
      <c r="AI944" s="68"/>
      <c r="AJ944" s="68"/>
      <c r="AK944" s="68"/>
      <c r="AL944" s="68"/>
      <c r="AM944" s="68"/>
      <c r="AN944" s="68"/>
      <c r="AO944" s="68"/>
      <c r="AP944" s="68"/>
      <c r="AQ944" s="68"/>
      <c r="AR944" s="68"/>
      <c r="AS944" s="68"/>
      <c r="AT944" s="68"/>
      <c r="AU944" s="68"/>
      <c r="AV944" s="68"/>
      <c r="AW944" s="68"/>
      <c r="AX944" s="68"/>
      <c r="AY944" s="68"/>
      <c r="AZ944" s="68"/>
      <c r="BA944" s="68"/>
      <c r="BB944" s="68"/>
      <c r="BC944" s="68"/>
      <c r="BD944" s="68"/>
      <c r="BE944" s="68"/>
      <c r="BF944" s="68"/>
      <c r="BG944" s="68"/>
      <c r="BH944" s="68"/>
      <c r="BI944" s="68"/>
      <c r="BJ944" s="68"/>
      <c r="BK944" s="68"/>
      <c r="BL944" s="68"/>
      <c r="BM944" s="68"/>
      <c r="BN944" s="68"/>
      <c r="BO944" s="68"/>
      <c r="BP944" s="68"/>
      <c r="BQ944" s="68"/>
      <c r="BR944" s="68"/>
      <c r="BS944" s="68"/>
      <c r="BT944" s="68"/>
      <c r="BU944" s="68"/>
      <c r="BV944" s="68"/>
      <c r="BW944" s="68"/>
      <c r="BX944" s="68"/>
      <c r="BY944" s="68"/>
      <c r="BZ944" s="68"/>
      <c r="CA944" s="68"/>
      <c r="CB944" s="68"/>
      <c r="CC944" s="68"/>
      <c r="CD944" s="68"/>
      <c r="CE944" s="68"/>
      <c r="CF944" s="68"/>
      <c r="CG944" s="68"/>
      <c r="CH944" s="68"/>
      <c r="CI944" s="68"/>
      <c r="CJ944" s="68"/>
      <c r="CK944" s="68"/>
      <c r="CL944" s="68"/>
      <c r="CM944" s="68"/>
      <c r="CN944" s="68"/>
      <c r="CO944" s="68"/>
      <c r="CP944" s="68"/>
      <c r="CQ944" s="68"/>
      <c r="CR944" s="68"/>
      <c r="CS944" s="68"/>
      <c r="CT944" s="68"/>
      <c r="CU944" s="68"/>
      <c r="CV944" s="68"/>
      <c r="CW944" s="68"/>
      <c r="CX944" s="68"/>
    </row>
    <row r="945" spans="4:102" s="71" customFormat="1" hidden="1">
      <c r="D945" s="105"/>
      <c r="E945" s="100"/>
      <c r="F945" s="100"/>
      <c r="G945" s="111"/>
      <c r="H945" s="105"/>
      <c r="I945" s="111"/>
      <c r="J945" s="111"/>
      <c r="K945" s="112"/>
      <c r="L945" s="113"/>
      <c r="M945" s="114"/>
      <c r="N945" s="100"/>
      <c r="O945" s="114"/>
      <c r="P945" s="65"/>
      <c r="Q945" s="103"/>
      <c r="R945" s="103"/>
      <c r="S945" s="103"/>
      <c r="T945" s="103"/>
      <c r="U945" s="68"/>
      <c r="V945" s="69"/>
      <c r="W945" s="68"/>
      <c r="X945" s="68"/>
      <c r="Y945" s="68"/>
      <c r="Z945" s="68"/>
      <c r="AA945" s="68"/>
      <c r="AB945" s="68"/>
      <c r="AC945" s="68"/>
      <c r="AD945" s="68"/>
      <c r="AE945" s="68"/>
      <c r="AF945" s="68"/>
      <c r="AG945" s="68"/>
      <c r="AH945" s="68"/>
      <c r="AI945" s="68"/>
      <c r="AJ945" s="68"/>
      <c r="AK945" s="68"/>
      <c r="AL945" s="68"/>
      <c r="AM945" s="68"/>
      <c r="AN945" s="68"/>
      <c r="AO945" s="68"/>
      <c r="AP945" s="68"/>
      <c r="AQ945" s="68"/>
      <c r="AR945" s="68"/>
      <c r="AS945" s="68"/>
      <c r="AT945" s="68"/>
      <c r="AU945" s="68"/>
      <c r="AV945" s="68"/>
      <c r="AW945" s="68"/>
      <c r="AX945" s="68"/>
      <c r="AY945" s="68"/>
      <c r="AZ945" s="68"/>
      <c r="BA945" s="68"/>
      <c r="BB945" s="68"/>
      <c r="BC945" s="68"/>
      <c r="BD945" s="68"/>
      <c r="BE945" s="68"/>
      <c r="BF945" s="68"/>
      <c r="BG945" s="68"/>
      <c r="BH945" s="68"/>
      <c r="BI945" s="68"/>
      <c r="BJ945" s="68"/>
      <c r="BK945" s="68"/>
      <c r="BL945" s="68"/>
      <c r="BM945" s="68"/>
      <c r="BN945" s="68"/>
      <c r="BO945" s="68"/>
      <c r="BP945" s="68"/>
      <c r="BQ945" s="68"/>
      <c r="BR945" s="68"/>
      <c r="BS945" s="68"/>
      <c r="BT945" s="68"/>
      <c r="BU945" s="68"/>
      <c r="BV945" s="68"/>
      <c r="BW945" s="68"/>
      <c r="BX945" s="68"/>
      <c r="BY945" s="68"/>
      <c r="BZ945" s="68"/>
      <c r="CA945" s="68"/>
      <c r="CB945" s="68"/>
      <c r="CC945" s="68"/>
      <c r="CD945" s="68"/>
      <c r="CE945" s="68"/>
      <c r="CF945" s="68"/>
      <c r="CG945" s="68"/>
      <c r="CH945" s="68"/>
      <c r="CI945" s="68"/>
      <c r="CJ945" s="68"/>
      <c r="CK945" s="68"/>
      <c r="CL945" s="68"/>
      <c r="CM945" s="68"/>
      <c r="CN945" s="68"/>
      <c r="CO945" s="68"/>
      <c r="CP945" s="68"/>
      <c r="CQ945" s="68"/>
      <c r="CR945" s="68"/>
      <c r="CS945" s="68"/>
      <c r="CT945" s="68"/>
      <c r="CU945" s="68"/>
      <c r="CV945" s="68"/>
      <c r="CW945" s="68"/>
      <c r="CX945" s="68"/>
    </row>
    <row r="946" spans="4:102" s="71" customFormat="1" hidden="1">
      <c r="D946" s="105"/>
      <c r="E946" s="100"/>
      <c r="F946" s="100"/>
      <c r="G946" s="111"/>
      <c r="H946" s="105"/>
      <c r="I946" s="111"/>
      <c r="J946" s="111"/>
      <c r="K946" s="112"/>
      <c r="L946" s="113"/>
      <c r="M946" s="114"/>
      <c r="N946" s="100"/>
      <c r="O946" s="114"/>
      <c r="P946" s="65"/>
      <c r="Q946" s="103"/>
      <c r="R946" s="103"/>
      <c r="S946" s="103"/>
      <c r="T946" s="103"/>
      <c r="U946" s="68"/>
      <c r="V946" s="69"/>
      <c r="W946" s="68"/>
      <c r="X946" s="68"/>
      <c r="Y946" s="68"/>
      <c r="Z946" s="68"/>
      <c r="AA946" s="68"/>
      <c r="AB946" s="68"/>
      <c r="AC946" s="68"/>
      <c r="AD946" s="68"/>
      <c r="AE946" s="68"/>
      <c r="AF946" s="68"/>
      <c r="AG946" s="68"/>
      <c r="AH946" s="68"/>
      <c r="AI946" s="68"/>
      <c r="AJ946" s="68"/>
      <c r="AK946" s="68"/>
      <c r="AL946" s="68"/>
      <c r="AM946" s="68"/>
      <c r="AN946" s="68"/>
      <c r="AO946" s="68"/>
      <c r="AP946" s="68"/>
      <c r="AQ946" s="68"/>
      <c r="AR946" s="68"/>
      <c r="AS946" s="68"/>
      <c r="AT946" s="68"/>
      <c r="AU946" s="68"/>
      <c r="AV946" s="68"/>
      <c r="AW946" s="68"/>
      <c r="AX946" s="68"/>
      <c r="AY946" s="68"/>
      <c r="AZ946" s="68"/>
      <c r="BA946" s="68"/>
      <c r="BB946" s="68"/>
      <c r="BC946" s="68"/>
      <c r="BD946" s="68"/>
      <c r="BE946" s="68"/>
      <c r="BF946" s="68"/>
      <c r="BG946" s="68"/>
      <c r="BH946" s="68"/>
      <c r="BI946" s="68"/>
      <c r="BJ946" s="68"/>
      <c r="BK946" s="68"/>
      <c r="BL946" s="68"/>
      <c r="BM946" s="68"/>
      <c r="BN946" s="68"/>
      <c r="BO946" s="68"/>
      <c r="BP946" s="68"/>
      <c r="BQ946" s="68"/>
      <c r="BR946" s="68"/>
      <c r="BS946" s="68"/>
      <c r="BT946" s="68"/>
      <c r="BU946" s="68"/>
      <c r="BV946" s="68"/>
      <c r="BW946" s="68"/>
      <c r="BX946" s="68"/>
      <c r="BY946" s="68"/>
      <c r="BZ946" s="68"/>
      <c r="CA946" s="68"/>
      <c r="CB946" s="68"/>
      <c r="CC946" s="68"/>
      <c r="CD946" s="68"/>
      <c r="CE946" s="68"/>
      <c r="CF946" s="68"/>
      <c r="CG946" s="68"/>
      <c r="CH946" s="68"/>
      <c r="CI946" s="68"/>
      <c r="CJ946" s="68"/>
      <c r="CK946" s="68"/>
      <c r="CL946" s="68"/>
      <c r="CM946" s="68"/>
      <c r="CN946" s="68"/>
      <c r="CO946" s="68"/>
      <c r="CP946" s="68"/>
      <c r="CQ946" s="68"/>
      <c r="CR946" s="68"/>
      <c r="CS946" s="68"/>
      <c r="CT946" s="68"/>
      <c r="CU946" s="68"/>
      <c r="CV946" s="68"/>
      <c r="CW946" s="68"/>
      <c r="CX946" s="68"/>
    </row>
    <row r="947" spans="4:102" s="71" customFormat="1" hidden="1">
      <c r="D947" s="105"/>
      <c r="E947" s="100"/>
      <c r="F947" s="100"/>
      <c r="G947" s="111"/>
      <c r="H947" s="105"/>
      <c r="I947" s="111"/>
      <c r="J947" s="111"/>
      <c r="K947" s="112"/>
      <c r="L947" s="113"/>
      <c r="M947" s="114"/>
      <c r="N947" s="100"/>
      <c r="O947" s="114"/>
      <c r="P947" s="65"/>
      <c r="Q947" s="103"/>
      <c r="R947" s="103"/>
      <c r="S947" s="103"/>
      <c r="T947" s="103"/>
      <c r="U947" s="68"/>
      <c r="V947" s="69"/>
      <c r="W947" s="68"/>
      <c r="X947" s="68"/>
      <c r="Y947" s="68"/>
      <c r="Z947" s="68"/>
      <c r="AA947" s="68"/>
      <c r="AB947" s="68"/>
      <c r="AC947" s="68"/>
      <c r="AD947" s="68"/>
      <c r="AE947" s="68"/>
      <c r="AF947" s="68"/>
      <c r="AG947" s="68"/>
      <c r="AH947" s="68"/>
      <c r="AI947" s="68"/>
      <c r="AJ947" s="68"/>
      <c r="AK947" s="68"/>
      <c r="AL947" s="68"/>
      <c r="AM947" s="68"/>
      <c r="AN947" s="68"/>
      <c r="AO947" s="68"/>
      <c r="AP947" s="68"/>
      <c r="AQ947" s="68"/>
      <c r="AR947" s="68"/>
      <c r="AS947" s="68"/>
      <c r="AT947" s="68"/>
      <c r="AU947" s="68"/>
      <c r="AV947" s="68"/>
      <c r="AW947" s="68"/>
      <c r="AX947" s="68"/>
      <c r="AY947" s="68"/>
      <c r="AZ947" s="68"/>
      <c r="BA947" s="68"/>
      <c r="BB947" s="68"/>
      <c r="BC947" s="68"/>
      <c r="BD947" s="68"/>
      <c r="BE947" s="68"/>
      <c r="BF947" s="68"/>
      <c r="BG947" s="68"/>
      <c r="BH947" s="68"/>
      <c r="BI947" s="68"/>
      <c r="BJ947" s="68"/>
      <c r="BK947" s="68"/>
      <c r="BL947" s="68"/>
      <c r="BM947" s="68"/>
      <c r="BN947" s="68"/>
      <c r="BO947" s="68"/>
      <c r="BP947" s="68"/>
      <c r="BQ947" s="68"/>
      <c r="BR947" s="68"/>
      <c r="BS947" s="68"/>
      <c r="BT947" s="68"/>
      <c r="BU947" s="68"/>
      <c r="BV947" s="68"/>
      <c r="BW947" s="68"/>
      <c r="BX947" s="68"/>
      <c r="BY947" s="68"/>
      <c r="BZ947" s="68"/>
      <c r="CA947" s="68"/>
      <c r="CB947" s="68"/>
      <c r="CC947" s="68"/>
      <c r="CD947" s="68"/>
      <c r="CE947" s="68"/>
      <c r="CF947" s="68"/>
      <c r="CG947" s="68"/>
      <c r="CH947" s="68"/>
      <c r="CI947" s="68"/>
      <c r="CJ947" s="68"/>
      <c r="CK947" s="68"/>
      <c r="CL947" s="68"/>
      <c r="CM947" s="68"/>
      <c r="CN947" s="68"/>
      <c r="CO947" s="68"/>
      <c r="CP947" s="68"/>
      <c r="CQ947" s="68"/>
      <c r="CR947" s="68"/>
      <c r="CS947" s="68"/>
      <c r="CT947" s="68"/>
      <c r="CU947" s="68"/>
      <c r="CV947" s="68"/>
      <c r="CW947" s="68"/>
      <c r="CX947" s="68"/>
    </row>
    <row r="948" spans="4:102" s="71" customFormat="1" hidden="1">
      <c r="D948" s="105"/>
      <c r="E948" s="100"/>
      <c r="F948" s="100"/>
      <c r="G948" s="111"/>
      <c r="H948" s="105"/>
      <c r="I948" s="111"/>
      <c r="J948" s="111"/>
      <c r="K948" s="112"/>
      <c r="L948" s="113"/>
      <c r="M948" s="114"/>
      <c r="N948" s="100"/>
      <c r="O948" s="114"/>
      <c r="P948" s="65"/>
      <c r="Q948" s="103"/>
      <c r="R948" s="103"/>
      <c r="S948" s="103"/>
      <c r="T948" s="103"/>
      <c r="U948" s="68"/>
      <c r="V948" s="69"/>
      <c r="W948" s="68"/>
      <c r="X948" s="68"/>
      <c r="Y948" s="68"/>
      <c r="Z948" s="68"/>
      <c r="AA948" s="68"/>
      <c r="AB948" s="68"/>
      <c r="AC948" s="68"/>
      <c r="AD948" s="68"/>
      <c r="AE948" s="68"/>
      <c r="AF948" s="68"/>
      <c r="AG948" s="68"/>
      <c r="AH948" s="68"/>
      <c r="AI948" s="68"/>
      <c r="AJ948" s="68"/>
      <c r="AK948" s="68"/>
      <c r="AL948" s="68"/>
      <c r="AM948" s="68"/>
      <c r="AN948" s="68"/>
      <c r="AO948" s="68"/>
      <c r="AP948" s="68"/>
      <c r="AQ948" s="68"/>
      <c r="AR948" s="68"/>
      <c r="AS948" s="68"/>
      <c r="AT948" s="68"/>
      <c r="AU948" s="68"/>
      <c r="AV948" s="68"/>
      <c r="AW948" s="68"/>
      <c r="AX948" s="68"/>
      <c r="AY948" s="68"/>
      <c r="AZ948" s="68"/>
      <c r="BA948" s="68"/>
      <c r="BB948" s="68"/>
      <c r="BC948" s="68"/>
      <c r="BD948" s="68"/>
      <c r="BE948" s="68"/>
      <c r="BF948" s="68"/>
      <c r="BG948" s="68"/>
      <c r="BH948" s="68"/>
      <c r="BI948" s="68"/>
      <c r="BJ948" s="68"/>
      <c r="BK948" s="68"/>
      <c r="BL948" s="68"/>
      <c r="BM948" s="68"/>
      <c r="BN948" s="68"/>
      <c r="BO948" s="68"/>
      <c r="BP948" s="68"/>
      <c r="BQ948" s="68"/>
      <c r="BR948" s="68"/>
      <c r="BS948" s="68"/>
      <c r="BT948" s="68"/>
      <c r="BU948" s="68"/>
      <c r="BV948" s="68"/>
      <c r="BW948" s="68"/>
      <c r="BX948" s="68"/>
      <c r="BY948" s="68"/>
      <c r="BZ948" s="68"/>
      <c r="CA948" s="68"/>
      <c r="CB948" s="68"/>
      <c r="CC948" s="68"/>
      <c r="CD948" s="68"/>
      <c r="CE948" s="68"/>
      <c r="CF948" s="68"/>
      <c r="CG948" s="68"/>
      <c r="CH948" s="68"/>
      <c r="CI948" s="68"/>
      <c r="CJ948" s="68"/>
      <c r="CK948" s="68"/>
      <c r="CL948" s="68"/>
      <c r="CM948" s="68"/>
      <c r="CN948" s="68"/>
      <c r="CO948" s="68"/>
      <c r="CP948" s="68"/>
      <c r="CQ948" s="68"/>
      <c r="CR948" s="68"/>
      <c r="CS948" s="68"/>
      <c r="CT948" s="68"/>
      <c r="CU948" s="68"/>
      <c r="CV948" s="68"/>
      <c r="CW948" s="68"/>
      <c r="CX948" s="68"/>
    </row>
    <row r="949" spans="4:102" s="71" customFormat="1" hidden="1">
      <c r="D949" s="105"/>
      <c r="E949" s="100"/>
      <c r="F949" s="100"/>
      <c r="G949" s="111"/>
      <c r="H949" s="105"/>
      <c r="I949" s="111"/>
      <c r="J949" s="111"/>
      <c r="K949" s="112"/>
      <c r="L949" s="113"/>
      <c r="M949" s="114"/>
      <c r="N949" s="100"/>
      <c r="O949" s="114"/>
      <c r="P949" s="65"/>
      <c r="Q949" s="103"/>
      <c r="R949" s="103"/>
      <c r="S949" s="103"/>
      <c r="T949" s="103"/>
      <c r="U949" s="68"/>
      <c r="V949" s="69"/>
      <c r="W949" s="68"/>
      <c r="X949" s="68"/>
      <c r="Y949" s="68"/>
      <c r="Z949" s="68"/>
      <c r="AA949" s="68"/>
      <c r="AB949" s="68"/>
      <c r="AC949" s="68"/>
      <c r="AD949" s="68"/>
      <c r="AE949" s="68"/>
      <c r="AF949" s="68"/>
      <c r="AG949" s="68"/>
      <c r="AH949" s="68"/>
      <c r="AI949" s="68"/>
      <c r="AJ949" s="68"/>
      <c r="AK949" s="68"/>
      <c r="AL949" s="68"/>
      <c r="AM949" s="68"/>
      <c r="AN949" s="68"/>
      <c r="AO949" s="68"/>
      <c r="AP949" s="68"/>
      <c r="AQ949" s="68"/>
      <c r="AR949" s="68"/>
      <c r="AS949" s="68"/>
      <c r="AT949" s="68"/>
      <c r="AU949" s="68"/>
      <c r="AV949" s="68"/>
      <c r="AW949" s="68"/>
      <c r="AX949" s="68"/>
      <c r="AY949" s="68"/>
      <c r="AZ949" s="68"/>
      <c r="BA949" s="68"/>
      <c r="BB949" s="68"/>
      <c r="BC949" s="68"/>
      <c r="BD949" s="68"/>
      <c r="BE949" s="68"/>
      <c r="BF949" s="68"/>
      <c r="BG949" s="68"/>
      <c r="BH949" s="68"/>
      <c r="BI949" s="68"/>
      <c r="BJ949" s="68"/>
      <c r="BK949" s="68"/>
      <c r="BL949" s="68"/>
      <c r="BM949" s="68"/>
      <c r="BN949" s="68"/>
      <c r="BO949" s="68"/>
      <c r="BP949" s="68"/>
      <c r="BQ949" s="68"/>
      <c r="BR949" s="68"/>
      <c r="BS949" s="68"/>
      <c r="BT949" s="68"/>
      <c r="BU949" s="68"/>
      <c r="BV949" s="68"/>
      <c r="BW949" s="68"/>
      <c r="BX949" s="68"/>
      <c r="BY949" s="68"/>
      <c r="BZ949" s="68"/>
      <c r="CA949" s="68"/>
      <c r="CB949" s="68"/>
      <c r="CC949" s="68"/>
      <c r="CD949" s="68"/>
      <c r="CE949" s="68"/>
      <c r="CF949" s="68"/>
      <c r="CG949" s="68"/>
      <c r="CH949" s="68"/>
      <c r="CI949" s="68"/>
      <c r="CJ949" s="68"/>
      <c r="CK949" s="68"/>
      <c r="CL949" s="68"/>
      <c r="CM949" s="68"/>
      <c r="CN949" s="68"/>
      <c r="CO949" s="68"/>
      <c r="CP949" s="68"/>
      <c r="CQ949" s="68"/>
      <c r="CR949" s="68"/>
      <c r="CS949" s="68"/>
      <c r="CT949" s="68"/>
      <c r="CU949" s="68"/>
      <c r="CV949" s="68"/>
      <c r="CW949" s="68"/>
      <c r="CX949" s="68"/>
    </row>
    <row r="950" spans="4:102" s="71" customFormat="1" hidden="1">
      <c r="D950" s="105"/>
      <c r="E950" s="100"/>
      <c r="F950" s="100"/>
      <c r="G950" s="111"/>
      <c r="H950" s="105"/>
      <c r="I950" s="111"/>
      <c r="J950" s="111"/>
      <c r="K950" s="112"/>
      <c r="L950" s="113"/>
      <c r="M950" s="114"/>
      <c r="N950" s="100"/>
      <c r="O950" s="114"/>
      <c r="P950" s="65"/>
      <c r="Q950" s="103"/>
      <c r="R950" s="103"/>
      <c r="S950" s="103"/>
      <c r="T950" s="103"/>
      <c r="U950" s="68"/>
      <c r="V950" s="69"/>
      <c r="W950" s="68"/>
      <c r="X950" s="68"/>
      <c r="Y950" s="68"/>
      <c r="Z950" s="68"/>
      <c r="AA950" s="68"/>
      <c r="AB950" s="68"/>
      <c r="AC950" s="68"/>
      <c r="AD950" s="68"/>
      <c r="AE950" s="68"/>
      <c r="AF950" s="68"/>
      <c r="AG950" s="68"/>
      <c r="AH950" s="68"/>
      <c r="AI950" s="68"/>
      <c r="AJ950" s="68"/>
      <c r="AK950" s="68"/>
      <c r="AL950" s="68"/>
      <c r="AM950" s="68"/>
      <c r="AN950" s="68"/>
      <c r="AO950" s="68"/>
      <c r="AP950" s="68"/>
      <c r="AQ950" s="68"/>
      <c r="AR950" s="68"/>
      <c r="AS950" s="68"/>
      <c r="AT950" s="68"/>
      <c r="AU950" s="68"/>
      <c r="AV950" s="68"/>
      <c r="AW950" s="68"/>
      <c r="AX950" s="68"/>
      <c r="AY950" s="68"/>
      <c r="AZ950" s="68"/>
      <c r="BA950" s="68"/>
      <c r="BB950" s="68"/>
      <c r="BC950" s="68"/>
      <c r="BD950" s="68"/>
      <c r="BE950" s="68"/>
      <c r="BF950" s="68"/>
      <c r="BG950" s="68"/>
      <c r="BH950" s="68"/>
      <c r="BI950" s="68"/>
      <c r="BJ950" s="68"/>
      <c r="BK950" s="68"/>
      <c r="BL950" s="68"/>
      <c r="BM950" s="68"/>
      <c r="BN950" s="68"/>
      <c r="BO950" s="68"/>
      <c r="BP950" s="68"/>
      <c r="BQ950" s="68"/>
      <c r="BR950" s="68"/>
      <c r="BS950" s="68"/>
      <c r="BT950" s="68"/>
      <c r="BU950" s="68"/>
      <c r="BV950" s="68"/>
      <c r="BW950" s="68"/>
      <c r="BX950" s="68"/>
      <c r="BY950" s="68"/>
      <c r="BZ950" s="68"/>
      <c r="CA950" s="68"/>
      <c r="CB950" s="68"/>
      <c r="CC950" s="68"/>
      <c r="CD950" s="68"/>
      <c r="CE950" s="68"/>
      <c r="CF950" s="68"/>
      <c r="CG950" s="68"/>
      <c r="CH950" s="68"/>
      <c r="CI950" s="68"/>
      <c r="CJ950" s="68"/>
      <c r="CK950" s="68"/>
      <c r="CL950" s="68"/>
      <c r="CM950" s="68"/>
      <c r="CN950" s="68"/>
      <c r="CO950" s="68"/>
      <c r="CP950" s="68"/>
      <c r="CQ950" s="68"/>
      <c r="CR950" s="68"/>
      <c r="CS950" s="68"/>
      <c r="CT950" s="68"/>
      <c r="CU950" s="68"/>
      <c r="CV950" s="68"/>
      <c r="CW950" s="68"/>
      <c r="CX950" s="68"/>
    </row>
    <row r="951" spans="4:102" s="71" customFormat="1" hidden="1">
      <c r="D951" s="105"/>
      <c r="E951" s="100"/>
      <c r="F951" s="100"/>
      <c r="G951" s="111"/>
      <c r="H951" s="105"/>
      <c r="I951" s="111"/>
      <c r="J951" s="111"/>
      <c r="K951" s="112"/>
      <c r="L951" s="100"/>
      <c r="M951" s="100"/>
      <c r="N951" s="100">
        <v>3.8</v>
      </c>
      <c r="O951" s="114">
        <f>IF(AND(MONTH(D951)=1,DAY(D951)=1),0,N951+O950)</f>
        <v>3.8</v>
      </c>
      <c r="P951" s="65"/>
      <c r="Q951" s="103"/>
      <c r="R951" s="103"/>
      <c r="S951" s="103"/>
      <c r="T951" s="103"/>
      <c r="U951" s="68"/>
      <c r="V951" s="69"/>
      <c r="W951" s="68"/>
      <c r="X951" s="68"/>
      <c r="Y951" s="68"/>
      <c r="Z951" s="68"/>
      <c r="AA951" s="68"/>
      <c r="AB951" s="68"/>
      <c r="AC951" s="68"/>
      <c r="AD951" s="68"/>
      <c r="AE951" s="68"/>
      <c r="AF951" s="68"/>
      <c r="AG951" s="68"/>
      <c r="AH951" s="68"/>
      <c r="AI951" s="68"/>
      <c r="AJ951" s="68"/>
      <c r="AK951" s="68"/>
      <c r="AL951" s="68"/>
      <c r="AM951" s="68"/>
      <c r="AN951" s="68"/>
      <c r="AO951" s="68"/>
      <c r="AP951" s="68"/>
      <c r="AQ951" s="68"/>
      <c r="AR951" s="68"/>
      <c r="AS951" s="68"/>
      <c r="AT951" s="68"/>
      <c r="AU951" s="68"/>
      <c r="AV951" s="68"/>
      <c r="AW951" s="68"/>
      <c r="AX951" s="68"/>
      <c r="AY951" s="68"/>
      <c r="AZ951" s="68"/>
      <c r="BA951" s="68"/>
      <c r="BB951" s="68"/>
      <c r="BC951" s="68"/>
      <c r="BD951" s="68"/>
      <c r="BE951" s="68"/>
      <c r="BF951" s="68"/>
      <c r="BG951" s="68"/>
      <c r="BH951" s="68"/>
      <c r="BI951" s="68"/>
      <c r="BJ951" s="68"/>
      <c r="BK951" s="68"/>
      <c r="BL951" s="68"/>
      <c r="BM951" s="68"/>
      <c r="BN951" s="68"/>
      <c r="BO951" s="68"/>
      <c r="BP951" s="68"/>
      <c r="BQ951" s="68"/>
      <c r="BR951" s="68"/>
      <c r="BS951" s="68"/>
      <c r="BT951" s="68"/>
      <c r="BU951" s="68"/>
      <c r="BV951" s="68"/>
      <c r="BW951" s="68"/>
      <c r="BX951" s="68"/>
      <c r="BY951" s="68"/>
      <c r="BZ951" s="68"/>
      <c r="CA951" s="68"/>
      <c r="CB951" s="68"/>
      <c r="CC951" s="68"/>
      <c r="CD951" s="68"/>
      <c r="CE951" s="68"/>
      <c r="CF951" s="68"/>
      <c r="CG951" s="68"/>
      <c r="CH951" s="68"/>
      <c r="CI951" s="68"/>
      <c r="CJ951" s="68"/>
      <c r="CK951" s="68"/>
      <c r="CL951" s="68"/>
      <c r="CM951" s="68"/>
      <c r="CN951" s="68"/>
      <c r="CO951" s="68"/>
      <c r="CP951" s="68"/>
      <c r="CQ951" s="68"/>
      <c r="CR951" s="68"/>
      <c r="CS951" s="68"/>
      <c r="CT951" s="68"/>
      <c r="CU951" s="68"/>
      <c r="CV951" s="68"/>
      <c r="CW951" s="68"/>
      <c r="CX951" s="68"/>
    </row>
    <row r="952" spans="4:102" s="71" customFormat="1" hidden="1">
      <c r="D952" s="105"/>
      <c r="E952" s="111"/>
      <c r="F952" s="111"/>
      <c r="G952" s="111"/>
      <c r="H952" s="105"/>
      <c r="I952" s="111"/>
      <c r="J952" s="111"/>
      <c r="K952" s="112"/>
      <c r="L952" s="100"/>
      <c r="M952" s="100"/>
      <c r="N952" s="100"/>
      <c r="O952" s="100"/>
      <c r="P952" s="65"/>
      <c r="Q952" s="103"/>
      <c r="R952" s="103"/>
      <c r="S952" s="103"/>
      <c r="T952" s="103"/>
      <c r="U952" s="68"/>
      <c r="V952" s="69"/>
      <c r="W952" s="68"/>
      <c r="X952" s="68"/>
      <c r="Y952" s="68"/>
      <c r="Z952" s="68"/>
      <c r="AA952" s="68"/>
      <c r="AB952" s="68"/>
      <c r="AC952" s="68"/>
      <c r="AD952" s="68"/>
      <c r="AE952" s="68"/>
      <c r="AF952" s="68"/>
      <c r="AG952" s="68"/>
      <c r="AH952" s="68"/>
      <c r="AI952" s="68"/>
      <c r="AJ952" s="68"/>
      <c r="AK952" s="68"/>
      <c r="AL952" s="68"/>
      <c r="AM952" s="68"/>
      <c r="AN952" s="68"/>
      <c r="AO952" s="68"/>
      <c r="AP952" s="68"/>
      <c r="AQ952" s="68"/>
      <c r="AR952" s="68"/>
      <c r="AS952" s="68"/>
      <c r="AT952" s="68"/>
      <c r="AU952" s="68"/>
      <c r="AV952" s="68"/>
      <c r="AW952" s="68"/>
      <c r="AX952" s="68"/>
      <c r="AY952" s="68"/>
      <c r="AZ952" s="68"/>
      <c r="BA952" s="68"/>
      <c r="BB952" s="68"/>
      <c r="BC952" s="68"/>
      <c r="BD952" s="68"/>
      <c r="BE952" s="68"/>
      <c r="BF952" s="68"/>
      <c r="BG952" s="68"/>
      <c r="BH952" s="68"/>
      <c r="BI952" s="68"/>
      <c r="BJ952" s="68"/>
      <c r="BK952" s="68"/>
      <c r="BL952" s="68"/>
      <c r="BM952" s="68"/>
      <c r="BN952" s="68"/>
      <c r="BO952" s="68"/>
      <c r="BP952" s="68"/>
      <c r="BQ952" s="68"/>
      <c r="BR952" s="68"/>
      <c r="BS952" s="68"/>
      <c r="BT952" s="68"/>
      <c r="BU952" s="68"/>
      <c r="BV952" s="68"/>
      <c r="BW952" s="68"/>
      <c r="BX952" s="68"/>
      <c r="BY952" s="68"/>
      <c r="BZ952" s="68"/>
      <c r="CA952" s="68"/>
      <c r="CB952" s="68"/>
      <c r="CC952" s="68"/>
      <c r="CD952" s="68"/>
      <c r="CE952" s="68"/>
      <c r="CF952" s="68"/>
      <c r="CG952" s="68"/>
      <c r="CH952" s="68"/>
      <c r="CI952" s="68"/>
      <c r="CJ952" s="68"/>
      <c r="CK952" s="68"/>
      <c r="CL952" s="68"/>
      <c r="CM952" s="68"/>
      <c r="CN952" s="68"/>
      <c r="CO952" s="68"/>
      <c r="CP952" s="68"/>
      <c r="CQ952" s="68"/>
      <c r="CR952" s="68"/>
      <c r="CS952" s="68"/>
      <c r="CT952" s="68"/>
      <c r="CU952" s="68"/>
      <c r="CV952" s="68"/>
      <c r="CW952" s="68"/>
      <c r="CX952" s="68"/>
    </row>
    <row r="953" spans="4:102" s="71" customFormat="1" hidden="1">
      <c r="D953" s="105"/>
      <c r="E953" s="111"/>
      <c r="F953" s="111"/>
      <c r="G953" s="111"/>
      <c r="H953" s="105"/>
      <c r="I953" s="111"/>
      <c r="J953" s="111"/>
      <c r="K953" s="112"/>
      <c r="L953" s="100"/>
      <c r="M953" s="100"/>
      <c r="N953" s="100"/>
      <c r="O953" s="100"/>
      <c r="P953" s="65"/>
      <c r="Q953" s="103"/>
      <c r="R953" s="103"/>
      <c r="S953" s="103"/>
      <c r="T953" s="103"/>
      <c r="U953" s="68"/>
      <c r="V953" s="69"/>
      <c r="W953" s="68"/>
      <c r="X953" s="68"/>
      <c r="Y953" s="68"/>
      <c r="Z953" s="68"/>
      <c r="AA953" s="68"/>
      <c r="AB953" s="68"/>
      <c r="AC953" s="68"/>
      <c r="AD953" s="68"/>
      <c r="AE953" s="68"/>
      <c r="AF953" s="68"/>
      <c r="AG953" s="68"/>
      <c r="AH953" s="68"/>
      <c r="AI953" s="68"/>
      <c r="AJ953" s="68"/>
      <c r="AK953" s="68"/>
      <c r="AL953" s="68"/>
      <c r="AM953" s="68"/>
      <c r="AN953" s="68"/>
      <c r="AO953" s="68"/>
      <c r="AP953" s="68"/>
      <c r="AQ953" s="68"/>
      <c r="AR953" s="68"/>
      <c r="AS953" s="68"/>
      <c r="AT953" s="68"/>
      <c r="AU953" s="68"/>
      <c r="AV953" s="68"/>
      <c r="AW953" s="68"/>
      <c r="AX953" s="68"/>
      <c r="AY953" s="68"/>
      <c r="AZ953" s="68"/>
      <c r="BA953" s="68"/>
      <c r="BB953" s="68"/>
      <c r="BC953" s="68"/>
      <c r="BD953" s="68"/>
      <c r="BE953" s="68"/>
      <c r="BF953" s="68"/>
      <c r="BG953" s="68"/>
      <c r="BH953" s="68"/>
      <c r="BI953" s="68"/>
      <c r="BJ953" s="68"/>
      <c r="BK953" s="68"/>
      <c r="BL953" s="68"/>
      <c r="BM953" s="68"/>
      <c r="BN953" s="68"/>
      <c r="BO953" s="68"/>
      <c r="BP953" s="68"/>
      <c r="BQ953" s="68"/>
      <c r="BR953" s="68"/>
      <c r="BS953" s="68"/>
      <c r="BT953" s="68"/>
      <c r="BU953" s="68"/>
      <c r="BV953" s="68"/>
      <c r="BW953" s="68"/>
      <c r="BX953" s="68"/>
      <c r="BY953" s="68"/>
      <c r="BZ953" s="68"/>
      <c r="CA953" s="68"/>
      <c r="CB953" s="68"/>
      <c r="CC953" s="68"/>
      <c r="CD953" s="68"/>
      <c r="CE953" s="68"/>
      <c r="CF953" s="68"/>
      <c r="CG953" s="68"/>
      <c r="CH953" s="68"/>
      <c r="CI953" s="68"/>
      <c r="CJ953" s="68"/>
      <c r="CK953" s="68"/>
      <c r="CL953" s="68"/>
      <c r="CM953" s="68"/>
      <c r="CN953" s="68"/>
      <c r="CO953" s="68"/>
      <c r="CP953" s="68"/>
      <c r="CQ953" s="68"/>
      <c r="CR953" s="68"/>
      <c r="CS953" s="68"/>
      <c r="CT953" s="68"/>
      <c r="CU953" s="68"/>
      <c r="CV953" s="68"/>
      <c r="CW953" s="68"/>
      <c r="CX953" s="68"/>
    </row>
    <row r="954" spans="4:102" s="71" customFormat="1" hidden="1">
      <c r="D954" s="105"/>
      <c r="E954" s="111"/>
      <c r="F954" s="111"/>
      <c r="G954" s="111"/>
      <c r="H954" s="105"/>
      <c r="I954" s="111"/>
      <c r="J954" s="111"/>
      <c r="K954" s="112"/>
      <c r="L954" s="100"/>
      <c r="M954" s="100"/>
      <c r="N954" s="100"/>
      <c r="O954" s="100"/>
      <c r="P954" s="65"/>
      <c r="Q954" s="103"/>
      <c r="R954" s="103"/>
      <c r="S954" s="103"/>
      <c r="T954" s="103"/>
      <c r="U954" s="68"/>
      <c r="V954" s="69"/>
      <c r="W954" s="68"/>
      <c r="X954" s="68"/>
      <c r="Y954" s="68"/>
      <c r="Z954" s="68"/>
      <c r="AA954" s="68"/>
      <c r="AB954" s="68"/>
      <c r="AC954" s="68"/>
      <c r="AD954" s="68"/>
      <c r="AE954" s="68"/>
      <c r="AF954" s="68"/>
      <c r="AG954" s="68"/>
      <c r="AH954" s="68"/>
      <c r="AI954" s="68"/>
      <c r="AJ954" s="68"/>
      <c r="AK954" s="68"/>
      <c r="AL954" s="68"/>
      <c r="AM954" s="68"/>
      <c r="AN954" s="68"/>
      <c r="AO954" s="68"/>
      <c r="AP954" s="68"/>
      <c r="AQ954" s="68"/>
      <c r="AR954" s="68"/>
      <c r="AS954" s="68"/>
      <c r="AT954" s="68"/>
      <c r="AU954" s="68"/>
      <c r="AV954" s="68"/>
      <c r="AW954" s="68"/>
      <c r="AX954" s="68"/>
      <c r="AY954" s="68"/>
      <c r="AZ954" s="68"/>
      <c r="BA954" s="68"/>
      <c r="BB954" s="68"/>
      <c r="BC954" s="68"/>
      <c r="BD954" s="68"/>
      <c r="BE954" s="68"/>
      <c r="BF954" s="68"/>
      <c r="BG954" s="68"/>
      <c r="BH954" s="68"/>
      <c r="BI954" s="68"/>
      <c r="BJ954" s="68"/>
      <c r="BK954" s="68"/>
      <c r="BL954" s="68"/>
      <c r="BM954" s="68"/>
      <c r="BN954" s="68"/>
      <c r="BO954" s="68"/>
      <c r="BP954" s="68"/>
      <c r="BQ954" s="68"/>
      <c r="BR954" s="68"/>
      <c r="BS954" s="68"/>
      <c r="BT954" s="68"/>
      <c r="BU954" s="68"/>
      <c r="BV954" s="68"/>
      <c r="BW954" s="68"/>
      <c r="BX954" s="68"/>
      <c r="BY954" s="68"/>
      <c r="BZ954" s="68"/>
      <c r="CA954" s="68"/>
      <c r="CB954" s="68"/>
      <c r="CC954" s="68"/>
      <c r="CD954" s="68"/>
      <c r="CE954" s="68"/>
      <c r="CF954" s="68"/>
      <c r="CG954" s="68"/>
      <c r="CH954" s="68"/>
      <c r="CI954" s="68"/>
      <c r="CJ954" s="68"/>
      <c r="CK954" s="68"/>
      <c r="CL954" s="68"/>
      <c r="CM954" s="68"/>
      <c r="CN954" s="68"/>
      <c r="CO954" s="68"/>
      <c r="CP954" s="68"/>
      <c r="CQ954" s="68"/>
      <c r="CR954" s="68"/>
      <c r="CS954" s="68"/>
      <c r="CT954" s="68"/>
      <c r="CU954" s="68"/>
      <c r="CV954" s="68"/>
      <c r="CW954" s="68"/>
      <c r="CX954" s="68"/>
    </row>
    <row r="955" spans="4:102" s="71" customFormat="1" hidden="1">
      <c r="D955" s="105"/>
      <c r="E955" s="111"/>
      <c r="F955" s="111"/>
      <c r="G955" s="111"/>
      <c r="H955" s="105"/>
      <c r="I955" s="111"/>
      <c r="J955" s="111"/>
      <c r="K955" s="112"/>
      <c r="L955" s="100"/>
      <c r="M955" s="100"/>
      <c r="N955" s="100"/>
      <c r="O955" s="100"/>
      <c r="P955" s="65"/>
      <c r="Q955" s="103"/>
      <c r="R955" s="103"/>
      <c r="S955" s="103"/>
      <c r="T955" s="103"/>
      <c r="U955" s="68"/>
      <c r="V955" s="69"/>
      <c r="W955" s="68"/>
      <c r="X955" s="68"/>
      <c r="Y955" s="68"/>
      <c r="Z955" s="68"/>
      <c r="AA955" s="68"/>
      <c r="AB955" s="68"/>
      <c r="AC955" s="68"/>
      <c r="AD955" s="68"/>
      <c r="AE955" s="68"/>
      <c r="AF955" s="68"/>
      <c r="AG955" s="68"/>
      <c r="AH955" s="68"/>
      <c r="AI955" s="68"/>
      <c r="AJ955" s="68"/>
      <c r="AK955" s="68"/>
      <c r="AL955" s="68"/>
      <c r="AM955" s="68"/>
      <c r="AN955" s="68"/>
      <c r="AO955" s="68"/>
      <c r="AP955" s="68"/>
      <c r="AQ955" s="68"/>
      <c r="AR955" s="68"/>
      <c r="AS955" s="68"/>
      <c r="AT955" s="68"/>
      <c r="AU955" s="68"/>
      <c r="AV955" s="68"/>
      <c r="AW955" s="68"/>
      <c r="AX955" s="68"/>
      <c r="AY955" s="68"/>
      <c r="AZ955" s="68"/>
      <c r="BA955" s="68"/>
      <c r="BB955" s="68"/>
      <c r="BC955" s="68"/>
      <c r="BD955" s="68"/>
      <c r="BE955" s="68"/>
      <c r="BF955" s="68"/>
      <c r="BG955" s="68"/>
      <c r="BH955" s="68"/>
      <c r="BI955" s="68"/>
      <c r="BJ955" s="68"/>
      <c r="BK955" s="68"/>
      <c r="BL955" s="68"/>
      <c r="BM955" s="68"/>
      <c r="BN955" s="68"/>
      <c r="BO955" s="68"/>
      <c r="BP955" s="68"/>
      <c r="BQ955" s="68"/>
      <c r="BR955" s="68"/>
      <c r="BS955" s="68"/>
      <c r="BT955" s="68"/>
      <c r="BU955" s="68"/>
      <c r="BV955" s="68"/>
      <c r="BW955" s="68"/>
      <c r="BX955" s="68"/>
      <c r="BY955" s="68"/>
      <c r="BZ955" s="68"/>
      <c r="CA955" s="68"/>
      <c r="CB955" s="68"/>
      <c r="CC955" s="68"/>
      <c r="CD955" s="68"/>
      <c r="CE955" s="68"/>
      <c r="CF955" s="68"/>
      <c r="CG955" s="68"/>
      <c r="CH955" s="68"/>
      <c r="CI955" s="68"/>
      <c r="CJ955" s="68"/>
      <c r="CK955" s="68"/>
      <c r="CL955" s="68"/>
      <c r="CM955" s="68"/>
      <c r="CN955" s="68"/>
      <c r="CO955" s="68"/>
      <c r="CP955" s="68"/>
      <c r="CQ955" s="68"/>
      <c r="CR955" s="68"/>
      <c r="CS955" s="68"/>
      <c r="CT955" s="68"/>
      <c r="CU955" s="68"/>
      <c r="CV955" s="68"/>
      <c r="CW955" s="68"/>
      <c r="CX955" s="68"/>
    </row>
    <row r="956" spans="4:102" s="71" customFormat="1" hidden="1">
      <c r="D956" s="105"/>
      <c r="E956" s="111"/>
      <c r="F956" s="111"/>
      <c r="G956" s="111"/>
      <c r="H956" s="105"/>
      <c r="I956" s="111"/>
      <c r="J956" s="111"/>
      <c r="K956" s="112"/>
      <c r="L956" s="100"/>
      <c r="M956" s="100"/>
      <c r="N956" s="100"/>
      <c r="O956" s="100"/>
      <c r="P956" s="65"/>
      <c r="Q956" s="103"/>
      <c r="R956" s="103"/>
      <c r="S956" s="103"/>
      <c r="T956" s="103"/>
      <c r="U956" s="68"/>
      <c r="V956" s="69"/>
      <c r="W956" s="68"/>
      <c r="X956" s="68"/>
      <c r="Y956" s="68"/>
      <c r="Z956" s="68"/>
      <c r="AA956" s="68"/>
      <c r="AB956" s="68"/>
      <c r="AC956" s="68"/>
      <c r="AD956" s="68"/>
      <c r="AE956" s="68"/>
      <c r="AF956" s="68"/>
      <c r="AG956" s="68"/>
      <c r="AH956" s="68"/>
      <c r="AI956" s="68"/>
      <c r="AJ956" s="68"/>
      <c r="AK956" s="68"/>
      <c r="AL956" s="68"/>
      <c r="AM956" s="68"/>
      <c r="AN956" s="68"/>
      <c r="AO956" s="68"/>
      <c r="AP956" s="68"/>
      <c r="AQ956" s="68"/>
      <c r="AR956" s="68"/>
      <c r="AS956" s="68"/>
      <c r="AT956" s="68"/>
      <c r="AU956" s="68"/>
      <c r="AV956" s="68"/>
      <c r="AW956" s="68"/>
      <c r="AX956" s="68"/>
      <c r="AY956" s="68"/>
      <c r="AZ956" s="68"/>
      <c r="BA956" s="68"/>
      <c r="BB956" s="68"/>
      <c r="BC956" s="68"/>
      <c r="BD956" s="68"/>
      <c r="BE956" s="68"/>
      <c r="BF956" s="68"/>
      <c r="BG956" s="68"/>
      <c r="BH956" s="68"/>
      <c r="BI956" s="68"/>
      <c r="BJ956" s="68"/>
      <c r="BK956" s="68"/>
      <c r="BL956" s="68"/>
      <c r="BM956" s="68"/>
      <c r="BN956" s="68"/>
      <c r="BO956" s="68"/>
      <c r="BP956" s="68"/>
      <c r="BQ956" s="68"/>
      <c r="BR956" s="68"/>
      <c r="BS956" s="68"/>
      <c r="BT956" s="68"/>
      <c r="BU956" s="68"/>
      <c r="BV956" s="68"/>
      <c r="BW956" s="68"/>
      <c r="BX956" s="68"/>
      <c r="BY956" s="68"/>
      <c r="BZ956" s="68"/>
      <c r="CA956" s="68"/>
      <c r="CB956" s="68"/>
      <c r="CC956" s="68"/>
      <c r="CD956" s="68"/>
      <c r="CE956" s="68"/>
      <c r="CF956" s="68"/>
      <c r="CG956" s="68"/>
      <c r="CH956" s="68"/>
      <c r="CI956" s="68"/>
      <c r="CJ956" s="68"/>
      <c r="CK956" s="68"/>
      <c r="CL956" s="68"/>
      <c r="CM956" s="68"/>
      <c r="CN956" s="68"/>
      <c r="CO956" s="68"/>
      <c r="CP956" s="68"/>
      <c r="CQ956" s="68"/>
      <c r="CR956" s="68"/>
      <c r="CS956" s="68"/>
      <c r="CT956" s="68"/>
      <c r="CU956" s="68"/>
      <c r="CV956" s="68"/>
      <c r="CW956" s="68"/>
      <c r="CX956" s="68"/>
    </row>
    <row r="957" spans="4:102" s="71" customFormat="1" hidden="1">
      <c r="D957" s="105"/>
      <c r="E957" s="111"/>
      <c r="F957" s="111"/>
      <c r="G957" s="111"/>
      <c r="H957" s="105"/>
      <c r="I957" s="111"/>
      <c r="J957" s="111"/>
      <c r="K957" s="112"/>
      <c r="L957" s="100"/>
      <c r="M957" s="100"/>
      <c r="N957" s="100"/>
      <c r="O957" s="100"/>
      <c r="P957" s="65"/>
      <c r="Q957" s="103"/>
      <c r="R957" s="103"/>
      <c r="S957" s="103"/>
      <c r="T957" s="103"/>
      <c r="U957" s="68"/>
      <c r="V957" s="69"/>
      <c r="W957" s="68"/>
      <c r="X957" s="68"/>
      <c r="Y957" s="68"/>
      <c r="Z957" s="68"/>
      <c r="AA957" s="68"/>
      <c r="AB957" s="68"/>
      <c r="AC957" s="68"/>
      <c r="AD957" s="68"/>
      <c r="AE957" s="68"/>
      <c r="AF957" s="68"/>
      <c r="AG957" s="68"/>
      <c r="AH957" s="68"/>
      <c r="AI957" s="68"/>
      <c r="AJ957" s="68"/>
      <c r="AK957" s="68"/>
      <c r="AL957" s="68"/>
      <c r="AM957" s="68"/>
      <c r="AN957" s="68"/>
      <c r="AO957" s="68"/>
      <c r="AP957" s="68"/>
      <c r="AQ957" s="68"/>
      <c r="AR957" s="68"/>
      <c r="AS957" s="68"/>
      <c r="AT957" s="68"/>
      <c r="AU957" s="68"/>
      <c r="AV957" s="68"/>
      <c r="AW957" s="68"/>
      <c r="AX957" s="68"/>
      <c r="AY957" s="68"/>
      <c r="AZ957" s="68"/>
      <c r="BA957" s="68"/>
      <c r="BB957" s="68"/>
      <c r="BC957" s="68"/>
      <c r="BD957" s="68"/>
      <c r="BE957" s="68"/>
      <c r="BF957" s="68"/>
      <c r="BG957" s="68"/>
      <c r="BH957" s="68"/>
      <c r="BI957" s="68"/>
      <c r="BJ957" s="68"/>
      <c r="BK957" s="68"/>
      <c r="BL957" s="68"/>
      <c r="BM957" s="68"/>
      <c r="BN957" s="68"/>
      <c r="BO957" s="68"/>
      <c r="BP957" s="68"/>
      <c r="BQ957" s="68"/>
      <c r="BR957" s="68"/>
      <c r="BS957" s="68"/>
      <c r="BT957" s="68"/>
      <c r="BU957" s="68"/>
      <c r="BV957" s="68"/>
      <c r="BW957" s="68"/>
      <c r="BX957" s="68"/>
      <c r="BY957" s="68"/>
      <c r="BZ957" s="68"/>
      <c r="CA957" s="68"/>
      <c r="CB957" s="68"/>
      <c r="CC957" s="68"/>
      <c r="CD957" s="68"/>
      <c r="CE957" s="68"/>
      <c r="CF957" s="68"/>
      <c r="CG957" s="68"/>
      <c r="CH957" s="68"/>
      <c r="CI957" s="68"/>
      <c r="CJ957" s="68"/>
      <c r="CK957" s="68"/>
      <c r="CL957" s="68"/>
      <c r="CM957" s="68"/>
      <c r="CN957" s="68"/>
      <c r="CO957" s="68"/>
      <c r="CP957" s="68"/>
      <c r="CQ957" s="68"/>
      <c r="CR957" s="68"/>
      <c r="CS957" s="68"/>
      <c r="CT957" s="68"/>
      <c r="CU957" s="68"/>
      <c r="CV957" s="68"/>
      <c r="CW957" s="68"/>
      <c r="CX957" s="68"/>
    </row>
    <row r="958" spans="4:102" s="71" customFormat="1" hidden="1">
      <c r="D958" s="105"/>
      <c r="E958" s="111"/>
      <c r="F958" s="111"/>
      <c r="G958" s="111"/>
      <c r="H958" s="105"/>
      <c r="I958" s="111"/>
      <c r="J958" s="111"/>
      <c r="K958" s="112"/>
      <c r="L958" s="100"/>
      <c r="M958" s="100"/>
      <c r="N958" s="100"/>
      <c r="O958" s="100"/>
      <c r="P958" s="65"/>
      <c r="Q958" s="103"/>
      <c r="R958" s="103"/>
      <c r="S958" s="103"/>
      <c r="T958" s="103"/>
      <c r="U958" s="68"/>
      <c r="V958" s="69"/>
      <c r="W958" s="68"/>
      <c r="X958" s="68"/>
      <c r="Y958" s="68"/>
      <c r="Z958" s="68"/>
      <c r="AA958" s="68"/>
      <c r="AB958" s="68"/>
      <c r="AC958" s="68"/>
      <c r="AD958" s="68"/>
      <c r="AE958" s="68"/>
      <c r="AF958" s="68"/>
      <c r="AG958" s="68"/>
      <c r="AH958" s="68"/>
      <c r="AI958" s="68"/>
      <c r="AJ958" s="68"/>
      <c r="AK958" s="68"/>
      <c r="AL958" s="68"/>
      <c r="AM958" s="68"/>
      <c r="AN958" s="68"/>
      <c r="AO958" s="68"/>
      <c r="AP958" s="68"/>
      <c r="AQ958" s="68"/>
      <c r="AR958" s="68"/>
      <c r="AS958" s="68"/>
      <c r="AT958" s="68"/>
      <c r="AU958" s="68"/>
      <c r="AV958" s="68"/>
      <c r="AW958" s="68"/>
      <c r="AX958" s="68"/>
      <c r="AY958" s="68"/>
      <c r="AZ958" s="68"/>
      <c r="BA958" s="68"/>
      <c r="BB958" s="68"/>
      <c r="BC958" s="68"/>
      <c r="BD958" s="68"/>
      <c r="BE958" s="68"/>
      <c r="BF958" s="68"/>
      <c r="BG958" s="68"/>
      <c r="BH958" s="68"/>
      <c r="BI958" s="68"/>
      <c r="BJ958" s="68"/>
      <c r="BK958" s="68"/>
      <c r="BL958" s="68"/>
      <c r="BM958" s="68"/>
      <c r="BN958" s="68"/>
      <c r="BO958" s="68"/>
      <c r="BP958" s="68"/>
      <c r="BQ958" s="68"/>
      <c r="BR958" s="68"/>
      <c r="BS958" s="68"/>
      <c r="BT958" s="68"/>
      <c r="BU958" s="68"/>
      <c r="BV958" s="68"/>
      <c r="BW958" s="68"/>
      <c r="BX958" s="68"/>
      <c r="BY958" s="68"/>
      <c r="BZ958" s="68"/>
      <c r="CA958" s="68"/>
      <c r="CB958" s="68"/>
      <c r="CC958" s="68"/>
      <c r="CD958" s="68"/>
      <c r="CE958" s="68"/>
      <c r="CF958" s="68"/>
      <c r="CG958" s="68"/>
      <c r="CH958" s="68"/>
      <c r="CI958" s="68"/>
      <c r="CJ958" s="68"/>
      <c r="CK958" s="68"/>
      <c r="CL958" s="68"/>
      <c r="CM958" s="68"/>
      <c r="CN958" s="68"/>
      <c r="CO958" s="68"/>
      <c r="CP958" s="68"/>
      <c r="CQ958" s="68"/>
      <c r="CR958" s="68"/>
      <c r="CS958" s="68"/>
      <c r="CT958" s="68"/>
      <c r="CU958" s="68"/>
      <c r="CV958" s="68"/>
      <c r="CW958" s="68"/>
      <c r="CX958" s="68"/>
    </row>
    <row r="959" spans="4:102" s="71" customFormat="1" hidden="1">
      <c r="D959" s="105"/>
      <c r="E959" s="111"/>
      <c r="F959" s="111"/>
      <c r="G959" s="111"/>
      <c r="H959" s="105"/>
      <c r="I959" s="111"/>
      <c r="J959" s="111"/>
      <c r="K959" s="112"/>
      <c r="L959" s="100"/>
      <c r="M959" s="100"/>
      <c r="N959" s="100"/>
      <c r="O959" s="100"/>
      <c r="P959" s="65"/>
      <c r="Q959" s="103"/>
      <c r="R959" s="103"/>
      <c r="S959" s="103"/>
      <c r="T959" s="103"/>
      <c r="U959" s="68"/>
      <c r="V959" s="69"/>
      <c r="W959" s="68"/>
      <c r="X959" s="68"/>
      <c r="Y959" s="68"/>
      <c r="Z959" s="68"/>
      <c r="AA959" s="68"/>
      <c r="AB959" s="68"/>
      <c r="AC959" s="68"/>
      <c r="AD959" s="68"/>
      <c r="AE959" s="68"/>
      <c r="AF959" s="68"/>
      <c r="AG959" s="68"/>
      <c r="AH959" s="68"/>
      <c r="AI959" s="68"/>
      <c r="AJ959" s="68"/>
      <c r="AK959" s="68"/>
      <c r="AL959" s="68"/>
      <c r="AM959" s="68"/>
      <c r="AN959" s="68"/>
      <c r="AO959" s="68"/>
      <c r="AP959" s="68"/>
      <c r="AQ959" s="68"/>
      <c r="AR959" s="68"/>
      <c r="AS959" s="68"/>
      <c r="AT959" s="68"/>
      <c r="AU959" s="68"/>
      <c r="AV959" s="68"/>
      <c r="AW959" s="68"/>
      <c r="AX959" s="68"/>
      <c r="AY959" s="68"/>
      <c r="AZ959" s="68"/>
      <c r="BA959" s="68"/>
      <c r="BB959" s="68"/>
      <c r="BC959" s="68"/>
      <c r="BD959" s="68"/>
      <c r="BE959" s="68"/>
      <c r="BF959" s="68"/>
      <c r="BG959" s="68"/>
      <c r="BH959" s="68"/>
      <c r="BI959" s="68"/>
      <c r="BJ959" s="68"/>
      <c r="BK959" s="68"/>
      <c r="BL959" s="68"/>
      <c r="BM959" s="68"/>
      <c r="BN959" s="68"/>
      <c r="BO959" s="68"/>
      <c r="BP959" s="68"/>
      <c r="BQ959" s="68"/>
      <c r="BR959" s="68"/>
      <c r="BS959" s="68"/>
      <c r="BT959" s="68"/>
      <c r="BU959" s="68"/>
      <c r="BV959" s="68"/>
      <c r="BW959" s="68"/>
      <c r="BX959" s="68"/>
      <c r="BY959" s="68"/>
      <c r="BZ959" s="68"/>
      <c r="CA959" s="68"/>
      <c r="CB959" s="68"/>
      <c r="CC959" s="68"/>
      <c r="CD959" s="68"/>
      <c r="CE959" s="68"/>
      <c r="CF959" s="68"/>
      <c r="CG959" s="68"/>
      <c r="CH959" s="68"/>
      <c r="CI959" s="68"/>
      <c r="CJ959" s="68"/>
      <c r="CK959" s="68"/>
      <c r="CL959" s="68"/>
      <c r="CM959" s="68"/>
      <c r="CN959" s="68"/>
      <c r="CO959" s="68"/>
      <c r="CP959" s="68"/>
      <c r="CQ959" s="68"/>
      <c r="CR959" s="68"/>
      <c r="CS959" s="68"/>
      <c r="CT959" s="68"/>
      <c r="CU959" s="68"/>
      <c r="CV959" s="68"/>
      <c r="CW959" s="68"/>
      <c r="CX959" s="68"/>
    </row>
    <row r="960" spans="4:102" s="71" customFormat="1" hidden="1">
      <c r="D960" s="105"/>
      <c r="E960" s="111"/>
      <c r="F960" s="111"/>
      <c r="G960" s="111"/>
      <c r="H960" s="105"/>
      <c r="I960" s="111"/>
      <c r="J960" s="111"/>
      <c r="K960" s="112"/>
      <c r="L960" s="100"/>
      <c r="M960" s="100"/>
      <c r="N960" s="100"/>
      <c r="O960" s="100"/>
      <c r="P960" s="65"/>
      <c r="Q960" s="103"/>
      <c r="R960" s="103"/>
      <c r="S960" s="103"/>
      <c r="T960" s="103"/>
      <c r="U960" s="68"/>
      <c r="V960" s="69"/>
      <c r="W960" s="68"/>
      <c r="X960" s="68"/>
      <c r="Y960" s="68"/>
      <c r="Z960" s="68"/>
      <c r="AA960" s="68"/>
      <c r="AB960" s="68"/>
      <c r="AC960" s="68"/>
      <c r="AD960" s="68"/>
      <c r="AE960" s="68"/>
      <c r="AF960" s="68"/>
      <c r="AG960" s="68"/>
      <c r="AH960" s="68"/>
      <c r="AI960" s="68"/>
      <c r="AJ960" s="68"/>
      <c r="AK960" s="68"/>
      <c r="AL960" s="68"/>
      <c r="AM960" s="68"/>
      <c r="AN960" s="68"/>
      <c r="AO960" s="68"/>
      <c r="AP960" s="68"/>
      <c r="AQ960" s="68"/>
      <c r="AR960" s="68"/>
      <c r="AS960" s="68"/>
      <c r="AT960" s="68"/>
      <c r="AU960" s="68"/>
      <c r="AV960" s="68"/>
      <c r="AW960" s="68"/>
      <c r="AX960" s="68"/>
      <c r="AY960" s="68"/>
      <c r="AZ960" s="68"/>
      <c r="BA960" s="68"/>
      <c r="BB960" s="68"/>
      <c r="BC960" s="68"/>
      <c r="BD960" s="68"/>
      <c r="BE960" s="68"/>
      <c r="BF960" s="68"/>
      <c r="BG960" s="68"/>
      <c r="BH960" s="68"/>
      <c r="BI960" s="68"/>
      <c r="BJ960" s="68"/>
      <c r="BK960" s="68"/>
      <c r="BL960" s="68"/>
      <c r="BM960" s="68"/>
      <c r="BN960" s="68"/>
      <c r="BO960" s="68"/>
      <c r="BP960" s="68"/>
      <c r="BQ960" s="68"/>
      <c r="BR960" s="68"/>
      <c r="BS960" s="68"/>
      <c r="BT960" s="68"/>
      <c r="BU960" s="68"/>
      <c r="BV960" s="68"/>
      <c r="BW960" s="68"/>
      <c r="BX960" s="68"/>
      <c r="BY960" s="68"/>
      <c r="BZ960" s="68"/>
      <c r="CA960" s="68"/>
      <c r="CB960" s="68"/>
      <c r="CC960" s="68"/>
      <c r="CD960" s="68"/>
      <c r="CE960" s="68"/>
      <c r="CF960" s="68"/>
      <c r="CG960" s="68"/>
      <c r="CH960" s="68"/>
      <c r="CI960" s="68"/>
      <c r="CJ960" s="68"/>
      <c r="CK960" s="68"/>
      <c r="CL960" s="68"/>
      <c r="CM960" s="68"/>
      <c r="CN960" s="68"/>
      <c r="CO960" s="68"/>
      <c r="CP960" s="68"/>
      <c r="CQ960" s="68"/>
      <c r="CR960" s="68"/>
      <c r="CS960" s="68"/>
      <c r="CT960" s="68"/>
      <c r="CU960" s="68"/>
      <c r="CV960" s="68"/>
      <c r="CW960" s="68"/>
      <c r="CX960" s="68"/>
    </row>
    <row r="961" spans="4:102" s="71" customFormat="1" hidden="1">
      <c r="D961" s="105"/>
      <c r="E961" s="111"/>
      <c r="F961" s="111"/>
      <c r="G961" s="111"/>
      <c r="H961" s="105"/>
      <c r="I961" s="111"/>
      <c r="J961" s="111"/>
      <c r="K961" s="112"/>
      <c r="L961" s="100"/>
      <c r="M961" s="100"/>
      <c r="N961" s="100"/>
      <c r="O961" s="100"/>
      <c r="P961" s="65"/>
      <c r="Q961" s="103"/>
      <c r="R961" s="103"/>
      <c r="S961" s="103"/>
      <c r="T961" s="103"/>
      <c r="U961" s="68"/>
      <c r="V961" s="69"/>
      <c r="W961" s="68"/>
      <c r="X961" s="68"/>
      <c r="Y961" s="68"/>
      <c r="Z961" s="68"/>
      <c r="AA961" s="68"/>
      <c r="AB961" s="68"/>
      <c r="AC961" s="68"/>
      <c r="AD961" s="68"/>
      <c r="AE961" s="68"/>
      <c r="AF961" s="68"/>
      <c r="AG961" s="68"/>
      <c r="AH961" s="68"/>
      <c r="AI961" s="68"/>
      <c r="AJ961" s="68"/>
      <c r="AK961" s="68"/>
      <c r="AL961" s="68"/>
      <c r="AM961" s="68"/>
      <c r="AN961" s="68"/>
      <c r="AO961" s="68"/>
      <c r="AP961" s="68"/>
      <c r="AQ961" s="68"/>
      <c r="AR961" s="68"/>
      <c r="AS961" s="68"/>
      <c r="AT961" s="68"/>
      <c r="AU961" s="68"/>
      <c r="AV961" s="68"/>
      <c r="AW961" s="68"/>
      <c r="AX961" s="68"/>
      <c r="AY961" s="68"/>
      <c r="AZ961" s="68"/>
      <c r="BA961" s="68"/>
      <c r="BB961" s="68"/>
      <c r="BC961" s="68"/>
      <c r="BD961" s="68"/>
      <c r="BE961" s="68"/>
      <c r="BF961" s="68"/>
      <c r="BG961" s="68"/>
      <c r="BH961" s="68"/>
      <c r="BI961" s="68"/>
      <c r="BJ961" s="68"/>
      <c r="BK961" s="68"/>
      <c r="BL961" s="68"/>
      <c r="BM961" s="68"/>
      <c r="BN961" s="68"/>
      <c r="BO961" s="68"/>
      <c r="BP961" s="68"/>
      <c r="BQ961" s="68"/>
      <c r="BR961" s="68"/>
      <c r="BS961" s="68"/>
      <c r="BT961" s="68"/>
      <c r="BU961" s="68"/>
      <c r="BV961" s="68"/>
      <c r="BW961" s="68"/>
      <c r="BX961" s="68"/>
      <c r="BY961" s="68"/>
      <c r="BZ961" s="68"/>
      <c r="CA961" s="68"/>
      <c r="CB961" s="68"/>
      <c r="CC961" s="68"/>
      <c r="CD961" s="68"/>
      <c r="CE961" s="68"/>
      <c r="CF961" s="68"/>
      <c r="CG961" s="68"/>
      <c r="CH961" s="68"/>
      <c r="CI961" s="68"/>
      <c r="CJ961" s="68"/>
      <c r="CK961" s="68"/>
      <c r="CL961" s="68"/>
      <c r="CM961" s="68"/>
      <c r="CN961" s="68"/>
      <c r="CO961" s="68"/>
      <c r="CP961" s="68"/>
      <c r="CQ961" s="68"/>
      <c r="CR961" s="68"/>
      <c r="CS961" s="68"/>
      <c r="CT961" s="68"/>
      <c r="CU961" s="68"/>
      <c r="CV961" s="68"/>
      <c r="CW961" s="68"/>
      <c r="CX961" s="68"/>
    </row>
    <row r="962" spans="4:102" s="71" customFormat="1" hidden="1">
      <c r="D962" s="105"/>
      <c r="E962" s="111"/>
      <c r="F962" s="111"/>
      <c r="G962" s="111"/>
      <c r="H962" s="105"/>
      <c r="I962" s="111"/>
      <c r="J962" s="111"/>
      <c r="K962" s="112"/>
      <c r="L962" s="100"/>
      <c r="M962" s="100"/>
      <c r="N962" s="100"/>
      <c r="O962" s="100"/>
      <c r="P962" s="65"/>
      <c r="Q962" s="103"/>
      <c r="R962" s="103"/>
      <c r="S962" s="103"/>
      <c r="T962" s="103"/>
      <c r="U962" s="68"/>
      <c r="V962" s="69"/>
      <c r="W962" s="68"/>
      <c r="X962" s="68"/>
      <c r="Y962" s="68"/>
      <c r="Z962" s="68"/>
      <c r="AA962" s="68"/>
      <c r="AB962" s="68"/>
      <c r="AC962" s="68"/>
      <c r="AD962" s="68"/>
      <c r="AE962" s="68"/>
      <c r="AF962" s="68"/>
      <c r="AG962" s="68"/>
      <c r="AH962" s="68"/>
      <c r="AI962" s="68"/>
      <c r="AJ962" s="68"/>
      <c r="AK962" s="68"/>
      <c r="AL962" s="68"/>
      <c r="AM962" s="68"/>
      <c r="AN962" s="68"/>
      <c r="AO962" s="68"/>
      <c r="AP962" s="68"/>
      <c r="AQ962" s="68"/>
      <c r="AR962" s="68"/>
      <c r="AS962" s="68"/>
      <c r="AT962" s="68"/>
      <c r="AU962" s="68"/>
      <c r="AV962" s="68"/>
      <c r="AW962" s="68"/>
      <c r="AX962" s="68"/>
      <c r="AY962" s="68"/>
      <c r="AZ962" s="68"/>
      <c r="BA962" s="68"/>
      <c r="BB962" s="68"/>
      <c r="BC962" s="68"/>
      <c r="BD962" s="68"/>
      <c r="BE962" s="68"/>
      <c r="BF962" s="68"/>
      <c r="BG962" s="68"/>
      <c r="BH962" s="68"/>
      <c r="BI962" s="68"/>
      <c r="BJ962" s="68"/>
      <c r="BK962" s="68"/>
      <c r="BL962" s="68"/>
      <c r="BM962" s="68"/>
      <c r="BN962" s="68"/>
      <c r="BO962" s="68"/>
      <c r="BP962" s="68"/>
      <c r="BQ962" s="68"/>
      <c r="BR962" s="68"/>
      <c r="BS962" s="68"/>
      <c r="BT962" s="68"/>
      <c r="BU962" s="68"/>
      <c r="BV962" s="68"/>
      <c r="BW962" s="68"/>
      <c r="BX962" s="68"/>
      <c r="BY962" s="68"/>
      <c r="BZ962" s="68"/>
      <c r="CA962" s="68"/>
      <c r="CB962" s="68"/>
      <c r="CC962" s="68"/>
      <c r="CD962" s="68"/>
      <c r="CE962" s="68"/>
      <c r="CF962" s="68"/>
      <c r="CG962" s="68"/>
      <c r="CH962" s="68"/>
      <c r="CI962" s="68"/>
      <c r="CJ962" s="68"/>
      <c r="CK962" s="68"/>
      <c r="CL962" s="68"/>
      <c r="CM962" s="68"/>
      <c r="CN962" s="68"/>
      <c r="CO962" s="68"/>
      <c r="CP962" s="68"/>
      <c r="CQ962" s="68"/>
      <c r="CR962" s="68"/>
      <c r="CS962" s="68"/>
      <c r="CT962" s="68"/>
      <c r="CU962" s="68"/>
      <c r="CV962" s="68"/>
      <c r="CW962" s="68"/>
      <c r="CX962" s="68"/>
    </row>
    <row r="963" spans="4:102" s="71" customFormat="1" hidden="1">
      <c r="D963" s="105"/>
      <c r="E963" s="111"/>
      <c r="F963" s="111"/>
      <c r="G963" s="111"/>
      <c r="H963" s="105"/>
      <c r="I963" s="111"/>
      <c r="J963" s="111"/>
      <c r="K963" s="112"/>
      <c r="L963" s="100"/>
      <c r="M963" s="100"/>
      <c r="N963" s="100"/>
      <c r="O963" s="100"/>
      <c r="P963" s="65"/>
      <c r="Q963" s="103"/>
      <c r="R963" s="103"/>
      <c r="S963" s="103"/>
      <c r="T963" s="103"/>
      <c r="U963" s="68"/>
      <c r="V963" s="69"/>
      <c r="W963" s="68"/>
      <c r="X963" s="68"/>
      <c r="Y963" s="68"/>
      <c r="Z963" s="68"/>
      <c r="AA963" s="68"/>
      <c r="AB963" s="68"/>
      <c r="AC963" s="68"/>
      <c r="AD963" s="68"/>
      <c r="AE963" s="68"/>
      <c r="AF963" s="68"/>
      <c r="AG963" s="68"/>
      <c r="AH963" s="68"/>
      <c r="AI963" s="68"/>
      <c r="AJ963" s="68"/>
      <c r="AK963" s="68"/>
      <c r="AL963" s="68"/>
      <c r="AM963" s="68"/>
      <c r="AN963" s="68"/>
      <c r="AO963" s="68"/>
      <c r="AP963" s="68"/>
      <c r="AQ963" s="68"/>
      <c r="AR963" s="68"/>
      <c r="AS963" s="68"/>
      <c r="AT963" s="68"/>
      <c r="AU963" s="68"/>
      <c r="AV963" s="68"/>
      <c r="AW963" s="68"/>
      <c r="AX963" s="68"/>
      <c r="AY963" s="68"/>
      <c r="AZ963" s="68"/>
      <c r="BA963" s="68"/>
      <c r="BB963" s="68"/>
      <c r="BC963" s="68"/>
      <c r="BD963" s="68"/>
      <c r="BE963" s="68"/>
      <c r="BF963" s="68"/>
      <c r="BG963" s="68"/>
      <c r="BH963" s="68"/>
      <c r="BI963" s="68"/>
      <c r="BJ963" s="68"/>
      <c r="BK963" s="68"/>
      <c r="BL963" s="68"/>
      <c r="BM963" s="68"/>
      <c r="BN963" s="68"/>
      <c r="BO963" s="68"/>
      <c r="BP963" s="68"/>
      <c r="BQ963" s="68"/>
      <c r="BR963" s="68"/>
      <c r="BS963" s="68"/>
      <c r="BT963" s="68"/>
      <c r="BU963" s="68"/>
      <c r="BV963" s="68"/>
      <c r="BW963" s="68"/>
      <c r="BX963" s="68"/>
      <c r="BY963" s="68"/>
      <c r="BZ963" s="68"/>
      <c r="CA963" s="68"/>
      <c r="CB963" s="68"/>
      <c r="CC963" s="68"/>
      <c r="CD963" s="68"/>
      <c r="CE963" s="68"/>
      <c r="CF963" s="68"/>
      <c r="CG963" s="68"/>
      <c r="CH963" s="68"/>
      <c r="CI963" s="68"/>
      <c r="CJ963" s="68"/>
      <c r="CK963" s="68"/>
      <c r="CL963" s="68"/>
      <c r="CM963" s="68"/>
      <c r="CN963" s="68"/>
      <c r="CO963" s="68"/>
      <c r="CP963" s="68"/>
      <c r="CQ963" s="68"/>
      <c r="CR963" s="68"/>
      <c r="CS963" s="68"/>
      <c r="CT963" s="68"/>
      <c r="CU963" s="68"/>
      <c r="CV963" s="68"/>
      <c r="CW963" s="68"/>
      <c r="CX963" s="68"/>
    </row>
    <row r="964" spans="4:102" s="71" customFormat="1" hidden="1">
      <c r="D964" s="105"/>
      <c r="E964" s="111"/>
      <c r="F964" s="111"/>
      <c r="G964" s="111"/>
      <c r="H964" s="105"/>
      <c r="I964" s="111"/>
      <c r="J964" s="111"/>
      <c r="K964" s="112"/>
      <c r="L964" s="100"/>
      <c r="M964" s="100"/>
      <c r="N964" s="100"/>
      <c r="O964" s="100"/>
      <c r="P964" s="65"/>
      <c r="Q964" s="103"/>
      <c r="R964" s="103"/>
      <c r="S964" s="103"/>
      <c r="T964" s="103"/>
      <c r="U964" s="68"/>
      <c r="V964" s="69"/>
      <c r="W964" s="68"/>
      <c r="X964" s="68"/>
      <c r="Y964" s="68"/>
      <c r="Z964" s="68"/>
      <c r="AA964" s="68"/>
      <c r="AB964" s="68"/>
      <c r="AC964" s="68"/>
      <c r="AD964" s="68"/>
      <c r="AE964" s="68"/>
      <c r="AF964" s="68"/>
      <c r="AG964" s="68"/>
      <c r="AH964" s="68"/>
      <c r="AI964" s="68"/>
      <c r="AJ964" s="68"/>
      <c r="AK964" s="68"/>
      <c r="AL964" s="68"/>
      <c r="AM964" s="68"/>
      <c r="AN964" s="68"/>
      <c r="AO964" s="68"/>
      <c r="AP964" s="68"/>
      <c r="AQ964" s="68"/>
      <c r="AR964" s="68"/>
      <c r="AS964" s="68"/>
      <c r="AT964" s="68"/>
      <c r="AU964" s="68"/>
      <c r="AV964" s="68"/>
      <c r="AW964" s="68"/>
      <c r="AX964" s="68"/>
      <c r="AY964" s="68"/>
      <c r="AZ964" s="68"/>
      <c r="BA964" s="68"/>
      <c r="BB964" s="68"/>
      <c r="BC964" s="68"/>
      <c r="BD964" s="68"/>
      <c r="BE964" s="68"/>
      <c r="BF964" s="68"/>
      <c r="BG964" s="68"/>
      <c r="BH964" s="68"/>
      <c r="BI964" s="68"/>
      <c r="BJ964" s="68"/>
      <c r="BK964" s="68"/>
      <c r="BL964" s="68"/>
      <c r="BM964" s="68"/>
      <c r="BN964" s="68"/>
      <c r="BO964" s="68"/>
      <c r="BP964" s="68"/>
      <c r="BQ964" s="68"/>
      <c r="BR964" s="68"/>
      <c r="BS964" s="68"/>
      <c r="BT964" s="68"/>
      <c r="BU964" s="68"/>
      <c r="BV964" s="68"/>
      <c r="BW964" s="68"/>
      <c r="BX964" s="68"/>
      <c r="BY964" s="68"/>
      <c r="BZ964" s="68"/>
      <c r="CA964" s="68"/>
      <c r="CB964" s="68"/>
      <c r="CC964" s="68"/>
      <c r="CD964" s="68"/>
      <c r="CE964" s="68"/>
      <c r="CF964" s="68"/>
      <c r="CG964" s="68"/>
      <c r="CH964" s="68"/>
      <c r="CI964" s="68"/>
      <c r="CJ964" s="68"/>
      <c r="CK964" s="68"/>
      <c r="CL964" s="68"/>
      <c r="CM964" s="68"/>
      <c r="CN964" s="68"/>
      <c r="CO964" s="68"/>
      <c r="CP964" s="68"/>
      <c r="CQ964" s="68"/>
      <c r="CR964" s="68"/>
      <c r="CS964" s="68"/>
      <c r="CT964" s="68"/>
      <c r="CU964" s="68"/>
      <c r="CV964" s="68"/>
      <c r="CW964" s="68"/>
      <c r="CX964" s="68"/>
    </row>
    <row r="965" spans="4:102" s="71" customFormat="1" hidden="1">
      <c r="D965" s="105"/>
      <c r="E965" s="111"/>
      <c r="F965" s="111"/>
      <c r="G965" s="111"/>
      <c r="H965" s="105"/>
      <c r="I965" s="111"/>
      <c r="J965" s="111"/>
      <c r="K965" s="112"/>
      <c r="L965" s="100"/>
      <c r="M965" s="100"/>
      <c r="N965" s="100"/>
      <c r="O965" s="100"/>
      <c r="P965" s="65"/>
      <c r="Q965" s="103"/>
      <c r="R965" s="103"/>
      <c r="S965" s="103"/>
      <c r="T965" s="103"/>
      <c r="U965" s="68"/>
      <c r="V965" s="69"/>
      <c r="W965" s="68"/>
      <c r="X965" s="68"/>
      <c r="Y965" s="68"/>
      <c r="Z965" s="68"/>
      <c r="AA965" s="68"/>
      <c r="AB965" s="68"/>
      <c r="AC965" s="68"/>
      <c r="AD965" s="68"/>
      <c r="AE965" s="68"/>
      <c r="AF965" s="68"/>
      <c r="AG965" s="68"/>
      <c r="AH965" s="68"/>
      <c r="AI965" s="68"/>
      <c r="AJ965" s="68"/>
      <c r="AK965" s="68"/>
      <c r="AL965" s="68"/>
      <c r="AM965" s="68"/>
      <c r="AN965" s="68"/>
      <c r="AO965" s="68"/>
      <c r="AP965" s="68"/>
      <c r="AQ965" s="68"/>
      <c r="AR965" s="68"/>
      <c r="AS965" s="68"/>
      <c r="AT965" s="68"/>
      <c r="AU965" s="68"/>
      <c r="AV965" s="68"/>
      <c r="AW965" s="68"/>
      <c r="AX965" s="68"/>
      <c r="AY965" s="68"/>
      <c r="AZ965" s="68"/>
      <c r="BA965" s="68"/>
      <c r="BB965" s="68"/>
      <c r="BC965" s="68"/>
      <c r="BD965" s="68"/>
      <c r="BE965" s="68"/>
      <c r="BF965" s="68"/>
      <c r="BG965" s="68"/>
      <c r="BH965" s="68"/>
      <c r="BI965" s="68"/>
      <c r="BJ965" s="68"/>
      <c r="BK965" s="68"/>
      <c r="BL965" s="68"/>
      <c r="BM965" s="68"/>
      <c r="BN965" s="68"/>
      <c r="BO965" s="68"/>
      <c r="BP965" s="68"/>
      <c r="BQ965" s="68"/>
      <c r="BR965" s="68"/>
      <c r="BS965" s="68"/>
      <c r="BT965" s="68"/>
      <c r="BU965" s="68"/>
      <c r="BV965" s="68"/>
      <c r="BW965" s="68"/>
      <c r="BX965" s="68"/>
      <c r="BY965" s="68"/>
      <c r="BZ965" s="68"/>
      <c r="CA965" s="68"/>
      <c r="CB965" s="68"/>
      <c r="CC965" s="68"/>
      <c r="CD965" s="68"/>
      <c r="CE965" s="68"/>
      <c r="CF965" s="68"/>
      <c r="CG965" s="68"/>
      <c r="CH965" s="68"/>
      <c r="CI965" s="68"/>
      <c r="CJ965" s="68"/>
      <c r="CK965" s="68"/>
      <c r="CL965" s="68"/>
      <c r="CM965" s="68"/>
      <c r="CN965" s="68"/>
      <c r="CO965" s="68"/>
      <c r="CP965" s="68"/>
      <c r="CQ965" s="68"/>
      <c r="CR965" s="68"/>
      <c r="CS965" s="68"/>
      <c r="CT965" s="68"/>
      <c r="CU965" s="68"/>
      <c r="CV965" s="68"/>
      <c r="CW965" s="68"/>
      <c r="CX965" s="68"/>
    </row>
    <row r="966" spans="4:102" s="71" customFormat="1" hidden="1">
      <c r="D966" s="105"/>
      <c r="E966" s="111"/>
      <c r="F966" s="111"/>
      <c r="G966" s="111"/>
      <c r="H966" s="105"/>
      <c r="I966" s="111"/>
      <c r="J966" s="111"/>
      <c r="K966" s="112"/>
      <c r="L966" s="100"/>
      <c r="M966" s="100"/>
      <c r="N966" s="100"/>
      <c r="O966" s="100"/>
      <c r="P966" s="65"/>
      <c r="Q966" s="103"/>
      <c r="R966" s="103"/>
      <c r="S966" s="103"/>
      <c r="T966" s="103"/>
      <c r="U966" s="68"/>
      <c r="V966" s="69"/>
      <c r="W966" s="68"/>
      <c r="X966" s="68"/>
      <c r="Y966" s="68"/>
      <c r="Z966" s="68"/>
      <c r="AA966" s="68"/>
      <c r="AB966" s="68"/>
      <c r="AC966" s="68"/>
      <c r="AD966" s="68"/>
      <c r="AE966" s="68"/>
      <c r="AF966" s="68"/>
      <c r="AG966" s="68"/>
      <c r="AH966" s="68"/>
      <c r="AI966" s="68"/>
      <c r="AJ966" s="68"/>
      <c r="AK966" s="68"/>
      <c r="AL966" s="68"/>
      <c r="AM966" s="68"/>
      <c r="AN966" s="68"/>
      <c r="AO966" s="68"/>
      <c r="AP966" s="68"/>
      <c r="AQ966" s="68"/>
      <c r="AR966" s="68"/>
      <c r="AS966" s="68"/>
      <c r="AT966" s="68"/>
      <c r="AU966" s="68"/>
      <c r="AV966" s="68"/>
      <c r="AW966" s="68"/>
      <c r="AX966" s="68"/>
      <c r="AY966" s="68"/>
      <c r="AZ966" s="68"/>
      <c r="BA966" s="68"/>
      <c r="BB966" s="68"/>
      <c r="BC966" s="68"/>
      <c r="BD966" s="68"/>
      <c r="BE966" s="68"/>
      <c r="BF966" s="68"/>
      <c r="BG966" s="68"/>
      <c r="BH966" s="68"/>
      <c r="BI966" s="68"/>
      <c r="BJ966" s="68"/>
      <c r="BK966" s="68"/>
      <c r="BL966" s="68"/>
      <c r="BM966" s="68"/>
      <c r="BN966" s="68"/>
      <c r="BO966" s="68"/>
      <c r="BP966" s="68"/>
      <c r="BQ966" s="68"/>
      <c r="BR966" s="68"/>
      <c r="BS966" s="68"/>
      <c r="BT966" s="68"/>
      <c r="BU966" s="68"/>
      <c r="BV966" s="68"/>
      <c r="BW966" s="68"/>
      <c r="BX966" s="68"/>
      <c r="BY966" s="68"/>
      <c r="BZ966" s="68"/>
      <c r="CA966" s="68"/>
      <c r="CB966" s="68"/>
      <c r="CC966" s="68"/>
      <c r="CD966" s="68"/>
      <c r="CE966" s="68"/>
      <c r="CF966" s="68"/>
      <c r="CG966" s="68"/>
      <c r="CH966" s="68"/>
      <c r="CI966" s="68"/>
      <c r="CJ966" s="68"/>
      <c r="CK966" s="68"/>
      <c r="CL966" s="68"/>
      <c r="CM966" s="68"/>
      <c r="CN966" s="68"/>
      <c r="CO966" s="68"/>
      <c r="CP966" s="68"/>
      <c r="CQ966" s="68"/>
      <c r="CR966" s="68"/>
      <c r="CS966" s="68"/>
      <c r="CT966" s="68"/>
      <c r="CU966" s="68"/>
      <c r="CV966" s="68"/>
      <c r="CW966" s="68"/>
      <c r="CX966" s="68"/>
    </row>
    <row r="967" spans="4:102" s="71" customFormat="1" hidden="1">
      <c r="D967" s="105"/>
      <c r="E967" s="111"/>
      <c r="F967" s="111"/>
      <c r="G967" s="111"/>
      <c r="H967" s="105"/>
      <c r="I967" s="111"/>
      <c r="J967" s="111"/>
      <c r="K967" s="112"/>
      <c r="L967" s="100"/>
      <c r="M967" s="100"/>
      <c r="N967" s="100"/>
      <c r="O967" s="100"/>
      <c r="P967" s="65"/>
      <c r="Q967" s="103"/>
      <c r="R967" s="103"/>
      <c r="S967" s="103"/>
      <c r="T967" s="103"/>
      <c r="U967" s="68"/>
      <c r="V967" s="69"/>
      <c r="W967" s="68"/>
      <c r="X967" s="68"/>
      <c r="Y967" s="68"/>
      <c r="Z967" s="68"/>
      <c r="AA967" s="68"/>
      <c r="AB967" s="68"/>
      <c r="AC967" s="68"/>
      <c r="AD967" s="68"/>
      <c r="AE967" s="68"/>
      <c r="AF967" s="68"/>
      <c r="AG967" s="68"/>
      <c r="AH967" s="68"/>
      <c r="AI967" s="68"/>
      <c r="AJ967" s="68"/>
      <c r="AK967" s="68"/>
      <c r="AL967" s="68"/>
      <c r="AM967" s="68"/>
      <c r="AN967" s="68"/>
      <c r="AO967" s="68"/>
      <c r="AP967" s="68"/>
      <c r="AQ967" s="68"/>
      <c r="AR967" s="68"/>
      <c r="AS967" s="68"/>
      <c r="AT967" s="68"/>
      <c r="AU967" s="68"/>
      <c r="AV967" s="68"/>
      <c r="AW967" s="68"/>
      <c r="AX967" s="68"/>
      <c r="AY967" s="68"/>
      <c r="AZ967" s="68"/>
      <c r="BA967" s="68"/>
      <c r="BB967" s="68"/>
      <c r="BC967" s="68"/>
      <c r="BD967" s="68"/>
      <c r="BE967" s="68"/>
      <c r="BF967" s="68"/>
      <c r="BG967" s="68"/>
      <c r="BH967" s="68"/>
      <c r="BI967" s="68"/>
      <c r="BJ967" s="68"/>
      <c r="BK967" s="68"/>
      <c r="BL967" s="68"/>
      <c r="BM967" s="68"/>
      <c r="BN967" s="68"/>
      <c r="BO967" s="68"/>
      <c r="BP967" s="68"/>
      <c r="BQ967" s="68"/>
      <c r="BR967" s="68"/>
      <c r="BS967" s="68"/>
      <c r="BT967" s="68"/>
      <c r="BU967" s="68"/>
      <c r="BV967" s="68"/>
      <c r="BW967" s="68"/>
      <c r="BX967" s="68"/>
      <c r="BY967" s="68"/>
      <c r="BZ967" s="68"/>
      <c r="CA967" s="68"/>
      <c r="CB967" s="68"/>
      <c r="CC967" s="68"/>
      <c r="CD967" s="68"/>
      <c r="CE967" s="68"/>
      <c r="CF967" s="68"/>
      <c r="CG967" s="68"/>
      <c r="CH967" s="68"/>
      <c r="CI967" s="68"/>
      <c r="CJ967" s="68"/>
      <c r="CK967" s="68"/>
      <c r="CL967" s="68"/>
      <c r="CM967" s="68"/>
      <c r="CN967" s="68"/>
      <c r="CO967" s="68"/>
      <c r="CP967" s="68"/>
      <c r="CQ967" s="68"/>
      <c r="CR967" s="68"/>
      <c r="CS967" s="68"/>
      <c r="CT967" s="68"/>
      <c r="CU967" s="68"/>
      <c r="CV967" s="68"/>
      <c r="CW967" s="68"/>
      <c r="CX967" s="68"/>
    </row>
    <row r="968" spans="4:102" s="71" customFormat="1" hidden="1">
      <c r="D968" s="105"/>
      <c r="E968" s="111"/>
      <c r="F968" s="111"/>
      <c r="G968" s="111"/>
      <c r="H968" s="105"/>
      <c r="I968" s="111"/>
      <c r="J968" s="111"/>
      <c r="K968" s="112"/>
      <c r="L968" s="100"/>
      <c r="M968" s="100"/>
      <c r="N968" s="100"/>
      <c r="O968" s="100"/>
      <c r="P968" s="65"/>
      <c r="Q968" s="103"/>
      <c r="R968" s="103"/>
      <c r="S968" s="103"/>
      <c r="T968" s="103"/>
      <c r="U968" s="68"/>
      <c r="V968" s="69"/>
      <c r="W968" s="68"/>
      <c r="X968" s="68"/>
      <c r="Y968" s="68"/>
      <c r="Z968" s="68"/>
      <c r="AA968" s="68"/>
      <c r="AB968" s="68"/>
      <c r="AC968" s="68"/>
      <c r="AD968" s="68"/>
      <c r="AE968" s="68"/>
      <c r="AF968" s="68"/>
      <c r="AG968" s="68"/>
      <c r="AH968" s="68"/>
      <c r="AI968" s="68"/>
      <c r="AJ968" s="68"/>
      <c r="AK968" s="68"/>
      <c r="AL968" s="68"/>
      <c r="AM968" s="68"/>
      <c r="AN968" s="68"/>
      <c r="AO968" s="68"/>
      <c r="AP968" s="68"/>
      <c r="AQ968" s="68"/>
      <c r="AR968" s="68"/>
      <c r="AS968" s="68"/>
      <c r="AT968" s="68"/>
      <c r="AU968" s="68"/>
      <c r="AV968" s="68"/>
      <c r="AW968" s="68"/>
      <c r="AX968" s="68"/>
      <c r="AY968" s="68"/>
      <c r="AZ968" s="68"/>
      <c r="BA968" s="68"/>
      <c r="BB968" s="68"/>
      <c r="BC968" s="68"/>
      <c r="BD968" s="68"/>
      <c r="BE968" s="68"/>
      <c r="BF968" s="68"/>
      <c r="BG968" s="68"/>
      <c r="BH968" s="68"/>
      <c r="BI968" s="68"/>
      <c r="BJ968" s="68"/>
      <c r="BK968" s="68"/>
      <c r="BL968" s="68"/>
      <c r="BM968" s="68"/>
      <c r="BN968" s="68"/>
      <c r="BO968" s="68"/>
      <c r="BP968" s="68"/>
      <c r="BQ968" s="68"/>
      <c r="BR968" s="68"/>
      <c r="BS968" s="68"/>
      <c r="BT968" s="68"/>
      <c r="BU968" s="68"/>
      <c r="BV968" s="68"/>
      <c r="BW968" s="68"/>
      <c r="BX968" s="68"/>
      <c r="BY968" s="68"/>
      <c r="BZ968" s="68"/>
      <c r="CA968" s="68"/>
      <c r="CB968" s="68"/>
      <c r="CC968" s="68"/>
      <c r="CD968" s="68"/>
      <c r="CE968" s="68"/>
      <c r="CF968" s="68"/>
      <c r="CG968" s="68"/>
      <c r="CH968" s="68"/>
      <c r="CI968" s="68"/>
      <c r="CJ968" s="68"/>
      <c r="CK968" s="68"/>
      <c r="CL968" s="68"/>
      <c r="CM968" s="68"/>
      <c r="CN968" s="68"/>
      <c r="CO968" s="68"/>
      <c r="CP968" s="68"/>
      <c r="CQ968" s="68"/>
      <c r="CR968" s="68"/>
      <c r="CS968" s="68"/>
      <c r="CT968" s="68"/>
      <c r="CU968" s="68"/>
      <c r="CV968" s="68"/>
      <c r="CW968" s="68"/>
      <c r="CX968" s="68"/>
    </row>
    <row r="969" spans="4:102" s="71" customFormat="1" hidden="1">
      <c r="D969" s="105"/>
      <c r="E969" s="111"/>
      <c r="F969" s="111"/>
      <c r="G969" s="111"/>
      <c r="H969" s="105"/>
      <c r="I969" s="111"/>
      <c r="J969" s="111"/>
      <c r="K969" s="112"/>
      <c r="L969" s="100"/>
      <c r="M969" s="100"/>
      <c r="N969" s="100"/>
      <c r="O969" s="100"/>
      <c r="P969" s="65"/>
      <c r="Q969" s="103"/>
      <c r="R969" s="103"/>
      <c r="S969" s="103"/>
      <c r="T969" s="103"/>
      <c r="U969" s="68"/>
      <c r="V969" s="69"/>
      <c r="W969" s="68"/>
      <c r="X969" s="68"/>
      <c r="Y969" s="68"/>
      <c r="Z969" s="68"/>
      <c r="AA969" s="68"/>
      <c r="AB969" s="68"/>
      <c r="AC969" s="68"/>
      <c r="AD969" s="68"/>
      <c r="AE969" s="68"/>
      <c r="AF969" s="68"/>
      <c r="AG969" s="68"/>
      <c r="AH969" s="68"/>
      <c r="AI969" s="68"/>
      <c r="AJ969" s="68"/>
      <c r="AK969" s="68"/>
      <c r="AL969" s="68"/>
      <c r="AM969" s="68"/>
      <c r="AN969" s="68"/>
      <c r="AO969" s="68"/>
      <c r="AP969" s="68"/>
      <c r="AQ969" s="68"/>
      <c r="AR969" s="68"/>
      <c r="AS969" s="68"/>
      <c r="AT969" s="68"/>
      <c r="AU969" s="68"/>
      <c r="AV969" s="68"/>
      <c r="AW969" s="68"/>
      <c r="AX969" s="68"/>
      <c r="AY969" s="68"/>
      <c r="AZ969" s="68"/>
      <c r="BA969" s="68"/>
      <c r="BB969" s="68"/>
      <c r="BC969" s="68"/>
      <c r="BD969" s="68"/>
      <c r="BE969" s="68"/>
      <c r="BF969" s="68"/>
      <c r="BG969" s="68"/>
      <c r="BH969" s="68"/>
      <c r="BI969" s="68"/>
      <c r="BJ969" s="68"/>
      <c r="BK969" s="68"/>
      <c r="BL969" s="68"/>
      <c r="BM969" s="68"/>
      <c r="BN969" s="68"/>
      <c r="BO969" s="68"/>
      <c r="BP969" s="68"/>
      <c r="BQ969" s="68"/>
      <c r="BR969" s="68"/>
      <c r="BS969" s="68"/>
      <c r="BT969" s="68"/>
      <c r="BU969" s="68"/>
      <c r="BV969" s="68"/>
      <c r="BW969" s="68"/>
      <c r="BX969" s="68"/>
      <c r="BY969" s="68"/>
      <c r="BZ969" s="68"/>
      <c r="CA969" s="68"/>
      <c r="CB969" s="68"/>
      <c r="CC969" s="68"/>
      <c r="CD969" s="68"/>
      <c r="CE969" s="68"/>
      <c r="CF969" s="68"/>
      <c r="CG969" s="68"/>
      <c r="CH969" s="68"/>
      <c r="CI969" s="68"/>
      <c r="CJ969" s="68"/>
      <c r="CK969" s="68"/>
      <c r="CL969" s="68"/>
      <c r="CM969" s="68"/>
      <c r="CN969" s="68"/>
      <c r="CO969" s="68"/>
      <c r="CP969" s="68"/>
      <c r="CQ969" s="68"/>
      <c r="CR969" s="68"/>
      <c r="CS969" s="68"/>
      <c r="CT969" s="68"/>
      <c r="CU969" s="68"/>
      <c r="CV969" s="68"/>
      <c r="CW969" s="68"/>
      <c r="CX969" s="68"/>
    </row>
    <row r="970" spans="4:102" s="71" customFormat="1" hidden="1">
      <c r="D970" s="105"/>
      <c r="E970" s="111"/>
      <c r="F970" s="111"/>
      <c r="G970" s="111"/>
      <c r="H970" s="105"/>
      <c r="I970" s="111"/>
      <c r="J970" s="111"/>
      <c r="K970" s="112"/>
      <c r="L970" s="100"/>
      <c r="M970" s="100"/>
      <c r="N970" s="100"/>
      <c r="O970" s="100"/>
      <c r="P970" s="65"/>
      <c r="Q970" s="103"/>
      <c r="R970" s="103"/>
      <c r="S970" s="103"/>
      <c r="T970" s="103"/>
      <c r="U970" s="68"/>
      <c r="V970" s="69"/>
      <c r="W970" s="68"/>
      <c r="X970" s="68"/>
      <c r="Y970" s="68"/>
      <c r="Z970" s="68"/>
      <c r="AA970" s="68"/>
      <c r="AB970" s="68"/>
      <c r="AC970" s="68"/>
      <c r="AD970" s="68"/>
      <c r="AE970" s="68"/>
      <c r="AF970" s="68"/>
      <c r="AG970" s="68"/>
      <c r="AH970" s="68"/>
      <c r="AI970" s="68"/>
      <c r="AJ970" s="68"/>
      <c r="AK970" s="68"/>
      <c r="AL970" s="68"/>
      <c r="AM970" s="68"/>
      <c r="AN970" s="68"/>
      <c r="AO970" s="68"/>
      <c r="AP970" s="68"/>
      <c r="AQ970" s="68"/>
      <c r="AR970" s="68"/>
      <c r="AS970" s="68"/>
      <c r="AT970" s="68"/>
      <c r="AU970" s="68"/>
      <c r="AV970" s="68"/>
      <c r="AW970" s="68"/>
      <c r="AX970" s="68"/>
      <c r="AY970" s="68"/>
      <c r="AZ970" s="68"/>
      <c r="BA970" s="68"/>
      <c r="BB970" s="68"/>
      <c r="BC970" s="68"/>
      <c r="BD970" s="68"/>
      <c r="BE970" s="68"/>
      <c r="BF970" s="68"/>
      <c r="BG970" s="68"/>
      <c r="BH970" s="68"/>
      <c r="BI970" s="68"/>
      <c r="BJ970" s="68"/>
      <c r="BK970" s="68"/>
      <c r="BL970" s="68"/>
      <c r="BM970" s="68"/>
      <c r="BN970" s="68"/>
      <c r="BO970" s="68"/>
      <c r="BP970" s="68"/>
      <c r="BQ970" s="68"/>
      <c r="BR970" s="68"/>
      <c r="BS970" s="68"/>
      <c r="BT970" s="68"/>
      <c r="BU970" s="68"/>
      <c r="BV970" s="68"/>
      <c r="BW970" s="68"/>
      <c r="BX970" s="68"/>
      <c r="BY970" s="68"/>
      <c r="BZ970" s="68"/>
      <c r="CA970" s="68"/>
      <c r="CB970" s="68"/>
      <c r="CC970" s="68"/>
      <c r="CD970" s="68"/>
      <c r="CE970" s="68"/>
      <c r="CF970" s="68"/>
      <c r="CG970" s="68"/>
      <c r="CH970" s="68"/>
      <c r="CI970" s="68"/>
      <c r="CJ970" s="68"/>
      <c r="CK970" s="68"/>
      <c r="CL970" s="68"/>
      <c r="CM970" s="68"/>
      <c r="CN970" s="68"/>
      <c r="CO970" s="68"/>
      <c r="CP970" s="68"/>
      <c r="CQ970" s="68"/>
      <c r="CR970" s="68"/>
      <c r="CS970" s="68"/>
      <c r="CT970" s="68"/>
      <c r="CU970" s="68"/>
      <c r="CV970" s="68"/>
      <c r="CW970" s="68"/>
      <c r="CX970" s="68"/>
    </row>
    <row r="971" spans="4:102" s="71" customFormat="1" hidden="1">
      <c r="D971" s="105"/>
      <c r="E971" s="111"/>
      <c r="F971" s="111"/>
      <c r="G971" s="111"/>
      <c r="H971" s="105"/>
      <c r="I971" s="111"/>
      <c r="J971" s="111"/>
      <c r="K971" s="112"/>
      <c r="L971" s="100"/>
      <c r="M971" s="100"/>
      <c r="N971" s="100"/>
      <c r="O971" s="100"/>
      <c r="P971" s="65"/>
      <c r="Q971" s="103"/>
      <c r="R971" s="103"/>
      <c r="S971" s="103"/>
      <c r="T971" s="103"/>
      <c r="U971" s="68"/>
      <c r="V971" s="69"/>
      <c r="W971" s="68"/>
      <c r="X971" s="68"/>
      <c r="Y971" s="68"/>
      <c r="Z971" s="68"/>
      <c r="AA971" s="68"/>
      <c r="AB971" s="68"/>
      <c r="AC971" s="68"/>
      <c r="AD971" s="68"/>
      <c r="AE971" s="68"/>
      <c r="AF971" s="68"/>
      <c r="AG971" s="68"/>
      <c r="AH971" s="68"/>
      <c r="AI971" s="68"/>
      <c r="AJ971" s="68"/>
      <c r="AK971" s="68"/>
      <c r="AL971" s="68"/>
      <c r="AM971" s="68"/>
      <c r="AN971" s="68"/>
      <c r="AO971" s="68"/>
      <c r="AP971" s="68"/>
      <c r="AQ971" s="68"/>
      <c r="AR971" s="68"/>
      <c r="AS971" s="68"/>
      <c r="AT971" s="68"/>
      <c r="AU971" s="68"/>
      <c r="AV971" s="68"/>
      <c r="AW971" s="68"/>
      <c r="AX971" s="68"/>
      <c r="AY971" s="68"/>
      <c r="AZ971" s="68"/>
      <c r="BA971" s="68"/>
      <c r="BB971" s="68"/>
      <c r="BC971" s="68"/>
      <c r="BD971" s="68"/>
      <c r="BE971" s="68"/>
      <c r="BF971" s="68"/>
      <c r="BG971" s="68"/>
      <c r="BH971" s="68"/>
      <c r="BI971" s="68"/>
      <c r="BJ971" s="68"/>
      <c r="BK971" s="68"/>
      <c r="BL971" s="68"/>
      <c r="BM971" s="68"/>
      <c r="BN971" s="68"/>
      <c r="BO971" s="68"/>
      <c r="BP971" s="68"/>
      <c r="BQ971" s="68"/>
      <c r="BR971" s="68"/>
      <c r="BS971" s="68"/>
      <c r="BT971" s="68"/>
      <c r="BU971" s="68"/>
      <c r="BV971" s="68"/>
      <c r="BW971" s="68"/>
      <c r="BX971" s="68"/>
      <c r="BY971" s="68"/>
      <c r="BZ971" s="68"/>
      <c r="CA971" s="68"/>
      <c r="CB971" s="68"/>
      <c r="CC971" s="68"/>
      <c r="CD971" s="68"/>
      <c r="CE971" s="68"/>
      <c r="CF971" s="68"/>
      <c r="CG971" s="68"/>
      <c r="CH971" s="68"/>
      <c r="CI971" s="68"/>
      <c r="CJ971" s="68"/>
      <c r="CK971" s="68"/>
      <c r="CL971" s="68"/>
      <c r="CM971" s="68"/>
      <c r="CN971" s="68"/>
      <c r="CO971" s="68"/>
      <c r="CP971" s="68"/>
      <c r="CQ971" s="68"/>
      <c r="CR971" s="68"/>
      <c r="CS971" s="68"/>
      <c r="CT971" s="68"/>
      <c r="CU971" s="68"/>
      <c r="CV971" s="68"/>
      <c r="CW971" s="68"/>
      <c r="CX971" s="68"/>
    </row>
    <row r="972" spans="4:102" s="71" customFormat="1" hidden="1">
      <c r="D972" s="105"/>
      <c r="E972" s="111"/>
      <c r="F972" s="111"/>
      <c r="G972" s="111"/>
      <c r="H972" s="105"/>
      <c r="I972" s="111"/>
      <c r="J972" s="111"/>
      <c r="K972" s="112"/>
      <c r="L972" s="100"/>
      <c r="M972" s="100"/>
      <c r="N972" s="100"/>
      <c r="O972" s="100"/>
      <c r="P972" s="65"/>
      <c r="Q972" s="103"/>
      <c r="R972" s="103"/>
      <c r="S972" s="103"/>
      <c r="T972" s="103"/>
      <c r="U972" s="68"/>
      <c r="V972" s="69"/>
      <c r="W972" s="68"/>
      <c r="X972" s="68"/>
      <c r="Y972" s="68"/>
      <c r="Z972" s="68"/>
      <c r="AA972" s="68"/>
      <c r="AB972" s="68"/>
      <c r="AC972" s="68"/>
      <c r="AD972" s="68"/>
      <c r="AE972" s="68"/>
      <c r="AF972" s="68"/>
      <c r="AG972" s="68"/>
      <c r="AH972" s="68"/>
      <c r="AI972" s="68"/>
      <c r="AJ972" s="68"/>
      <c r="AK972" s="68"/>
      <c r="AL972" s="68"/>
      <c r="AM972" s="68"/>
      <c r="AN972" s="68"/>
      <c r="AO972" s="68"/>
      <c r="AP972" s="68"/>
      <c r="AQ972" s="68"/>
      <c r="AR972" s="68"/>
      <c r="AS972" s="68"/>
      <c r="AT972" s="68"/>
      <c r="AU972" s="68"/>
      <c r="AV972" s="68"/>
      <c r="AW972" s="68"/>
      <c r="AX972" s="68"/>
      <c r="AY972" s="68"/>
      <c r="AZ972" s="68"/>
      <c r="BA972" s="68"/>
      <c r="BB972" s="68"/>
      <c r="BC972" s="68"/>
      <c r="BD972" s="68"/>
      <c r="BE972" s="68"/>
      <c r="BF972" s="68"/>
      <c r="BG972" s="68"/>
      <c r="BH972" s="68"/>
      <c r="BI972" s="68"/>
      <c r="BJ972" s="68"/>
      <c r="BK972" s="68"/>
      <c r="BL972" s="68"/>
      <c r="BM972" s="68"/>
      <c r="BN972" s="68"/>
      <c r="BO972" s="68"/>
      <c r="BP972" s="68"/>
      <c r="BQ972" s="68"/>
      <c r="BR972" s="68"/>
      <c r="BS972" s="68"/>
      <c r="BT972" s="68"/>
      <c r="BU972" s="68"/>
      <c r="BV972" s="68"/>
      <c r="BW972" s="68"/>
      <c r="BX972" s="68"/>
      <c r="BY972" s="68"/>
      <c r="BZ972" s="68"/>
      <c r="CA972" s="68"/>
      <c r="CB972" s="68"/>
      <c r="CC972" s="68"/>
      <c r="CD972" s="68"/>
      <c r="CE972" s="68"/>
      <c r="CF972" s="68"/>
      <c r="CG972" s="68"/>
      <c r="CH972" s="68"/>
      <c r="CI972" s="68"/>
      <c r="CJ972" s="68"/>
      <c r="CK972" s="68"/>
      <c r="CL972" s="68"/>
      <c r="CM972" s="68"/>
      <c r="CN972" s="68"/>
      <c r="CO972" s="68"/>
      <c r="CP972" s="68"/>
      <c r="CQ972" s="68"/>
      <c r="CR972" s="68"/>
      <c r="CS972" s="68"/>
      <c r="CT972" s="68"/>
      <c r="CU972" s="68"/>
      <c r="CV972" s="68"/>
      <c r="CW972" s="68"/>
      <c r="CX972" s="68"/>
    </row>
    <row r="973" spans="4:102" s="71" customFormat="1" hidden="1">
      <c r="D973" s="105"/>
      <c r="E973" s="111"/>
      <c r="F973" s="111"/>
      <c r="G973" s="111"/>
      <c r="H973" s="105"/>
      <c r="I973" s="111"/>
      <c r="J973" s="111"/>
      <c r="K973" s="112"/>
      <c r="L973" s="100"/>
      <c r="M973" s="100"/>
      <c r="N973" s="100"/>
      <c r="O973" s="100"/>
      <c r="P973" s="65"/>
      <c r="Q973" s="103"/>
      <c r="R973" s="103"/>
      <c r="S973" s="103"/>
      <c r="T973" s="103"/>
      <c r="U973" s="68"/>
      <c r="V973" s="69"/>
      <c r="W973" s="68"/>
      <c r="X973" s="68"/>
      <c r="Y973" s="68"/>
      <c r="Z973" s="68"/>
      <c r="AA973" s="68"/>
      <c r="AB973" s="68"/>
      <c r="AC973" s="68"/>
      <c r="AD973" s="68"/>
      <c r="AE973" s="68"/>
      <c r="AF973" s="68"/>
      <c r="AG973" s="68"/>
      <c r="AH973" s="68"/>
      <c r="AI973" s="68"/>
      <c r="AJ973" s="68"/>
      <c r="AK973" s="68"/>
      <c r="AL973" s="68"/>
      <c r="AM973" s="68"/>
      <c r="AN973" s="68"/>
      <c r="AO973" s="68"/>
      <c r="AP973" s="68"/>
      <c r="AQ973" s="68"/>
      <c r="AR973" s="68"/>
      <c r="AS973" s="68"/>
      <c r="AT973" s="68"/>
      <c r="AU973" s="68"/>
      <c r="AV973" s="68"/>
      <c r="AW973" s="68"/>
      <c r="AX973" s="68"/>
      <c r="AY973" s="68"/>
      <c r="AZ973" s="68"/>
      <c r="BA973" s="68"/>
      <c r="BB973" s="68"/>
      <c r="BC973" s="68"/>
      <c r="BD973" s="68"/>
      <c r="BE973" s="68"/>
      <c r="BF973" s="68"/>
      <c r="BG973" s="68"/>
      <c r="BH973" s="68"/>
      <c r="BI973" s="68"/>
      <c r="BJ973" s="68"/>
      <c r="BK973" s="68"/>
      <c r="BL973" s="68"/>
      <c r="BM973" s="68"/>
      <c r="BN973" s="68"/>
      <c r="BO973" s="68"/>
      <c r="BP973" s="68"/>
      <c r="BQ973" s="68"/>
      <c r="BR973" s="68"/>
      <c r="BS973" s="68"/>
      <c r="BT973" s="68"/>
      <c r="BU973" s="68"/>
      <c r="BV973" s="68"/>
      <c r="BW973" s="68"/>
      <c r="BX973" s="68"/>
      <c r="BY973" s="68"/>
      <c r="BZ973" s="68"/>
      <c r="CA973" s="68"/>
      <c r="CB973" s="68"/>
      <c r="CC973" s="68"/>
      <c r="CD973" s="68"/>
      <c r="CE973" s="68"/>
      <c r="CF973" s="68"/>
      <c r="CG973" s="68"/>
      <c r="CH973" s="68"/>
      <c r="CI973" s="68"/>
      <c r="CJ973" s="68"/>
      <c r="CK973" s="68"/>
      <c r="CL973" s="68"/>
      <c r="CM973" s="68"/>
      <c r="CN973" s="68"/>
      <c r="CO973" s="68"/>
      <c r="CP973" s="68"/>
      <c r="CQ973" s="68"/>
      <c r="CR973" s="68"/>
      <c r="CS973" s="68"/>
      <c r="CT973" s="68"/>
      <c r="CU973" s="68"/>
      <c r="CV973" s="68"/>
      <c r="CW973" s="68"/>
      <c r="CX973" s="68"/>
    </row>
    <row r="974" spans="4:102" s="71" customFormat="1" hidden="1">
      <c r="D974" s="105"/>
      <c r="E974" s="111"/>
      <c r="F974" s="111"/>
      <c r="G974" s="111"/>
      <c r="H974" s="105"/>
      <c r="I974" s="111"/>
      <c r="J974" s="111"/>
      <c r="K974" s="112"/>
      <c r="L974" s="100"/>
      <c r="M974" s="100"/>
      <c r="N974" s="100"/>
      <c r="O974" s="100"/>
      <c r="P974" s="65"/>
      <c r="Q974" s="103"/>
      <c r="R974" s="103"/>
      <c r="S974" s="103"/>
      <c r="T974" s="103"/>
      <c r="U974" s="68"/>
      <c r="V974" s="69"/>
      <c r="W974" s="68"/>
      <c r="X974" s="68"/>
      <c r="Y974" s="68"/>
      <c r="Z974" s="68"/>
      <c r="AA974" s="68"/>
      <c r="AB974" s="68"/>
      <c r="AC974" s="68"/>
      <c r="AD974" s="68"/>
      <c r="AE974" s="68"/>
      <c r="AF974" s="68"/>
      <c r="AG974" s="68"/>
      <c r="AH974" s="68"/>
      <c r="AI974" s="68"/>
      <c r="AJ974" s="68"/>
      <c r="AK974" s="68"/>
      <c r="AL974" s="68"/>
      <c r="AM974" s="68"/>
      <c r="AN974" s="68"/>
      <c r="AO974" s="68"/>
      <c r="AP974" s="68"/>
      <c r="AQ974" s="68"/>
      <c r="AR974" s="68"/>
      <c r="AS974" s="68"/>
      <c r="AT974" s="68"/>
      <c r="AU974" s="68"/>
      <c r="AV974" s="68"/>
      <c r="AW974" s="68"/>
      <c r="AX974" s="68"/>
      <c r="AY974" s="68"/>
      <c r="AZ974" s="68"/>
      <c r="BA974" s="68"/>
      <c r="BB974" s="68"/>
      <c r="BC974" s="68"/>
      <c r="BD974" s="68"/>
      <c r="BE974" s="68"/>
      <c r="BF974" s="68"/>
      <c r="BG974" s="68"/>
      <c r="BH974" s="68"/>
      <c r="BI974" s="68"/>
      <c r="BJ974" s="68"/>
      <c r="BK974" s="68"/>
      <c r="BL974" s="68"/>
      <c r="BM974" s="68"/>
      <c r="BN974" s="68"/>
      <c r="BO974" s="68"/>
      <c r="BP974" s="68"/>
      <c r="BQ974" s="68"/>
      <c r="BR974" s="68"/>
      <c r="BS974" s="68"/>
      <c r="BT974" s="68"/>
      <c r="BU974" s="68"/>
      <c r="BV974" s="68"/>
      <c r="BW974" s="68"/>
      <c r="BX974" s="68"/>
      <c r="BY974" s="68"/>
      <c r="BZ974" s="68"/>
      <c r="CA974" s="68"/>
      <c r="CB974" s="68"/>
      <c r="CC974" s="68"/>
      <c r="CD974" s="68"/>
      <c r="CE974" s="68"/>
      <c r="CF974" s="68"/>
      <c r="CG974" s="68"/>
      <c r="CH974" s="68"/>
      <c r="CI974" s="68"/>
      <c r="CJ974" s="68"/>
      <c r="CK974" s="68"/>
      <c r="CL974" s="68"/>
      <c r="CM974" s="68"/>
      <c r="CN974" s="68"/>
      <c r="CO974" s="68"/>
      <c r="CP974" s="68"/>
      <c r="CQ974" s="68"/>
      <c r="CR974" s="68"/>
      <c r="CS974" s="68"/>
      <c r="CT974" s="68"/>
      <c r="CU974" s="68"/>
      <c r="CV974" s="68"/>
      <c r="CW974" s="68"/>
      <c r="CX974" s="68"/>
    </row>
    <row r="975" spans="4:102" s="71" customFormat="1" hidden="1">
      <c r="D975" s="105"/>
      <c r="E975" s="111"/>
      <c r="F975" s="111"/>
      <c r="G975" s="111"/>
      <c r="H975" s="105"/>
      <c r="I975" s="111"/>
      <c r="J975" s="111"/>
      <c r="K975" s="112"/>
      <c r="L975" s="100"/>
      <c r="M975" s="100"/>
      <c r="N975" s="100"/>
      <c r="O975" s="100"/>
      <c r="P975" s="65"/>
      <c r="Q975" s="103"/>
      <c r="R975" s="103"/>
      <c r="S975" s="103"/>
      <c r="T975" s="103"/>
      <c r="U975" s="68"/>
      <c r="V975" s="69"/>
      <c r="W975" s="68"/>
      <c r="X975" s="68"/>
      <c r="Y975" s="68"/>
      <c r="Z975" s="68"/>
      <c r="AA975" s="68"/>
      <c r="AB975" s="68"/>
      <c r="AC975" s="68"/>
      <c r="AD975" s="68"/>
      <c r="AE975" s="68"/>
      <c r="AF975" s="68"/>
      <c r="AG975" s="68"/>
      <c r="AH975" s="68"/>
      <c r="AI975" s="68"/>
      <c r="AJ975" s="68"/>
      <c r="AK975" s="68"/>
      <c r="AL975" s="68"/>
      <c r="AM975" s="68"/>
      <c r="AN975" s="68"/>
      <c r="AO975" s="68"/>
      <c r="AP975" s="68"/>
      <c r="AQ975" s="68"/>
      <c r="AR975" s="68"/>
      <c r="AS975" s="68"/>
      <c r="AT975" s="68"/>
      <c r="AU975" s="68"/>
      <c r="AV975" s="68"/>
      <c r="AW975" s="68"/>
      <c r="AX975" s="68"/>
      <c r="AY975" s="68"/>
      <c r="AZ975" s="68"/>
      <c r="BA975" s="68"/>
      <c r="BB975" s="68"/>
      <c r="BC975" s="68"/>
      <c r="BD975" s="68"/>
      <c r="BE975" s="68"/>
      <c r="BF975" s="68"/>
      <c r="BG975" s="68"/>
      <c r="BH975" s="68"/>
      <c r="BI975" s="68"/>
      <c r="BJ975" s="68"/>
      <c r="BK975" s="68"/>
      <c r="BL975" s="68"/>
      <c r="BM975" s="68"/>
      <c r="BN975" s="68"/>
      <c r="BO975" s="68"/>
      <c r="BP975" s="68"/>
      <c r="BQ975" s="68"/>
      <c r="BR975" s="68"/>
      <c r="BS975" s="68"/>
      <c r="BT975" s="68"/>
      <c r="BU975" s="68"/>
      <c r="BV975" s="68"/>
      <c r="BW975" s="68"/>
      <c r="BX975" s="68"/>
      <c r="BY975" s="68"/>
      <c r="BZ975" s="68"/>
      <c r="CA975" s="68"/>
      <c r="CB975" s="68"/>
      <c r="CC975" s="68"/>
      <c r="CD975" s="68"/>
      <c r="CE975" s="68"/>
      <c r="CF975" s="68"/>
      <c r="CG975" s="68"/>
      <c r="CH975" s="68"/>
      <c r="CI975" s="68"/>
      <c r="CJ975" s="68"/>
      <c r="CK975" s="68"/>
      <c r="CL975" s="68"/>
      <c r="CM975" s="68"/>
      <c r="CN975" s="68"/>
      <c r="CO975" s="68"/>
      <c r="CP975" s="68"/>
      <c r="CQ975" s="68"/>
      <c r="CR975" s="68"/>
      <c r="CS975" s="68"/>
      <c r="CT975" s="68"/>
      <c r="CU975" s="68"/>
      <c r="CV975" s="68"/>
      <c r="CW975" s="68"/>
      <c r="CX975" s="68"/>
    </row>
    <row r="976" spans="4:102" s="71" customFormat="1" hidden="1">
      <c r="D976" s="105"/>
      <c r="E976" s="111"/>
      <c r="F976" s="111"/>
      <c r="G976" s="111"/>
      <c r="H976" s="105"/>
      <c r="I976" s="111"/>
      <c r="J976" s="111"/>
      <c r="K976" s="112"/>
      <c r="L976" s="100"/>
      <c r="M976" s="100"/>
      <c r="N976" s="100"/>
      <c r="O976" s="100"/>
      <c r="P976" s="65"/>
      <c r="Q976" s="103"/>
      <c r="R976" s="103"/>
      <c r="S976" s="103"/>
      <c r="T976" s="103"/>
      <c r="U976" s="68"/>
      <c r="V976" s="69"/>
      <c r="W976" s="68"/>
      <c r="X976" s="68"/>
      <c r="Y976" s="68"/>
      <c r="Z976" s="68"/>
      <c r="AA976" s="68"/>
      <c r="AB976" s="68"/>
      <c r="AC976" s="68"/>
      <c r="AD976" s="68"/>
      <c r="AE976" s="68"/>
      <c r="AF976" s="68"/>
      <c r="AG976" s="68"/>
      <c r="AH976" s="68"/>
      <c r="AI976" s="68"/>
      <c r="AJ976" s="68"/>
      <c r="AK976" s="68"/>
      <c r="AL976" s="68"/>
      <c r="AM976" s="68"/>
      <c r="AN976" s="68"/>
      <c r="AO976" s="68"/>
      <c r="AP976" s="68"/>
      <c r="AQ976" s="68"/>
      <c r="AR976" s="68"/>
      <c r="AS976" s="68"/>
      <c r="AT976" s="68"/>
      <c r="AU976" s="68"/>
      <c r="AV976" s="68"/>
      <c r="AW976" s="68"/>
      <c r="AX976" s="68"/>
      <c r="AY976" s="68"/>
      <c r="AZ976" s="68"/>
      <c r="BA976" s="68"/>
      <c r="BB976" s="68"/>
      <c r="BC976" s="68"/>
      <c r="BD976" s="68"/>
      <c r="BE976" s="68"/>
      <c r="BF976" s="68"/>
      <c r="BG976" s="68"/>
      <c r="BH976" s="68"/>
      <c r="BI976" s="68"/>
      <c r="BJ976" s="68"/>
      <c r="BK976" s="68"/>
      <c r="BL976" s="68"/>
      <c r="BM976" s="68"/>
      <c r="BN976" s="68"/>
      <c r="BO976" s="68"/>
      <c r="BP976" s="68"/>
      <c r="BQ976" s="68"/>
      <c r="BR976" s="68"/>
      <c r="BS976" s="68"/>
      <c r="BT976" s="68"/>
      <c r="BU976" s="68"/>
      <c r="BV976" s="68"/>
      <c r="BW976" s="68"/>
      <c r="BX976" s="68"/>
      <c r="BY976" s="68"/>
      <c r="BZ976" s="68"/>
      <c r="CA976" s="68"/>
      <c r="CB976" s="68"/>
      <c r="CC976" s="68"/>
      <c r="CD976" s="68"/>
      <c r="CE976" s="68"/>
      <c r="CF976" s="68"/>
      <c r="CG976" s="68"/>
      <c r="CH976" s="68"/>
      <c r="CI976" s="68"/>
      <c r="CJ976" s="68"/>
      <c r="CK976" s="68"/>
      <c r="CL976" s="68"/>
      <c r="CM976" s="68"/>
      <c r="CN976" s="68"/>
      <c r="CO976" s="68"/>
      <c r="CP976" s="68"/>
      <c r="CQ976" s="68"/>
      <c r="CR976" s="68"/>
      <c r="CS976" s="68"/>
      <c r="CT976" s="68"/>
      <c r="CU976" s="68"/>
      <c r="CV976" s="68"/>
      <c r="CW976" s="68"/>
      <c r="CX976" s="68"/>
    </row>
    <row r="977" spans="4:102" s="71" customFormat="1" hidden="1">
      <c r="D977" s="105"/>
      <c r="E977" s="111"/>
      <c r="F977" s="111"/>
      <c r="G977" s="111"/>
      <c r="H977" s="105"/>
      <c r="I977" s="111"/>
      <c r="J977" s="111"/>
      <c r="K977" s="112"/>
      <c r="L977" s="100"/>
      <c r="M977" s="100"/>
      <c r="N977" s="100"/>
      <c r="O977" s="100"/>
      <c r="P977" s="65"/>
      <c r="Q977" s="103"/>
      <c r="R977" s="103"/>
      <c r="S977" s="103"/>
      <c r="T977" s="103"/>
      <c r="U977" s="68"/>
      <c r="V977" s="69"/>
      <c r="W977" s="68"/>
      <c r="X977" s="68"/>
      <c r="Y977" s="68"/>
      <c r="Z977" s="68"/>
      <c r="AA977" s="68"/>
      <c r="AB977" s="68"/>
      <c r="AC977" s="68"/>
      <c r="AD977" s="68"/>
      <c r="AE977" s="68"/>
      <c r="AF977" s="68"/>
      <c r="AG977" s="68"/>
      <c r="AH977" s="68"/>
      <c r="AI977" s="68"/>
      <c r="AJ977" s="68"/>
      <c r="AK977" s="68"/>
      <c r="AL977" s="68"/>
      <c r="AM977" s="68"/>
      <c r="AN977" s="68"/>
      <c r="AO977" s="68"/>
      <c r="AP977" s="68"/>
      <c r="AQ977" s="68"/>
      <c r="AR977" s="68"/>
      <c r="AS977" s="68"/>
      <c r="AT977" s="68"/>
      <c r="AU977" s="68"/>
      <c r="AV977" s="68"/>
      <c r="AW977" s="68"/>
      <c r="AX977" s="68"/>
      <c r="AY977" s="68"/>
      <c r="AZ977" s="68"/>
      <c r="BA977" s="68"/>
      <c r="BB977" s="68"/>
      <c r="BC977" s="68"/>
      <c r="BD977" s="68"/>
      <c r="BE977" s="68"/>
      <c r="BF977" s="68"/>
      <c r="BG977" s="68"/>
      <c r="BH977" s="68"/>
      <c r="BI977" s="68"/>
      <c r="BJ977" s="68"/>
      <c r="BK977" s="68"/>
      <c r="BL977" s="68"/>
      <c r="BM977" s="68"/>
      <c r="BN977" s="68"/>
      <c r="BO977" s="68"/>
      <c r="BP977" s="68"/>
      <c r="BQ977" s="68"/>
      <c r="BR977" s="68"/>
      <c r="BS977" s="68"/>
      <c r="BT977" s="68"/>
      <c r="BU977" s="68"/>
      <c r="BV977" s="68"/>
      <c r="BW977" s="68"/>
      <c r="BX977" s="68"/>
      <c r="BY977" s="68"/>
      <c r="BZ977" s="68"/>
      <c r="CA977" s="68"/>
      <c r="CB977" s="68"/>
      <c r="CC977" s="68"/>
      <c r="CD977" s="68"/>
      <c r="CE977" s="68"/>
      <c r="CF977" s="68"/>
      <c r="CG977" s="68"/>
      <c r="CH977" s="68"/>
      <c r="CI977" s="68"/>
      <c r="CJ977" s="68"/>
      <c r="CK977" s="68"/>
      <c r="CL977" s="68"/>
      <c r="CM977" s="68"/>
      <c r="CN977" s="68"/>
      <c r="CO977" s="68"/>
      <c r="CP977" s="68"/>
      <c r="CQ977" s="68"/>
      <c r="CR977" s="68"/>
      <c r="CS977" s="68"/>
      <c r="CT977" s="68"/>
      <c r="CU977" s="68"/>
      <c r="CV977" s="68"/>
      <c r="CW977" s="68"/>
      <c r="CX977" s="68"/>
    </row>
    <row r="978" spans="4:102" s="71" customFormat="1" hidden="1">
      <c r="D978" s="105"/>
      <c r="E978" s="111"/>
      <c r="F978" s="111"/>
      <c r="G978" s="111"/>
      <c r="H978" s="105"/>
      <c r="I978" s="111"/>
      <c r="J978" s="111"/>
      <c r="K978" s="112"/>
      <c r="L978" s="100"/>
      <c r="M978" s="100"/>
      <c r="N978" s="100"/>
      <c r="O978" s="100"/>
      <c r="P978" s="65"/>
      <c r="Q978" s="103"/>
      <c r="R978" s="103"/>
      <c r="S978" s="103"/>
      <c r="T978" s="103"/>
      <c r="U978" s="68"/>
      <c r="V978" s="69"/>
      <c r="W978" s="68"/>
      <c r="X978" s="68"/>
      <c r="Y978" s="68"/>
      <c r="Z978" s="68"/>
      <c r="AA978" s="68"/>
      <c r="AB978" s="68"/>
      <c r="AC978" s="68"/>
      <c r="AD978" s="68"/>
      <c r="AE978" s="68"/>
      <c r="AF978" s="68"/>
      <c r="AG978" s="68"/>
      <c r="AH978" s="68"/>
      <c r="AI978" s="68"/>
      <c r="AJ978" s="68"/>
      <c r="AK978" s="68"/>
      <c r="AL978" s="68"/>
      <c r="AM978" s="68"/>
      <c r="AN978" s="68"/>
      <c r="AO978" s="68"/>
      <c r="AP978" s="68"/>
      <c r="AQ978" s="68"/>
      <c r="AR978" s="68"/>
      <c r="AS978" s="68"/>
      <c r="AT978" s="68"/>
      <c r="AU978" s="68"/>
      <c r="AV978" s="68"/>
      <c r="AW978" s="68"/>
      <c r="AX978" s="68"/>
      <c r="AY978" s="68"/>
      <c r="AZ978" s="68"/>
      <c r="BA978" s="68"/>
      <c r="BB978" s="68"/>
      <c r="BC978" s="68"/>
      <c r="BD978" s="68"/>
      <c r="BE978" s="68"/>
      <c r="BF978" s="68"/>
      <c r="BG978" s="68"/>
      <c r="BH978" s="68"/>
      <c r="BI978" s="68"/>
      <c r="BJ978" s="68"/>
      <c r="BK978" s="68"/>
      <c r="BL978" s="68"/>
      <c r="BM978" s="68"/>
      <c r="BN978" s="68"/>
      <c r="BO978" s="68"/>
      <c r="BP978" s="68"/>
      <c r="BQ978" s="68"/>
      <c r="BR978" s="68"/>
      <c r="BS978" s="68"/>
      <c r="BT978" s="68"/>
      <c r="BU978" s="68"/>
      <c r="BV978" s="68"/>
      <c r="BW978" s="68"/>
      <c r="BX978" s="68"/>
      <c r="BY978" s="68"/>
      <c r="BZ978" s="68"/>
      <c r="CA978" s="68"/>
      <c r="CB978" s="68"/>
      <c r="CC978" s="68"/>
      <c r="CD978" s="68"/>
      <c r="CE978" s="68"/>
      <c r="CF978" s="68"/>
      <c r="CG978" s="68"/>
      <c r="CH978" s="68"/>
      <c r="CI978" s="68"/>
      <c r="CJ978" s="68"/>
      <c r="CK978" s="68"/>
      <c r="CL978" s="68"/>
      <c r="CM978" s="68"/>
      <c r="CN978" s="68"/>
      <c r="CO978" s="68"/>
      <c r="CP978" s="68"/>
      <c r="CQ978" s="68"/>
      <c r="CR978" s="68"/>
      <c r="CS978" s="68"/>
      <c r="CT978" s="68"/>
      <c r="CU978" s="68"/>
      <c r="CV978" s="68"/>
      <c r="CW978" s="68"/>
      <c r="CX978" s="68"/>
    </row>
    <row r="979" spans="4:102" s="71" customFormat="1" hidden="1">
      <c r="D979" s="105"/>
      <c r="E979" s="111"/>
      <c r="F979" s="111"/>
      <c r="G979" s="111"/>
      <c r="H979" s="105"/>
      <c r="I979" s="111"/>
      <c r="J979" s="111"/>
      <c r="K979" s="112"/>
      <c r="L979" s="100"/>
      <c r="M979" s="100"/>
      <c r="N979" s="100"/>
      <c r="O979" s="100"/>
      <c r="P979" s="65"/>
      <c r="Q979" s="103"/>
      <c r="R979" s="103"/>
      <c r="S979" s="103"/>
      <c r="T979" s="103"/>
      <c r="U979" s="68"/>
      <c r="V979" s="69"/>
      <c r="W979" s="68"/>
      <c r="X979" s="68"/>
      <c r="Y979" s="68"/>
      <c r="Z979" s="68"/>
      <c r="AA979" s="68"/>
      <c r="AB979" s="68"/>
      <c r="AC979" s="68"/>
      <c r="AD979" s="68"/>
      <c r="AE979" s="68"/>
      <c r="AF979" s="68"/>
      <c r="AG979" s="68"/>
      <c r="AH979" s="68"/>
      <c r="AI979" s="68"/>
      <c r="AJ979" s="68"/>
      <c r="AK979" s="68"/>
      <c r="AL979" s="68"/>
      <c r="AM979" s="68"/>
      <c r="AN979" s="68"/>
      <c r="AO979" s="68"/>
      <c r="AP979" s="68"/>
      <c r="AQ979" s="68"/>
      <c r="AR979" s="68"/>
      <c r="AS979" s="68"/>
      <c r="AT979" s="68"/>
      <c r="AU979" s="68"/>
      <c r="AV979" s="68"/>
      <c r="AW979" s="68"/>
      <c r="AX979" s="68"/>
      <c r="AY979" s="68"/>
      <c r="AZ979" s="68"/>
      <c r="BA979" s="68"/>
      <c r="BB979" s="68"/>
      <c r="BC979" s="68"/>
      <c r="BD979" s="68"/>
      <c r="BE979" s="68"/>
      <c r="BF979" s="68"/>
      <c r="BG979" s="68"/>
      <c r="BH979" s="68"/>
      <c r="BI979" s="68"/>
      <c r="BJ979" s="68"/>
      <c r="BK979" s="68"/>
      <c r="BL979" s="68"/>
      <c r="BM979" s="68"/>
      <c r="BN979" s="68"/>
      <c r="BO979" s="68"/>
      <c r="BP979" s="68"/>
      <c r="BQ979" s="68"/>
      <c r="BR979" s="68"/>
      <c r="BS979" s="68"/>
      <c r="BT979" s="68"/>
      <c r="BU979" s="68"/>
      <c r="BV979" s="68"/>
      <c r="BW979" s="68"/>
      <c r="BX979" s="68"/>
      <c r="BY979" s="68"/>
      <c r="BZ979" s="68"/>
      <c r="CA979" s="68"/>
      <c r="CB979" s="68"/>
      <c r="CC979" s="68"/>
      <c r="CD979" s="68"/>
      <c r="CE979" s="68"/>
      <c r="CF979" s="68"/>
      <c r="CG979" s="68"/>
      <c r="CH979" s="68"/>
      <c r="CI979" s="68"/>
      <c r="CJ979" s="68"/>
      <c r="CK979" s="68"/>
      <c r="CL979" s="68"/>
      <c r="CM979" s="68"/>
      <c r="CN979" s="68"/>
      <c r="CO979" s="68"/>
      <c r="CP979" s="68"/>
      <c r="CQ979" s="68"/>
      <c r="CR979" s="68"/>
      <c r="CS979" s="68"/>
      <c r="CT979" s="68"/>
      <c r="CU979" s="68"/>
      <c r="CV979" s="68"/>
      <c r="CW979" s="68"/>
      <c r="CX979" s="68"/>
    </row>
    <row r="980" spans="4:102" s="71" customFormat="1" hidden="1">
      <c r="D980" s="105"/>
      <c r="E980" s="111"/>
      <c r="F980" s="111"/>
      <c r="G980" s="111"/>
      <c r="H980" s="105"/>
      <c r="I980" s="111"/>
      <c r="J980" s="111"/>
      <c r="K980" s="112"/>
      <c r="L980" s="100"/>
      <c r="M980" s="100"/>
      <c r="N980" s="100"/>
      <c r="O980" s="100"/>
      <c r="P980" s="65"/>
      <c r="Q980" s="103"/>
      <c r="R980" s="103"/>
      <c r="S980" s="103"/>
      <c r="T980" s="103"/>
      <c r="U980" s="68"/>
      <c r="V980" s="69"/>
      <c r="W980" s="68"/>
      <c r="X980" s="68"/>
      <c r="Y980" s="68"/>
      <c r="Z980" s="68"/>
      <c r="AA980" s="68"/>
      <c r="AB980" s="68"/>
      <c r="AC980" s="68"/>
      <c r="AD980" s="68"/>
      <c r="AE980" s="68"/>
      <c r="AF980" s="68"/>
      <c r="AG980" s="68"/>
      <c r="AH980" s="68"/>
      <c r="AI980" s="68"/>
      <c r="AJ980" s="68"/>
      <c r="AK980" s="68"/>
      <c r="AL980" s="68"/>
      <c r="AM980" s="68"/>
      <c r="AN980" s="68"/>
      <c r="AO980" s="68"/>
      <c r="AP980" s="68"/>
      <c r="AQ980" s="68"/>
      <c r="AR980" s="68"/>
      <c r="AS980" s="68"/>
      <c r="AT980" s="68"/>
      <c r="AU980" s="68"/>
      <c r="AV980" s="68"/>
      <c r="AW980" s="68"/>
      <c r="AX980" s="68"/>
      <c r="AY980" s="68"/>
      <c r="AZ980" s="68"/>
      <c r="BA980" s="68"/>
      <c r="BB980" s="68"/>
      <c r="BC980" s="68"/>
      <c r="BD980" s="68"/>
      <c r="BE980" s="68"/>
      <c r="BF980" s="68"/>
      <c r="BG980" s="68"/>
      <c r="BH980" s="68"/>
      <c r="BI980" s="68"/>
      <c r="BJ980" s="68"/>
      <c r="BK980" s="68"/>
      <c r="BL980" s="68"/>
      <c r="BM980" s="68"/>
      <c r="BN980" s="68"/>
      <c r="BO980" s="68"/>
      <c r="BP980" s="68"/>
      <c r="BQ980" s="68"/>
      <c r="BR980" s="68"/>
      <c r="BS980" s="68"/>
      <c r="BT980" s="68"/>
      <c r="BU980" s="68"/>
      <c r="BV980" s="68"/>
      <c r="BW980" s="68"/>
      <c r="BX980" s="68"/>
      <c r="BY980" s="68"/>
      <c r="BZ980" s="68"/>
      <c r="CA980" s="68"/>
      <c r="CB980" s="68"/>
      <c r="CC980" s="68"/>
      <c r="CD980" s="68"/>
      <c r="CE980" s="68"/>
      <c r="CF980" s="68"/>
      <c r="CG980" s="68"/>
      <c r="CH980" s="68"/>
      <c r="CI980" s="68"/>
      <c r="CJ980" s="68"/>
      <c r="CK980" s="68"/>
      <c r="CL980" s="68"/>
      <c r="CM980" s="68"/>
      <c r="CN980" s="68"/>
      <c r="CO980" s="68"/>
      <c r="CP980" s="68"/>
      <c r="CQ980" s="68"/>
      <c r="CR980" s="68"/>
      <c r="CS980" s="68"/>
      <c r="CT980" s="68"/>
      <c r="CU980" s="68"/>
      <c r="CV980" s="68"/>
      <c r="CW980" s="68"/>
      <c r="CX980" s="68"/>
    </row>
    <row r="981" spans="4:102" s="71" customFormat="1" hidden="1">
      <c r="D981" s="105"/>
      <c r="E981" s="111"/>
      <c r="F981" s="111"/>
      <c r="G981" s="111"/>
      <c r="H981" s="105"/>
      <c r="I981" s="111"/>
      <c r="J981" s="111"/>
      <c r="K981" s="112"/>
      <c r="L981" s="100"/>
      <c r="M981" s="100"/>
      <c r="N981" s="100"/>
      <c r="O981" s="100"/>
      <c r="P981" s="65"/>
      <c r="Q981" s="103"/>
      <c r="R981" s="103"/>
      <c r="S981" s="103"/>
      <c r="T981" s="103"/>
      <c r="U981" s="68"/>
      <c r="V981" s="69"/>
      <c r="W981" s="68"/>
      <c r="X981" s="68"/>
      <c r="Y981" s="68"/>
      <c r="Z981" s="68"/>
      <c r="AA981" s="68"/>
      <c r="AB981" s="68"/>
      <c r="AC981" s="68"/>
      <c r="AD981" s="68"/>
      <c r="AE981" s="68"/>
      <c r="AF981" s="68"/>
      <c r="AG981" s="68"/>
      <c r="AH981" s="68"/>
      <c r="AI981" s="68"/>
      <c r="AJ981" s="68"/>
      <c r="AK981" s="68"/>
      <c r="AL981" s="68"/>
      <c r="AM981" s="68"/>
      <c r="AN981" s="68"/>
      <c r="AO981" s="68"/>
      <c r="AP981" s="68"/>
      <c r="AQ981" s="68"/>
      <c r="AR981" s="68"/>
      <c r="AS981" s="68"/>
      <c r="AT981" s="68"/>
      <c r="AU981" s="68"/>
      <c r="AV981" s="68"/>
      <c r="AW981" s="68"/>
      <c r="AX981" s="68"/>
      <c r="AY981" s="68"/>
      <c r="AZ981" s="68"/>
      <c r="BA981" s="68"/>
      <c r="BB981" s="68"/>
      <c r="BC981" s="68"/>
      <c r="BD981" s="68"/>
      <c r="BE981" s="68"/>
      <c r="BF981" s="68"/>
      <c r="BG981" s="68"/>
      <c r="BH981" s="68"/>
      <c r="BI981" s="68"/>
      <c r="BJ981" s="68"/>
      <c r="BK981" s="68"/>
      <c r="BL981" s="68"/>
      <c r="BM981" s="68"/>
      <c r="BN981" s="68"/>
      <c r="BO981" s="68"/>
      <c r="BP981" s="68"/>
      <c r="BQ981" s="68"/>
      <c r="BR981" s="68"/>
      <c r="BS981" s="68"/>
      <c r="BT981" s="68"/>
      <c r="BU981" s="68"/>
      <c r="BV981" s="68"/>
      <c r="BW981" s="68"/>
      <c r="BX981" s="68"/>
      <c r="BY981" s="68"/>
      <c r="BZ981" s="68"/>
      <c r="CA981" s="68"/>
      <c r="CB981" s="68"/>
      <c r="CC981" s="68"/>
      <c r="CD981" s="68"/>
      <c r="CE981" s="68"/>
      <c r="CF981" s="68"/>
      <c r="CG981" s="68"/>
      <c r="CH981" s="68"/>
      <c r="CI981" s="68"/>
      <c r="CJ981" s="68"/>
      <c r="CK981" s="68"/>
      <c r="CL981" s="68"/>
      <c r="CM981" s="68"/>
      <c r="CN981" s="68"/>
      <c r="CO981" s="68"/>
      <c r="CP981" s="68"/>
      <c r="CQ981" s="68"/>
      <c r="CR981" s="68"/>
      <c r="CS981" s="68"/>
      <c r="CT981" s="68"/>
      <c r="CU981" s="68"/>
      <c r="CV981" s="68"/>
      <c r="CW981" s="68"/>
      <c r="CX981" s="68"/>
    </row>
    <row r="982" spans="4:102" s="71" customFormat="1" hidden="1">
      <c r="D982" s="105"/>
      <c r="E982" s="111"/>
      <c r="F982" s="111"/>
      <c r="G982" s="111"/>
      <c r="H982" s="105"/>
      <c r="I982" s="111"/>
      <c r="J982" s="111"/>
      <c r="K982" s="112"/>
      <c r="L982" s="100"/>
      <c r="M982" s="100"/>
      <c r="N982" s="100"/>
      <c r="O982" s="100"/>
      <c r="P982" s="65"/>
      <c r="Q982" s="103"/>
      <c r="R982" s="103"/>
      <c r="S982" s="103"/>
      <c r="T982" s="103"/>
      <c r="U982" s="68"/>
      <c r="V982" s="69"/>
      <c r="W982" s="68"/>
      <c r="X982" s="68"/>
      <c r="Y982" s="68"/>
      <c r="Z982" s="68"/>
      <c r="AA982" s="68"/>
      <c r="AB982" s="68"/>
      <c r="AC982" s="68"/>
      <c r="AD982" s="68"/>
      <c r="AE982" s="68"/>
      <c r="AF982" s="68"/>
      <c r="AG982" s="68"/>
      <c r="AH982" s="68"/>
      <c r="AI982" s="68"/>
      <c r="AJ982" s="68"/>
      <c r="AK982" s="68"/>
      <c r="AL982" s="68"/>
      <c r="AM982" s="68"/>
      <c r="AN982" s="68"/>
      <c r="AO982" s="68"/>
      <c r="AP982" s="68"/>
      <c r="AQ982" s="68"/>
      <c r="AR982" s="68"/>
      <c r="AS982" s="68"/>
      <c r="AT982" s="68"/>
      <c r="AU982" s="68"/>
      <c r="AV982" s="68"/>
      <c r="AW982" s="68"/>
      <c r="AX982" s="68"/>
      <c r="AY982" s="68"/>
      <c r="AZ982" s="68"/>
      <c r="BA982" s="68"/>
      <c r="BB982" s="68"/>
      <c r="BC982" s="68"/>
      <c r="BD982" s="68"/>
      <c r="BE982" s="68"/>
      <c r="BF982" s="68"/>
      <c r="BG982" s="68"/>
      <c r="BH982" s="68"/>
      <c r="BI982" s="68"/>
      <c r="BJ982" s="68"/>
      <c r="BK982" s="68"/>
      <c r="BL982" s="68"/>
      <c r="BM982" s="68"/>
      <c r="BN982" s="68"/>
      <c r="BO982" s="68"/>
      <c r="BP982" s="68"/>
      <c r="BQ982" s="68"/>
      <c r="BR982" s="68"/>
      <c r="BS982" s="68"/>
      <c r="BT982" s="68"/>
      <c r="BU982" s="68"/>
      <c r="BV982" s="68"/>
      <c r="BW982" s="68"/>
      <c r="BX982" s="68"/>
      <c r="BY982" s="68"/>
      <c r="BZ982" s="68"/>
      <c r="CA982" s="68"/>
      <c r="CB982" s="68"/>
      <c r="CC982" s="68"/>
      <c r="CD982" s="68"/>
      <c r="CE982" s="68"/>
      <c r="CF982" s="68"/>
      <c r="CG982" s="68"/>
      <c r="CH982" s="68"/>
      <c r="CI982" s="68"/>
      <c r="CJ982" s="68"/>
      <c r="CK982" s="68"/>
      <c r="CL982" s="68"/>
      <c r="CM982" s="68"/>
      <c r="CN982" s="68"/>
      <c r="CO982" s="68"/>
      <c r="CP982" s="68"/>
      <c r="CQ982" s="68"/>
      <c r="CR982" s="68"/>
      <c r="CS982" s="68"/>
      <c r="CT982" s="68"/>
      <c r="CU982" s="68"/>
      <c r="CV982" s="68"/>
      <c r="CW982" s="68"/>
      <c r="CX982" s="68"/>
    </row>
    <row r="983" spans="4:102" s="71" customFormat="1" hidden="1">
      <c r="D983" s="105"/>
      <c r="E983" s="111"/>
      <c r="F983" s="111"/>
      <c r="G983" s="111"/>
      <c r="H983" s="105"/>
      <c r="I983" s="111"/>
      <c r="J983" s="111"/>
      <c r="K983" s="112"/>
      <c r="L983" s="100"/>
      <c r="M983" s="100"/>
      <c r="N983" s="100"/>
      <c r="O983" s="100"/>
      <c r="P983" s="65"/>
      <c r="Q983" s="103"/>
      <c r="R983" s="103"/>
      <c r="S983" s="103"/>
      <c r="T983" s="103"/>
      <c r="U983" s="68"/>
      <c r="V983" s="69"/>
      <c r="W983" s="68"/>
      <c r="X983" s="68"/>
      <c r="Y983" s="68"/>
      <c r="Z983" s="68"/>
      <c r="AA983" s="68"/>
      <c r="AB983" s="68"/>
      <c r="AC983" s="68"/>
      <c r="AD983" s="68"/>
      <c r="AE983" s="68"/>
      <c r="AF983" s="68"/>
      <c r="AG983" s="68"/>
      <c r="AH983" s="68"/>
      <c r="AI983" s="68"/>
      <c r="AJ983" s="68"/>
      <c r="AK983" s="68"/>
      <c r="AL983" s="68"/>
      <c r="AM983" s="68"/>
      <c r="AN983" s="68"/>
      <c r="AO983" s="68"/>
      <c r="AP983" s="68"/>
      <c r="AQ983" s="68"/>
      <c r="AR983" s="68"/>
      <c r="AS983" s="68"/>
      <c r="AT983" s="68"/>
      <c r="AU983" s="68"/>
      <c r="AV983" s="68"/>
      <c r="AW983" s="68"/>
      <c r="AX983" s="68"/>
      <c r="AY983" s="68"/>
      <c r="AZ983" s="68"/>
      <c r="BA983" s="68"/>
      <c r="BB983" s="68"/>
      <c r="BC983" s="68"/>
      <c r="BD983" s="68"/>
      <c r="BE983" s="68"/>
      <c r="BF983" s="68"/>
      <c r="BG983" s="68"/>
      <c r="BH983" s="68"/>
      <c r="BI983" s="68"/>
      <c r="BJ983" s="68"/>
      <c r="BK983" s="68"/>
      <c r="BL983" s="68"/>
      <c r="BM983" s="68"/>
      <c r="BN983" s="68"/>
      <c r="BO983" s="68"/>
      <c r="BP983" s="68"/>
      <c r="BQ983" s="68"/>
      <c r="BR983" s="68"/>
      <c r="BS983" s="68"/>
      <c r="BT983" s="68"/>
      <c r="BU983" s="68"/>
      <c r="BV983" s="68"/>
      <c r="BW983" s="68"/>
      <c r="BX983" s="68"/>
      <c r="BY983" s="68"/>
      <c r="BZ983" s="68"/>
      <c r="CA983" s="68"/>
      <c r="CB983" s="68"/>
      <c r="CC983" s="68"/>
      <c r="CD983" s="68"/>
      <c r="CE983" s="68"/>
      <c r="CF983" s="68"/>
      <c r="CG983" s="68"/>
      <c r="CH983" s="68"/>
      <c r="CI983" s="68"/>
      <c r="CJ983" s="68"/>
      <c r="CK983" s="68"/>
      <c r="CL983" s="68"/>
      <c r="CM983" s="68"/>
      <c r="CN983" s="68"/>
      <c r="CO983" s="68"/>
      <c r="CP983" s="68"/>
      <c r="CQ983" s="68"/>
      <c r="CR983" s="68"/>
      <c r="CS983" s="68"/>
      <c r="CT983" s="68"/>
      <c r="CU983" s="68"/>
      <c r="CV983" s="68"/>
      <c r="CW983" s="68"/>
      <c r="CX983" s="68"/>
    </row>
    <row r="984" spans="4:102" s="71" customFormat="1" hidden="1">
      <c r="D984" s="105"/>
      <c r="E984" s="111"/>
      <c r="F984" s="111"/>
      <c r="G984" s="111"/>
      <c r="H984" s="105"/>
      <c r="I984" s="111"/>
      <c r="J984" s="111"/>
      <c r="K984" s="112"/>
      <c r="L984" s="100"/>
      <c r="M984" s="100"/>
      <c r="N984" s="100"/>
      <c r="O984" s="100"/>
      <c r="P984" s="65"/>
      <c r="Q984" s="103"/>
      <c r="R984" s="103"/>
      <c r="S984" s="103"/>
      <c r="T984" s="103"/>
      <c r="U984" s="68"/>
      <c r="V984" s="69"/>
      <c r="W984" s="68"/>
      <c r="X984" s="68"/>
      <c r="Y984" s="68"/>
      <c r="Z984" s="68"/>
      <c r="AA984" s="68"/>
      <c r="AB984" s="68"/>
      <c r="AC984" s="68"/>
      <c r="AD984" s="68"/>
      <c r="AE984" s="68"/>
      <c r="AF984" s="68"/>
      <c r="AG984" s="68"/>
      <c r="AH984" s="68"/>
      <c r="AI984" s="68"/>
      <c r="AJ984" s="68"/>
      <c r="AK984" s="68"/>
      <c r="AL984" s="68"/>
      <c r="AM984" s="68"/>
      <c r="AN984" s="68"/>
      <c r="AO984" s="68"/>
      <c r="AP984" s="68"/>
      <c r="AQ984" s="68"/>
      <c r="AR984" s="68"/>
      <c r="AS984" s="68"/>
      <c r="AT984" s="68"/>
      <c r="AU984" s="68"/>
      <c r="AV984" s="68"/>
      <c r="AW984" s="68"/>
      <c r="AX984" s="68"/>
      <c r="AY984" s="68"/>
      <c r="AZ984" s="68"/>
      <c r="BA984" s="68"/>
      <c r="BB984" s="68"/>
      <c r="BC984" s="68"/>
      <c r="BD984" s="68"/>
      <c r="BE984" s="68"/>
      <c r="BF984" s="68"/>
      <c r="BG984" s="68"/>
      <c r="BH984" s="68"/>
      <c r="BI984" s="68"/>
      <c r="BJ984" s="68"/>
      <c r="BK984" s="68"/>
      <c r="BL984" s="68"/>
      <c r="BM984" s="68"/>
      <c r="BN984" s="68"/>
      <c r="BO984" s="68"/>
      <c r="BP984" s="68"/>
      <c r="BQ984" s="68"/>
      <c r="BR984" s="68"/>
      <c r="BS984" s="68"/>
      <c r="BT984" s="68"/>
      <c r="BU984" s="68"/>
      <c r="BV984" s="68"/>
      <c r="BW984" s="68"/>
      <c r="BX984" s="68"/>
      <c r="BY984" s="68"/>
      <c r="BZ984" s="68"/>
      <c r="CA984" s="68"/>
      <c r="CB984" s="68"/>
      <c r="CC984" s="68"/>
      <c r="CD984" s="68"/>
      <c r="CE984" s="68"/>
      <c r="CF984" s="68"/>
      <c r="CG984" s="68"/>
      <c r="CH984" s="68"/>
      <c r="CI984" s="68"/>
      <c r="CJ984" s="68"/>
      <c r="CK984" s="68"/>
      <c r="CL984" s="68"/>
      <c r="CM984" s="68"/>
      <c r="CN984" s="68"/>
      <c r="CO984" s="68"/>
      <c r="CP984" s="68"/>
      <c r="CQ984" s="68"/>
      <c r="CR984" s="68"/>
      <c r="CS984" s="68"/>
      <c r="CT984" s="68"/>
      <c r="CU984" s="68"/>
      <c r="CV984" s="68"/>
      <c r="CW984" s="68"/>
      <c r="CX984" s="68"/>
    </row>
    <row r="985" spans="4:102" s="71" customFormat="1" hidden="1">
      <c r="D985" s="105"/>
      <c r="E985" s="111"/>
      <c r="F985" s="111"/>
      <c r="G985" s="111"/>
      <c r="H985" s="105"/>
      <c r="I985" s="111"/>
      <c r="J985" s="111"/>
      <c r="K985" s="112"/>
      <c r="L985" s="100"/>
      <c r="M985" s="100"/>
      <c r="N985" s="100"/>
      <c r="O985" s="100"/>
      <c r="P985" s="65"/>
      <c r="Q985" s="103"/>
      <c r="R985" s="103"/>
      <c r="S985" s="103"/>
      <c r="T985" s="103"/>
      <c r="U985" s="68"/>
      <c r="V985" s="69"/>
      <c r="W985" s="68"/>
      <c r="X985" s="68"/>
      <c r="Y985" s="68"/>
      <c r="Z985" s="68"/>
      <c r="AA985" s="68"/>
      <c r="AB985" s="68"/>
      <c r="AC985" s="68"/>
      <c r="AD985" s="68"/>
      <c r="AE985" s="68"/>
      <c r="AF985" s="68"/>
      <c r="AG985" s="68"/>
      <c r="AH985" s="68"/>
      <c r="AI985" s="68"/>
      <c r="AJ985" s="68"/>
      <c r="AK985" s="68"/>
      <c r="AL985" s="68"/>
      <c r="AM985" s="68"/>
      <c r="AN985" s="68"/>
      <c r="AO985" s="68"/>
      <c r="AP985" s="68"/>
      <c r="AQ985" s="68"/>
      <c r="AR985" s="68"/>
      <c r="AS985" s="68"/>
      <c r="AT985" s="68"/>
      <c r="AU985" s="68"/>
      <c r="AV985" s="68"/>
      <c r="AW985" s="68"/>
      <c r="AX985" s="68"/>
      <c r="AY985" s="68"/>
      <c r="AZ985" s="68"/>
      <c r="BA985" s="68"/>
      <c r="BB985" s="68"/>
      <c r="BC985" s="68"/>
      <c r="BD985" s="68"/>
      <c r="BE985" s="68"/>
      <c r="BF985" s="68"/>
      <c r="BG985" s="68"/>
      <c r="BH985" s="68"/>
      <c r="BI985" s="68"/>
      <c r="BJ985" s="68"/>
      <c r="BK985" s="68"/>
      <c r="BL985" s="68"/>
      <c r="BM985" s="68"/>
      <c r="BN985" s="68"/>
      <c r="BO985" s="68"/>
      <c r="BP985" s="68"/>
      <c r="BQ985" s="68"/>
      <c r="BR985" s="68"/>
      <c r="BS985" s="68"/>
      <c r="BT985" s="68"/>
      <c r="BU985" s="68"/>
      <c r="BV985" s="68"/>
      <c r="BW985" s="68"/>
      <c r="BX985" s="68"/>
      <c r="BY985" s="68"/>
      <c r="BZ985" s="68"/>
      <c r="CA985" s="68"/>
      <c r="CB985" s="68"/>
      <c r="CC985" s="68"/>
      <c r="CD985" s="68"/>
      <c r="CE985" s="68"/>
      <c r="CF985" s="68"/>
      <c r="CG985" s="68"/>
      <c r="CH985" s="68"/>
      <c r="CI985" s="68"/>
      <c r="CJ985" s="68"/>
      <c r="CK985" s="68"/>
      <c r="CL985" s="68"/>
      <c r="CM985" s="68"/>
      <c r="CN985" s="68"/>
      <c r="CO985" s="68"/>
      <c r="CP985" s="68"/>
      <c r="CQ985" s="68"/>
      <c r="CR985" s="68"/>
      <c r="CS985" s="68"/>
      <c r="CT985" s="68"/>
      <c r="CU985" s="68"/>
      <c r="CV985" s="68"/>
      <c r="CW985" s="68"/>
      <c r="CX985" s="68"/>
    </row>
    <row r="986" spans="4:102" s="71" customFormat="1" hidden="1">
      <c r="D986" s="105"/>
      <c r="E986" s="111"/>
      <c r="F986" s="111"/>
      <c r="G986" s="111"/>
      <c r="H986" s="105"/>
      <c r="I986" s="111"/>
      <c r="J986" s="111"/>
      <c r="K986" s="112"/>
      <c r="L986" s="100"/>
      <c r="M986" s="100"/>
      <c r="N986" s="100"/>
      <c r="O986" s="100"/>
      <c r="P986" s="65"/>
      <c r="Q986" s="103"/>
      <c r="R986" s="103"/>
      <c r="S986" s="103"/>
      <c r="T986" s="103"/>
      <c r="U986" s="68"/>
      <c r="V986" s="69"/>
      <c r="W986" s="68"/>
      <c r="X986" s="68"/>
      <c r="Y986" s="68"/>
      <c r="Z986" s="68"/>
      <c r="AA986" s="68"/>
      <c r="AB986" s="68"/>
      <c r="AC986" s="68"/>
      <c r="AD986" s="68"/>
      <c r="AE986" s="68"/>
      <c r="AF986" s="68"/>
      <c r="AG986" s="68"/>
      <c r="AH986" s="68"/>
      <c r="AI986" s="68"/>
      <c r="AJ986" s="68"/>
      <c r="AK986" s="68"/>
      <c r="AL986" s="68"/>
      <c r="AM986" s="68"/>
      <c r="AN986" s="68"/>
      <c r="AO986" s="68"/>
      <c r="AP986" s="68"/>
      <c r="AQ986" s="68"/>
      <c r="AR986" s="68"/>
      <c r="AS986" s="68"/>
      <c r="AT986" s="68"/>
      <c r="AU986" s="68"/>
      <c r="AV986" s="68"/>
      <c r="AW986" s="68"/>
      <c r="AX986" s="68"/>
      <c r="AY986" s="68"/>
      <c r="AZ986" s="68"/>
      <c r="BA986" s="68"/>
      <c r="BB986" s="68"/>
      <c r="BC986" s="68"/>
      <c r="BD986" s="68"/>
      <c r="BE986" s="68"/>
      <c r="BF986" s="68"/>
      <c r="BG986" s="68"/>
      <c r="BH986" s="68"/>
      <c r="BI986" s="68"/>
      <c r="BJ986" s="68"/>
      <c r="BK986" s="68"/>
      <c r="BL986" s="68"/>
      <c r="BM986" s="68"/>
      <c r="BN986" s="68"/>
      <c r="BO986" s="68"/>
      <c r="BP986" s="68"/>
      <c r="BQ986" s="68"/>
      <c r="BR986" s="68"/>
      <c r="BS986" s="68"/>
      <c r="BT986" s="68"/>
      <c r="BU986" s="68"/>
      <c r="BV986" s="68"/>
      <c r="BW986" s="68"/>
      <c r="BX986" s="68"/>
      <c r="BY986" s="68"/>
      <c r="BZ986" s="68"/>
      <c r="CA986" s="68"/>
      <c r="CB986" s="68"/>
      <c r="CC986" s="68"/>
      <c r="CD986" s="68"/>
      <c r="CE986" s="68"/>
      <c r="CF986" s="68"/>
      <c r="CG986" s="68"/>
      <c r="CH986" s="68"/>
      <c r="CI986" s="68"/>
      <c r="CJ986" s="68"/>
      <c r="CK986" s="68"/>
      <c r="CL986" s="68"/>
      <c r="CM986" s="68"/>
      <c r="CN986" s="68"/>
      <c r="CO986" s="68"/>
      <c r="CP986" s="68"/>
      <c r="CQ986" s="68"/>
      <c r="CR986" s="68"/>
      <c r="CS986" s="68"/>
      <c r="CT986" s="68"/>
      <c r="CU986" s="68"/>
      <c r="CV986" s="68"/>
      <c r="CW986" s="68"/>
      <c r="CX986" s="68"/>
    </row>
    <row r="987" spans="4:102" s="71" customFormat="1" hidden="1">
      <c r="D987" s="105"/>
      <c r="E987" s="111"/>
      <c r="F987" s="111"/>
      <c r="G987" s="111"/>
      <c r="H987" s="105"/>
      <c r="I987" s="111"/>
      <c r="J987" s="111"/>
      <c r="K987" s="112"/>
      <c r="L987" s="100"/>
      <c r="M987" s="100"/>
      <c r="N987" s="100"/>
      <c r="O987" s="100"/>
      <c r="P987" s="65"/>
      <c r="Q987" s="103"/>
      <c r="R987" s="103"/>
      <c r="S987" s="103"/>
      <c r="T987" s="103"/>
      <c r="U987" s="68"/>
      <c r="V987" s="69"/>
      <c r="W987" s="68"/>
      <c r="X987" s="68"/>
      <c r="Y987" s="68"/>
      <c r="Z987" s="68"/>
      <c r="AA987" s="68"/>
      <c r="AB987" s="68"/>
      <c r="AC987" s="68"/>
      <c r="AD987" s="68"/>
      <c r="AE987" s="68"/>
      <c r="AF987" s="68"/>
      <c r="AG987" s="68"/>
      <c r="AH987" s="68"/>
      <c r="AI987" s="68"/>
      <c r="AJ987" s="68"/>
      <c r="AK987" s="68"/>
      <c r="AL987" s="68"/>
      <c r="AM987" s="68"/>
      <c r="AN987" s="68"/>
      <c r="AO987" s="68"/>
      <c r="AP987" s="68"/>
      <c r="AQ987" s="68"/>
      <c r="AR987" s="68"/>
      <c r="AS987" s="68"/>
      <c r="AT987" s="68"/>
      <c r="AU987" s="68"/>
      <c r="AV987" s="68"/>
      <c r="AW987" s="68"/>
      <c r="AX987" s="68"/>
      <c r="AY987" s="68"/>
      <c r="AZ987" s="68"/>
      <c r="BA987" s="68"/>
      <c r="BB987" s="68"/>
      <c r="BC987" s="68"/>
      <c r="BD987" s="68"/>
      <c r="BE987" s="68"/>
      <c r="BF987" s="68"/>
      <c r="BG987" s="68"/>
      <c r="BH987" s="68"/>
      <c r="BI987" s="68"/>
      <c r="BJ987" s="68"/>
      <c r="BK987" s="68"/>
      <c r="BL987" s="68"/>
      <c r="BM987" s="68"/>
      <c r="BN987" s="68"/>
      <c r="BO987" s="68"/>
      <c r="BP987" s="68"/>
      <c r="BQ987" s="68"/>
      <c r="BR987" s="68"/>
      <c r="BS987" s="68"/>
      <c r="BT987" s="68"/>
      <c r="BU987" s="68"/>
      <c r="BV987" s="68"/>
      <c r="BW987" s="68"/>
      <c r="BX987" s="68"/>
      <c r="BY987" s="68"/>
      <c r="BZ987" s="68"/>
      <c r="CA987" s="68"/>
      <c r="CB987" s="68"/>
      <c r="CC987" s="68"/>
      <c r="CD987" s="68"/>
      <c r="CE987" s="68"/>
      <c r="CF987" s="68"/>
      <c r="CG987" s="68"/>
      <c r="CH987" s="68"/>
      <c r="CI987" s="68"/>
      <c r="CJ987" s="68"/>
      <c r="CK987" s="68"/>
      <c r="CL987" s="68"/>
      <c r="CM987" s="68"/>
      <c r="CN987" s="68"/>
      <c r="CO987" s="68"/>
      <c r="CP987" s="68"/>
      <c r="CQ987" s="68"/>
      <c r="CR987" s="68"/>
      <c r="CS987" s="68"/>
      <c r="CT987" s="68"/>
      <c r="CU987" s="68"/>
      <c r="CV987" s="68"/>
      <c r="CW987" s="68"/>
      <c r="CX987" s="68"/>
    </row>
    <row r="988" spans="4:102" s="71" customFormat="1" hidden="1">
      <c r="D988" s="105"/>
      <c r="E988" s="111"/>
      <c r="F988" s="111"/>
      <c r="G988" s="111"/>
      <c r="H988" s="105"/>
      <c r="I988" s="111"/>
      <c r="J988" s="111"/>
      <c r="K988" s="112"/>
      <c r="L988" s="100"/>
      <c r="M988" s="100"/>
      <c r="N988" s="100"/>
      <c r="O988" s="100"/>
      <c r="P988" s="65"/>
      <c r="Q988" s="103"/>
      <c r="R988" s="103"/>
      <c r="S988" s="103"/>
      <c r="T988" s="103"/>
      <c r="U988" s="68"/>
      <c r="V988" s="69"/>
      <c r="W988" s="68"/>
      <c r="X988" s="68"/>
      <c r="Y988" s="68"/>
      <c r="Z988" s="68"/>
      <c r="AA988" s="68"/>
      <c r="AB988" s="68"/>
      <c r="AC988" s="68"/>
      <c r="AD988" s="68"/>
      <c r="AE988" s="68"/>
      <c r="AF988" s="68"/>
      <c r="AG988" s="68"/>
      <c r="AH988" s="68"/>
      <c r="AI988" s="68"/>
      <c r="AJ988" s="68"/>
      <c r="AK988" s="68"/>
      <c r="AL988" s="68"/>
      <c r="AM988" s="68"/>
      <c r="AN988" s="68"/>
      <c r="AO988" s="68"/>
      <c r="AP988" s="68"/>
      <c r="AQ988" s="68"/>
      <c r="AR988" s="68"/>
      <c r="AS988" s="68"/>
      <c r="AT988" s="68"/>
      <c r="AU988" s="68"/>
      <c r="AV988" s="68"/>
      <c r="AW988" s="68"/>
      <c r="AX988" s="68"/>
      <c r="AY988" s="68"/>
      <c r="AZ988" s="68"/>
      <c r="BA988" s="68"/>
      <c r="BB988" s="68"/>
      <c r="BC988" s="68"/>
      <c r="BD988" s="68"/>
      <c r="BE988" s="68"/>
      <c r="BF988" s="68"/>
      <c r="BG988" s="68"/>
      <c r="BH988" s="68"/>
      <c r="BI988" s="68"/>
      <c r="BJ988" s="68"/>
      <c r="BK988" s="68"/>
      <c r="BL988" s="68"/>
      <c r="BM988" s="68"/>
      <c r="BN988" s="68"/>
      <c r="BO988" s="68"/>
      <c r="BP988" s="68"/>
      <c r="BQ988" s="68"/>
      <c r="BR988" s="68"/>
      <c r="BS988" s="68"/>
      <c r="BT988" s="68"/>
      <c r="BU988" s="68"/>
      <c r="BV988" s="68"/>
      <c r="BW988" s="68"/>
      <c r="BX988" s="68"/>
      <c r="BY988" s="68"/>
      <c r="BZ988" s="68"/>
      <c r="CA988" s="68"/>
      <c r="CB988" s="68"/>
      <c r="CC988" s="68"/>
      <c r="CD988" s="68"/>
      <c r="CE988" s="68"/>
      <c r="CF988" s="68"/>
      <c r="CG988" s="68"/>
      <c r="CH988" s="68"/>
      <c r="CI988" s="68"/>
      <c r="CJ988" s="68"/>
      <c r="CK988" s="68"/>
      <c r="CL988" s="68"/>
      <c r="CM988" s="68"/>
      <c r="CN988" s="68"/>
      <c r="CO988" s="68"/>
      <c r="CP988" s="68"/>
      <c r="CQ988" s="68"/>
      <c r="CR988" s="68"/>
      <c r="CS988" s="68"/>
      <c r="CT988" s="68"/>
      <c r="CU988" s="68"/>
      <c r="CV988" s="68"/>
      <c r="CW988" s="68"/>
      <c r="CX988" s="68"/>
    </row>
    <row r="989" spans="4:102" s="71" customFormat="1" hidden="1">
      <c r="D989" s="105"/>
      <c r="E989" s="111"/>
      <c r="F989" s="111"/>
      <c r="G989" s="111"/>
      <c r="H989" s="105"/>
      <c r="I989" s="111"/>
      <c r="J989" s="111"/>
      <c r="K989" s="112"/>
      <c r="L989" s="100"/>
      <c r="M989" s="100"/>
      <c r="N989" s="100"/>
      <c r="O989" s="100"/>
      <c r="P989" s="65"/>
      <c r="Q989" s="103"/>
      <c r="R989" s="103"/>
      <c r="S989" s="103"/>
      <c r="T989" s="103"/>
      <c r="U989" s="68"/>
      <c r="V989" s="69"/>
      <c r="W989" s="68"/>
      <c r="X989" s="68"/>
      <c r="Y989" s="68"/>
      <c r="Z989" s="68"/>
      <c r="AA989" s="68"/>
      <c r="AB989" s="68"/>
      <c r="AC989" s="68"/>
      <c r="AD989" s="68"/>
      <c r="AE989" s="68"/>
      <c r="AF989" s="68"/>
      <c r="AG989" s="68"/>
      <c r="AH989" s="68"/>
      <c r="AI989" s="68"/>
      <c r="AJ989" s="68"/>
      <c r="AK989" s="68"/>
      <c r="AL989" s="68"/>
      <c r="AM989" s="68"/>
      <c r="AN989" s="68"/>
      <c r="AO989" s="68"/>
      <c r="AP989" s="68"/>
      <c r="AQ989" s="68"/>
      <c r="AR989" s="68"/>
      <c r="AS989" s="68"/>
      <c r="AT989" s="68"/>
      <c r="AU989" s="68"/>
      <c r="AV989" s="68"/>
      <c r="AW989" s="68"/>
      <c r="AX989" s="68"/>
      <c r="AY989" s="68"/>
      <c r="AZ989" s="68"/>
      <c r="BA989" s="68"/>
      <c r="BB989" s="68"/>
      <c r="BC989" s="68"/>
      <c r="BD989" s="68"/>
      <c r="BE989" s="68"/>
      <c r="BF989" s="68"/>
      <c r="BG989" s="68"/>
      <c r="BH989" s="68"/>
      <c r="BI989" s="68"/>
      <c r="BJ989" s="68"/>
      <c r="BK989" s="68"/>
      <c r="BL989" s="68"/>
      <c r="BM989" s="68"/>
      <c r="BN989" s="68"/>
      <c r="BO989" s="68"/>
      <c r="BP989" s="68"/>
      <c r="BQ989" s="68"/>
      <c r="BR989" s="68"/>
      <c r="BS989" s="68"/>
      <c r="BT989" s="68"/>
      <c r="BU989" s="68"/>
      <c r="BV989" s="68"/>
      <c r="BW989" s="68"/>
      <c r="BX989" s="68"/>
      <c r="BY989" s="68"/>
      <c r="BZ989" s="68"/>
      <c r="CA989" s="68"/>
      <c r="CB989" s="68"/>
      <c r="CC989" s="68"/>
      <c r="CD989" s="68"/>
      <c r="CE989" s="68"/>
      <c r="CF989" s="68"/>
      <c r="CG989" s="68"/>
      <c r="CH989" s="68"/>
      <c r="CI989" s="68"/>
      <c r="CJ989" s="68"/>
      <c r="CK989" s="68"/>
      <c r="CL989" s="68"/>
      <c r="CM989" s="68"/>
      <c r="CN989" s="68"/>
      <c r="CO989" s="68"/>
      <c r="CP989" s="68"/>
      <c r="CQ989" s="68"/>
      <c r="CR989" s="68"/>
      <c r="CS989" s="68"/>
      <c r="CT989" s="68"/>
      <c r="CU989" s="68"/>
      <c r="CV989" s="68"/>
      <c r="CW989" s="68"/>
      <c r="CX989" s="68"/>
    </row>
    <row r="990" spans="4:102" s="71" customFormat="1" hidden="1">
      <c r="D990" s="105"/>
      <c r="E990" s="111"/>
      <c r="F990" s="111"/>
      <c r="G990" s="111"/>
      <c r="H990" s="105"/>
      <c r="I990" s="111"/>
      <c r="J990" s="111"/>
      <c r="K990" s="112"/>
      <c r="L990" s="100"/>
      <c r="M990" s="100"/>
      <c r="N990" s="100"/>
      <c r="O990" s="100"/>
      <c r="P990" s="65"/>
      <c r="Q990" s="103"/>
      <c r="R990" s="103"/>
      <c r="S990" s="103"/>
      <c r="T990" s="103"/>
      <c r="U990" s="68"/>
      <c r="V990" s="69"/>
      <c r="W990" s="68"/>
      <c r="X990" s="68"/>
      <c r="Y990" s="68"/>
      <c r="Z990" s="68"/>
      <c r="AA990" s="68"/>
      <c r="AB990" s="68"/>
      <c r="AC990" s="68"/>
      <c r="AD990" s="68"/>
      <c r="AE990" s="68"/>
      <c r="AF990" s="68"/>
      <c r="AG990" s="68"/>
      <c r="AH990" s="68"/>
      <c r="AI990" s="68"/>
      <c r="AJ990" s="68"/>
      <c r="AK990" s="68"/>
      <c r="AL990" s="68"/>
      <c r="AM990" s="68"/>
      <c r="AN990" s="68"/>
      <c r="AO990" s="68"/>
      <c r="AP990" s="68"/>
      <c r="AQ990" s="68"/>
      <c r="AR990" s="68"/>
      <c r="AS990" s="68"/>
      <c r="AT990" s="68"/>
      <c r="AU990" s="68"/>
      <c r="AV990" s="68"/>
      <c r="AW990" s="68"/>
      <c r="AX990" s="68"/>
      <c r="AY990" s="68"/>
      <c r="AZ990" s="68"/>
      <c r="BA990" s="68"/>
      <c r="BB990" s="68"/>
      <c r="BC990" s="68"/>
      <c r="BD990" s="68"/>
      <c r="BE990" s="68"/>
      <c r="BF990" s="68"/>
      <c r="BG990" s="68"/>
      <c r="BH990" s="68"/>
      <c r="BI990" s="68"/>
      <c r="BJ990" s="68"/>
      <c r="BK990" s="68"/>
      <c r="BL990" s="68"/>
      <c r="BM990" s="68"/>
      <c r="BN990" s="68"/>
      <c r="BO990" s="68"/>
      <c r="BP990" s="68"/>
      <c r="BQ990" s="68"/>
      <c r="BR990" s="68"/>
      <c r="BS990" s="68"/>
      <c r="BT990" s="68"/>
      <c r="BU990" s="68"/>
      <c r="BV990" s="68"/>
      <c r="BW990" s="68"/>
      <c r="BX990" s="68"/>
      <c r="BY990" s="68"/>
      <c r="BZ990" s="68"/>
      <c r="CA990" s="68"/>
      <c r="CB990" s="68"/>
      <c r="CC990" s="68"/>
      <c r="CD990" s="68"/>
      <c r="CE990" s="68"/>
      <c r="CF990" s="68"/>
      <c r="CG990" s="68"/>
      <c r="CH990" s="68"/>
      <c r="CI990" s="68"/>
      <c r="CJ990" s="68"/>
      <c r="CK990" s="68"/>
      <c r="CL990" s="68"/>
      <c r="CM990" s="68"/>
      <c r="CN990" s="68"/>
      <c r="CO990" s="68"/>
      <c r="CP990" s="68"/>
      <c r="CQ990" s="68"/>
      <c r="CR990" s="68"/>
      <c r="CS990" s="68"/>
      <c r="CT990" s="68"/>
      <c r="CU990" s="68"/>
      <c r="CV990" s="68"/>
      <c r="CW990" s="68"/>
      <c r="CX990" s="68"/>
    </row>
    <row r="991" spans="4:102" s="71" customFormat="1" hidden="1">
      <c r="D991" s="105"/>
      <c r="E991" s="111"/>
      <c r="F991" s="111"/>
      <c r="G991" s="111"/>
      <c r="H991" s="105"/>
      <c r="I991" s="111"/>
      <c r="J991" s="111"/>
      <c r="K991" s="112"/>
      <c r="L991" s="100"/>
      <c r="M991" s="100"/>
      <c r="N991" s="100"/>
      <c r="O991" s="100"/>
      <c r="P991" s="65"/>
      <c r="Q991" s="103"/>
      <c r="R991" s="103"/>
      <c r="S991" s="103"/>
      <c r="T991" s="103"/>
      <c r="U991" s="68"/>
      <c r="V991" s="69"/>
      <c r="W991" s="68"/>
      <c r="X991" s="68"/>
      <c r="Y991" s="68"/>
      <c r="Z991" s="68"/>
      <c r="AA991" s="68"/>
      <c r="AB991" s="68"/>
      <c r="AC991" s="68"/>
      <c r="AD991" s="68"/>
      <c r="AE991" s="68"/>
      <c r="AF991" s="68"/>
      <c r="AG991" s="68"/>
      <c r="AH991" s="68"/>
      <c r="AI991" s="68"/>
      <c r="AJ991" s="68"/>
      <c r="AK991" s="68"/>
      <c r="AL991" s="68"/>
      <c r="AM991" s="68"/>
      <c r="AN991" s="68"/>
      <c r="AO991" s="68"/>
      <c r="AP991" s="68"/>
      <c r="AQ991" s="68"/>
      <c r="AR991" s="68"/>
      <c r="AS991" s="68"/>
      <c r="AT991" s="68"/>
      <c r="AU991" s="68"/>
      <c r="AV991" s="68"/>
      <c r="AW991" s="68"/>
      <c r="AX991" s="68"/>
      <c r="AY991" s="68"/>
      <c r="AZ991" s="68"/>
      <c r="BA991" s="68"/>
      <c r="BB991" s="68"/>
      <c r="BC991" s="68"/>
      <c r="BD991" s="68"/>
      <c r="BE991" s="68"/>
      <c r="BF991" s="68"/>
      <c r="BG991" s="68"/>
      <c r="BH991" s="68"/>
      <c r="BI991" s="68"/>
      <c r="BJ991" s="68"/>
      <c r="BK991" s="68"/>
      <c r="BL991" s="68"/>
      <c r="BM991" s="68"/>
      <c r="BN991" s="68"/>
      <c r="BO991" s="68"/>
      <c r="BP991" s="68"/>
      <c r="BQ991" s="68"/>
      <c r="BR991" s="68"/>
      <c r="BS991" s="68"/>
      <c r="BT991" s="68"/>
      <c r="BU991" s="68"/>
      <c r="BV991" s="68"/>
      <c r="BW991" s="68"/>
      <c r="BX991" s="68"/>
      <c r="BY991" s="68"/>
      <c r="BZ991" s="68"/>
      <c r="CA991" s="68"/>
      <c r="CB991" s="68"/>
      <c r="CC991" s="68"/>
      <c r="CD991" s="68"/>
      <c r="CE991" s="68"/>
      <c r="CF991" s="68"/>
      <c r="CG991" s="68"/>
      <c r="CH991" s="68"/>
      <c r="CI991" s="68"/>
      <c r="CJ991" s="68"/>
      <c r="CK991" s="68"/>
      <c r="CL991" s="68"/>
      <c r="CM991" s="68"/>
      <c r="CN991" s="68"/>
      <c r="CO991" s="68"/>
      <c r="CP991" s="68"/>
      <c r="CQ991" s="68"/>
      <c r="CR991" s="68"/>
      <c r="CS991" s="68"/>
      <c r="CT991" s="68"/>
      <c r="CU991" s="68"/>
      <c r="CV991" s="68"/>
      <c r="CW991" s="68"/>
      <c r="CX991" s="68"/>
    </row>
    <row r="992" spans="4:102" s="71" customFormat="1" hidden="1">
      <c r="D992" s="105"/>
      <c r="E992" s="111"/>
      <c r="F992" s="111"/>
      <c r="G992" s="111"/>
      <c r="H992" s="105"/>
      <c r="I992" s="111"/>
      <c r="J992" s="111"/>
      <c r="K992" s="112"/>
      <c r="L992" s="100"/>
      <c r="M992" s="100"/>
      <c r="N992" s="100"/>
      <c r="O992" s="100"/>
      <c r="P992" s="65"/>
      <c r="Q992" s="103"/>
      <c r="R992" s="103"/>
      <c r="S992" s="103"/>
      <c r="T992" s="103"/>
      <c r="U992" s="68"/>
      <c r="V992" s="69"/>
      <c r="W992" s="68"/>
      <c r="X992" s="68"/>
      <c r="Y992" s="68"/>
      <c r="Z992" s="68"/>
      <c r="AA992" s="68"/>
      <c r="AB992" s="68"/>
      <c r="AC992" s="68"/>
      <c r="AD992" s="68"/>
      <c r="AE992" s="68"/>
      <c r="AF992" s="68"/>
      <c r="AG992" s="68"/>
      <c r="AH992" s="68"/>
      <c r="AI992" s="68"/>
      <c r="AJ992" s="68"/>
      <c r="AK992" s="68"/>
      <c r="AL992" s="68"/>
      <c r="AM992" s="68"/>
      <c r="AN992" s="68"/>
      <c r="AO992" s="68"/>
      <c r="AP992" s="68"/>
      <c r="AQ992" s="68"/>
      <c r="AR992" s="68"/>
      <c r="AS992" s="68"/>
      <c r="AT992" s="68"/>
      <c r="AU992" s="68"/>
      <c r="AV992" s="68"/>
      <c r="AW992" s="68"/>
      <c r="AX992" s="68"/>
      <c r="AY992" s="68"/>
      <c r="AZ992" s="68"/>
      <c r="BA992" s="68"/>
      <c r="BB992" s="68"/>
      <c r="BC992" s="68"/>
      <c r="BD992" s="68"/>
      <c r="BE992" s="68"/>
      <c r="BF992" s="68"/>
      <c r="BG992" s="68"/>
      <c r="BH992" s="68"/>
      <c r="BI992" s="68"/>
      <c r="BJ992" s="68"/>
      <c r="BK992" s="68"/>
      <c r="BL992" s="68"/>
      <c r="BM992" s="68"/>
      <c r="BN992" s="68"/>
      <c r="BO992" s="68"/>
      <c r="BP992" s="68"/>
      <c r="BQ992" s="68"/>
      <c r="BR992" s="68"/>
      <c r="BS992" s="68"/>
      <c r="BT992" s="68"/>
      <c r="BU992" s="68"/>
      <c r="BV992" s="68"/>
      <c r="BW992" s="68"/>
      <c r="BX992" s="68"/>
      <c r="BY992" s="68"/>
      <c r="BZ992" s="68"/>
      <c r="CA992" s="68"/>
      <c r="CB992" s="68"/>
      <c r="CC992" s="68"/>
      <c r="CD992" s="68"/>
      <c r="CE992" s="68"/>
      <c r="CF992" s="68"/>
      <c r="CG992" s="68"/>
      <c r="CH992" s="68"/>
      <c r="CI992" s="68"/>
      <c r="CJ992" s="68"/>
      <c r="CK992" s="68"/>
      <c r="CL992" s="68"/>
      <c r="CM992" s="68"/>
      <c r="CN992" s="68"/>
      <c r="CO992" s="68"/>
      <c r="CP992" s="68"/>
      <c r="CQ992" s="68"/>
      <c r="CR992" s="68"/>
      <c r="CS992" s="68"/>
      <c r="CT992" s="68"/>
      <c r="CU992" s="68"/>
      <c r="CV992" s="68"/>
      <c r="CW992" s="68"/>
      <c r="CX992" s="68"/>
    </row>
    <row r="993" spans="4:102" s="71" customFormat="1" hidden="1">
      <c r="D993" s="105"/>
      <c r="E993" s="111"/>
      <c r="F993" s="111"/>
      <c r="G993" s="111"/>
      <c r="H993" s="105"/>
      <c r="I993" s="111"/>
      <c r="J993" s="111"/>
      <c r="K993" s="112"/>
      <c r="L993" s="100"/>
      <c r="M993" s="100"/>
      <c r="N993" s="100"/>
      <c r="O993" s="100"/>
      <c r="P993" s="65"/>
      <c r="Q993" s="103"/>
      <c r="R993" s="103"/>
      <c r="S993" s="103"/>
      <c r="T993" s="103"/>
      <c r="U993" s="68"/>
      <c r="V993" s="69"/>
      <c r="W993" s="68"/>
      <c r="X993" s="68"/>
      <c r="Y993" s="68"/>
      <c r="Z993" s="68"/>
      <c r="AA993" s="68"/>
      <c r="AB993" s="68"/>
      <c r="AC993" s="68"/>
      <c r="AD993" s="68"/>
      <c r="AE993" s="68"/>
      <c r="AF993" s="68"/>
      <c r="AG993" s="68"/>
      <c r="AH993" s="68"/>
      <c r="AI993" s="68"/>
      <c r="AJ993" s="68"/>
      <c r="AK993" s="68"/>
      <c r="AL993" s="68"/>
      <c r="AM993" s="68"/>
      <c r="AN993" s="68"/>
      <c r="AO993" s="68"/>
      <c r="AP993" s="68"/>
      <c r="AQ993" s="68"/>
      <c r="AR993" s="68"/>
      <c r="AS993" s="68"/>
      <c r="AT993" s="68"/>
      <c r="AU993" s="68"/>
      <c r="AV993" s="68"/>
      <c r="AW993" s="68"/>
      <c r="AX993" s="68"/>
      <c r="AY993" s="68"/>
      <c r="AZ993" s="68"/>
      <c r="BA993" s="68"/>
      <c r="BB993" s="68"/>
      <c r="BC993" s="68"/>
      <c r="BD993" s="68"/>
      <c r="BE993" s="68"/>
      <c r="BF993" s="68"/>
      <c r="BG993" s="68"/>
      <c r="BH993" s="68"/>
      <c r="BI993" s="68"/>
      <c r="BJ993" s="68"/>
      <c r="BK993" s="68"/>
      <c r="BL993" s="68"/>
      <c r="BM993" s="68"/>
      <c r="BN993" s="68"/>
      <c r="BO993" s="68"/>
      <c r="BP993" s="68"/>
      <c r="BQ993" s="68"/>
      <c r="BR993" s="68"/>
      <c r="BS993" s="68"/>
      <c r="BT993" s="68"/>
      <c r="BU993" s="68"/>
      <c r="BV993" s="68"/>
      <c r="BW993" s="68"/>
      <c r="BX993" s="68"/>
      <c r="BY993" s="68"/>
      <c r="BZ993" s="68"/>
      <c r="CA993" s="68"/>
      <c r="CB993" s="68"/>
      <c r="CC993" s="68"/>
      <c r="CD993" s="68"/>
      <c r="CE993" s="68"/>
      <c r="CF993" s="68"/>
      <c r="CG993" s="68"/>
      <c r="CH993" s="68"/>
      <c r="CI993" s="68"/>
      <c r="CJ993" s="68"/>
      <c r="CK993" s="68"/>
      <c r="CL993" s="68"/>
      <c r="CM993" s="68"/>
      <c r="CN993" s="68"/>
      <c r="CO993" s="68"/>
      <c r="CP993" s="68"/>
      <c r="CQ993" s="68"/>
      <c r="CR993" s="68"/>
      <c r="CS993" s="68"/>
      <c r="CT993" s="68"/>
      <c r="CU993" s="68"/>
      <c r="CV993" s="68"/>
      <c r="CW993" s="68"/>
      <c r="CX993" s="68"/>
    </row>
    <row r="994" spans="4:102" s="71" customFormat="1" hidden="1">
      <c r="D994" s="105"/>
      <c r="E994" s="111"/>
      <c r="F994" s="111"/>
      <c r="G994" s="111"/>
      <c r="H994" s="105"/>
      <c r="I994" s="111"/>
      <c r="J994" s="111"/>
      <c r="K994" s="112"/>
      <c r="L994" s="100"/>
      <c r="M994" s="100"/>
      <c r="N994" s="100"/>
      <c r="O994" s="100"/>
      <c r="P994" s="65"/>
      <c r="Q994" s="103"/>
      <c r="R994" s="103"/>
      <c r="S994" s="103"/>
      <c r="T994" s="103"/>
      <c r="U994" s="68"/>
      <c r="V994" s="69"/>
      <c r="W994" s="68"/>
      <c r="X994" s="68"/>
      <c r="Y994" s="68"/>
      <c r="Z994" s="68"/>
      <c r="AA994" s="68"/>
      <c r="AB994" s="68"/>
      <c r="AC994" s="68"/>
      <c r="AD994" s="68"/>
      <c r="AE994" s="68"/>
      <c r="AF994" s="68"/>
      <c r="AG994" s="68"/>
      <c r="AH994" s="68"/>
      <c r="AI994" s="68"/>
      <c r="AJ994" s="68"/>
      <c r="AK994" s="68"/>
      <c r="AL994" s="68"/>
      <c r="AM994" s="68"/>
      <c r="AN994" s="68"/>
      <c r="AO994" s="68"/>
      <c r="AP994" s="68"/>
      <c r="AQ994" s="68"/>
      <c r="AR994" s="68"/>
      <c r="AS994" s="68"/>
      <c r="AT994" s="68"/>
      <c r="AU994" s="68"/>
      <c r="AV994" s="68"/>
      <c r="AW994" s="68"/>
      <c r="AX994" s="68"/>
      <c r="AY994" s="68"/>
      <c r="AZ994" s="68"/>
      <c r="BA994" s="68"/>
      <c r="BB994" s="68"/>
      <c r="BC994" s="68"/>
      <c r="BD994" s="68"/>
      <c r="BE994" s="68"/>
      <c r="BF994" s="68"/>
      <c r="BG994" s="68"/>
      <c r="BH994" s="68"/>
      <c r="BI994" s="68"/>
      <c r="BJ994" s="68"/>
      <c r="BK994" s="68"/>
      <c r="BL994" s="68"/>
      <c r="BM994" s="68"/>
      <c r="BN994" s="68"/>
      <c r="BO994" s="68"/>
      <c r="BP994" s="68"/>
      <c r="BQ994" s="68"/>
      <c r="BR994" s="68"/>
      <c r="BS994" s="68"/>
      <c r="BT994" s="68"/>
      <c r="BU994" s="68"/>
      <c r="BV994" s="68"/>
      <c r="BW994" s="68"/>
      <c r="BX994" s="68"/>
      <c r="BY994" s="68"/>
      <c r="BZ994" s="68"/>
      <c r="CA994" s="68"/>
      <c r="CB994" s="68"/>
      <c r="CC994" s="68"/>
      <c r="CD994" s="68"/>
      <c r="CE994" s="68"/>
      <c r="CF994" s="68"/>
      <c r="CG994" s="68"/>
      <c r="CH994" s="68"/>
      <c r="CI994" s="68"/>
      <c r="CJ994" s="68"/>
      <c r="CK994" s="68"/>
      <c r="CL994" s="68"/>
      <c r="CM994" s="68"/>
      <c r="CN994" s="68"/>
      <c r="CO994" s="68"/>
      <c r="CP994" s="68"/>
      <c r="CQ994" s="68"/>
      <c r="CR994" s="68"/>
      <c r="CS994" s="68"/>
      <c r="CT994" s="68"/>
      <c r="CU994" s="68"/>
      <c r="CV994" s="68"/>
      <c r="CW994" s="68"/>
      <c r="CX994" s="68"/>
    </row>
    <row r="995" spans="4:102" s="71" customFormat="1" hidden="1">
      <c r="D995" s="105"/>
      <c r="E995" s="111"/>
      <c r="F995" s="111"/>
      <c r="G995" s="111"/>
      <c r="H995" s="105"/>
      <c r="I995" s="111"/>
      <c r="J995" s="111"/>
      <c r="K995" s="112"/>
      <c r="L995" s="100"/>
      <c r="M995" s="100"/>
      <c r="N995" s="100"/>
      <c r="O995" s="100"/>
      <c r="P995" s="65"/>
      <c r="Q995" s="103"/>
      <c r="R995" s="103"/>
      <c r="S995" s="103"/>
      <c r="T995" s="103"/>
      <c r="U995" s="68"/>
      <c r="V995" s="69"/>
      <c r="W995" s="68"/>
      <c r="X995" s="68"/>
      <c r="Y995" s="68"/>
      <c r="Z995" s="68"/>
      <c r="AA995" s="68"/>
      <c r="AB995" s="68"/>
      <c r="AC995" s="68"/>
      <c r="AD995" s="68"/>
      <c r="AE995" s="68"/>
      <c r="AF995" s="68"/>
      <c r="AG995" s="68"/>
      <c r="AH995" s="68"/>
      <c r="AI995" s="68"/>
      <c r="AJ995" s="68"/>
      <c r="AK995" s="68"/>
      <c r="AL995" s="68"/>
      <c r="AM995" s="68"/>
      <c r="AN995" s="68"/>
      <c r="AO995" s="68"/>
      <c r="AP995" s="68"/>
      <c r="AQ995" s="68"/>
      <c r="AR995" s="68"/>
      <c r="AS995" s="68"/>
      <c r="AT995" s="68"/>
      <c r="AU995" s="68"/>
      <c r="AV995" s="68"/>
      <c r="AW995" s="68"/>
      <c r="AX995" s="68"/>
      <c r="AY995" s="68"/>
      <c r="AZ995" s="68"/>
      <c r="BA995" s="68"/>
      <c r="BB995" s="68"/>
      <c r="BC995" s="68"/>
      <c r="BD995" s="68"/>
      <c r="BE995" s="68"/>
      <c r="BF995" s="68"/>
      <c r="BG995" s="68"/>
      <c r="BH995" s="68"/>
      <c r="BI995" s="68"/>
      <c r="BJ995" s="68"/>
      <c r="BK995" s="68"/>
      <c r="BL995" s="68"/>
      <c r="BM995" s="68"/>
      <c r="BN995" s="68"/>
      <c r="BO995" s="68"/>
      <c r="BP995" s="68"/>
      <c r="BQ995" s="68"/>
      <c r="BR995" s="68"/>
      <c r="BS995" s="68"/>
      <c r="BT995" s="68"/>
      <c r="BU995" s="68"/>
      <c r="BV995" s="68"/>
      <c r="BW995" s="68"/>
      <c r="BX995" s="68"/>
      <c r="BY995" s="68"/>
      <c r="BZ995" s="68"/>
      <c r="CA995" s="68"/>
      <c r="CB995" s="68"/>
      <c r="CC995" s="68"/>
      <c r="CD995" s="68"/>
      <c r="CE995" s="68"/>
      <c r="CF995" s="68"/>
      <c r="CG995" s="68"/>
      <c r="CH995" s="68"/>
      <c r="CI995" s="68"/>
      <c r="CJ995" s="68"/>
      <c r="CK995" s="68"/>
      <c r="CL995" s="68"/>
      <c r="CM995" s="68"/>
      <c r="CN995" s="68"/>
      <c r="CO995" s="68"/>
      <c r="CP995" s="68"/>
      <c r="CQ995" s="68"/>
      <c r="CR995" s="68"/>
      <c r="CS995" s="68"/>
      <c r="CT995" s="68"/>
      <c r="CU995" s="68"/>
      <c r="CV995" s="68"/>
      <c r="CW995" s="68"/>
      <c r="CX995" s="68"/>
    </row>
    <row r="996" spans="4:102" s="71" customFormat="1" hidden="1">
      <c r="D996" s="105"/>
      <c r="E996" s="111"/>
      <c r="F996" s="111"/>
      <c r="G996" s="111"/>
      <c r="H996" s="105"/>
      <c r="I996" s="111"/>
      <c r="J996" s="111"/>
      <c r="K996" s="112"/>
      <c r="L996" s="100"/>
      <c r="M996" s="100"/>
      <c r="N996" s="100"/>
      <c r="O996" s="100"/>
      <c r="P996" s="65"/>
      <c r="Q996" s="103"/>
      <c r="R996" s="103"/>
      <c r="S996" s="103"/>
      <c r="T996" s="103"/>
      <c r="U996" s="68"/>
      <c r="V996" s="69"/>
      <c r="W996" s="68"/>
      <c r="X996" s="68"/>
      <c r="Y996" s="68"/>
      <c r="Z996" s="68"/>
      <c r="AA996" s="68"/>
      <c r="AB996" s="68"/>
      <c r="AC996" s="68"/>
      <c r="AD996" s="68"/>
      <c r="AE996" s="68"/>
      <c r="AF996" s="68"/>
      <c r="AG996" s="68"/>
      <c r="AH996" s="68"/>
      <c r="AI996" s="68"/>
      <c r="AJ996" s="68"/>
      <c r="AK996" s="68"/>
      <c r="AL996" s="68"/>
      <c r="AM996" s="68"/>
      <c r="AN996" s="68"/>
      <c r="AO996" s="68"/>
      <c r="AP996" s="68"/>
      <c r="AQ996" s="68"/>
      <c r="AR996" s="68"/>
      <c r="AS996" s="68"/>
      <c r="AT996" s="68"/>
      <c r="AU996" s="68"/>
      <c r="AV996" s="68"/>
      <c r="AW996" s="68"/>
      <c r="AX996" s="68"/>
      <c r="AY996" s="68"/>
      <c r="AZ996" s="68"/>
      <c r="BA996" s="68"/>
      <c r="BB996" s="68"/>
      <c r="BC996" s="68"/>
      <c r="BD996" s="68"/>
      <c r="BE996" s="68"/>
      <c r="BF996" s="68"/>
      <c r="BG996" s="68"/>
      <c r="BH996" s="68"/>
      <c r="BI996" s="68"/>
      <c r="BJ996" s="68"/>
      <c r="BK996" s="68"/>
      <c r="BL996" s="68"/>
      <c r="BM996" s="68"/>
      <c r="BN996" s="68"/>
      <c r="BO996" s="68"/>
      <c r="BP996" s="68"/>
      <c r="BQ996" s="68"/>
      <c r="BR996" s="68"/>
      <c r="BS996" s="68"/>
      <c r="BT996" s="68"/>
      <c r="BU996" s="68"/>
      <c r="BV996" s="68"/>
      <c r="BW996" s="68"/>
      <c r="BX996" s="68"/>
      <c r="BY996" s="68"/>
      <c r="BZ996" s="68"/>
      <c r="CA996" s="68"/>
      <c r="CB996" s="68"/>
      <c r="CC996" s="68"/>
      <c r="CD996" s="68"/>
      <c r="CE996" s="68"/>
      <c r="CF996" s="68"/>
      <c r="CG996" s="68"/>
      <c r="CH996" s="68"/>
      <c r="CI996" s="68"/>
      <c r="CJ996" s="68"/>
      <c r="CK996" s="68"/>
      <c r="CL996" s="68"/>
      <c r="CM996" s="68"/>
      <c r="CN996" s="68"/>
      <c r="CO996" s="68"/>
      <c r="CP996" s="68"/>
      <c r="CQ996" s="68"/>
      <c r="CR996" s="68"/>
      <c r="CS996" s="68"/>
      <c r="CT996" s="68"/>
      <c r="CU996" s="68"/>
      <c r="CV996" s="68"/>
      <c r="CW996" s="68"/>
      <c r="CX996" s="68"/>
    </row>
    <row r="997" spans="4:102" s="71" customFormat="1" hidden="1">
      <c r="D997" s="105"/>
      <c r="E997" s="111"/>
      <c r="F997" s="111"/>
      <c r="G997" s="111"/>
      <c r="H997" s="105"/>
      <c r="I997" s="111"/>
      <c r="J997" s="111"/>
      <c r="K997" s="112"/>
      <c r="L997" s="100"/>
      <c r="M997" s="100"/>
      <c r="N997" s="100"/>
      <c r="O997" s="100"/>
      <c r="P997" s="65"/>
      <c r="Q997" s="103"/>
      <c r="R997" s="103"/>
      <c r="S997" s="103"/>
      <c r="T997" s="103"/>
      <c r="U997" s="68"/>
      <c r="V997" s="69"/>
      <c r="W997" s="68"/>
      <c r="X997" s="68"/>
      <c r="Y997" s="68"/>
      <c r="Z997" s="68"/>
      <c r="AA997" s="68"/>
      <c r="AB997" s="68"/>
      <c r="AC997" s="68"/>
      <c r="AD997" s="68"/>
      <c r="AE997" s="68"/>
      <c r="AF997" s="68"/>
      <c r="AG997" s="68"/>
      <c r="AH997" s="68"/>
      <c r="AI997" s="68"/>
      <c r="AJ997" s="68"/>
      <c r="AK997" s="68"/>
      <c r="AL997" s="68"/>
      <c r="AM997" s="68"/>
      <c r="AN997" s="68"/>
      <c r="AO997" s="68"/>
      <c r="AP997" s="68"/>
      <c r="AQ997" s="68"/>
      <c r="AR997" s="68"/>
      <c r="AS997" s="68"/>
      <c r="AT997" s="68"/>
      <c r="AU997" s="68"/>
      <c r="AV997" s="68"/>
      <c r="AW997" s="68"/>
      <c r="AX997" s="68"/>
      <c r="AY997" s="68"/>
      <c r="AZ997" s="68"/>
      <c r="BA997" s="68"/>
      <c r="BB997" s="68"/>
      <c r="BC997" s="68"/>
      <c r="BD997" s="68"/>
      <c r="BE997" s="68"/>
      <c r="BF997" s="68"/>
      <c r="BG997" s="68"/>
      <c r="BH997" s="68"/>
      <c r="BI997" s="68"/>
      <c r="BJ997" s="68"/>
      <c r="BK997" s="68"/>
      <c r="BL997" s="68"/>
      <c r="BM997" s="68"/>
      <c r="BN997" s="68"/>
      <c r="BO997" s="68"/>
      <c r="BP997" s="68"/>
      <c r="BQ997" s="68"/>
      <c r="BR997" s="68"/>
      <c r="BS997" s="68"/>
      <c r="BT997" s="68"/>
      <c r="BU997" s="68"/>
      <c r="BV997" s="68"/>
      <c r="BW997" s="68"/>
      <c r="BX997" s="68"/>
      <c r="BY997" s="68"/>
      <c r="BZ997" s="68"/>
      <c r="CA997" s="68"/>
      <c r="CB997" s="68"/>
      <c r="CC997" s="68"/>
      <c r="CD997" s="68"/>
      <c r="CE997" s="68"/>
      <c r="CF997" s="68"/>
      <c r="CG997" s="68"/>
      <c r="CH997" s="68"/>
      <c r="CI997" s="68"/>
      <c r="CJ997" s="68"/>
      <c r="CK997" s="68"/>
      <c r="CL997" s="68"/>
      <c r="CM997" s="68"/>
      <c r="CN997" s="68"/>
      <c r="CO997" s="68"/>
      <c r="CP997" s="68"/>
      <c r="CQ997" s="68"/>
      <c r="CR997" s="68"/>
      <c r="CS997" s="68"/>
      <c r="CT997" s="68"/>
      <c r="CU997" s="68"/>
      <c r="CV997" s="68"/>
      <c r="CW997" s="68"/>
      <c r="CX997" s="68"/>
    </row>
    <row r="998" spans="4:102" s="71" customFormat="1" hidden="1">
      <c r="D998" s="105"/>
      <c r="E998" s="111"/>
      <c r="F998" s="111"/>
      <c r="G998" s="111"/>
      <c r="H998" s="105"/>
      <c r="I998" s="111"/>
      <c r="J998" s="111"/>
      <c r="K998" s="112"/>
      <c r="L998" s="100"/>
      <c r="M998" s="100"/>
      <c r="N998" s="100"/>
      <c r="O998" s="100"/>
      <c r="P998" s="65"/>
      <c r="Q998" s="103"/>
      <c r="R998" s="103"/>
      <c r="S998" s="103"/>
      <c r="T998" s="103"/>
      <c r="U998" s="68"/>
      <c r="V998" s="69"/>
      <c r="W998" s="68"/>
      <c r="X998" s="68"/>
      <c r="Y998" s="68"/>
      <c r="Z998" s="68"/>
      <c r="AA998" s="68"/>
      <c r="AB998" s="68"/>
      <c r="AC998" s="68"/>
      <c r="AD998" s="68"/>
      <c r="AE998" s="68"/>
      <c r="AF998" s="68"/>
      <c r="AG998" s="68"/>
      <c r="AH998" s="68"/>
      <c r="AI998" s="68"/>
      <c r="AJ998" s="68"/>
      <c r="AK998" s="68"/>
      <c r="AL998" s="68"/>
      <c r="AM998" s="68"/>
      <c r="AN998" s="68"/>
      <c r="AO998" s="68"/>
      <c r="AP998" s="68"/>
      <c r="AQ998" s="68"/>
      <c r="AR998" s="68"/>
      <c r="AS998" s="68"/>
      <c r="AT998" s="68"/>
      <c r="AU998" s="68"/>
      <c r="AV998" s="68"/>
      <c r="AW998" s="68"/>
      <c r="AX998" s="68"/>
      <c r="AY998" s="68"/>
      <c r="AZ998" s="68"/>
      <c r="BA998" s="68"/>
      <c r="BB998" s="68"/>
      <c r="BC998" s="68"/>
      <c r="BD998" s="68"/>
      <c r="BE998" s="68"/>
      <c r="BF998" s="68"/>
      <c r="BG998" s="68"/>
      <c r="BH998" s="68"/>
      <c r="BI998" s="68"/>
      <c r="BJ998" s="68"/>
      <c r="BK998" s="68"/>
      <c r="BL998" s="68"/>
      <c r="BM998" s="68"/>
      <c r="BN998" s="68"/>
      <c r="BO998" s="68"/>
      <c r="BP998" s="68"/>
      <c r="BQ998" s="68"/>
      <c r="BR998" s="68"/>
      <c r="BS998" s="68"/>
      <c r="BT998" s="68"/>
      <c r="BU998" s="68"/>
      <c r="BV998" s="68"/>
      <c r="BW998" s="68"/>
      <c r="BX998" s="68"/>
      <c r="BY998" s="68"/>
      <c r="BZ998" s="68"/>
      <c r="CA998" s="68"/>
      <c r="CB998" s="68"/>
      <c r="CC998" s="68"/>
      <c r="CD998" s="68"/>
      <c r="CE998" s="68"/>
      <c r="CF998" s="68"/>
      <c r="CG998" s="68"/>
      <c r="CH998" s="68"/>
      <c r="CI998" s="68"/>
      <c r="CJ998" s="68"/>
      <c r="CK998" s="68"/>
      <c r="CL998" s="68"/>
      <c r="CM998" s="68"/>
      <c r="CN998" s="68"/>
      <c r="CO998" s="68"/>
      <c r="CP998" s="68"/>
      <c r="CQ998" s="68"/>
      <c r="CR998" s="68"/>
      <c r="CS998" s="68"/>
      <c r="CT998" s="68"/>
      <c r="CU998" s="68"/>
      <c r="CV998" s="68"/>
      <c r="CW998" s="68"/>
      <c r="CX998" s="68"/>
    </row>
    <row r="999" spans="4:102" s="71" customFormat="1" hidden="1">
      <c r="D999" s="105"/>
      <c r="E999" s="111"/>
      <c r="F999" s="111"/>
      <c r="G999" s="111"/>
      <c r="H999" s="105"/>
      <c r="I999" s="111"/>
      <c r="J999" s="111"/>
      <c r="K999" s="112"/>
      <c r="L999" s="100"/>
      <c r="M999" s="100"/>
      <c r="N999" s="100"/>
      <c r="O999" s="100"/>
      <c r="P999" s="65"/>
      <c r="Q999" s="103"/>
      <c r="R999" s="103"/>
      <c r="S999" s="103"/>
      <c r="T999" s="103"/>
      <c r="U999" s="68"/>
      <c r="V999" s="69"/>
      <c r="W999" s="68"/>
      <c r="X999" s="68"/>
      <c r="Y999" s="68"/>
      <c r="Z999" s="68"/>
      <c r="AA999" s="68"/>
      <c r="AB999" s="68"/>
      <c r="AC999" s="68"/>
      <c r="AD999" s="68"/>
      <c r="AE999" s="68"/>
      <c r="AF999" s="68"/>
      <c r="AG999" s="68"/>
      <c r="AH999" s="68"/>
      <c r="AI999" s="68"/>
      <c r="AJ999" s="68"/>
      <c r="AK999" s="68"/>
      <c r="AL999" s="68"/>
      <c r="AM999" s="68"/>
      <c r="AN999" s="68"/>
      <c r="AO999" s="68"/>
      <c r="AP999" s="68"/>
      <c r="AQ999" s="68"/>
      <c r="AR999" s="68"/>
      <c r="AS999" s="68"/>
      <c r="AT999" s="68"/>
      <c r="AU999" s="68"/>
      <c r="AV999" s="68"/>
      <c r="AW999" s="68"/>
      <c r="AX999" s="68"/>
      <c r="AY999" s="68"/>
      <c r="AZ999" s="68"/>
      <c r="BA999" s="68"/>
      <c r="BB999" s="68"/>
      <c r="BC999" s="68"/>
      <c r="BD999" s="68"/>
      <c r="BE999" s="68"/>
      <c r="BF999" s="68"/>
      <c r="BG999" s="68"/>
      <c r="BH999" s="68"/>
      <c r="BI999" s="68"/>
      <c r="BJ999" s="68"/>
      <c r="BK999" s="68"/>
      <c r="BL999" s="68"/>
      <c r="BM999" s="68"/>
      <c r="BN999" s="68"/>
      <c r="BO999" s="68"/>
      <c r="BP999" s="68"/>
      <c r="BQ999" s="68"/>
      <c r="BR999" s="68"/>
      <c r="BS999" s="68"/>
      <c r="BT999" s="68"/>
      <c r="BU999" s="68"/>
      <c r="BV999" s="68"/>
      <c r="BW999" s="68"/>
      <c r="BX999" s="68"/>
      <c r="BY999" s="68"/>
      <c r="BZ999" s="68"/>
      <c r="CA999" s="68"/>
      <c r="CB999" s="68"/>
      <c r="CC999" s="68"/>
      <c r="CD999" s="68"/>
      <c r="CE999" s="68"/>
      <c r="CF999" s="68"/>
      <c r="CG999" s="68"/>
      <c r="CH999" s="68"/>
      <c r="CI999" s="68"/>
      <c r="CJ999" s="68"/>
      <c r="CK999" s="68"/>
      <c r="CL999" s="68"/>
      <c r="CM999" s="68"/>
      <c r="CN999" s="68"/>
      <c r="CO999" s="68"/>
      <c r="CP999" s="68"/>
      <c r="CQ999" s="68"/>
      <c r="CR999" s="68"/>
      <c r="CS999" s="68"/>
      <c r="CT999" s="68"/>
      <c r="CU999" s="68"/>
      <c r="CV999" s="68"/>
      <c r="CW999" s="68"/>
      <c r="CX999" s="68"/>
    </row>
    <row r="1000" spans="4:102" s="71" customFormat="1" hidden="1">
      <c r="D1000" s="105"/>
      <c r="E1000" s="111"/>
      <c r="F1000" s="111"/>
      <c r="G1000" s="111"/>
      <c r="H1000" s="105"/>
      <c r="I1000" s="111"/>
      <c r="J1000" s="111"/>
      <c r="K1000" s="112"/>
      <c r="L1000" s="100"/>
      <c r="M1000" s="100"/>
      <c r="N1000" s="100"/>
      <c r="O1000" s="100"/>
      <c r="P1000" s="65"/>
      <c r="Q1000" s="103"/>
      <c r="R1000" s="103"/>
      <c r="S1000" s="103"/>
      <c r="T1000" s="103"/>
      <c r="U1000" s="68"/>
      <c r="V1000" s="69"/>
      <c r="W1000" s="68"/>
      <c r="X1000" s="68"/>
      <c r="Y1000" s="68"/>
      <c r="Z1000" s="68"/>
      <c r="AA1000" s="68"/>
      <c r="AB1000" s="68"/>
      <c r="AC1000" s="68"/>
      <c r="AD1000" s="68"/>
      <c r="AE1000" s="68"/>
      <c r="AF1000" s="68"/>
      <c r="AG1000" s="68"/>
      <c r="AH1000" s="68"/>
      <c r="AI1000" s="68"/>
      <c r="AJ1000" s="68"/>
      <c r="AK1000" s="68"/>
      <c r="AL1000" s="68"/>
      <c r="AM1000" s="68"/>
      <c r="AN1000" s="68"/>
      <c r="AO1000" s="68"/>
      <c r="AP1000" s="68"/>
      <c r="AQ1000" s="68"/>
      <c r="AR1000" s="68"/>
      <c r="AS1000" s="68"/>
      <c r="AT1000" s="68"/>
      <c r="AU1000" s="68"/>
      <c r="AV1000" s="68"/>
      <c r="AW1000" s="68"/>
      <c r="AX1000" s="68"/>
      <c r="AY1000" s="68"/>
      <c r="AZ1000" s="68"/>
      <c r="BA1000" s="68"/>
      <c r="BB1000" s="68"/>
      <c r="BC1000" s="68"/>
      <c r="BD1000" s="68"/>
      <c r="BE1000" s="68"/>
      <c r="BF1000" s="68"/>
      <c r="BG1000" s="68"/>
      <c r="BH1000" s="68"/>
      <c r="BI1000" s="68"/>
      <c r="BJ1000" s="68"/>
      <c r="BK1000" s="68"/>
      <c r="BL1000" s="68"/>
      <c r="BM1000" s="68"/>
      <c r="BN1000" s="68"/>
      <c r="BO1000" s="68"/>
      <c r="BP1000" s="68"/>
      <c r="BQ1000" s="68"/>
      <c r="BR1000" s="68"/>
      <c r="BS1000" s="68"/>
      <c r="BT1000" s="68"/>
      <c r="BU1000" s="68"/>
      <c r="BV1000" s="68"/>
      <c r="BW1000" s="68"/>
      <c r="BX1000" s="68"/>
      <c r="BY1000" s="68"/>
      <c r="BZ1000" s="68"/>
      <c r="CA1000" s="68"/>
      <c r="CB1000" s="68"/>
      <c r="CC1000" s="68"/>
      <c r="CD1000" s="68"/>
      <c r="CE1000" s="68"/>
      <c r="CF1000" s="68"/>
      <c r="CG1000" s="68"/>
      <c r="CH1000" s="68"/>
      <c r="CI1000" s="68"/>
      <c r="CJ1000" s="68"/>
      <c r="CK1000" s="68"/>
      <c r="CL1000" s="68"/>
      <c r="CM1000" s="68"/>
      <c r="CN1000" s="68"/>
      <c r="CO1000" s="68"/>
      <c r="CP1000" s="68"/>
      <c r="CQ1000" s="68"/>
      <c r="CR1000" s="68"/>
      <c r="CS1000" s="68"/>
      <c r="CT1000" s="68"/>
      <c r="CU1000" s="68"/>
      <c r="CV1000" s="68"/>
      <c r="CW1000" s="68"/>
      <c r="CX1000" s="68"/>
    </row>
    <row r="1001" spans="4:102" s="71" customFormat="1" hidden="1">
      <c r="D1001" s="105"/>
      <c r="E1001" s="111"/>
      <c r="F1001" s="111"/>
      <c r="G1001" s="111"/>
      <c r="H1001" s="105"/>
      <c r="I1001" s="111"/>
      <c r="J1001" s="111"/>
      <c r="K1001" s="112"/>
      <c r="L1001" s="100"/>
      <c r="M1001" s="100"/>
      <c r="N1001" s="100"/>
      <c r="O1001" s="100"/>
      <c r="P1001" s="65"/>
      <c r="Q1001" s="103"/>
      <c r="R1001" s="103"/>
      <c r="S1001" s="103"/>
      <c r="T1001" s="103"/>
      <c r="U1001" s="68"/>
      <c r="V1001" s="69"/>
      <c r="W1001" s="68"/>
      <c r="X1001" s="68"/>
      <c r="Y1001" s="68"/>
      <c r="Z1001" s="68"/>
      <c r="AA1001" s="68"/>
      <c r="AB1001" s="68"/>
      <c r="AC1001" s="68"/>
      <c r="AD1001" s="68"/>
      <c r="AE1001" s="68"/>
      <c r="AF1001" s="68"/>
      <c r="AG1001" s="68"/>
      <c r="AH1001" s="68"/>
      <c r="AI1001" s="68"/>
      <c r="AJ1001" s="68"/>
      <c r="AK1001" s="68"/>
      <c r="AL1001" s="68"/>
      <c r="AM1001" s="68"/>
      <c r="AN1001" s="68"/>
      <c r="AO1001" s="68"/>
      <c r="AP1001" s="68"/>
      <c r="AQ1001" s="68"/>
      <c r="AR1001" s="68"/>
      <c r="AS1001" s="68"/>
      <c r="AT1001" s="68"/>
      <c r="AU1001" s="68"/>
      <c r="AV1001" s="68"/>
      <c r="AW1001" s="68"/>
      <c r="AX1001" s="68"/>
      <c r="AY1001" s="68"/>
      <c r="AZ1001" s="68"/>
      <c r="BA1001" s="68"/>
      <c r="BB1001" s="68"/>
      <c r="BC1001" s="68"/>
      <c r="BD1001" s="68"/>
      <c r="BE1001" s="68"/>
      <c r="BF1001" s="68"/>
      <c r="BG1001" s="68"/>
      <c r="BH1001" s="68"/>
      <c r="BI1001" s="68"/>
      <c r="BJ1001" s="68"/>
      <c r="BK1001" s="68"/>
      <c r="BL1001" s="68"/>
      <c r="BM1001" s="68"/>
      <c r="BN1001" s="68"/>
      <c r="BO1001" s="68"/>
      <c r="BP1001" s="68"/>
      <c r="BQ1001" s="68"/>
      <c r="BR1001" s="68"/>
      <c r="BS1001" s="68"/>
      <c r="BT1001" s="68"/>
      <c r="BU1001" s="68"/>
      <c r="BV1001" s="68"/>
      <c r="BW1001" s="68"/>
      <c r="BX1001" s="68"/>
      <c r="BY1001" s="68"/>
      <c r="BZ1001" s="68"/>
      <c r="CA1001" s="68"/>
      <c r="CB1001" s="68"/>
      <c r="CC1001" s="68"/>
      <c r="CD1001" s="68"/>
      <c r="CE1001" s="68"/>
      <c r="CF1001" s="68"/>
      <c r="CG1001" s="68"/>
      <c r="CH1001" s="68"/>
      <c r="CI1001" s="68"/>
      <c r="CJ1001" s="68"/>
      <c r="CK1001" s="68"/>
      <c r="CL1001" s="68"/>
      <c r="CM1001" s="68"/>
      <c r="CN1001" s="68"/>
      <c r="CO1001" s="68"/>
      <c r="CP1001" s="68"/>
      <c r="CQ1001" s="68"/>
      <c r="CR1001" s="68"/>
      <c r="CS1001" s="68"/>
      <c r="CT1001" s="68"/>
      <c r="CU1001" s="68"/>
      <c r="CV1001" s="68"/>
      <c r="CW1001" s="68"/>
      <c r="CX1001" s="68"/>
    </row>
    <row r="1002" spans="4:102" s="71" customFormat="1" hidden="1">
      <c r="D1002" s="105"/>
      <c r="E1002" s="111"/>
      <c r="F1002" s="111"/>
      <c r="G1002" s="111"/>
      <c r="H1002" s="105"/>
      <c r="I1002" s="111"/>
      <c r="J1002" s="111"/>
      <c r="K1002" s="112"/>
      <c r="L1002" s="100"/>
      <c r="M1002" s="100"/>
      <c r="N1002" s="100"/>
      <c r="O1002" s="100"/>
      <c r="P1002" s="65"/>
      <c r="Q1002" s="103"/>
      <c r="R1002" s="103"/>
      <c r="S1002" s="103"/>
      <c r="T1002" s="103"/>
      <c r="U1002" s="68"/>
      <c r="V1002" s="69"/>
      <c r="W1002" s="68"/>
      <c r="X1002" s="68"/>
      <c r="Y1002" s="68"/>
      <c r="Z1002" s="68"/>
      <c r="AA1002" s="68"/>
      <c r="AB1002" s="68"/>
      <c r="AC1002" s="68"/>
      <c r="AD1002" s="68"/>
      <c r="AE1002" s="68"/>
      <c r="AF1002" s="68"/>
      <c r="AG1002" s="68"/>
      <c r="AH1002" s="68"/>
      <c r="AI1002" s="68"/>
      <c r="AJ1002" s="68"/>
      <c r="AK1002" s="68"/>
      <c r="AL1002" s="68"/>
      <c r="AM1002" s="68"/>
      <c r="AN1002" s="68"/>
      <c r="AO1002" s="68"/>
      <c r="AP1002" s="68"/>
      <c r="AQ1002" s="68"/>
      <c r="AR1002" s="68"/>
      <c r="AS1002" s="68"/>
      <c r="AT1002" s="68"/>
      <c r="AU1002" s="68"/>
      <c r="AV1002" s="68"/>
      <c r="AW1002" s="68"/>
      <c r="AX1002" s="68"/>
      <c r="AY1002" s="68"/>
      <c r="AZ1002" s="68"/>
      <c r="BA1002" s="68"/>
      <c r="BB1002" s="68"/>
      <c r="BC1002" s="68"/>
      <c r="BD1002" s="68"/>
      <c r="BE1002" s="68"/>
      <c r="BF1002" s="68"/>
      <c r="BG1002" s="68"/>
      <c r="BH1002" s="68"/>
      <c r="BI1002" s="68"/>
      <c r="BJ1002" s="68"/>
      <c r="BK1002" s="68"/>
      <c r="BL1002" s="68"/>
      <c r="BM1002" s="68"/>
      <c r="BN1002" s="68"/>
      <c r="BO1002" s="68"/>
      <c r="BP1002" s="68"/>
      <c r="BQ1002" s="68"/>
      <c r="BR1002" s="68"/>
      <c r="BS1002" s="68"/>
      <c r="BT1002" s="68"/>
      <c r="BU1002" s="68"/>
      <c r="BV1002" s="68"/>
      <c r="BW1002" s="68"/>
      <c r="BX1002" s="68"/>
      <c r="BY1002" s="68"/>
      <c r="BZ1002" s="68"/>
      <c r="CA1002" s="68"/>
      <c r="CB1002" s="68"/>
      <c r="CC1002" s="68"/>
      <c r="CD1002" s="68"/>
      <c r="CE1002" s="68"/>
      <c r="CF1002" s="68"/>
      <c r="CG1002" s="68"/>
      <c r="CH1002" s="68"/>
      <c r="CI1002" s="68"/>
      <c r="CJ1002" s="68"/>
      <c r="CK1002" s="68"/>
      <c r="CL1002" s="68"/>
      <c r="CM1002" s="68"/>
      <c r="CN1002" s="68"/>
      <c r="CO1002" s="68"/>
      <c r="CP1002" s="68"/>
      <c r="CQ1002" s="68"/>
      <c r="CR1002" s="68"/>
      <c r="CS1002" s="68"/>
      <c r="CT1002" s="68"/>
      <c r="CU1002" s="68"/>
      <c r="CV1002" s="68"/>
      <c r="CW1002" s="68"/>
      <c r="CX1002" s="68"/>
    </row>
    <row r="1003" spans="4:102" s="71" customFormat="1" hidden="1">
      <c r="D1003" s="105"/>
      <c r="E1003" s="111"/>
      <c r="F1003" s="111"/>
      <c r="G1003" s="111"/>
      <c r="H1003" s="105"/>
      <c r="I1003" s="111"/>
      <c r="J1003" s="111"/>
      <c r="K1003" s="112"/>
      <c r="L1003" s="100"/>
      <c r="M1003" s="100"/>
      <c r="N1003" s="100"/>
      <c r="O1003" s="100"/>
      <c r="P1003" s="65"/>
      <c r="Q1003" s="103"/>
      <c r="R1003" s="103"/>
      <c r="S1003" s="103"/>
      <c r="T1003" s="103"/>
      <c r="U1003" s="68"/>
      <c r="V1003" s="69"/>
      <c r="W1003" s="68"/>
      <c r="X1003" s="68"/>
      <c r="Y1003" s="68"/>
      <c r="Z1003" s="68"/>
      <c r="AA1003" s="68"/>
      <c r="AB1003" s="68"/>
      <c r="AC1003" s="68"/>
      <c r="AD1003" s="68"/>
      <c r="AE1003" s="68"/>
      <c r="AF1003" s="68"/>
      <c r="AG1003" s="68"/>
      <c r="AH1003" s="68"/>
      <c r="AI1003" s="68"/>
      <c r="AJ1003" s="68"/>
      <c r="AK1003" s="68"/>
      <c r="AL1003" s="68"/>
      <c r="AM1003" s="68"/>
      <c r="AN1003" s="68"/>
      <c r="AO1003" s="68"/>
      <c r="AP1003" s="68"/>
      <c r="AQ1003" s="68"/>
      <c r="AR1003" s="68"/>
      <c r="AS1003" s="68"/>
      <c r="AT1003" s="68"/>
      <c r="AU1003" s="68"/>
      <c r="AV1003" s="68"/>
      <c r="AW1003" s="68"/>
      <c r="AX1003" s="68"/>
      <c r="AY1003" s="68"/>
      <c r="AZ1003" s="68"/>
      <c r="BA1003" s="68"/>
      <c r="BB1003" s="68"/>
      <c r="BC1003" s="68"/>
      <c r="BD1003" s="68"/>
      <c r="BE1003" s="68"/>
      <c r="BF1003" s="68"/>
      <c r="BG1003" s="68"/>
      <c r="BH1003" s="68"/>
      <c r="BI1003" s="68"/>
      <c r="BJ1003" s="68"/>
      <c r="BK1003" s="68"/>
      <c r="BL1003" s="68"/>
      <c r="BM1003" s="68"/>
      <c r="BN1003" s="68"/>
      <c r="BO1003" s="68"/>
      <c r="BP1003" s="68"/>
      <c r="BQ1003" s="68"/>
      <c r="BR1003" s="68"/>
      <c r="BS1003" s="68"/>
      <c r="BT1003" s="68"/>
      <c r="BU1003" s="68"/>
      <c r="BV1003" s="68"/>
      <c r="BW1003" s="68"/>
      <c r="BX1003" s="68"/>
      <c r="BY1003" s="68"/>
      <c r="BZ1003" s="68"/>
      <c r="CA1003" s="68"/>
      <c r="CB1003" s="68"/>
      <c r="CC1003" s="68"/>
      <c r="CD1003" s="68"/>
      <c r="CE1003" s="68"/>
      <c r="CF1003" s="68"/>
      <c r="CG1003" s="68"/>
      <c r="CH1003" s="68"/>
      <c r="CI1003" s="68"/>
      <c r="CJ1003" s="68"/>
      <c r="CK1003" s="68"/>
      <c r="CL1003" s="68"/>
      <c r="CM1003" s="68"/>
      <c r="CN1003" s="68"/>
      <c r="CO1003" s="68"/>
      <c r="CP1003" s="68"/>
      <c r="CQ1003" s="68"/>
      <c r="CR1003" s="68"/>
      <c r="CS1003" s="68"/>
      <c r="CT1003" s="68"/>
      <c r="CU1003" s="68"/>
      <c r="CV1003" s="68"/>
      <c r="CW1003" s="68"/>
      <c r="CX1003" s="68"/>
    </row>
    <row r="1004" spans="4:102" s="71" customFormat="1" hidden="1">
      <c r="D1004" s="105"/>
      <c r="E1004" s="111"/>
      <c r="F1004" s="111"/>
      <c r="G1004" s="111"/>
      <c r="H1004" s="105"/>
      <c r="I1004" s="111"/>
      <c r="J1004" s="111"/>
      <c r="K1004" s="112"/>
      <c r="L1004" s="100"/>
      <c r="M1004" s="100"/>
      <c r="N1004" s="100"/>
      <c r="O1004" s="100"/>
      <c r="P1004" s="65"/>
      <c r="Q1004" s="103"/>
      <c r="R1004" s="103"/>
      <c r="S1004" s="103"/>
      <c r="T1004" s="103"/>
      <c r="U1004" s="68"/>
      <c r="V1004" s="69"/>
      <c r="W1004" s="68"/>
      <c r="X1004" s="68"/>
      <c r="Y1004" s="68"/>
      <c r="Z1004" s="68"/>
      <c r="AA1004" s="68"/>
      <c r="AB1004" s="68"/>
      <c r="AC1004" s="68"/>
      <c r="AD1004" s="68"/>
      <c r="AE1004" s="68"/>
      <c r="AF1004" s="68"/>
      <c r="AG1004" s="68"/>
      <c r="AH1004" s="68"/>
      <c r="AI1004" s="68"/>
      <c r="AJ1004" s="68"/>
      <c r="AK1004" s="68"/>
      <c r="AL1004" s="68"/>
      <c r="AM1004" s="68"/>
      <c r="AN1004" s="68"/>
      <c r="AO1004" s="68"/>
      <c r="AP1004" s="68"/>
      <c r="AQ1004" s="68"/>
      <c r="AR1004" s="68"/>
      <c r="AS1004" s="68"/>
      <c r="AT1004" s="68"/>
      <c r="AU1004" s="68"/>
      <c r="AV1004" s="68"/>
      <c r="AW1004" s="68"/>
      <c r="AX1004" s="68"/>
      <c r="AY1004" s="68"/>
      <c r="AZ1004" s="68"/>
      <c r="BA1004" s="68"/>
      <c r="BB1004" s="68"/>
      <c r="BC1004" s="68"/>
      <c r="BD1004" s="68"/>
      <c r="BE1004" s="68"/>
      <c r="BF1004" s="68"/>
      <c r="BG1004" s="68"/>
      <c r="BH1004" s="68"/>
      <c r="BI1004" s="68"/>
      <c r="BJ1004" s="68"/>
      <c r="BK1004" s="68"/>
      <c r="BL1004" s="68"/>
      <c r="BM1004" s="68"/>
      <c r="BN1004" s="68"/>
      <c r="BO1004" s="68"/>
      <c r="BP1004" s="68"/>
      <c r="BQ1004" s="68"/>
      <c r="BR1004" s="68"/>
      <c r="BS1004" s="68"/>
      <c r="BT1004" s="68"/>
      <c r="BU1004" s="68"/>
      <c r="BV1004" s="68"/>
      <c r="BW1004" s="68"/>
      <c r="BX1004" s="68"/>
      <c r="BY1004" s="68"/>
      <c r="BZ1004" s="68"/>
      <c r="CA1004" s="68"/>
      <c r="CB1004" s="68"/>
      <c r="CC1004" s="68"/>
      <c r="CD1004" s="68"/>
      <c r="CE1004" s="68"/>
      <c r="CF1004" s="68"/>
      <c r="CG1004" s="68"/>
      <c r="CH1004" s="68"/>
      <c r="CI1004" s="68"/>
      <c r="CJ1004" s="68"/>
      <c r="CK1004" s="68"/>
      <c r="CL1004" s="68"/>
      <c r="CM1004" s="68"/>
      <c r="CN1004" s="68"/>
      <c r="CO1004" s="68"/>
      <c r="CP1004" s="68"/>
      <c r="CQ1004" s="68"/>
      <c r="CR1004" s="68"/>
      <c r="CS1004" s="68"/>
      <c r="CT1004" s="68"/>
      <c r="CU1004" s="68"/>
      <c r="CV1004" s="68"/>
      <c r="CW1004" s="68"/>
      <c r="CX1004" s="68"/>
    </row>
    <row r="1005" spans="4:102" s="71" customFormat="1" hidden="1">
      <c r="D1005" s="105"/>
      <c r="E1005" s="111"/>
      <c r="F1005" s="111"/>
      <c r="G1005" s="111"/>
      <c r="H1005" s="105"/>
      <c r="I1005" s="111"/>
      <c r="J1005" s="111"/>
      <c r="K1005" s="112"/>
      <c r="L1005" s="100"/>
      <c r="M1005" s="100"/>
      <c r="N1005" s="100"/>
      <c r="O1005" s="100"/>
      <c r="P1005" s="65"/>
      <c r="Q1005" s="103"/>
      <c r="R1005" s="103"/>
      <c r="S1005" s="103"/>
      <c r="T1005" s="103"/>
      <c r="U1005" s="68"/>
      <c r="V1005" s="69"/>
      <c r="W1005" s="68"/>
      <c r="X1005" s="68"/>
      <c r="Y1005" s="68"/>
      <c r="Z1005" s="68"/>
      <c r="AA1005" s="68"/>
      <c r="AB1005" s="68"/>
      <c r="AC1005" s="68"/>
      <c r="AD1005" s="68"/>
      <c r="AE1005" s="68"/>
      <c r="AF1005" s="68"/>
      <c r="AG1005" s="68"/>
      <c r="AH1005" s="68"/>
      <c r="AI1005" s="68"/>
      <c r="AJ1005" s="68"/>
      <c r="AK1005" s="68"/>
      <c r="AL1005" s="68"/>
      <c r="AM1005" s="68"/>
      <c r="AN1005" s="68"/>
      <c r="AO1005" s="68"/>
      <c r="AP1005" s="68"/>
      <c r="AQ1005" s="68"/>
      <c r="AR1005" s="68"/>
      <c r="AS1005" s="68"/>
      <c r="AT1005" s="68"/>
      <c r="AU1005" s="68"/>
      <c r="AV1005" s="68"/>
      <c r="AW1005" s="68"/>
      <c r="AX1005" s="68"/>
      <c r="AY1005" s="68"/>
      <c r="AZ1005" s="68"/>
      <c r="BA1005" s="68"/>
      <c r="BB1005" s="68"/>
      <c r="BC1005" s="68"/>
      <c r="BD1005" s="68"/>
      <c r="BE1005" s="68"/>
      <c r="BF1005" s="68"/>
      <c r="BG1005" s="68"/>
      <c r="BH1005" s="68"/>
      <c r="BI1005" s="68"/>
      <c r="BJ1005" s="68"/>
      <c r="BK1005" s="68"/>
      <c r="BL1005" s="68"/>
      <c r="BM1005" s="68"/>
      <c r="BN1005" s="68"/>
      <c r="BO1005" s="68"/>
      <c r="BP1005" s="68"/>
      <c r="BQ1005" s="68"/>
      <c r="BR1005" s="68"/>
      <c r="BS1005" s="68"/>
      <c r="BT1005" s="68"/>
      <c r="BU1005" s="68"/>
      <c r="BV1005" s="68"/>
      <c r="BW1005" s="68"/>
      <c r="BX1005" s="68"/>
      <c r="BY1005" s="68"/>
      <c r="BZ1005" s="68"/>
      <c r="CA1005" s="68"/>
      <c r="CB1005" s="68"/>
      <c r="CC1005" s="68"/>
      <c r="CD1005" s="68"/>
      <c r="CE1005" s="68"/>
      <c r="CF1005" s="68"/>
      <c r="CG1005" s="68"/>
      <c r="CH1005" s="68"/>
      <c r="CI1005" s="68"/>
      <c r="CJ1005" s="68"/>
      <c r="CK1005" s="68"/>
      <c r="CL1005" s="68"/>
      <c r="CM1005" s="68"/>
      <c r="CN1005" s="68"/>
      <c r="CO1005" s="68"/>
      <c r="CP1005" s="68"/>
      <c r="CQ1005" s="68"/>
      <c r="CR1005" s="68"/>
      <c r="CS1005" s="68"/>
      <c r="CT1005" s="68"/>
      <c r="CU1005" s="68"/>
      <c r="CV1005" s="68"/>
      <c r="CW1005" s="68"/>
      <c r="CX1005" s="68"/>
    </row>
    <row r="1006" spans="4:102" s="71" customFormat="1" hidden="1">
      <c r="D1006" s="105"/>
      <c r="E1006" s="111"/>
      <c r="F1006" s="111"/>
      <c r="G1006" s="111"/>
      <c r="H1006" s="105"/>
      <c r="I1006" s="111"/>
      <c r="J1006" s="111"/>
      <c r="K1006" s="112"/>
      <c r="L1006" s="100"/>
      <c r="M1006" s="100"/>
      <c r="N1006" s="100"/>
      <c r="O1006" s="100"/>
      <c r="P1006" s="65"/>
      <c r="Q1006" s="103"/>
      <c r="R1006" s="103"/>
      <c r="S1006" s="103"/>
      <c r="T1006" s="103"/>
      <c r="U1006" s="68"/>
      <c r="V1006" s="69"/>
      <c r="W1006" s="68"/>
      <c r="X1006" s="68"/>
      <c r="Y1006" s="68"/>
      <c r="Z1006" s="68"/>
      <c r="AA1006" s="68"/>
      <c r="AB1006" s="68"/>
      <c r="AC1006" s="68"/>
      <c r="AD1006" s="68"/>
      <c r="AE1006" s="68"/>
      <c r="AF1006" s="68"/>
      <c r="AG1006" s="68"/>
      <c r="AH1006" s="68"/>
      <c r="AI1006" s="68"/>
      <c r="AJ1006" s="68"/>
      <c r="AK1006" s="68"/>
      <c r="AL1006" s="68"/>
      <c r="AM1006" s="68"/>
      <c r="AN1006" s="68"/>
      <c r="AO1006" s="68"/>
      <c r="AP1006" s="68"/>
      <c r="AQ1006" s="68"/>
      <c r="AR1006" s="68"/>
      <c r="AS1006" s="68"/>
      <c r="AT1006" s="68"/>
      <c r="AU1006" s="68"/>
      <c r="AV1006" s="68"/>
      <c r="AW1006" s="68"/>
      <c r="AX1006" s="68"/>
      <c r="AY1006" s="68"/>
      <c r="AZ1006" s="68"/>
      <c r="BA1006" s="68"/>
      <c r="BB1006" s="68"/>
      <c r="BC1006" s="68"/>
      <c r="BD1006" s="68"/>
      <c r="BE1006" s="68"/>
      <c r="BF1006" s="68"/>
      <c r="BG1006" s="68"/>
      <c r="BH1006" s="68"/>
      <c r="BI1006" s="68"/>
      <c r="BJ1006" s="68"/>
      <c r="BK1006" s="68"/>
      <c r="BL1006" s="68"/>
      <c r="BM1006" s="68"/>
      <c r="BN1006" s="68"/>
      <c r="BO1006" s="68"/>
      <c r="BP1006" s="68"/>
      <c r="BQ1006" s="68"/>
      <c r="BR1006" s="68"/>
      <c r="BS1006" s="68"/>
      <c r="BT1006" s="68"/>
      <c r="BU1006" s="68"/>
      <c r="BV1006" s="68"/>
      <c r="BW1006" s="68"/>
      <c r="BX1006" s="68"/>
      <c r="BY1006" s="68"/>
      <c r="BZ1006" s="68"/>
      <c r="CA1006" s="68"/>
      <c r="CB1006" s="68"/>
      <c r="CC1006" s="68"/>
      <c r="CD1006" s="68"/>
      <c r="CE1006" s="68"/>
      <c r="CF1006" s="68"/>
      <c r="CG1006" s="68"/>
      <c r="CH1006" s="68"/>
      <c r="CI1006" s="68"/>
      <c r="CJ1006" s="68"/>
      <c r="CK1006" s="68"/>
      <c r="CL1006" s="68"/>
      <c r="CM1006" s="68"/>
      <c r="CN1006" s="68"/>
      <c r="CO1006" s="68"/>
      <c r="CP1006" s="68"/>
      <c r="CQ1006" s="68"/>
      <c r="CR1006" s="68"/>
      <c r="CS1006" s="68"/>
      <c r="CT1006" s="68"/>
      <c r="CU1006" s="68"/>
      <c r="CV1006" s="68"/>
      <c r="CW1006" s="68"/>
      <c r="CX1006" s="68"/>
    </row>
    <row r="1007" spans="4:102" s="71" customFormat="1" hidden="1">
      <c r="D1007" s="105"/>
      <c r="E1007" s="111"/>
      <c r="F1007" s="111"/>
      <c r="G1007" s="111"/>
      <c r="H1007" s="105"/>
      <c r="I1007" s="111"/>
      <c r="J1007" s="111"/>
      <c r="K1007" s="112"/>
      <c r="L1007" s="100"/>
      <c r="M1007" s="100"/>
      <c r="N1007" s="100"/>
      <c r="O1007" s="100"/>
      <c r="P1007" s="65"/>
      <c r="Q1007" s="103"/>
      <c r="R1007" s="103"/>
      <c r="S1007" s="103"/>
      <c r="T1007" s="103"/>
      <c r="U1007" s="68"/>
      <c r="V1007" s="69"/>
      <c r="W1007" s="68"/>
      <c r="X1007" s="68"/>
      <c r="Y1007" s="68"/>
      <c r="Z1007" s="68"/>
      <c r="AA1007" s="68"/>
      <c r="AB1007" s="68"/>
      <c r="AC1007" s="68"/>
      <c r="AD1007" s="68"/>
      <c r="AE1007" s="68"/>
      <c r="AF1007" s="68"/>
      <c r="AG1007" s="68"/>
      <c r="AH1007" s="68"/>
      <c r="AI1007" s="68"/>
      <c r="AJ1007" s="68"/>
      <c r="AK1007" s="68"/>
      <c r="AL1007" s="68"/>
      <c r="AM1007" s="68"/>
      <c r="AN1007" s="68"/>
      <c r="AO1007" s="68"/>
      <c r="AP1007" s="68"/>
      <c r="AQ1007" s="68"/>
      <c r="AR1007" s="68"/>
      <c r="AS1007" s="68"/>
      <c r="AT1007" s="68"/>
      <c r="AU1007" s="68"/>
      <c r="AV1007" s="68"/>
      <c r="AW1007" s="68"/>
      <c r="AX1007" s="68"/>
      <c r="AY1007" s="68"/>
      <c r="AZ1007" s="68"/>
      <c r="BA1007" s="68"/>
      <c r="BB1007" s="68"/>
      <c r="BC1007" s="68"/>
      <c r="BD1007" s="68"/>
      <c r="BE1007" s="68"/>
      <c r="BF1007" s="68"/>
      <c r="BG1007" s="68"/>
      <c r="BH1007" s="68"/>
      <c r="BI1007" s="68"/>
      <c r="BJ1007" s="68"/>
      <c r="BK1007" s="68"/>
      <c r="BL1007" s="68"/>
      <c r="BM1007" s="68"/>
      <c r="BN1007" s="68"/>
      <c r="BO1007" s="68"/>
      <c r="BP1007" s="68"/>
      <c r="BQ1007" s="68"/>
      <c r="BR1007" s="68"/>
      <c r="BS1007" s="68"/>
      <c r="BT1007" s="68"/>
      <c r="BU1007" s="68"/>
      <c r="BV1007" s="68"/>
      <c r="BW1007" s="68"/>
      <c r="BX1007" s="68"/>
      <c r="BY1007" s="68"/>
      <c r="BZ1007" s="68"/>
      <c r="CA1007" s="68"/>
      <c r="CB1007" s="68"/>
      <c r="CC1007" s="68"/>
      <c r="CD1007" s="68"/>
      <c r="CE1007" s="68"/>
      <c r="CF1007" s="68"/>
      <c r="CG1007" s="68"/>
      <c r="CH1007" s="68"/>
      <c r="CI1007" s="68"/>
      <c r="CJ1007" s="68"/>
      <c r="CK1007" s="68"/>
      <c r="CL1007" s="68"/>
      <c r="CM1007" s="68"/>
      <c r="CN1007" s="68"/>
      <c r="CO1007" s="68"/>
      <c r="CP1007" s="68"/>
      <c r="CQ1007" s="68"/>
      <c r="CR1007" s="68"/>
      <c r="CS1007" s="68"/>
      <c r="CT1007" s="68"/>
      <c r="CU1007" s="68"/>
      <c r="CV1007" s="68"/>
      <c r="CW1007" s="68"/>
      <c r="CX1007" s="68"/>
    </row>
    <row r="1008" spans="4:102" s="71" customFormat="1" hidden="1">
      <c r="D1008" s="105"/>
      <c r="E1008" s="111"/>
      <c r="F1008" s="111"/>
      <c r="G1008" s="111"/>
      <c r="H1008" s="105"/>
      <c r="I1008" s="111"/>
      <c r="J1008" s="111"/>
      <c r="K1008" s="112"/>
      <c r="L1008" s="100"/>
      <c r="M1008" s="100"/>
      <c r="N1008" s="100"/>
      <c r="O1008" s="100"/>
      <c r="P1008" s="65"/>
      <c r="Q1008" s="103"/>
      <c r="R1008" s="103"/>
      <c r="S1008" s="103"/>
      <c r="T1008" s="103"/>
      <c r="U1008" s="68"/>
      <c r="V1008" s="69"/>
      <c r="W1008" s="68"/>
      <c r="X1008" s="68"/>
      <c r="Y1008" s="68"/>
      <c r="Z1008" s="68"/>
      <c r="AA1008" s="68"/>
      <c r="AB1008" s="68"/>
      <c r="AC1008" s="68"/>
      <c r="AD1008" s="68"/>
      <c r="AE1008" s="68"/>
      <c r="AF1008" s="68"/>
      <c r="AG1008" s="68"/>
      <c r="AH1008" s="68"/>
      <c r="AI1008" s="68"/>
      <c r="AJ1008" s="68"/>
      <c r="AK1008" s="68"/>
      <c r="AL1008" s="68"/>
      <c r="AM1008" s="68"/>
      <c r="AN1008" s="68"/>
      <c r="AO1008" s="68"/>
      <c r="AP1008" s="68"/>
      <c r="AQ1008" s="68"/>
      <c r="AR1008" s="68"/>
      <c r="AS1008" s="68"/>
      <c r="AT1008" s="68"/>
      <c r="AU1008" s="68"/>
      <c r="AV1008" s="68"/>
      <c r="AW1008" s="68"/>
      <c r="AX1008" s="68"/>
      <c r="AY1008" s="68"/>
      <c r="AZ1008" s="68"/>
      <c r="BA1008" s="68"/>
      <c r="BB1008" s="68"/>
      <c r="BC1008" s="68"/>
      <c r="BD1008" s="68"/>
      <c r="BE1008" s="68"/>
      <c r="BF1008" s="68"/>
      <c r="BG1008" s="68"/>
      <c r="BH1008" s="68"/>
      <c r="BI1008" s="68"/>
      <c r="BJ1008" s="68"/>
      <c r="BK1008" s="68"/>
      <c r="BL1008" s="68"/>
      <c r="BM1008" s="68"/>
      <c r="BN1008" s="68"/>
      <c r="BO1008" s="68"/>
      <c r="BP1008" s="68"/>
      <c r="BQ1008" s="68"/>
      <c r="BR1008" s="68"/>
      <c r="BS1008" s="68"/>
      <c r="BT1008" s="68"/>
      <c r="BU1008" s="68"/>
      <c r="BV1008" s="68"/>
      <c r="BW1008" s="68"/>
      <c r="BX1008" s="68"/>
      <c r="BY1008" s="68"/>
      <c r="BZ1008" s="68"/>
      <c r="CA1008" s="68"/>
      <c r="CB1008" s="68"/>
      <c r="CC1008" s="68"/>
      <c r="CD1008" s="68"/>
      <c r="CE1008" s="68"/>
      <c r="CF1008" s="68"/>
      <c r="CG1008" s="68"/>
      <c r="CH1008" s="68"/>
      <c r="CI1008" s="68"/>
      <c r="CJ1008" s="68"/>
      <c r="CK1008" s="68"/>
      <c r="CL1008" s="68"/>
      <c r="CM1008" s="68"/>
      <c r="CN1008" s="68"/>
      <c r="CO1008" s="68"/>
      <c r="CP1008" s="68"/>
      <c r="CQ1008" s="68"/>
      <c r="CR1008" s="68"/>
      <c r="CS1008" s="68"/>
      <c r="CT1008" s="68"/>
      <c r="CU1008" s="68"/>
      <c r="CV1008" s="68"/>
      <c r="CW1008" s="68"/>
      <c r="CX1008" s="68"/>
    </row>
    <row r="1009" spans="4:102" s="71" customFormat="1" hidden="1">
      <c r="D1009" s="105"/>
      <c r="E1009" s="111"/>
      <c r="F1009" s="111"/>
      <c r="G1009" s="111"/>
      <c r="H1009" s="105"/>
      <c r="I1009" s="111"/>
      <c r="J1009" s="111"/>
      <c r="K1009" s="112"/>
      <c r="L1009" s="100"/>
      <c r="M1009" s="100"/>
      <c r="N1009" s="100"/>
      <c r="O1009" s="100"/>
      <c r="P1009" s="65"/>
      <c r="Q1009" s="103"/>
      <c r="R1009" s="103"/>
      <c r="S1009" s="103"/>
      <c r="T1009" s="103"/>
      <c r="U1009" s="68"/>
      <c r="V1009" s="69"/>
      <c r="W1009" s="68"/>
      <c r="X1009" s="68"/>
      <c r="Y1009" s="68"/>
      <c r="Z1009" s="68"/>
      <c r="AA1009" s="68"/>
      <c r="AB1009" s="68"/>
      <c r="AC1009" s="68"/>
      <c r="AD1009" s="68"/>
      <c r="AE1009" s="68"/>
      <c r="AF1009" s="68"/>
      <c r="AG1009" s="68"/>
      <c r="AH1009" s="68"/>
      <c r="AI1009" s="68"/>
      <c r="AJ1009" s="68"/>
      <c r="AK1009" s="68"/>
      <c r="AL1009" s="68"/>
      <c r="AM1009" s="68"/>
      <c r="AN1009" s="68"/>
      <c r="AO1009" s="68"/>
      <c r="AP1009" s="68"/>
      <c r="AQ1009" s="68"/>
      <c r="AR1009" s="68"/>
      <c r="AS1009" s="68"/>
      <c r="AT1009" s="68"/>
      <c r="AU1009" s="68"/>
      <c r="AV1009" s="68"/>
      <c r="AW1009" s="68"/>
      <c r="AX1009" s="68"/>
      <c r="AY1009" s="68"/>
      <c r="AZ1009" s="68"/>
      <c r="BA1009" s="68"/>
      <c r="BB1009" s="68"/>
      <c r="BC1009" s="68"/>
      <c r="BD1009" s="68"/>
      <c r="BE1009" s="68"/>
      <c r="BF1009" s="68"/>
      <c r="BG1009" s="68"/>
      <c r="BH1009" s="68"/>
      <c r="BI1009" s="68"/>
      <c r="BJ1009" s="68"/>
      <c r="BK1009" s="68"/>
      <c r="BL1009" s="68"/>
      <c r="BM1009" s="68"/>
      <c r="BN1009" s="68"/>
      <c r="BO1009" s="68"/>
      <c r="BP1009" s="68"/>
      <c r="BQ1009" s="68"/>
      <c r="BR1009" s="68"/>
      <c r="BS1009" s="68"/>
      <c r="BT1009" s="68"/>
      <c r="BU1009" s="68"/>
      <c r="BV1009" s="68"/>
      <c r="BW1009" s="68"/>
      <c r="BX1009" s="68"/>
      <c r="BY1009" s="68"/>
      <c r="BZ1009" s="68"/>
      <c r="CA1009" s="68"/>
      <c r="CB1009" s="68"/>
      <c r="CC1009" s="68"/>
      <c r="CD1009" s="68"/>
      <c r="CE1009" s="68"/>
      <c r="CF1009" s="68"/>
      <c r="CG1009" s="68"/>
      <c r="CH1009" s="68"/>
      <c r="CI1009" s="68"/>
      <c r="CJ1009" s="68"/>
      <c r="CK1009" s="68"/>
      <c r="CL1009" s="68"/>
      <c r="CM1009" s="68"/>
      <c r="CN1009" s="68"/>
      <c r="CO1009" s="68"/>
      <c r="CP1009" s="68"/>
      <c r="CQ1009" s="68"/>
      <c r="CR1009" s="68"/>
      <c r="CS1009" s="68"/>
      <c r="CT1009" s="68"/>
      <c r="CU1009" s="68"/>
      <c r="CV1009" s="68"/>
      <c r="CW1009" s="68"/>
      <c r="CX1009" s="68"/>
    </row>
    <row r="1010" spans="4:102" s="71" customFormat="1" hidden="1">
      <c r="D1010" s="105"/>
      <c r="E1010" s="111"/>
      <c r="F1010" s="111"/>
      <c r="G1010" s="111"/>
      <c r="H1010" s="105"/>
      <c r="I1010" s="111"/>
      <c r="J1010" s="111"/>
      <c r="K1010" s="112"/>
      <c r="L1010" s="100"/>
      <c r="M1010" s="100"/>
      <c r="N1010" s="100"/>
      <c r="O1010" s="100"/>
      <c r="P1010" s="65"/>
      <c r="Q1010" s="103"/>
      <c r="R1010" s="103"/>
      <c r="S1010" s="103"/>
      <c r="T1010" s="103"/>
      <c r="U1010" s="68"/>
      <c r="V1010" s="69"/>
      <c r="W1010" s="68"/>
      <c r="X1010" s="68"/>
      <c r="Y1010" s="68"/>
      <c r="Z1010" s="68"/>
      <c r="AA1010" s="68"/>
      <c r="AB1010" s="68"/>
      <c r="AC1010" s="68"/>
      <c r="AD1010" s="68"/>
      <c r="AE1010" s="68"/>
      <c r="AF1010" s="68"/>
      <c r="AG1010" s="68"/>
      <c r="AH1010" s="68"/>
      <c r="AI1010" s="68"/>
      <c r="AJ1010" s="68"/>
      <c r="AK1010" s="68"/>
      <c r="AL1010" s="68"/>
      <c r="AM1010" s="68"/>
      <c r="AN1010" s="68"/>
      <c r="AO1010" s="68"/>
      <c r="AP1010" s="68"/>
      <c r="AQ1010" s="68"/>
      <c r="AR1010" s="68"/>
      <c r="AS1010" s="68"/>
      <c r="AT1010" s="68"/>
      <c r="AU1010" s="68"/>
      <c r="AV1010" s="68"/>
      <c r="AW1010" s="68"/>
      <c r="AX1010" s="68"/>
      <c r="AY1010" s="68"/>
      <c r="AZ1010" s="68"/>
      <c r="BA1010" s="68"/>
      <c r="BB1010" s="68"/>
      <c r="BC1010" s="68"/>
      <c r="BD1010" s="68"/>
      <c r="BE1010" s="68"/>
      <c r="BF1010" s="68"/>
      <c r="BG1010" s="68"/>
      <c r="BH1010" s="68"/>
      <c r="BI1010" s="68"/>
      <c r="BJ1010" s="68"/>
      <c r="BK1010" s="68"/>
      <c r="BL1010" s="68"/>
      <c r="BM1010" s="68"/>
      <c r="BN1010" s="68"/>
      <c r="BO1010" s="68"/>
      <c r="BP1010" s="68"/>
      <c r="BQ1010" s="68"/>
      <c r="BR1010" s="68"/>
      <c r="BS1010" s="68"/>
      <c r="BT1010" s="68"/>
      <c r="BU1010" s="68"/>
      <c r="BV1010" s="68"/>
      <c r="BW1010" s="68"/>
      <c r="BX1010" s="68"/>
      <c r="BY1010" s="68"/>
      <c r="BZ1010" s="68"/>
      <c r="CA1010" s="68"/>
      <c r="CB1010" s="68"/>
      <c r="CC1010" s="68"/>
      <c r="CD1010" s="68"/>
      <c r="CE1010" s="68"/>
      <c r="CF1010" s="68"/>
      <c r="CG1010" s="68"/>
      <c r="CH1010" s="68"/>
      <c r="CI1010" s="68"/>
      <c r="CJ1010" s="68"/>
      <c r="CK1010" s="68"/>
      <c r="CL1010" s="68"/>
      <c r="CM1010" s="68"/>
      <c r="CN1010" s="68"/>
      <c r="CO1010" s="68"/>
      <c r="CP1010" s="68"/>
      <c r="CQ1010" s="68"/>
      <c r="CR1010" s="68"/>
      <c r="CS1010" s="68"/>
      <c r="CT1010" s="68"/>
      <c r="CU1010" s="68"/>
      <c r="CV1010" s="68"/>
      <c r="CW1010" s="68"/>
      <c r="CX1010" s="68"/>
    </row>
    <row r="1011" spans="4:102" s="71" customFormat="1" hidden="1">
      <c r="D1011" s="105"/>
      <c r="E1011" s="111"/>
      <c r="F1011" s="111"/>
      <c r="G1011" s="111"/>
      <c r="H1011" s="105"/>
      <c r="I1011" s="111"/>
      <c r="J1011" s="111"/>
      <c r="K1011" s="112"/>
      <c r="L1011" s="100"/>
      <c r="M1011" s="100"/>
      <c r="N1011" s="100"/>
      <c r="O1011" s="100"/>
      <c r="P1011" s="65"/>
      <c r="Q1011" s="103"/>
      <c r="R1011" s="103"/>
      <c r="S1011" s="103"/>
      <c r="T1011" s="103"/>
      <c r="U1011" s="68"/>
      <c r="V1011" s="69"/>
      <c r="W1011" s="68"/>
      <c r="X1011" s="68"/>
      <c r="Y1011" s="68"/>
      <c r="Z1011" s="68"/>
      <c r="AA1011" s="68"/>
      <c r="AB1011" s="68"/>
      <c r="AC1011" s="68"/>
      <c r="AD1011" s="68"/>
      <c r="AE1011" s="68"/>
      <c r="AF1011" s="68"/>
      <c r="AG1011" s="68"/>
      <c r="AH1011" s="68"/>
      <c r="AI1011" s="68"/>
      <c r="AJ1011" s="68"/>
      <c r="AK1011" s="68"/>
      <c r="AL1011" s="68"/>
      <c r="AM1011" s="68"/>
      <c r="AN1011" s="68"/>
      <c r="AO1011" s="68"/>
      <c r="AP1011" s="68"/>
      <c r="AQ1011" s="68"/>
      <c r="AR1011" s="68"/>
      <c r="AS1011" s="68"/>
      <c r="AT1011" s="68"/>
      <c r="AU1011" s="68"/>
      <c r="AV1011" s="68"/>
      <c r="AW1011" s="68"/>
      <c r="AX1011" s="68"/>
      <c r="AY1011" s="68"/>
      <c r="AZ1011" s="68"/>
      <c r="BA1011" s="68"/>
      <c r="BB1011" s="68"/>
      <c r="BC1011" s="68"/>
      <c r="BD1011" s="68"/>
      <c r="BE1011" s="68"/>
      <c r="BF1011" s="68"/>
      <c r="BG1011" s="68"/>
      <c r="BH1011" s="68"/>
      <c r="BI1011" s="68"/>
      <c r="BJ1011" s="68"/>
      <c r="BK1011" s="68"/>
      <c r="BL1011" s="68"/>
      <c r="BM1011" s="68"/>
      <c r="BN1011" s="68"/>
      <c r="BO1011" s="68"/>
      <c r="BP1011" s="68"/>
      <c r="BQ1011" s="68"/>
      <c r="BR1011" s="68"/>
      <c r="BS1011" s="68"/>
      <c r="BT1011" s="68"/>
      <c r="BU1011" s="68"/>
      <c r="BV1011" s="68"/>
      <c r="BW1011" s="68"/>
      <c r="BX1011" s="68"/>
      <c r="BY1011" s="68"/>
      <c r="BZ1011" s="68"/>
      <c r="CA1011" s="68"/>
      <c r="CB1011" s="68"/>
      <c r="CC1011" s="68"/>
      <c r="CD1011" s="68"/>
      <c r="CE1011" s="68"/>
      <c r="CF1011" s="68"/>
      <c r="CG1011" s="68"/>
      <c r="CH1011" s="68"/>
      <c r="CI1011" s="68"/>
      <c r="CJ1011" s="68"/>
      <c r="CK1011" s="68"/>
      <c r="CL1011" s="68"/>
      <c r="CM1011" s="68"/>
      <c r="CN1011" s="68"/>
      <c r="CO1011" s="68"/>
      <c r="CP1011" s="68"/>
      <c r="CQ1011" s="68"/>
      <c r="CR1011" s="68"/>
      <c r="CS1011" s="68"/>
      <c r="CT1011" s="68"/>
      <c r="CU1011" s="68"/>
      <c r="CV1011" s="68"/>
      <c r="CW1011" s="68"/>
      <c r="CX1011" s="68"/>
    </row>
    <row r="1012" spans="4:102" s="71" customFormat="1" hidden="1">
      <c r="D1012" s="105"/>
      <c r="E1012" s="111"/>
      <c r="F1012" s="111"/>
      <c r="G1012" s="111"/>
      <c r="H1012" s="105"/>
      <c r="I1012" s="111"/>
      <c r="J1012" s="111"/>
      <c r="K1012" s="112"/>
      <c r="L1012" s="100"/>
      <c r="M1012" s="100"/>
      <c r="N1012" s="100"/>
      <c r="O1012" s="100"/>
      <c r="P1012" s="65"/>
      <c r="Q1012" s="103"/>
      <c r="R1012" s="103"/>
      <c r="S1012" s="103"/>
      <c r="T1012" s="103"/>
      <c r="U1012" s="68"/>
      <c r="V1012" s="69"/>
      <c r="W1012" s="68"/>
      <c r="X1012" s="68"/>
      <c r="Y1012" s="68"/>
      <c r="Z1012" s="68"/>
      <c r="AA1012" s="68"/>
      <c r="AB1012" s="68"/>
      <c r="AC1012" s="68"/>
      <c r="AD1012" s="68"/>
      <c r="AE1012" s="68"/>
      <c r="AF1012" s="68"/>
      <c r="AG1012" s="68"/>
      <c r="AH1012" s="68"/>
      <c r="AI1012" s="68"/>
      <c r="AJ1012" s="68"/>
      <c r="AK1012" s="68"/>
      <c r="AL1012" s="68"/>
      <c r="AM1012" s="68"/>
      <c r="AN1012" s="68"/>
      <c r="AO1012" s="68"/>
      <c r="AP1012" s="68"/>
      <c r="AQ1012" s="68"/>
      <c r="AR1012" s="68"/>
      <c r="AS1012" s="68"/>
      <c r="AT1012" s="68"/>
      <c r="AU1012" s="68"/>
      <c r="AV1012" s="68"/>
      <c r="AW1012" s="68"/>
      <c r="AX1012" s="68"/>
      <c r="AY1012" s="68"/>
      <c r="AZ1012" s="68"/>
      <c r="BA1012" s="68"/>
      <c r="BB1012" s="68"/>
      <c r="BC1012" s="68"/>
      <c r="BD1012" s="68"/>
      <c r="BE1012" s="68"/>
      <c r="BF1012" s="68"/>
      <c r="BG1012" s="68"/>
      <c r="BH1012" s="68"/>
      <c r="BI1012" s="68"/>
      <c r="BJ1012" s="68"/>
      <c r="BK1012" s="68"/>
      <c r="BL1012" s="68"/>
      <c r="BM1012" s="68"/>
      <c r="BN1012" s="68"/>
      <c r="BO1012" s="68"/>
      <c r="BP1012" s="68"/>
      <c r="BQ1012" s="68"/>
      <c r="BR1012" s="68"/>
      <c r="BS1012" s="68"/>
      <c r="BT1012" s="68"/>
      <c r="BU1012" s="68"/>
      <c r="BV1012" s="68"/>
      <c r="BW1012" s="68"/>
      <c r="BX1012" s="68"/>
      <c r="BY1012" s="68"/>
      <c r="BZ1012" s="68"/>
      <c r="CA1012" s="68"/>
      <c r="CB1012" s="68"/>
      <c r="CC1012" s="68"/>
      <c r="CD1012" s="68"/>
      <c r="CE1012" s="68"/>
      <c r="CF1012" s="68"/>
      <c r="CG1012" s="68"/>
      <c r="CH1012" s="68"/>
      <c r="CI1012" s="68"/>
      <c r="CJ1012" s="68"/>
      <c r="CK1012" s="68"/>
      <c r="CL1012" s="68"/>
      <c r="CM1012" s="68"/>
      <c r="CN1012" s="68"/>
      <c r="CO1012" s="68"/>
      <c r="CP1012" s="68"/>
      <c r="CQ1012" s="68"/>
      <c r="CR1012" s="68"/>
      <c r="CS1012" s="68"/>
      <c r="CT1012" s="68"/>
      <c r="CU1012" s="68"/>
      <c r="CV1012" s="68"/>
      <c r="CW1012" s="68"/>
      <c r="CX1012" s="68"/>
    </row>
    <row r="1013" spans="4:102" s="71" customFormat="1" hidden="1">
      <c r="D1013" s="105"/>
      <c r="E1013" s="111"/>
      <c r="F1013" s="111"/>
      <c r="G1013" s="111"/>
      <c r="H1013" s="105"/>
      <c r="I1013" s="111"/>
      <c r="J1013" s="111"/>
      <c r="K1013" s="112"/>
      <c r="L1013" s="100"/>
      <c r="M1013" s="100"/>
      <c r="N1013" s="100"/>
      <c r="O1013" s="100"/>
      <c r="P1013" s="65"/>
      <c r="Q1013" s="103"/>
      <c r="R1013" s="103"/>
      <c r="S1013" s="103"/>
      <c r="T1013" s="103"/>
      <c r="U1013" s="68"/>
      <c r="V1013" s="69"/>
      <c r="W1013" s="68"/>
      <c r="X1013" s="68"/>
      <c r="Y1013" s="68"/>
      <c r="Z1013" s="68"/>
      <c r="AA1013" s="68"/>
      <c r="AB1013" s="68"/>
      <c r="AC1013" s="68"/>
      <c r="AD1013" s="68"/>
      <c r="AE1013" s="68"/>
      <c r="AF1013" s="68"/>
      <c r="AG1013" s="68"/>
      <c r="AH1013" s="68"/>
      <c r="AI1013" s="68"/>
      <c r="AJ1013" s="68"/>
      <c r="AK1013" s="68"/>
      <c r="AL1013" s="68"/>
      <c r="AM1013" s="68"/>
      <c r="AN1013" s="68"/>
      <c r="AO1013" s="68"/>
      <c r="AP1013" s="68"/>
      <c r="AQ1013" s="68"/>
      <c r="AR1013" s="68"/>
      <c r="AS1013" s="68"/>
      <c r="AT1013" s="68"/>
      <c r="AU1013" s="68"/>
      <c r="AV1013" s="68"/>
      <c r="AW1013" s="68"/>
      <c r="AX1013" s="68"/>
      <c r="AY1013" s="68"/>
      <c r="AZ1013" s="68"/>
      <c r="BA1013" s="68"/>
      <c r="BB1013" s="68"/>
      <c r="BC1013" s="68"/>
      <c r="BD1013" s="68"/>
      <c r="BE1013" s="68"/>
      <c r="BF1013" s="68"/>
      <c r="BG1013" s="68"/>
      <c r="BH1013" s="68"/>
      <c r="BI1013" s="68"/>
      <c r="BJ1013" s="68"/>
      <c r="BK1013" s="68"/>
      <c r="BL1013" s="68"/>
      <c r="BM1013" s="68"/>
      <c r="BN1013" s="68"/>
      <c r="BO1013" s="68"/>
      <c r="BP1013" s="68"/>
      <c r="BQ1013" s="68"/>
      <c r="BR1013" s="68"/>
      <c r="BS1013" s="68"/>
      <c r="BT1013" s="68"/>
      <c r="BU1013" s="68"/>
      <c r="BV1013" s="68"/>
      <c r="BW1013" s="68"/>
      <c r="BX1013" s="68"/>
      <c r="BY1013" s="68"/>
      <c r="BZ1013" s="68"/>
      <c r="CA1013" s="68"/>
      <c r="CB1013" s="68"/>
      <c r="CC1013" s="68"/>
      <c r="CD1013" s="68"/>
      <c r="CE1013" s="68"/>
      <c r="CF1013" s="68"/>
      <c r="CG1013" s="68"/>
      <c r="CH1013" s="68"/>
      <c r="CI1013" s="68"/>
      <c r="CJ1013" s="68"/>
      <c r="CK1013" s="68"/>
      <c r="CL1013" s="68"/>
      <c r="CM1013" s="68"/>
      <c r="CN1013" s="68"/>
      <c r="CO1013" s="68"/>
      <c r="CP1013" s="68"/>
      <c r="CQ1013" s="68"/>
      <c r="CR1013" s="68"/>
      <c r="CS1013" s="68"/>
      <c r="CT1013" s="68"/>
      <c r="CU1013" s="68"/>
      <c r="CV1013" s="68"/>
      <c r="CW1013" s="68"/>
      <c r="CX1013" s="68"/>
    </row>
    <row r="1014" spans="4:102" s="71" customFormat="1" hidden="1">
      <c r="D1014" s="105"/>
      <c r="E1014" s="111"/>
      <c r="F1014" s="111"/>
      <c r="G1014" s="111"/>
      <c r="H1014" s="105"/>
      <c r="I1014" s="111"/>
      <c r="J1014" s="111"/>
      <c r="K1014" s="112"/>
      <c r="L1014" s="100"/>
      <c r="M1014" s="100"/>
      <c r="N1014" s="100"/>
      <c r="O1014" s="100"/>
      <c r="P1014" s="65"/>
      <c r="Q1014" s="103"/>
      <c r="R1014" s="103"/>
      <c r="S1014" s="103"/>
      <c r="T1014" s="103"/>
      <c r="U1014" s="68"/>
      <c r="V1014" s="69"/>
      <c r="W1014" s="68"/>
      <c r="X1014" s="68"/>
      <c r="Y1014" s="68"/>
      <c r="Z1014" s="68"/>
      <c r="AA1014" s="68"/>
      <c r="AB1014" s="68"/>
      <c r="AC1014" s="68"/>
      <c r="AD1014" s="68"/>
      <c r="AE1014" s="68"/>
      <c r="AF1014" s="68"/>
      <c r="AG1014" s="68"/>
      <c r="AH1014" s="68"/>
      <c r="AI1014" s="68"/>
      <c r="AJ1014" s="68"/>
      <c r="AK1014" s="68"/>
      <c r="AL1014" s="68"/>
      <c r="AM1014" s="68"/>
      <c r="AN1014" s="68"/>
      <c r="AO1014" s="68"/>
      <c r="AP1014" s="68"/>
      <c r="AQ1014" s="68"/>
      <c r="AR1014" s="68"/>
      <c r="AS1014" s="68"/>
      <c r="AT1014" s="68"/>
      <c r="AU1014" s="68"/>
      <c r="AV1014" s="68"/>
      <c r="AW1014" s="68"/>
      <c r="AX1014" s="68"/>
      <c r="AY1014" s="68"/>
      <c r="AZ1014" s="68"/>
      <c r="BA1014" s="68"/>
      <c r="BB1014" s="68"/>
      <c r="BC1014" s="68"/>
      <c r="BD1014" s="68"/>
      <c r="BE1014" s="68"/>
      <c r="BF1014" s="68"/>
      <c r="BG1014" s="68"/>
      <c r="BH1014" s="68"/>
      <c r="BI1014" s="68"/>
      <c r="BJ1014" s="68"/>
      <c r="BK1014" s="68"/>
      <c r="BL1014" s="68"/>
      <c r="BM1014" s="68"/>
      <c r="BN1014" s="68"/>
      <c r="BO1014" s="68"/>
      <c r="BP1014" s="68"/>
      <c r="BQ1014" s="68"/>
      <c r="BR1014" s="68"/>
      <c r="BS1014" s="68"/>
      <c r="BT1014" s="68"/>
      <c r="BU1014" s="68"/>
      <c r="BV1014" s="68"/>
      <c r="BW1014" s="68"/>
      <c r="BX1014" s="68"/>
      <c r="BY1014" s="68"/>
      <c r="BZ1014" s="68"/>
      <c r="CA1014" s="68"/>
      <c r="CB1014" s="68"/>
      <c r="CC1014" s="68"/>
      <c r="CD1014" s="68"/>
      <c r="CE1014" s="68"/>
      <c r="CF1014" s="68"/>
      <c r="CG1014" s="68"/>
      <c r="CH1014" s="68"/>
      <c r="CI1014" s="68"/>
      <c r="CJ1014" s="68"/>
      <c r="CK1014" s="68"/>
      <c r="CL1014" s="68"/>
      <c r="CM1014" s="68"/>
      <c r="CN1014" s="68"/>
      <c r="CO1014" s="68"/>
      <c r="CP1014" s="68"/>
      <c r="CQ1014" s="68"/>
      <c r="CR1014" s="68"/>
      <c r="CS1014" s="68"/>
      <c r="CT1014" s="68"/>
      <c r="CU1014" s="68"/>
      <c r="CV1014" s="68"/>
      <c r="CW1014" s="68"/>
      <c r="CX1014" s="68"/>
    </row>
    <row r="1015" spans="4:102" s="71" customFormat="1" hidden="1">
      <c r="D1015" s="105"/>
      <c r="E1015" s="111"/>
      <c r="F1015" s="111"/>
      <c r="G1015" s="111"/>
      <c r="H1015" s="105"/>
      <c r="I1015" s="111"/>
      <c r="J1015" s="111"/>
      <c r="K1015" s="112"/>
      <c r="L1015" s="100"/>
      <c r="M1015" s="100"/>
      <c r="N1015" s="100"/>
      <c r="O1015" s="100"/>
      <c r="P1015" s="65"/>
      <c r="Q1015" s="103"/>
      <c r="R1015" s="103"/>
      <c r="S1015" s="103"/>
      <c r="T1015" s="103"/>
      <c r="U1015" s="68"/>
      <c r="V1015" s="69"/>
      <c r="W1015" s="68"/>
      <c r="X1015" s="68"/>
      <c r="Y1015" s="68"/>
      <c r="Z1015" s="68"/>
      <c r="AA1015" s="68"/>
      <c r="AB1015" s="68"/>
      <c r="AC1015" s="68"/>
      <c r="AD1015" s="68"/>
      <c r="AE1015" s="68"/>
      <c r="AF1015" s="68"/>
      <c r="AG1015" s="68"/>
      <c r="AH1015" s="68"/>
      <c r="AI1015" s="68"/>
      <c r="AJ1015" s="68"/>
      <c r="AK1015" s="68"/>
      <c r="AL1015" s="68"/>
      <c r="AM1015" s="68"/>
      <c r="AN1015" s="68"/>
      <c r="AO1015" s="68"/>
      <c r="AP1015" s="68"/>
      <c r="AQ1015" s="68"/>
      <c r="AR1015" s="68"/>
      <c r="AS1015" s="68"/>
      <c r="AT1015" s="68"/>
      <c r="AU1015" s="68"/>
      <c r="AV1015" s="68"/>
      <c r="AW1015" s="68"/>
      <c r="AX1015" s="68"/>
      <c r="AY1015" s="68"/>
      <c r="AZ1015" s="68"/>
      <c r="BA1015" s="68"/>
      <c r="BB1015" s="68"/>
      <c r="BC1015" s="68"/>
      <c r="BD1015" s="68"/>
      <c r="BE1015" s="68"/>
      <c r="BF1015" s="68"/>
      <c r="BG1015" s="68"/>
      <c r="BH1015" s="68"/>
      <c r="BI1015" s="68"/>
      <c r="BJ1015" s="68"/>
      <c r="BK1015" s="68"/>
      <c r="BL1015" s="68"/>
      <c r="BM1015" s="68"/>
      <c r="BN1015" s="68"/>
      <c r="BO1015" s="68"/>
      <c r="BP1015" s="68"/>
      <c r="BQ1015" s="68"/>
      <c r="BR1015" s="68"/>
      <c r="BS1015" s="68"/>
      <c r="BT1015" s="68"/>
      <c r="BU1015" s="68"/>
      <c r="BV1015" s="68"/>
      <c r="BW1015" s="68"/>
      <c r="BX1015" s="68"/>
      <c r="BY1015" s="68"/>
      <c r="BZ1015" s="68"/>
      <c r="CA1015" s="68"/>
      <c r="CB1015" s="68"/>
      <c r="CC1015" s="68"/>
      <c r="CD1015" s="68"/>
      <c r="CE1015" s="68"/>
      <c r="CF1015" s="68"/>
      <c r="CG1015" s="68"/>
      <c r="CH1015" s="68"/>
      <c r="CI1015" s="68"/>
      <c r="CJ1015" s="68"/>
      <c r="CK1015" s="68"/>
      <c r="CL1015" s="68"/>
      <c r="CM1015" s="68"/>
      <c r="CN1015" s="68"/>
      <c r="CO1015" s="68"/>
      <c r="CP1015" s="68"/>
      <c r="CQ1015" s="68"/>
      <c r="CR1015" s="68"/>
      <c r="CS1015" s="68"/>
      <c r="CT1015" s="68"/>
      <c r="CU1015" s="68"/>
      <c r="CV1015" s="68"/>
      <c r="CW1015" s="68"/>
      <c r="CX1015" s="68"/>
    </row>
    <row r="1016" spans="4:102" s="71" customFormat="1" hidden="1">
      <c r="D1016" s="105"/>
      <c r="E1016" s="111"/>
      <c r="F1016" s="111"/>
      <c r="G1016" s="111"/>
      <c r="H1016" s="105"/>
      <c r="I1016" s="111"/>
      <c r="J1016" s="111"/>
      <c r="K1016" s="112"/>
      <c r="L1016" s="100"/>
      <c r="M1016" s="100"/>
      <c r="N1016" s="100"/>
      <c r="O1016" s="100"/>
      <c r="P1016" s="65"/>
      <c r="Q1016" s="103"/>
      <c r="R1016" s="103"/>
      <c r="S1016" s="103"/>
      <c r="T1016" s="103"/>
      <c r="U1016" s="68"/>
      <c r="V1016" s="69"/>
      <c r="W1016" s="68"/>
      <c r="X1016" s="68"/>
      <c r="Y1016" s="68"/>
      <c r="Z1016" s="68"/>
      <c r="AA1016" s="68"/>
      <c r="AB1016" s="68"/>
      <c r="AC1016" s="68"/>
      <c r="AD1016" s="68"/>
      <c r="AE1016" s="68"/>
      <c r="AF1016" s="68"/>
      <c r="AG1016" s="68"/>
      <c r="AH1016" s="68"/>
      <c r="AI1016" s="68"/>
      <c r="AJ1016" s="68"/>
      <c r="AK1016" s="68"/>
      <c r="AL1016" s="68"/>
      <c r="AM1016" s="68"/>
      <c r="AN1016" s="68"/>
      <c r="AO1016" s="68"/>
      <c r="AP1016" s="68"/>
      <c r="AQ1016" s="68"/>
      <c r="AR1016" s="68"/>
      <c r="AS1016" s="68"/>
      <c r="AT1016" s="68"/>
      <c r="AU1016" s="68"/>
      <c r="AV1016" s="68"/>
      <c r="AW1016" s="68"/>
      <c r="AX1016" s="68"/>
      <c r="AY1016" s="68"/>
      <c r="AZ1016" s="68"/>
      <c r="BA1016" s="68"/>
      <c r="BB1016" s="68"/>
      <c r="BC1016" s="68"/>
      <c r="BD1016" s="68"/>
      <c r="BE1016" s="68"/>
      <c r="BF1016" s="68"/>
      <c r="BG1016" s="68"/>
      <c r="BH1016" s="68"/>
      <c r="BI1016" s="68"/>
      <c r="BJ1016" s="68"/>
      <c r="BK1016" s="68"/>
      <c r="BL1016" s="68"/>
      <c r="BM1016" s="68"/>
      <c r="BN1016" s="68"/>
      <c r="BO1016" s="68"/>
      <c r="BP1016" s="68"/>
      <c r="BQ1016" s="68"/>
      <c r="BR1016" s="68"/>
      <c r="BS1016" s="68"/>
      <c r="BT1016" s="68"/>
      <c r="BU1016" s="68"/>
      <c r="BV1016" s="68"/>
      <c r="BW1016" s="68"/>
      <c r="BX1016" s="68"/>
      <c r="BY1016" s="68"/>
      <c r="BZ1016" s="68"/>
      <c r="CA1016" s="68"/>
      <c r="CB1016" s="68"/>
      <c r="CC1016" s="68"/>
      <c r="CD1016" s="68"/>
      <c r="CE1016" s="68"/>
      <c r="CF1016" s="68"/>
      <c r="CG1016" s="68"/>
      <c r="CH1016" s="68"/>
      <c r="CI1016" s="68"/>
      <c r="CJ1016" s="68"/>
      <c r="CK1016" s="68"/>
      <c r="CL1016" s="68"/>
      <c r="CM1016" s="68"/>
      <c r="CN1016" s="68"/>
      <c r="CO1016" s="68"/>
      <c r="CP1016" s="68"/>
      <c r="CQ1016" s="68"/>
      <c r="CR1016" s="68"/>
      <c r="CS1016" s="68"/>
      <c r="CT1016" s="68"/>
      <c r="CU1016" s="68"/>
      <c r="CV1016" s="68"/>
      <c r="CW1016" s="68"/>
      <c r="CX1016" s="68"/>
    </row>
    <row r="1017" spans="4:102" s="71" customFormat="1" hidden="1">
      <c r="D1017" s="105"/>
      <c r="E1017" s="111"/>
      <c r="F1017" s="111"/>
      <c r="G1017" s="111"/>
      <c r="H1017" s="105"/>
      <c r="I1017" s="111"/>
      <c r="J1017" s="111"/>
      <c r="K1017" s="112"/>
      <c r="L1017" s="100"/>
      <c r="M1017" s="100"/>
      <c r="N1017" s="100"/>
      <c r="O1017" s="100"/>
      <c r="P1017" s="65"/>
      <c r="Q1017" s="103"/>
      <c r="R1017" s="103"/>
      <c r="S1017" s="103"/>
      <c r="T1017" s="103"/>
      <c r="U1017" s="68"/>
      <c r="V1017" s="69"/>
      <c r="W1017" s="68"/>
      <c r="X1017" s="68"/>
      <c r="Y1017" s="68"/>
      <c r="Z1017" s="68"/>
      <c r="AA1017" s="68"/>
      <c r="AB1017" s="68"/>
      <c r="AC1017" s="68"/>
      <c r="AD1017" s="68"/>
      <c r="AE1017" s="68"/>
      <c r="AF1017" s="68"/>
      <c r="AG1017" s="68"/>
      <c r="AH1017" s="68"/>
      <c r="AI1017" s="68"/>
      <c r="AJ1017" s="68"/>
      <c r="AK1017" s="68"/>
      <c r="AL1017" s="68"/>
      <c r="AM1017" s="68"/>
      <c r="AN1017" s="68"/>
      <c r="AO1017" s="68"/>
      <c r="AP1017" s="68"/>
      <c r="AQ1017" s="68"/>
      <c r="AR1017" s="68"/>
      <c r="AS1017" s="68"/>
      <c r="AT1017" s="68"/>
      <c r="AU1017" s="68"/>
      <c r="AV1017" s="68"/>
      <c r="AW1017" s="68"/>
      <c r="AX1017" s="68"/>
      <c r="AY1017" s="68"/>
      <c r="AZ1017" s="68"/>
      <c r="BA1017" s="68"/>
      <c r="BB1017" s="68"/>
      <c r="BC1017" s="68"/>
      <c r="BD1017" s="68"/>
      <c r="BE1017" s="68"/>
      <c r="BF1017" s="68"/>
      <c r="BG1017" s="68"/>
      <c r="BH1017" s="68"/>
      <c r="BI1017" s="68"/>
      <c r="BJ1017" s="68"/>
      <c r="BK1017" s="68"/>
      <c r="BL1017" s="68"/>
      <c r="BM1017" s="68"/>
      <c r="BN1017" s="68"/>
      <c r="BO1017" s="68"/>
      <c r="BP1017" s="68"/>
      <c r="BQ1017" s="68"/>
      <c r="BR1017" s="68"/>
      <c r="BS1017" s="68"/>
      <c r="BT1017" s="68"/>
      <c r="BU1017" s="68"/>
      <c r="BV1017" s="68"/>
      <c r="BW1017" s="68"/>
      <c r="BX1017" s="68"/>
      <c r="BY1017" s="68"/>
      <c r="BZ1017" s="68"/>
      <c r="CA1017" s="68"/>
      <c r="CB1017" s="68"/>
      <c r="CC1017" s="68"/>
      <c r="CD1017" s="68"/>
      <c r="CE1017" s="68"/>
      <c r="CF1017" s="68"/>
      <c r="CG1017" s="68"/>
      <c r="CH1017" s="68"/>
      <c r="CI1017" s="68"/>
      <c r="CJ1017" s="68"/>
      <c r="CK1017" s="68"/>
      <c r="CL1017" s="68"/>
      <c r="CM1017" s="68"/>
      <c r="CN1017" s="68"/>
      <c r="CO1017" s="68"/>
      <c r="CP1017" s="68"/>
      <c r="CQ1017" s="68"/>
      <c r="CR1017" s="68"/>
      <c r="CS1017" s="68"/>
      <c r="CT1017" s="68"/>
      <c r="CU1017" s="68"/>
      <c r="CV1017" s="68"/>
      <c r="CW1017" s="68"/>
      <c r="CX1017" s="68"/>
    </row>
    <row r="1018" spans="4:102" s="71" customFormat="1" hidden="1">
      <c r="D1018" s="105"/>
      <c r="E1018" s="111"/>
      <c r="F1018" s="111"/>
      <c r="G1018" s="111"/>
      <c r="H1018" s="105"/>
      <c r="I1018" s="111"/>
      <c r="J1018" s="111"/>
      <c r="K1018" s="112"/>
      <c r="L1018" s="100"/>
      <c r="M1018" s="100"/>
      <c r="N1018" s="100"/>
      <c r="O1018" s="100"/>
      <c r="P1018" s="65"/>
      <c r="Q1018" s="103"/>
      <c r="R1018" s="103"/>
      <c r="S1018" s="103"/>
      <c r="T1018" s="103"/>
      <c r="U1018" s="68"/>
      <c r="V1018" s="69"/>
      <c r="W1018" s="68"/>
      <c r="X1018" s="68"/>
      <c r="Y1018" s="68"/>
      <c r="Z1018" s="68"/>
      <c r="AA1018" s="68"/>
      <c r="AB1018" s="68"/>
      <c r="AC1018" s="68"/>
      <c r="AD1018" s="68"/>
      <c r="AE1018" s="68"/>
      <c r="AF1018" s="68"/>
      <c r="AG1018" s="68"/>
      <c r="AH1018" s="68"/>
      <c r="AI1018" s="68"/>
      <c r="AJ1018" s="68"/>
      <c r="AK1018" s="68"/>
      <c r="AL1018" s="68"/>
      <c r="AM1018" s="68"/>
      <c r="AN1018" s="68"/>
      <c r="AO1018" s="68"/>
      <c r="AP1018" s="68"/>
      <c r="AQ1018" s="68"/>
      <c r="AR1018" s="68"/>
      <c r="AS1018" s="68"/>
      <c r="AT1018" s="68"/>
      <c r="AU1018" s="68"/>
      <c r="AV1018" s="68"/>
      <c r="AW1018" s="68"/>
      <c r="AX1018" s="68"/>
      <c r="AY1018" s="68"/>
      <c r="AZ1018" s="68"/>
      <c r="BA1018" s="68"/>
      <c r="BB1018" s="68"/>
      <c r="BC1018" s="68"/>
      <c r="BD1018" s="68"/>
      <c r="BE1018" s="68"/>
      <c r="BF1018" s="68"/>
      <c r="BG1018" s="68"/>
      <c r="BH1018" s="68"/>
      <c r="BI1018" s="68"/>
      <c r="BJ1018" s="68"/>
      <c r="BK1018" s="68"/>
      <c r="BL1018" s="68"/>
      <c r="BM1018" s="68"/>
      <c r="BN1018" s="68"/>
      <c r="BO1018" s="68"/>
      <c r="BP1018" s="68"/>
      <c r="BQ1018" s="68"/>
      <c r="BR1018" s="68"/>
      <c r="BS1018" s="68"/>
      <c r="BT1018" s="68"/>
      <c r="BU1018" s="68"/>
      <c r="BV1018" s="68"/>
      <c r="BW1018" s="68"/>
      <c r="BX1018" s="68"/>
      <c r="BY1018" s="68"/>
      <c r="BZ1018" s="68"/>
      <c r="CA1018" s="68"/>
      <c r="CB1018" s="68"/>
      <c r="CC1018" s="68"/>
      <c r="CD1018" s="68"/>
      <c r="CE1018" s="68"/>
      <c r="CF1018" s="68"/>
      <c r="CG1018" s="68"/>
      <c r="CH1018" s="68"/>
      <c r="CI1018" s="68"/>
      <c r="CJ1018" s="68"/>
      <c r="CK1018" s="68"/>
      <c r="CL1018" s="68"/>
      <c r="CM1018" s="68"/>
      <c r="CN1018" s="68"/>
      <c r="CO1018" s="68"/>
      <c r="CP1018" s="68"/>
      <c r="CQ1018" s="68"/>
      <c r="CR1018" s="68"/>
      <c r="CS1018" s="68"/>
      <c r="CT1018" s="68"/>
      <c r="CU1018" s="68"/>
      <c r="CV1018" s="68"/>
      <c r="CW1018" s="68"/>
      <c r="CX1018" s="68"/>
    </row>
    <row r="1019" spans="4:102" s="71" customFormat="1" hidden="1">
      <c r="D1019" s="105"/>
      <c r="E1019" s="111"/>
      <c r="F1019" s="111"/>
      <c r="G1019" s="111"/>
      <c r="H1019" s="105"/>
      <c r="I1019" s="111"/>
      <c r="J1019" s="111"/>
      <c r="K1019" s="112"/>
      <c r="L1019" s="100"/>
      <c r="M1019" s="100"/>
      <c r="N1019" s="100"/>
      <c r="O1019" s="100"/>
      <c r="P1019" s="65"/>
      <c r="Q1019" s="103"/>
      <c r="R1019" s="103"/>
      <c r="S1019" s="103"/>
      <c r="T1019" s="103"/>
      <c r="U1019" s="68"/>
      <c r="V1019" s="69"/>
      <c r="W1019" s="68"/>
      <c r="X1019" s="68"/>
      <c r="Y1019" s="68"/>
      <c r="Z1019" s="68"/>
      <c r="AA1019" s="68"/>
      <c r="AB1019" s="68"/>
      <c r="AC1019" s="68"/>
      <c r="AD1019" s="68"/>
      <c r="AE1019" s="68"/>
      <c r="AF1019" s="68"/>
      <c r="AG1019" s="68"/>
      <c r="AH1019" s="68"/>
      <c r="AI1019" s="68"/>
      <c r="AJ1019" s="68"/>
      <c r="AK1019" s="68"/>
      <c r="AL1019" s="68"/>
      <c r="AM1019" s="68"/>
      <c r="AN1019" s="68"/>
      <c r="AO1019" s="68"/>
      <c r="AP1019" s="68"/>
      <c r="AQ1019" s="68"/>
      <c r="AR1019" s="68"/>
      <c r="AS1019" s="68"/>
      <c r="AT1019" s="68"/>
      <c r="AU1019" s="68"/>
      <c r="AV1019" s="68"/>
      <c r="AW1019" s="68"/>
      <c r="AX1019" s="68"/>
      <c r="AY1019" s="68"/>
      <c r="AZ1019" s="68"/>
      <c r="BA1019" s="68"/>
      <c r="BB1019" s="68"/>
      <c r="BC1019" s="68"/>
      <c r="BD1019" s="68"/>
      <c r="BE1019" s="68"/>
      <c r="BF1019" s="68"/>
      <c r="BG1019" s="68"/>
      <c r="BH1019" s="68"/>
      <c r="BI1019" s="68"/>
      <c r="BJ1019" s="68"/>
      <c r="BK1019" s="68"/>
      <c r="BL1019" s="68"/>
      <c r="BM1019" s="68"/>
      <c r="BN1019" s="68"/>
      <c r="BO1019" s="68"/>
      <c r="BP1019" s="68"/>
      <c r="BQ1019" s="68"/>
      <c r="BR1019" s="68"/>
      <c r="BS1019" s="68"/>
      <c r="BT1019" s="68"/>
      <c r="BU1019" s="68"/>
      <c r="BV1019" s="68"/>
      <c r="BW1019" s="68"/>
      <c r="BX1019" s="68"/>
      <c r="BY1019" s="68"/>
      <c r="BZ1019" s="68"/>
      <c r="CA1019" s="68"/>
      <c r="CB1019" s="68"/>
      <c r="CC1019" s="68"/>
      <c r="CD1019" s="68"/>
      <c r="CE1019" s="68"/>
      <c r="CF1019" s="68"/>
      <c r="CG1019" s="68"/>
      <c r="CH1019" s="68"/>
      <c r="CI1019" s="68"/>
      <c r="CJ1019" s="68"/>
      <c r="CK1019" s="68"/>
      <c r="CL1019" s="68"/>
      <c r="CM1019" s="68"/>
      <c r="CN1019" s="68"/>
      <c r="CO1019" s="68"/>
      <c r="CP1019" s="68"/>
      <c r="CQ1019" s="68"/>
      <c r="CR1019" s="68"/>
      <c r="CS1019" s="68"/>
      <c r="CT1019" s="68"/>
      <c r="CU1019" s="68"/>
      <c r="CV1019" s="68"/>
      <c r="CW1019" s="68"/>
      <c r="CX1019" s="68"/>
    </row>
    <row r="1020" spans="4:102" s="71" customFormat="1" hidden="1">
      <c r="D1020" s="105"/>
      <c r="E1020" s="111"/>
      <c r="F1020" s="111"/>
      <c r="G1020" s="111"/>
      <c r="H1020" s="105"/>
      <c r="I1020" s="111"/>
      <c r="J1020" s="111"/>
      <c r="K1020" s="112"/>
      <c r="L1020" s="100"/>
      <c r="M1020" s="100"/>
      <c r="N1020" s="100"/>
      <c r="O1020" s="100"/>
      <c r="P1020" s="65"/>
      <c r="Q1020" s="103"/>
      <c r="R1020" s="103"/>
      <c r="S1020" s="103"/>
      <c r="T1020" s="103"/>
      <c r="U1020" s="68"/>
      <c r="V1020" s="69"/>
      <c r="W1020" s="68"/>
      <c r="X1020" s="68"/>
      <c r="Y1020" s="68"/>
      <c r="Z1020" s="68"/>
      <c r="AA1020" s="68"/>
      <c r="AB1020" s="68"/>
      <c r="AC1020" s="68"/>
      <c r="AD1020" s="68"/>
      <c r="AE1020" s="68"/>
      <c r="AF1020" s="68"/>
      <c r="AG1020" s="68"/>
      <c r="AH1020" s="68"/>
      <c r="AI1020" s="68"/>
      <c r="AJ1020" s="68"/>
      <c r="AK1020" s="68"/>
      <c r="AL1020" s="68"/>
      <c r="AM1020" s="68"/>
      <c r="AN1020" s="68"/>
      <c r="AO1020" s="68"/>
      <c r="AP1020" s="68"/>
      <c r="AQ1020" s="68"/>
      <c r="AR1020" s="68"/>
      <c r="AS1020" s="68"/>
      <c r="AT1020" s="68"/>
      <c r="AU1020" s="68"/>
      <c r="AV1020" s="68"/>
      <c r="AW1020" s="68"/>
      <c r="AX1020" s="68"/>
      <c r="AY1020" s="68"/>
      <c r="AZ1020" s="68"/>
      <c r="BA1020" s="68"/>
      <c r="BB1020" s="68"/>
      <c r="BC1020" s="68"/>
      <c r="BD1020" s="68"/>
      <c r="BE1020" s="68"/>
      <c r="BF1020" s="68"/>
      <c r="BG1020" s="68"/>
      <c r="BH1020" s="68"/>
      <c r="BI1020" s="68"/>
      <c r="BJ1020" s="68"/>
      <c r="BK1020" s="68"/>
      <c r="BL1020" s="68"/>
      <c r="BM1020" s="68"/>
      <c r="BN1020" s="68"/>
      <c r="BO1020" s="68"/>
      <c r="BP1020" s="68"/>
      <c r="BQ1020" s="68"/>
      <c r="BR1020" s="68"/>
      <c r="BS1020" s="68"/>
      <c r="BT1020" s="68"/>
      <c r="BU1020" s="68"/>
      <c r="BV1020" s="68"/>
      <c r="BW1020" s="68"/>
      <c r="BX1020" s="68"/>
      <c r="BY1020" s="68"/>
      <c r="BZ1020" s="68"/>
      <c r="CA1020" s="68"/>
      <c r="CB1020" s="68"/>
      <c r="CC1020" s="68"/>
      <c r="CD1020" s="68"/>
      <c r="CE1020" s="68"/>
      <c r="CF1020" s="68"/>
      <c r="CG1020" s="68"/>
      <c r="CH1020" s="68"/>
      <c r="CI1020" s="68"/>
      <c r="CJ1020" s="68"/>
      <c r="CK1020" s="68"/>
      <c r="CL1020" s="68"/>
      <c r="CM1020" s="68"/>
      <c r="CN1020" s="68"/>
      <c r="CO1020" s="68"/>
      <c r="CP1020" s="68"/>
      <c r="CQ1020" s="68"/>
      <c r="CR1020" s="68"/>
      <c r="CS1020" s="68"/>
      <c r="CT1020" s="68"/>
      <c r="CU1020" s="68"/>
      <c r="CV1020" s="68"/>
      <c r="CW1020" s="68"/>
      <c r="CX1020" s="68"/>
    </row>
    <row r="1021" spans="4:102" s="71" customFormat="1" hidden="1">
      <c r="D1021" s="105"/>
      <c r="E1021" s="111"/>
      <c r="F1021" s="111"/>
      <c r="G1021" s="111"/>
      <c r="H1021" s="105"/>
      <c r="I1021" s="111"/>
      <c r="J1021" s="111"/>
      <c r="K1021" s="112"/>
      <c r="L1021" s="100"/>
      <c r="M1021" s="100"/>
      <c r="N1021" s="100"/>
      <c r="O1021" s="100"/>
      <c r="P1021" s="65"/>
      <c r="Q1021" s="103"/>
      <c r="R1021" s="103"/>
      <c r="S1021" s="103"/>
      <c r="T1021" s="103"/>
      <c r="U1021" s="68"/>
      <c r="V1021" s="69"/>
      <c r="W1021" s="68"/>
      <c r="X1021" s="68"/>
      <c r="Y1021" s="68"/>
      <c r="Z1021" s="68"/>
      <c r="AA1021" s="68"/>
      <c r="AB1021" s="68"/>
      <c r="AC1021" s="68"/>
      <c r="AD1021" s="68"/>
      <c r="AE1021" s="68"/>
      <c r="AF1021" s="68"/>
      <c r="AG1021" s="68"/>
      <c r="AH1021" s="68"/>
      <c r="AI1021" s="68"/>
      <c r="AJ1021" s="68"/>
      <c r="AK1021" s="68"/>
      <c r="AL1021" s="68"/>
      <c r="AM1021" s="68"/>
      <c r="AN1021" s="68"/>
      <c r="AO1021" s="68"/>
      <c r="AP1021" s="68"/>
      <c r="AQ1021" s="68"/>
      <c r="AR1021" s="68"/>
      <c r="AS1021" s="68"/>
      <c r="AT1021" s="68"/>
      <c r="AU1021" s="68"/>
      <c r="AV1021" s="68"/>
      <c r="AW1021" s="68"/>
      <c r="AX1021" s="68"/>
      <c r="AY1021" s="68"/>
      <c r="AZ1021" s="68"/>
      <c r="BA1021" s="68"/>
      <c r="BB1021" s="68"/>
      <c r="BC1021" s="68"/>
      <c r="BD1021" s="68"/>
      <c r="BE1021" s="68"/>
      <c r="BF1021" s="68"/>
      <c r="BG1021" s="68"/>
      <c r="BH1021" s="68"/>
      <c r="BI1021" s="68"/>
      <c r="BJ1021" s="68"/>
      <c r="BK1021" s="68"/>
      <c r="BL1021" s="68"/>
      <c r="BM1021" s="68"/>
      <c r="BN1021" s="68"/>
      <c r="BO1021" s="68"/>
      <c r="BP1021" s="68"/>
      <c r="BQ1021" s="68"/>
      <c r="BR1021" s="68"/>
      <c r="BS1021" s="68"/>
      <c r="BT1021" s="68"/>
      <c r="BU1021" s="68"/>
      <c r="BV1021" s="68"/>
      <c r="BW1021" s="68"/>
      <c r="BX1021" s="68"/>
      <c r="BY1021" s="68"/>
      <c r="BZ1021" s="68"/>
      <c r="CA1021" s="68"/>
      <c r="CB1021" s="68"/>
      <c r="CC1021" s="68"/>
      <c r="CD1021" s="68"/>
      <c r="CE1021" s="68"/>
      <c r="CF1021" s="68"/>
      <c r="CG1021" s="68"/>
      <c r="CH1021" s="68"/>
      <c r="CI1021" s="68"/>
      <c r="CJ1021" s="68"/>
      <c r="CK1021" s="68"/>
      <c r="CL1021" s="68"/>
      <c r="CM1021" s="68"/>
      <c r="CN1021" s="68"/>
      <c r="CO1021" s="68"/>
      <c r="CP1021" s="68"/>
      <c r="CQ1021" s="68"/>
      <c r="CR1021" s="68"/>
      <c r="CS1021" s="68"/>
      <c r="CT1021" s="68"/>
      <c r="CU1021" s="68"/>
      <c r="CV1021" s="68"/>
      <c r="CW1021" s="68"/>
      <c r="CX1021" s="68"/>
    </row>
    <row r="1022" spans="4:102" s="71" customFormat="1" hidden="1">
      <c r="D1022" s="105"/>
      <c r="E1022" s="111"/>
      <c r="F1022" s="111"/>
      <c r="G1022" s="111"/>
      <c r="H1022" s="105"/>
      <c r="I1022" s="111"/>
      <c r="J1022" s="111"/>
      <c r="K1022" s="112"/>
      <c r="L1022" s="100"/>
      <c r="M1022" s="100"/>
      <c r="N1022" s="100"/>
      <c r="O1022" s="100"/>
      <c r="P1022" s="65"/>
      <c r="Q1022" s="103"/>
      <c r="R1022" s="103"/>
      <c r="S1022" s="103"/>
      <c r="T1022" s="103"/>
      <c r="U1022" s="68"/>
      <c r="V1022" s="69"/>
      <c r="W1022" s="68"/>
      <c r="X1022" s="68"/>
      <c r="Y1022" s="68"/>
      <c r="Z1022" s="68"/>
      <c r="AA1022" s="68"/>
      <c r="AB1022" s="68"/>
      <c r="AC1022" s="68"/>
      <c r="AD1022" s="68"/>
      <c r="AE1022" s="68"/>
      <c r="AF1022" s="68"/>
      <c r="AG1022" s="68"/>
      <c r="AH1022" s="68"/>
      <c r="AI1022" s="68"/>
      <c r="AJ1022" s="68"/>
      <c r="AK1022" s="68"/>
      <c r="AL1022" s="68"/>
      <c r="AM1022" s="68"/>
      <c r="AN1022" s="68"/>
      <c r="AO1022" s="68"/>
      <c r="AP1022" s="68"/>
      <c r="AQ1022" s="68"/>
      <c r="AR1022" s="68"/>
      <c r="AS1022" s="68"/>
      <c r="AT1022" s="68"/>
      <c r="AU1022" s="68"/>
      <c r="AV1022" s="68"/>
      <c r="AW1022" s="68"/>
      <c r="AX1022" s="68"/>
      <c r="AY1022" s="68"/>
      <c r="AZ1022" s="68"/>
      <c r="BA1022" s="68"/>
      <c r="BB1022" s="68"/>
      <c r="BC1022" s="68"/>
      <c r="BD1022" s="68"/>
      <c r="BE1022" s="68"/>
      <c r="BF1022" s="68"/>
      <c r="BG1022" s="68"/>
      <c r="BH1022" s="68"/>
      <c r="BI1022" s="68"/>
      <c r="BJ1022" s="68"/>
      <c r="BK1022" s="68"/>
      <c r="BL1022" s="68"/>
      <c r="BM1022" s="68"/>
      <c r="BN1022" s="68"/>
      <c r="BO1022" s="68"/>
      <c r="BP1022" s="68"/>
      <c r="BQ1022" s="68"/>
      <c r="BR1022" s="68"/>
      <c r="BS1022" s="68"/>
      <c r="BT1022" s="68"/>
      <c r="BU1022" s="68"/>
      <c r="BV1022" s="68"/>
      <c r="BW1022" s="68"/>
      <c r="BX1022" s="68"/>
      <c r="BY1022" s="68"/>
      <c r="BZ1022" s="68"/>
      <c r="CA1022" s="68"/>
      <c r="CB1022" s="68"/>
      <c r="CC1022" s="68"/>
      <c r="CD1022" s="68"/>
      <c r="CE1022" s="68"/>
      <c r="CF1022" s="68"/>
      <c r="CG1022" s="68"/>
      <c r="CH1022" s="68"/>
      <c r="CI1022" s="68"/>
      <c r="CJ1022" s="68"/>
      <c r="CK1022" s="68"/>
      <c r="CL1022" s="68"/>
      <c r="CM1022" s="68"/>
      <c r="CN1022" s="68"/>
      <c r="CO1022" s="68"/>
      <c r="CP1022" s="68"/>
      <c r="CQ1022" s="68"/>
      <c r="CR1022" s="68"/>
      <c r="CS1022" s="68"/>
      <c r="CT1022" s="68"/>
      <c r="CU1022" s="68"/>
      <c r="CV1022" s="68"/>
      <c r="CW1022" s="68"/>
      <c r="CX1022" s="68"/>
    </row>
    <row r="1023" spans="4:102" s="71" customFormat="1" hidden="1">
      <c r="D1023" s="105"/>
      <c r="E1023" s="111"/>
      <c r="F1023" s="111"/>
      <c r="G1023" s="111"/>
      <c r="H1023" s="105"/>
      <c r="I1023" s="111"/>
      <c r="J1023" s="111"/>
      <c r="K1023" s="112"/>
      <c r="L1023" s="100"/>
      <c r="M1023" s="100"/>
      <c r="N1023" s="100"/>
      <c r="O1023" s="100"/>
      <c r="P1023" s="65"/>
      <c r="Q1023" s="103"/>
      <c r="R1023" s="103"/>
      <c r="S1023" s="103"/>
      <c r="T1023" s="103"/>
      <c r="U1023" s="68"/>
      <c r="V1023" s="69"/>
      <c r="W1023" s="68"/>
      <c r="X1023" s="68"/>
      <c r="Y1023" s="68"/>
      <c r="Z1023" s="68"/>
      <c r="AA1023" s="68"/>
      <c r="AB1023" s="68"/>
      <c r="AC1023" s="68"/>
      <c r="AD1023" s="68"/>
      <c r="AE1023" s="68"/>
      <c r="AF1023" s="68"/>
      <c r="AG1023" s="68"/>
      <c r="AH1023" s="68"/>
      <c r="AI1023" s="68"/>
      <c r="AJ1023" s="68"/>
      <c r="AK1023" s="68"/>
      <c r="AL1023" s="68"/>
      <c r="AM1023" s="68"/>
      <c r="AN1023" s="68"/>
      <c r="AO1023" s="68"/>
      <c r="AP1023" s="68"/>
      <c r="AQ1023" s="68"/>
      <c r="AR1023" s="68"/>
      <c r="AS1023" s="68"/>
      <c r="AT1023" s="68"/>
      <c r="AU1023" s="68"/>
      <c r="AV1023" s="68"/>
      <c r="AW1023" s="68"/>
      <c r="AX1023" s="68"/>
      <c r="AY1023" s="68"/>
      <c r="AZ1023" s="68"/>
      <c r="BA1023" s="68"/>
      <c r="BB1023" s="68"/>
      <c r="BC1023" s="68"/>
      <c r="BD1023" s="68"/>
      <c r="BE1023" s="68"/>
      <c r="BF1023" s="68"/>
      <c r="BG1023" s="68"/>
      <c r="BH1023" s="68"/>
      <c r="BI1023" s="68"/>
      <c r="BJ1023" s="68"/>
      <c r="BK1023" s="68"/>
      <c r="BL1023" s="68"/>
      <c r="BM1023" s="68"/>
      <c r="BN1023" s="68"/>
      <c r="BO1023" s="68"/>
      <c r="BP1023" s="68"/>
      <c r="BQ1023" s="68"/>
      <c r="BR1023" s="68"/>
      <c r="BS1023" s="68"/>
      <c r="BT1023" s="68"/>
      <c r="BU1023" s="68"/>
      <c r="BV1023" s="68"/>
      <c r="BW1023" s="68"/>
      <c r="BX1023" s="68"/>
      <c r="BY1023" s="68"/>
      <c r="BZ1023" s="68"/>
      <c r="CA1023" s="68"/>
      <c r="CB1023" s="68"/>
      <c r="CC1023" s="68"/>
      <c r="CD1023" s="68"/>
      <c r="CE1023" s="68"/>
      <c r="CF1023" s="68"/>
      <c r="CG1023" s="68"/>
      <c r="CH1023" s="68"/>
      <c r="CI1023" s="68"/>
      <c r="CJ1023" s="68"/>
      <c r="CK1023" s="68"/>
      <c r="CL1023" s="68"/>
      <c r="CM1023" s="68"/>
      <c r="CN1023" s="68"/>
      <c r="CO1023" s="68"/>
      <c r="CP1023" s="68"/>
      <c r="CQ1023" s="68"/>
      <c r="CR1023" s="68"/>
      <c r="CS1023" s="68"/>
      <c r="CT1023" s="68"/>
      <c r="CU1023" s="68"/>
      <c r="CV1023" s="68"/>
      <c r="CW1023" s="68"/>
      <c r="CX1023" s="68"/>
    </row>
    <row r="1024" spans="4:102" s="71" customFormat="1" hidden="1">
      <c r="D1024" s="105"/>
      <c r="E1024" s="111"/>
      <c r="F1024" s="111"/>
      <c r="G1024" s="111"/>
      <c r="H1024" s="105"/>
      <c r="I1024" s="111"/>
      <c r="J1024" s="111"/>
      <c r="K1024" s="112"/>
      <c r="L1024" s="100"/>
      <c r="M1024" s="100"/>
      <c r="N1024" s="100"/>
      <c r="O1024" s="100"/>
      <c r="P1024" s="65"/>
      <c r="Q1024" s="103"/>
      <c r="R1024" s="103"/>
      <c r="S1024" s="103"/>
      <c r="T1024" s="103"/>
      <c r="U1024" s="68"/>
      <c r="V1024" s="69"/>
      <c r="W1024" s="68"/>
      <c r="X1024" s="68"/>
      <c r="Y1024" s="68"/>
      <c r="Z1024" s="68"/>
      <c r="AA1024" s="68"/>
      <c r="AB1024" s="68"/>
      <c r="AC1024" s="68"/>
      <c r="AD1024" s="68"/>
      <c r="AE1024" s="68"/>
      <c r="AF1024" s="68"/>
      <c r="AG1024" s="68"/>
      <c r="AH1024" s="68"/>
      <c r="AI1024" s="68"/>
      <c r="AJ1024" s="68"/>
      <c r="AK1024" s="68"/>
      <c r="AL1024" s="68"/>
      <c r="AM1024" s="68"/>
      <c r="AN1024" s="68"/>
      <c r="AO1024" s="68"/>
      <c r="AP1024" s="68"/>
      <c r="AQ1024" s="68"/>
      <c r="AR1024" s="68"/>
      <c r="AS1024" s="68"/>
      <c r="AT1024" s="68"/>
      <c r="AU1024" s="68"/>
      <c r="AV1024" s="68"/>
      <c r="AW1024" s="68"/>
      <c r="AX1024" s="68"/>
      <c r="AY1024" s="68"/>
      <c r="AZ1024" s="68"/>
      <c r="BA1024" s="68"/>
      <c r="BB1024" s="68"/>
      <c r="BC1024" s="68"/>
      <c r="BD1024" s="68"/>
      <c r="BE1024" s="68"/>
      <c r="BF1024" s="68"/>
      <c r="BG1024" s="68"/>
      <c r="BH1024" s="68"/>
      <c r="BI1024" s="68"/>
      <c r="BJ1024" s="68"/>
      <c r="BK1024" s="68"/>
      <c r="BL1024" s="68"/>
      <c r="BM1024" s="68"/>
      <c r="BN1024" s="68"/>
      <c r="BO1024" s="68"/>
      <c r="BP1024" s="68"/>
      <c r="BQ1024" s="68"/>
      <c r="BR1024" s="68"/>
      <c r="BS1024" s="68"/>
      <c r="BT1024" s="68"/>
      <c r="BU1024" s="68"/>
      <c r="BV1024" s="68"/>
      <c r="BW1024" s="68"/>
      <c r="BX1024" s="68"/>
      <c r="BY1024" s="68"/>
      <c r="BZ1024" s="68"/>
      <c r="CA1024" s="68"/>
      <c r="CB1024" s="68"/>
      <c r="CC1024" s="68"/>
      <c r="CD1024" s="68"/>
      <c r="CE1024" s="68"/>
      <c r="CF1024" s="68"/>
      <c r="CG1024" s="68"/>
      <c r="CH1024" s="68"/>
      <c r="CI1024" s="68"/>
      <c r="CJ1024" s="68"/>
      <c r="CK1024" s="68"/>
      <c r="CL1024" s="68"/>
      <c r="CM1024" s="68"/>
      <c r="CN1024" s="68"/>
      <c r="CO1024" s="68"/>
      <c r="CP1024" s="68"/>
      <c r="CQ1024" s="68"/>
      <c r="CR1024" s="68"/>
      <c r="CS1024" s="68"/>
      <c r="CT1024" s="68"/>
      <c r="CU1024" s="68"/>
      <c r="CV1024" s="68"/>
      <c r="CW1024" s="68"/>
      <c r="CX1024" s="68"/>
    </row>
    <row r="1025" spans="4:102" s="71" customFormat="1" hidden="1">
      <c r="D1025" s="105"/>
      <c r="E1025" s="111"/>
      <c r="F1025" s="111"/>
      <c r="G1025" s="111"/>
      <c r="H1025" s="105"/>
      <c r="I1025" s="111"/>
      <c r="J1025" s="111"/>
      <c r="K1025" s="112"/>
      <c r="L1025" s="100"/>
      <c r="M1025" s="100"/>
      <c r="N1025" s="100"/>
      <c r="O1025" s="100"/>
      <c r="P1025" s="65"/>
      <c r="Q1025" s="103"/>
      <c r="R1025" s="103"/>
      <c r="S1025" s="103"/>
      <c r="T1025" s="103"/>
      <c r="U1025" s="68"/>
      <c r="V1025" s="69"/>
      <c r="W1025" s="68"/>
      <c r="X1025" s="68"/>
      <c r="Y1025" s="68"/>
      <c r="Z1025" s="68"/>
      <c r="AA1025" s="68"/>
      <c r="AB1025" s="68"/>
      <c r="AC1025" s="68"/>
      <c r="AD1025" s="68"/>
      <c r="AE1025" s="68"/>
      <c r="AF1025" s="68"/>
      <c r="AG1025" s="68"/>
      <c r="AH1025" s="68"/>
      <c r="AI1025" s="68"/>
      <c r="AJ1025" s="68"/>
      <c r="AK1025" s="68"/>
      <c r="AL1025" s="68"/>
      <c r="AM1025" s="68"/>
      <c r="AN1025" s="68"/>
      <c r="AO1025" s="68"/>
      <c r="AP1025" s="68"/>
      <c r="AQ1025" s="68"/>
      <c r="AR1025" s="68"/>
      <c r="AS1025" s="68"/>
      <c r="AT1025" s="68"/>
      <c r="AU1025" s="68"/>
      <c r="AV1025" s="68"/>
      <c r="AW1025" s="68"/>
      <c r="AX1025" s="68"/>
      <c r="AY1025" s="68"/>
      <c r="AZ1025" s="68"/>
      <c r="BA1025" s="68"/>
      <c r="BB1025" s="68"/>
      <c r="BC1025" s="68"/>
      <c r="BD1025" s="68"/>
      <c r="BE1025" s="68"/>
      <c r="BF1025" s="68"/>
      <c r="BG1025" s="68"/>
      <c r="BH1025" s="68"/>
      <c r="BI1025" s="68"/>
      <c r="BJ1025" s="68"/>
      <c r="BK1025" s="68"/>
      <c r="BL1025" s="68"/>
      <c r="BM1025" s="68"/>
      <c r="BN1025" s="68"/>
      <c r="BO1025" s="68"/>
      <c r="BP1025" s="68"/>
      <c r="BQ1025" s="68"/>
      <c r="BR1025" s="68"/>
      <c r="BS1025" s="68"/>
      <c r="BT1025" s="68"/>
      <c r="BU1025" s="68"/>
      <c r="BV1025" s="68"/>
      <c r="BW1025" s="68"/>
      <c r="BX1025" s="68"/>
      <c r="BY1025" s="68"/>
      <c r="BZ1025" s="68"/>
      <c r="CA1025" s="68"/>
      <c r="CB1025" s="68"/>
      <c r="CC1025" s="68"/>
      <c r="CD1025" s="68"/>
      <c r="CE1025" s="68"/>
      <c r="CF1025" s="68"/>
      <c r="CG1025" s="68"/>
      <c r="CH1025" s="68"/>
      <c r="CI1025" s="68"/>
      <c r="CJ1025" s="68"/>
      <c r="CK1025" s="68"/>
      <c r="CL1025" s="68"/>
      <c r="CM1025" s="68"/>
      <c r="CN1025" s="68"/>
      <c r="CO1025" s="68"/>
      <c r="CP1025" s="68"/>
      <c r="CQ1025" s="68"/>
      <c r="CR1025" s="68"/>
      <c r="CS1025" s="68"/>
      <c r="CT1025" s="68"/>
      <c r="CU1025" s="68"/>
      <c r="CV1025" s="68"/>
      <c r="CW1025" s="68"/>
      <c r="CX1025" s="68"/>
    </row>
    <row r="1026" spans="4:102" s="71" customFormat="1" hidden="1">
      <c r="D1026" s="105"/>
      <c r="E1026" s="111"/>
      <c r="F1026" s="111"/>
      <c r="G1026" s="111"/>
      <c r="H1026" s="105"/>
      <c r="I1026" s="111"/>
      <c r="J1026" s="111"/>
      <c r="K1026" s="112"/>
      <c r="L1026" s="100"/>
      <c r="M1026" s="100"/>
      <c r="N1026" s="100"/>
      <c r="O1026" s="100"/>
      <c r="P1026" s="65"/>
      <c r="Q1026" s="103"/>
      <c r="R1026" s="103"/>
      <c r="S1026" s="103"/>
      <c r="T1026" s="103"/>
      <c r="U1026" s="68"/>
      <c r="V1026" s="69"/>
      <c r="W1026" s="68"/>
      <c r="X1026" s="68"/>
      <c r="Y1026" s="68"/>
      <c r="Z1026" s="68"/>
      <c r="AA1026" s="68"/>
      <c r="AB1026" s="68"/>
      <c r="AC1026" s="68"/>
      <c r="AD1026" s="68"/>
      <c r="AE1026" s="68"/>
      <c r="AF1026" s="68"/>
      <c r="AG1026" s="68"/>
      <c r="AH1026" s="68"/>
      <c r="AI1026" s="68"/>
      <c r="AJ1026" s="68"/>
      <c r="AK1026" s="68"/>
      <c r="AL1026" s="68"/>
      <c r="AM1026" s="68"/>
      <c r="AN1026" s="68"/>
      <c r="AO1026" s="68"/>
      <c r="AP1026" s="68"/>
      <c r="AQ1026" s="68"/>
      <c r="AR1026" s="68"/>
      <c r="AS1026" s="68"/>
      <c r="AT1026" s="68"/>
      <c r="AU1026" s="68"/>
      <c r="AV1026" s="68"/>
      <c r="AW1026" s="68"/>
      <c r="AX1026" s="68"/>
      <c r="AY1026" s="68"/>
      <c r="AZ1026" s="68"/>
      <c r="BA1026" s="68"/>
      <c r="BB1026" s="68"/>
      <c r="BC1026" s="68"/>
      <c r="BD1026" s="68"/>
      <c r="BE1026" s="68"/>
      <c r="BF1026" s="68"/>
      <c r="BG1026" s="68"/>
      <c r="BH1026" s="68"/>
      <c r="BI1026" s="68"/>
      <c r="BJ1026" s="68"/>
      <c r="BK1026" s="68"/>
      <c r="BL1026" s="68"/>
      <c r="BM1026" s="68"/>
      <c r="BN1026" s="68"/>
      <c r="BO1026" s="68"/>
      <c r="BP1026" s="68"/>
      <c r="BQ1026" s="68"/>
      <c r="BR1026" s="68"/>
      <c r="BS1026" s="68"/>
      <c r="BT1026" s="68"/>
      <c r="BU1026" s="68"/>
      <c r="BV1026" s="68"/>
      <c r="BW1026" s="68"/>
      <c r="BX1026" s="68"/>
      <c r="BY1026" s="68"/>
      <c r="BZ1026" s="68"/>
      <c r="CA1026" s="68"/>
      <c r="CB1026" s="68"/>
      <c r="CC1026" s="68"/>
      <c r="CD1026" s="68"/>
      <c r="CE1026" s="68"/>
      <c r="CF1026" s="68"/>
      <c r="CG1026" s="68"/>
      <c r="CH1026" s="68"/>
      <c r="CI1026" s="68"/>
      <c r="CJ1026" s="68"/>
      <c r="CK1026" s="68"/>
      <c r="CL1026" s="68"/>
      <c r="CM1026" s="68"/>
      <c r="CN1026" s="68"/>
      <c r="CO1026" s="68"/>
      <c r="CP1026" s="68"/>
      <c r="CQ1026" s="68"/>
      <c r="CR1026" s="68"/>
      <c r="CS1026" s="68"/>
      <c r="CT1026" s="68"/>
      <c r="CU1026" s="68"/>
      <c r="CV1026" s="68"/>
      <c r="CW1026" s="68"/>
      <c r="CX1026" s="68"/>
    </row>
    <row r="1027" spans="4:102" s="71" customFormat="1" hidden="1">
      <c r="D1027" s="105"/>
      <c r="E1027" s="111"/>
      <c r="F1027" s="111"/>
      <c r="G1027" s="111"/>
      <c r="H1027" s="105"/>
      <c r="I1027" s="111"/>
      <c r="J1027" s="111"/>
      <c r="K1027" s="112"/>
      <c r="L1027" s="100"/>
      <c r="M1027" s="100"/>
      <c r="N1027" s="100"/>
      <c r="O1027" s="100"/>
      <c r="P1027" s="65"/>
      <c r="Q1027" s="103"/>
      <c r="R1027" s="103"/>
      <c r="S1027" s="103"/>
      <c r="T1027" s="103"/>
      <c r="U1027" s="68"/>
      <c r="V1027" s="69"/>
      <c r="W1027" s="68"/>
      <c r="X1027" s="68"/>
      <c r="Y1027" s="68"/>
      <c r="Z1027" s="68"/>
      <c r="AA1027" s="68"/>
      <c r="AB1027" s="68"/>
      <c r="AC1027" s="68"/>
      <c r="AD1027" s="68"/>
      <c r="AE1027" s="68"/>
      <c r="AF1027" s="68"/>
      <c r="AG1027" s="68"/>
      <c r="AH1027" s="68"/>
      <c r="AI1027" s="68"/>
      <c r="AJ1027" s="68"/>
      <c r="AK1027" s="68"/>
      <c r="AL1027" s="68"/>
      <c r="AM1027" s="68"/>
      <c r="AN1027" s="68"/>
      <c r="AO1027" s="68"/>
      <c r="AP1027" s="68"/>
      <c r="AQ1027" s="68"/>
      <c r="AR1027" s="68"/>
      <c r="AS1027" s="68"/>
      <c r="AT1027" s="68"/>
      <c r="AU1027" s="68"/>
      <c r="AV1027" s="68"/>
      <c r="AW1027" s="68"/>
      <c r="AX1027" s="68"/>
      <c r="AY1027" s="68"/>
      <c r="AZ1027" s="68"/>
      <c r="BA1027" s="68"/>
      <c r="BB1027" s="68"/>
      <c r="BC1027" s="68"/>
      <c r="BD1027" s="68"/>
      <c r="BE1027" s="68"/>
      <c r="BF1027" s="68"/>
      <c r="BG1027" s="68"/>
      <c r="BH1027" s="68"/>
      <c r="BI1027" s="68"/>
      <c r="BJ1027" s="68"/>
      <c r="BK1027" s="68"/>
      <c r="BL1027" s="68"/>
      <c r="BM1027" s="68"/>
      <c r="BN1027" s="68"/>
      <c r="BO1027" s="68"/>
      <c r="BP1027" s="68"/>
      <c r="BQ1027" s="68"/>
      <c r="BR1027" s="68"/>
      <c r="BS1027" s="68"/>
      <c r="BT1027" s="68"/>
      <c r="BU1027" s="68"/>
      <c r="BV1027" s="68"/>
      <c r="BW1027" s="68"/>
      <c r="BX1027" s="68"/>
      <c r="BY1027" s="68"/>
      <c r="BZ1027" s="68"/>
      <c r="CA1027" s="68"/>
      <c r="CB1027" s="68"/>
      <c r="CC1027" s="68"/>
      <c r="CD1027" s="68"/>
      <c r="CE1027" s="68"/>
      <c r="CF1027" s="68"/>
      <c r="CG1027" s="68"/>
      <c r="CH1027" s="68"/>
      <c r="CI1027" s="68"/>
      <c r="CJ1027" s="68"/>
      <c r="CK1027" s="68"/>
      <c r="CL1027" s="68"/>
      <c r="CM1027" s="68"/>
      <c r="CN1027" s="68"/>
      <c r="CO1027" s="68"/>
      <c r="CP1027" s="68"/>
      <c r="CQ1027" s="68"/>
      <c r="CR1027" s="68"/>
      <c r="CS1027" s="68"/>
      <c r="CT1027" s="68"/>
      <c r="CU1027" s="68"/>
      <c r="CV1027" s="68"/>
      <c r="CW1027" s="68"/>
      <c r="CX1027" s="68"/>
    </row>
    <row r="1028" spans="4:102" s="71" customFormat="1" hidden="1">
      <c r="D1028" s="105"/>
      <c r="E1028" s="111"/>
      <c r="F1028" s="111"/>
      <c r="G1028" s="111"/>
      <c r="H1028" s="105"/>
      <c r="I1028" s="111"/>
      <c r="J1028" s="111"/>
      <c r="K1028" s="112"/>
      <c r="L1028" s="100"/>
      <c r="M1028" s="100"/>
      <c r="N1028" s="100"/>
      <c r="O1028" s="100"/>
      <c r="P1028" s="65"/>
      <c r="Q1028" s="103"/>
      <c r="R1028" s="103"/>
      <c r="S1028" s="103"/>
      <c r="T1028" s="103"/>
      <c r="U1028" s="68"/>
      <c r="V1028" s="69"/>
      <c r="W1028" s="68"/>
      <c r="X1028" s="68"/>
      <c r="Y1028" s="68"/>
      <c r="Z1028" s="68"/>
      <c r="AA1028" s="68"/>
      <c r="AB1028" s="68"/>
      <c r="AC1028" s="68"/>
      <c r="AD1028" s="68"/>
      <c r="AE1028" s="68"/>
      <c r="AF1028" s="68"/>
      <c r="AG1028" s="68"/>
      <c r="AH1028" s="68"/>
      <c r="AI1028" s="68"/>
      <c r="AJ1028" s="68"/>
      <c r="AK1028" s="68"/>
      <c r="AL1028" s="68"/>
      <c r="AM1028" s="68"/>
      <c r="AN1028" s="68"/>
      <c r="AO1028" s="68"/>
      <c r="AP1028" s="68"/>
      <c r="AQ1028" s="68"/>
      <c r="AR1028" s="68"/>
      <c r="AS1028" s="68"/>
      <c r="AT1028" s="68"/>
      <c r="AU1028" s="68"/>
      <c r="AV1028" s="68"/>
      <c r="AW1028" s="68"/>
      <c r="AX1028" s="68"/>
      <c r="AY1028" s="68"/>
      <c r="AZ1028" s="68"/>
      <c r="BA1028" s="68"/>
      <c r="BB1028" s="68"/>
      <c r="BC1028" s="68"/>
      <c r="BD1028" s="68"/>
      <c r="BE1028" s="68"/>
      <c r="BF1028" s="68"/>
      <c r="BG1028" s="68"/>
      <c r="BH1028" s="68"/>
      <c r="BI1028" s="68"/>
      <c r="BJ1028" s="68"/>
      <c r="BK1028" s="68"/>
      <c r="BL1028" s="68"/>
      <c r="BM1028" s="68"/>
      <c r="BN1028" s="68"/>
      <c r="BO1028" s="68"/>
      <c r="BP1028" s="68"/>
      <c r="BQ1028" s="68"/>
      <c r="BR1028" s="68"/>
      <c r="BS1028" s="68"/>
      <c r="BT1028" s="68"/>
      <c r="BU1028" s="68"/>
      <c r="BV1028" s="68"/>
      <c r="BW1028" s="68"/>
      <c r="BX1028" s="68"/>
      <c r="BY1028" s="68"/>
      <c r="BZ1028" s="68"/>
      <c r="CA1028" s="68"/>
      <c r="CB1028" s="68"/>
      <c r="CC1028" s="68"/>
      <c r="CD1028" s="68"/>
      <c r="CE1028" s="68"/>
      <c r="CF1028" s="68"/>
      <c r="CG1028" s="68"/>
      <c r="CH1028" s="68"/>
      <c r="CI1028" s="68"/>
      <c r="CJ1028" s="68"/>
      <c r="CK1028" s="68"/>
      <c r="CL1028" s="68"/>
      <c r="CM1028" s="68"/>
      <c r="CN1028" s="68"/>
      <c r="CO1028" s="68"/>
      <c r="CP1028" s="68"/>
      <c r="CQ1028" s="68"/>
      <c r="CR1028" s="68"/>
      <c r="CS1028" s="68"/>
      <c r="CT1028" s="68"/>
      <c r="CU1028" s="68"/>
      <c r="CV1028" s="68"/>
      <c r="CW1028" s="68"/>
      <c r="CX1028" s="68"/>
    </row>
    <row r="1029" spans="4:102" s="71" customFormat="1" hidden="1">
      <c r="D1029" s="105"/>
      <c r="E1029" s="111"/>
      <c r="F1029" s="111"/>
      <c r="G1029" s="111"/>
      <c r="H1029" s="105"/>
      <c r="I1029" s="111"/>
      <c r="J1029" s="111"/>
      <c r="K1029" s="112"/>
      <c r="L1029" s="100"/>
      <c r="M1029" s="100"/>
      <c r="N1029" s="100"/>
      <c r="O1029" s="100"/>
      <c r="P1029" s="65"/>
      <c r="Q1029" s="103"/>
      <c r="R1029" s="103"/>
      <c r="S1029" s="103"/>
      <c r="T1029" s="103"/>
      <c r="U1029" s="68"/>
      <c r="V1029" s="69"/>
      <c r="W1029" s="68"/>
      <c r="X1029" s="68"/>
      <c r="Y1029" s="68"/>
      <c r="Z1029" s="68"/>
      <c r="AA1029" s="68"/>
      <c r="AB1029" s="68"/>
      <c r="AC1029" s="68"/>
      <c r="AD1029" s="68"/>
      <c r="AE1029" s="68"/>
      <c r="AF1029" s="68"/>
      <c r="AG1029" s="68"/>
      <c r="AH1029" s="68"/>
      <c r="AI1029" s="68"/>
      <c r="AJ1029" s="68"/>
      <c r="AK1029" s="68"/>
      <c r="AL1029" s="68"/>
      <c r="AM1029" s="68"/>
      <c r="AN1029" s="68"/>
      <c r="AO1029" s="68"/>
      <c r="AP1029" s="68"/>
      <c r="AQ1029" s="68"/>
      <c r="AR1029" s="68"/>
      <c r="AS1029" s="68"/>
      <c r="AT1029" s="68"/>
      <c r="AU1029" s="68"/>
      <c r="AV1029" s="68"/>
      <c r="AW1029" s="68"/>
      <c r="AX1029" s="68"/>
      <c r="AY1029" s="68"/>
      <c r="AZ1029" s="68"/>
      <c r="BA1029" s="68"/>
      <c r="BB1029" s="68"/>
      <c r="BC1029" s="68"/>
      <c r="BD1029" s="68"/>
      <c r="BE1029" s="68"/>
      <c r="BF1029" s="68"/>
      <c r="BG1029" s="68"/>
      <c r="BH1029" s="68"/>
      <c r="BI1029" s="68"/>
      <c r="BJ1029" s="68"/>
      <c r="BK1029" s="68"/>
      <c r="BL1029" s="68"/>
      <c r="BM1029" s="68"/>
      <c r="BN1029" s="68"/>
      <c r="BO1029" s="68"/>
      <c r="BP1029" s="68"/>
      <c r="BQ1029" s="68"/>
      <c r="BR1029" s="68"/>
      <c r="BS1029" s="68"/>
      <c r="BT1029" s="68"/>
      <c r="BU1029" s="68"/>
      <c r="BV1029" s="68"/>
      <c r="BW1029" s="68"/>
      <c r="BX1029" s="68"/>
      <c r="BY1029" s="68"/>
      <c r="BZ1029" s="68"/>
      <c r="CA1029" s="68"/>
      <c r="CB1029" s="68"/>
      <c r="CC1029" s="68"/>
      <c r="CD1029" s="68"/>
      <c r="CE1029" s="68"/>
      <c r="CF1029" s="68"/>
      <c r="CG1029" s="68"/>
      <c r="CH1029" s="68"/>
      <c r="CI1029" s="68"/>
      <c r="CJ1029" s="68"/>
      <c r="CK1029" s="68"/>
      <c r="CL1029" s="68"/>
      <c r="CM1029" s="68"/>
      <c r="CN1029" s="68"/>
      <c r="CO1029" s="68"/>
      <c r="CP1029" s="68"/>
      <c r="CQ1029" s="68"/>
      <c r="CR1029" s="68"/>
      <c r="CS1029" s="68"/>
      <c r="CT1029" s="68"/>
      <c r="CU1029" s="68"/>
      <c r="CV1029" s="68"/>
      <c r="CW1029" s="68"/>
      <c r="CX1029" s="68"/>
    </row>
    <row r="1030" spans="4:102" s="71" customFormat="1" hidden="1">
      <c r="D1030" s="105"/>
      <c r="E1030" s="111"/>
      <c r="F1030" s="111"/>
      <c r="G1030" s="111"/>
      <c r="H1030" s="105"/>
      <c r="I1030" s="111"/>
      <c r="J1030" s="111"/>
      <c r="K1030" s="112"/>
      <c r="L1030" s="100"/>
      <c r="M1030" s="100"/>
      <c r="N1030" s="100"/>
      <c r="O1030" s="100"/>
      <c r="P1030" s="65"/>
      <c r="Q1030" s="103"/>
      <c r="R1030" s="103"/>
      <c r="S1030" s="103"/>
      <c r="T1030" s="103"/>
      <c r="U1030" s="68"/>
      <c r="V1030" s="69"/>
      <c r="W1030" s="68"/>
      <c r="X1030" s="68"/>
      <c r="Y1030" s="68"/>
      <c r="Z1030" s="68"/>
      <c r="AA1030" s="68"/>
      <c r="AB1030" s="68"/>
      <c r="AC1030" s="68"/>
      <c r="AD1030" s="68"/>
      <c r="AE1030" s="68"/>
      <c r="AF1030" s="68"/>
      <c r="AG1030" s="68"/>
      <c r="AH1030" s="68"/>
      <c r="AI1030" s="68"/>
      <c r="AJ1030" s="68"/>
      <c r="AK1030" s="68"/>
      <c r="AL1030" s="68"/>
      <c r="AM1030" s="68"/>
      <c r="AN1030" s="68"/>
      <c r="AO1030" s="68"/>
      <c r="AP1030" s="68"/>
      <c r="AQ1030" s="68"/>
      <c r="AR1030" s="68"/>
      <c r="AS1030" s="68"/>
      <c r="AT1030" s="68"/>
      <c r="AU1030" s="68"/>
      <c r="AV1030" s="68"/>
      <c r="AW1030" s="68"/>
      <c r="AX1030" s="68"/>
      <c r="AY1030" s="68"/>
      <c r="AZ1030" s="68"/>
      <c r="BA1030" s="68"/>
      <c r="BB1030" s="68"/>
      <c r="BC1030" s="68"/>
      <c r="BD1030" s="68"/>
      <c r="BE1030" s="68"/>
      <c r="BF1030" s="68"/>
      <c r="BG1030" s="68"/>
      <c r="BH1030" s="68"/>
      <c r="BI1030" s="68"/>
      <c r="BJ1030" s="68"/>
      <c r="BK1030" s="68"/>
      <c r="BL1030" s="68"/>
      <c r="BM1030" s="68"/>
      <c r="BN1030" s="68"/>
      <c r="BO1030" s="68"/>
      <c r="BP1030" s="68"/>
      <c r="BQ1030" s="68"/>
      <c r="BR1030" s="68"/>
      <c r="BS1030" s="68"/>
      <c r="BT1030" s="68"/>
      <c r="BU1030" s="68"/>
      <c r="BV1030" s="68"/>
      <c r="BW1030" s="68"/>
      <c r="BX1030" s="68"/>
      <c r="BY1030" s="68"/>
      <c r="BZ1030" s="68"/>
      <c r="CA1030" s="68"/>
      <c r="CB1030" s="68"/>
      <c r="CC1030" s="68"/>
      <c r="CD1030" s="68"/>
      <c r="CE1030" s="68"/>
      <c r="CF1030" s="68"/>
      <c r="CG1030" s="68"/>
      <c r="CH1030" s="68"/>
      <c r="CI1030" s="68"/>
      <c r="CJ1030" s="68"/>
      <c r="CK1030" s="68"/>
      <c r="CL1030" s="68"/>
      <c r="CM1030" s="68"/>
      <c r="CN1030" s="68"/>
      <c r="CO1030" s="68"/>
      <c r="CP1030" s="68"/>
      <c r="CQ1030" s="68"/>
      <c r="CR1030" s="68"/>
      <c r="CS1030" s="68"/>
      <c r="CT1030" s="68"/>
      <c r="CU1030" s="68"/>
      <c r="CV1030" s="68"/>
      <c r="CW1030" s="68"/>
      <c r="CX1030" s="68"/>
    </row>
    <row r="1031" spans="4:102" s="71" customFormat="1" hidden="1">
      <c r="D1031" s="105"/>
      <c r="E1031" s="111"/>
      <c r="F1031" s="111"/>
      <c r="G1031" s="111"/>
      <c r="H1031" s="105"/>
      <c r="I1031" s="111"/>
      <c r="J1031" s="111"/>
      <c r="K1031" s="112"/>
      <c r="L1031" s="100"/>
      <c r="M1031" s="100"/>
      <c r="N1031" s="100"/>
      <c r="O1031" s="100"/>
      <c r="P1031" s="65"/>
      <c r="Q1031" s="103"/>
      <c r="R1031" s="103"/>
      <c r="S1031" s="103"/>
      <c r="T1031" s="103"/>
      <c r="U1031" s="68"/>
      <c r="V1031" s="69"/>
      <c r="W1031" s="68"/>
      <c r="X1031" s="68"/>
      <c r="Y1031" s="68"/>
      <c r="Z1031" s="68"/>
      <c r="AA1031" s="68"/>
      <c r="AB1031" s="68"/>
      <c r="AC1031" s="68"/>
      <c r="AD1031" s="68"/>
      <c r="AE1031" s="68"/>
      <c r="AF1031" s="68"/>
      <c r="AG1031" s="68"/>
      <c r="AH1031" s="68"/>
      <c r="AI1031" s="68"/>
      <c r="AJ1031" s="68"/>
      <c r="AK1031" s="68"/>
      <c r="AL1031" s="68"/>
      <c r="AM1031" s="68"/>
      <c r="AN1031" s="68"/>
      <c r="AO1031" s="68"/>
      <c r="AP1031" s="68"/>
      <c r="AQ1031" s="68"/>
      <c r="AR1031" s="68"/>
      <c r="AS1031" s="68"/>
      <c r="AT1031" s="68"/>
      <c r="AU1031" s="68"/>
      <c r="AV1031" s="68"/>
      <c r="AW1031" s="68"/>
      <c r="AX1031" s="68"/>
      <c r="AY1031" s="68"/>
      <c r="AZ1031" s="68"/>
      <c r="BA1031" s="68"/>
      <c r="BB1031" s="68"/>
      <c r="BC1031" s="68"/>
      <c r="BD1031" s="68"/>
      <c r="BE1031" s="68"/>
      <c r="BF1031" s="68"/>
      <c r="BG1031" s="68"/>
      <c r="BH1031" s="68"/>
      <c r="BI1031" s="68"/>
      <c r="BJ1031" s="68"/>
      <c r="BK1031" s="68"/>
      <c r="BL1031" s="68"/>
      <c r="BM1031" s="68"/>
      <c r="BN1031" s="68"/>
      <c r="BO1031" s="68"/>
      <c r="BP1031" s="68"/>
      <c r="BQ1031" s="68"/>
      <c r="BR1031" s="68"/>
      <c r="BS1031" s="68"/>
      <c r="BT1031" s="68"/>
      <c r="BU1031" s="68"/>
      <c r="BV1031" s="68"/>
      <c r="BW1031" s="68"/>
      <c r="BX1031" s="68"/>
      <c r="BY1031" s="68"/>
      <c r="BZ1031" s="68"/>
      <c r="CA1031" s="68"/>
      <c r="CB1031" s="68"/>
      <c r="CC1031" s="68"/>
      <c r="CD1031" s="68"/>
      <c r="CE1031" s="68"/>
      <c r="CF1031" s="68"/>
      <c r="CG1031" s="68"/>
      <c r="CH1031" s="68"/>
      <c r="CI1031" s="68"/>
      <c r="CJ1031" s="68"/>
      <c r="CK1031" s="68"/>
      <c r="CL1031" s="68"/>
      <c r="CM1031" s="68"/>
      <c r="CN1031" s="68"/>
      <c r="CO1031" s="68"/>
      <c r="CP1031" s="68"/>
      <c r="CQ1031" s="68"/>
      <c r="CR1031" s="68"/>
      <c r="CS1031" s="68"/>
      <c r="CT1031" s="68"/>
      <c r="CU1031" s="68"/>
      <c r="CV1031" s="68"/>
      <c r="CW1031" s="68"/>
      <c r="CX1031" s="68"/>
    </row>
    <row r="1032" spans="4:102" s="71" customFormat="1" hidden="1">
      <c r="D1032" s="105"/>
      <c r="E1032" s="111"/>
      <c r="F1032" s="111"/>
      <c r="G1032" s="111"/>
      <c r="H1032" s="105"/>
      <c r="I1032" s="111"/>
      <c r="J1032" s="111"/>
      <c r="K1032" s="112"/>
      <c r="L1032" s="100"/>
      <c r="M1032" s="100"/>
      <c r="N1032" s="100"/>
      <c r="O1032" s="100"/>
      <c r="P1032" s="65"/>
      <c r="Q1032" s="103"/>
      <c r="R1032" s="103"/>
      <c r="S1032" s="103"/>
      <c r="T1032" s="103"/>
      <c r="U1032" s="68"/>
      <c r="V1032" s="69"/>
      <c r="W1032" s="68"/>
      <c r="X1032" s="68"/>
      <c r="Y1032" s="68"/>
      <c r="Z1032" s="68"/>
      <c r="AA1032" s="68"/>
      <c r="AB1032" s="68"/>
      <c r="AC1032" s="68"/>
      <c r="AD1032" s="68"/>
      <c r="AE1032" s="68"/>
      <c r="AF1032" s="68"/>
      <c r="AG1032" s="68"/>
      <c r="AH1032" s="68"/>
      <c r="AI1032" s="68"/>
      <c r="AJ1032" s="68"/>
      <c r="AK1032" s="68"/>
      <c r="AL1032" s="68"/>
      <c r="AM1032" s="68"/>
      <c r="AN1032" s="68"/>
      <c r="AO1032" s="68"/>
      <c r="AP1032" s="68"/>
      <c r="AQ1032" s="68"/>
      <c r="AR1032" s="68"/>
      <c r="AS1032" s="68"/>
      <c r="AT1032" s="68"/>
      <c r="AU1032" s="68"/>
      <c r="AV1032" s="68"/>
      <c r="AW1032" s="68"/>
      <c r="AX1032" s="68"/>
      <c r="AY1032" s="68"/>
      <c r="AZ1032" s="68"/>
      <c r="BA1032" s="68"/>
      <c r="BB1032" s="68"/>
      <c r="BC1032" s="68"/>
      <c r="BD1032" s="68"/>
      <c r="BE1032" s="68"/>
      <c r="BF1032" s="68"/>
      <c r="BG1032" s="68"/>
      <c r="BH1032" s="68"/>
      <c r="BI1032" s="68"/>
      <c r="BJ1032" s="68"/>
      <c r="BK1032" s="68"/>
      <c r="BL1032" s="68"/>
      <c r="BM1032" s="68"/>
      <c r="BN1032" s="68"/>
      <c r="BO1032" s="68"/>
      <c r="BP1032" s="68"/>
      <c r="BQ1032" s="68"/>
      <c r="BR1032" s="68"/>
      <c r="BS1032" s="68"/>
      <c r="BT1032" s="68"/>
      <c r="BU1032" s="68"/>
      <c r="BV1032" s="68"/>
      <c r="BW1032" s="68"/>
      <c r="BX1032" s="68"/>
      <c r="BY1032" s="68"/>
      <c r="BZ1032" s="68"/>
      <c r="CA1032" s="68"/>
      <c r="CB1032" s="68"/>
      <c r="CC1032" s="68"/>
      <c r="CD1032" s="68"/>
      <c r="CE1032" s="68"/>
      <c r="CF1032" s="68"/>
      <c r="CG1032" s="68"/>
      <c r="CH1032" s="68"/>
      <c r="CI1032" s="68"/>
      <c r="CJ1032" s="68"/>
      <c r="CK1032" s="68"/>
      <c r="CL1032" s="68"/>
      <c r="CM1032" s="68"/>
      <c r="CN1032" s="68"/>
      <c r="CO1032" s="68"/>
      <c r="CP1032" s="68"/>
      <c r="CQ1032" s="68"/>
      <c r="CR1032" s="68"/>
      <c r="CS1032" s="68"/>
      <c r="CT1032" s="68"/>
      <c r="CU1032" s="68"/>
      <c r="CV1032" s="68"/>
      <c r="CW1032" s="68"/>
      <c r="CX1032" s="68"/>
    </row>
    <row r="1033" spans="4:102" s="71" customFormat="1" hidden="1">
      <c r="D1033" s="105"/>
      <c r="E1033" s="111"/>
      <c r="F1033" s="111"/>
      <c r="G1033" s="111"/>
      <c r="H1033" s="105"/>
      <c r="I1033" s="111"/>
      <c r="J1033" s="111"/>
      <c r="K1033" s="112"/>
      <c r="L1033" s="100"/>
      <c r="M1033" s="100"/>
      <c r="N1033" s="100"/>
      <c r="O1033" s="100"/>
      <c r="P1033" s="65"/>
      <c r="Q1033" s="103"/>
      <c r="R1033" s="103"/>
      <c r="S1033" s="103"/>
      <c r="T1033" s="103"/>
      <c r="U1033" s="68"/>
      <c r="V1033" s="69"/>
      <c r="W1033" s="68"/>
      <c r="X1033" s="68"/>
      <c r="Y1033" s="68"/>
      <c r="Z1033" s="68"/>
      <c r="AA1033" s="68"/>
      <c r="AB1033" s="68"/>
      <c r="AC1033" s="68"/>
      <c r="AD1033" s="68"/>
      <c r="AE1033" s="68"/>
      <c r="AF1033" s="68"/>
      <c r="AG1033" s="68"/>
      <c r="AH1033" s="68"/>
      <c r="AI1033" s="68"/>
      <c r="AJ1033" s="68"/>
      <c r="AK1033" s="68"/>
      <c r="AL1033" s="68"/>
      <c r="AM1033" s="68"/>
      <c r="AN1033" s="68"/>
      <c r="AO1033" s="68"/>
      <c r="AP1033" s="68"/>
      <c r="AQ1033" s="68"/>
      <c r="AR1033" s="68"/>
      <c r="AS1033" s="68"/>
      <c r="AT1033" s="68"/>
      <c r="AU1033" s="68"/>
      <c r="AV1033" s="68"/>
      <c r="AW1033" s="68"/>
      <c r="AX1033" s="68"/>
      <c r="AY1033" s="68"/>
      <c r="AZ1033" s="68"/>
      <c r="BA1033" s="68"/>
      <c r="BB1033" s="68"/>
      <c r="BC1033" s="68"/>
      <c r="BD1033" s="68"/>
      <c r="BE1033" s="68"/>
      <c r="BF1033" s="68"/>
      <c r="BG1033" s="68"/>
      <c r="BH1033" s="68"/>
      <c r="BI1033" s="68"/>
      <c r="BJ1033" s="68"/>
      <c r="BK1033" s="68"/>
      <c r="BL1033" s="68"/>
      <c r="BM1033" s="68"/>
      <c r="BN1033" s="68"/>
      <c r="BO1033" s="68"/>
      <c r="BP1033" s="68"/>
      <c r="BQ1033" s="68"/>
      <c r="BR1033" s="68"/>
      <c r="BS1033" s="68"/>
      <c r="BT1033" s="68"/>
      <c r="BU1033" s="68"/>
      <c r="BV1033" s="68"/>
      <c r="BW1033" s="68"/>
      <c r="BX1033" s="68"/>
      <c r="BY1033" s="68"/>
      <c r="BZ1033" s="68"/>
      <c r="CA1033" s="68"/>
      <c r="CB1033" s="68"/>
      <c r="CC1033" s="68"/>
      <c r="CD1033" s="68"/>
      <c r="CE1033" s="68"/>
      <c r="CF1033" s="68"/>
      <c r="CG1033" s="68"/>
      <c r="CH1033" s="68"/>
      <c r="CI1033" s="68"/>
      <c r="CJ1033" s="68"/>
      <c r="CK1033" s="68"/>
      <c r="CL1033" s="68"/>
      <c r="CM1033" s="68"/>
      <c r="CN1033" s="68"/>
      <c r="CO1033" s="68"/>
      <c r="CP1033" s="68"/>
      <c r="CQ1033" s="68"/>
      <c r="CR1033" s="68"/>
      <c r="CS1033" s="68"/>
      <c r="CT1033" s="68"/>
      <c r="CU1033" s="68"/>
      <c r="CV1033" s="68"/>
      <c r="CW1033" s="68"/>
      <c r="CX1033" s="68"/>
    </row>
    <row r="1034" spans="4:102" s="71" customFormat="1" hidden="1">
      <c r="D1034" s="105"/>
      <c r="E1034" s="111"/>
      <c r="F1034" s="111"/>
      <c r="G1034" s="111"/>
      <c r="H1034" s="105"/>
      <c r="I1034" s="111"/>
      <c r="J1034" s="111"/>
      <c r="K1034" s="112"/>
      <c r="L1034" s="100"/>
      <c r="M1034" s="100"/>
      <c r="N1034" s="100"/>
      <c r="O1034" s="100"/>
      <c r="P1034" s="65"/>
      <c r="Q1034" s="103"/>
      <c r="R1034" s="103"/>
      <c r="S1034" s="103"/>
      <c r="T1034" s="103"/>
      <c r="U1034" s="68"/>
      <c r="V1034" s="69"/>
      <c r="W1034" s="68"/>
      <c r="X1034" s="68"/>
      <c r="Y1034" s="68"/>
      <c r="Z1034" s="68"/>
      <c r="AA1034" s="68"/>
      <c r="AB1034" s="68"/>
      <c r="AC1034" s="68"/>
      <c r="AD1034" s="68"/>
      <c r="AE1034" s="68"/>
      <c r="AF1034" s="68"/>
      <c r="AG1034" s="68"/>
      <c r="AH1034" s="68"/>
      <c r="AI1034" s="68"/>
      <c r="AJ1034" s="68"/>
      <c r="AK1034" s="68"/>
      <c r="AL1034" s="68"/>
      <c r="AM1034" s="68"/>
      <c r="AN1034" s="68"/>
      <c r="AO1034" s="68"/>
      <c r="AP1034" s="68"/>
      <c r="AQ1034" s="68"/>
      <c r="AR1034" s="68"/>
      <c r="AS1034" s="68"/>
      <c r="AT1034" s="68"/>
      <c r="AU1034" s="68"/>
      <c r="AV1034" s="68"/>
      <c r="AW1034" s="68"/>
      <c r="AX1034" s="68"/>
      <c r="AY1034" s="68"/>
      <c r="AZ1034" s="68"/>
      <c r="BA1034" s="68"/>
      <c r="BB1034" s="68"/>
      <c r="BC1034" s="68"/>
      <c r="BD1034" s="68"/>
      <c r="BE1034" s="68"/>
      <c r="BF1034" s="68"/>
      <c r="BG1034" s="68"/>
      <c r="BH1034" s="68"/>
      <c r="BI1034" s="68"/>
      <c r="BJ1034" s="68"/>
      <c r="BK1034" s="68"/>
      <c r="BL1034" s="68"/>
      <c r="BM1034" s="68"/>
      <c r="BN1034" s="68"/>
      <c r="BO1034" s="68"/>
      <c r="BP1034" s="68"/>
      <c r="BQ1034" s="68"/>
      <c r="BR1034" s="68"/>
      <c r="BS1034" s="68"/>
      <c r="BT1034" s="68"/>
      <c r="BU1034" s="68"/>
      <c r="BV1034" s="68"/>
      <c r="BW1034" s="68"/>
      <c r="BX1034" s="68"/>
      <c r="BY1034" s="68"/>
      <c r="BZ1034" s="68"/>
      <c r="CA1034" s="68"/>
      <c r="CB1034" s="68"/>
      <c r="CC1034" s="68"/>
      <c r="CD1034" s="68"/>
      <c r="CE1034" s="68"/>
      <c r="CF1034" s="68"/>
      <c r="CG1034" s="68"/>
      <c r="CH1034" s="68"/>
      <c r="CI1034" s="68"/>
      <c r="CJ1034" s="68"/>
      <c r="CK1034" s="68"/>
      <c r="CL1034" s="68"/>
      <c r="CM1034" s="68"/>
      <c r="CN1034" s="68"/>
      <c r="CO1034" s="68"/>
      <c r="CP1034" s="68"/>
      <c r="CQ1034" s="68"/>
      <c r="CR1034" s="68"/>
      <c r="CS1034" s="68"/>
      <c r="CT1034" s="68"/>
      <c r="CU1034" s="68"/>
      <c r="CV1034" s="68"/>
      <c r="CW1034" s="68"/>
      <c r="CX1034" s="68"/>
    </row>
    <row r="1035" spans="4:102" s="71" customFormat="1" hidden="1">
      <c r="D1035" s="105"/>
      <c r="E1035" s="111"/>
      <c r="F1035" s="111"/>
      <c r="G1035" s="111"/>
      <c r="H1035" s="105"/>
      <c r="I1035" s="111"/>
      <c r="J1035" s="111"/>
      <c r="K1035" s="112"/>
      <c r="L1035" s="100"/>
      <c r="M1035" s="100"/>
      <c r="N1035" s="100"/>
      <c r="O1035" s="100"/>
      <c r="P1035" s="65"/>
      <c r="Q1035" s="103"/>
      <c r="R1035" s="103"/>
      <c r="S1035" s="103"/>
      <c r="T1035" s="103"/>
      <c r="U1035" s="68"/>
      <c r="V1035" s="69"/>
      <c r="W1035" s="68"/>
      <c r="X1035" s="68"/>
      <c r="Y1035" s="68"/>
      <c r="Z1035" s="68"/>
      <c r="AA1035" s="68"/>
      <c r="AB1035" s="68"/>
      <c r="AC1035" s="68"/>
      <c r="AD1035" s="68"/>
      <c r="AE1035" s="68"/>
      <c r="AF1035" s="68"/>
      <c r="AG1035" s="68"/>
      <c r="AH1035" s="68"/>
      <c r="AI1035" s="68"/>
      <c r="AJ1035" s="68"/>
      <c r="AK1035" s="68"/>
      <c r="AL1035" s="68"/>
      <c r="AM1035" s="68"/>
      <c r="AN1035" s="68"/>
      <c r="AO1035" s="68"/>
      <c r="AP1035" s="68"/>
      <c r="AQ1035" s="68"/>
      <c r="AR1035" s="68"/>
      <c r="AS1035" s="68"/>
      <c r="AT1035" s="68"/>
      <c r="AU1035" s="68"/>
      <c r="AV1035" s="68"/>
      <c r="AW1035" s="68"/>
      <c r="AX1035" s="68"/>
      <c r="AY1035" s="68"/>
      <c r="AZ1035" s="68"/>
      <c r="BA1035" s="68"/>
      <c r="BB1035" s="68"/>
      <c r="BC1035" s="68"/>
      <c r="BD1035" s="68"/>
      <c r="BE1035" s="68"/>
      <c r="BF1035" s="68"/>
      <c r="BG1035" s="68"/>
      <c r="BH1035" s="68"/>
      <c r="BI1035" s="68"/>
      <c r="BJ1035" s="68"/>
      <c r="BK1035" s="68"/>
      <c r="BL1035" s="68"/>
      <c r="BM1035" s="68"/>
      <c r="BN1035" s="68"/>
      <c r="BO1035" s="68"/>
      <c r="BP1035" s="68"/>
      <c r="BQ1035" s="68"/>
      <c r="BR1035" s="68"/>
      <c r="BS1035" s="68"/>
      <c r="BT1035" s="68"/>
      <c r="BU1035" s="68"/>
      <c r="BV1035" s="68"/>
      <c r="BW1035" s="68"/>
      <c r="BX1035" s="68"/>
      <c r="BY1035" s="68"/>
      <c r="BZ1035" s="68"/>
      <c r="CA1035" s="68"/>
      <c r="CB1035" s="68"/>
      <c r="CC1035" s="68"/>
      <c r="CD1035" s="68"/>
      <c r="CE1035" s="68"/>
      <c r="CF1035" s="68"/>
      <c r="CG1035" s="68"/>
      <c r="CH1035" s="68"/>
      <c r="CI1035" s="68"/>
      <c r="CJ1035" s="68"/>
      <c r="CK1035" s="68"/>
      <c r="CL1035" s="68"/>
      <c r="CM1035" s="68"/>
      <c r="CN1035" s="68"/>
      <c r="CO1035" s="68"/>
      <c r="CP1035" s="68"/>
      <c r="CQ1035" s="68"/>
      <c r="CR1035" s="68"/>
      <c r="CS1035" s="68"/>
      <c r="CT1035" s="68"/>
      <c r="CU1035" s="68"/>
      <c r="CV1035" s="68"/>
      <c r="CW1035" s="68"/>
      <c r="CX1035" s="68"/>
    </row>
    <row r="1036" spans="4:102" s="71" customFormat="1" hidden="1">
      <c r="D1036" s="105"/>
      <c r="E1036" s="111"/>
      <c r="F1036" s="111"/>
      <c r="G1036" s="111"/>
      <c r="H1036" s="105"/>
      <c r="I1036" s="111"/>
      <c r="J1036" s="111"/>
      <c r="K1036" s="112"/>
      <c r="L1036" s="100"/>
      <c r="M1036" s="100"/>
      <c r="N1036" s="100"/>
      <c r="O1036" s="100"/>
      <c r="P1036" s="65"/>
      <c r="Q1036" s="103"/>
      <c r="R1036" s="103"/>
      <c r="S1036" s="103"/>
      <c r="T1036" s="103"/>
      <c r="U1036" s="68"/>
      <c r="V1036" s="69"/>
      <c r="W1036" s="68"/>
      <c r="X1036" s="68"/>
      <c r="Y1036" s="68"/>
      <c r="Z1036" s="68"/>
      <c r="AA1036" s="68"/>
      <c r="AB1036" s="68"/>
      <c r="AC1036" s="68"/>
      <c r="AD1036" s="68"/>
      <c r="AE1036" s="68"/>
      <c r="AF1036" s="68"/>
      <c r="AG1036" s="68"/>
      <c r="AH1036" s="68"/>
      <c r="AI1036" s="68"/>
      <c r="AJ1036" s="68"/>
      <c r="AK1036" s="68"/>
      <c r="AL1036" s="68"/>
      <c r="AM1036" s="68"/>
      <c r="AN1036" s="68"/>
      <c r="AO1036" s="68"/>
      <c r="AP1036" s="68"/>
      <c r="AQ1036" s="68"/>
      <c r="AR1036" s="68"/>
      <c r="AS1036" s="68"/>
      <c r="AT1036" s="68"/>
      <c r="AU1036" s="68"/>
      <c r="AV1036" s="68"/>
      <c r="AW1036" s="68"/>
      <c r="AX1036" s="68"/>
      <c r="AY1036" s="68"/>
      <c r="AZ1036" s="68"/>
      <c r="BA1036" s="68"/>
      <c r="BB1036" s="68"/>
      <c r="BC1036" s="68"/>
      <c r="BD1036" s="68"/>
      <c r="BE1036" s="68"/>
      <c r="BF1036" s="68"/>
      <c r="BG1036" s="68"/>
      <c r="BH1036" s="68"/>
      <c r="BI1036" s="68"/>
      <c r="BJ1036" s="68"/>
      <c r="BK1036" s="68"/>
      <c r="BL1036" s="68"/>
      <c r="BM1036" s="68"/>
      <c r="BN1036" s="68"/>
      <c r="BO1036" s="68"/>
      <c r="BP1036" s="68"/>
      <c r="BQ1036" s="68"/>
      <c r="BR1036" s="68"/>
      <c r="BS1036" s="68"/>
      <c r="BT1036" s="68"/>
      <c r="BU1036" s="68"/>
      <c r="BV1036" s="68"/>
      <c r="BW1036" s="68"/>
      <c r="BX1036" s="68"/>
      <c r="BY1036" s="68"/>
      <c r="BZ1036" s="68"/>
      <c r="CA1036" s="68"/>
      <c r="CB1036" s="68"/>
      <c r="CC1036" s="68"/>
      <c r="CD1036" s="68"/>
      <c r="CE1036" s="68"/>
      <c r="CF1036" s="68"/>
      <c r="CG1036" s="68"/>
      <c r="CH1036" s="68"/>
      <c r="CI1036" s="68"/>
      <c r="CJ1036" s="68"/>
      <c r="CK1036" s="68"/>
      <c r="CL1036" s="68"/>
      <c r="CM1036" s="68"/>
      <c r="CN1036" s="68"/>
      <c r="CO1036" s="68"/>
      <c r="CP1036" s="68"/>
      <c r="CQ1036" s="68"/>
      <c r="CR1036" s="68"/>
      <c r="CS1036" s="68"/>
      <c r="CT1036" s="68"/>
      <c r="CU1036" s="68"/>
      <c r="CV1036" s="68"/>
      <c r="CW1036" s="68"/>
      <c r="CX1036" s="68"/>
    </row>
    <row r="1037" spans="4:102" s="71" customFormat="1" hidden="1">
      <c r="D1037" s="105"/>
      <c r="E1037" s="111"/>
      <c r="F1037" s="111"/>
      <c r="G1037" s="111"/>
      <c r="H1037" s="105"/>
      <c r="I1037" s="111"/>
      <c r="J1037" s="111"/>
      <c r="K1037" s="112"/>
      <c r="L1037" s="100"/>
      <c r="M1037" s="100"/>
      <c r="N1037" s="100"/>
      <c r="O1037" s="100"/>
      <c r="P1037" s="65"/>
      <c r="Q1037" s="103"/>
      <c r="R1037" s="103"/>
      <c r="S1037" s="103"/>
      <c r="T1037" s="103"/>
      <c r="U1037" s="68"/>
      <c r="V1037" s="69"/>
      <c r="W1037" s="68"/>
      <c r="X1037" s="68"/>
      <c r="Y1037" s="68"/>
      <c r="Z1037" s="68"/>
      <c r="AA1037" s="68"/>
      <c r="AB1037" s="68"/>
      <c r="AC1037" s="68"/>
      <c r="AD1037" s="68"/>
      <c r="AE1037" s="68"/>
      <c r="AF1037" s="68"/>
      <c r="AG1037" s="68"/>
      <c r="AH1037" s="68"/>
      <c r="AI1037" s="68"/>
      <c r="AJ1037" s="68"/>
      <c r="AK1037" s="68"/>
      <c r="AL1037" s="68"/>
      <c r="AM1037" s="68"/>
      <c r="AN1037" s="68"/>
      <c r="AO1037" s="68"/>
      <c r="AP1037" s="68"/>
      <c r="AQ1037" s="68"/>
      <c r="AR1037" s="68"/>
      <c r="AS1037" s="68"/>
      <c r="AT1037" s="68"/>
      <c r="AU1037" s="68"/>
      <c r="AV1037" s="68"/>
      <c r="AW1037" s="68"/>
      <c r="AX1037" s="68"/>
      <c r="AY1037" s="68"/>
      <c r="AZ1037" s="68"/>
      <c r="BA1037" s="68"/>
      <c r="BB1037" s="68"/>
      <c r="BC1037" s="68"/>
      <c r="BD1037" s="68"/>
      <c r="BE1037" s="68"/>
      <c r="BF1037" s="68"/>
      <c r="BG1037" s="68"/>
      <c r="BH1037" s="68"/>
      <c r="BI1037" s="68"/>
      <c r="BJ1037" s="68"/>
      <c r="BK1037" s="68"/>
      <c r="BL1037" s="68"/>
      <c r="BM1037" s="68"/>
      <c r="BN1037" s="68"/>
      <c r="BO1037" s="68"/>
      <c r="BP1037" s="68"/>
      <c r="BQ1037" s="68"/>
      <c r="BR1037" s="68"/>
      <c r="BS1037" s="68"/>
      <c r="BT1037" s="68"/>
      <c r="BU1037" s="68"/>
      <c r="BV1037" s="68"/>
      <c r="BW1037" s="68"/>
      <c r="BX1037" s="68"/>
      <c r="BY1037" s="68"/>
      <c r="BZ1037" s="68"/>
      <c r="CA1037" s="68"/>
      <c r="CB1037" s="68"/>
      <c r="CC1037" s="68"/>
      <c r="CD1037" s="68"/>
      <c r="CE1037" s="68"/>
      <c r="CF1037" s="68"/>
      <c r="CG1037" s="68"/>
      <c r="CH1037" s="68"/>
      <c r="CI1037" s="68"/>
      <c r="CJ1037" s="68"/>
      <c r="CK1037" s="68"/>
      <c r="CL1037" s="68"/>
      <c r="CM1037" s="68"/>
      <c r="CN1037" s="68"/>
      <c r="CO1037" s="68"/>
      <c r="CP1037" s="68"/>
      <c r="CQ1037" s="68"/>
      <c r="CR1037" s="68"/>
      <c r="CS1037" s="68"/>
      <c r="CT1037" s="68"/>
      <c r="CU1037" s="68"/>
      <c r="CV1037" s="68"/>
      <c r="CW1037" s="68"/>
      <c r="CX1037" s="68"/>
    </row>
    <row r="1038" spans="4:102" s="71" customFormat="1" hidden="1">
      <c r="D1038" s="105"/>
      <c r="E1038" s="111"/>
      <c r="F1038" s="111"/>
      <c r="G1038" s="111"/>
      <c r="H1038" s="105"/>
      <c r="I1038" s="111"/>
      <c r="J1038" s="111"/>
      <c r="K1038" s="112"/>
      <c r="L1038" s="100"/>
      <c r="M1038" s="100"/>
      <c r="N1038" s="100"/>
      <c r="O1038" s="100"/>
      <c r="P1038" s="65"/>
      <c r="Q1038" s="103"/>
      <c r="R1038" s="103"/>
      <c r="S1038" s="103"/>
      <c r="T1038" s="103"/>
      <c r="U1038" s="68"/>
      <c r="V1038" s="69"/>
      <c r="W1038" s="68"/>
      <c r="X1038" s="68"/>
      <c r="Y1038" s="68"/>
      <c r="Z1038" s="68"/>
      <c r="AA1038" s="68"/>
      <c r="AB1038" s="68"/>
      <c r="AC1038" s="68"/>
      <c r="AD1038" s="68"/>
      <c r="AE1038" s="68"/>
      <c r="AF1038" s="68"/>
      <c r="AG1038" s="68"/>
      <c r="AH1038" s="68"/>
      <c r="AI1038" s="68"/>
      <c r="AJ1038" s="68"/>
      <c r="AK1038" s="68"/>
      <c r="AL1038" s="68"/>
      <c r="AM1038" s="68"/>
      <c r="AN1038" s="68"/>
      <c r="AO1038" s="68"/>
      <c r="AP1038" s="68"/>
      <c r="AQ1038" s="68"/>
      <c r="AR1038" s="68"/>
      <c r="AS1038" s="68"/>
      <c r="AT1038" s="68"/>
      <c r="AU1038" s="68"/>
      <c r="AV1038" s="68"/>
      <c r="AW1038" s="68"/>
      <c r="AX1038" s="68"/>
      <c r="AY1038" s="68"/>
      <c r="AZ1038" s="68"/>
      <c r="BA1038" s="68"/>
      <c r="BB1038" s="68"/>
      <c r="BC1038" s="68"/>
      <c r="BD1038" s="68"/>
      <c r="BE1038" s="68"/>
      <c r="BF1038" s="68"/>
      <c r="BG1038" s="68"/>
      <c r="BH1038" s="68"/>
      <c r="BI1038" s="68"/>
      <c r="BJ1038" s="68"/>
      <c r="BK1038" s="68"/>
      <c r="BL1038" s="68"/>
      <c r="BM1038" s="68"/>
      <c r="BN1038" s="68"/>
      <c r="BO1038" s="68"/>
      <c r="BP1038" s="68"/>
      <c r="BQ1038" s="68"/>
      <c r="BR1038" s="68"/>
      <c r="BS1038" s="68"/>
      <c r="BT1038" s="68"/>
      <c r="BU1038" s="68"/>
      <c r="BV1038" s="68"/>
      <c r="BW1038" s="68"/>
      <c r="BX1038" s="68"/>
      <c r="BY1038" s="68"/>
      <c r="BZ1038" s="68"/>
      <c r="CA1038" s="68"/>
      <c r="CB1038" s="68"/>
      <c r="CC1038" s="68"/>
      <c r="CD1038" s="68"/>
      <c r="CE1038" s="68"/>
      <c r="CF1038" s="68"/>
      <c r="CG1038" s="68"/>
      <c r="CH1038" s="68"/>
      <c r="CI1038" s="68"/>
      <c r="CJ1038" s="68"/>
      <c r="CK1038" s="68"/>
      <c r="CL1038" s="68"/>
      <c r="CM1038" s="68"/>
      <c r="CN1038" s="68"/>
      <c r="CO1038" s="68"/>
      <c r="CP1038" s="68"/>
      <c r="CQ1038" s="68"/>
      <c r="CR1038" s="68"/>
      <c r="CS1038" s="68"/>
      <c r="CT1038" s="68"/>
      <c r="CU1038" s="68"/>
      <c r="CV1038" s="68"/>
      <c r="CW1038" s="68"/>
      <c r="CX1038" s="68"/>
    </row>
    <row r="1039" spans="4:102" s="71" customFormat="1" hidden="1">
      <c r="D1039" s="105"/>
      <c r="E1039" s="111"/>
      <c r="F1039" s="111"/>
      <c r="G1039" s="111"/>
      <c r="H1039" s="105"/>
      <c r="I1039" s="111"/>
      <c r="J1039" s="111"/>
      <c r="K1039" s="112"/>
      <c r="L1039" s="100"/>
      <c r="M1039" s="100"/>
      <c r="N1039" s="100"/>
      <c r="O1039" s="100"/>
      <c r="P1039" s="65"/>
      <c r="Q1039" s="103"/>
      <c r="R1039" s="103"/>
      <c r="S1039" s="103"/>
      <c r="T1039" s="103"/>
      <c r="U1039" s="68"/>
      <c r="V1039" s="69"/>
      <c r="W1039" s="68"/>
      <c r="X1039" s="68"/>
      <c r="Y1039" s="68"/>
      <c r="Z1039" s="68"/>
      <c r="AA1039" s="68"/>
      <c r="AB1039" s="68"/>
      <c r="AC1039" s="68"/>
      <c r="AD1039" s="68"/>
      <c r="AE1039" s="68"/>
      <c r="AF1039" s="68"/>
      <c r="AG1039" s="68"/>
      <c r="AH1039" s="68"/>
      <c r="AI1039" s="68"/>
      <c r="AJ1039" s="68"/>
      <c r="AK1039" s="68"/>
      <c r="AL1039" s="68"/>
      <c r="AM1039" s="68"/>
      <c r="AN1039" s="68"/>
      <c r="AO1039" s="68"/>
      <c r="AP1039" s="68"/>
      <c r="AQ1039" s="68"/>
      <c r="AR1039" s="68"/>
      <c r="AS1039" s="68"/>
      <c r="AT1039" s="68"/>
      <c r="AU1039" s="68"/>
      <c r="AV1039" s="68"/>
      <c r="AW1039" s="68"/>
      <c r="AX1039" s="68"/>
      <c r="AY1039" s="68"/>
      <c r="AZ1039" s="68"/>
      <c r="BA1039" s="68"/>
      <c r="BB1039" s="68"/>
      <c r="BC1039" s="68"/>
      <c r="BD1039" s="68"/>
      <c r="BE1039" s="68"/>
      <c r="BF1039" s="68"/>
      <c r="BG1039" s="68"/>
      <c r="BH1039" s="68"/>
      <c r="BI1039" s="68"/>
      <c r="BJ1039" s="68"/>
      <c r="BK1039" s="68"/>
      <c r="BL1039" s="68"/>
      <c r="BM1039" s="68"/>
      <c r="BN1039" s="68"/>
      <c r="BO1039" s="68"/>
      <c r="BP1039" s="68"/>
      <c r="BQ1039" s="68"/>
      <c r="BR1039" s="68"/>
      <c r="BS1039" s="68"/>
      <c r="BT1039" s="68"/>
      <c r="BU1039" s="68"/>
      <c r="BV1039" s="68"/>
      <c r="BW1039" s="68"/>
      <c r="BX1039" s="68"/>
      <c r="BY1039" s="68"/>
      <c r="BZ1039" s="68"/>
      <c r="CA1039" s="68"/>
      <c r="CB1039" s="68"/>
      <c r="CC1039" s="68"/>
      <c r="CD1039" s="68"/>
      <c r="CE1039" s="68"/>
      <c r="CF1039" s="68"/>
      <c r="CG1039" s="68"/>
      <c r="CH1039" s="68"/>
      <c r="CI1039" s="68"/>
      <c r="CJ1039" s="68"/>
      <c r="CK1039" s="68"/>
      <c r="CL1039" s="68"/>
      <c r="CM1039" s="68"/>
      <c r="CN1039" s="68"/>
      <c r="CO1039" s="68"/>
      <c r="CP1039" s="68"/>
      <c r="CQ1039" s="68"/>
      <c r="CR1039" s="68"/>
      <c r="CS1039" s="68"/>
      <c r="CT1039" s="68"/>
      <c r="CU1039" s="68"/>
      <c r="CV1039" s="68"/>
      <c r="CW1039" s="68"/>
      <c r="CX1039" s="68"/>
    </row>
    <row r="1040" spans="4:102" s="71" customFormat="1" hidden="1">
      <c r="D1040" s="105"/>
      <c r="E1040" s="111"/>
      <c r="F1040" s="111"/>
      <c r="G1040" s="111"/>
      <c r="H1040" s="105"/>
      <c r="I1040" s="111"/>
      <c r="J1040" s="111"/>
      <c r="K1040" s="112"/>
      <c r="L1040" s="100"/>
      <c r="M1040" s="100"/>
      <c r="N1040" s="100"/>
      <c r="O1040" s="100"/>
      <c r="P1040" s="65"/>
      <c r="Q1040" s="103"/>
      <c r="R1040" s="103"/>
      <c r="S1040" s="103"/>
      <c r="T1040" s="103"/>
      <c r="U1040" s="68"/>
      <c r="V1040" s="69"/>
      <c r="W1040" s="68"/>
      <c r="X1040" s="68"/>
      <c r="Y1040" s="68"/>
      <c r="Z1040" s="68"/>
      <c r="AA1040" s="68"/>
      <c r="AB1040" s="68"/>
      <c r="AC1040" s="68"/>
      <c r="AD1040" s="68"/>
      <c r="AE1040" s="68"/>
      <c r="AF1040" s="68"/>
      <c r="AG1040" s="68"/>
      <c r="AH1040" s="68"/>
      <c r="AI1040" s="68"/>
      <c r="AJ1040" s="68"/>
      <c r="AK1040" s="68"/>
      <c r="AL1040" s="68"/>
      <c r="AM1040" s="68"/>
      <c r="AN1040" s="68"/>
      <c r="AO1040" s="68"/>
      <c r="AP1040" s="68"/>
      <c r="AQ1040" s="68"/>
      <c r="AR1040" s="68"/>
      <c r="AS1040" s="68"/>
      <c r="AT1040" s="68"/>
      <c r="AU1040" s="68"/>
      <c r="AV1040" s="68"/>
      <c r="AW1040" s="68"/>
      <c r="AX1040" s="68"/>
      <c r="AY1040" s="68"/>
      <c r="AZ1040" s="68"/>
      <c r="BA1040" s="68"/>
      <c r="BB1040" s="68"/>
      <c r="BC1040" s="68"/>
      <c r="BD1040" s="68"/>
      <c r="BE1040" s="68"/>
      <c r="BF1040" s="68"/>
      <c r="BG1040" s="68"/>
      <c r="BH1040" s="68"/>
      <c r="BI1040" s="68"/>
      <c r="BJ1040" s="68"/>
      <c r="BK1040" s="68"/>
      <c r="BL1040" s="68"/>
      <c r="BM1040" s="68"/>
      <c r="BN1040" s="68"/>
      <c r="BO1040" s="68"/>
      <c r="BP1040" s="68"/>
      <c r="BQ1040" s="68"/>
      <c r="BR1040" s="68"/>
      <c r="BS1040" s="68"/>
      <c r="BT1040" s="68"/>
      <c r="BU1040" s="68"/>
      <c r="BV1040" s="68"/>
      <c r="BW1040" s="68"/>
      <c r="BX1040" s="68"/>
      <c r="BY1040" s="68"/>
      <c r="BZ1040" s="68"/>
      <c r="CA1040" s="68"/>
      <c r="CB1040" s="68"/>
      <c r="CC1040" s="68"/>
      <c r="CD1040" s="68"/>
      <c r="CE1040" s="68"/>
      <c r="CF1040" s="68"/>
      <c r="CG1040" s="68"/>
      <c r="CH1040" s="68"/>
      <c r="CI1040" s="68"/>
      <c r="CJ1040" s="68"/>
      <c r="CK1040" s="68"/>
      <c r="CL1040" s="68"/>
      <c r="CM1040" s="68"/>
      <c r="CN1040" s="68"/>
      <c r="CO1040" s="68"/>
      <c r="CP1040" s="68"/>
      <c r="CQ1040" s="68"/>
      <c r="CR1040" s="68"/>
      <c r="CS1040" s="68"/>
      <c r="CT1040" s="68"/>
      <c r="CU1040" s="68"/>
      <c r="CV1040" s="68"/>
      <c r="CW1040" s="68"/>
      <c r="CX1040" s="68"/>
    </row>
    <row r="1041" spans="4:102" s="71" customFormat="1" hidden="1">
      <c r="D1041" s="105"/>
      <c r="E1041" s="111"/>
      <c r="F1041" s="111"/>
      <c r="G1041" s="111"/>
      <c r="H1041" s="105"/>
      <c r="I1041" s="111"/>
      <c r="J1041" s="111"/>
      <c r="K1041" s="112"/>
      <c r="L1041" s="100"/>
      <c r="M1041" s="100"/>
      <c r="N1041" s="100"/>
      <c r="O1041" s="100"/>
      <c r="P1041" s="65"/>
      <c r="Q1041" s="103"/>
      <c r="R1041" s="103"/>
      <c r="S1041" s="103"/>
      <c r="T1041" s="103"/>
      <c r="U1041" s="68"/>
      <c r="V1041" s="69"/>
      <c r="W1041" s="68"/>
      <c r="X1041" s="68"/>
      <c r="Y1041" s="68"/>
      <c r="Z1041" s="68"/>
      <c r="AA1041" s="68"/>
      <c r="AB1041" s="68"/>
      <c r="AC1041" s="68"/>
      <c r="AD1041" s="68"/>
      <c r="AE1041" s="68"/>
      <c r="AF1041" s="68"/>
      <c r="AG1041" s="68"/>
      <c r="AH1041" s="68"/>
      <c r="AI1041" s="68"/>
      <c r="AJ1041" s="68"/>
      <c r="AK1041" s="68"/>
      <c r="AL1041" s="68"/>
      <c r="AM1041" s="68"/>
      <c r="AN1041" s="68"/>
      <c r="AO1041" s="68"/>
      <c r="AP1041" s="68"/>
      <c r="AQ1041" s="68"/>
      <c r="AR1041" s="68"/>
      <c r="AS1041" s="68"/>
      <c r="AT1041" s="68"/>
      <c r="AU1041" s="68"/>
      <c r="AV1041" s="68"/>
      <c r="AW1041" s="68"/>
      <c r="AX1041" s="68"/>
      <c r="AY1041" s="68"/>
      <c r="AZ1041" s="68"/>
      <c r="BA1041" s="68"/>
      <c r="BB1041" s="68"/>
      <c r="BC1041" s="68"/>
      <c r="BD1041" s="68"/>
      <c r="BE1041" s="68"/>
      <c r="BF1041" s="68"/>
      <c r="BG1041" s="68"/>
      <c r="BH1041" s="68"/>
      <c r="BI1041" s="68"/>
      <c r="BJ1041" s="68"/>
      <c r="BK1041" s="68"/>
      <c r="BL1041" s="68"/>
      <c r="BM1041" s="68"/>
      <c r="BN1041" s="68"/>
      <c r="BO1041" s="68"/>
      <c r="BP1041" s="68"/>
      <c r="BQ1041" s="68"/>
      <c r="BR1041" s="68"/>
      <c r="BS1041" s="68"/>
      <c r="BT1041" s="68"/>
      <c r="BU1041" s="68"/>
      <c r="BV1041" s="68"/>
      <c r="BW1041" s="68"/>
      <c r="BX1041" s="68"/>
      <c r="BY1041" s="68"/>
      <c r="BZ1041" s="68"/>
      <c r="CA1041" s="68"/>
      <c r="CB1041" s="68"/>
      <c r="CC1041" s="68"/>
      <c r="CD1041" s="68"/>
      <c r="CE1041" s="68"/>
      <c r="CF1041" s="68"/>
      <c r="CG1041" s="68"/>
      <c r="CH1041" s="68"/>
      <c r="CI1041" s="68"/>
      <c r="CJ1041" s="68"/>
      <c r="CK1041" s="68"/>
      <c r="CL1041" s="68"/>
      <c r="CM1041" s="68"/>
      <c r="CN1041" s="68"/>
      <c r="CO1041" s="68"/>
      <c r="CP1041" s="68"/>
      <c r="CQ1041" s="68"/>
      <c r="CR1041" s="68"/>
      <c r="CS1041" s="68"/>
      <c r="CT1041" s="68"/>
      <c r="CU1041" s="68"/>
      <c r="CV1041" s="68"/>
      <c r="CW1041" s="68"/>
      <c r="CX1041" s="68"/>
    </row>
    <row r="1042" spans="4:102" s="71" customFormat="1" hidden="1">
      <c r="D1042" s="105"/>
      <c r="E1042" s="111"/>
      <c r="F1042" s="111"/>
      <c r="G1042" s="111"/>
      <c r="H1042" s="105"/>
      <c r="I1042" s="111"/>
      <c r="J1042" s="111"/>
      <c r="K1042" s="112"/>
      <c r="L1042" s="100"/>
      <c r="M1042" s="100"/>
      <c r="N1042" s="100"/>
      <c r="O1042" s="100"/>
      <c r="P1042" s="65"/>
      <c r="Q1042" s="103"/>
      <c r="R1042" s="103"/>
      <c r="S1042" s="103"/>
      <c r="T1042" s="103"/>
      <c r="U1042" s="68"/>
      <c r="V1042" s="69"/>
      <c r="W1042" s="68"/>
      <c r="X1042" s="68"/>
      <c r="Y1042" s="68"/>
      <c r="Z1042" s="68"/>
      <c r="AA1042" s="68"/>
      <c r="AB1042" s="68"/>
      <c r="AC1042" s="68"/>
      <c r="AD1042" s="68"/>
      <c r="AE1042" s="68"/>
      <c r="AF1042" s="68"/>
      <c r="AG1042" s="68"/>
      <c r="AH1042" s="68"/>
      <c r="AI1042" s="68"/>
      <c r="AJ1042" s="68"/>
      <c r="AK1042" s="68"/>
      <c r="AL1042" s="68"/>
      <c r="AM1042" s="68"/>
      <c r="AN1042" s="68"/>
      <c r="AO1042" s="68"/>
      <c r="AP1042" s="68"/>
      <c r="AQ1042" s="68"/>
      <c r="AR1042" s="68"/>
      <c r="AS1042" s="68"/>
      <c r="AT1042" s="68"/>
      <c r="AU1042" s="68"/>
      <c r="AV1042" s="68"/>
      <c r="AW1042" s="68"/>
      <c r="AX1042" s="68"/>
      <c r="AY1042" s="68"/>
      <c r="AZ1042" s="68"/>
      <c r="BA1042" s="68"/>
      <c r="BB1042" s="68"/>
      <c r="BC1042" s="68"/>
      <c r="BD1042" s="68"/>
      <c r="BE1042" s="68"/>
      <c r="BF1042" s="68"/>
      <c r="BG1042" s="68"/>
      <c r="BH1042" s="68"/>
      <c r="BI1042" s="68"/>
      <c r="BJ1042" s="68"/>
      <c r="BK1042" s="68"/>
      <c r="BL1042" s="68"/>
      <c r="BM1042" s="68"/>
      <c r="BN1042" s="68"/>
      <c r="BO1042" s="68"/>
      <c r="BP1042" s="68"/>
      <c r="BQ1042" s="68"/>
      <c r="BR1042" s="68"/>
      <c r="BS1042" s="68"/>
      <c r="BT1042" s="68"/>
      <c r="BU1042" s="68"/>
      <c r="BV1042" s="68"/>
      <c r="BW1042" s="68"/>
      <c r="BX1042" s="68"/>
      <c r="BY1042" s="68"/>
      <c r="BZ1042" s="68"/>
      <c r="CA1042" s="68"/>
      <c r="CB1042" s="68"/>
      <c r="CC1042" s="68"/>
      <c r="CD1042" s="68"/>
      <c r="CE1042" s="68"/>
      <c r="CF1042" s="68"/>
      <c r="CG1042" s="68"/>
      <c r="CH1042" s="68"/>
      <c r="CI1042" s="68"/>
      <c r="CJ1042" s="68"/>
      <c r="CK1042" s="68"/>
      <c r="CL1042" s="68"/>
      <c r="CM1042" s="68"/>
      <c r="CN1042" s="68"/>
      <c r="CO1042" s="68"/>
      <c r="CP1042" s="68"/>
      <c r="CQ1042" s="68"/>
      <c r="CR1042" s="68"/>
      <c r="CS1042" s="68"/>
      <c r="CT1042" s="68"/>
      <c r="CU1042" s="68"/>
      <c r="CV1042" s="68"/>
      <c r="CW1042" s="68"/>
      <c r="CX1042" s="68"/>
    </row>
    <row r="1043" spans="4:102" s="71" customFormat="1" hidden="1">
      <c r="D1043" s="105"/>
      <c r="E1043" s="111"/>
      <c r="F1043" s="111"/>
      <c r="G1043" s="111"/>
      <c r="H1043" s="105"/>
      <c r="I1043" s="111"/>
      <c r="J1043" s="111"/>
      <c r="K1043" s="112"/>
      <c r="L1043" s="100"/>
      <c r="M1043" s="100"/>
      <c r="N1043" s="100"/>
      <c r="O1043" s="100"/>
      <c r="P1043" s="65"/>
      <c r="Q1043" s="103"/>
      <c r="R1043" s="103"/>
      <c r="S1043" s="103"/>
      <c r="T1043" s="103"/>
      <c r="U1043" s="68"/>
      <c r="V1043" s="69"/>
      <c r="W1043" s="68"/>
      <c r="X1043" s="68"/>
      <c r="Y1043" s="68"/>
      <c r="Z1043" s="68"/>
      <c r="AA1043" s="68"/>
      <c r="AB1043" s="68"/>
      <c r="AC1043" s="68"/>
      <c r="AD1043" s="68"/>
      <c r="AE1043" s="68"/>
      <c r="AF1043" s="68"/>
      <c r="AG1043" s="68"/>
      <c r="AH1043" s="68"/>
      <c r="AI1043" s="68"/>
      <c r="AJ1043" s="68"/>
      <c r="AK1043" s="68"/>
      <c r="AL1043" s="68"/>
      <c r="AM1043" s="68"/>
      <c r="AN1043" s="68"/>
      <c r="AO1043" s="68"/>
      <c r="AP1043" s="68"/>
      <c r="AQ1043" s="68"/>
      <c r="AR1043" s="68"/>
      <c r="AS1043" s="68"/>
      <c r="AT1043" s="68"/>
      <c r="AU1043" s="68"/>
      <c r="AV1043" s="68"/>
      <c r="AW1043" s="68"/>
      <c r="AX1043" s="68"/>
      <c r="AY1043" s="68"/>
      <c r="AZ1043" s="68"/>
      <c r="BA1043" s="68"/>
      <c r="BB1043" s="68"/>
      <c r="BC1043" s="68"/>
      <c r="BD1043" s="68"/>
      <c r="BE1043" s="68"/>
      <c r="BF1043" s="68"/>
      <c r="BG1043" s="68"/>
      <c r="BH1043" s="68"/>
      <c r="BI1043" s="68"/>
      <c r="BJ1043" s="68"/>
      <c r="BK1043" s="68"/>
      <c r="BL1043" s="68"/>
      <c r="BM1043" s="68"/>
      <c r="BN1043" s="68"/>
      <c r="BO1043" s="68"/>
      <c r="BP1043" s="68"/>
      <c r="BQ1043" s="68"/>
      <c r="BR1043" s="68"/>
      <c r="BS1043" s="68"/>
      <c r="BT1043" s="68"/>
      <c r="BU1043" s="68"/>
      <c r="BV1043" s="68"/>
      <c r="BW1043" s="68"/>
      <c r="BX1043" s="68"/>
      <c r="BY1043" s="68"/>
      <c r="BZ1043" s="68"/>
      <c r="CA1043" s="68"/>
      <c r="CB1043" s="68"/>
      <c r="CC1043" s="68"/>
      <c r="CD1043" s="68"/>
      <c r="CE1043" s="68"/>
      <c r="CF1043" s="68"/>
      <c r="CG1043" s="68"/>
      <c r="CH1043" s="68"/>
      <c r="CI1043" s="68"/>
      <c r="CJ1043" s="68"/>
      <c r="CK1043" s="68"/>
      <c r="CL1043" s="68"/>
      <c r="CM1043" s="68"/>
      <c r="CN1043" s="68"/>
      <c r="CO1043" s="68"/>
      <c r="CP1043" s="68"/>
      <c r="CQ1043" s="68"/>
      <c r="CR1043" s="68"/>
      <c r="CS1043" s="68"/>
      <c r="CT1043" s="68"/>
      <c r="CU1043" s="68"/>
      <c r="CV1043" s="68"/>
      <c r="CW1043" s="68"/>
      <c r="CX1043" s="68"/>
    </row>
    <row r="1044" spans="4:102" s="71" customFormat="1" hidden="1">
      <c r="D1044" s="105"/>
      <c r="E1044" s="111"/>
      <c r="F1044" s="111"/>
      <c r="G1044" s="111"/>
      <c r="H1044" s="105"/>
      <c r="I1044" s="111"/>
      <c r="J1044" s="111"/>
      <c r="K1044" s="112"/>
      <c r="L1044" s="100"/>
      <c r="M1044" s="100"/>
      <c r="N1044" s="100"/>
      <c r="O1044" s="100"/>
      <c r="P1044" s="65"/>
      <c r="Q1044" s="103"/>
      <c r="R1044" s="103"/>
      <c r="S1044" s="103"/>
      <c r="T1044" s="103"/>
      <c r="U1044" s="68"/>
      <c r="V1044" s="69"/>
      <c r="W1044" s="68"/>
      <c r="X1044" s="68"/>
      <c r="Y1044" s="68"/>
      <c r="Z1044" s="68"/>
      <c r="AA1044" s="68"/>
      <c r="AB1044" s="68"/>
      <c r="AC1044" s="68"/>
      <c r="AD1044" s="68"/>
      <c r="AE1044" s="68"/>
      <c r="AF1044" s="68"/>
      <c r="AG1044" s="68"/>
      <c r="AH1044" s="68"/>
      <c r="AI1044" s="68"/>
      <c r="AJ1044" s="68"/>
      <c r="AK1044" s="68"/>
      <c r="AL1044" s="68"/>
      <c r="AM1044" s="68"/>
      <c r="AN1044" s="68"/>
      <c r="AO1044" s="68"/>
      <c r="AP1044" s="68"/>
      <c r="AQ1044" s="68"/>
      <c r="AR1044" s="68"/>
      <c r="AS1044" s="68"/>
      <c r="AT1044" s="68"/>
      <c r="AU1044" s="68"/>
      <c r="AV1044" s="68"/>
      <c r="AW1044" s="68"/>
      <c r="AX1044" s="68"/>
      <c r="AY1044" s="68"/>
      <c r="AZ1044" s="68"/>
      <c r="BA1044" s="68"/>
      <c r="BB1044" s="68"/>
      <c r="BC1044" s="68"/>
      <c r="BD1044" s="68"/>
      <c r="BE1044" s="68"/>
      <c r="BF1044" s="68"/>
      <c r="BG1044" s="68"/>
      <c r="BH1044" s="68"/>
      <c r="BI1044" s="68"/>
      <c r="BJ1044" s="68"/>
      <c r="BK1044" s="68"/>
      <c r="BL1044" s="68"/>
      <c r="BM1044" s="68"/>
      <c r="BN1044" s="68"/>
      <c r="BO1044" s="68"/>
      <c r="BP1044" s="68"/>
      <c r="BQ1044" s="68"/>
      <c r="BR1044" s="68"/>
      <c r="BS1044" s="68"/>
      <c r="BT1044" s="68"/>
      <c r="BU1044" s="68"/>
      <c r="BV1044" s="68"/>
      <c r="BW1044" s="68"/>
      <c r="BX1044" s="68"/>
      <c r="BY1044" s="68"/>
      <c r="BZ1044" s="68"/>
      <c r="CA1044" s="68"/>
      <c r="CB1044" s="68"/>
      <c r="CC1044" s="68"/>
      <c r="CD1044" s="68"/>
      <c r="CE1044" s="68"/>
      <c r="CF1044" s="68"/>
      <c r="CG1044" s="68"/>
      <c r="CH1044" s="68"/>
      <c r="CI1044" s="68"/>
      <c r="CJ1044" s="68"/>
      <c r="CK1044" s="68"/>
      <c r="CL1044" s="68"/>
      <c r="CM1044" s="68"/>
      <c r="CN1044" s="68"/>
      <c r="CO1044" s="68"/>
      <c r="CP1044" s="68"/>
      <c r="CQ1044" s="68"/>
      <c r="CR1044" s="68"/>
      <c r="CS1044" s="68"/>
      <c r="CT1044" s="68"/>
      <c r="CU1044" s="68"/>
      <c r="CV1044" s="68"/>
      <c r="CW1044" s="68"/>
      <c r="CX1044" s="68"/>
    </row>
    <row r="1045" spans="4:102" s="71" customFormat="1" hidden="1">
      <c r="D1045" s="105"/>
      <c r="E1045" s="111"/>
      <c r="F1045" s="111"/>
      <c r="G1045" s="111"/>
      <c r="H1045" s="105"/>
      <c r="I1045" s="111"/>
      <c r="J1045" s="111"/>
      <c r="K1045" s="112"/>
      <c r="L1045" s="100"/>
      <c r="M1045" s="100"/>
      <c r="N1045" s="100"/>
      <c r="O1045" s="100"/>
      <c r="P1045" s="65"/>
      <c r="Q1045" s="103"/>
      <c r="R1045" s="103"/>
      <c r="S1045" s="103"/>
      <c r="T1045" s="103"/>
      <c r="U1045" s="68"/>
      <c r="V1045" s="69"/>
      <c r="W1045" s="68"/>
      <c r="X1045" s="68"/>
      <c r="Y1045" s="68"/>
      <c r="Z1045" s="68"/>
      <c r="AA1045" s="68"/>
      <c r="AB1045" s="68"/>
      <c r="AC1045" s="68"/>
      <c r="AD1045" s="68"/>
      <c r="AE1045" s="68"/>
      <c r="AF1045" s="68"/>
      <c r="AG1045" s="68"/>
      <c r="AH1045" s="68"/>
      <c r="AI1045" s="68"/>
      <c r="AJ1045" s="68"/>
      <c r="AK1045" s="68"/>
      <c r="AL1045" s="68"/>
      <c r="AM1045" s="68"/>
      <c r="AN1045" s="68"/>
      <c r="AO1045" s="68"/>
      <c r="AP1045" s="68"/>
      <c r="AQ1045" s="68"/>
      <c r="AR1045" s="68"/>
      <c r="AS1045" s="68"/>
      <c r="AT1045" s="68"/>
      <c r="AU1045" s="68"/>
      <c r="AV1045" s="68"/>
      <c r="AW1045" s="68"/>
      <c r="AX1045" s="68"/>
      <c r="AY1045" s="68"/>
      <c r="AZ1045" s="68"/>
      <c r="BA1045" s="68"/>
      <c r="BB1045" s="68"/>
      <c r="BC1045" s="68"/>
      <c r="BD1045" s="68"/>
      <c r="BE1045" s="68"/>
      <c r="BF1045" s="68"/>
      <c r="BG1045" s="68"/>
      <c r="BH1045" s="68"/>
      <c r="BI1045" s="68"/>
      <c r="BJ1045" s="68"/>
      <c r="BK1045" s="68"/>
      <c r="BL1045" s="68"/>
      <c r="BM1045" s="68"/>
      <c r="BN1045" s="68"/>
      <c r="BO1045" s="68"/>
      <c r="BP1045" s="68"/>
      <c r="BQ1045" s="68"/>
      <c r="BR1045" s="68"/>
      <c r="BS1045" s="68"/>
      <c r="BT1045" s="68"/>
      <c r="BU1045" s="68"/>
      <c r="BV1045" s="68"/>
      <c r="BW1045" s="68"/>
      <c r="BX1045" s="68"/>
      <c r="BY1045" s="68"/>
      <c r="BZ1045" s="68"/>
      <c r="CA1045" s="68"/>
      <c r="CB1045" s="68"/>
      <c r="CC1045" s="68"/>
      <c r="CD1045" s="68"/>
      <c r="CE1045" s="68"/>
      <c r="CF1045" s="68"/>
      <c r="CG1045" s="68"/>
      <c r="CH1045" s="68"/>
      <c r="CI1045" s="68"/>
      <c r="CJ1045" s="68"/>
      <c r="CK1045" s="68"/>
      <c r="CL1045" s="68"/>
      <c r="CM1045" s="68"/>
      <c r="CN1045" s="68"/>
      <c r="CO1045" s="68"/>
      <c r="CP1045" s="68"/>
      <c r="CQ1045" s="68"/>
      <c r="CR1045" s="68"/>
      <c r="CS1045" s="68"/>
      <c r="CT1045" s="68"/>
      <c r="CU1045" s="68"/>
      <c r="CV1045" s="68"/>
      <c r="CW1045" s="68"/>
      <c r="CX1045" s="68"/>
    </row>
    <row r="1046" spans="4:102" s="71" customFormat="1" hidden="1">
      <c r="D1046" s="105"/>
      <c r="E1046" s="111"/>
      <c r="F1046" s="111"/>
      <c r="G1046" s="111"/>
      <c r="H1046" s="105"/>
      <c r="I1046" s="111"/>
      <c r="J1046" s="111"/>
      <c r="K1046" s="112"/>
      <c r="L1046" s="100"/>
      <c r="M1046" s="100"/>
      <c r="N1046" s="100"/>
      <c r="O1046" s="100"/>
      <c r="P1046" s="65"/>
      <c r="Q1046" s="103"/>
      <c r="R1046" s="103"/>
      <c r="S1046" s="103"/>
      <c r="T1046" s="103"/>
      <c r="U1046" s="68"/>
      <c r="V1046" s="69"/>
      <c r="W1046" s="68"/>
      <c r="X1046" s="68"/>
      <c r="Y1046" s="68"/>
      <c r="Z1046" s="68"/>
      <c r="AA1046" s="68"/>
      <c r="AB1046" s="68"/>
      <c r="AC1046" s="68"/>
      <c r="AD1046" s="68"/>
      <c r="AE1046" s="68"/>
      <c r="AF1046" s="68"/>
      <c r="AG1046" s="68"/>
      <c r="AH1046" s="68"/>
      <c r="AI1046" s="68"/>
      <c r="AJ1046" s="68"/>
      <c r="AK1046" s="68"/>
      <c r="AL1046" s="68"/>
      <c r="AM1046" s="68"/>
      <c r="AN1046" s="68"/>
      <c r="AO1046" s="68"/>
      <c r="AP1046" s="68"/>
      <c r="AQ1046" s="68"/>
      <c r="AR1046" s="68"/>
      <c r="AS1046" s="68"/>
      <c r="AT1046" s="68"/>
      <c r="AU1046" s="68"/>
      <c r="AV1046" s="68"/>
      <c r="AW1046" s="68"/>
      <c r="AX1046" s="68"/>
      <c r="AY1046" s="68"/>
      <c r="AZ1046" s="68"/>
      <c r="BA1046" s="68"/>
      <c r="BB1046" s="68"/>
      <c r="BC1046" s="68"/>
      <c r="BD1046" s="68"/>
      <c r="BE1046" s="68"/>
      <c r="BF1046" s="68"/>
      <c r="BG1046" s="68"/>
      <c r="BH1046" s="68"/>
      <c r="BI1046" s="68"/>
      <c r="BJ1046" s="68"/>
      <c r="BK1046" s="68"/>
      <c r="BL1046" s="68"/>
      <c r="BM1046" s="68"/>
      <c r="BN1046" s="68"/>
      <c r="BO1046" s="68"/>
      <c r="BP1046" s="68"/>
      <c r="BQ1046" s="68"/>
      <c r="BR1046" s="68"/>
      <c r="BS1046" s="68"/>
      <c r="BT1046" s="68"/>
      <c r="BU1046" s="68"/>
      <c r="BV1046" s="68"/>
      <c r="BW1046" s="68"/>
      <c r="BX1046" s="68"/>
      <c r="BY1046" s="68"/>
      <c r="BZ1046" s="68"/>
      <c r="CA1046" s="68"/>
      <c r="CB1046" s="68"/>
      <c r="CC1046" s="68"/>
      <c r="CD1046" s="68"/>
      <c r="CE1046" s="68"/>
      <c r="CF1046" s="68"/>
      <c r="CG1046" s="68"/>
      <c r="CH1046" s="68"/>
      <c r="CI1046" s="68"/>
      <c r="CJ1046" s="68"/>
      <c r="CK1046" s="68"/>
      <c r="CL1046" s="68"/>
      <c r="CM1046" s="68"/>
      <c r="CN1046" s="68"/>
      <c r="CO1046" s="68"/>
      <c r="CP1046" s="68"/>
      <c r="CQ1046" s="68"/>
      <c r="CR1046" s="68"/>
      <c r="CS1046" s="68"/>
      <c r="CT1046" s="68"/>
      <c r="CU1046" s="68"/>
      <c r="CV1046" s="68"/>
      <c r="CW1046" s="68"/>
      <c r="CX1046" s="68"/>
    </row>
    <row r="1047" spans="4:102" s="71" customFormat="1" hidden="1">
      <c r="D1047" s="105"/>
      <c r="E1047" s="111"/>
      <c r="F1047" s="111"/>
      <c r="G1047" s="111"/>
      <c r="H1047" s="105"/>
      <c r="I1047" s="111"/>
      <c r="J1047" s="111"/>
      <c r="K1047" s="112"/>
      <c r="L1047" s="100"/>
      <c r="M1047" s="100"/>
      <c r="N1047" s="100"/>
      <c r="O1047" s="100"/>
      <c r="P1047" s="65"/>
      <c r="Q1047" s="103"/>
      <c r="R1047" s="103"/>
      <c r="S1047" s="103"/>
      <c r="T1047" s="103"/>
      <c r="U1047" s="68"/>
      <c r="V1047" s="69"/>
      <c r="W1047" s="68"/>
      <c r="X1047" s="68"/>
      <c r="Y1047" s="68"/>
      <c r="Z1047" s="68"/>
      <c r="AA1047" s="68"/>
      <c r="AB1047" s="68"/>
      <c r="AC1047" s="68"/>
      <c r="AD1047" s="68"/>
      <c r="AE1047" s="68"/>
      <c r="AF1047" s="68"/>
      <c r="AG1047" s="68"/>
      <c r="AH1047" s="68"/>
      <c r="AI1047" s="68"/>
      <c r="AJ1047" s="68"/>
      <c r="AK1047" s="68"/>
      <c r="AL1047" s="68"/>
      <c r="AM1047" s="68"/>
      <c r="AN1047" s="68"/>
      <c r="AO1047" s="68"/>
      <c r="AP1047" s="68"/>
      <c r="AQ1047" s="68"/>
      <c r="AR1047" s="68"/>
      <c r="AS1047" s="68"/>
      <c r="AT1047" s="68"/>
      <c r="AU1047" s="68"/>
      <c r="AV1047" s="68"/>
      <c r="AW1047" s="68"/>
      <c r="AX1047" s="68"/>
      <c r="AY1047" s="68"/>
      <c r="AZ1047" s="68"/>
      <c r="BA1047" s="68"/>
      <c r="BB1047" s="68"/>
      <c r="BC1047" s="68"/>
      <c r="BD1047" s="68"/>
      <c r="BE1047" s="68"/>
      <c r="BF1047" s="68"/>
      <c r="BG1047" s="68"/>
      <c r="BH1047" s="68"/>
      <c r="BI1047" s="68"/>
      <c r="BJ1047" s="68"/>
      <c r="BK1047" s="68"/>
      <c r="BL1047" s="68"/>
      <c r="BM1047" s="68"/>
      <c r="BN1047" s="68"/>
      <c r="BO1047" s="68"/>
      <c r="BP1047" s="68"/>
      <c r="BQ1047" s="68"/>
      <c r="BR1047" s="68"/>
      <c r="BS1047" s="68"/>
      <c r="BT1047" s="68"/>
      <c r="BU1047" s="68"/>
      <c r="BV1047" s="68"/>
      <c r="BW1047" s="68"/>
      <c r="BX1047" s="68"/>
      <c r="BY1047" s="68"/>
      <c r="BZ1047" s="68"/>
      <c r="CA1047" s="68"/>
      <c r="CB1047" s="68"/>
      <c r="CC1047" s="68"/>
      <c r="CD1047" s="68"/>
      <c r="CE1047" s="68"/>
      <c r="CF1047" s="68"/>
      <c r="CG1047" s="68"/>
      <c r="CH1047" s="68"/>
      <c r="CI1047" s="68"/>
      <c r="CJ1047" s="68"/>
      <c r="CK1047" s="68"/>
      <c r="CL1047" s="68"/>
      <c r="CM1047" s="68"/>
      <c r="CN1047" s="68"/>
      <c r="CO1047" s="68"/>
      <c r="CP1047" s="68"/>
      <c r="CQ1047" s="68"/>
      <c r="CR1047" s="68"/>
      <c r="CS1047" s="68"/>
      <c r="CT1047" s="68"/>
      <c r="CU1047" s="68"/>
      <c r="CV1047" s="68"/>
      <c r="CW1047" s="68"/>
      <c r="CX1047" s="68"/>
    </row>
    <row r="1048" spans="4:102" s="71" customFormat="1" hidden="1">
      <c r="D1048" s="105"/>
      <c r="E1048" s="111"/>
      <c r="F1048" s="111"/>
      <c r="G1048" s="111"/>
      <c r="H1048" s="105"/>
      <c r="I1048" s="111"/>
      <c r="J1048" s="111"/>
      <c r="K1048" s="112"/>
      <c r="L1048" s="100"/>
      <c r="M1048" s="100"/>
      <c r="N1048" s="100"/>
      <c r="O1048" s="100"/>
      <c r="P1048" s="65"/>
      <c r="Q1048" s="103"/>
      <c r="R1048" s="103"/>
      <c r="S1048" s="103"/>
      <c r="T1048" s="103"/>
      <c r="U1048" s="68"/>
      <c r="V1048" s="69"/>
      <c r="W1048" s="68"/>
      <c r="X1048" s="68"/>
      <c r="Y1048" s="68"/>
      <c r="Z1048" s="68"/>
      <c r="AA1048" s="68"/>
      <c r="AB1048" s="68"/>
      <c r="AC1048" s="68"/>
      <c r="AD1048" s="68"/>
      <c r="AE1048" s="68"/>
      <c r="AF1048" s="68"/>
      <c r="AG1048" s="68"/>
      <c r="AH1048" s="68"/>
      <c r="AI1048" s="68"/>
      <c r="AJ1048" s="68"/>
      <c r="AK1048" s="68"/>
      <c r="AL1048" s="68"/>
      <c r="AM1048" s="68"/>
      <c r="AN1048" s="68"/>
      <c r="AO1048" s="68"/>
      <c r="AP1048" s="68"/>
      <c r="AQ1048" s="68"/>
      <c r="AR1048" s="68"/>
      <c r="AS1048" s="68"/>
      <c r="AT1048" s="68"/>
      <c r="AU1048" s="68"/>
      <c r="AV1048" s="68"/>
      <c r="AW1048" s="68"/>
      <c r="AX1048" s="68"/>
      <c r="AY1048" s="68"/>
      <c r="AZ1048" s="68"/>
      <c r="BA1048" s="68"/>
      <c r="BB1048" s="68"/>
      <c r="BC1048" s="68"/>
      <c r="BD1048" s="68"/>
      <c r="BE1048" s="68"/>
      <c r="BF1048" s="68"/>
      <c r="BG1048" s="68"/>
      <c r="BH1048" s="68"/>
      <c r="BI1048" s="68"/>
      <c r="BJ1048" s="68"/>
      <c r="BK1048" s="68"/>
      <c r="BL1048" s="68"/>
      <c r="BM1048" s="68"/>
      <c r="BN1048" s="68"/>
      <c r="BO1048" s="68"/>
      <c r="BP1048" s="68"/>
      <c r="BQ1048" s="68"/>
      <c r="BR1048" s="68"/>
      <c r="BS1048" s="68"/>
      <c r="BT1048" s="68"/>
      <c r="BU1048" s="68"/>
      <c r="BV1048" s="68"/>
      <c r="BW1048" s="68"/>
      <c r="BX1048" s="68"/>
      <c r="BY1048" s="68"/>
      <c r="BZ1048" s="68"/>
      <c r="CA1048" s="68"/>
      <c r="CB1048" s="68"/>
      <c r="CC1048" s="68"/>
      <c r="CD1048" s="68"/>
      <c r="CE1048" s="68"/>
      <c r="CF1048" s="68"/>
      <c r="CG1048" s="68"/>
      <c r="CH1048" s="68"/>
      <c r="CI1048" s="68"/>
      <c r="CJ1048" s="68"/>
      <c r="CK1048" s="68"/>
      <c r="CL1048" s="68"/>
      <c r="CM1048" s="68"/>
      <c r="CN1048" s="68"/>
      <c r="CO1048" s="68"/>
      <c r="CP1048" s="68"/>
      <c r="CQ1048" s="68"/>
      <c r="CR1048" s="68"/>
      <c r="CS1048" s="68"/>
      <c r="CT1048" s="68"/>
      <c r="CU1048" s="68"/>
      <c r="CV1048" s="68"/>
      <c r="CW1048" s="68"/>
      <c r="CX1048" s="68"/>
    </row>
    <row r="1049" spans="4:102" s="71" customFormat="1" hidden="1">
      <c r="D1049" s="105"/>
      <c r="E1049" s="111"/>
      <c r="F1049" s="111"/>
      <c r="G1049" s="111"/>
      <c r="H1049" s="105"/>
      <c r="I1049" s="111"/>
      <c r="J1049" s="111"/>
      <c r="K1049" s="112"/>
      <c r="L1049" s="100"/>
      <c r="M1049" s="100"/>
      <c r="N1049" s="100"/>
      <c r="O1049" s="100"/>
      <c r="P1049" s="65"/>
      <c r="Q1049" s="103"/>
      <c r="R1049" s="103"/>
      <c r="S1049" s="103"/>
      <c r="T1049" s="103"/>
      <c r="U1049" s="68"/>
      <c r="V1049" s="69"/>
      <c r="W1049" s="68"/>
      <c r="X1049" s="68"/>
      <c r="Y1049" s="68"/>
      <c r="Z1049" s="68"/>
      <c r="AA1049" s="68"/>
      <c r="AB1049" s="68"/>
      <c r="AC1049" s="68"/>
      <c r="AD1049" s="68"/>
      <c r="AE1049" s="68"/>
      <c r="AF1049" s="68"/>
      <c r="AG1049" s="68"/>
      <c r="AH1049" s="68"/>
      <c r="AI1049" s="68"/>
      <c r="AJ1049" s="68"/>
      <c r="AK1049" s="68"/>
      <c r="AL1049" s="68"/>
      <c r="AM1049" s="68"/>
      <c r="AN1049" s="68"/>
      <c r="AO1049" s="68"/>
      <c r="AP1049" s="68"/>
      <c r="AQ1049" s="68"/>
      <c r="AR1049" s="68"/>
      <c r="AS1049" s="68"/>
      <c r="AT1049" s="68"/>
      <c r="AU1049" s="68"/>
      <c r="AV1049" s="68"/>
      <c r="AW1049" s="68"/>
      <c r="AX1049" s="68"/>
      <c r="AY1049" s="68"/>
      <c r="AZ1049" s="68"/>
      <c r="BA1049" s="68"/>
      <c r="BB1049" s="68"/>
      <c r="BC1049" s="68"/>
      <c r="BD1049" s="68"/>
      <c r="BE1049" s="68"/>
      <c r="BF1049" s="68"/>
      <c r="BG1049" s="68"/>
      <c r="BH1049" s="68"/>
      <c r="BI1049" s="68"/>
      <c r="BJ1049" s="68"/>
      <c r="BK1049" s="68"/>
      <c r="BL1049" s="68"/>
      <c r="BM1049" s="68"/>
      <c r="BN1049" s="68"/>
      <c r="BO1049" s="68"/>
      <c r="BP1049" s="68"/>
      <c r="BQ1049" s="68"/>
      <c r="BR1049" s="68"/>
      <c r="BS1049" s="68"/>
      <c r="BT1049" s="68"/>
      <c r="BU1049" s="68"/>
      <c r="BV1049" s="68"/>
      <c r="BW1049" s="68"/>
      <c r="BX1049" s="68"/>
      <c r="BY1049" s="68"/>
      <c r="BZ1049" s="68"/>
      <c r="CA1049" s="68"/>
      <c r="CB1049" s="68"/>
      <c r="CC1049" s="68"/>
      <c r="CD1049" s="68"/>
      <c r="CE1049" s="68"/>
      <c r="CF1049" s="68"/>
      <c r="CG1049" s="68"/>
      <c r="CH1049" s="68"/>
      <c r="CI1049" s="68"/>
      <c r="CJ1049" s="68"/>
      <c r="CK1049" s="68"/>
      <c r="CL1049" s="68"/>
      <c r="CM1049" s="68"/>
      <c r="CN1049" s="68"/>
      <c r="CO1049" s="68"/>
      <c r="CP1049" s="68"/>
      <c r="CQ1049" s="68"/>
      <c r="CR1049" s="68"/>
      <c r="CS1049" s="68"/>
      <c r="CT1049" s="68"/>
      <c r="CU1049" s="68"/>
      <c r="CV1049" s="68"/>
      <c r="CW1049" s="68"/>
      <c r="CX1049" s="68"/>
    </row>
    <row r="1050" spans="4:102" s="71" customFormat="1" hidden="1">
      <c r="D1050" s="105"/>
      <c r="E1050" s="111"/>
      <c r="F1050" s="111"/>
      <c r="G1050" s="111"/>
      <c r="H1050" s="105"/>
      <c r="I1050" s="111"/>
      <c r="J1050" s="111"/>
      <c r="K1050" s="112"/>
      <c r="L1050" s="100"/>
      <c r="M1050" s="100"/>
      <c r="N1050" s="100"/>
      <c r="O1050" s="100"/>
      <c r="P1050" s="65"/>
      <c r="Q1050" s="103"/>
      <c r="R1050" s="103"/>
      <c r="S1050" s="103"/>
      <c r="T1050" s="103"/>
      <c r="U1050" s="68"/>
      <c r="V1050" s="69"/>
      <c r="W1050" s="68"/>
      <c r="X1050" s="68"/>
      <c r="Y1050" s="68"/>
      <c r="Z1050" s="68"/>
      <c r="AA1050" s="68"/>
      <c r="AB1050" s="68"/>
      <c r="AC1050" s="68"/>
      <c r="AD1050" s="68"/>
      <c r="AE1050" s="68"/>
      <c r="AF1050" s="68"/>
      <c r="AG1050" s="68"/>
      <c r="AH1050" s="68"/>
      <c r="AI1050" s="68"/>
      <c r="AJ1050" s="68"/>
      <c r="AK1050" s="68"/>
      <c r="AL1050" s="68"/>
      <c r="AM1050" s="68"/>
      <c r="AN1050" s="68"/>
      <c r="AO1050" s="68"/>
      <c r="AP1050" s="68"/>
      <c r="AQ1050" s="68"/>
      <c r="AR1050" s="68"/>
      <c r="AS1050" s="68"/>
      <c r="AT1050" s="68"/>
      <c r="AU1050" s="68"/>
      <c r="AV1050" s="68"/>
      <c r="AW1050" s="68"/>
      <c r="AX1050" s="68"/>
      <c r="AY1050" s="68"/>
      <c r="AZ1050" s="68"/>
      <c r="BA1050" s="68"/>
      <c r="BB1050" s="68"/>
      <c r="BC1050" s="68"/>
      <c r="BD1050" s="68"/>
      <c r="BE1050" s="68"/>
      <c r="BF1050" s="68"/>
      <c r="BG1050" s="68"/>
      <c r="BH1050" s="68"/>
      <c r="BI1050" s="68"/>
      <c r="BJ1050" s="68"/>
      <c r="BK1050" s="68"/>
      <c r="BL1050" s="68"/>
      <c r="BM1050" s="68"/>
      <c r="BN1050" s="68"/>
      <c r="BO1050" s="68"/>
      <c r="BP1050" s="68"/>
      <c r="BQ1050" s="68"/>
      <c r="BR1050" s="68"/>
      <c r="BS1050" s="68"/>
      <c r="BT1050" s="68"/>
      <c r="BU1050" s="68"/>
      <c r="BV1050" s="68"/>
      <c r="BW1050" s="68"/>
      <c r="BX1050" s="68"/>
      <c r="BY1050" s="68"/>
      <c r="BZ1050" s="68"/>
      <c r="CA1050" s="68"/>
      <c r="CB1050" s="68"/>
      <c r="CC1050" s="68"/>
      <c r="CD1050" s="68"/>
      <c r="CE1050" s="68"/>
      <c r="CF1050" s="68"/>
      <c r="CG1050" s="68"/>
      <c r="CH1050" s="68"/>
      <c r="CI1050" s="68"/>
      <c r="CJ1050" s="68"/>
      <c r="CK1050" s="68"/>
      <c r="CL1050" s="68"/>
      <c r="CM1050" s="68"/>
      <c r="CN1050" s="68"/>
      <c r="CO1050" s="68"/>
      <c r="CP1050" s="68"/>
      <c r="CQ1050" s="68"/>
      <c r="CR1050" s="68"/>
      <c r="CS1050" s="68"/>
      <c r="CT1050" s="68"/>
      <c r="CU1050" s="68"/>
      <c r="CV1050" s="68"/>
      <c r="CW1050" s="68"/>
      <c r="CX1050" s="68"/>
    </row>
    <row r="1051" spans="4:102" s="71" customFormat="1" hidden="1">
      <c r="D1051" s="105"/>
      <c r="E1051" s="111"/>
      <c r="F1051" s="111"/>
      <c r="G1051" s="111"/>
      <c r="H1051" s="105"/>
      <c r="I1051" s="111"/>
      <c r="J1051" s="111"/>
      <c r="K1051" s="112"/>
      <c r="L1051" s="100"/>
      <c r="M1051" s="100"/>
      <c r="N1051" s="100"/>
      <c r="O1051" s="100"/>
      <c r="P1051" s="65"/>
      <c r="Q1051" s="103"/>
      <c r="R1051" s="103"/>
      <c r="S1051" s="103"/>
      <c r="T1051" s="103"/>
      <c r="U1051" s="68"/>
      <c r="V1051" s="69"/>
      <c r="W1051" s="68"/>
      <c r="X1051" s="68"/>
      <c r="Y1051" s="68"/>
      <c r="Z1051" s="68"/>
      <c r="AA1051" s="68"/>
      <c r="AB1051" s="68"/>
      <c r="AC1051" s="68"/>
      <c r="AD1051" s="68"/>
      <c r="AE1051" s="68"/>
      <c r="AF1051" s="68"/>
      <c r="AG1051" s="68"/>
      <c r="AH1051" s="68"/>
      <c r="AI1051" s="68"/>
      <c r="AJ1051" s="68"/>
      <c r="AK1051" s="68"/>
      <c r="AL1051" s="68"/>
      <c r="AM1051" s="68"/>
      <c r="AN1051" s="68"/>
      <c r="AO1051" s="68"/>
      <c r="AP1051" s="68"/>
      <c r="AQ1051" s="68"/>
      <c r="AR1051" s="68"/>
      <c r="AS1051" s="68"/>
      <c r="AT1051" s="68"/>
      <c r="AU1051" s="68"/>
      <c r="AV1051" s="68"/>
      <c r="AW1051" s="68"/>
      <c r="AX1051" s="68"/>
      <c r="AY1051" s="68"/>
      <c r="AZ1051" s="68"/>
      <c r="BA1051" s="68"/>
      <c r="BB1051" s="68"/>
      <c r="BC1051" s="68"/>
      <c r="BD1051" s="68"/>
      <c r="BE1051" s="68"/>
      <c r="BF1051" s="68"/>
      <c r="BG1051" s="68"/>
      <c r="BH1051" s="68"/>
      <c r="BI1051" s="68"/>
      <c r="BJ1051" s="68"/>
      <c r="BK1051" s="68"/>
      <c r="BL1051" s="68"/>
      <c r="BM1051" s="68"/>
      <c r="BN1051" s="68"/>
      <c r="BO1051" s="68"/>
      <c r="BP1051" s="68"/>
      <c r="BQ1051" s="68"/>
      <c r="BR1051" s="68"/>
      <c r="BS1051" s="68"/>
      <c r="BT1051" s="68"/>
      <c r="BU1051" s="68"/>
      <c r="BV1051" s="68"/>
      <c r="BW1051" s="68"/>
      <c r="BX1051" s="68"/>
      <c r="BY1051" s="68"/>
      <c r="BZ1051" s="68"/>
      <c r="CA1051" s="68"/>
      <c r="CB1051" s="68"/>
      <c r="CC1051" s="68"/>
      <c r="CD1051" s="68"/>
      <c r="CE1051" s="68"/>
      <c r="CF1051" s="68"/>
      <c r="CG1051" s="68"/>
      <c r="CH1051" s="68"/>
      <c r="CI1051" s="68"/>
      <c r="CJ1051" s="68"/>
      <c r="CK1051" s="68"/>
      <c r="CL1051" s="68"/>
      <c r="CM1051" s="68"/>
      <c r="CN1051" s="68"/>
      <c r="CO1051" s="68"/>
      <c r="CP1051" s="68"/>
      <c r="CQ1051" s="68"/>
      <c r="CR1051" s="68"/>
      <c r="CS1051" s="68"/>
      <c r="CT1051" s="68"/>
      <c r="CU1051" s="68"/>
      <c r="CV1051" s="68"/>
      <c r="CW1051" s="68"/>
      <c r="CX1051" s="68"/>
    </row>
    <row r="1052" spans="4:102" s="71" customFormat="1" hidden="1">
      <c r="D1052" s="105"/>
      <c r="E1052" s="111"/>
      <c r="F1052" s="111"/>
      <c r="G1052" s="111"/>
      <c r="H1052" s="105"/>
      <c r="I1052" s="111"/>
      <c r="J1052" s="111"/>
      <c r="K1052" s="112"/>
      <c r="L1052" s="100"/>
      <c r="M1052" s="100"/>
      <c r="N1052" s="100"/>
      <c r="O1052" s="100"/>
      <c r="P1052" s="65"/>
      <c r="Q1052" s="103"/>
      <c r="R1052" s="103"/>
      <c r="S1052" s="103"/>
      <c r="T1052" s="103"/>
      <c r="U1052" s="68"/>
      <c r="V1052" s="69"/>
      <c r="W1052" s="68"/>
      <c r="X1052" s="68"/>
      <c r="Y1052" s="68"/>
      <c r="Z1052" s="68"/>
      <c r="AA1052" s="68"/>
      <c r="AB1052" s="68"/>
      <c r="AC1052" s="68"/>
      <c r="AD1052" s="68"/>
      <c r="AE1052" s="68"/>
      <c r="AF1052" s="68"/>
      <c r="AG1052" s="68"/>
      <c r="AH1052" s="68"/>
      <c r="AI1052" s="68"/>
      <c r="AJ1052" s="68"/>
      <c r="AK1052" s="68"/>
      <c r="AL1052" s="68"/>
      <c r="AM1052" s="68"/>
      <c r="AN1052" s="68"/>
      <c r="AO1052" s="68"/>
      <c r="AP1052" s="68"/>
      <c r="AQ1052" s="68"/>
      <c r="AR1052" s="68"/>
      <c r="AS1052" s="68"/>
      <c r="AT1052" s="68"/>
      <c r="AU1052" s="68"/>
      <c r="AV1052" s="68"/>
      <c r="AW1052" s="68"/>
      <c r="AX1052" s="68"/>
      <c r="AY1052" s="68"/>
      <c r="AZ1052" s="68"/>
      <c r="BA1052" s="68"/>
      <c r="BB1052" s="68"/>
      <c r="BC1052" s="68"/>
      <c r="BD1052" s="68"/>
      <c r="BE1052" s="68"/>
      <c r="BF1052" s="68"/>
      <c r="BG1052" s="68"/>
      <c r="BH1052" s="68"/>
      <c r="BI1052" s="68"/>
      <c r="BJ1052" s="68"/>
      <c r="BK1052" s="68"/>
      <c r="BL1052" s="68"/>
      <c r="BM1052" s="68"/>
      <c r="BN1052" s="68"/>
      <c r="BO1052" s="68"/>
      <c r="BP1052" s="68"/>
      <c r="BQ1052" s="68"/>
      <c r="BR1052" s="68"/>
      <c r="BS1052" s="68"/>
      <c r="BT1052" s="68"/>
      <c r="BU1052" s="68"/>
      <c r="BV1052" s="68"/>
      <c r="BW1052" s="68"/>
      <c r="BX1052" s="68"/>
      <c r="BY1052" s="68"/>
      <c r="BZ1052" s="68"/>
      <c r="CA1052" s="68"/>
      <c r="CB1052" s="68"/>
      <c r="CC1052" s="68"/>
      <c r="CD1052" s="68"/>
      <c r="CE1052" s="68"/>
      <c r="CF1052" s="68"/>
      <c r="CG1052" s="68"/>
      <c r="CH1052" s="68"/>
      <c r="CI1052" s="68"/>
      <c r="CJ1052" s="68"/>
      <c r="CK1052" s="68"/>
      <c r="CL1052" s="68"/>
      <c r="CM1052" s="68"/>
      <c r="CN1052" s="68"/>
      <c r="CO1052" s="68"/>
      <c r="CP1052" s="68"/>
      <c r="CQ1052" s="68"/>
      <c r="CR1052" s="68"/>
      <c r="CS1052" s="68"/>
      <c r="CT1052" s="68"/>
      <c r="CU1052" s="68"/>
      <c r="CV1052" s="68"/>
      <c r="CW1052" s="68"/>
      <c r="CX1052" s="68"/>
    </row>
    <row r="1053" spans="4:102" s="71" customFormat="1" hidden="1">
      <c r="D1053" s="105"/>
      <c r="E1053" s="111"/>
      <c r="F1053" s="111"/>
      <c r="G1053" s="111"/>
      <c r="H1053" s="105"/>
      <c r="I1053" s="111"/>
      <c r="J1053" s="111"/>
      <c r="K1053" s="112"/>
      <c r="L1053" s="100"/>
      <c r="M1053" s="100"/>
      <c r="N1053" s="100"/>
      <c r="O1053" s="100"/>
      <c r="P1053" s="65"/>
      <c r="Q1053" s="103"/>
      <c r="R1053" s="103"/>
      <c r="S1053" s="103"/>
      <c r="T1053" s="103"/>
      <c r="U1053" s="68"/>
      <c r="V1053" s="69"/>
      <c r="W1053" s="68"/>
      <c r="X1053" s="68"/>
      <c r="Y1053" s="68"/>
      <c r="Z1053" s="68"/>
      <c r="AA1053" s="68"/>
      <c r="AB1053" s="68"/>
      <c r="AC1053" s="68"/>
      <c r="AD1053" s="68"/>
      <c r="AE1053" s="68"/>
      <c r="AF1053" s="68"/>
      <c r="AG1053" s="68"/>
      <c r="AH1053" s="68"/>
      <c r="AI1053" s="68"/>
      <c r="AJ1053" s="68"/>
      <c r="AK1053" s="68"/>
      <c r="AL1053" s="68"/>
      <c r="AM1053" s="68"/>
      <c r="AN1053" s="68"/>
      <c r="AO1053" s="68"/>
      <c r="AP1053" s="68"/>
      <c r="AQ1053" s="68"/>
      <c r="AR1053" s="68"/>
      <c r="AS1053" s="68"/>
      <c r="AT1053" s="68"/>
      <c r="AU1053" s="68"/>
      <c r="AV1053" s="68"/>
      <c r="AW1053" s="68"/>
      <c r="AX1053" s="68"/>
      <c r="AY1053" s="68"/>
      <c r="AZ1053" s="68"/>
      <c r="BA1053" s="68"/>
      <c r="BB1053" s="68"/>
      <c r="BC1053" s="68"/>
      <c r="BD1053" s="68"/>
      <c r="BE1053" s="68"/>
      <c r="BF1053" s="68"/>
      <c r="BG1053" s="68"/>
      <c r="BH1053" s="68"/>
      <c r="BI1053" s="68"/>
      <c r="BJ1053" s="68"/>
      <c r="BK1053" s="68"/>
      <c r="BL1053" s="68"/>
      <c r="BM1053" s="68"/>
      <c r="BN1053" s="68"/>
      <c r="BO1053" s="68"/>
      <c r="BP1053" s="68"/>
      <c r="BQ1053" s="68"/>
      <c r="BR1053" s="68"/>
      <c r="BS1053" s="68"/>
      <c r="BT1053" s="68"/>
      <c r="BU1053" s="68"/>
      <c r="BV1053" s="68"/>
      <c r="BW1053" s="68"/>
      <c r="BX1053" s="68"/>
      <c r="BY1053" s="68"/>
      <c r="BZ1053" s="68"/>
      <c r="CA1053" s="68"/>
      <c r="CB1053" s="68"/>
      <c r="CC1053" s="68"/>
      <c r="CD1053" s="68"/>
      <c r="CE1053" s="68"/>
      <c r="CF1053" s="68"/>
      <c r="CG1053" s="68"/>
      <c r="CH1053" s="68"/>
      <c r="CI1053" s="68"/>
      <c r="CJ1053" s="68"/>
      <c r="CK1053" s="68"/>
      <c r="CL1053" s="68"/>
      <c r="CM1053" s="68"/>
      <c r="CN1053" s="68"/>
      <c r="CO1053" s="68"/>
      <c r="CP1053" s="68"/>
      <c r="CQ1053" s="68"/>
      <c r="CR1053" s="68"/>
      <c r="CS1053" s="68"/>
      <c r="CT1053" s="68"/>
      <c r="CU1053" s="68"/>
      <c r="CV1053" s="68"/>
      <c r="CW1053" s="68"/>
      <c r="CX1053" s="68"/>
    </row>
    <row r="1054" spans="4:102" s="71" customFormat="1" hidden="1">
      <c r="D1054" s="105"/>
      <c r="E1054" s="111"/>
      <c r="F1054" s="111"/>
      <c r="G1054" s="111"/>
      <c r="H1054" s="105"/>
      <c r="I1054" s="111"/>
      <c r="J1054" s="111"/>
      <c r="K1054" s="112"/>
      <c r="L1054" s="100"/>
      <c r="M1054" s="100"/>
      <c r="N1054" s="100"/>
      <c r="O1054" s="100"/>
      <c r="P1054" s="65"/>
      <c r="Q1054" s="103"/>
      <c r="R1054" s="103"/>
      <c r="S1054" s="103"/>
      <c r="T1054" s="103"/>
      <c r="U1054" s="68"/>
      <c r="V1054" s="69"/>
      <c r="W1054" s="68"/>
      <c r="X1054" s="68"/>
      <c r="Y1054" s="68"/>
      <c r="Z1054" s="68"/>
      <c r="AA1054" s="68"/>
      <c r="AB1054" s="68"/>
      <c r="AC1054" s="68"/>
      <c r="AD1054" s="68"/>
      <c r="AE1054" s="68"/>
      <c r="AF1054" s="68"/>
      <c r="AG1054" s="68"/>
      <c r="AH1054" s="68"/>
      <c r="AI1054" s="68"/>
      <c r="AJ1054" s="68"/>
      <c r="AK1054" s="68"/>
      <c r="AL1054" s="68"/>
      <c r="AM1054" s="68"/>
      <c r="AN1054" s="68"/>
      <c r="AO1054" s="68"/>
      <c r="AP1054" s="68"/>
      <c r="AQ1054" s="68"/>
      <c r="AR1054" s="68"/>
      <c r="AS1054" s="68"/>
      <c r="AT1054" s="68"/>
      <c r="AU1054" s="68"/>
      <c r="AV1054" s="68"/>
      <c r="AW1054" s="68"/>
      <c r="AX1054" s="68"/>
      <c r="AY1054" s="68"/>
      <c r="AZ1054" s="68"/>
      <c r="BA1054" s="68"/>
      <c r="BB1054" s="68"/>
      <c r="BC1054" s="68"/>
      <c r="BD1054" s="68"/>
      <c r="BE1054" s="68"/>
      <c r="BF1054" s="68"/>
      <c r="BG1054" s="68"/>
      <c r="BH1054" s="68"/>
      <c r="BI1054" s="68"/>
      <c r="BJ1054" s="68"/>
      <c r="BK1054" s="68"/>
      <c r="BL1054" s="68"/>
      <c r="BM1054" s="68"/>
      <c r="BN1054" s="68"/>
      <c r="BO1054" s="68"/>
      <c r="BP1054" s="68"/>
      <c r="BQ1054" s="68"/>
      <c r="BR1054" s="68"/>
      <c r="BS1054" s="68"/>
      <c r="BT1054" s="68"/>
      <c r="BU1054" s="68"/>
      <c r="BV1054" s="68"/>
      <c r="BW1054" s="68"/>
      <c r="BX1054" s="68"/>
      <c r="BY1054" s="68"/>
      <c r="BZ1054" s="68"/>
      <c r="CA1054" s="68"/>
      <c r="CB1054" s="68"/>
      <c r="CC1054" s="68"/>
      <c r="CD1054" s="68"/>
      <c r="CE1054" s="68"/>
      <c r="CF1054" s="68"/>
      <c r="CG1054" s="68"/>
      <c r="CH1054" s="68"/>
      <c r="CI1054" s="68"/>
      <c r="CJ1054" s="68"/>
      <c r="CK1054" s="68"/>
      <c r="CL1054" s="68"/>
      <c r="CM1054" s="68"/>
      <c r="CN1054" s="68"/>
      <c r="CO1054" s="68"/>
      <c r="CP1054" s="68"/>
      <c r="CQ1054" s="68"/>
      <c r="CR1054" s="68"/>
      <c r="CS1054" s="68"/>
      <c r="CT1054" s="68"/>
      <c r="CU1054" s="68"/>
      <c r="CV1054" s="68"/>
      <c r="CW1054" s="68"/>
      <c r="CX1054" s="68"/>
    </row>
    <row r="1055" spans="4:102" s="71" customFormat="1" hidden="1">
      <c r="D1055" s="105"/>
      <c r="E1055" s="111"/>
      <c r="F1055" s="111"/>
      <c r="G1055" s="111"/>
      <c r="H1055" s="105"/>
      <c r="I1055" s="111"/>
      <c r="J1055" s="111"/>
      <c r="K1055" s="112"/>
      <c r="L1055" s="100"/>
      <c r="M1055" s="100"/>
      <c r="N1055" s="100"/>
      <c r="O1055" s="100"/>
      <c r="P1055" s="65"/>
      <c r="Q1055" s="103"/>
      <c r="R1055" s="103"/>
      <c r="S1055" s="103"/>
      <c r="T1055" s="103"/>
      <c r="U1055" s="68"/>
      <c r="V1055" s="69"/>
      <c r="W1055" s="68"/>
      <c r="X1055" s="68"/>
      <c r="Y1055" s="68"/>
      <c r="Z1055" s="68"/>
      <c r="AA1055" s="68"/>
      <c r="AB1055" s="68"/>
      <c r="AC1055" s="68"/>
      <c r="AD1055" s="68"/>
      <c r="AE1055" s="68"/>
      <c r="AF1055" s="68"/>
      <c r="AG1055" s="68"/>
      <c r="AH1055" s="68"/>
      <c r="AI1055" s="68"/>
      <c r="AJ1055" s="68"/>
      <c r="AK1055" s="68"/>
      <c r="AL1055" s="68"/>
      <c r="AM1055" s="68"/>
      <c r="AN1055" s="68"/>
      <c r="AO1055" s="68"/>
      <c r="AP1055" s="68"/>
      <c r="AQ1055" s="68"/>
      <c r="AR1055" s="68"/>
      <c r="AS1055" s="68"/>
      <c r="AT1055" s="68"/>
      <c r="AU1055" s="68"/>
      <c r="AV1055" s="68"/>
      <c r="AW1055" s="68"/>
      <c r="AX1055" s="68"/>
      <c r="AY1055" s="68"/>
      <c r="AZ1055" s="68"/>
      <c r="BA1055" s="68"/>
      <c r="BB1055" s="68"/>
      <c r="BC1055" s="68"/>
      <c r="BD1055" s="68"/>
      <c r="BE1055" s="68"/>
      <c r="BF1055" s="68"/>
      <c r="BG1055" s="68"/>
      <c r="BH1055" s="68"/>
      <c r="BI1055" s="68"/>
      <c r="BJ1055" s="68"/>
      <c r="BK1055" s="68"/>
      <c r="BL1055" s="68"/>
      <c r="BM1055" s="68"/>
      <c r="BN1055" s="68"/>
      <c r="BO1055" s="68"/>
      <c r="BP1055" s="68"/>
      <c r="BQ1055" s="68"/>
      <c r="BR1055" s="68"/>
      <c r="BS1055" s="68"/>
      <c r="BT1055" s="68"/>
      <c r="BU1055" s="68"/>
      <c r="BV1055" s="68"/>
      <c r="BW1055" s="68"/>
      <c r="BX1055" s="68"/>
      <c r="BY1055" s="68"/>
      <c r="BZ1055" s="68"/>
      <c r="CA1055" s="68"/>
      <c r="CB1055" s="68"/>
      <c r="CC1055" s="68"/>
      <c r="CD1055" s="68"/>
      <c r="CE1055" s="68"/>
      <c r="CF1055" s="68"/>
      <c r="CG1055" s="68"/>
      <c r="CH1055" s="68"/>
      <c r="CI1055" s="68"/>
      <c r="CJ1055" s="68"/>
      <c r="CK1055" s="68"/>
      <c r="CL1055" s="68"/>
      <c r="CM1055" s="68"/>
      <c r="CN1055" s="68"/>
      <c r="CO1055" s="68"/>
      <c r="CP1055" s="68"/>
      <c r="CQ1055" s="68"/>
      <c r="CR1055" s="68"/>
      <c r="CS1055" s="68"/>
      <c r="CT1055" s="68"/>
      <c r="CU1055" s="68"/>
      <c r="CV1055" s="68"/>
      <c r="CW1055" s="68"/>
      <c r="CX1055" s="68"/>
    </row>
    <row r="1056" spans="4:102" s="71" customFormat="1" hidden="1">
      <c r="D1056" s="105"/>
      <c r="E1056" s="111"/>
      <c r="F1056" s="111"/>
      <c r="G1056" s="111"/>
      <c r="H1056" s="105"/>
      <c r="I1056" s="111"/>
      <c r="J1056" s="111"/>
      <c r="K1056" s="112"/>
      <c r="L1056" s="100"/>
      <c r="M1056" s="100"/>
      <c r="N1056" s="100"/>
      <c r="O1056" s="100"/>
      <c r="P1056" s="65"/>
      <c r="Q1056" s="103"/>
      <c r="R1056" s="103"/>
      <c r="S1056" s="103"/>
      <c r="T1056" s="103"/>
      <c r="U1056" s="68"/>
      <c r="V1056" s="69"/>
      <c r="W1056" s="68"/>
      <c r="X1056" s="68"/>
      <c r="Y1056" s="68"/>
      <c r="Z1056" s="68"/>
      <c r="AA1056" s="68"/>
      <c r="AB1056" s="68"/>
      <c r="AC1056" s="68"/>
      <c r="AD1056" s="68"/>
      <c r="AE1056" s="68"/>
      <c r="AF1056" s="68"/>
      <c r="AG1056" s="68"/>
      <c r="AH1056" s="68"/>
      <c r="AI1056" s="68"/>
      <c r="AJ1056" s="68"/>
      <c r="AK1056" s="68"/>
      <c r="AL1056" s="68"/>
      <c r="AM1056" s="68"/>
      <c r="AN1056" s="68"/>
      <c r="AO1056" s="68"/>
      <c r="AP1056" s="68"/>
      <c r="AQ1056" s="68"/>
      <c r="AR1056" s="68"/>
      <c r="AS1056" s="68"/>
      <c r="AT1056" s="68"/>
      <c r="AU1056" s="68"/>
      <c r="AV1056" s="68"/>
      <c r="AW1056" s="68"/>
      <c r="AX1056" s="68"/>
      <c r="AY1056" s="68"/>
      <c r="AZ1056" s="68"/>
      <c r="BA1056" s="68"/>
      <c r="BB1056" s="68"/>
      <c r="BC1056" s="68"/>
      <c r="BD1056" s="68"/>
      <c r="BE1056" s="68"/>
      <c r="BF1056" s="68"/>
      <c r="BG1056" s="68"/>
      <c r="BH1056" s="68"/>
      <c r="BI1056" s="68"/>
      <c r="BJ1056" s="68"/>
      <c r="BK1056" s="68"/>
      <c r="BL1056" s="68"/>
      <c r="BM1056" s="68"/>
      <c r="BN1056" s="68"/>
      <c r="BO1056" s="68"/>
      <c r="BP1056" s="68"/>
      <c r="BQ1056" s="68"/>
      <c r="BR1056" s="68"/>
      <c r="BS1056" s="68"/>
      <c r="BT1056" s="68"/>
      <c r="BU1056" s="68"/>
      <c r="BV1056" s="68"/>
      <c r="BW1056" s="68"/>
      <c r="BX1056" s="68"/>
      <c r="BY1056" s="68"/>
      <c r="BZ1056" s="68"/>
      <c r="CA1056" s="68"/>
      <c r="CB1056" s="68"/>
      <c r="CC1056" s="68"/>
      <c r="CD1056" s="68"/>
      <c r="CE1056" s="68"/>
      <c r="CF1056" s="68"/>
      <c r="CG1056" s="68"/>
      <c r="CH1056" s="68"/>
      <c r="CI1056" s="68"/>
      <c r="CJ1056" s="68"/>
      <c r="CK1056" s="68"/>
      <c r="CL1056" s="68"/>
      <c r="CM1056" s="68"/>
      <c r="CN1056" s="68"/>
      <c r="CO1056" s="68"/>
      <c r="CP1056" s="68"/>
      <c r="CQ1056" s="68"/>
      <c r="CR1056" s="68"/>
      <c r="CS1056" s="68"/>
      <c r="CT1056" s="68"/>
      <c r="CU1056" s="68"/>
      <c r="CV1056" s="68"/>
      <c r="CW1056" s="68"/>
      <c r="CX1056" s="68"/>
    </row>
    <row r="1057" spans="4:102" s="71" customFormat="1" hidden="1">
      <c r="D1057" s="105"/>
      <c r="E1057" s="111"/>
      <c r="F1057" s="111"/>
      <c r="G1057" s="111"/>
      <c r="H1057" s="105"/>
      <c r="I1057" s="111"/>
      <c r="J1057" s="111"/>
      <c r="K1057" s="112"/>
      <c r="L1057" s="100"/>
      <c r="M1057" s="100"/>
      <c r="N1057" s="100"/>
      <c r="O1057" s="100"/>
      <c r="P1057" s="65"/>
      <c r="Q1057" s="103"/>
      <c r="R1057" s="103"/>
      <c r="S1057" s="103"/>
      <c r="T1057" s="103"/>
      <c r="U1057" s="68"/>
      <c r="V1057" s="69"/>
      <c r="W1057" s="68"/>
      <c r="X1057" s="68"/>
      <c r="Y1057" s="68"/>
      <c r="Z1057" s="68"/>
      <c r="AA1057" s="68"/>
      <c r="AB1057" s="68"/>
      <c r="AC1057" s="68"/>
      <c r="AD1057" s="68"/>
      <c r="AE1057" s="68"/>
      <c r="AF1057" s="68"/>
      <c r="AG1057" s="68"/>
      <c r="AH1057" s="68"/>
      <c r="AI1057" s="68"/>
      <c r="AJ1057" s="68"/>
      <c r="AK1057" s="68"/>
      <c r="AL1057" s="68"/>
      <c r="AM1057" s="68"/>
      <c r="AN1057" s="68"/>
      <c r="AO1057" s="68"/>
      <c r="AP1057" s="68"/>
      <c r="AQ1057" s="68"/>
      <c r="AR1057" s="68"/>
      <c r="AS1057" s="68"/>
      <c r="AT1057" s="68"/>
      <c r="AU1057" s="68"/>
      <c r="AV1057" s="68"/>
      <c r="AW1057" s="68"/>
      <c r="AX1057" s="68"/>
      <c r="AY1057" s="68"/>
      <c r="AZ1057" s="68"/>
      <c r="BA1057" s="68"/>
      <c r="BB1057" s="68"/>
      <c r="BC1057" s="68"/>
      <c r="BD1057" s="68"/>
      <c r="BE1057" s="68"/>
      <c r="BF1057" s="68"/>
      <c r="BG1057" s="68"/>
      <c r="BH1057" s="68"/>
      <c r="BI1057" s="68"/>
      <c r="BJ1057" s="68"/>
      <c r="BK1057" s="68"/>
      <c r="BL1057" s="68"/>
      <c r="BM1057" s="68"/>
      <c r="BN1057" s="68"/>
      <c r="BO1057" s="68"/>
      <c r="BP1057" s="68"/>
      <c r="BQ1057" s="68"/>
      <c r="BR1057" s="68"/>
      <c r="BS1057" s="68"/>
      <c r="BT1057" s="68"/>
      <c r="BU1057" s="68"/>
      <c r="BV1057" s="68"/>
      <c r="BW1057" s="68"/>
      <c r="BX1057" s="68"/>
      <c r="BY1057" s="68"/>
      <c r="BZ1057" s="68"/>
      <c r="CA1057" s="68"/>
      <c r="CB1057" s="68"/>
      <c r="CC1057" s="68"/>
      <c r="CD1057" s="68"/>
      <c r="CE1057" s="68"/>
      <c r="CF1057" s="68"/>
      <c r="CG1057" s="68"/>
      <c r="CH1057" s="68"/>
      <c r="CI1057" s="68"/>
      <c r="CJ1057" s="68"/>
      <c r="CK1057" s="68"/>
      <c r="CL1057" s="68"/>
      <c r="CM1057" s="68"/>
      <c r="CN1057" s="68"/>
      <c r="CO1057" s="68"/>
      <c r="CP1057" s="68"/>
      <c r="CQ1057" s="68"/>
      <c r="CR1057" s="68"/>
      <c r="CS1057" s="68"/>
      <c r="CT1057" s="68"/>
      <c r="CU1057" s="68"/>
      <c r="CV1057" s="68"/>
      <c r="CW1057" s="68"/>
      <c r="CX1057" s="68"/>
    </row>
    <row r="1058" spans="4:102" s="71" customFormat="1" hidden="1">
      <c r="D1058" s="105"/>
      <c r="E1058" s="111"/>
      <c r="F1058" s="111"/>
      <c r="G1058" s="111"/>
      <c r="H1058" s="105"/>
      <c r="I1058" s="111"/>
      <c r="J1058" s="111"/>
      <c r="K1058" s="112"/>
      <c r="L1058" s="100"/>
      <c r="M1058" s="100"/>
      <c r="N1058" s="100"/>
      <c r="O1058" s="100"/>
      <c r="P1058" s="65"/>
      <c r="Q1058" s="103"/>
      <c r="R1058" s="103"/>
      <c r="S1058" s="103"/>
      <c r="T1058" s="103"/>
      <c r="U1058" s="68"/>
      <c r="V1058" s="69"/>
      <c r="W1058" s="68"/>
      <c r="X1058" s="68"/>
      <c r="Y1058" s="68"/>
      <c r="Z1058" s="68"/>
      <c r="AA1058" s="68"/>
      <c r="AB1058" s="68"/>
      <c r="AC1058" s="68"/>
      <c r="AD1058" s="68"/>
      <c r="AE1058" s="68"/>
      <c r="AF1058" s="68"/>
      <c r="AG1058" s="68"/>
      <c r="AH1058" s="68"/>
      <c r="AI1058" s="68"/>
      <c r="AJ1058" s="68"/>
      <c r="AK1058" s="68"/>
      <c r="AL1058" s="68"/>
      <c r="AM1058" s="68"/>
      <c r="AN1058" s="68"/>
      <c r="AO1058" s="68"/>
      <c r="AP1058" s="68"/>
      <c r="AQ1058" s="68"/>
      <c r="AR1058" s="68"/>
      <c r="AS1058" s="68"/>
      <c r="AT1058" s="68"/>
      <c r="AU1058" s="68"/>
      <c r="AV1058" s="68"/>
      <c r="AW1058" s="68"/>
      <c r="AX1058" s="68"/>
      <c r="AY1058" s="68"/>
      <c r="AZ1058" s="68"/>
      <c r="BA1058" s="68"/>
      <c r="BB1058" s="68"/>
      <c r="BC1058" s="68"/>
      <c r="BD1058" s="68"/>
      <c r="BE1058" s="68"/>
      <c r="BF1058" s="68"/>
      <c r="BG1058" s="68"/>
      <c r="BH1058" s="68"/>
      <c r="BI1058" s="68"/>
      <c r="BJ1058" s="68"/>
      <c r="BK1058" s="68"/>
      <c r="BL1058" s="68"/>
      <c r="BM1058" s="68"/>
      <c r="BN1058" s="68"/>
      <c r="BO1058" s="68"/>
      <c r="BP1058" s="68"/>
      <c r="BQ1058" s="68"/>
      <c r="BR1058" s="68"/>
      <c r="BS1058" s="68"/>
      <c r="BT1058" s="68"/>
      <c r="BU1058" s="68"/>
      <c r="BV1058" s="68"/>
      <c r="BW1058" s="68"/>
      <c r="BX1058" s="68"/>
      <c r="BY1058" s="68"/>
      <c r="BZ1058" s="68"/>
      <c r="CA1058" s="68"/>
      <c r="CB1058" s="68"/>
      <c r="CC1058" s="68"/>
      <c r="CD1058" s="68"/>
      <c r="CE1058" s="68"/>
      <c r="CF1058" s="68"/>
      <c r="CG1058" s="68"/>
      <c r="CH1058" s="68"/>
      <c r="CI1058" s="68"/>
      <c r="CJ1058" s="68"/>
      <c r="CK1058" s="68"/>
      <c r="CL1058" s="68"/>
      <c r="CM1058" s="68"/>
      <c r="CN1058" s="68"/>
      <c r="CO1058" s="68"/>
      <c r="CP1058" s="68"/>
      <c r="CQ1058" s="68"/>
      <c r="CR1058" s="68"/>
      <c r="CS1058" s="68"/>
      <c r="CT1058" s="68"/>
      <c r="CU1058" s="68"/>
      <c r="CV1058" s="68"/>
      <c r="CW1058" s="68"/>
      <c r="CX1058" s="68"/>
    </row>
    <row r="1059" spans="4:102" s="71" customFormat="1" hidden="1">
      <c r="D1059" s="105"/>
      <c r="E1059" s="111"/>
      <c r="F1059" s="111"/>
      <c r="G1059" s="111"/>
      <c r="H1059" s="105"/>
      <c r="I1059" s="111"/>
      <c r="J1059" s="111"/>
      <c r="K1059" s="112"/>
      <c r="L1059" s="100"/>
      <c r="M1059" s="100"/>
      <c r="N1059" s="100"/>
      <c r="O1059" s="100"/>
      <c r="P1059" s="65"/>
      <c r="Q1059" s="103"/>
      <c r="R1059" s="103"/>
      <c r="S1059" s="103"/>
      <c r="T1059" s="103"/>
      <c r="U1059" s="68"/>
      <c r="V1059" s="69"/>
      <c r="W1059" s="68"/>
      <c r="X1059" s="68"/>
      <c r="Y1059" s="68"/>
      <c r="Z1059" s="68"/>
      <c r="AA1059" s="68"/>
      <c r="AB1059" s="68"/>
      <c r="AC1059" s="68"/>
      <c r="AD1059" s="68"/>
      <c r="AE1059" s="68"/>
      <c r="AF1059" s="68"/>
      <c r="AG1059" s="68"/>
      <c r="AH1059" s="68"/>
      <c r="AI1059" s="68"/>
      <c r="AJ1059" s="68"/>
      <c r="AK1059" s="68"/>
      <c r="AL1059" s="68"/>
      <c r="AM1059" s="68"/>
      <c r="AN1059" s="68"/>
      <c r="AO1059" s="68"/>
      <c r="AP1059" s="68"/>
      <c r="AQ1059" s="68"/>
      <c r="AR1059" s="68"/>
      <c r="AS1059" s="68"/>
      <c r="AT1059" s="68"/>
      <c r="AU1059" s="68"/>
      <c r="AV1059" s="68"/>
      <c r="AW1059" s="68"/>
      <c r="AX1059" s="68"/>
      <c r="AY1059" s="68"/>
      <c r="AZ1059" s="68"/>
      <c r="BA1059" s="68"/>
      <c r="BB1059" s="68"/>
      <c r="BC1059" s="68"/>
      <c r="BD1059" s="68"/>
      <c r="BE1059" s="68"/>
      <c r="BF1059" s="68"/>
      <c r="BG1059" s="68"/>
      <c r="BH1059" s="68"/>
      <c r="BI1059" s="68"/>
      <c r="BJ1059" s="68"/>
      <c r="BK1059" s="68"/>
      <c r="BL1059" s="68"/>
      <c r="BM1059" s="68"/>
      <c r="BN1059" s="68"/>
      <c r="BO1059" s="68"/>
      <c r="BP1059" s="68"/>
      <c r="BQ1059" s="68"/>
      <c r="BR1059" s="68"/>
      <c r="BS1059" s="68"/>
      <c r="BT1059" s="68"/>
      <c r="BU1059" s="68"/>
      <c r="BV1059" s="68"/>
      <c r="BW1059" s="68"/>
      <c r="BX1059" s="68"/>
      <c r="BY1059" s="68"/>
      <c r="BZ1059" s="68"/>
      <c r="CA1059" s="68"/>
      <c r="CB1059" s="68"/>
      <c r="CC1059" s="68"/>
      <c r="CD1059" s="68"/>
      <c r="CE1059" s="68"/>
      <c r="CF1059" s="68"/>
      <c r="CG1059" s="68"/>
      <c r="CH1059" s="68"/>
      <c r="CI1059" s="68"/>
      <c r="CJ1059" s="68"/>
      <c r="CK1059" s="68"/>
      <c r="CL1059" s="68"/>
      <c r="CM1059" s="68"/>
      <c r="CN1059" s="68"/>
      <c r="CO1059" s="68"/>
      <c r="CP1059" s="68"/>
      <c r="CQ1059" s="68"/>
      <c r="CR1059" s="68"/>
      <c r="CS1059" s="68"/>
      <c r="CT1059" s="68"/>
      <c r="CU1059" s="68"/>
      <c r="CV1059" s="68"/>
      <c r="CW1059" s="68"/>
      <c r="CX1059" s="68"/>
    </row>
    <row r="1060" spans="4:102" s="71" customFormat="1" hidden="1">
      <c r="D1060" s="105"/>
      <c r="E1060" s="111"/>
      <c r="F1060" s="111"/>
      <c r="G1060" s="111"/>
      <c r="H1060" s="105"/>
      <c r="I1060" s="111"/>
      <c r="J1060" s="111"/>
      <c r="K1060" s="112"/>
      <c r="L1060" s="100"/>
      <c r="M1060" s="100"/>
      <c r="N1060" s="100"/>
      <c r="O1060" s="100"/>
      <c r="P1060" s="65"/>
      <c r="Q1060" s="103"/>
      <c r="R1060" s="103"/>
      <c r="S1060" s="103"/>
      <c r="T1060" s="103"/>
      <c r="U1060" s="68"/>
      <c r="V1060" s="69"/>
      <c r="W1060" s="68"/>
      <c r="X1060" s="68"/>
      <c r="Y1060" s="68"/>
      <c r="Z1060" s="68"/>
      <c r="AA1060" s="68"/>
      <c r="AB1060" s="68"/>
      <c r="AC1060" s="68"/>
      <c r="AD1060" s="68"/>
      <c r="AE1060" s="68"/>
      <c r="AF1060" s="68"/>
      <c r="AG1060" s="68"/>
      <c r="AH1060" s="68"/>
      <c r="AI1060" s="68"/>
      <c r="AJ1060" s="68"/>
      <c r="AK1060" s="68"/>
      <c r="AL1060" s="68"/>
      <c r="AM1060" s="68"/>
      <c r="AN1060" s="68"/>
      <c r="AO1060" s="68"/>
      <c r="AP1060" s="68"/>
      <c r="AQ1060" s="68"/>
      <c r="AR1060" s="68"/>
      <c r="AS1060" s="68"/>
      <c r="AT1060" s="68"/>
      <c r="AU1060" s="68"/>
      <c r="AV1060" s="68"/>
      <c r="AW1060" s="68"/>
      <c r="AX1060" s="68"/>
      <c r="AY1060" s="68"/>
      <c r="AZ1060" s="68"/>
      <c r="BA1060" s="68"/>
      <c r="BB1060" s="68"/>
      <c r="BC1060" s="68"/>
      <c r="BD1060" s="68"/>
      <c r="BE1060" s="68"/>
      <c r="BF1060" s="68"/>
      <c r="BG1060" s="68"/>
      <c r="BH1060" s="68"/>
      <c r="BI1060" s="68"/>
      <c r="BJ1060" s="68"/>
      <c r="BK1060" s="68"/>
      <c r="BL1060" s="68"/>
      <c r="BM1060" s="68"/>
      <c r="BN1060" s="68"/>
      <c r="BO1060" s="68"/>
      <c r="BP1060" s="68"/>
      <c r="BQ1060" s="68"/>
      <c r="BR1060" s="68"/>
      <c r="BS1060" s="68"/>
      <c r="BT1060" s="68"/>
      <c r="BU1060" s="68"/>
      <c r="BV1060" s="68"/>
      <c r="BW1060" s="68"/>
      <c r="BX1060" s="68"/>
      <c r="BY1060" s="68"/>
      <c r="BZ1060" s="68"/>
      <c r="CA1060" s="68"/>
      <c r="CB1060" s="68"/>
      <c r="CC1060" s="68"/>
      <c r="CD1060" s="68"/>
      <c r="CE1060" s="68"/>
      <c r="CF1060" s="68"/>
      <c r="CG1060" s="68"/>
      <c r="CH1060" s="68"/>
      <c r="CI1060" s="68"/>
      <c r="CJ1060" s="68"/>
      <c r="CK1060" s="68"/>
      <c r="CL1060" s="68"/>
      <c r="CM1060" s="68"/>
      <c r="CN1060" s="68"/>
      <c r="CO1060" s="68"/>
      <c r="CP1060" s="68"/>
      <c r="CQ1060" s="68"/>
      <c r="CR1060" s="68"/>
      <c r="CS1060" s="68"/>
      <c r="CT1060" s="68"/>
      <c r="CU1060" s="68"/>
      <c r="CV1060" s="68"/>
      <c r="CW1060" s="68"/>
      <c r="CX1060" s="68"/>
    </row>
    <row r="1061" spans="4:102" s="71" customFormat="1" hidden="1">
      <c r="D1061" s="105"/>
      <c r="E1061" s="111"/>
      <c r="F1061" s="111"/>
      <c r="G1061" s="111"/>
      <c r="H1061" s="105"/>
      <c r="I1061" s="111"/>
      <c r="J1061" s="111"/>
      <c r="K1061" s="112"/>
      <c r="L1061" s="100"/>
      <c r="M1061" s="100"/>
      <c r="N1061" s="100"/>
      <c r="O1061" s="100"/>
      <c r="P1061" s="65"/>
      <c r="Q1061" s="103"/>
      <c r="R1061" s="103"/>
      <c r="S1061" s="103"/>
      <c r="T1061" s="103"/>
      <c r="U1061" s="68"/>
      <c r="V1061" s="69"/>
      <c r="W1061" s="68"/>
      <c r="X1061" s="68"/>
      <c r="Y1061" s="68"/>
      <c r="Z1061" s="68"/>
      <c r="AA1061" s="68"/>
      <c r="AB1061" s="68"/>
      <c r="AC1061" s="68"/>
      <c r="AD1061" s="68"/>
      <c r="AE1061" s="68"/>
      <c r="AF1061" s="68"/>
      <c r="AG1061" s="68"/>
      <c r="AH1061" s="68"/>
      <c r="AI1061" s="68"/>
      <c r="AJ1061" s="68"/>
      <c r="AK1061" s="68"/>
      <c r="AL1061" s="68"/>
      <c r="AM1061" s="68"/>
      <c r="AN1061" s="68"/>
      <c r="AO1061" s="68"/>
      <c r="AP1061" s="68"/>
      <c r="AQ1061" s="68"/>
      <c r="AR1061" s="68"/>
      <c r="AS1061" s="68"/>
      <c r="AT1061" s="68"/>
      <c r="AU1061" s="68"/>
      <c r="AV1061" s="68"/>
      <c r="AW1061" s="68"/>
      <c r="AX1061" s="68"/>
      <c r="AY1061" s="68"/>
      <c r="AZ1061" s="68"/>
      <c r="BA1061" s="68"/>
      <c r="BB1061" s="68"/>
      <c r="BC1061" s="68"/>
      <c r="BD1061" s="68"/>
      <c r="BE1061" s="68"/>
      <c r="BF1061" s="68"/>
      <c r="BG1061" s="68"/>
      <c r="BH1061" s="68"/>
      <c r="BI1061" s="68"/>
      <c r="BJ1061" s="68"/>
      <c r="BK1061" s="68"/>
      <c r="BL1061" s="68"/>
      <c r="BM1061" s="68"/>
      <c r="BN1061" s="68"/>
      <c r="BO1061" s="68"/>
      <c r="BP1061" s="68"/>
      <c r="BQ1061" s="68"/>
      <c r="BR1061" s="68"/>
      <c r="BS1061" s="68"/>
      <c r="BT1061" s="68"/>
      <c r="BU1061" s="68"/>
      <c r="BV1061" s="68"/>
      <c r="BW1061" s="68"/>
      <c r="BX1061" s="68"/>
      <c r="BY1061" s="68"/>
      <c r="BZ1061" s="68"/>
      <c r="CA1061" s="68"/>
      <c r="CB1061" s="68"/>
      <c r="CC1061" s="68"/>
      <c r="CD1061" s="68"/>
      <c r="CE1061" s="68"/>
      <c r="CF1061" s="68"/>
      <c r="CG1061" s="68"/>
      <c r="CH1061" s="68"/>
      <c r="CI1061" s="68"/>
      <c r="CJ1061" s="68"/>
      <c r="CK1061" s="68"/>
      <c r="CL1061" s="68"/>
      <c r="CM1061" s="68"/>
      <c r="CN1061" s="68"/>
      <c r="CO1061" s="68"/>
      <c r="CP1061" s="68"/>
      <c r="CQ1061" s="68"/>
      <c r="CR1061" s="68"/>
      <c r="CS1061" s="68"/>
      <c r="CT1061" s="68"/>
      <c r="CU1061" s="68"/>
      <c r="CV1061" s="68"/>
      <c r="CW1061" s="68"/>
      <c r="CX1061" s="68"/>
    </row>
    <row r="1062" spans="4:102" s="71" customFormat="1" hidden="1">
      <c r="D1062" s="105"/>
      <c r="E1062" s="111"/>
      <c r="F1062" s="111"/>
      <c r="G1062" s="111"/>
      <c r="H1062" s="105"/>
      <c r="I1062" s="111"/>
      <c r="J1062" s="111"/>
      <c r="K1062" s="112"/>
      <c r="L1062" s="100"/>
      <c r="M1062" s="100"/>
      <c r="N1062" s="100"/>
      <c r="O1062" s="100"/>
      <c r="P1062" s="65"/>
      <c r="Q1062" s="103"/>
      <c r="R1062" s="103"/>
      <c r="S1062" s="103"/>
      <c r="T1062" s="103"/>
      <c r="U1062" s="68"/>
      <c r="V1062" s="69"/>
      <c r="W1062" s="68"/>
      <c r="X1062" s="68"/>
      <c r="Y1062" s="68"/>
      <c r="Z1062" s="68"/>
      <c r="AA1062" s="68"/>
      <c r="AB1062" s="68"/>
      <c r="AC1062" s="68"/>
      <c r="AD1062" s="68"/>
      <c r="AE1062" s="68"/>
      <c r="AF1062" s="68"/>
      <c r="AG1062" s="68"/>
      <c r="AH1062" s="68"/>
      <c r="AI1062" s="68"/>
      <c r="AJ1062" s="68"/>
      <c r="AK1062" s="68"/>
      <c r="AL1062" s="68"/>
      <c r="AM1062" s="68"/>
      <c r="AN1062" s="68"/>
      <c r="AO1062" s="68"/>
      <c r="AP1062" s="68"/>
      <c r="AQ1062" s="68"/>
      <c r="AR1062" s="68"/>
      <c r="AS1062" s="68"/>
      <c r="AT1062" s="68"/>
      <c r="AU1062" s="68"/>
      <c r="AV1062" s="68"/>
      <c r="AW1062" s="68"/>
      <c r="AX1062" s="68"/>
      <c r="AY1062" s="68"/>
      <c r="AZ1062" s="68"/>
      <c r="BA1062" s="68"/>
      <c r="BB1062" s="68"/>
      <c r="BC1062" s="68"/>
      <c r="BD1062" s="68"/>
      <c r="BE1062" s="68"/>
      <c r="BF1062" s="68"/>
      <c r="BG1062" s="68"/>
      <c r="BH1062" s="68"/>
      <c r="BI1062" s="68"/>
      <c r="BJ1062" s="68"/>
      <c r="BK1062" s="68"/>
      <c r="BL1062" s="68"/>
      <c r="BM1062" s="68"/>
      <c r="BN1062" s="68"/>
      <c r="BO1062" s="68"/>
      <c r="BP1062" s="68"/>
      <c r="BQ1062" s="68"/>
      <c r="BR1062" s="68"/>
      <c r="BS1062" s="68"/>
      <c r="BT1062" s="68"/>
      <c r="BU1062" s="68"/>
      <c r="BV1062" s="68"/>
      <c r="BW1062" s="68"/>
      <c r="BX1062" s="68"/>
      <c r="BY1062" s="68"/>
      <c r="BZ1062" s="68"/>
      <c r="CA1062" s="68"/>
      <c r="CB1062" s="68"/>
      <c r="CC1062" s="68"/>
      <c r="CD1062" s="68"/>
      <c r="CE1062" s="68"/>
      <c r="CF1062" s="68"/>
      <c r="CG1062" s="68"/>
      <c r="CH1062" s="68"/>
      <c r="CI1062" s="68"/>
      <c r="CJ1062" s="68"/>
      <c r="CK1062" s="68"/>
      <c r="CL1062" s="68"/>
      <c r="CM1062" s="68"/>
      <c r="CN1062" s="68"/>
      <c r="CO1062" s="68"/>
      <c r="CP1062" s="68"/>
      <c r="CQ1062" s="68"/>
      <c r="CR1062" s="68"/>
      <c r="CS1062" s="68"/>
      <c r="CT1062" s="68"/>
      <c r="CU1062" s="68"/>
      <c r="CV1062" s="68"/>
      <c r="CW1062" s="68"/>
      <c r="CX1062" s="68"/>
    </row>
    <row r="1063" spans="4:102" s="71" customFormat="1" hidden="1">
      <c r="D1063" s="105"/>
      <c r="E1063" s="111"/>
      <c r="F1063" s="111"/>
      <c r="G1063" s="111"/>
      <c r="H1063" s="105"/>
      <c r="I1063" s="111"/>
      <c r="J1063" s="111"/>
      <c r="K1063" s="112"/>
      <c r="L1063" s="100"/>
      <c r="M1063" s="100"/>
      <c r="N1063" s="100"/>
      <c r="O1063" s="100"/>
      <c r="P1063" s="65"/>
      <c r="Q1063" s="103"/>
      <c r="R1063" s="103"/>
      <c r="S1063" s="103"/>
      <c r="T1063" s="103"/>
      <c r="U1063" s="68"/>
      <c r="V1063" s="69"/>
      <c r="W1063" s="68"/>
      <c r="X1063" s="68"/>
      <c r="Y1063" s="68"/>
      <c r="Z1063" s="68"/>
      <c r="AA1063" s="68"/>
      <c r="AB1063" s="68"/>
      <c r="AC1063" s="68"/>
      <c r="AD1063" s="68"/>
      <c r="AE1063" s="68"/>
      <c r="AF1063" s="68"/>
      <c r="AG1063" s="68"/>
      <c r="AH1063" s="68"/>
      <c r="AI1063" s="68"/>
      <c r="AJ1063" s="68"/>
      <c r="AK1063" s="68"/>
      <c r="AL1063" s="68"/>
      <c r="AM1063" s="68"/>
      <c r="AN1063" s="68"/>
      <c r="AO1063" s="68"/>
      <c r="AP1063" s="68"/>
      <c r="AQ1063" s="68"/>
      <c r="AR1063" s="68"/>
      <c r="AS1063" s="68"/>
      <c r="AT1063" s="68"/>
      <c r="AU1063" s="68"/>
      <c r="AV1063" s="68"/>
      <c r="AW1063" s="68"/>
      <c r="AX1063" s="68"/>
      <c r="AY1063" s="68"/>
      <c r="AZ1063" s="68"/>
      <c r="BA1063" s="68"/>
      <c r="BB1063" s="68"/>
      <c r="BC1063" s="68"/>
      <c r="BD1063" s="68"/>
      <c r="BE1063" s="68"/>
      <c r="BF1063" s="68"/>
      <c r="BG1063" s="68"/>
      <c r="BH1063" s="68"/>
      <c r="BI1063" s="68"/>
      <c r="BJ1063" s="68"/>
      <c r="BK1063" s="68"/>
      <c r="BL1063" s="68"/>
      <c r="BM1063" s="68"/>
      <c r="BN1063" s="68"/>
      <c r="BO1063" s="68"/>
      <c r="BP1063" s="68"/>
      <c r="BQ1063" s="68"/>
      <c r="BR1063" s="68"/>
      <c r="BS1063" s="68"/>
      <c r="BT1063" s="68"/>
      <c r="BU1063" s="68"/>
      <c r="BV1063" s="68"/>
      <c r="BW1063" s="68"/>
      <c r="BX1063" s="68"/>
      <c r="BY1063" s="68"/>
      <c r="BZ1063" s="68"/>
      <c r="CA1063" s="68"/>
      <c r="CB1063" s="68"/>
      <c r="CC1063" s="68"/>
      <c r="CD1063" s="68"/>
      <c r="CE1063" s="68"/>
      <c r="CF1063" s="68"/>
      <c r="CG1063" s="68"/>
      <c r="CH1063" s="68"/>
      <c r="CI1063" s="68"/>
      <c r="CJ1063" s="68"/>
      <c r="CK1063" s="68"/>
      <c r="CL1063" s="68"/>
      <c r="CM1063" s="68"/>
      <c r="CN1063" s="68"/>
      <c r="CO1063" s="68"/>
      <c r="CP1063" s="68"/>
      <c r="CQ1063" s="68"/>
      <c r="CR1063" s="68"/>
      <c r="CS1063" s="68"/>
      <c r="CT1063" s="68"/>
      <c r="CU1063" s="68"/>
      <c r="CV1063" s="68"/>
      <c r="CW1063" s="68"/>
      <c r="CX1063" s="68"/>
    </row>
    <row r="1064" spans="4:102" s="71" customFormat="1" hidden="1">
      <c r="D1064" s="105"/>
      <c r="E1064" s="111"/>
      <c r="F1064" s="111"/>
      <c r="G1064" s="111"/>
      <c r="H1064" s="105"/>
      <c r="I1064" s="111"/>
      <c r="J1064" s="111"/>
      <c r="K1064" s="112"/>
      <c r="L1064" s="100"/>
      <c r="M1064" s="100"/>
      <c r="N1064" s="100"/>
      <c r="O1064" s="100"/>
      <c r="P1064" s="65"/>
      <c r="Q1064" s="103"/>
      <c r="R1064" s="103"/>
      <c r="S1064" s="103"/>
      <c r="T1064" s="103"/>
      <c r="U1064" s="68"/>
      <c r="V1064" s="69"/>
      <c r="W1064" s="68"/>
      <c r="X1064" s="68"/>
      <c r="Y1064" s="68"/>
      <c r="Z1064" s="68"/>
      <c r="AA1064" s="68"/>
      <c r="AB1064" s="68"/>
      <c r="AC1064" s="68"/>
      <c r="AD1064" s="68"/>
      <c r="AE1064" s="68"/>
      <c r="AF1064" s="68"/>
      <c r="AG1064" s="68"/>
      <c r="AH1064" s="68"/>
      <c r="AI1064" s="68"/>
      <c r="AJ1064" s="68"/>
      <c r="AK1064" s="68"/>
      <c r="AL1064" s="68"/>
      <c r="AM1064" s="68"/>
      <c r="AN1064" s="68"/>
      <c r="AO1064" s="68"/>
      <c r="AP1064" s="68"/>
      <c r="AQ1064" s="68"/>
      <c r="AR1064" s="68"/>
      <c r="AS1064" s="68"/>
      <c r="AT1064" s="68"/>
      <c r="AU1064" s="68"/>
      <c r="AV1064" s="68"/>
      <c r="AW1064" s="68"/>
      <c r="AX1064" s="68"/>
      <c r="AY1064" s="68"/>
      <c r="AZ1064" s="68"/>
      <c r="BA1064" s="68"/>
      <c r="BB1064" s="68"/>
      <c r="BC1064" s="68"/>
      <c r="BD1064" s="68"/>
      <c r="BE1064" s="68"/>
      <c r="BF1064" s="68"/>
      <c r="BG1064" s="68"/>
      <c r="BH1064" s="68"/>
      <c r="BI1064" s="68"/>
      <c r="BJ1064" s="68"/>
      <c r="BK1064" s="68"/>
      <c r="BL1064" s="68"/>
      <c r="BM1064" s="68"/>
      <c r="BN1064" s="68"/>
      <c r="BO1064" s="68"/>
      <c r="BP1064" s="68"/>
      <c r="BQ1064" s="68"/>
      <c r="BR1064" s="68"/>
      <c r="BS1064" s="68"/>
      <c r="BT1064" s="68"/>
      <c r="BU1064" s="68"/>
      <c r="BV1064" s="68"/>
      <c r="BW1064" s="68"/>
      <c r="BX1064" s="68"/>
      <c r="BY1064" s="68"/>
      <c r="BZ1064" s="68"/>
      <c r="CA1064" s="68"/>
      <c r="CB1064" s="68"/>
      <c r="CC1064" s="68"/>
      <c r="CD1064" s="68"/>
      <c r="CE1064" s="68"/>
      <c r="CF1064" s="68"/>
      <c r="CG1064" s="68"/>
      <c r="CH1064" s="68"/>
      <c r="CI1064" s="68"/>
      <c r="CJ1064" s="68"/>
      <c r="CK1064" s="68"/>
      <c r="CL1064" s="68"/>
      <c r="CM1064" s="68"/>
      <c r="CN1064" s="68"/>
      <c r="CO1064" s="68"/>
      <c r="CP1064" s="68"/>
      <c r="CQ1064" s="68"/>
      <c r="CR1064" s="68"/>
      <c r="CS1064" s="68"/>
      <c r="CT1064" s="68"/>
      <c r="CU1064" s="68"/>
      <c r="CV1064" s="68"/>
      <c r="CW1064" s="68"/>
      <c r="CX1064" s="68"/>
    </row>
    <row r="1065" spans="4:102" s="71" customFormat="1" hidden="1">
      <c r="D1065" s="105"/>
      <c r="E1065" s="111"/>
      <c r="F1065" s="111"/>
      <c r="G1065" s="111"/>
      <c r="H1065" s="105"/>
      <c r="I1065" s="111"/>
      <c r="J1065" s="111"/>
      <c r="K1065" s="112"/>
      <c r="L1065" s="100"/>
      <c r="M1065" s="100"/>
      <c r="N1065" s="100"/>
      <c r="O1065" s="100"/>
      <c r="P1065" s="65"/>
      <c r="Q1065" s="103"/>
      <c r="R1065" s="103"/>
      <c r="S1065" s="103"/>
      <c r="T1065" s="103"/>
      <c r="U1065" s="68"/>
      <c r="V1065" s="69"/>
      <c r="W1065" s="68"/>
      <c r="X1065" s="68"/>
      <c r="Y1065" s="68"/>
      <c r="Z1065" s="68"/>
      <c r="AA1065" s="68"/>
      <c r="AB1065" s="68"/>
      <c r="AC1065" s="68"/>
      <c r="AD1065" s="68"/>
      <c r="AE1065" s="68"/>
      <c r="AF1065" s="68"/>
      <c r="AG1065" s="68"/>
      <c r="AH1065" s="68"/>
      <c r="AI1065" s="68"/>
      <c r="AJ1065" s="68"/>
      <c r="AK1065" s="68"/>
      <c r="AL1065" s="68"/>
      <c r="AM1065" s="68"/>
      <c r="AN1065" s="68"/>
      <c r="AO1065" s="68"/>
      <c r="AP1065" s="68"/>
      <c r="AQ1065" s="68"/>
      <c r="AR1065" s="68"/>
      <c r="AS1065" s="68"/>
      <c r="AT1065" s="68"/>
      <c r="AU1065" s="68"/>
      <c r="AV1065" s="68"/>
      <c r="AW1065" s="68"/>
      <c r="AX1065" s="68"/>
      <c r="AY1065" s="68"/>
      <c r="AZ1065" s="68"/>
      <c r="BA1065" s="68"/>
      <c r="BB1065" s="68"/>
      <c r="BC1065" s="68"/>
      <c r="BD1065" s="68"/>
      <c r="BE1065" s="68"/>
      <c r="BF1065" s="68"/>
      <c r="BG1065" s="68"/>
      <c r="BH1065" s="68"/>
      <c r="BI1065" s="68"/>
      <c r="BJ1065" s="68"/>
      <c r="BK1065" s="68"/>
      <c r="BL1065" s="68"/>
      <c r="BM1065" s="68"/>
      <c r="BN1065" s="68"/>
      <c r="BO1065" s="68"/>
      <c r="BP1065" s="68"/>
      <c r="BQ1065" s="68"/>
      <c r="BR1065" s="68"/>
      <c r="BS1065" s="68"/>
      <c r="BT1065" s="68"/>
      <c r="BU1065" s="68"/>
      <c r="BV1065" s="68"/>
      <c r="BW1065" s="68"/>
      <c r="BX1065" s="68"/>
      <c r="BY1065" s="68"/>
      <c r="BZ1065" s="68"/>
      <c r="CA1065" s="68"/>
      <c r="CB1065" s="68"/>
      <c r="CC1065" s="68"/>
      <c r="CD1065" s="68"/>
      <c r="CE1065" s="68"/>
      <c r="CF1065" s="68"/>
      <c r="CG1065" s="68"/>
      <c r="CH1065" s="68"/>
      <c r="CI1065" s="68"/>
      <c r="CJ1065" s="68"/>
      <c r="CK1065" s="68"/>
      <c r="CL1065" s="68"/>
      <c r="CM1065" s="68"/>
      <c r="CN1065" s="68"/>
      <c r="CO1065" s="68"/>
      <c r="CP1065" s="68"/>
      <c r="CQ1065" s="68"/>
      <c r="CR1065" s="68"/>
      <c r="CS1065" s="68"/>
      <c r="CT1065" s="68"/>
      <c r="CU1065" s="68"/>
      <c r="CV1065" s="68"/>
      <c r="CW1065" s="68"/>
      <c r="CX1065" s="68"/>
    </row>
    <row r="1066" spans="4:102" s="71" customFormat="1" hidden="1">
      <c r="D1066" s="105"/>
      <c r="E1066" s="111"/>
      <c r="F1066" s="111"/>
      <c r="G1066" s="111"/>
      <c r="H1066" s="105"/>
      <c r="I1066" s="111"/>
      <c r="J1066" s="111"/>
      <c r="K1066" s="112"/>
      <c r="L1066" s="100"/>
      <c r="M1066" s="100"/>
      <c r="N1066" s="100"/>
      <c r="O1066" s="100"/>
      <c r="P1066" s="65"/>
      <c r="Q1066" s="103"/>
      <c r="R1066" s="103"/>
      <c r="S1066" s="103"/>
      <c r="T1066" s="103"/>
      <c r="U1066" s="68"/>
      <c r="V1066" s="69"/>
      <c r="W1066" s="68"/>
      <c r="X1066" s="68"/>
      <c r="Y1066" s="68"/>
      <c r="Z1066" s="68"/>
      <c r="AA1066" s="68"/>
      <c r="AB1066" s="68"/>
      <c r="AC1066" s="68"/>
      <c r="AD1066" s="68"/>
      <c r="AE1066" s="68"/>
      <c r="AF1066" s="68"/>
      <c r="AG1066" s="68"/>
      <c r="AH1066" s="68"/>
      <c r="AI1066" s="68"/>
      <c r="AJ1066" s="68"/>
      <c r="AK1066" s="68"/>
      <c r="AL1066" s="68"/>
      <c r="AM1066" s="68"/>
      <c r="AN1066" s="68"/>
      <c r="AO1066" s="68"/>
      <c r="AP1066" s="68"/>
      <c r="AQ1066" s="68"/>
      <c r="AR1066" s="68"/>
      <c r="AS1066" s="68"/>
      <c r="AT1066" s="68"/>
      <c r="AU1066" s="68"/>
      <c r="AV1066" s="68"/>
      <c r="AW1066" s="68"/>
      <c r="AX1066" s="68"/>
      <c r="AY1066" s="68"/>
      <c r="AZ1066" s="68"/>
      <c r="BA1066" s="68"/>
      <c r="BB1066" s="68"/>
      <c r="BC1066" s="68"/>
      <c r="BD1066" s="68"/>
      <c r="BE1066" s="68"/>
      <c r="BF1066" s="68"/>
      <c r="BG1066" s="68"/>
      <c r="BH1066" s="68"/>
      <c r="BI1066" s="68"/>
      <c r="BJ1066" s="68"/>
      <c r="BK1066" s="68"/>
      <c r="BL1066" s="68"/>
      <c r="BM1066" s="68"/>
      <c r="BN1066" s="68"/>
      <c r="BO1066" s="68"/>
      <c r="BP1066" s="68"/>
      <c r="BQ1066" s="68"/>
      <c r="BR1066" s="68"/>
      <c r="BS1066" s="68"/>
      <c r="BT1066" s="68"/>
      <c r="BU1066" s="68"/>
      <c r="BV1066" s="68"/>
      <c r="BW1066" s="68"/>
      <c r="BX1066" s="68"/>
      <c r="BY1066" s="68"/>
      <c r="BZ1066" s="68"/>
      <c r="CA1066" s="68"/>
      <c r="CB1066" s="68"/>
      <c r="CC1066" s="68"/>
      <c r="CD1066" s="68"/>
      <c r="CE1066" s="68"/>
      <c r="CF1066" s="68"/>
      <c r="CG1066" s="68"/>
      <c r="CH1066" s="68"/>
      <c r="CI1066" s="68"/>
      <c r="CJ1066" s="68"/>
      <c r="CK1066" s="68"/>
      <c r="CL1066" s="68"/>
      <c r="CM1066" s="68"/>
      <c r="CN1066" s="68"/>
      <c r="CO1066" s="68"/>
      <c r="CP1066" s="68"/>
      <c r="CQ1066" s="68"/>
      <c r="CR1066" s="68"/>
      <c r="CS1066" s="68"/>
      <c r="CT1066" s="68"/>
      <c r="CU1066" s="68"/>
      <c r="CV1066" s="68"/>
      <c r="CW1066" s="68"/>
      <c r="CX1066" s="68"/>
    </row>
    <row r="1067" spans="4:102" s="71" customFormat="1" hidden="1">
      <c r="D1067" s="105"/>
      <c r="E1067" s="111"/>
      <c r="F1067" s="111"/>
      <c r="G1067" s="111"/>
      <c r="H1067" s="105"/>
      <c r="I1067" s="111"/>
      <c r="J1067" s="111"/>
      <c r="K1067" s="112"/>
      <c r="L1067" s="100"/>
      <c r="M1067" s="100"/>
      <c r="N1067" s="100"/>
      <c r="O1067" s="100"/>
      <c r="P1067" s="65"/>
      <c r="Q1067" s="103"/>
      <c r="R1067" s="103"/>
      <c r="S1067" s="103"/>
      <c r="T1067" s="103"/>
      <c r="U1067" s="68"/>
      <c r="V1067" s="69"/>
      <c r="W1067" s="68"/>
      <c r="X1067" s="68"/>
      <c r="Y1067" s="68"/>
      <c r="Z1067" s="68"/>
      <c r="AA1067" s="68"/>
      <c r="AB1067" s="68"/>
      <c r="AC1067" s="68"/>
      <c r="AD1067" s="68"/>
      <c r="AE1067" s="68"/>
      <c r="AF1067" s="68"/>
      <c r="AG1067" s="68"/>
      <c r="AH1067" s="68"/>
      <c r="AI1067" s="68"/>
      <c r="AJ1067" s="68"/>
      <c r="AK1067" s="68"/>
      <c r="AL1067" s="68"/>
      <c r="AM1067" s="68"/>
      <c r="AN1067" s="68"/>
      <c r="AO1067" s="68"/>
      <c r="AP1067" s="68"/>
      <c r="AQ1067" s="68"/>
      <c r="AR1067" s="68"/>
      <c r="AS1067" s="68"/>
      <c r="AT1067" s="68"/>
      <c r="AU1067" s="68"/>
      <c r="AV1067" s="68"/>
      <c r="AW1067" s="68"/>
      <c r="AX1067" s="68"/>
      <c r="AY1067" s="68"/>
      <c r="AZ1067" s="68"/>
      <c r="BA1067" s="68"/>
      <c r="BB1067" s="68"/>
      <c r="BC1067" s="68"/>
      <c r="BD1067" s="68"/>
      <c r="BE1067" s="68"/>
      <c r="BF1067" s="68"/>
      <c r="BG1067" s="68"/>
      <c r="BH1067" s="68"/>
      <c r="BI1067" s="68"/>
      <c r="BJ1067" s="68"/>
      <c r="BK1067" s="68"/>
      <c r="BL1067" s="68"/>
      <c r="BM1067" s="68"/>
      <c r="BN1067" s="68"/>
      <c r="BO1067" s="68"/>
      <c r="BP1067" s="68"/>
      <c r="BQ1067" s="68"/>
      <c r="BR1067" s="68"/>
      <c r="BS1067" s="68"/>
      <c r="BT1067" s="68"/>
      <c r="BU1067" s="68"/>
      <c r="BV1067" s="68"/>
      <c r="BW1067" s="68"/>
      <c r="BX1067" s="68"/>
      <c r="BY1067" s="68"/>
      <c r="BZ1067" s="68"/>
      <c r="CA1067" s="68"/>
      <c r="CB1067" s="68"/>
      <c r="CC1067" s="68"/>
      <c r="CD1067" s="68"/>
      <c r="CE1067" s="68"/>
      <c r="CF1067" s="68"/>
      <c r="CG1067" s="68"/>
      <c r="CH1067" s="68"/>
      <c r="CI1067" s="68"/>
      <c r="CJ1067" s="68"/>
      <c r="CK1067" s="68"/>
      <c r="CL1067" s="68"/>
      <c r="CM1067" s="68"/>
      <c r="CN1067" s="68"/>
      <c r="CO1067" s="68"/>
      <c r="CP1067" s="68"/>
      <c r="CQ1067" s="68"/>
      <c r="CR1067" s="68"/>
      <c r="CS1067" s="68"/>
      <c r="CT1067" s="68"/>
      <c r="CU1067" s="68"/>
      <c r="CV1067" s="68"/>
      <c r="CW1067" s="68"/>
      <c r="CX1067" s="68"/>
    </row>
    <row r="1068" spans="4:102" s="71" customFormat="1" hidden="1">
      <c r="D1068" s="105"/>
      <c r="E1068" s="111"/>
      <c r="F1068" s="111"/>
      <c r="G1068" s="111"/>
      <c r="H1068" s="105"/>
      <c r="I1068" s="111"/>
      <c r="J1068" s="111"/>
      <c r="K1068" s="112"/>
      <c r="L1068" s="100"/>
      <c r="M1068" s="100"/>
      <c r="N1068" s="100"/>
      <c r="O1068" s="100"/>
      <c r="P1068" s="65"/>
      <c r="Q1068" s="103"/>
      <c r="R1068" s="103"/>
      <c r="S1068" s="103"/>
      <c r="T1068" s="103"/>
      <c r="U1068" s="68"/>
      <c r="V1068" s="69"/>
      <c r="W1068" s="68"/>
      <c r="X1068" s="68"/>
      <c r="Y1068" s="68"/>
      <c r="Z1068" s="68"/>
      <c r="AA1068" s="68"/>
      <c r="AB1068" s="68"/>
      <c r="AC1068" s="68"/>
      <c r="AD1068" s="68"/>
      <c r="AE1068" s="68"/>
      <c r="AF1068" s="68"/>
      <c r="AG1068" s="68"/>
      <c r="AH1068" s="68"/>
      <c r="AI1068" s="68"/>
      <c r="AJ1068" s="68"/>
      <c r="AK1068" s="68"/>
      <c r="AL1068" s="68"/>
      <c r="AM1068" s="68"/>
      <c r="AN1068" s="68"/>
      <c r="AO1068" s="68"/>
      <c r="AP1068" s="68"/>
      <c r="AQ1068" s="68"/>
      <c r="AR1068" s="68"/>
      <c r="AS1068" s="68"/>
      <c r="AT1068" s="68"/>
      <c r="AU1068" s="68"/>
      <c r="AV1068" s="68"/>
      <c r="AW1068" s="68"/>
      <c r="AX1068" s="68"/>
      <c r="AY1068" s="68"/>
      <c r="AZ1068" s="68"/>
      <c r="BA1068" s="68"/>
      <c r="BB1068" s="68"/>
      <c r="BC1068" s="68"/>
      <c r="BD1068" s="68"/>
      <c r="BE1068" s="68"/>
      <c r="BF1068" s="68"/>
      <c r="BG1068" s="68"/>
      <c r="BH1068" s="68"/>
      <c r="BI1068" s="68"/>
      <c r="BJ1068" s="68"/>
      <c r="BK1068" s="68"/>
      <c r="BL1068" s="68"/>
      <c r="BM1068" s="68"/>
      <c r="BN1068" s="68"/>
      <c r="BO1068" s="68"/>
      <c r="BP1068" s="68"/>
      <c r="BQ1068" s="68"/>
      <c r="BR1068" s="68"/>
      <c r="BS1068" s="68"/>
      <c r="BT1068" s="68"/>
      <c r="BU1068" s="68"/>
      <c r="BV1068" s="68"/>
      <c r="BW1068" s="68"/>
      <c r="BX1068" s="68"/>
      <c r="BY1068" s="68"/>
      <c r="BZ1068" s="68"/>
      <c r="CA1068" s="68"/>
      <c r="CB1068" s="68"/>
      <c r="CC1068" s="68"/>
      <c r="CD1068" s="68"/>
      <c r="CE1068" s="68"/>
      <c r="CF1068" s="68"/>
      <c r="CG1068" s="68"/>
      <c r="CH1068" s="68"/>
      <c r="CI1068" s="68"/>
      <c r="CJ1068" s="68"/>
      <c r="CK1068" s="68"/>
      <c r="CL1068" s="68"/>
      <c r="CM1068" s="68"/>
      <c r="CN1068" s="68"/>
      <c r="CO1068" s="68"/>
      <c r="CP1068" s="68"/>
      <c r="CQ1068" s="68"/>
      <c r="CR1068" s="68"/>
      <c r="CS1068" s="68"/>
      <c r="CT1068" s="68"/>
      <c r="CU1068" s="68"/>
      <c r="CV1068" s="68"/>
      <c r="CW1068" s="68"/>
      <c r="CX1068" s="68"/>
    </row>
    <row r="1069" spans="4:102" s="71" customFormat="1" hidden="1">
      <c r="D1069" s="105"/>
      <c r="E1069" s="111"/>
      <c r="F1069" s="111"/>
      <c r="G1069" s="111"/>
      <c r="H1069" s="105"/>
      <c r="I1069" s="111"/>
      <c r="J1069" s="111"/>
      <c r="K1069" s="112"/>
      <c r="L1069" s="100"/>
      <c r="M1069" s="100"/>
      <c r="N1069" s="100"/>
      <c r="O1069" s="100"/>
      <c r="P1069" s="65"/>
      <c r="Q1069" s="103"/>
      <c r="R1069" s="103"/>
      <c r="S1069" s="103"/>
      <c r="T1069" s="103"/>
      <c r="U1069" s="68"/>
      <c r="V1069" s="69"/>
      <c r="W1069" s="68"/>
      <c r="X1069" s="68"/>
      <c r="Y1069" s="68"/>
      <c r="Z1069" s="68"/>
      <c r="AA1069" s="68"/>
      <c r="AB1069" s="68"/>
      <c r="AC1069" s="68"/>
      <c r="AD1069" s="68"/>
      <c r="AE1069" s="68"/>
      <c r="AF1069" s="68"/>
      <c r="AG1069" s="68"/>
      <c r="AH1069" s="68"/>
      <c r="AI1069" s="68"/>
      <c r="AJ1069" s="68"/>
      <c r="AK1069" s="68"/>
      <c r="AL1069" s="68"/>
      <c r="AM1069" s="68"/>
      <c r="AN1069" s="68"/>
      <c r="AO1069" s="68"/>
      <c r="AP1069" s="68"/>
      <c r="AQ1069" s="68"/>
      <c r="AR1069" s="68"/>
      <c r="AS1069" s="68"/>
      <c r="AT1069" s="68"/>
      <c r="AU1069" s="68"/>
      <c r="AV1069" s="68"/>
      <c r="AW1069" s="68"/>
      <c r="AX1069" s="68"/>
      <c r="AY1069" s="68"/>
      <c r="AZ1069" s="68"/>
      <c r="BA1069" s="68"/>
      <c r="BB1069" s="68"/>
      <c r="BC1069" s="68"/>
      <c r="BD1069" s="68"/>
      <c r="BE1069" s="68"/>
      <c r="BF1069" s="68"/>
      <c r="BG1069" s="68"/>
      <c r="BH1069" s="68"/>
      <c r="BI1069" s="68"/>
      <c r="BJ1069" s="68"/>
      <c r="BK1069" s="68"/>
      <c r="BL1069" s="68"/>
      <c r="BM1069" s="68"/>
      <c r="BN1069" s="68"/>
      <c r="BO1069" s="68"/>
      <c r="BP1069" s="68"/>
      <c r="BQ1069" s="68"/>
      <c r="BR1069" s="68"/>
      <c r="BS1069" s="68"/>
      <c r="BT1069" s="68"/>
      <c r="BU1069" s="68"/>
      <c r="BV1069" s="68"/>
      <c r="BW1069" s="68"/>
      <c r="BX1069" s="68"/>
      <c r="BY1069" s="68"/>
      <c r="BZ1069" s="68"/>
      <c r="CA1069" s="68"/>
      <c r="CB1069" s="68"/>
      <c r="CC1069" s="68"/>
      <c r="CD1069" s="68"/>
      <c r="CE1069" s="68"/>
      <c r="CF1069" s="68"/>
      <c r="CG1069" s="68"/>
      <c r="CH1069" s="68"/>
      <c r="CI1069" s="68"/>
      <c r="CJ1069" s="68"/>
      <c r="CK1069" s="68"/>
      <c r="CL1069" s="68"/>
      <c r="CM1069" s="68"/>
      <c r="CN1069" s="68"/>
      <c r="CO1069" s="68"/>
      <c r="CP1069" s="68"/>
      <c r="CQ1069" s="68"/>
      <c r="CR1069" s="68"/>
      <c r="CS1069" s="68"/>
      <c r="CT1069" s="68"/>
      <c r="CU1069" s="68"/>
      <c r="CV1069" s="68"/>
      <c r="CW1069" s="68"/>
      <c r="CX1069" s="68"/>
    </row>
    <row r="1070" spans="4:102" s="71" customFormat="1" hidden="1">
      <c r="D1070" s="105"/>
      <c r="E1070" s="111"/>
      <c r="F1070" s="111"/>
      <c r="G1070" s="111"/>
      <c r="H1070" s="105"/>
      <c r="I1070" s="111"/>
      <c r="J1070" s="111"/>
      <c r="K1070" s="112"/>
      <c r="L1070" s="100"/>
      <c r="M1070" s="100"/>
      <c r="N1070" s="100"/>
      <c r="O1070" s="100"/>
      <c r="P1070" s="65"/>
      <c r="Q1070" s="103"/>
      <c r="R1070" s="103"/>
      <c r="S1070" s="103"/>
      <c r="T1070" s="103"/>
      <c r="U1070" s="68"/>
      <c r="V1070" s="69"/>
      <c r="W1070" s="68"/>
      <c r="X1070" s="68"/>
      <c r="Y1070" s="68"/>
      <c r="Z1070" s="68"/>
      <c r="AA1070" s="68"/>
      <c r="AB1070" s="68"/>
      <c r="AC1070" s="68"/>
      <c r="AD1070" s="68"/>
      <c r="AE1070" s="68"/>
      <c r="AF1070" s="68"/>
      <c r="AG1070" s="68"/>
      <c r="AH1070" s="68"/>
      <c r="AI1070" s="68"/>
      <c r="AJ1070" s="68"/>
      <c r="AK1070" s="68"/>
      <c r="AL1070" s="68"/>
      <c r="AM1070" s="68"/>
      <c r="AN1070" s="68"/>
      <c r="AO1070" s="68"/>
      <c r="AP1070" s="68"/>
      <c r="AQ1070" s="68"/>
      <c r="AR1070" s="68"/>
      <c r="AS1070" s="68"/>
      <c r="AT1070" s="68"/>
      <c r="AU1070" s="68"/>
      <c r="AV1070" s="68"/>
      <c r="AW1070" s="68"/>
      <c r="AX1070" s="68"/>
      <c r="AY1070" s="68"/>
      <c r="AZ1070" s="68"/>
      <c r="BA1070" s="68"/>
      <c r="BB1070" s="68"/>
      <c r="BC1070" s="68"/>
      <c r="BD1070" s="68"/>
      <c r="BE1070" s="68"/>
      <c r="BF1070" s="68"/>
      <c r="BG1070" s="68"/>
      <c r="BH1070" s="68"/>
      <c r="BI1070" s="68"/>
      <c r="BJ1070" s="68"/>
      <c r="BK1070" s="68"/>
      <c r="BL1070" s="68"/>
      <c r="BM1070" s="68"/>
      <c r="BN1070" s="68"/>
      <c r="BO1070" s="68"/>
      <c r="BP1070" s="68"/>
      <c r="BQ1070" s="68"/>
      <c r="BR1070" s="68"/>
      <c r="BS1070" s="68"/>
      <c r="BT1070" s="68"/>
      <c r="BU1070" s="68"/>
      <c r="BV1070" s="68"/>
      <c r="BW1070" s="68"/>
      <c r="BX1070" s="68"/>
      <c r="BY1070" s="68"/>
      <c r="BZ1070" s="68"/>
      <c r="CA1070" s="68"/>
      <c r="CB1070" s="68"/>
      <c r="CC1070" s="68"/>
      <c r="CD1070" s="68"/>
      <c r="CE1070" s="68"/>
      <c r="CF1070" s="68"/>
      <c r="CG1070" s="68"/>
      <c r="CH1070" s="68"/>
      <c r="CI1070" s="68"/>
      <c r="CJ1070" s="68"/>
      <c r="CK1070" s="68"/>
      <c r="CL1070" s="68"/>
      <c r="CM1070" s="68"/>
      <c r="CN1070" s="68"/>
      <c r="CO1070" s="68"/>
      <c r="CP1070" s="68"/>
      <c r="CQ1070" s="68"/>
      <c r="CR1070" s="68"/>
      <c r="CS1070" s="68"/>
      <c r="CT1070" s="68"/>
      <c r="CU1070" s="68"/>
      <c r="CV1070" s="68"/>
      <c r="CW1070" s="68"/>
      <c r="CX1070" s="68"/>
    </row>
    <row r="1071" spans="4:102" s="71" customFormat="1" hidden="1">
      <c r="D1071" s="105"/>
      <c r="E1071" s="111"/>
      <c r="F1071" s="111"/>
      <c r="G1071" s="111"/>
      <c r="H1071" s="105"/>
      <c r="I1071" s="111"/>
      <c r="J1071" s="111"/>
      <c r="K1071" s="112"/>
      <c r="L1071" s="100"/>
      <c r="M1071" s="100"/>
      <c r="N1071" s="100"/>
      <c r="O1071" s="100"/>
      <c r="P1071" s="65"/>
      <c r="Q1071" s="103"/>
      <c r="R1071" s="103"/>
      <c r="S1071" s="103"/>
      <c r="T1071" s="103"/>
      <c r="U1071" s="68"/>
      <c r="V1071" s="69"/>
      <c r="W1071" s="68"/>
      <c r="X1071" s="68"/>
      <c r="Y1071" s="68"/>
      <c r="Z1071" s="68"/>
      <c r="AA1071" s="68"/>
      <c r="AB1071" s="68"/>
      <c r="AC1071" s="68"/>
      <c r="AD1071" s="68"/>
      <c r="AE1071" s="68"/>
      <c r="AF1071" s="68"/>
      <c r="AG1071" s="68"/>
      <c r="AH1071" s="68"/>
      <c r="AI1071" s="68"/>
      <c r="AJ1071" s="68"/>
      <c r="AK1071" s="68"/>
      <c r="AL1071" s="68"/>
      <c r="AM1071" s="68"/>
      <c r="AN1071" s="68"/>
      <c r="AO1071" s="68"/>
      <c r="AP1071" s="68"/>
      <c r="AQ1071" s="68"/>
      <c r="AR1071" s="68"/>
      <c r="AS1071" s="68"/>
      <c r="AT1071" s="68"/>
      <c r="AU1071" s="68"/>
      <c r="AV1071" s="68"/>
      <c r="AW1071" s="68"/>
      <c r="AX1071" s="68"/>
      <c r="AY1071" s="68"/>
      <c r="AZ1071" s="68"/>
      <c r="BA1071" s="68"/>
      <c r="BB1071" s="68"/>
      <c r="BC1071" s="68"/>
      <c r="BD1071" s="68"/>
      <c r="BE1071" s="68"/>
      <c r="BF1071" s="68"/>
      <c r="BG1071" s="68"/>
      <c r="BH1071" s="68"/>
      <c r="BI1071" s="68"/>
      <c r="BJ1071" s="68"/>
      <c r="BK1071" s="68"/>
      <c r="BL1071" s="68"/>
      <c r="BM1071" s="68"/>
      <c r="BN1071" s="68"/>
      <c r="BO1071" s="68"/>
      <c r="BP1071" s="68"/>
      <c r="BQ1071" s="68"/>
      <c r="BR1071" s="68"/>
      <c r="BS1071" s="68"/>
      <c r="BT1071" s="68"/>
      <c r="BU1071" s="68"/>
      <c r="BV1071" s="68"/>
      <c r="BW1071" s="68"/>
      <c r="BX1071" s="68"/>
      <c r="BY1071" s="68"/>
      <c r="BZ1071" s="68"/>
      <c r="CA1071" s="68"/>
      <c r="CB1071" s="68"/>
      <c r="CC1071" s="68"/>
      <c r="CD1071" s="68"/>
      <c r="CE1071" s="68"/>
      <c r="CF1071" s="68"/>
      <c r="CG1071" s="68"/>
      <c r="CH1071" s="68"/>
      <c r="CI1071" s="68"/>
      <c r="CJ1071" s="68"/>
      <c r="CK1071" s="68"/>
      <c r="CL1071" s="68"/>
      <c r="CM1071" s="68"/>
      <c r="CN1071" s="68"/>
      <c r="CO1071" s="68"/>
      <c r="CP1071" s="68"/>
      <c r="CQ1071" s="68"/>
      <c r="CR1071" s="68"/>
      <c r="CS1071" s="68"/>
      <c r="CT1071" s="68"/>
      <c r="CU1071" s="68"/>
      <c r="CV1071" s="68"/>
      <c r="CW1071" s="68"/>
      <c r="CX1071" s="68"/>
    </row>
    <row r="1072" spans="4:102" s="71" customFormat="1" hidden="1">
      <c r="D1072" s="105"/>
      <c r="E1072" s="111"/>
      <c r="F1072" s="111"/>
      <c r="G1072" s="111"/>
      <c r="H1072" s="105"/>
      <c r="I1072" s="111"/>
      <c r="J1072" s="111"/>
      <c r="K1072" s="112"/>
      <c r="L1072" s="100"/>
      <c r="M1072" s="100"/>
      <c r="N1072" s="100"/>
      <c r="O1072" s="100"/>
      <c r="P1072" s="65"/>
      <c r="Q1072" s="103"/>
      <c r="R1072" s="103"/>
      <c r="S1072" s="103"/>
      <c r="T1072" s="103"/>
      <c r="U1072" s="68"/>
      <c r="V1072" s="69"/>
      <c r="W1072" s="68"/>
      <c r="X1072" s="68"/>
      <c r="Y1072" s="68"/>
      <c r="Z1072" s="68"/>
      <c r="AA1072" s="68"/>
      <c r="AB1072" s="68"/>
      <c r="AC1072" s="68"/>
      <c r="AD1072" s="68"/>
      <c r="AE1072" s="68"/>
      <c r="AF1072" s="68"/>
      <c r="AG1072" s="68"/>
      <c r="AH1072" s="68"/>
      <c r="AI1072" s="68"/>
      <c r="AJ1072" s="68"/>
      <c r="AK1072" s="68"/>
      <c r="AL1072" s="68"/>
      <c r="AM1072" s="68"/>
      <c r="AN1072" s="68"/>
      <c r="AO1072" s="68"/>
      <c r="AP1072" s="68"/>
      <c r="AQ1072" s="68"/>
      <c r="AR1072" s="68"/>
      <c r="AS1072" s="68"/>
      <c r="AT1072" s="68"/>
      <c r="AU1072" s="68"/>
      <c r="AV1072" s="68"/>
      <c r="AW1072" s="68"/>
      <c r="AX1072" s="68"/>
      <c r="AY1072" s="68"/>
      <c r="AZ1072" s="68"/>
      <c r="BA1072" s="68"/>
      <c r="BB1072" s="68"/>
      <c r="BC1072" s="68"/>
      <c r="BD1072" s="68"/>
      <c r="BE1072" s="68"/>
      <c r="BF1072" s="68"/>
      <c r="BG1072" s="68"/>
      <c r="BH1072" s="68"/>
      <c r="BI1072" s="68"/>
      <c r="BJ1072" s="68"/>
      <c r="BK1072" s="68"/>
      <c r="BL1072" s="68"/>
      <c r="BM1072" s="68"/>
      <c r="BN1072" s="68"/>
      <c r="BO1072" s="68"/>
      <c r="BP1072" s="68"/>
      <c r="BQ1072" s="68"/>
      <c r="BR1072" s="68"/>
      <c r="BS1072" s="68"/>
      <c r="BT1072" s="68"/>
      <c r="BU1072" s="68"/>
      <c r="BV1072" s="68"/>
      <c r="BW1072" s="68"/>
      <c r="BX1072" s="68"/>
      <c r="BY1072" s="68"/>
      <c r="BZ1072" s="68"/>
      <c r="CA1072" s="68"/>
      <c r="CB1072" s="68"/>
      <c r="CC1072" s="68"/>
      <c r="CD1072" s="68"/>
      <c r="CE1072" s="68"/>
      <c r="CF1072" s="68"/>
      <c r="CG1072" s="68"/>
      <c r="CH1072" s="68"/>
      <c r="CI1072" s="68"/>
      <c r="CJ1072" s="68"/>
      <c r="CK1072" s="68"/>
      <c r="CL1072" s="68"/>
      <c r="CM1072" s="68"/>
      <c r="CN1072" s="68"/>
      <c r="CO1072" s="68"/>
      <c r="CP1072" s="68"/>
      <c r="CQ1072" s="68"/>
      <c r="CR1072" s="68"/>
      <c r="CS1072" s="68"/>
      <c r="CT1072" s="68"/>
      <c r="CU1072" s="68"/>
      <c r="CV1072" s="68"/>
      <c r="CW1072" s="68"/>
      <c r="CX1072" s="68"/>
    </row>
    <row r="1073" spans="4:102" s="71" customFormat="1" hidden="1">
      <c r="D1073" s="105"/>
      <c r="E1073" s="111"/>
      <c r="F1073" s="111"/>
      <c r="G1073" s="111"/>
      <c r="H1073" s="105"/>
      <c r="I1073" s="111"/>
      <c r="J1073" s="111"/>
      <c r="K1073" s="112"/>
      <c r="L1073" s="100"/>
      <c r="M1073" s="100"/>
      <c r="N1073" s="100"/>
      <c r="O1073" s="100"/>
      <c r="P1073" s="65"/>
      <c r="Q1073" s="103"/>
      <c r="R1073" s="103"/>
      <c r="S1073" s="103"/>
      <c r="T1073" s="103"/>
      <c r="U1073" s="68"/>
      <c r="V1073" s="69"/>
      <c r="W1073" s="68"/>
      <c r="X1073" s="68"/>
      <c r="Y1073" s="68"/>
      <c r="Z1073" s="68"/>
      <c r="AA1073" s="68"/>
      <c r="AB1073" s="68"/>
      <c r="AC1073" s="68"/>
      <c r="AD1073" s="68"/>
      <c r="AE1073" s="68"/>
      <c r="AF1073" s="68"/>
      <c r="AG1073" s="68"/>
      <c r="AH1073" s="68"/>
      <c r="AI1073" s="68"/>
      <c r="AJ1073" s="68"/>
      <c r="AK1073" s="68"/>
      <c r="AL1073" s="68"/>
      <c r="AM1073" s="68"/>
      <c r="AN1073" s="68"/>
      <c r="AO1073" s="68"/>
      <c r="AP1073" s="68"/>
      <c r="AQ1073" s="68"/>
      <c r="AR1073" s="68"/>
      <c r="AS1073" s="68"/>
      <c r="AT1073" s="68"/>
      <c r="AU1073" s="68"/>
      <c r="AV1073" s="68"/>
      <c r="AW1073" s="68"/>
      <c r="AX1073" s="68"/>
      <c r="AY1073" s="68"/>
      <c r="AZ1073" s="68"/>
      <c r="BA1073" s="68"/>
      <c r="BB1073" s="68"/>
      <c r="BC1073" s="68"/>
      <c r="BD1073" s="68"/>
      <c r="BE1073" s="68"/>
      <c r="BF1073" s="68"/>
      <c r="BG1073" s="68"/>
      <c r="BH1073" s="68"/>
      <c r="BI1073" s="68"/>
      <c r="BJ1073" s="68"/>
      <c r="BK1073" s="68"/>
      <c r="BL1073" s="68"/>
      <c r="BM1073" s="68"/>
      <c r="BN1073" s="68"/>
      <c r="BO1073" s="68"/>
      <c r="BP1073" s="68"/>
      <c r="BQ1073" s="68"/>
      <c r="BR1073" s="68"/>
      <c r="BS1073" s="68"/>
      <c r="BT1073" s="68"/>
      <c r="BU1073" s="68"/>
      <c r="BV1073" s="68"/>
      <c r="BW1073" s="68"/>
      <c r="BX1073" s="68"/>
      <c r="BY1073" s="68"/>
      <c r="BZ1073" s="68"/>
      <c r="CA1073" s="68"/>
      <c r="CB1073" s="68"/>
      <c r="CC1073" s="68"/>
      <c r="CD1073" s="68"/>
      <c r="CE1073" s="68"/>
      <c r="CF1073" s="68"/>
      <c r="CG1073" s="68"/>
      <c r="CH1073" s="68"/>
      <c r="CI1073" s="68"/>
      <c r="CJ1073" s="68"/>
      <c r="CK1073" s="68"/>
      <c r="CL1073" s="68"/>
      <c r="CM1073" s="68"/>
      <c r="CN1073" s="68"/>
      <c r="CO1073" s="68"/>
      <c r="CP1073" s="68"/>
      <c r="CQ1073" s="68"/>
      <c r="CR1073" s="68"/>
      <c r="CS1073" s="68"/>
      <c r="CT1073" s="68"/>
      <c r="CU1073" s="68"/>
      <c r="CV1073" s="68"/>
      <c r="CW1073" s="68"/>
      <c r="CX1073" s="68"/>
    </row>
    <row r="1074" spans="4:102" s="71" customFormat="1" hidden="1">
      <c r="D1074" s="105"/>
      <c r="E1074" s="111"/>
      <c r="F1074" s="111"/>
      <c r="G1074" s="111"/>
      <c r="H1074" s="105"/>
      <c r="I1074" s="111"/>
      <c r="J1074" s="111"/>
      <c r="K1074" s="112"/>
      <c r="L1074" s="100"/>
      <c r="M1074" s="100"/>
      <c r="N1074" s="100"/>
      <c r="O1074" s="100"/>
      <c r="P1074" s="65"/>
      <c r="Q1074" s="103"/>
      <c r="R1074" s="103"/>
      <c r="S1074" s="103"/>
      <c r="T1074" s="103"/>
      <c r="U1074" s="68"/>
      <c r="V1074" s="69"/>
      <c r="W1074" s="68"/>
      <c r="X1074" s="68"/>
      <c r="Y1074" s="68"/>
      <c r="Z1074" s="68"/>
      <c r="AA1074" s="68"/>
      <c r="AB1074" s="68"/>
      <c r="AC1074" s="68"/>
      <c r="AD1074" s="68"/>
      <c r="AE1074" s="68"/>
      <c r="AF1074" s="68"/>
      <c r="AG1074" s="68"/>
      <c r="AH1074" s="68"/>
      <c r="AI1074" s="68"/>
      <c r="AJ1074" s="68"/>
      <c r="AK1074" s="68"/>
      <c r="AL1074" s="68"/>
      <c r="AM1074" s="68"/>
      <c r="AN1074" s="68"/>
      <c r="AO1074" s="68"/>
      <c r="AP1074" s="68"/>
      <c r="AQ1074" s="68"/>
      <c r="AR1074" s="68"/>
      <c r="AS1074" s="68"/>
      <c r="AT1074" s="68"/>
      <c r="AU1074" s="68"/>
      <c r="AV1074" s="68"/>
      <c r="AW1074" s="68"/>
      <c r="AX1074" s="68"/>
      <c r="AY1074" s="68"/>
      <c r="AZ1074" s="68"/>
      <c r="BA1074" s="68"/>
      <c r="BB1074" s="68"/>
      <c r="BC1074" s="68"/>
      <c r="BD1074" s="68"/>
      <c r="BE1074" s="68"/>
      <c r="BF1074" s="68"/>
      <c r="BG1074" s="68"/>
      <c r="BH1074" s="68"/>
      <c r="BI1074" s="68"/>
      <c r="BJ1074" s="68"/>
      <c r="BK1074" s="68"/>
      <c r="BL1074" s="68"/>
      <c r="BM1074" s="68"/>
      <c r="BN1074" s="68"/>
      <c r="BO1074" s="68"/>
      <c r="BP1074" s="68"/>
      <c r="BQ1074" s="68"/>
      <c r="BR1074" s="68"/>
      <c r="BS1074" s="68"/>
      <c r="BT1074" s="68"/>
      <c r="BU1074" s="68"/>
      <c r="BV1074" s="68"/>
      <c r="BW1074" s="68"/>
      <c r="BX1074" s="68"/>
      <c r="BY1074" s="68"/>
      <c r="BZ1074" s="68"/>
      <c r="CA1074" s="68"/>
      <c r="CB1074" s="68"/>
      <c r="CC1074" s="68"/>
      <c r="CD1074" s="68"/>
      <c r="CE1074" s="68"/>
      <c r="CF1074" s="68"/>
      <c r="CG1074" s="68"/>
      <c r="CH1074" s="68"/>
      <c r="CI1074" s="68"/>
      <c r="CJ1074" s="68"/>
      <c r="CK1074" s="68"/>
      <c r="CL1074" s="68"/>
      <c r="CM1074" s="68"/>
      <c r="CN1074" s="68"/>
      <c r="CO1074" s="68"/>
      <c r="CP1074" s="68"/>
      <c r="CQ1074" s="68"/>
      <c r="CR1074" s="68"/>
      <c r="CS1074" s="68"/>
      <c r="CT1074" s="68"/>
      <c r="CU1074" s="68"/>
      <c r="CV1074" s="68"/>
      <c r="CW1074" s="68"/>
      <c r="CX1074" s="68"/>
    </row>
    <row r="1075" spans="4:102" s="71" customFormat="1" hidden="1">
      <c r="D1075" s="105"/>
      <c r="E1075" s="111"/>
      <c r="F1075" s="111"/>
      <c r="G1075" s="111"/>
      <c r="H1075" s="105"/>
      <c r="I1075" s="111"/>
      <c r="J1075" s="111"/>
      <c r="K1075" s="112"/>
      <c r="L1075" s="100"/>
      <c r="M1075" s="100"/>
      <c r="N1075" s="100"/>
      <c r="O1075" s="100"/>
      <c r="P1075" s="65"/>
      <c r="Q1075" s="103"/>
      <c r="R1075" s="103"/>
      <c r="S1075" s="103"/>
      <c r="T1075" s="103"/>
      <c r="U1075" s="68"/>
      <c r="V1075" s="69"/>
      <c r="W1075" s="68"/>
      <c r="X1075" s="68"/>
      <c r="Y1075" s="68"/>
      <c r="Z1075" s="68"/>
      <c r="AA1075" s="68"/>
      <c r="AB1075" s="68"/>
      <c r="AC1075" s="68"/>
      <c r="AD1075" s="68"/>
      <c r="AE1075" s="68"/>
      <c r="AF1075" s="68"/>
      <c r="AG1075" s="68"/>
      <c r="AH1075" s="68"/>
      <c r="AI1075" s="68"/>
      <c r="AJ1075" s="68"/>
      <c r="AK1075" s="68"/>
      <c r="AL1075" s="68"/>
      <c r="AM1075" s="68"/>
      <c r="AN1075" s="68"/>
      <c r="AO1075" s="68"/>
      <c r="AP1075" s="68"/>
      <c r="AQ1075" s="68"/>
      <c r="AR1075" s="68"/>
      <c r="AS1075" s="68"/>
      <c r="AT1075" s="68"/>
      <c r="AU1075" s="68"/>
      <c r="AV1075" s="68"/>
      <c r="AW1075" s="68"/>
      <c r="AX1075" s="68"/>
      <c r="AY1075" s="68"/>
      <c r="AZ1075" s="68"/>
      <c r="BA1075" s="68"/>
      <c r="BB1075" s="68"/>
      <c r="BC1075" s="68"/>
      <c r="BD1075" s="68"/>
      <c r="BE1075" s="68"/>
      <c r="BF1075" s="68"/>
      <c r="BG1075" s="68"/>
      <c r="BH1075" s="68"/>
      <c r="BI1075" s="68"/>
      <c r="BJ1075" s="68"/>
      <c r="BK1075" s="68"/>
      <c r="BL1075" s="68"/>
      <c r="BM1075" s="68"/>
      <c r="BN1075" s="68"/>
      <c r="BO1075" s="68"/>
      <c r="BP1075" s="68"/>
      <c r="BQ1075" s="68"/>
      <c r="BR1075" s="68"/>
      <c r="BS1075" s="68"/>
      <c r="BT1075" s="68"/>
      <c r="BU1075" s="68"/>
      <c r="BV1075" s="68"/>
      <c r="BW1075" s="68"/>
      <c r="BX1075" s="68"/>
      <c r="BY1075" s="68"/>
      <c r="BZ1075" s="68"/>
      <c r="CA1075" s="68"/>
      <c r="CB1075" s="68"/>
      <c r="CC1075" s="68"/>
      <c r="CD1075" s="68"/>
      <c r="CE1075" s="68"/>
      <c r="CF1075" s="68"/>
      <c r="CG1075" s="68"/>
      <c r="CH1075" s="68"/>
      <c r="CI1075" s="68"/>
      <c r="CJ1075" s="68"/>
      <c r="CK1075" s="68"/>
      <c r="CL1075" s="68"/>
      <c r="CM1075" s="68"/>
      <c r="CN1075" s="68"/>
      <c r="CO1075" s="68"/>
      <c r="CP1075" s="68"/>
      <c r="CQ1075" s="68"/>
      <c r="CR1075" s="68"/>
      <c r="CS1075" s="68"/>
      <c r="CT1075" s="68"/>
      <c r="CU1075" s="68"/>
      <c r="CV1075" s="68"/>
      <c r="CW1075" s="68"/>
      <c r="CX1075" s="68"/>
    </row>
    <row r="1076" spans="4:102" s="71" customFormat="1" hidden="1">
      <c r="D1076" s="105"/>
      <c r="E1076" s="111"/>
      <c r="F1076" s="111"/>
      <c r="G1076" s="111"/>
      <c r="H1076" s="105"/>
      <c r="I1076" s="111"/>
      <c r="J1076" s="111"/>
      <c r="K1076" s="112"/>
      <c r="L1076" s="100"/>
      <c r="M1076" s="100"/>
      <c r="N1076" s="100"/>
      <c r="O1076" s="100"/>
      <c r="P1076" s="65"/>
      <c r="Q1076" s="103"/>
      <c r="R1076" s="103"/>
      <c r="S1076" s="103"/>
      <c r="T1076" s="103"/>
      <c r="U1076" s="68"/>
      <c r="V1076" s="69"/>
      <c r="W1076" s="68"/>
      <c r="X1076" s="68"/>
      <c r="Y1076" s="68"/>
      <c r="Z1076" s="68"/>
      <c r="AA1076" s="68"/>
      <c r="AB1076" s="68"/>
      <c r="AC1076" s="68"/>
      <c r="AD1076" s="68"/>
      <c r="AE1076" s="68"/>
      <c r="AF1076" s="68"/>
      <c r="AG1076" s="68"/>
      <c r="AH1076" s="68"/>
      <c r="AI1076" s="68"/>
      <c r="AJ1076" s="68"/>
      <c r="AK1076" s="68"/>
      <c r="AL1076" s="68"/>
      <c r="AM1076" s="68"/>
      <c r="AN1076" s="68"/>
      <c r="AO1076" s="68"/>
      <c r="AP1076" s="68"/>
      <c r="AQ1076" s="68"/>
      <c r="AR1076" s="68"/>
      <c r="AS1076" s="68"/>
      <c r="AT1076" s="68"/>
      <c r="AU1076" s="68"/>
      <c r="AV1076" s="68"/>
      <c r="AW1076" s="68"/>
      <c r="AX1076" s="68"/>
      <c r="AY1076" s="68"/>
      <c r="AZ1076" s="68"/>
      <c r="BA1076" s="68"/>
      <c r="BB1076" s="68"/>
      <c r="BC1076" s="68"/>
      <c r="BD1076" s="68"/>
      <c r="BE1076" s="68"/>
      <c r="BF1076" s="68"/>
      <c r="BG1076" s="68"/>
      <c r="BH1076" s="68"/>
      <c r="BI1076" s="68"/>
      <c r="BJ1076" s="68"/>
      <c r="BK1076" s="68"/>
      <c r="BL1076" s="68"/>
      <c r="BM1076" s="68"/>
      <c r="BN1076" s="68"/>
      <c r="BO1076" s="68"/>
      <c r="BP1076" s="68"/>
      <c r="BQ1076" s="68"/>
      <c r="BR1076" s="68"/>
      <c r="BS1076" s="68"/>
      <c r="BT1076" s="68"/>
      <c r="BU1076" s="68"/>
      <c r="BV1076" s="68"/>
      <c r="BW1076" s="68"/>
      <c r="BX1076" s="68"/>
      <c r="BY1076" s="68"/>
      <c r="BZ1076" s="68"/>
      <c r="CA1076" s="68"/>
      <c r="CB1076" s="68"/>
      <c r="CC1076" s="68"/>
      <c r="CD1076" s="68"/>
      <c r="CE1076" s="68"/>
      <c r="CF1076" s="68"/>
      <c r="CG1076" s="68"/>
      <c r="CH1076" s="68"/>
      <c r="CI1076" s="68"/>
      <c r="CJ1076" s="68"/>
      <c r="CK1076" s="68"/>
      <c r="CL1076" s="68"/>
      <c r="CM1076" s="68"/>
      <c r="CN1076" s="68"/>
      <c r="CO1076" s="68"/>
      <c r="CP1076" s="68"/>
      <c r="CQ1076" s="68"/>
      <c r="CR1076" s="68"/>
      <c r="CS1076" s="68"/>
      <c r="CT1076" s="68"/>
      <c r="CU1076" s="68"/>
      <c r="CV1076" s="68"/>
      <c r="CW1076" s="68"/>
      <c r="CX1076" s="68"/>
    </row>
    <row r="1077" spans="4:102" s="71" customFormat="1" hidden="1">
      <c r="D1077" s="105"/>
      <c r="E1077" s="111"/>
      <c r="F1077" s="111"/>
      <c r="G1077" s="111"/>
      <c r="H1077" s="105"/>
      <c r="I1077" s="111"/>
      <c r="J1077" s="111"/>
      <c r="K1077" s="112"/>
      <c r="L1077" s="100"/>
      <c r="M1077" s="100"/>
      <c r="N1077" s="100"/>
      <c r="O1077" s="100"/>
      <c r="P1077" s="65"/>
      <c r="Q1077" s="103"/>
      <c r="R1077" s="103"/>
      <c r="S1077" s="103"/>
      <c r="T1077" s="103"/>
      <c r="U1077" s="68"/>
      <c r="V1077" s="69"/>
      <c r="W1077" s="68"/>
      <c r="X1077" s="68"/>
      <c r="Y1077" s="68"/>
      <c r="Z1077" s="68"/>
      <c r="AA1077" s="68"/>
      <c r="AB1077" s="68"/>
      <c r="AC1077" s="68"/>
      <c r="AD1077" s="68"/>
      <c r="AE1077" s="68"/>
      <c r="AF1077" s="68"/>
      <c r="AG1077" s="68"/>
      <c r="AH1077" s="68"/>
      <c r="AI1077" s="68"/>
      <c r="AJ1077" s="68"/>
      <c r="AK1077" s="68"/>
      <c r="AL1077" s="68"/>
      <c r="AM1077" s="68"/>
      <c r="AN1077" s="68"/>
      <c r="AO1077" s="68"/>
      <c r="AP1077" s="68"/>
      <c r="AQ1077" s="68"/>
      <c r="AR1077" s="68"/>
      <c r="AS1077" s="68"/>
      <c r="AT1077" s="68"/>
      <c r="AU1077" s="68"/>
      <c r="AV1077" s="68"/>
      <c r="AW1077" s="68"/>
      <c r="AX1077" s="68"/>
      <c r="AY1077" s="68"/>
      <c r="AZ1077" s="68"/>
      <c r="BA1077" s="68"/>
      <c r="BB1077" s="68"/>
      <c r="BC1077" s="68"/>
      <c r="BD1077" s="68"/>
      <c r="BE1077" s="68"/>
      <c r="BF1077" s="68"/>
      <c r="BG1077" s="68"/>
      <c r="BH1077" s="68"/>
      <c r="BI1077" s="68"/>
      <c r="BJ1077" s="68"/>
      <c r="BK1077" s="68"/>
      <c r="BL1077" s="68"/>
      <c r="BM1077" s="68"/>
      <c r="BN1077" s="68"/>
      <c r="BO1077" s="68"/>
      <c r="BP1077" s="68"/>
      <c r="BQ1077" s="68"/>
      <c r="BR1077" s="68"/>
      <c r="BS1077" s="68"/>
      <c r="BT1077" s="68"/>
      <c r="BU1077" s="68"/>
      <c r="BV1077" s="68"/>
      <c r="BW1077" s="68"/>
      <c r="BX1077" s="68"/>
      <c r="BY1077" s="68"/>
      <c r="BZ1077" s="68"/>
      <c r="CA1077" s="68"/>
      <c r="CB1077" s="68"/>
      <c r="CC1077" s="68"/>
      <c r="CD1077" s="68"/>
      <c r="CE1077" s="68"/>
      <c r="CF1077" s="68"/>
      <c r="CG1077" s="68"/>
      <c r="CH1077" s="68"/>
      <c r="CI1077" s="68"/>
      <c r="CJ1077" s="68"/>
      <c r="CK1077" s="68"/>
      <c r="CL1077" s="68"/>
      <c r="CM1077" s="68"/>
      <c r="CN1077" s="68"/>
      <c r="CO1077" s="68"/>
      <c r="CP1077" s="68"/>
      <c r="CQ1077" s="68"/>
      <c r="CR1077" s="68"/>
      <c r="CS1077" s="68"/>
      <c r="CT1077" s="68"/>
      <c r="CU1077" s="68"/>
      <c r="CV1077" s="68"/>
      <c r="CW1077" s="68"/>
      <c r="CX1077" s="68"/>
    </row>
    <row r="1078" spans="4:102" s="71" customFormat="1" hidden="1">
      <c r="D1078" s="105"/>
      <c r="E1078" s="111"/>
      <c r="F1078" s="111"/>
      <c r="G1078" s="111"/>
      <c r="H1078" s="105"/>
      <c r="I1078" s="111"/>
      <c r="J1078" s="111"/>
      <c r="K1078" s="112"/>
      <c r="L1078" s="100"/>
      <c r="M1078" s="100"/>
      <c r="N1078" s="100"/>
      <c r="O1078" s="100"/>
      <c r="P1078" s="65"/>
      <c r="Q1078" s="103"/>
      <c r="R1078" s="103"/>
      <c r="S1078" s="103"/>
      <c r="T1078" s="103"/>
      <c r="U1078" s="68"/>
      <c r="V1078" s="69"/>
      <c r="W1078" s="68"/>
      <c r="X1078" s="68"/>
      <c r="Y1078" s="68"/>
      <c r="Z1078" s="68"/>
      <c r="AA1078" s="68"/>
      <c r="AB1078" s="68"/>
      <c r="AC1078" s="68"/>
      <c r="AD1078" s="68"/>
      <c r="AE1078" s="68"/>
      <c r="AF1078" s="68"/>
      <c r="AG1078" s="68"/>
      <c r="AH1078" s="68"/>
      <c r="AI1078" s="68"/>
      <c r="AJ1078" s="68"/>
      <c r="AK1078" s="68"/>
      <c r="AL1078" s="68"/>
      <c r="AM1078" s="68"/>
      <c r="AN1078" s="68"/>
      <c r="AO1078" s="68"/>
      <c r="AP1078" s="68"/>
      <c r="AQ1078" s="68"/>
      <c r="AR1078" s="68"/>
      <c r="AS1078" s="68"/>
      <c r="AT1078" s="68"/>
      <c r="AU1078" s="68"/>
      <c r="AV1078" s="68"/>
      <c r="AW1078" s="68"/>
      <c r="AX1078" s="68"/>
      <c r="AY1078" s="68"/>
      <c r="AZ1078" s="68"/>
      <c r="BA1078" s="68"/>
      <c r="BB1078" s="68"/>
      <c r="BC1078" s="68"/>
      <c r="BD1078" s="68"/>
      <c r="BE1078" s="68"/>
      <c r="BF1078" s="68"/>
      <c r="BG1078" s="68"/>
      <c r="BH1078" s="68"/>
      <c r="BI1078" s="68"/>
      <c r="BJ1078" s="68"/>
      <c r="BK1078" s="68"/>
      <c r="BL1078" s="68"/>
      <c r="BM1078" s="68"/>
      <c r="BN1078" s="68"/>
      <c r="BO1078" s="68"/>
      <c r="BP1078" s="68"/>
      <c r="BQ1078" s="68"/>
      <c r="BR1078" s="68"/>
      <c r="BS1078" s="68"/>
      <c r="BT1078" s="68"/>
      <c r="BU1078" s="68"/>
      <c r="BV1078" s="68"/>
      <c r="BW1078" s="68"/>
      <c r="BX1078" s="68"/>
      <c r="BY1078" s="68"/>
      <c r="BZ1078" s="68"/>
      <c r="CA1078" s="68"/>
      <c r="CB1078" s="68"/>
      <c r="CC1078" s="68"/>
      <c r="CD1078" s="68"/>
      <c r="CE1078" s="68"/>
      <c r="CF1078" s="68"/>
      <c r="CG1078" s="68"/>
      <c r="CH1078" s="68"/>
      <c r="CI1078" s="68"/>
      <c r="CJ1078" s="68"/>
      <c r="CK1078" s="68"/>
      <c r="CL1078" s="68"/>
      <c r="CM1078" s="68"/>
      <c r="CN1078" s="68"/>
      <c r="CO1078" s="68"/>
      <c r="CP1078" s="68"/>
      <c r="CQ1078" s="68"/>
      <c r="CR1078" s="68"/>
      <c r="CS1078" s="68"/>
      <c r="CT1078" s="68"/>
      <c r="CU1078" s="68"/>
      <c r="CV1078" s="68"/>
      <c r="CW1078" s="68"/>
      <c r="CX1078" s="68"/>
    </row>
    <row r="1079" spans="4:102" s="71" customFormat="1" hidden="1">
      <c r="D1079" s="105"/>
      <c r="E1079" s="111"/>
      <c r="F1079" s="111"/>
      <c r="G1079" s="111"/>
      <c r="H1079" s="105"/>
      <c r="I1079" s="111"/>
      <c r="J1079" s="111"/>
      <c r="K1079" s="112"/>
      <c r="L1079" s="100"/>
      <c r="M1079" s="100"/>
      <c r="N1079" s="100"/>
      <c r="O1079" s="100"/>
      <c r="P1079" s="65"/>
      <c r="Q1079" s="103"/>
      <c r="R1079" s="103"/>
      <c r="S1079" s="103"/>
      <c r="T1079" s="103"/>
      <c r="U1079" s="68"/>
      <c r="V1079" s="69"/>
      <c r="W1079" s="68"/>
      <c r="X1079" s="68"/>
      <c r="Y1079" s="68"/>
      <c r="Z1079" s="68"/>
      <c r="AA1079" s="68"/>
      <c r="AB1079" s="68"/>
      <c r="AC1079" s="68"/>
      <c r="AD1079" s="68"/>
      <c r="AE1079" s="68"/>
      <c r="AF1079" s="68"/>
      <c r="AG1079" s="68"/>
      <c r="AH1079" s="68"/>
      <c r="AI1079" s="68"/>
      <c r="AJ1079" s="68"/>
      <c r="AK1079" s="68"/>
      <c r="AL1079" s="68"/>
      <c r="AM1079" s="68"/>
      <c r="AN1079" s="68"/>
      <c r="AO1079" s="68"/>
      <c r="AP1079" s="68"/>
      <c r="AQ1079" s="68"/>
      <c r="AR1079" s="68"/>
      <c r="AS1079" s="68"/>
      <c r="AT1079" s="68"/>
      <c r="AU1079" s="68"/>
      <c r="AV1079" s="68"/>
      <c r="AW1079" s="68"/>
      <c r="AX1079" s="68"/>
      <c r="AY1079" s="68"/>
      <c r="AZ1079" s="68"/>
      <c r="BA1079" s="68"/>
      <c r="BB1079" s="68"/>
      <c r="BC1079" s="68"/>
      <c r="BD1079" s="68"/>
      <c r="BE1079" s="68"/>
      <c r="BF1079" s="68"/>
      <c r="BG1079" s="68"/>
      <c r="BH1079" s="68"/>
      <c r="BI1079" s="68"/>
      <c r="BJ1079" s="68"/>
      <c r="BK1079" s="68"/>
      <c r="BL1079" s="68"/>
      <c r="BM1079" s="68"/>
      <c r="BN1079" s="68"/>
      <c r="BO1079" s="68"/>
      <c r="BP1079" s="68"/>
      <c r="BQ1079" s="68"/>
      <c r="BR1079" s="68"/>
      <c r="BS1079" s="68"/>
      <c r="BT1079" s="68"/>
      <c r="BU1079" s="68"/>
      <c r="BV1079" s="68"/>
      <c r="BW1079" s="68"/>
      <c r="BX1079" s="68"/>
      <c r="BY1079" s="68"/>
      <c r="BZ1079" s="68"/>
      <c r="CA1079" s="68"/>
      <c r="CB1079" s="68"/>
      <c r="CC1079" s="68"/>
      <c r="CD1079" s="68"/>
      <c r="CE1079" s="68"/>
      <c r="CF1079" s="68"/>
      <c r="CG1079" s="68"/>
      <c r="CH1079" s="68"/>
      <c r="CI1079" s="68"/>
      <c r="CJ1079" s="68"/>
      <c r="CK1079" s="68"/>
      <c r="CL1079" s="68"/>
      <c r="CM1079" s="68"/>
      <c r="CN1079" s="68"/>
      <c r="CO1079" s="68"/>
      <c r="CP1079" s="68"/>
      <c r="CQ1079" s="68"/>
      <c r="CR1079" s="68"/>
      <c r="CS1079" s="68"/>
      <c r="CT1079" s="68"/>
      <c r="CU1079" s="68"/>
      <c r="CV1079" s="68"/>
      <c r="CW1079" s="68"/>
      <c r="CX1079" s="68"/>
    </row>
    <row r="1080" spans="4:102" s="71" customFormat="1" hidden="1">
      <c r="D1080" s="105"/>
      <c r="E1080" s="111"/>
      <c r="F1080" s="111"/>
      <c r="G1080" s="111"/>
      <c r="H1080" s="105"/>
      <c r="I1080" s="111"/>
      <c r="J1080" s="111"/>
      <c r="K1080" s="112"/>
      <c r="L1080" s="100"/>
      <c r="M1080" s="100"/>
      <c r="N1080" s="100"/>
      <c r="O1080" s="100"/>
      <c r="P1080" s="65"/>
      <c r="Q1080" s="103"/>
      <c r="R1080" s="103"/>
      <c r="S1080" s="103"/>
      <c r="T1080" s="103"/>
      <c r="U1080" s="68"/>
      <c r="V1080" s="69"/>
      <c r="W1080" s="68"/>
      <c r="X1080" s="68"/>
      <c r="Y1080" s="68"/>
      <c r="Z1080" s="68"/>
      <c r="AA1080" s="68"/>
      <c r="AB1080" s="68"/>
      <c r="AC1080" s="68"/>
      <c r="AD1080" s="68"/>
      <c r="AE1080" s="68"/>
      <c r="AF1080" s="68"/>
      <c r="AG1080" s="68"/>
      <c r="AH1080" s="68"/>
      <c r="AI1080" s="68"/>
      <c r="AJ1080" s="68"/>
      <c r="AK1080" s="68"/>
      <c r="AL1080" s="68"/>
      <c r="AM1080" s="68"/>
      <c r="AN1080" s="68"/>
      <c r="AO1080" s="68"/>
      <c r="AP1080" s="68"/>
      <c r="AQ1080" s="68"/>
      <c r="AR1080" s="68"/>
      <c r="AS1080" s="68"/>
      <c r="AT1080" s="68"/>
      <c r="AU1080" s="68"/>
      <c r="AV1080" s="68"/>
      <c r="AW1080" s="68"/>
      <c r="AX1080" s="68"/>
      <c r="AY1080" s="68"/>
      <c r="AZ1080" s="68"/>
      <c r="BA1080" s="68"/>
      <c r="BB1080" s="68"/>
      <c r="BC1080" s="68"/>
      <c r="BD1080" s="68"/>
      <c r="BE1080" s="68"/>
      <c r="BF1080" s="68"/>
      <c r="BG1080" s="68"/>
      <c r="BH1080" s="68"/>
      <c r="BI1080" s="68"/>
      <c r="BJ1080" s="68"/>
      <c r="BK1080" s="68"/>
      <c r="BL1080" s="68"/>
      <c r="BM1080" s="68"/>
      <c r="BN1080" s="68"/>
      <c r="BO1080" s="68"/>
      <c r="BP1080" s="68"/>
      <c r="BQ1080" s="68"/>
      <c r="BR1080" s="68"/>
      <c r="BS1080" s="68"/>
      <c r="BT1080" s="68"/>
      <c r="BU1080" s="68"/>
      <c r="BV1080" s="68"/>
      <c r="BW1080" s="68"/>
      <c r="BX1080" s="68"/>
      <c r="BY1080" s="68"/>
      <c r="BZ1080" s="68"/>
      <c r="CA1080" s="68"/>
      <c r="CB1080" s="68"/>
      <c r="CC1080" s="68"/>
      <c r="CD1080" s="68"/>
      <c r="CE1080" s="68"/>
      <c r="CF1080" s="68"/>
      <c r="CG1080" s="68"/>
      <c r="CH1080" s="68"/>
      <c r="CI1080" s="68"/>
      <c r="CJ1080" s="68"/>
      <c r="CK1080" s="68"/>
      <c r="CL1080" s="68"/>
      <c r="CM1080" s="68"/>
      <c r="CN1080" s="68"/>
      <c r="CO1080" s="68"/>
      <c r="CP1080" s="68"/>
      <c r="CQ1080" s="68"/>
      <c r="CR1080" s="68"/>
      <c r="CS1080" s="68"/>
      <c r="CT1080" s="68"/>
      <c r="CU1080" s="68"/>
      <c r="CV1080" s="68"/>
      <c r="CW1080" s="68"/>
      <c r="CX1080" s="68"/>
    </row>
    <row r="1081" spans="4:102" s="71" customFormat="1" hidden="1">
      <c r="D1081" s="105"/>
      <c r="E1081" s="111"/>
      <c r="F1081" s="111"/>
      <c r="G1081" s="111"/>
      <c r="H1081" s="105"/>
      <c r="I1081" s="111"/>
      <c r="J1081" s="111"/>
      <c r="K1081" s="112"/>
      <c r="L1081" s="100"/>
      <c r="M1081" s="100"/>
      <c r="N1081" s="100"/>
      <c r="O1081" s="100"/>
      <c r="P1081" s="65"/>
      <c r="Q1081" s="103"/>
      <c r="R1081" s="103"/>
      <c r="S1081" s="103"/>
      <c r="T1081" s="103"/>
      <c r="U1081" s="68"/>
      <c r="V1081" s="69"/>
      <c r="W1081" s="68"/>
      <c r="X1081" s="68"/>
      <c r="Y1081" s="68"/>
      <c r="Z1081" s="68"/>
      <c r="AA1081" s="68"/>
      <c r="AB1081" s="68"/>
      <c r="AC1081" s="68"/>
      <c r="AD1081" s="68"/>
      <c r="AE1081" s="68"/>
      <c r="AF1081" s="68"/>
      <c r="AG1081" s="68"/>
      <c r="AH1081" s="68"/>
      <c r="AI1081" s="68"/>
      <c r="AJ1081" s="68"/>
      <c r="AK1081" s="68"/>
      <c r="AL1081" s="68"/>
      <c r="AM1081" s="68"/>
      <c r="AN1081" s="68"/>
      <c r="AO1081" s="68"/>
      <c r="AP1081" s="68"/>
      <c r="AQ1081" s="68"/>
      <c r="AR1081" s="68"/>
      <c r="AS1081" s="68"/>
      <c r="AT1081" s="68"/>
      <c r="AU1081" s="68"/>
      <c r="AV1081" s="68"/>
      <c r="AW1081" s="68"/>
      <c r="AX1081" s="68"/>
      <c r="AY1081" s="68"/>
      <c r="AZ1081" s="68"/>
      <c r="BA1081" s="68"/>
      <c r="BB1081" s="68"/>
      <c r="BC1081" s="68"/>
      <c r="BD1081" s="68"/>
      <c r="BE1081" s="68"/>
      <c r="BF1081" s="68"/>
      <c r="BG1081" s="68"/>
      <c r="BH1081" s="68"/>
      <c r="BI1081" s="68"/>
      <c r="BJ1081" s="68"/>
      <c r="BK1081" s="68"/>
      <c r="BL1081" s="68"/>
      <c r="BM1081" s="68"/>
      <c r="BN1081" s="68"/>
      <c r="BO1081" s="68"/>
      <c r="BP1081" s="68"/>
      <c r="BQ1081" s="68"/>
      <c r="BR1081" s="68"/>
      <c r="BS1081" s="68"/>
      <c r="BT1081" s="68"/>
      <c r="BU1081" s="68"/>
      <c r="BV1081" s="68"/>
      <c r="BW1081" s="68"/>
      <c r="BX1081" s="68"/>
      <c r="BY1081" s="68"/>
      <c r="BZ1081" s="68"/>
      <c r="CA1081" s="68"/>
      <c r="CB1081" s="68"/>
      <c r="CC1081" s="68"/>
      <c r="CD1081" s="68"/>
      <c r="CE1081" s="68"/>
      <c r="CF1081" s="68"/>
      <c r="CG1081" s="68"/>
      <c r="CH1081" s="68"/>
      <c r="CI1081" s="68"/>
      <c r="CJ1081" s="68"/>
      <c r="CK1081" s="68"/>
      <c r="CL1081" s="68"/>
      <c r="CM1081" s="68"/>
      <c r="CN1081" s="68"/>
      <c r="CO1081" s="68"/>
      <c r="CP1081" s="68"/>
      <c r="CQ1081" s="68"/>
      <c r="CR1081" s="68"/>
      <c r="CS1081" s="68"/>
      <c r="CT1081" s="68"/>
      <c r="CU1081" s="68"/>
      <c r="CV1081" s="68"/>
      <c r="CW1081" s="68"/>
      <c r="CX1081" s="68"/>
    </row>
    <row r="1082" spans="4:102" s="71" customFormat="1" hidden="1">
      <c r="D1082" s="105"/>
      <c r="E1082" s="111"/>
      <c r="F1082" s="111"/>
      <c r="G1082" s="111"/>
      <c r="H1082" s="105"/>
      <c r="I1082" s="111"/>
      <c r="J1082" s="111"/>
      <c r="K1082" s="112"/>
      <c r="L1082" s="100"/>
      <c r="M1082" s="100"/>
      <c r="N1082" s="100"/>
      <c r="O1082" s="100"/>
      <c r="P1082" s="65"/>
      <c r="Q1082" s="103"/>
      <c r="R1082" s="103"/>
      <c r="S1082" s="103"/>
      <c r="T1082" s="103"/>
      <c r="U1082" s="68"/>
      <c r="V1082" s="69"/>
      <c r="W1082" s="68"/>
      <c r="X1082" s="68"/>
      <c r="Y1082" s="68"/>
      <c r="Z1082" s="68"/>
      <c r="AA1082" s="68"/>
      <c r="AB1082" s="68"/>
      <c r="AC1082" s="68"/>
      <c r="AD1082" s="68"/>
      <c r="AE1082" s="68"/>
      <c r="AF1082" s="68"/>
      <c r="AG1082" s="68"/>
      <c r="AH1082" s="68"/>
      <c r="AI1082" s="68"/>
      <c r="AJ1082" s="68"/>
      <c r="AK1082" s="68"/>
      <c r="AL1082" s="68"/>
      <c r="AM1082" s="68"/>
      <c r="AN1082" s="68"/>
      <c r="AO1082" s="68"/>
      <c r="AP1082" s="68"/>
      <c r="AQ1082" s="68"/>
      <c r="AR1082" s="68"/>
      <c r="AS1082" s="68"/>
      <c r="AT1082" s="68"/>
      <c r="AU1082" s="68"/>
      <c r="AV1082" s="68"/>
      <c r="AW1082" s="68"/>
      <c r="AX1082" s="68"/>
      <c r="AY1082" s="68"/>
      <c r="AZ1082" s="68"/>
      <c r="BA1082" s="68"/>
      <c r="BB1082" s="68"/>
      <c r="BC1082" s="68"/>
      <c r="BD1082" s="68"/>
      <c r="BE1082" s="68"/>
      <c r="BF1082" s="68"/>
      <c r="BG1082" s="68"/>
      <c r="BH1082" s="68"/>
      <c r="BI1082" s="68"/>
      <c r="BJ1082" s="68"/>
      <c r="BK1082" s="68"/>
      <c r="BL1082" s="68"/>
      <c r="BM1082" s="68"/>
      <c r="BN1082" s="68"/>
      <c r="BO1082" s="68"/>
      <c r="BP1082" s="68"/>
      <c r="BQ1082" s="68"/>
      <c r="BR1082" s="68"/>
      <c r="BS1082" s="68"/>
      <c r="BT1082" s="68"/>
      <c r="BU1082" s="68"/>
      <c r="BV1082" s="68"/>
      <c r="BW1082" s="68"/>
      <c r="BX1082" s="68"/>
      <c r="BY1082" s="68"/>
      <c r="BZ1082" s="68"/>
      <c r="CA1082" s="68"/>
      <c r="CB1082" s="68"/>
      <c r="CC1082" s="68"/>
      <c r="CD1082" s="68"/>
      <c r="CE1082" s="68"/>
      <c r="CF1082" s="68"/>
      <c r="CG1082" s="68"/>
      <c r="CH1082" s="68"/>
      <c r="CI1082" s="68"/>
      <c r="CJ1082" s="68"/>
      <c r="CK1082" s="68"/>
      <c r="CL1082" s="68"/>
      <c r="CM1082" s="68"/>
      <c r="CN1082" s="68"/>
      <c r="CO1082" s="68"/>
      <c r="CP1082" s="68"/>
      <c r="CQ1082" s="68"/>
      <c r="CR1082" s="68"/>
      <c r="CS1082" s="68"/>
      <c r="CT1082" s="68"/>
      <c r="CU1082" s="68"/>
      <c r="CV1082" s="68"/>
      <c r="CW1082" s="68"/>
      <c r="CX1082" s="68"/>
    </row>
    <row r="1083" spans="4:102" s="71" customFormat="1" hidden="1">
      <c r="D1083" s="105"/>
      <c r="E1083" s="111"/>
      <c r="F1083" s="111"/>
      <c r="G1083" s="111"/>
      <c r="H1083" s="105"/>
      <c r="I1083" s="111"/>
      <c r="J1083" s="111"/>
      <c r="K1083" s="112"/>
      <c r="L1083" s="100"/>
      <c r="M1083" s="100"/>
      <c r="N1083" s="100"/>
      <c r="O1083" s="100"/>
      <c r="P1083" s="65"/>
      <c r="Q1083" s="103"/>
      <c r="R1083" s="103"/>
      <c r="S1083" s="103"/>
      <c r="T1083" s="103"/>
      <c r="U1083" s="68"/>
      <c r="V1083" s="69"/>
      <c r="W1083" s="68"/>
      <c r="X1083" s="68"/>
      <c r="Y1083" s="68"/>
      <c r="Z1083" s="68"/>
      <c r="AA1083" s="68"/>
      <c r="AB1083" s="68"/>
      <c r="AC1083" s="68"/>
      <c r="AD1083" s="68"/>
      <c r="AE1083" s="68"/>
      <c r="AF1083" s="68"/>
      <c r="AG1083" s="68"/>
      <c r="AH1083" s="68"/>
      <c r="AI1083" s="68"/>
      <c r="AJ1083" s="68"/>
      <c r="AK1083" s="68"/>
      <c r="AL1083" s="68"/>
      <c r="AM1083" s="68"/>
      <c r="AN1083" s="68"/>
      <c r="AO1083" s="68"/>
      <c r="AP1083" s="68"/>
      <c r="AQ1083" s="68"/>
      <c r="AR1083" s="68"/>
      <c r="AS1083" s="68"/>
      <c r="AT1083" s="68"/>
      <c r="AU1083" s="68"/>
      <c r="AV1083" s="68"/>
      <c r="AW1083" s="68"/>
      <c r="AX1083" s="68"/>
      <c r="AY1083" s="68"/>
      <c r="AZ1083" s="68"/>
      <c r="BA1083" s="68"/>
      <c r="BB1083" s="68"/>
      <c r="BC1083" s="68"/>
      <c r="BD1083" s="68"/>
      <c r="BE1083" s="68"/>
      <c r="BF1083" s="68"/>
      <c r="BG1083" s="68"/>
      <c r="BH1083" s="68"/>
      <c r="BI1083" s="68"/>
      <c r="BJ1083" s="68"/>
      <c r="BK1083" s="68"/>
      <c r="BL1083" s="68"/>
      <c r="BM1083" s="68"/>
      <c r="BN1083" s="68"/>
      <c r="BO1083" s="68"/>
      <c r="BP1083" s="68"/>
      <c r="BQ1083" s="68"/>
      <c r="BR1083" s="68"/>
      <c r="BS1083" s="68"/>
      <c r="BT1083" s="68"/>
      <c r="BU1083" s="68"/>
      <c r="BV1083" s="68"/>
      <c r="BW1083" s="68"/>
      <c r="BX1083" s="68"/>
      <c r="BY1083" s="68"/>
      <c r="BZ1083" s="68"/>
      <c r="CA1083" s="68"/>
      <c r="CB1083" s="68"/>
      <c r="CC1083" s="68"/>
      <c r="CD1083" s="68"/>
      <c r="CE1083" s="68"/>
      <c r="CF1083" s="68"/>
      <c r="CG1083" s="68"/>
      <c r="CH1083" s="68"/>
      <c r="CI1083" s="68"/>
      <c r="CJ1083" s="68"/>
      <c r="CK1083" s="68"/>
      <c r="CL1083" s="68"/>
      <c r="CM1083" s="68"/>
      <c r="CN1083" s="68"/>
      <c r="CO1083" s="68"/>
      <c r="CP1083" s="68"/>
      <c r="CQ1083" s="68"/>
      <c r="CR1083" s="68"/>
      <c r="CS1083" s="68"/>
      <c r="CT1083" s="68"/>
      <c r="CU1083" s="68"/>
      <c r="CV1083" s="68"/>
      <c r="CW1083" s="68"/>
      <c r="CX1083" s="68"/>
    </row>
    <row r="1084" spans="4:102" s="71" customFormat="1" hidden="1">
      <c r="D1084" s="105"/>
      <c r="E1084" s="111"/>
      <c r="F1084" s="111"/>
      <c r="G1084" s="111"/>
      <c r="H1084" s="105"/>
      <c r="I1084" s="111"/>
      <c r="J1084" s="111"/>
      <c r="K1084" s="112"/>
      <c r="L1084" s="100"/>
      <c r="M1084" s="100"/>
      <c r="N1084" s="100"/>
      <c r="O1084" s="100"/>
      <c r="P1084" s="65"/>
      <c r="Q1084" s="103"/>
      <c r="R1084" s="103"/>
      <c r="S1084" s="103"/>
      <c r="T1084" s="103"/>
      <c r="U1084" s="68"/>
      <c r="V1084" s="69"/>
      <c r="W1084" s="68"/>
      <c r="X1084" s="68"/>
      <c r="Y1084" s="68"/>
      <c r="Z1084" s="68"/>
      <c r="AA1084" s="68"/>
      <c r="AB1084" s="68"/>
      <c r="AC1084" s="68"/>
      <c r="AD1084" s="68"/>
      <c r="AE1084" s="68"/>
      <c r="AF1084" s="68"/>
      <c r="AG1084" s="68"/>
      <c r="AH1084" s="68"/>
      <c r="AI1084" s="68"/>
      <c r="AJ1084" s="68"/>
      <c r="AK1084" s="68"/>
      <c r="AL1084" s="68"/>
      <c r="AM1084" s="68"/>
      <c r="AN1084" s="68"/>
      <c r="AO1084" s="68"/>
      <c r="AP1084" s="68"/>
      <c r="AQ1084" s="68"/>
      <c r="AR1084" s="68"/>
      <c r="AS1084" s="68"/>
      <c r="AT1084" s="68"/>
      <c r="AU1084" s="68"/>
      <c r="AV1084" s="68"/>
      <c r="AW1084" s="68"/>
      <c r="AX1084" s="68"/>
      <c r="AY1084" s="68"/>
      <c r="AZ1084" s="68"/>
      <c r="BA1084" s="68"/>
      <c r="BB1084" s="68"/>
      <c r="BC1084" s="68"/>
      <c r="BD1084" s="68"/>
      <c r="BE1084" s="68"/>
      <c r="BF1084" s="68"/>
      <c r="BG1084" s="68"/>
      <c r="BH1084" s="68"/>
      <c r="BI1084" s="68"/>
      <c r="BJ1084" s="68"/>
      <c r="BK1084" s="68"/>
      <c r="BL1084" s="68"/>
      <c r="BM1084" s="68"/>
      <c r="BN1084" s="68"/>
      <c r="BO1084" s="68"/>
      <c r="BP1084" s="68"/>
      <c r="BQ1084" s="68"/>
      <c r="BR1084" s="68"/>
      <c r="BS1084" s="68"/>
      <c r="BT1084" s="68"/>
      <c r="BU1084" s="68"/>
      <c r="BV1084" s="68"/>
      <c r="BW1084" s="68"/>
      <c r="BX1084" s="68"/>
      <c r="BY1084" s="68"/>
      <c r="BZ1084" s="68"/>
      <c r="CA1084" s="68"/>
      <c r="CB1084" s="68"/>
      <c r="CC1084" s="68"/>
      <c r="CD1084" s="68"/>
      <c r="CE1084" s="68"/>
      <c r="CF1084" s="68"/>
      <c r="CG1084" s="68"/>
      <c r="CH1084" s="68"/>
      <c r="CI1084" s="68"/>
      <c r="CJ1084" s="68"/>
      <c r="CK1084" s="68"/>
      <c r="CL1084" s="68"/>
      <c r="CM1084" s="68"/>
      <c r="CN1084" s="68"/>
      <c r="CO1084" s="68"/>
      <c r="CP1084" s="68"/>
      <c r="CQ1084" s="68"/>
      <c r="CR1084" s="68"/>
      <c r="CS1084" s="68"/>
      <c r="CT1084" s="68"/>
      <c r="CU1084" s="68"/>
      <c r="CV1084" s="68"/>
      <c r="CW1084" s="68"/>
      <c r="CX1084" s="68"/>
    </row>
    <row r="1085" spans="4:102" s="71" customFormat="1" hidden="1">
      <c r="D1085" s="105"/>
      <c r="E1085" s="111"/>
      <c r="F1085" s="111"/>
      <c r="G1085" s="111"/>
      <c r="H1085" s="105"/>
      <c r="I1085" s="111"/>
      <c r="J1085" s="111"/>
      <c r="K1085" s="112"/>
      <c r="L1085" s="100"/>
      <c r="M1085" s="100"/>
      <c r="N1085" s="100"/>
      <c r="O1085" s="100"/>
      <c r="P1085" s="65"/>
      <c r="Q1085" s="103"/>
      <c r="R1085" s="103"/>
      <c r="S1085" s="103"/>
      <c r="T1085" s="103"/>
      <c r="U1085" s="68"/>
      <c r="V1085" s="69"/>
      <c r="W1085" s="68"/>
      <c r="X1085" s="68"/>
      <c r="Y1085" s="68"/>
      <c r="Z1085" s="68"/>
      <c r="AA1085" s="68"/>
      <c r="AB1085" s="68"/>
      <c r="AC1085" s="68"/>
      <c r="AD1085" s="68"/>
      <c r="AE1085" s="68"/>
      <c r="AF1085" s="68"/>
      <c r="AG1085" s="68"/>
      <c r="AH1085" s="68"/>
      <c r="AI1085" s="68"/>
      <c r="AJ1085" s="68"/>
      <c r="AK1085" s="68"/>
      <c r="AL1085" s="68"/>
      <c r="AM1085" s="68"/>
      <c r="AN1085" s="68"/>
      <c r="AO1085" s="68"/>
      <c r="AP1085" s="68"/>
      <c r="AQ1085" s="68"/>
      <c r="AR1085" s="68"/>
      <c r="AS1085" s="68"/>
      <c r="AT1085" s="68"/>
      <c r="AU1085" s="68"/>
      <c r="AV1085" s="68"/>
      <c r="AW1085" s="68"/>
      <c r="AX1085" s="68"/>
      <c r="AY1085" s="68"/>
      <c r="AZ1085" s="68"/>
      <c r="BA1085" s="68"/>
      <c r="BB1085" s="68"/>
      <c r="BC1085" s="68"/>
      <c r="BD1085" s="68"/>
      <c r="BE1085" s="68"/>
      <c r="BF1085" s="68"/>
      <c r="BG1085" s="68"/>
      <c r="BH1085" s="68"/>
      <c r="BI1085" s="68"/>
      <c r="BJ1085" s="68"/>
      <c r="BK1085" s="68"/>
      <c r="BL1085" s="68"/>
      <c r="BM1085" s="68"/>
      <c r="BN1085" s="68"/>
      <c r="BO1085" s="68"/>
      <c r="BP1085" s="68"/>
      <c r="BQ1085" s="68"/>
      <c r="BR1085" s="68"/>
      <c r="BS1085" s="68"/>
      <c r="BT1085" s="68"/>
      <c r="BU1085" s="68"/>
      <c r="BV1085" s="68"/>
      <c r="BW1085" s="68"/>
      <c r="BX1085" s="68"/>
      <c r="BY1085" s="68"/>
      <c r="BZ1085" s="68"/>
      <c r="CA1085" s="68"/>
      <c r="CB1085" s="68"/>
      <c r="CC1085" s="68"/>
      <c r="CD1085" s="68"/>
      <c r="CE1085" s="68"/>
      <c r="CF1085" s="68"/>
      <c r="CG1085" s="68"/>
      <c r="CH1085" s="68"/>
      <c r="CI1085" s="68"/>
      <c r="CJ1085" s="68"/>
      <c r="CK1085" s="68"/>
      <c r="CL1085" s="68"/>
      <c r="CM1085" s="68"/>
      <c r="CN1085" s="68"/>
      <c r="CO1085" s="68"/>
      <c r="CP1085" s="68"/>
      <c r="CQ1085" s="68"/>
      <c r="CR1085" s="68"/>
      <c r="CS1085" s="68"/>
      <c r="CT1085" s="68"/>
      <c r="CU1085" s="68"/>
      <c r="CV1085" s="68"/>
      <c r="CW1085" s="68"/>
      <c r="CX1085" s="68"/>
    </row>
    <row r="1086" spans="4:102" s="71" customFormat="1" hidden="1">
      <c r="D1086" s="105"/>
      <c r="E1086" s="111"/>
      <c r="F1086" s="111"/>
      <c r="G1086" s="111"/>
      <c r="H1086" s="105"/>
      <c r="I1086" s="111"/>
      <c r="J1086" s="111"/>
      <c r="K1086" s="112"/>
      <c r="L1086" s="100"/>
      <c r="M1086" s="100"/>
      <c r="N1086" s="100"/>
      <c r="O1086" s="100"/>
      <c r="P1086" s="65"/>
      <c r="Q1086" s="103"/>
      <c r="R1086" s="103"/>
      <c r="S1086" s="103"/>
      <c r="T1086" s="103"/>
      <c r="U1086" s="68"/>
      <c r="V1086" s="69"/>
      <c r="W1086" s="68"/>
      <c r="X1086" s="68"/>
      <c r="Y1086" s="68"/>
      <c r="Z1086" s="68"/>
      <c r="AA1086" s="68"/>
      <c r="AB1086" s="68"/>
      <c r="AC1086" s="68"/>
      <c r="AD1086" s="68"/>
      <c r="AE1086" s="68"/>
      <c r="AF1086" s="68"/>
      <c r="AG1086" s="68"/>
      <c r="AH1086" s="68"/>
      <c r="AI1086" s="68"/>
      <c r="AJ1086" s="68"/>
      <c r="AK1086" s="68"/>
      <c r="AL1086" s="68"/>
      <c r="AM1086" s="68"/>
      <c r="AN1086" s="68"/>
      <c r="AO1086" s="68"/>
      <c r="AP1086" s="68"/>
      <c r="AQ1086" s="68"/>
      <c r="AR1086" s="68"/>
      <c r="AS1086" s="68"/>
      <c r="AT1086" s="68"/>
      <c r="AU1086" s="68"/>
      <c r="AV1086" s="68"/>
      <c r="AW1086" s="68"/>
      <c r="AX1086" s="68"/>
      <c r="AY1086" s="68"/>
      <c r="AZ1086" s="68"/>
      <c r="BA1086" s="68"/>
      <c r="BB1086" s="68"/>
      <c r="BC1086" s="68"/>
      <c r="BD1086" s="68"/>
      <c r="BE1086" s="68"/>
      <c r="BF1086" s="68"/>
      <c r="BG1086" s="68"/>
      <c r="BH1086" s="68"/>
      <c r="BI1086" s="68"/>
      <c r="BJ1086" s="68"/>
      <c r="BK1086" s="68"/>
      <c r="BL1086" s="68"/>
      <c r="BM1086" s="68"/>
      <c r="BN1086" s="68"/>
      <c r="BO1086" s="68"/>
      <c r="BP1086" s="68"/>
      <c r="BQ1086" s="68"/>
      <c r="BR1086" s="68"/>
      <c r="BS1086" s="68"/>
      <c r="BT1086" s="68"/>
      <c r="BU1086" s="68"/>
      <c r="BV1086" s="68"/>
      <c r="BW1086" s="68"/>
      <c r="BX1086" s="68"/>
      <c r="BY1086" s="68"/>
      <c r="BZ1086" s="68"/>
      <c r="CA1086" s="68"/>
      <c r="CB1086" s="68"/>
      <c r="CC1086" s="68"/>
      <c r="CD1086" s="68"/>
      <c r="CE1086" s="68"/>
      <c r="CF1086" s="68"/>
      <c r="CG1086" s="68"/>
      <c r="CH1086" s="68"/>
      <c r="CI1086" s="68"/>
      <c r="CJ1086" s="68"/>
      <c r="CK1086" s="68"/>
      <c r="CL1086" s="68"/>
      <c r="CM1086" s="68"/>
      <c r="CN1086" s="68"/>
      <c r="CO1086" s="68"/>
      <c r="CP1086" s="68"/>
      <c r="CQ1086" s="68"/>
      <c r="CR1086" s="68"/>
      <c r="CS1086" s="68"/>
      <c r="CT1086" s="68"/>
      <c r="CU1086" s="68"/>
      <c r="CV1086" s="68"/>
      <c r="CW1086" s="68"/>
      <c r="CX1086" s="68"/>
    </row>
    <row r="1087" spans="4:102" s="71" customFormat="1" hidden="1">
      <c r="D1087" s="105"/>
      <c r="E1087" s="111"/>
      <c r="F1087" s="111"/>
      <c r="G1087" s="111"/>
      <c r="H1087" s="105"/>
      <c r="I1087" s="111"/>
      <c r="J1087" s="111"/>
      <c r="K1087" s="112"/>
      <c r="L1087" s="100"/>
      <c r="M1087" s="100"/>
      <c r="N1087" s="100"/>
      <c r="O1087" s="100"/>
      <c r="P1087" s="65"/>
      <c r="Q1087" s="103"/>
      <c r="R1087" s="103"/>
      <c r="S1087" s="103"/>
      <c r="T1087" s="103"/>
      <c r="U1087" s="68"/>
      <c r="V1087" s="69"/>
      <c r="W1087" s="68"/>
      <c r="X1087" s="68"/>
      <c r="Y1087" s="68"/>
      <c r="Z1087" s="68"/>
      <c r="AA1087" s="68"/>
      <c r="AB1087" s="68"/>
      <c r="AC1087" s="68"/>
      <c r="AD1087" s="68"/>
      <c r="AE1087" s="68"/>
      <c r="AF1087" s="68"/>
      <c r="AG1087" s="68"/>
      <c r="AH1087" s="68"/>
      <c r="AI1087" s="68"/>
      <c r="AJ1087" s="68"/>
      <c r="AK1087" s="68"/>
      <c r="AL1087" s="68"/>
      <c r="AM1087" s="68"/>
      <c r="AN1087" s="68"/>
      <c r="AO1087" s="68"/>
      <c r="AP1087" s="68"/>
      <c r="AQ1087" s="68"/>
      <c r="AR1087" s="68"/>
      <c r="AS1087" s="68"/>
      <c r="AT1087" s="68"/>
      <c r="AU1087" s="68"/>
      <c r="AV1087" s="68"/>
      <c r="AW1087" s="68"/>
      <c r="AX1087" s="68"/>
      <c r="AY1087" s="68"/>
      <c r="AZ1087" s="68"/>
      <c r="BA1087" s="68"/>
      <c r="BB1087" s="68"/>
      <c r="BC1087" s="68"/>
      <c r="BD1087" s="68"/>
      <c r="BE1087" s="68"/>
      <c r="BF1087" s="68"/>
      <c r="BG1087" s="68"/>
      <c r="BH1087" s="68"/>
      <c r="BI1087" s="68"/>
      <c r="BJ1087" s="68"/>
      <c r="BK1087" s="68"/>
      <c r="BL1087" s="68"/>
      <c r="BM1087" s="68"/>
      <c r="BN1087" s="68"/>
      <c r="BO1087" s="68"/>
      <c r="BP1087" s="68"/>
      <c r="BQ1087" s="68"/>
      <c r="BR1087" s="68"/>
      <c r="BS1087" s="68"/>
      <c r="BT1087" s="68"/>
      <c r="BU1087" s="68"/>
      <c r="BV1087" s="68"/>
      <c r="BW1087" s="68"/>
      <c r="BX1087" s="68"/>
      <c r="BY1087" s="68"/>
      <c r="BZ1087" s="68"/>
      <c r="CA1087" s="68"/>
      <c r="CB1087" s="68"/>
      <c r="CC1087" s="68"/>
      <c r="CD1087" s="68"/>
      <c r="CE1087" s="68"/>
      <c r="CF1087" s="68"/>
      <c r="CG1087" s="68"/>
      <c r="CH1087" s="68"/>
      <c r="CI1087" s="68"/>
      <c r="CJ1087" s="68"/>
      <c r="CK1087" s="68"/>
      <c r="CL1087" s="68"/>
      <c r="CM1087" s="68"/>
      <c r="CN1087" s="68"/>
      <c r="CO1087" s="68"/>
      <c r="CP1087" s="68"/>
      <c r="CQ1087" s="68"/>
      <c r="CR1087" s="68"/>
      <c r="CS1087" s="68"/>
      <c r="CT1087" s="68"/>
      <c r="CU1087" s="68"/>
      <c r="CV1087" s="68"/>
      <c r="CW1087" s="68"/>
      <c r="CX1087" s="68"/>
    </row>
    <row r="1088" spans="4:102" s="71" customFormat="1" hidden="1">
      <c r="D1088" s="105"/>
      <c r="E1088" s="111"/>
      <c r="F1088" s="111"/>
      <c r="G1088" s="111"/>
      <c r="H1088" s="105"/>
      <c r="I1088" s="111"/>
      <c r="J1088" s="111"/>
      <c r="K1088" s="112"/>
      <c r="L1088" s="100"/>
      <c r="M1088" s="100"/>
      <c r="N1088" s="100"/>
      <c r="O1088" s="100"/>
      <c r="P1088" s="65"/>
      <c r="Q1088" s="103"/>
      <c r="R1088" s="103"/>
      <c r="S1088" s="103"/>
      <c r="T1088" s="103"/>
      <c r="U1088" s="68"/>
      <c r="V1088" s="69"/>
      <c r="W1088" s="68"/>
      <c r="X1088" s="68"/>
      <c r="Y1088" s="68"/>
      <c r="Z1088" s="68"/>
      <c r="AA1088" s="68"/>
      <c r="AB1088" s="68"/>
      <c r="AC1088" s="68"/>
      <c r="AD1088" s="68"/>
      <c r="AE1088" s="68"/>
      <c r="AF1088" s="68"/>
      <c r="AG1088" s="68"/>
      <c r="AH1088" s="68"/>
      <c r="AI1088" s="68"/>
      <c r="AJ1088" s="68"/>
      <c r="AK1088" s="68"/>
      <c r="AL1088" s="68"/>
      <c r="AM1088" s="68"/>
      <c r="AN1088" s="68"/>
      <c r="AO1088" s="68"/>
      <c r="AP1088" s="68"/>
      <c r="AQ1088" s="68"/>
      <c r="AR1088" s="68"/>
      <c r="AS1088" s="68"/>
      <c r="AT1088" s="68"/>
      <c r="AU1088" s="68"/>
      <c r="AV1088" s="68"/>
      <c r="AW1088" s="68"/>
      <c r="AX1088" s="68"/>
      <c r="AY1088" s="68"/>
      <c r="AZ1088" s="68"/>
      <c r="BA1088" s="68"/>
      <c r="BB1088" s="68"/>
      <c r="BC1088" s="68"/>
      <c r="BD1088" s="68"/>
      <c r="BE1088" s="68"/>
      <c r="BF1088" s="68"/>
      <c r="BG1088" s="68"/>
      <c r="BH1088" s="68"/>
      <c r="BI1088" s="68"/>
      <c r="BJ1088" s="68"/>
      <c r="BK1088" s="68"/>
      <c r="BL1088" s="68"/>
      <c r="BM1088" s="68"/>
      <c r="BN1088" s="68"/>
      <c r="BO1088" s="68"/>
      <c r="BP1088" s="68"/>
      <c r="BQ1088" s="68"/>
      <c r="BR1088" s="68"/>
      <c r="BS1088" s="68"/>
      <c r="BT1088" s="68"/>
      <c r="BU1088" s="68"/>
      <c r="BV1088" s="68"/>
      <c r="BW1088" s="68"/>
      <c r="BX1088" s="68"/>
      <c r="BY1088" s="68"/>
      <c r="BZ1088" s="68"/>
      <c r="CA1088" s="68"/>
      <c r="CB1088" s="68"/>
      <c r="CC1088" s="68"/>
      <c r="CD1088" s="68"/>
      <c r="CE1088" s="68"/>
      <c r="CF1088" s="68"/>
      <c r="CG1088" s="68"/>
      <c r="CH1088" s="68"/>
      <c r="CI1088" s="68"/>
      <c r="CJ1088" s="68"/>
      <c r="CK1088" s="68"/>
      <c r="CL1088" s="68"/>
      <c r="CM1088" s="68"/>
      <c r="CN1088" s="68"/>
      <c r="CO1088" s="68"/>
      <c r="CP1088" s="68"/>
      <c r="CQ1088" s="68"/>
      <c r="CR1088" s="68"/>
      <c r="CS1088" s="68"/>
      <c r="CT1088" s="68"/>
      <c r="CU1088" s="68"/>
      <c r="CV1088" s="68"/>
      <c r="CW1088" s="68"/>
      <c r="CX1088" s="68"/>
    </row>
    <row r="1089" spans="4:102" s="71" customFormat="1" hidden="1">
      <c r="D1089" s="105"/>
      <c r="E1089" s="111"/>
      <c r="F1089" s="111"/>
      <c r="G1089" s="111"/>
      <c r="H1089" s="105"/>
      <c r="I1089" s="111"/>
      <c r="J1089" s="111"/>
      <c r="K1089" s="112"/>
      <c r="L1089" s="100"/>
      <c r="M1089" s="100"/>
      <c r="N1089" s="100"/>
      <c r="O1089" s="100"/>
      <c r="P1089" s="65"/>
      <c r="Q1089" s="103"/>
      <c r="R1089" s="103"/>
      <c r="S1089" s="103"/>
      <c r="T1089" s="103"/>
      <c r="U1089" s="68"/>
      <c r="V1089" s="69"/>
      <c r="W1089" s="68"/>
      <c r="X1089" s="68"/>
      <c r="Y1089" s="68"/>
      <c r="Z1089" s="68"/>
      <c r="AA1089" s="68"/>
      <c r="AB1089" s="68"/>
      <c r="AC1089" s="68"/>
      <c r="AD1089" s="68"/>
      <c r="AE1089" s="68"/>
      <c r="AF1089" s="68"/>
      <c r="AG1089" s="68"/>
      <c r="AH1089" s="68"/>
      <c r="AI1089" s="68"/>
      <c r="AJ1089" s="68"/>
      <c r="AK1089" s="68"/>
      <c r="AL1089" s="68"/>
      <c r="AM1089" s="68"/>
      <c r="AN1089" s="68"/>
      <c r="AO1089" s="68"/>
      <c r="AP1089" s="68"/>
      <c r="AQ1089" s="68"/>
      <c r="AR1089" s="68"/>
      <c r="AS1089" s="68"/>
      <c r="AT1089" s="68"/>
      <c r="AU1089" s="68"/>
      <c r="AV1089" s="68"/>
      <c r="AW1089" s="68"/>
      <c r="AX1089" s="68"/>
      <c r="AY1089" s="68"/>
      <c r="AZ1089" s="68"/>
      <c r="BA1089" s="68"/>
      <c r="BB1089" s="68"/>
      <c r="BC1089" s="68"/>
      <c r="BD1089" s="68"/>
      <c r="BE1089" s="68"/>
      <c r="BF1089" s="68"/>
      <c r="BG1089" s="68"/>
      <c r="BH1089" s="68"/>
      <c r="BI1089" s="68"/>
      <c r="BJ1089" s="68"/>
      <c r="BK1089" s="68"/>
      <c r="BL1089" s="68"/>
      <c r="BM1089" s="68"/>
      <c r="BN1089" s="68"/>
      <c r="BO1089" s="68"/>
      <c r="BP1089" s="68"/>
      <c r="BQ1089" s="68"/>
      <c r="BR1089" s="68"/>
      <c r="BS1089" s="68"/>
      <c r="BT1089" s="68"/>
      <c r="BU1089" s="68"/>
      <c r="BV1089" s="68"/>
      <c r="BW1089" s="68"/>
      <c r="BX1089" s="68"/>
      <c r="BY1089" s="68"/>
      <c r="BZ1089" s="68"/>
      <c r="CA1089" s="68"/>
      <c r="CB1089" s="68"/>
      <c r="CC1089" s="68"/>
      <c r="CD1089" s="68"/>
      <c r="CE1089" s="68"/>
      <c r="CF1089" s="68"/>
      <c r="CG1089" s="68"/>
      <c r="CH1089" s="68"/>
      <c r="CI1089" s="68"/>
      <c r="CJ1089" s="68"/>
      <c r="CK1089" s="68"/>
      <c r="CL1089" s="68"/>
      <c r="CM1089" s="68"/>
      <c r="CN1089" s="68"/>
      <c r="CO1089" s="68"/>
      <c r="CP1089" s="68"/>
      <c r="CQ1089" s="68"/>
      <c r="CR1089" s="68"/>
      <c r="CS1089" s="68"/>
      <c r="CT1089" s="68"/>
      <c r="CU1089" s="68"/>
      <c r="CV1089" s="68"/>
      <c r="CW1089" s="68"/>
      <c r="CX1089" s="68"/>
    </row>
    <row r="1090" spans="4:102" s="71" customFormat="1" hidden="1">
      <c r="D1090" s="105"/>
      <c r="E1090" s="111"/>
      <c r="F1090" s="111"/>
      <c r="G1090" s="111"/>
      <c r="H1090" s="105"/>
      <c r="I1090" s="111"/>
      <c r="J1090" s="111"/>
      <c r="K1090" s="112"/>
      <c r="L1090" s="100"/>
      <c r="M1090" s="100"/>
      <c r="N1090" s="100"/>
      <c r="O1090" s="100"/>
      <c r="P1090" s="65"/>
      <c r="Q1090" s="103"/>
      <c r="R1090" s="103"/>
      <c r="S1090" s="103"/>
      <c r="T1090" s="103"/>
      <c r="U1090" s="68"/>
      <c r="V1090" s="69"/>
      <c r="W1090" s="68"/>
      <c r="X1090" s="68"/>
      <c r="Y1090" s="68"/>
      <c r="Z1090" s="68"/>
      <c r="AA1090" s="68"/>
      <c r="AB1090" s="68"/>
      <c r="AC1090" s="68"/>
      <c r="AD1090" s="68"/>
      <c r="AE1090" s="68"/>
      <c r="AF1090" s="68"/>
      <c r="AG1090" s="68"/>
      <c r="AH1090" s="68"/>
      <c r="AI1090" s="68"/>
      <c r="AJ1090" s="68"/>
      <c r="AK1090" s="68"/>
      <c r="AL1090" s="68"/>
      <c r="AM1090" s="68"/>
      <c r="AN1090" s="68"/>
      <c r="AO1090" s="68"/>
      <c r="AP1090" s="68"/>
      <c r="AQ1090" s="68"/>
      <c r="AR1090" s="68"/>
      <c r="AS1090" s="68"/>
      <c r="AT1090" s="68"/>
      <c r="AU1090" s="68"/>
      <c r="AV1090" s="68"/>
      <c r="AW1090" s="68"/>
      <c r="AX1090" s="68"/>
      <c r="AY1090" s="68"/>
      <c r="AZ1090" s="68"/>
      <c r="BA1090" s="68"/>
      <c r="BB1090" s="68"/>
      <c r="BC1090" s="68"/>
      <c r="BD1090" s="68"/>
      <c r="BE1090" s="68"/>
      <c r="BF1090" s="68"/>
      <c r="BG1090" s="68"/>
      <c r="BH1090" s="68"/>
      <c r="BI1090" s="68"/>
      <c r="BJ1090" s="68"/>
      <c r="BK1090" s="68"/>
      <c r="BL1090" s="68"/>
      <c r="BM1090" s="68"/>
      <c r="BN1090" s="68"/>
      <c r="BO1090" s="68"/>
      <c r="BP1090" s="68"/>
      <c r="BQ1090" s="68"/>
      <c r="BR1090" s="68"/>
      <c r="BS1090" s="68"/>
      <c r="BT1090" s="68"/>
      <c r="BU1090" s="68"/>
      <c r="BV1090" s="68"/>
      <c r="BW1090" s="68"/>
      <c r="BX1090" s="68"/>
      <c r="BY1090" s="68"/>
      <c r="BZ1090" s="68"/>
      <c r="CA1090" s="68"/>
      <c r="CB1090" s="68"/>
      <c r="CC1090" s="68"/>
      <c r="CD1090" s="68"/>
      <c r="CE1090" s="68"/>
      <c r="CF1090" s="68"/>
      <c r="CG1090" s="68"/>
      <c r="CH1090" s="68"/>
      <c r="CI1090" s="68"/>
      <c r="CJ1090" s="68"/>
      <c r="CK1090" s="68"/>
      <c r="CL1090" s="68"/>
      <c r="CM1090" s="68"/>
      <c r="CN1090" s="68"/>
      <c r="CO1090" s="68"/>
      <c r="CP1090" s="68"/>
      <c r="CQ1090" s="68"/>
      <c r="CR1090" s="68"/>
      <c r="CS1090" s="68"/>
      <c r="CT1090" s="68"/>
      <c r="CU1090" s="68"/>
      <c r="CV1090" s="68"/>
      <c r="CW1090" s="68"/>
      <c r="CX1090" s="68"/>
    </row>
    <row r="1091" spans="4:102" s="71" customFormat="1" hidden="1">
      <c r="D1091" s="105"/>
      <c r="E1091" s="111"/>
      <c r="F1091" s="111"/>
      <c r="G1091" s="111"/>
      <c r="H1091" s="105"/>
      <c r="I1091" s="111"/>
      <c r="J1091" s="111"/>
      <c r="K1091" s="112"/>
      <c r="L1091" s="100"/>
      <c r="M1091" s="100"/>
      <c r="N1091" s="100"/>
      <c r="O1091" s="100"/>
      <c r="P1091" s="65"/>
      <c r="Q1091" s="103"/>
      <c r="R1091" s="103"/>
      <c r="S1091" s="103"/>
      <c r="T1091" s="103"/>
      <c r="U1091" s="68"/>
      <c r="V1091" s="69"/>
      <c r="W1091" s="68"/>
      <c r="X1091" s="68"/>
      <c r="Y1091" s="68"/>
      <c r="Z1091" s="68"/>
      <c r="AA1091" s="68"/>
      <c r="AB1091" s="68"/>
      <c r="AC1091" s="68"/>
      <c r="AD1091" s="68"/>
      <c r="AE1091" s="68"/>
      <c r="AF1091" s="68"/>
      <c r="AG1091" s="68"/>
      <c r="AH1091" s="68"/>
      <c r="AI1091" s="68"/>
      <c r="AJ1091" s="68"/>
      <c r="AK1091" s="68"/>
      <c r="AL1091" s="68"/>
      <c r="AM1091" s="68"/>
      <c r="AN1091" s="68"/>
      <c r="AO1091" s="68"/>
      <c r="AP1091" s="68"/>
      <c r="AQ1091" s="68"/>
      <c r="AR1091" s="68"/>
      <c r="AS1091" s="68"/>
      <c r="AT1091" s="68"/>
      <c r="AU1091" s="68"/>
      <c r="AV1091" s="68"/>
      <c r="AW1091" s="68"/>
      <c r="AX1091" s="68"/>
      <c r="AY1091" s="68"/>
      <c r="AZ1091" s="68"/>
      <c r="BA1091" s="68"/>
      <c r="BB1091" s="68"/>
      <c r="BC1091" s="68"/>
      <c r="BD1091" s="68"/>
      <c r="BE1091" s="68"/>
      <c r="BF1091" s="68"/>
      <c r="BG1091" s="68"/>
      <c r="BH1091" s="68"/>
      <c r="BI1091" s="68"/>
      <c r="BJ1091" s="68"/>
      <c r="BK1091" s="68"/>
      <c r="BL1091" s="68"/>
      <c r="BM1091" s="68"/>
      <c r="BN1091" s="68"/>
      <c r="BO1091" s="68"/>
      <c r="BP1091" s="68"/>
      <c r="BQ1091" s="68"/>
      <c r="BR1091" s="68"/>
      <c r="BS1091" s="68"/>
      <c r="BT1091" s="68"/>
      <c r="BU1091" s="68"/>
      <c r="BV1091" s="68"/>
      <c r="BW1091" s="68"/>
      <c r="BX1091" s="68"/>
      <c r="BY1091" s="68"/>
      <c r="BZ1091" s="68"/>
      <c r="CA1091" s="68"/>
      <c r="CB1091" s="68"/>
      <c r="CC1091" s="68"/>
      <c r="CD1091" s="68"/>
      <c r="CE1091" s="68"/>
      <c r="CF1091" s="68"/>
      <c r="CG1091" s="68"/>
      <c r="CH1091" s="68"/>
      <c r="CI1091" s="68"/>
      <c r="CJ1091" s="68"/>
      <c r="CK1091" s="68"/>
      <c r="CL1091" s="68"/>
      <c r="CM1091" s="68"/>
      <c r="CN1091" s="68"/>
      <c r="CO1091" s="68"/>
      <c r="CP1091" s="68"/>
      <c r="CQ1091" s="68"/>
      <c r="CR1091" s="68"/>
      <c r="CS1091" s="68"/>
      <c r="CT1091" s="68"/>
      <c r="CU1091" s="68"/>
      <c r="CV1091" s="68"/>
      <c r="CW1091" s="68"/>
      <c r="CX1091" s="68"/>
    </row>
    <row r="1092" spans="4:102" s="71" customFormat="1" hidden="1">
      <c r="D1092" s="105"/>
      <c r="E1092" s="111"/>
      <c r="F1092" s="111"/>
      <c r="G1092" s="111"/>
      <c r="H1092" s="105"/>
      <c r="I1092" s="111"/>
      <c r="J1092" s="111"/>
      <c r="K1092" s="112"/>
      <c r="L1092" s="100"/>
      <c r="M1092" s="100"/>
      <c r="N1092" s="100"/>
      <c r="O1092" s="100"/>
      <c r="P1092" s="65"/>
      <c r="Q1092" s="103"/>
      <c r="R1092" s="103"/>
      <c r="S1092" s="103"/>
      <c r="T1092" s="103"/>
      <c r="U1092" s="68"/>
      <c r="V1092" s="69"/>
      <c r="W1092" s="68"/>
      <c r="X1092" s="68"/>
      <c r="Y1092" s="68"/>
      <c r="Z1092" s="68"/>
      <c r="AA1092" s="68"/>
      <c r="AB1092" s="68"/>
      <c r="AC1092" s="68"/>
      <c r="AD1092" s="68"/>
      <c r="AE1092" s="68"/>
      <c r="AF1092" s="68"/>
      <c r="AG1092" s="68"/>
      <c r="AH1092" s="68"/>
      <c r="AI1092" s="68"/>
      <c r="AJ1092" s="68"/>
      <c r="AK1092" s="68"/>
      <c r="AL1092" s="68"/>
      <c r="AM1092" s="68"/>
      <c r="AN1092" s="68"/>
      <c r="AO1092" s="68"/>
      <c r="AP1092" s="68"/>
      <c r="AQ1092" s="68"/>
      <c r="AR1092" s="68"/>
      <c r="AS1092" s="68"/>
      <c r="AT1092" s="68"/>
      <c r="AU1092" s="68"/>
      <c r="AV1092" s="68"/>
      <c r="AW1092" s="68"/>
      <c r="AX1092" s="68"/>
      <c r="AY1092" s="68"/>
      <c r="AZ1092" s="68"/>
      <c r="BA1092" s="68"/>
      <c r="BB1092" s="68"/>
      <c r="BC1092" s="68"/>
      <c r="BD1092" s="68"/>
      <c r="BE1092" s="68"/>
      <c r="BF1092" s="68"/>
      <c r="BG1092" s="68"/>
      <c r="BH1092" s="68"/>
      <c r="BI1092" s="68"/>
      <c r="BJ1092" s="68"/>
      <c r="BK1092" s="68"/>
      <c r="BL1092" s="68"/>
      <c r="BM1092" s="68"/>
      <c r="BN1092" s="68"/>
      <c r="BO1092" s="68"/>
      <c r="BP1092" s="68"/>
      <c r="BQ1092" s="68"/>
      <c r="BR1092" s="68"/>
      <c r="BS1092" s="68"/>
      <c r="BT1092" s="68"/>
      <c r="BU1092" s="68"/>
      <c r="BV1092" s="68"/>
      <c r="BW1092" s="68"/>
      <c r="BX1092" s="68"/>
      <c r="BY1092" s="68"/>
      <c r="BZ1092" s="68"/>
      <c r="CA1092" s="68"/>
      <c r="CB1092" s="68"/>
      <c r="CC1092" s="68"/>
      <c r="CD1092" s="68"/>
      <c r="CE1092" s="68"/>
      <c r="CF1092" s="68"/>
      <c r="CG1092" s="68"/>
      <c r="CH1092" s="68"/>
      <c r="CI1092" s="68"/>
      <c r="CJ1092" s="68"/>
      <c r="CK1092" s="68"/>
      <c r="CL1092" s="68"/>
      <c r="CM1092" s="68"/>
      <c r="CN1092" s="68"/>
      <c r="CO1092" s="68"/>
      <c r="CP1092" s="68"/>
      <c r="CQ1092" s="68"/>
      <c r="CR1092" s="68"/>
      <c r="CS1092" s="68"/>
      <c r="CT1092" s="68"/>
      <c r="CU1092" s="68"/>
      <c r="CV1092" s="68"/>
      <c r="CW1092" s="68"/>
      <c r="CX1092" s="68"/>
    </row>
    <row r="1093" spans="4:102" s="71" customFormat="1" hidden="1">
      <c r="D1093" s="105"/>
      <c r="E1093" s="111"/>
      <c r="F1093" s="111"/>
      <c r="G1093" s="111"/>
      <c r="H1093" s="105"/>
      <c r="I1093" s="111"/>
      <c r="J1093" s="111"/>
      <c r="K1093" s="112"/>
      <c r="L1093" s="100"/>
      <c r="M1093" s="100"/>
      <c r="N1093" s="100"/>
      <c r="O1093" s="100"/>
      <c r="P1093" s="65"/>
      <c r="Q1093" s="103"/>
      <c r="R1093" s="103"/>
      <c r="S1093" s="103"/>
      <c r="T1093" s="103"/>
      <c r="U1093" s="68"/>
      <c r="V1093" s="69"/>
      <c r="W1093" s="68"/>
      <c r="X1093" s="68"/>
      <c r="Y1093" s="68"/>
      <c r="Z1093" s="68"/>
      <c r="AA1093" s="68"/>
      <c r="AB1093" s="68"/>
      <c r="AC1093" s="68"/>
      <c r="AD1093" s="68"/>
      <c r="AE1093" s="68"/>
      <c r="AF1093" s="68"/>
      <c r="AG1093" s="68"/>
      <c r="AH1093" s="68"/>
      <c r="AI1093" s="68"/>
      <c r="AJ1093" s="68"/>
      <c r="AK1093" s="68"/>
      <c r="AL1093" s="68"/>
      <c r="AM1093" s="68"/>
      <c r="AN1093" s="68"/>
      <c r="AO1093" s="68"/>
      <c r="AP1093" s="68"/>
      <c r="AQ1093" s="68"/>
      <c r="AR1093" s="68"/>
      <c r="AS1093" s="68"/>
      <c r="AT1093" s="68"/>
      <c r="AU1093" s="68"/>
      <c r="AV1093" s="68"/>
      <c r="AW1093" s="68"/>
      <c r="AX1093" s="68"/>
      <c r="AY1093" s="68"/>
      <c r="AZ1093" s="68"/>
      <c r="BA1093" s="68"/>
      <c r="BB1093" s="68"/>
      <c r="BC1093" s="68"/>
      <c r="BD1093" s="68"/>
      <c r="BE1093" s="68"/>
      <c r="BF1093" s="68"/>
      <c r="BG1093" s="68"/>
      <c r="BH1093" s="68"/>
      <c r="BI1093" s="68"/>
      <c r="BJ1093" s="68"/>
      <c r="BK1093" s="68"/>
      <c r="BL1093" s="68"/>
      <c r="BM1093" s="68"/>
      <c r="BN1093" s="68"/>
      <c r="BO1093" s="68"/>
      <c r="BP1093" s="68"/>
      <c r="BQ1093" s="68"/>
      <c r="BR1093" s="68"/>
      <c r="BS1093" s="68"/>
      <c r="BT1093" s="68"/>
      <c r="BU1093" s="68"/>
      <c r="BV1093" s="68"/>
      <c r="BW1093" s="68"/>
      <c r="BX1093" s="68"/>
      <c r="BY1093" s="68"/>
      <c r="BZ1093" s="68"/>
      <c r="CA1093" s="68"/>
      <c r="CB1093" s="68"/>
      <c r="CC1093" s="68"/>
      <c r="CD1093" s="68"/>
      <c r="CE1093" s="68"/>
      <c r="CF1093" s="68"/>
      <c r="CG1093" s="68"/>
      <c r="CH1093" s="68"/>
      <c r="CI1093" s="68"/>
      <c r="CJ1093" s="68"/>
      <c r="CK1093" s="68"/>
      <c r="CL1093" s="68"/>
      <c r="CM1093" s="68"/>
      <c r="CN1093" s="68"/>
      <c r="CO1093" s="68"/>
      <c r="CP1093" s="68"/>
      <c r="CQ1093" s="68"/>
      <c r="CR1093" s="68"/>
      <c r="CS1093" s="68"/>
      <c r="CT1093" s="68"/>
      <c r="CU1093" s="68"/>
      <c r="CV1093" s="68"/>
      <c r="CW1093" s="68"/>
      <c r="CX1093" s="68"/>
    </row>
    <row r="1094" spans="4:102" s="71" customFormat="1" hidden="1">
      <c r="D1094" s="105"/>
      <c r="E1094" s="111"/>
      <c r="F1094" s="111"/>
      <c r="G1094" s="111"/>
      <c r="H1094" s="105"/>
      <c r="I1094" s="111"/>
      <c r="J1094" s="111"/>
      <c r="K1094" s="112"/>
      <c r="L1094" s="100"/>
      <c r="M1094" s="100"/>
      <c r="N1094" s="100"/>
      <c r="O1094" s="100"/>
      <c r="P1094" s="65"/>
      <c r="Q1094" s="103"/>
      <c r="R1094" s="103"/>
      <c r="S1094" s="103"/>
      <c r="T1094" s="103"/>
      <c r="U1094" s="68"/>
      <c r="V1094" s="69"/>
      <c r="W1094" s="68"/>
      <c r="X1094" s="68"/>
      <c r="Y1094" s="68"/>
      <c r="Z1094" s="68"/>
      <c r="AA1094" s="68"/>
      <c r="AB1094" s="68"/>
      <c r="AC1094" s="68"/>
      <c r="AD1094" s="68"/>
      <c r="AE1094" s="68"/>
      <c r="AF1094" s="68"/>
      <c r="AG1094" s="68"/>
      <c r="AH1094" s="68"/>
      <c r="AI1094" s="68"/>
      <c r="AJ1094" s="68"/>
      <c r="AK1094" s="68"/>
      <c r="AL1094" s="68"/>
      <c r="AM1094" s="68"/>
      <c r="AN1094" s="68"/>
      <c r="AO1094" s="68"/>
      <c r="AP1094" s="68"/>
      <c r="AQ1094" s="68"/>
      <c r="AR1094" s="68"/>
      <c r="AS1094" s="68"/>
      <c r="AT1094" s="68"/>
      <c r="AU1094" s="68"/>
      <c r="AV1094" s="68"/>
      <c r="AW1094" s="68"/>
      <c r="AX1094" s="68"/>
      <c r="AY1094" s="68"/>
      <c r="AZ1094" s="68"/>
      <c r="BA1094" s="68"/>
      <c r="BB1094" s="68"/>
      <c r="BC1094" s="68"/>
      <c r="BD1094" s="68"/>
      <c r="BE1094" s="68"/>
      <c r="BF1094" s="68"/>
      <c r="BG1094" s="68"/>
      <c r="BH1094" s="68"/>
      <c r="BI1094" s="68"/>
      <c r="BJ1094" s="68"/>
      <c r="BK1094" s="68"/>
      <c r="BL1094" s="68"/>
      <c r="BM1094" s="68"/>
      <c r="BN1094" s="68"/>
      <c r="BO1094" s="68"/>
      <c r="BP1094" s="68"/>
      <c r="BQ1094" s="68"/>
      <c r="BR1094" s="68"/>
      <c r="BS1094" s="68"/>
      <c r="BT1094" s="68"/>
      <c r="BU1094" s="68"/>
      <c r="BV1094" s="68"/>
      <c r="BW1094" s="68"/>
      <c r="BX1094" s="68"/>
      <c r="BY1094" s="68"/>
      <c r="BZ1094" s="68"/>
      <c r="CA1094" s="68"/>
      <c r="CB1094" s="68"/>
      <c r="CC1094" s="68"/>
      <c r="CD1094" s="68"/>
      <c r="CE1094" s="68"/>
      <c r="CF1094" s="68"/>
      <c r="CG1094" s="68"/>
      <c r="CH1094" s="68"/>
      <c r="CI1094" s="68"/>
      <c r="CJ1094" s="68"/>
      <c r="CK1094" s="68"/>
      <c r="CL1094" s="68"/>
      <c r="CM1094" s="68"/>
      <c r="CN1094" s="68"/>
      <c r="CO1094" s="68"/>
      <c r="CP1094" s="68"/>
      <c r="CQ1094" s="68"/>
      <c r="CR1094" s="68"/>
      <c r="CS1094" s="68"/>
      <c r="CT1094" s="68"/>
      <c r="CU1094" s="68"/>
      <c r="CV1094" s="68"/>
      <c r="CW1094" s="68"/>
      <c r="CX1094" s="68"/>
    </row>
    <row r="1095" spans="4:102" s="71" customFormat="1" hidden="1">
      <c r="D1095" s="105"/>
      <c r="E1095" s="111"/>
      <c r="F1095" s="111"/>
      <c r="G1095" s="111"/>
      <c r="H1095" s="105"/>
      <c r="I1095" s="111"/>
      <c r="J1095" s="111"/>
      <c r="K1095" s="112"/>
      <c r="L1095" s="100"/>
      <c r="M1095" s="100"/>
      <c r="N1095" s="100"/>
      <c r="O1095" s="100"/>
      <c r="P1095" s="65"/>
      <c r="Q1095" s="103"/>
      <c r="R1095" s="103"/>
      <c r="S1095" s="103"/>
      <c r="T1095" s="103"/>
      <c r="U1095" s="68"/>
      <c r="V1095" s="69"/>
      <c r="W1095" s="68"/>
      <c r="X1095" s="68"/>
      <c r="Y1095" s="68"/>
      <c r="Z1095" s="68"/>
      <c r="AA1095" s="68"/>
      <c r="AB1095" s="68"/>
      <c r="AC1095" s="68"/>
      <c r="AD1095" s="68"/>
      <c r="AE1095" s="68"/>
      <c r="AF1095" s="68"/>
      <c r="AG1095" s="68"/>
      <c r="AH1095" s="68"/>
      <c r="AI1095" s="68"/>
      <c r="AJ1095" s="68"/>
      <c r="AK1095" s="68"/>
      <c r="AL1095" s="68"/>
      <c r="AM1095" s="68"/>
      <c r="AN1095" s="68"/>
      <c r="AO1095" s="68"/>
      <c r="AP1095" s="68"/>
      <c r="AQ1095" s="68"/>
      <c r="AR1095" s="68"/>
      <c r="AS1095" s="68"/>
      <c r="AT1095" s="68"/>
      <c r="AU1095" s="68"/>
      <c r="AV1095" s="68"/>
      <c r="AW1095" s="68"/>
      <c r="AX1095" s="68"/>
      <c r="AY1095" s="68"/>
      <c r="AZ1095" s="68"/>
      <c r="BA1095" s="68"/>
      <c r="BB1095" s="68"/>
      <c r="BC1095" s="68"/>
      <c r="BD1095" s="68"/>
      <c r="BE1095" s="68"/>
      <c r="BF1095" s="68"/>
      <c r="BG1095" s="68"/>
      <c r="BH1095" s="68"/>
      <c r="BI1095" s="68"/>
      <c r="BJ1095" s="68"/>
      <c r="BK1095" s="68"/>
      <c r="BL1095" s="68"/>
      <c r="BM1095" s="68"/>
      <c r="BN1095" s="68"/>
      <c r="BO1095" s="68"/>
      <c r="BP1095" s="68"/>
      <c r="BQ1095" s="68"/>
      <c r="BR1095" s="68"/>
      <c r="BS1095" s="68"/>
      <c r="BT1095" s="68"/>
      <c r="BU1095" s="68"/>
      <c r="BV1095" s="68"/>
      <c r="BW1095" s="68"/>
      <c r="BX1095" s="68"/>
      <c r="BY1095" s="68"/>
      <c r="BZ1095" s="68"/>
      <c r="CA1095" s="68"/>
      <c r="CB1095" s="68"/>
      <c r="CC1095" s="68"/>
      <c r="CD1095" s="68"/>
      <c r="CE1095" s="68"/>
      <c r="CF1095" s="68"/>
      <c r="CG1095" s="68"/>
      <c r="CH1095" s="68"/>
      <c r="CI1095" s="68"/>
      <c r="CJ1095" s="68"/>
      <c r="CK1095" s="68"/>
      <c r="CL1095" s="68"/>
      <c r="CM1095" s="68"/>
      <c r="CN1095" s="68"/>
      <c r="CO1095" s="68"/>
      <c r="CP1095" s="68"/>
      <c r="CQ1095" s="68"/>
      <c r="CR1095" s="68"/>
      <c r="CS1095" s="68"/>
      <c r="CT1095" s="68"/>
      <c r="CU1095" s="68"/>
      <c r="CV1095" s="68"/>
      <c r="CW1095" s="68"/>
      <c r="CX1095" s="68"/>
    </row>
    <row r="1096" spans="4:102" s="71" customFormat="1" hidden="1">
      <c r="D1096" s="105"/>
      <c r="E1096" s="111"/>
      <c r="F1096" s="111"/>
      <c r="G1096" s="111"/>
      <c r="H1096" s="105"/>
      <c r="I1096" s="111"/>
      <c r="J1096" s="111"/>
      <c r="K1096" s="112"/>
      <c r="L1096" s="100"/>
      <c r="M1096" s="100"/>
      <c r="N1096" s="100"/>
      <c r="O1096" s="100"/>
      <c r="P1096" s="65"/>
      <c r="Q1096" s="103"/>
      <c r="R1096" s="103"/>
      <c r="S1096" s="103"/>
      <c r="T1096" s="103"/>
      <c r="U1096" s="68"/>
      <c r="V1096" s="69"/>
      <c r="W1096" s="68"/>
      <c r="X1096" s="68"/>
      <c r="Y1096" s="68"/>
      <c r="Z1096" s="68"/>
      <c r="AA1096" s="68"/>
      <c r="AB1096" s="68"/>
      <c r="AC1096" s="68"/>
      <c r="AD1096" s="68"/>
      <c r="AE1096" s="68"/>
      <c r="AF1096" s="68"/>
      <c r="AG1096" s="68"/>
      <c r="AH1096" s="68"/>
      <c r="AI1096" s="68"/>
      <c r="AJ1096" s="68"/>
      <c r="AK1096" s="68"/>
      <c r="AL1096" s="68"/>
      <c r="AM1096" s="68"/>
      <c r="AN1096" s="68"/>
      <c r="AO1096" s="68"/>
      <c r="AP1096" s="68"/>
      <c r="AQ1096" s="68"/>
      <c r="AR1096" s="68"/>
      <c r="AS1096" s="68"/>
      <c r="AT1096" s="68"/>
      <c r="AU1096" s="68"/>
      <c r="AV1096" s="68"/>
      <c r="AW1096" s="68"/>
      <c r="AX1096" s="68"/>
      <c r="AY1096" s="68"/>
      <c r="AZ1096" s="68"/>
      <c r="BA1096" s="68"/>
      <c r="BB1096" s="68"/>
      <c r="BC1096" s="68"/>
      <c r="BD1096" s="68"/>
      <c r="BE1096" s="68"/>
      <c r="BF1096" s="68"/>
      <c r="BG1096" s="68"/>
      <c r="BH1096" s="68"/>
      <c r="BI1096" s="68"/>
      <c r="BJ1096" s="68"/>
      <c r="BK1096" s="68"/>
      <c r="BL1096" s="68"/>
      <c r="BM1096" s="68"/>
      <c r="BN1096" s="68"/>
      <c r="BO1096" s="68"/>
      <c r="BP1096" s="68"/>
      <c r="BQ1096" s="68"/>
      <c r="BR1096" s="68"/>
      <c r="BS1096" s="68"/>
      <c r="BT1096" s="68"/>
      <c r="BU1096" s="68"/>
      <c r="BV1096" s="68"/>
      <c r="BW1096" s="68"/>
      <c r="BX1096" s="68"/>
      <c r="BY1096" s="68"/>
      <c r="BZ1096" s="68"/>
      <c r="CA1096" s="68"/>
      <c r="CB1096" s="68"/>
      <c r="CC1096" s="68"/>
      <c r="CD1096" s="68"/>
      <c r="CE1096" s="68"/>
      <c r="CF1096" s="68"/>
      <c r="CG1096" s="68"/>
      <c r="CH1096" s="68"/>
      <c r="CI1096" s="68"/>
      <c r="CJ1096" s="68"/>
      <c r="CK1096" s="68"/>
      <c r="CL1096" s="68"/>
      <c r="CM1096" s="68"/>
      <c r="CN1096" s="68"/>
      <c r="CO1096" s="68"/>
      <c r="CP1096" s="68"/>
      <c r="CQ1096" s="68"/>
      <c r="CR1096" s="68"/>
      <c r="CS1096" s="68"/>
      <c r="CT1096" s="68"/>
      <c r="CU1096" s="68"/>
      <c r="CV1096" s="68"/>
      <c r="CW1096" s="68"/>
      <c r="CX1096" s="68"/>
    </row>
    <row r="1097" spans="4:102" s="71" customFormat="1" hidden="1">
      <c r="D1097" s="105"/>
      <c r="E1097" s="111"/>
      <c r="F1097" s="111"/>
      <c r="G1097" s="111"/>
      <c r="H1097" s="105"/>
      <c r="I1097" s="111"/>
      <c r="J1097" s="111"/>
      <c r="K1097" s="112"/>
      <c r="L1097" s="100"/>
      <c r="M1097" s="100"/>
      <c r="N1097" s="100"/>
      <c r="O1097" s="100"/>
      <c r="P1097" s="65"/>
      <c r="Q1097" s="103"/>
      <c r="R1097" s="103"/>
      <c r="S1097" s="103"/>
      <c r="T1097" s="103"/>
      <c r="U1097" s="68"/>
      <c r="V1097" s="69"/>
      <c r="W1097" s="68"/>
      <c r="X1097" s="68"/>
      <c r="Y1097" s="68"/>
      <c r="Z1097" s="68"/>
      <c r="AA1097" s="68"/>
      <c r="AB1097" s="68"/>
      <c r="AC1097" s="68"/>
      <c r="AD1097" s="68"/>
      <c r="AE1097" s="68"/>
      <c r="AF1097" s="68"/>
      <c r="AG1097" s="68"/>
      <c r="AH1097" s="68"/>
      <c r="AI1097" s="68"/>
      <c r="AJ1097" s="68"/>
      <c r="AK1097" s="68"/>
      <c r="AL1097" s="68"/>
      <c r="AM1097" s="68"/>
      <c r="AN1097" s="68"/>
      <c r="AO1097" s="68"/>
      <c r="AP1097" s="68"/>
      <c r="AQ1097" s="68"/>
      <c r="AR1097" s="68"/>
      <c r="AS1097" s="68"/>
      <c r="AT1097" s="68"/>
      <c r="AU1097" s="68"/>
      <c r="AV1097" s="68"/>
      <c r="AW1097" s="68"/>
      <c r="AX1097" s="68"/>
      <c r="AY1097" s="68"/>
      <c r="AZ1097" s="68"/>
      <c r="BA1097" s="68"/>
      <c r="BB1097" s="68"/>
      <c r="BC1097" s="68"/>
      <c r="BD1097" s="68"/>
      <c r="BE1097" s="68"/>
      <c r="BF1097" s="68"/>
      <c r="BG1097" s="68"/>
      <c r="BH1097" s="68"/>
      <c r="BI1097" s="68"/>
      <c r="BJ1097" s="68"/>
      <c r="BK1097" s="68"/>
      <c r="BL1097" s="68"/>
      <c r="BM1097" s="68"/>
      <c r="BN1097" s="68"/>
      <c r="BO1097" s="68"/>
      <c r="BP1097" s="68"/>
      <c r="BQ1097" s="68"/>
      <c r="BR1097" s="68"/>
      <c r="BS1097" s="68"/>
      <c r="BT1097" s="68"/>
      <c r="BU1097" s="68"/>
      <c r="BV1097" s="68"/>
      <c r="BW1097" s="68"/>
      <c r="BX1097" s="68"/>
      <c r="BY1097" s="68"/>
      <c r="BZ1097" s="68"/>
      <c r="CA1097" s="68"/>
      <c r="CB1097" s="68"/>
      <c r="CC1097" s="68"/>
      <c r="CD1097" s="68"/>
      <c r="CE1097" s="68"/>
      <c r="CF1097" s="68"/>
      <c r="CG1097" s="68"/>
      <c r="CH1097" s="68"/>
      <c r="CI1097" s="68"/>
      <c r="CJ1097" s="68"/>
      <c r="CK1097" s="68"/>
      <c r="CL1097" s="68"/>
      <c r="CM1097" s="68"/>
      <c r="CN1097" s="68"/>
      <c r="CO1097" s="68"/>
      <c r="CP1097" s="68"/>
      <c r="CQ1097" s="68"/>
      <c r="CR1097" s="68"/>
      <c r="CS1097" s="68"/>
      <c r="CT1097" s="68"/>
      <c r="CU1097" s="68"/>
      <c r="CV1097" s="68"/>
      <c r="CW1097" s="68"/>
      <c r="CX1097" s="68"/>
    </row>
    <row r="1098" spans="4:102" s="71" customFormat="1" hidden="1">
      <c r="D1098" s="105"/>
      <c r="E1098" s="111"/>
      <c r="F1098" s="111"/>
      <c r="G1098" s="111"/>
      <c r="H1098" s="105"/>
      <c r="I1098" s="111"/>
      <c r="J1098" s="111"/>
      <c r="K1098" s="112"/>
      <c r="L1098" s="100"/>
      <c r="M1098" s="100"/>
      <c r="N1098" s="100"/>
      <c r="O1098" s="100"/>
      <c r="P1098" s="65"/>
      <c r="Q1098" s="103"/>
      <c r="R1098" s="103"/>
      <c r="S1098" s="103"/>
      <c r="T1098" s="103"/>
      <c r="U1098" s="68"/>
      <c r="V1098" s="69"/>
      <c r="W1098" s="68"/>
      <c r="X1098" s="68"/>
      <c r="Y1098" s="68"/>
      <c r="Z1098" s="68"/>
      <c r="AA1098" s="68"/>
      <c r="AB1098" s="68"/>
      <c r="AC1098" s="68"/>
      <c r="AD1098" s="68"/>
      <c r="AE1098" s="68"/>
      <c r="AF1098" s="68"/>
      <c r="AG1098" s="68"/>
      <c r="AH1098" s="68"/>
      <c r="AI1098" s="68"/>
      <c r="AJ1098" s="68"/>
      <c r="AK1098" s="68"/>
      <c r="AL1098" s="68"/>
      <c r="AM1098" s="68"/>
      <c r="AN1098" s="68"/>
      <c r="AO1098" s="68"/>
      <c r="AP1098" s="68"/>
      <c r="AQ1098" s="68"/>
      <c r="AR1098" s="68"/>
      <c r="AS1098" s="68"/>
      <c r="AT1098" s="68"/>
      <c r="AU1098" s="68"/>
      <c r="AV1098" s="68"/>
      <c r="AW1098" s="68"/>
      <c r="AX1098" s="68"/>
      <c r="AY1098" s="68"/>
      <c r="AZ1098" s="68"/>
      <c r="BA1098" s="68"/>
      <c r="BB1098" s="68"/>
      <c r="BC1098" s="68"/>
      <c r="BD1098" s="68"/>
      <c r="BE1098" s="68"/>
      <c r="BF1098" s="68"/>
      <c r="BG1098" s="68"/>
      <c r="BH1098" s="68"/>
      <c r="BI1098" s="68"/>
      <c r="BJ1098" s="68"/>
      <c r="BK1098" s="68"/>
      <c r="BL1098" s="68"/>
      <c r="BM1098" s="68"/>
      <c r="BN1098" s="68"/>
      <c r="BO1098" s="68"/>
      <c r="BP1098" s="68"/>
      <c r="BQ1098" s="68"/>
      <c r="BR1098" s="68"/>
      <c r="BS1098" s="68"/>
      <c r="BT1098" s="68"/>
      <c r="BU1098" s="68"/>
      <c r="BV1098" s="68"/>
      <c r="BW1098" s="68"/>
      <c r="BX1098" s="68"/>
      <c r="BY1098" s="68"/>
      <c r="BZ1098" s="68"/>
      <c r="CA1098" s="68"/>
      <c r="CB1098" s="68"/>
      <c r="CC1098" s="68"/>
      <c r="CD1098" s="68"/>
      <c r="CE1098" s="68"/>
      <c r="CF1098" s="68"/>
      <c r="CG1098" s="68"/>
      <c r="CH1098" s="68"/>
      <c r="CI1098" s="68"/>
      <c r="CJ1098" s="68"/>
      <c r="CK1098" s="68"/>
      <c r="CL1098" s="68"/>
      <c r="CM1098" s="68"/>
      <c r="CN1098" s="68"/>
      <c r="CO1098" s="68"/>
      <c r="CP1098" s="68"/>
      <c r="CQ1098" s="68"/>
      <c r="CR1098" s="68"/>
      <c r="CS1098" s="68"/>
      <c r="CT1098" s="68"/>
      <c r="CU1098" s="68"/>
      <c r="CV1098" s="68"/>
      <c r="CW1098" s="68"/>
      <c r="CX1098" s="68"/>
    </row>
    <row r="1099" spans="4:102" s="71" customFormat="1" hidden="1">
      <c r="D1099" s="105"/>
      <c r="E1099" s="111"/>
      <c r="F1099" s="111"/>
      <c r="G1099" s="111"/>
      <c r="H1099" s="105"/>
      <c r="I1099" s="111"/>
      <c r="J1099" s="111"/>
      <c r="K1099" s="112"/>
      <c r="L1099" s="100"/>
      <c r="M1099" s="100"/>
      <c r="N1099" s="100"/>
      <c r="O1099" s="100"/>
      <c r="P1099" s="65"/>
      <c r="Q1099" s="103"/>
      <c r="R1099" s="103"/>
      <c r="S1099" s="103"/>
      <c r="T1099" s="103"/>
      <c r="U1099" s="68"/>
      <c r="V1099" s="69"/>
      <c r="W1099" s="68"/>
      <c r="X1099" s="68"/>
      <c r="Y1099" s="68"/>
      <c r="Z1099" s="68"/>
      <c r="AA1099" s="68"/>
      <c r="AB1099" s="68"/>
      <c r="AC1099" s="68"/>
      <c r="AD1099" s="68"/>
      <c r="AE1099" s="68"/>
      <c r="AF1099" s="68"/>
      <c r="AG1099" s="68"/>
      <c r="AH1099" s="68"/>
      <c r="AI1099" s="68"/>
      <c r="AJ1099" s="68"/>
      <c r="AK1099" s="68"/>
      <c r="AL1099" s="68"/>
      <c r="AM1099" s="68"/>
      <c r="AN1099" s="68"/>
      <c r="AO1099" s="68"/>
      <c r="AP1099" s="68"/>
      <c r="AQ1099" s="68"/>
      <c r="AR1099" s="68"/>
      <c r="AS1099" s="68"/>
      <c r="AT1099" s="68"/>
      <c r="AU1099" s="68"/>
      <c r="AV1099" s="68"/>
      <c r="AW1099" s="68"/>
      <c r="AX1099" s="68"/>
      <c r="AY1099" s="68"/>
      <c r="AZ1099" s="68"/>
      <c r="BA1099" s="68"/>
      <c r="BB1099" s="68"/>
      <c r="BC1099" s="68"/>
      <c r="BD1099" s="68"/>
      <c r="BE1099" s="68"/>
      <c r="BF1099" s="68"/>
      <c r="BG1099" s="68"/>
      <c r="BH1099" s="68"/>
      <c r="BI1099" s="68"/>
      <c r="BJ1099" s="68"/>
      <c r="BK1099" s="68"/>
      <c r="BL1099" s="68"/>
      <c r="BM1099" s="68"/>
      <c r="BN1099" s="68"/>
      <c r="BO1099" s="68"/>
      <c r="BP1099" s="68"/>
      <c r="BQ1099" s="68"/>
      <c r="BR1099" s="68"/>
      <c r="BS1099" s="68"/>
      <c r="BT1099" s="68"/>
      <c r="BU1099" s="68"/>
      <c r="BV1099" s="68"/>
      <c r="BW1099" s="68"/>
      <c r="BX1099" s="68"/>
      <c r="BY1099" s="68"/>
      <c r="BZ1099" s="68"/>
      <c r="CA1099" s="68"/>
      <c r="CB1099" s="68"/>
      <c r="CC1099" s="68"/>
      <c r="CD1099" s="68"/>
      <c r="CE1099" s="68"/>
      <c r="CF1099" s="68"/>
      <c r="CG1099" s="68"/>
      <c r="CH1099" s="68"/>
      <c r="CI1099" s="68"/>
      <c r="CJ1099" s="68"/>
      <c r="CK1099" s="68"/>
      <c r="CL1099" s="68"/>
      <c r="CM1099" s="68"/>
      <c r="CN1099" s="68"/>
      <c r="CO1099" s="68"/>
      <c r="CP1099" s="68"/>
      <c r="CQ1099" s="68"/>
      <c r="CR1099" s="68"/>
      <c r="CS1099" s="68"/>
      <c r="CT1099" s="68"/>
      <c r="CU1099" s="68"/>
      <c r="CV1099" s="68"/>
      <c r="CW1099" s="68"/>
      <c r="CX1099" s="68"/>
    </row>
    <row r="1100" spans="4:102" s="71" customFormat="1" hidden="1">
      <c r="D1100" s="105"/>
      <c r="E1100" s="111"/>
      <c r="F1100" s="111"/>
      <c r="G1100" s="111"/>
      <c r="H1100" s="105"/>
      <c r="I1100" s="111"/>
      <c r="J1100" s="111"/>
      <c r="K1100" s="112"/>
      <c r="L1100" s="100"/>
      <c r="M1100" s="100"/>
      <c r="N1100" s="100"/>
      <c r="O1100" s="100"/>
      <c r="P1100" s="65"/>
      <c r="Q1100" s="103"/>
      <c r="R1100" s="103"/>
      <c r="S1100" s="103"/>
      <c r="T1100" s="103"/>
      <c r="U1100" s="68"/>
      <c r="V1100" s="69"/>
      <c r="W1100" s="68"/>
      <c r="X1100" s="68"/>
      <c r="Y1100" s="68"/>
      <c r="Z1100" s="68"/>
      <c r="AA1100" s="68"/>
      <c r="AB1100" s="68"/>
      <c r="AC1100" s="68"/>
      <c r="AD1100" s="68"/>
      <c r="AE1100" s="68"/>
      <c r="AF1100" s="68"/>
      <c r="AG1100" s="68"/>
      <c r="AH1100" s="68"/>
      <c r="AI1100" s="68"/>
      <c r="AJ1100" s="68"/>
      <c r="AK1100" s="68"/>
      <c r="AL1100" s="68"/>
      <c r="AM1100" s="68"/>
      <c r="AN1100" s="68"/>
      <c r="AO1100" s="68"/>
      <c r="AP1100" s="68"/>
      <c r="AQ1100" s="68"/>
      <c r="AR1100" s="68"/>
      <c r="AS1100" s="68"/>
      <c r="AT1100" s="68"/>
      <c r="AU1100" s="68"/>
      <c r="AV1100" s="68"/>
      <c r="AW1100" s="68"/>
      <c r="AX1100" s="68"/>
      <c r="AY1100" s="68"/>
      <c r="AZ1100" s="68"/>
      <c r="BA1100" s="68"/>
      <c r="BB1100" s="68"/>
      <c r="BC1100" s="68"/>
      <c r="BD1100" s="68"/>
      <c r="BE1100" s="68"/>
      <c r="BF1100" s="68"/>
      <c r="BG1100" s="68"/>
      <c r="BH1100" s="68"/>
      <c r="BI1100" s="68"/>
      <c r="BJ1100" s="68"/>
      <c r="BK1100" s="68"/>
      <c r="BL1100" s="68"/>
      <c r="BM1100" s="68"/>
      <c r="BN1100" s="68"/>
      <c r="BO1100" s="68"/>
      <c r="BP1100" s="68"/>
      <c r="BQ1100" s="68"/>
      <c r="BR1100" s="68"/>
      <c r="BS1100" s="68"/>
      <c r="BT1100" s="68"/>
      <c r="BU1100" s="68"/>
      <c r="BV1100" s="68"/>
      <c r="BW1100" s="68"/>
      <c r="BX1100" s="68"/>
      <c r="BY1100" s="68"/>
      <c r="BZ1100" s="68"/>
      <c r="CA1100" s="68"/>
      <c r="CB1100" s="68"/>
      <c r="CC1100" s="68"/>
      <c r="CD1100" s="68"/>
      <c r="CE1100" s="68"/>
      <c r="CF1100" s="68"/>
      <c r="CG1100" s="68"/>
      <c r="CH1100" s="68"/>
      <c r="CI1100" s="68"/>
      <c r="CJ1100" s="68"/>
      <c r="CK1100" s="68"/>
      <c r="CL1100" s="68"/>
      <c r="CM1100" s="68"/>
      <c r="CN1100" s="68"/>
      <c r="CO1100" s="68"/>
      <c r="CP1100" s="68"/>
      <c r="CQ1100" s="68"/>
      <c r="CR1100" s="68"/>
      <c r="CS1100" s="68"/>
      <c r="CT1100" s="68"/>
      <c r="CU1100" s="68"/>
      <c r="CV1100" s="68"/>
      <c r="CW1100" s="68"/>
      <c r="CX1100" s="68"/>
    </row>
    <row r="1101" spans="4:102" s="71" customFormat="1" hidden="1">
      <c r="D1101" s="105"/>
      <c r="E1101" s="111"/>
      <c r="F1101" s="111"/>
      <c r="G1101" s="111"/>
      <c r="H1101" s="105"/>
      <c r="I1101" s="111"/>
      <c r="J1101" s="111"/>
      <c r="K1101" s="112"/>
      <c r="L1101" s="100"/>
      <c r="M1101" s="100"/>
      <c r="N1101" s="100"/>
      <c r="O1101" s="100"/>
      <c r="P1101" s="65"/>
      <c r="Q1101" s="103"/>
      <c r="R1101" s="103"/>
      <c r="S1101" s="103"/>
      <c r="T1101" s="103"/>
      <c r="U1101" s="68"/>
      <c r="V1101" s="69"/>
      <c r="W1101" s="68"/>
      <c r="X1101" s="68"/>
      <c r="Y1101" s="68"/>
      <c r="Z1101" s="68"/>
      <c r="AA1101" s="68"/>
      <c r="AB1101" s="68"/>
      <c r="AC1101" s="68"/>
      <c r="AD1101" s="68"/>
      <c r="AE1101" s="68"/>
      <c r="AF1101" s="68"/>
      <c r="AG1101" s="68"/>
      <c r="AH1101" s="68"/>
      <c r="AI1101" s="68"/>
      <c r="AJ1101" s="68"/>
      <c r="AK1101" s="68"/>
      <c r="AL1101" s="68"/>
      <c r="AM1101" s="68"/>
      <c r="AN1101" s="68"/>
      <c r="AO1101" s="68"/>
      <c r="AP1101" s="68"/>
      <c r="AQ1101" s="68"/>
      <c r="AR1101" s="68"/>
      <c r="AS1101" s="68"/>
      <c r="AT1101" s="68"/>
      <c r="AU1101" s="68"/>
      <c r="AV1101" s="68"/>
      <c r="AW1101" s="68"/>
      <c r="AX1101" s="68"/>
      <c r="AY1101" s="68"/>
      <c r="AZ1101" s="68"/>
      <c r="BA1101" s="68"/>
      <c r="BB1101" s="68"/>
      <c r="BC1101" s="68"/>
      <c r="BD1101" s="68"/>
      <c r="BE1101" s="68"/>
      <c r="BF1101" s="68"/>
      <c r="BG1101" s="68"/>
      <c r="BH1101" s="68"/>
      <c r="BI1101" s="68"/>
      <c r="BJ1101" s="68"/>
      <c r="BK1101" s="68"/>
      <c r="BL1101" s="68"/>
      <c r="BM1101" s="68"/>
      <c r="BN1101" s="68"/>
      <c r="BO1101" s="68"/>
      <c r="BP1101" s="68"/>
      <c r="BQ1101" s="68"/>
      <c r="BR1101" s="68"/>
      <c r="BS1101" s="68"/>
      <c r="BT1101" s="68"/>
      <c r="BU1101" s="68"/>
      <c r="BV1101" s="68"/>
      <c r="BW1101" s="68"/>
      <c r="BX1101" s="68"/>
      <c r="BY1101" s="68"/>
      <c r="BZ1101" s="68"/>
      <c r="CA1101" s="68"/>
      <c r="CB1101" s="68"/>
      <c r="CC1101" s="68"/>
      <c r="CD1101" s="68"/>
      <c r="CE1101" s="68"/>
      <c r="CF1101" s="68"/>
      <c r="CG1101" s="68"/>
      <c r="CH1101" s="68"/>
      <c r="CI1101" s="68"/>
      <c r="CJ1101" s="68"/>
      <c r="CK1101" s="68"/>
      <c r="CL1101" s="68"/>
      <c r="CM1101" s="68"/>
      <c r="CN1101" s="68"/>
      <c r="CO1101" s="68"/>
      <c r="CP1101" s="68"/>
      <c r="CQ1101" s="68"/>
      <c r="CR1101" s="68"/>
      <c r="CS1101" s="68"/>
      <c r="CT1101" s="68"/>
      <c r="CU1101" s="68"/>
      <c r="CV1101" s="68"/>
      <c r="CW1101" s="68"/>
      <c r="CX1101" s="68"/>
    </row>
    <row r="1102" spans="4:102" s="71" customFormat="1" hidden="1">
      <c r="D1102" s="105"/>
      <c r="E1102" s="111"/>
      <c r="F1102" s="111"/>
      <c r="G1102" s="111"/>
      <c r="H1102" s="105"/>
      <c r="I1102" s="111"/>
      <c r="J1102" s="111"/>
      <c r="K1102" s="112"/>
      <c r="L1102" s="100"/>
      <c r="M1102" s="100"/>
      <c r="N1102" s="100"/>
      <c r="O1102" s="100"/>
      <c r="P1102" s="65"/>
      <c r="Q1102" s="103"/>
      <c r="R1102" s="103"/>
      <c r="S1102" s="103"/>
      <c r="T1102" s="103"/>
      <c r="U1102" s="68"/>
      <c r="V1102" s="69"/>
      <c r="W1102" s="68"/>
      <c r="X1102" s="68"/>
      <c r="Y1102" s="68"/>
      <c r="Z1102" s="68"/>
      <c r="AA1102" s="68"/>
      <c r="AB1102" s="68"/>
      <c r="AC1102" s="68"/>
      <c r="AD1102" s="68"/>
      <c r="AE1102" s="68"/>
      <c r="AF1102" s="68"/>
      <c r="AG1102" s="68"/>
      <c r="AH1102" s="68"/>
      <c r="AI1102" s="68"/>
      <c r="AJ1102" s="68"/>
      <c r="AK1102" s="68"/>
      <c r="AL1102" s="68"/>
      <c r="AM1102" s="68"/>
      <c r="AN1102" s="68"/>
      <c r="AO1102" s="68"/>
      <c r="AP1102" s="68"/>
      <c r="AQ1102" s="68"/>
      <c r="AR1102" s="68"/>
      <c r="AS1102" s="68"/>
      <c r="AT1102" s="68"/>
      <c r="AU1102" s="68"/>
      <c r="AV1102" s="68"/>
      <c r="AW1102" s="68"/>
      <c r="AX1102" s="68"/>
      <c r="AY1102" s="68"/>
      <c r="AZ1102" s="68"/>
      <c r="BA1102" s="68"/>
      <c r="BB1102" s="68"/>
      <c r="BC1102" s="68"/>
      <c r="BD1102" s="68"/>
      <c r="BE1102" s="68"/>
      <c r="BF1102" s="68"/>
      <c r="BG1102" s="68"/>
      <c r="BH1102" s="68"/>
      <c r="BI1102" s="68"/>
      <c r="BJ1102" s="68"/>
      <c r="BK1102" s="68"/>
      <c r="BL1102" s="68"/>
      <c r="BM1102" s="68"/>
      <c r="BN1102" s="68"/>
      <c r="BO1102" s="68"/>
      <c r="BP1102" s="68"/>
      <c r="BQ1102" s="68"/>
      <c r="BR1102" s="68"/>
      <c r="BS1102" s="68"/>
      <c r="BT1102" s="68"/>
      <c r="BU1102" s="68"/>
      <c r="BV1102" s="68"/>
      <c r="BW1102" s="68"/>
      <c r="BX1102" s="68"/>
      <c r="BY1102" s="68"/>
      <c r="BZ1102" s="68"/>
      <c r="CA1102" s="68"/>
      <c r="CB1102" s="68"/>
      <c r="CC1102" s="68"/>
      <c r="CD1102" s="68"/>
      <c r="CE1102" s="68"/>
      <c r="CF1102" s="68"/>
      <c r="CG1102" s="68"/>
      <c r="CH1102" s="68"/>
      <c r="CI1102" s="68"/>
      <c r="CJ1102" s="68"/>
      <c r="CK1102" s="68"/>
      <c r="CL1102" s="68"/>
      <c r="CM1102" s="68"/>
      <c r="CN1102" s="68"/>
      <c r="CO1102" s="68"/>
      <c r="CP1102" s="68"/>
      <c r="CQ1102" s="68"/>
      <c r="CR1102" s="68"/>
      <c r="CS1102" s="68"/>
      <c r="CT1102" s="68"/>
      <c r="CU1102" s="68"/>
      <c r="CV1102" s="68"/>
      <c r="CW1102" s="68"/>
      <c r="CX1102" s="68"/>
    </row>
    <row r="1103" spans="4:102" s="71" customFormat="1" hidden="1">
      <c r="D1103" s="105"/>
      <c r="E1103" s="111"/>
      <c r="F1103" s="111"/>
      <c r="G1103" s="111"/>
      <c r="H1103" s="105"/>
      <c r="I1103" s="111"/>
      <c r="J1103" s="111"/>
      <c r="K1103" s="112"/>
      <c r="L1103" s="100"/>
      <c r="M1103" s="100"/>
      <c r="N1103" s="100"/>
      <c r="O1103" s="100"/>
      <c r="P1103" s="65"/>
      <c r="Q1103" s="103"/>
      <c r="R1103" s="103"/>
      <c r="S1103" s="103"/>
      <c r="T1103" s="103"/>
      <c r="U1103" s="68"/>
      <c r="V1103" s="69"/>
      <c r="W1103" s="68"/>
      <c r="X1103" s="68"/>
      <c r="Y1103" s="68"/>
      <c r="Z1103" s="68"/>
      <c r="AA1103" s="68"/>
      <c r="AB1103" s="68"/>
      <c r="AC1103" s="68"/>
      <c r="AD1103" s="68"/>
      <c r="AE1103" s="68"/>
      <c r="AF1103" s="68"/>
      <c r="AG1103" s="68"/>
      <c r="AH1103" s="68"/>
      <c r="AI1103" s="68"/>
      <c r="AJ1103" s="68"/>
      <c r="AK1103" s="68"/>
      <c r="AL1103" s="68"/>
      <c r="AM1103" s="68"/>
      <c r="AN1103" s="68"/>
      <c r="AO1103" s="68"/>
      <c r="AP1103" s="68"/>
      <c r="AQ1103" s="68"/>
      <c r="AR1103" s="68"/>
      <c r="AS1103" s="68"/>
      <c r="AT1103" s="68"/>
      <c r="AU1103" s="68"/>
      <c r="AV1103" s="68"/>
      <c r="AW1103" s="68"/>
      <c r="AX1103" s="68"/>
      <c r="AY1103" s="68"/>
      <c r="AZ1103" s="68"/>
      <c r="BA1103" s="68"/>
      <c r="BB1103" s="68"/>
      <c r="BC1103" s="68"/>
      <c r="BD1103" s="68"/>
      <c r="BE1103" s="68"/>
      <c r="BF1103" s="68"/>
      <c r="BG1103" s="68"/>
      <c r="BH1103" s="68"/>
      <c r="BI1103" s="68"/>
      <c r="BJ1103" s="68"/>
      <c r="BK1103" s="68"/>
      <c r="BL1103" s="68"/>
      <c r="BM1103" s="68"/>
      <c r="BN1103" s="68"/>
      <c r="BO1103" s="68"/>
      <c r="BP1103" s="68"/>
      <c r="BQ1103" s="68"/>
      <c r="BR1103" s="68"/>
      <c r="BS1103" s="68"/>
      <c r="BT1103" s="68"/>
      <c r="BU1103" s="68"/>
      <c r="BV1103" s="68"/>
      <c r="BW1103" s="68"/>
      <c r="BX1103" s="68"/>
      <c r="BY1103" s="68"/>
      <c r="BZ1103" s="68"/>
      <c r="CA1103" s="68"/>
      <c r="CB1103" s="68"/>
      <c r="CC1103" s="68"/>
      <c r="CD1103" s="68"/>
      <c r="CE1103" s="68"/>
      <c r="CF1103" s="68"/>
      <c r="CG1103" s="68"/>
      <c r="CH1103" s="68"/>
      <c r="CI1103" s="68"/>
      <c r="CJ1103" s="68"/>
      <c r="CK1103" s="68"/>
      <c r="CL1103" s="68"/>
      <c r="CM1103" s="68"/>
      <c r="CN1103" s="68"/>
      <c r="CO1103" s="68"/>
      <c r="CP1103" s="68"/>
      <c r="CQ1103" s="68"/>
      <c r="CR1103" s="68"/>
      <c r="CS1103" s="68"/>
      <c r="CT1103" s="68"/>
      <c r="CU1103" s="68"/>
      <c r="CV1103" s="68"/>
      <c r="CW1103" s="68"/>
      <c r="CX1103" s="68"/>
    </row>
    <row r="1104" spans="4:102" s="71" customFormat="1" hidden="1">
      <c r="D1104" s="105"/>
      <c r="E1104" s="111"/>
      <c r="F1104" s="111"/>
      <c r="G1104" s="111"/>
      <c r="H1104" s="105"/>
      <c r="I1104" s="111"/>
      <c r="J1104" s="111"/>
      <c r="K1104" s="112"/>
      <c r="L1104" s="100"/>
      <c r="M1104" s="100"/>
      <c r="N1104" s="100"/>
      <c r="O1104" s="100"/>
      <c r="P1104" s="65"/>
      <c r="Q1104" s="103"/>
      <c r="R1104" s="103"/>
      <c r="S1104" s="103"/>
      <c r="T1104" s="103"/>
      <c r="U1104" s="68"/>
      <c r="V1104" s="69"/>
      <c r="W1104" s="68"/>
      <c r="X1104" s="68"/>
      <c r="Y1104" s="68"/>
      <c r="Z1104" s="68"/>
      <c r="AA1104" s="68"/>
      <c r="AB1104" s="68"/>
      <c r="AC1104" s="68"/>
      <c r="AD1104" s="68"/>
      <c r="AE1104" s="68"/>
      <c r="AF1104" s="68"/>
      <c r="AG1104" s="68"/>
      <c r="AH1104" s="68"/>
      <c r="AI1104" s="68"/>
      <c r="AJ1104" s="68"/>
      <c r="AK1104" s="68"/>
      <c r="AL1104" s="68"/>
      <c r="AM1104" s="68"/>
      <c r="AN1104" s="68"/>
      <c r="AO1104" s="68"/>
      <c r="AP1104" s="68"/>
      <c r="AQ1104" s="68"/>
      <c r="AR1104" s="68"/>
      <c r="AS1104" s="68"/>
      <c r="AT1104" s="68"/>
      <c r="AU1104" s="68"/>
      <c r="AV1104" s="68"/>
      <c r="AW1104" s="68"/>
      <c r="AX1104" s="68"/>
      <c r="AY1104" s="68"/>
      <c r="AZ1104" s="68"/>
      <c r="BA1104" s="68"/>
      <c r="BB1104" s="68"/>
      <c r="BC1104" s="68"/>
      <c r="BD1104" s="68"/>
      <c r="BE1104" s="68"/>
      <c r="BF1104" s="68"/>
      <c r="BG1104" s="68"/>
      <c r="BH1104" s="68"/>
      <c r="BI1104" s="68"/>
      <c r="BJ1104" s="68"/>
      <c r="BK1104" s="68"/>
      <c r="BL1104" s="68"/>
      <c r="BM1104" s="68"/>
      <c r="BN1104" s="68"/>
      <c r="BO1104" s="68"/>
      <c r="BP1104" s="68"/>
      <c r="BQ1104" s="68"/>
      <c r="BR1104" s="68"/>
      <c r="BS1104" s="68"/>
      <c r="BT1104" s="68"/>
      <c r="BU1104" s="68"/>
      <c r="BV1104" s="68"/>
      <c r="BW1104" s="68"/>
      <c r="BX1104" s="68"/>
      <c r="BY1104" s="68"/>
      <c r="BZ1104" s="68"/>
      <c r="CA1104" s="68"/>
      <c r="CB1104" s="68"/>
      <c r="CC1104" s="68"/>
      <c r="CD1104" s="68"/>
      <c r="CE1104" s="68"/>
      <c r="CF1104" s="68"/>
      <c r="CG1104" s="68"/>
      <c r="CH1104" s="68"/>
      <c r="CI1104" s="68"/>
      <c r="CJ1104" s="68"/>
      <c r="CK1104" s="68"/>
      <c r="CL1104" s="68"/>
      <c r="CM1104" s="68"/>
      <c r="CN1104" s="68"/>
      <c r="CO1104" s="68"/>
      <c r="CP1104" s="68"/>
      <c r="CQ1104" s="68"/>
      <c r="CR1104" s="68"/>
      <c r="CS1104" s="68"/>
      <c r="CT1104" s="68"/>
      <c r="CU1104" s="68"/>
      <c r="CV1104" s="68"/>
      <c r="CW1104" s="68"/>
      <c r="CX1104" s="68"/>
    </row>
    <row r="1105" spans="4:102" s="71" customFormat="1" hidden="1">
      <c r="D1105" s="105"/>
      <c r="E1105" s="111"/>
      <c r="F1105" s="111"/>
      <c r="G1105" s="111"/>
      <c r="H1105" s="105"/>
      <c r="I1105" s="111"/>
      <c r="J1105" s="111"/>
      <c r="K1105" s="112"/>
      <c r="L1105" s="100"/>
      <c r="M1105" s="100"/>
      <c r="N1105" s="100"/>
      <c r="O1105" s="100"/>
      <c r="P1105" s="65"/>
      <c r="Q1105" s="103"/>
      <c r="R1105" s="103"/>
      <c r="S1105" s="103"/>
      <c r="T1105" s="103"/>
      <c r="U1105" s="68"/>
      <c r="V1105" s="69"/>
      <c r="W1105" s="68"/>
      <c r="X1105" s="68"/>
      <c r="Y1105" s="68"/>
      <c r="Z1105" s="68"/>
      <c r="AA1105" s="68"/>
      <c r="AB1105" s="68"/>
      <c r="AC1105" s="68"/>
      <c r="AD1105" s="68"/>
      <c r="AE1105" s="68"/>
      <c r="AF1105" s="68"/>
      <c r="AG1105" s="68"/>
      <c r="AH1105" s="68"/>
      <c r="AI1105" s="68"/>
      <c r="AJ1105" s="68"/>
      <c r="AK1105" s="68"/>
      <c r="AL1105" s="68"/>
      <c r="AM1105" s="68"/>
      <c r="AN1105" s="68"/>
      <c r="AO1105" s="68"/>
      <c r="AP1105" s="68"/>
      <c r="AQ1105" s="68"/>
      <c r="AR1105" s="68"/>
      <c r="AS1105" s="68"/>
      <c r="AT1105" s="68"/>
      <c r="AU1105" s="68"/>
      <c r="AV1105" s="68"/>
      <c r="AW1105" s="68"/>
      <c r="AX1105" s="68"/>
      <c r="AY1105" s="68"/>
      <c r="AZ1105" s="68"/>
      <c r="BA1105" s="68"/>
      <c r="BB1105" s="68"/>
      <c r="BC1105" s="68"/>
      <c r="BD1105" s="68"/>
      <c r="BE1105" s="68"/>
      <c r="BF1105" s="68"/>
      <c r="BG1105" s="68"/>
      <c r="BH1105" s="68"/>
      <c r="BI1105" s="68"/>
      <c r="BJ1105" s="68"/>
      <c r="BK1105" s="68"/>
      <c r="BL1105" s="68"/>
      <c r="BM1105" s="68"/>
      <c r="BN1105" s="68"/>
      <c r="BO1105" s="68"/>
      <c r="BP1105" s="68"/>
      <c r="BQ1105" s="68"/>
      <c r="BR1105" s="68"/>
      <c r="BS1105" s="68"/>
      <c r="BT1105" s="68"/>
      <c r="BU1105" s="68"/>
      <c r="BV1105" s="68"/>
      <c r="BW1105" s="68"/>
      <c r="BX1105" s="68"/>
      <c r="BY1105" s="68"/>
      <c r="BZ1105" s="68"/>
      <c r="CA1105" s="68"/>
      <c r="CB1105" s="68"/>
      <c r="CC1105" s="68"/>
      <c r="CD1105" s="68"/>
      <c r="CE1105" s="68"/>
      <c r="CF1105" s="68"/>
      <c r="CG1105" s="68"/>
      <c r="CH1105" s="68"/>
      <c r="CI1105" s="68"/>
      <c r="CJ1105" s="68"/>
      <c r="CK1105" s="68"/>
      <c r="CL1105" s="68"/>
      <c r="CM1105" s="68"/>
      <c r="CN1105" s="68"/>
      <c r="CO1105" s="68"/>
      <c r="CP1105" s="68"/>
      <c r="CQ1105" s="68"/>
      <c r="CR1105" s="68"/>
      <c r="CS1105" s="68"/>
      <c r="CT1105" s="68"/>
      <c r="CU1105" s="68"/>
      <c r="CV1105" s="68"/>
      <c r="CW1105" s="68"/>
      <c r="CX1105" s="68"/>
    </row>
    <row r="1106" spans="4:102" s="71" customFormat="1" hidden="1">
      <c r="D1106" s="105"/>
      <c r="E1106" s="111"/>
      <c r="F1106" s="111"/>
      <c r="G1106" s="111"/>
      <c r="H1106" s="105"/>
      <c r="I1106" s="111"/>
      <c r="J1106" s="111"/>
      <c r="K1106" s="112"/>
      <c r="L1106" s="100"/>
      <c r="M1106" s="100"/>
      <c r="N1106" s="100"/>
      <c r="O1106" s="100"/>
      <c r="P1106" s="65"/>
      <c r="Q1106" s="103"/>
      <c r="R1106" s="103"/>
      <c r="S1106" s="103"/>
      <c r="T1106" s="103"/>
      <c r="U1106" s="68"/>
      <c r="V1106" s="69"/>
      <c r="W1106" s="68"/>
      <c r="X1106" s="68"/>
      <c r="Y1106" s="68"/>
      <c r="Z1106" s="68"/>
      <c r="AA1106" s="68"/>
      <c r="AB1106" s="68"/>
      <c r="AC1106" s="68"/>
      <c r="AD1106" s="68"/>
      <c r="AE1106" s="68"/>
      <c r="AF1106" s="68"/>
      <c r="AG1106" s="68"/>
      <c r="AH1106" s="68"/>
      <c r="AI1106" s="68"/>
      <c r="AJ1106" s="68"/>
      <c r="AK1106" s="68"/>
      <c r="AL1106" s="68"/>
      <c r="AM1106" s="68"/>
      <c r="AN1106" s="68"/>
      <c r="AO1106" s="68"/>
      <c r="AP1106" s="68"/>
      <c r="AQ1106" s="68"/>
      <c r="AR1106" s="68"/>
      <c r="AS1106" s="68"/>
      <c r="AT1106" s="68"/>
      <c r="AU1106" s="68"/>
      <c r="AV1106" s="68"/>
      <c r="AW1106" s="68"/>
      <c r="AX1106" s="68"/>
      <c r="AY1106" s="68"/>
      <c r="AZ1106" s="68"/>
      <c r="BA1106" s="68"/>
      <c r="BB1106" s="68"/>
      <c r="BC1106" s="68"/>
      <c r="BD1106" s="68"/>
      <c r="BE1106" s="68"/>
      <c r="BF1106" s="68"/>
      <c r="BG1106" s="68"/>
      <c r="BH1106" s="68"/>
      <c r="BI1106" s="68"/>
      <c r="BJ1106" s="68"/>
      <c r="BK1106" s="68"/>
      <c r="BL1106" s="68"/>
      <c r="BM1106" s="68"/>
      <c r="BN1106" s="68"/>
      <c r="BO1106" s="68"/>
      <c r="BP1106" s="68"/>
      <c r="BQ1106" s="68"/>
      <c r="BR1106" s="68"/>
      <c r="BS1106" s="68"/>
      <c r="BT1106" s="68"/>
      <c r="BU1106" s="68"/>
      <c r="BV1106" s="68"/>
      <c r="BW1106" s="68"/>
      <c r="BX1106" s="68"/>
      <c r="BY1106" s="68"/>
      <c r="BZ1106" s="68"/>
      <c r="CA1106" s="68"/>
      <c r="CB1106" s="68"/>
      <c r="CC1106" s="68"/>
      <c r="CD1106" s="68"/>
      <c r="CE1106" s="68"/>
      <c r="CF1106" s="68"/>
      <c r="CG1106" s="68"/>
      <c r="CH1106" s="68"/>
      <c r="CI1106" s="68"/>
      <c r="CJ1106" s="68"/>
      <c r="CK1106" s="68"/>
      <c r="CL1106" s="68"/>
      <c r="CM1106" s="68"/>
      <c r="CN1106" s="68"/>
      <c r="CO1106" s="68"/>
      <c r="CP1106" s="68"/>
      <c r="CQ1106" s="68"/>
      <c r="CR1106" s="68"/>
      <c r="CS1106" s="68"/>
      <c r="CT1106" s="68"/>
      <c r="CU1106" s="68"/>
      <c r="CV1106" s="68"/>
      <c r="CW1106" s="68"/>
      <c r="CX1106" s="68"/>
    </row>
    <row r="1107" spans="4:102" s="71" customFormat="1" hidden="1">
      <c r="D1107" s="105"/>
      <c r="E1107" s="111"/>
      <c r="F1107" s="111"/>
      <c r="G1107" s="111"/>
      <c r="H1107" s="105"/>
      <c r="I1107" s="111"/>
      <c r="J1107" s="111"/>
      <c r="K1107" s="112"/>
      <c r="L1107" s="100"/>
      <c r="M1107" s="100"/>
      <c r="N1107" s="100"/>
      <c r="O1107" s="100"/>
      <c r="P1107" s="65"/>
      <c r="Q1107" s="103"/>
      <c r="R1107" s="103"/>
      <c r="S1107" s="103"/>
      <c r="T1107" s="103"/>
      <c r="U1107" s="68"/>
      <c r="V1107" s="69"/>
      <c r="W1107" s="68"/>
      <c r="X1107" s="68"/>
      <c r="Y1107" s="68"/>
      <c r="Z1107" s="68"/>
      <c r="AA1107" s="68"/>
      <c r="AB1107" s="68"/>
      <c r="AC1107" s="68"/>
      <c r="AD1107" s="68"/>
      <c r="AE1107" s="68"/>
      <c r="AF1107" s="68"/>
      <c r="AG1107" s="68"/>
      <c r="AH1107" s="68"/>
      <c r="AI1107" s="68"/>
      <c r="AJ1107" s="68"/>
      <c r="AK1107" s="68"/>
      <c r="AL1107" s="68"/>
      <c r="AM1107" s="68"/>
      <c r="AN1107" s="68"/>
      <c r="AO1107" s="68"/>
      <c r="AP1107" s="68"/>
      <c r="AQ1107" s="68"/>
      <c r="AR1107" s="68"/>
      <c r="AS1107" s="68"/>
      <c r="AT1107" s="68"/>
      <c r="AU1107" s="68"/>
      <c r="AV1107" s="68"/>
      <c r="AW1107" s="68"/>
      <c r="AX1107" s="68"/>
      <c r="AY1107" s="68"/>
      <c r="AZ1107" s="68"/>
      <c r="BA1107" s="68"/>
      <c r="BB1107" s="68"/>
      <c r="BC1107" s="68"/>
      <c r="BD1107" s="68"/>
      <c r="BE1107" s="68"/>
      <c r="BF1107" s="68"/>
      <c r="BG1107" s="68"/>
      <c r="BH1107" s="68"/>
      <c r="BI1107" s="68"/>
      <c r="BJ1107" s="68"/>
      <c r="BK1107" s="68"/>
      <c r="BL1107" s="68"/>
      <c r="BM1107" s="68"/>
      <c r="BN1107" s="68"/>
      <c r="BO1107" s="68"/>
      <c r="BP1107" s="68"/>
      <c r="BQ1107" s="68"/>
      <c r="BR1107" s="68"/>
      <c r="BS1107" s="68"/>
      <c r="BT1107" s="68"/>
      <c r="BU1107" s="68"/>
      <c r="BV1107" s="68"/>
      <c r="BW1107" s="68"/>
      <c r="BX1107" s="68"/>
      <c r="BY1107" s="68"/>
      <c r="BZ1107" s="68"/>
      <c r="CA1107" s="68"/>
      <c r="CB1107" s="68"/>
      <c r="CC1107" s="68"/>
      <c r="CD1107" s="68"/>
      <c r="CE1107" s="68"/>
      <c r="CF1107" s="68"/>
      <c r="CG1107" s="68"/>
      <c r="CH1107" s="68"/>
      <c r="CI1107" s="68"/>
      <c r="CJ1107" s="68"/>
      <c r="CK1107" s="68"/>
      <c r="CL1107" s="68"/>
      <c r="CM1107" s="68"/>
      <c r="CN1107" s="68"/>
      <c r="CO1107" s="68"/>
      <c r="CP1107" s="68"/>
      <c r="CQ1107" s="68"/>
      <c r="CR1107" s="68"/>
      <c r="CS1107" s="68"/>
      <c r="CT1107" s="68"/>
      <c r="CU1107" s="68"/>
      <c r="CV1107" s="68"/>
      <c r="CW1107" s="68"/>
      <c r="CX1107" s="68"/>
    </row>
    <row r="1108" spans="4:102" s="71" customFormat="1" hidden="1">
      <c r="D1108" s="105"/>
      <c r="E1108" s="111"/>
      <c r="F1108" s="111"/>
      <c r="G1108" s="111"/>
      <c r="H1108" s="105"/>
      <c r="I1108" s="111"/>
      <c r="J1108" s="111"/>
      <c r="K1108" s="112"/>
      <c r="L1108" s="100"/>
      <c r="M1108" s="100"/>
      <c r="N1108" s="100"/>
      <c r="O1108" s="100"/>
      <c r="P1108" s="65"/>
      <c r="Q1108" s="103"/>
      <c r="R1108" s="103"/>
      <c r="S1108" s="103"/>
      <c r="T1108" s="103"/>
      <c r="U1108" s="68"/>
      <c r="V1108" s="69"/>
      <c r="W1108" s="68"/>
      <c r="X1108" s="68"/>
      <c r="Y1108" s="68"/>
      <c r="Z1108" s="68"/>
      <c r="AA1108" s="68"/>
      <c r="AB1108" s="68"/>
      <c r="AC1108" s="68"/>
      <c r="AD1108" s="68"/>
      <c r="AE1108" s="68"/>
      <c r="AF1108" s="68"/>
      <c r="AG1108" s="68"/>
      <c r="AH1108" s="68"/>
      <c r="AI1108" s="68"/>
      <c r="AJ1108" s="68"/>
      <c r="AK1108" s="68"/>
      <c r="AL1108" s="68"/>
      <c r="AM1108" s="68"/>
      <c r="AN1108" s="68"/>
      <c r="AO1108" s="68"/>
      <c r="AP1108" s="68"/>
      <c r="AQ1108" s="68"/>
      <c r="AR1108" s="68"/>
      <c r="AS1108" s="68"/>
      <c r="AT1108" s="68"/>
      <c r="AU1108" s="68"/>
      <c r="AV1108" s="68"/>
      <c r="AW1108" s="68"/>
      <c r="AX1108" s="68"/>
      <c r="AY1108" s="68"/>
      <c r="AZ1108" s="68"/>
      <c r="BA1108" s="68"/>
      <c r="BB1108" s="68"/>
      <c r="BC1108" s="68"/>
      <c r="BD1108" s="68"/>
      <c r="BE1108" s="68"/>
      <c r="BF1108" s="68"/>
      <c r="BG1108" s="68"/>
      <c r="BH1108" s="68"/>
      <c r="BI1108" s="68"/>
      <c r="BJ1108" s="68"/>
      <c r="BK1108" s="68"/>
      <c r="BL1108" s="68"/>
      <c r="BM1108" s="68"/>
      <c r="BN1108" s="68"/>
      <c r="BO1108" s="68"/>
      <c r="BP1108" s="68"/>
      <c r="BQ1108" s="68"/>
      <c r="BR1108" s="68"/>
      <c r="BS1108" s="68"/>
      <c r="BT1108" s="68"/>
      <c r="BU1108" s="68"/>
      <c r="BV1108" s="68"/>
      <c r="BW1108" s="68"/>
      <c r="BX1108" s="68"/>
      <c r="BY1108" s="68"/>
      <c r="BZ1108" s="68"/>
      <c r="CA1108" s="68"/>
      <c r="CB1108" s="68"/>
      <c r="CC1108" s="68"/>
      <c r="CD1108" s="68"/>
      <c r="CE1108" s="68"/>
      <c r="CF1108" s="68"/>
      <c r="CG1108" s="68"/>
      <c r="CH1108" s="68"/>
      <c r="CI1108" s="68"/>
      <c r="CJ1108" s="68"/>
      <c r="CK1108" s="68"/>
      <c r="CL1108" s="68"/>
      <c r="CM1108" s="68"/>
      <c r="CN1108" s="68"/>
      <c r="CO1108" s="68"/>
      <c r="CP1108" s="68"/>
      <c r="CQ1108" s="68"/>
      <c r="CR1108" s="68"/>
      <c r="CS1108" s="68"/>
      <c r="CT1108" s="68"/>
      <c r="CU1108" s="68"/>
      <c r="CV1108" s="68"/>
      <c r="CW1108" s="68"/>
      <c r="CX1108" s="68"/>
    </row>
    <row r="1109" spans="4:102" s="71" customFormat="1" hidden="1">
      <c r="D1109" s="105"/>
      <c r="E1109" s="111"/>
      <c r="F1109" s="111"/>
      <c r="G1109" s="111"/>
      <c r="H1109" s="105"/>
      <c r="I1109" s="111"/>
      <c r="J1109" s="111"/>
      <c r="K1109" s="112"/>
      <c r="L1109" s="100"/>
      <c r="M1109" s="100"/>
      <c r="N1109" s="100"/>
      <c r="O1109" s="100"/>
      <c r="P1109" s="65"/>
      <c r="Q1109" s="103"/>
      <c r="R1109" s="103"/>
      <c r="S1109" s="103"/>
      <c r="T1109" s="103"/>
      <c r="U1109" s="68"/>
      <c r="V1109" s="69"/>
      <c r="W1109" s="68"/>
      <c r="X1109" s="68"/>
      <c r="Y1109" s="68"/>
      <c r="Z1109" s="68"/>
      <c r="AA1109" s="68"/>
      <c r="AB1109" s="68"/>
      <c r="AC1109" s="68"/>
      <c r="AD1109" s="68"/>
      <c r="AE1109" s="68"/>
      <c r="AF1109" s="68"/>
      <c r="AG1109" s="68"/>
      <c r="AH1109" s="68"/>
      <c r="AI1109" s="68"/>
      <c r="AJ1109" s="68"/>
      <c r="AK1109" s="68"/>
      <c r="AL1109" s="68"/>
      <c r="AM1109" s="68"/>
      <c r="AN1109" s="68"/>
      <c r="AO1109" s="68"/>
      <c r="AP1109" s="68"/>
      <c r="AQ1109" s="68"/>
      <c r="AR1109" s="68"/>
      <c r="AS1109" s="68"/>
      <c r="AT1109" s="68"/>
      <c r="AU1109" s="68"/>
      <c r="AV1109" s="68"/>
      <c r="AW1109" s="68"/>
      <c r="AX1109" s="68"/>
      <c r="AY1109" s="68"/>
      <c r="AZ1109" s="68"/>
      <c r="BA1109" s="68"/>
      <c r="BB1109" s="68"/>
      <c r="BC1109" s="68"/>
      <c r="BD1109" s="68"/>
      <c r="BE1109" s="68"/>
      <c r="BF1109" s="68"/>
      <c r="BG1109" s="68"/>
      <c r="BH1109" s="68"/>
      <c r="BI1109" s="68"/>
      <c r="BJ1109" s="68"/>
      <c r="BK1109" s="68"/>
      <c r="BL1109" s="68"/>
      <c r="BM1109" s="68"/>
      <c r="BN1109" s="68"/>
      <c r="BO1109" s="68"/>
      <c r="BP1109" s="68"/>
      <c r="BQ1109" s="68"/>
      <c r="BR1109" s="68"/>
      <c r="BS1109" s="68"/>
      <c r="BT1109" s="68"/>
      <c r="BU1109" s="68"/>
      <c r="BV1109" s="68"/>
      <c r="BW1109" s="68"/>
      <c r="BX1109" s="68"/>
      <c r="BY1109" s="68"/>
      <c r="BZ1109" s="68"/>
      <c r="CA1109" s="68"/>
      <c r="CB1109" s="68"/>
      <c r="CC1109" s="68"/>
      <c r="CD1109" s="68"/>
      <c r="CE1109" s="68"/>
      <c r="CF1109" s="68"/>
      <c r="CG1109" s="68"/>
      <c r="CH1109" s="68"/>
      <c r="CI1109" s="68"/>
      <c r="CJ1109" s="68"/>
      <c r="CK1109" s="68"/>
      <c r="CL1109" s="68"/>
      <c r="CM1109" s="68"/>
      <c r="CN1109" s="68"/>
      <c r="CO1109" s="68"/>
      <c r="CP1109" s="68"/>
      <c r="CQ1109" s="68"/>
      <c r="CR1109" s="68"/>
      <c r="CS1109" s="68"/>
      <c r="CT1109" s="68"/>
      <c r="CU1109" s="68"/>
      <c r="CV1109" s="68"/>
      <c r="CW1109" s="68"/>
      <c r="CX1109" s="68"/>
    </row>
    <row r="1110" spans="4:102" s="71" customFormat="1" hidden="1">
      <c r="D1110" s="105"/>
      <c r="E1110" s="111"/>
      <c r="F1110" s="111"/>
      <c r="G1110" s="111"/>
      <c r="H1110" s="105"/>
      <c r="I1110" s="111"/>
      <c r="J1110" s="111"/>
      <c r="K1110" s="112"/>
      <c r="L1110" s="100"/>
      <c r="M1110" s="100"/>
      <c r="N1110" s="100"/>
      <c r="O1110" s="100"/>
      <c r="P1110" s="65"/>
      <c r="Q1110" s="103"/>
      <c r="R1110" s="103"/>
      <c r="S1110" s="103"/>
      <c r="T1110" s="103"/>
      <c r="U1110" s="68"/>
      <c r="V1110" s="69"/>
      <c r="W1110" s="68"/>
      <c r="X1110" s="68"/>
      <c r="Y1110" s="68"/>
      <c r="Z1110" s="68"/>
      <c r="AA1110" s="68"/>
      <c r="AB1110" s="68"/>
      <c r="AC1110" s="68"/>
      <c r="AD1110" s="68"/>
      <c r="AE1110" s="68"/>
      <c r="AF1110" s="68"/>
      <c r="AG1110" s="68"/>
      <c r="AH1110" s="68"/>
      <c r="AI1110" s="68"/>
      <c r="AJ1110" s="68"/>
      <c r="AK1110" s="68"/>
      <c r="AL1110" s="68"/>
      <c r="AM1110" s="68"/>
      <c r="AN1110" s="68"/>
      <c r="AO1110" s="68"/>
      <c r="AP1110" s="68"/>
      <c r="AQ1110" s="68"/>
      <c r="AR1110" s="68"/>
      <c r="AS1110" s="68"/>
      <c r="AT1110" s="68"/>
      <c r="AU1110" s="68"/>
      <c r="AV1110" s="68"/>
      <c r="AW1110" s="68"/>
      <c r="AX1110" s="68"/>
      <c r="AY1110" s="68"/>
      <c r="AZ1110" s="68"/>
      <c r="BA1110" s="68"/>
      <c r="BB1110" s="68"/>
      <c r="BC1110" s="68"/>
      <c r="BD1110" s="68"/>
      <c r="BE1110" s="68"/>
      <c r="BF1110" s="68"/>
      <c r="BG1110" s="68"/>
      <c r="BH1110" s="68"/>
      <c r="BI1110" s="68"/>
      <c r="BJ1110" s="68"/>
      <c r="BK1110" s="68"/>
      <c r="BL1110" s="68"/>
      <c r="BM1110" s="68"/>
      <c r="BN1110" s="68"/>
      <c r="BO1110" s="68"/>
      <c r="BP1110" s="68"/>
      <c r="BQ1110" s="68"/>
      <c r="BR1110" s="68"/>
      <c r="BS1110" s="68"/>
      <c r="BT1110" s="68"/>
      <c r="BU1110" s="68"/>
      <c r="BV1110" s="68"/>
      <c r="BW1110" s="68"/>
      <c r="BX1110" s="68"/>
      <c r="BY1110" s="68"/>
      <c r="BZ1110" s="68"/>
      <c r="CA1110" s="68"/>
      <c r="CB1110" s="68"/>
      <c r="CC1110" s="68"/>
      <c r="CD1110" s="68"/>
      <c r="CE1110" s="68"/>
      <c r="CF1110" s="68"/>
      <c r="CG1110" s="68"/>
      <c r="CH1110" s="68"/>
      <c r="CI1110" s="68"/>
      <c r="CJ1110" s="68"/>
      <c r="CK1110" s="68"/>
      <c r="CL1110" s="68"/>
      <c r="CM1110" s="68"/>
      <c r="CN1110" s="68"/>
      <c r="CO1110" s="68"/>
      <c r="CP1110" s="68"/>
      <c r="CQ1110" s="68"/>
      <c r="CR1110" s="68"/>
      <c r="CS1110" s="68"/>
      <c r="CT1110" s="68"/>
      <c r="CU1110" s="68"/>
      <c r="CV1110" s="68"/>
      <c r="CW1110" s="68"/>
      <c r="CX1110" s="68"/>
    </row>
    <row r="1111" spans="4:102" s="71" customFormat="1" hidden="1">
      <c r="D1111" s="105"/>
      <c r="E1111" s="111"/>
      <c r="F1111" s="111"/>
      <c r="G1111" s="111"/>
      <c r="H1111" s="105"/>
      <c r="I1111" s="111"/>
      <c r="J1111" s="111"/>
      <c r="K1111" s="112"/>
      <c r="L1111" s="100"/>
      <c r="M1111" s="100"/>
      <c r="N1111" s="100"/>
      <c r="O1111" s="100"/>
      <c r="P1111" s="65"/>
      <c r="Q1111" s="103"/>
      <c r="R1111" s="103"/>
      <c r="S1111" s="103"/>
      <c r="T1111" s="103"/>
      <c r="U1111" s="68"/>
      <c r="V1111" s="69"/>
      <c r="W1111" s="68"/>
      <c r="X1111" s="68"/>
      <c r="Y1111" s="68"/>
      <c r="Z1111" s="68"/>
      <c r="AA1111" s="68"/>
      <c r="AB1111" s="68"/>
      <c r="AC1111" s="68"/>
      <c r="AD1111" s="68"/>
      <c r="AE1111" s="68"/>
      <c r="AF1111" s="68"/>
      <c r="AG1111" s="68"/>
      <c r="AH1111" s="68"/>
      <c r="AI1111" s="68"/>
      <c r="AJ1111" s="68"/>
      <c r="AK1111" s="68"/>
      <c r="AL1111" s="68"/>
      <c r="AM1111" s="68"/>
      <c r="AN1111" s="68"/>
      <c r="AO1111" s="68"/>
      <c r="AP1111" s="68"/>
      <c r="AQ1111" s="68"/>
      <c r="AR1111" s="68"/>
      <c r="AS1111" s="68"/>
      <c r="AT1111" s="68"/>
      <c r="AU1111" s="68"/>
      <c r="AV1111" s="68"/>
      <c r="AW1111" s="68"/>
      <c r="AX1111" s="68"/>
      <c r="AY1111" s="68"/>
      <c r="AZ1111" s="68"/>
      <c r="BA1111" s="68"/>
      <c r="BB1111" s="68"/>
      <c r="BC1111" s="68"/>
      <c r="BD1111" s="68"/>
      <c r="BE1111" s="68"/>
      <c r="BF1111" s="68"/>
      <c r="BG1111" s="68"/>
      <c r="BH1111" s="68"/>
      <c r="BI1111" s="68"/>
      <c r="BJ1111" s="68"/>
      <c r="BK1111" s="68"/>
      <c r="BL1111" s="68"/>
      <c r="BM1111" s="68"/>
      <c r="BN1111" s="68"/>
      <c r="BO1111" s="68"/>
      <c r="BP1111" s="68"/>
      <c r="BQ1111" s="68"/>
      <c r="BR1111" s="68"/>
      <c r="BS1111" s="68"/>
      <c r="BT1111" s="68"/>
      <c r="BU1111" s="68"/>
      <c r="BV1111" s="68"/>
      <c r="BW1111" s="68"/>
      <c r="BX1111" s="68"/>
      <c r="BY1111" s="68"/>
      <c r="BZ1111" s="68"/>
      <c r="CA1111" s="68"/>
      <c r="CB1111" s="68"/>
      <c r="CC1111" s="68"/>
      <c r="CD1111" s="68"/>
      <c r="CE1111" s="68"/>
      <c r="CF1111" s="68"/>
      <c r="CG1111" s="68"/>
      <c r="CH1111" s="68"/>
      <c r="CI1111" s="68"/>
      <c r="CJ1111" s="68"/>
      <c r="CK1111" s="68"/>
      <c r="CL1111" s="68"/>
      <c r="CM1111" s="68"/>
      <c r="CN1111" s="68"/>
      <c r="CO1111" s="68"/>
      <c r="CP1111" s="68"/>
      <c r="CQ1111" s="68"/>
      <c r="CR1111" s="68"/>
      <c r="CS1111" s="68"/>
      <c r="CT1111" s="68"/>
      <c r="CU1111" s="68"/>
      <c r="CV1111" s="68"/>
      <c r="CW1111" s="68"/>
      <c r="CX1111" s="68"/>
    </row>
    <row r="1112" spans="4:102" s="71" customFormat="1" hidden="1">
      <c r="D1112" s="105"/>
      <c r="E1112" s="111"/>
      <c r="F1112" s="111"/>
      <c r="G1112" s="111"/>
      <c r="H1112" s="105"/>
      <c r="I1112" s="111"/>
      <c r="J1112" s="111"/>
      <c r="K1112" s="112"/>
      <c r="L1112" s="100"/>
      <c r="M1112" s="100"/>
      <c r="N1112" s="100"/>
      <c r="O1112" s="100"/>
      <c r="P1112" s="65"/>
      <c r="Q1112" s="103"/>
      <c r="R1112" s="103"/>
      <c r="S1112" s="103"/>
      <c r="T1112" s="103"/>
      <c r="U1112" s="68"/>
      <c r="V1112" s="69"/>
      <c r="W1112" s="68"/>
      <c r="X1112" s="68"/>
      <c r="Y1112" s="68"/>
      <c r="Z1112" s="68"/>
      <c r="AA1112" s="68"/>
      <c r="AB1112" s="68"/>
      <c r="AC1112" s="68"/>
      <c r="AD1112" s="68"/>
      <c r="AE1112" s="68"/>
      <c r="AF1112" s="68"/>
      <c r="AG1112" s="68"/>
      <c r="AH1112" s="68"/>
      <c r="AI1112" s="68"/>
      <c r="AJ1112" s="68"/>
      <c r="AK1112" s="68"/>
      <c r="AL1112" s="68"/>
      <c r="AM1112" s="68"/>
      <c r="AN1112" s="68"/>
      <c r="AO1112" s="68"/>
      <c r="AP1112" s="68"/>
      <c r="AQ1112" s="68"/>
      <c r="AR1112" s="68"/>
      <c r="AS1112" s="68"/>
      <c r="AT1112" s="68"/>
      <c r="AU1112" s="68"/>
      <c r="AV1112" s="68"/>
      <c r="AW1112" s="68"/>
      <c r="AX1112" s="68"/>
      <c r="AY1112" s="68"/>
      <c r="AZ1112" s="68"/>
      <c r="BA1112" s="68"/>
      <c r="BB1112" s="68"/>
      <c r="BC1112" s="68"/>
      <c r="BD1112" s="68"/>
      <c r="BE1112" s="68"/>
      <c r="BF1112" s="68"/>
      <c r="BG1112" s="68"/>
      <c r="BH1112" s="68"/>
      <c r="BI1112" s="68"/>
      <c r="BJ1112" s="68"/>
      <c r="BK1112" s="68"/>
      <c r="BL1112" s="68"/>
      <c r="BM1112" s="68"/>
      <c r="BN1112" s="68"/>
      <c r="BO1112" s="68"/>
      <c r="BP1112" s="68"/>
      <c r="BQ1112" s="68"/>
      <c r="BR1112" s="68"/>
      <c r="BS1112" s="68"/>
      <c r="BT1112" s="68"/>
      <c r="BU1112" s="68"/>
      <c r="BV1112" s="68"/>
      <c r="BW1112" s="68"/>
      <c r="BX1112" s="68"/>
      <c r="BY1112" s="68"/>
      <c r="BZ1112" s="68"/>
      <c r="CA1112" s="68"/>
      <c r="CB1112" s="68"/>
      <c r="CC1112" s="68"/>
      <c r="CD1112" s="68"/>
      <c r="CE1112" s="68"/>
      <c r="CF1112" s="68"/>
      <c r="CG1112" s="68"/>
      <c r="CH1112" s="68"/>
      <c r="CI1112" s="68"/>
      <c r="CJ1112" s="68"/>
      <c r="CK1112" s="68"/>
      <c r="CL1112" s="68"/>
      <c r="CM1112" s="68"/>
      <c r="CN1112" s="68"/>
      <c r="CO1112" s="68"/>
      <c r="CP1112" s="68"/>
      <c r="CQ1112" s="68"/>
      <c r="CR1112" s="68"/>
      <c r="CS1112" s="68"/>
      <c r="CT1112" s="68"/>
      <c r="CU1112" s="68"/>
      <c r="CV1112" s="68"/>
      <c r="CW1112" s="68"/>
      <c r="CX1112" s="68"/>
    </row>
    <row r="1113" spans="4:102" s="71" customFormat="1" hidden="1">
      <c r="D1113" s="105"/>
      <c r="E1113" s="111"/>
      <c r="F1113" s="111"/>
      <c r="G1113" s="111"/>
      <c r="H1113" s="105"/>
      <c r="I1113" s="111"/>
      <c r="J1113" s="111"/>
      <c r="K1113" s="112"/>
      <c r="L1113" s="100"/>
      <c r="M1113" s="100"/>
      <c r="N1113" s="100"/>
      <c r="O1113" s="100"/>
      <c r="P1113" s="65"/>
      <c r="Q1113" s="103"/>
      <c r="R1113" s="103"/>
      <c r="S1113" s="103"/>
      <c r="T1113" s="103"/>
      <c r="U1113" s="68"/>
      <c r="V1113" s="69"/>
      <c r="W1113" s="68"/>
      <c r="X1113" s="68"/>
      <c r="Y1113" s="68"/>
      <c r="Z1113" s="68"/>
      <c r="AA1113" s="68"/>
      <c r="AB1113" s="68"/>
      <c r="AC1113" s="68"/>
      <c r="AD1113" s="68"/>
      <c r="AE1113" s="68"/>
      <c r="AF1113" s="68"/>
      <c r="AG1113" s="68"/>
      <c r="AH1113" s="68"/>
      <c r="AI1113" s="68"/>
      <c r="AJ1113" s="68"/>
      <c r="AK1113" s="68"/>
      <c r="AL1113" s="68"/>
      <c r="AM1113" s="68"/>
      <c r="AN1113" s="68"/>
      <c r="AO1113" s="68"/>
      <c r="AP1113" s="68"/>
      <c r="AQ1113" s="68"/>
      <c r="AR1113" s="68"/>
      <c r="AS1113" s="68"/>
      <c r="AT1113" s="68"/>
      <c r="AU1113" s="68"/>
      <c r="AV1113" s="68"/>
      <c r="AW1113" s="68"/>
      <c r="AX1113" s="68"/>
      <c r="AY1113" s="68"/>
      <c r="AZ1113" s="68"/>
      <c r="BA1113" s="68"/>
      <c r="BB1113" s="68"/>
      <c r="BC1113" s="68"/>
      <c r="BD1113" s="68"/>
      <c r="BE1113" s="68"/>
      <c r="BF1113" s="68"/>
      <c r="BG1113" s="68"/>
      <c r="BH1113" s="68"/>
      <c r="BI1113" s="68"/>
      <c r="BJ1113" s="68"/>
      <c r="BK1113" s="68"/>
      <c r="BL1113" s="68"/>
      <c r="BM1113" s="68"/>
      <c r="BN1113" s="68"/>
      <c r="BO1113" s="68"/>
      <c r="BP1113" s="68"/>
      <c r="BQ1113" s="68"/>
      <c r="BR1113" s="68"/>
      <c r="BS1113" s="68"/>
      <c r="BT1113" s="68"/>
      <c r="BU1113" s="68"/>
      <c r="BV1113" s="68"/>
      <c r="BW1113" s="68"/>
      <c r="BX1113" s="68"/>
      <c r="BY1113" s="68"/>
      <c r="BZ1113" s="68"/>
      <c r="CA1113" s="68"/>
      <c r="CB1113" s="68"/>
      <c r="CC1113" s="68"/>
      <c r="CD1113" s="68"/>
      <c r="CE1113" s="68"/>
      <c r="CF1113" s="68"/>
      <c r="CG1113" s="68"/>
      <c r="CH1113" s="68"/>
      <c r="CI1113" s="68"/>
      <c r="CJ1113" s="68"/>
      <c r="CK1113" s="68"/>
      <c r="CL1113" s="68"/>
      <c r="CM1113" s="68"/>
      <c r="CN1113" s="68"/>
      <c r="CO1113" s="68"/>
      <c r="CP1113" s="68"/>
      <c r="CQ1113" s="68"/>
      <c r="CR1113" s="68"/>
      <c r="CS1113" s="68"/>
      <c r="CT1113" s="68"/>
      <c r="CU1113" s="68"/>
      <c r="CV1113" s="68"/>
      <c r="CW1113" s="68"/>
      <c r="CX1113" s="68"/>
    </row>
    <row r="1114" spans="4:102" s="71" customFormat="1" hidden="1">
      <c r="D1114" s="105"/>
      <c r="E1114" s="111"/>
      <c r="F1114" s="111"/>
      <c r="G1114" s="111"/>
      <c r="H1114" s="105"/>
      <c r="I1114" s="111"/>
      <c r="J1114" s="111"/>
      <c r="K1114" s="112"/>
      <c r="L1114" s="100"/>
      <c r="M1114" s="100"/>
      <c r="N1114" s="100"/>
      <c r="O1114" s="100"/>
      <c r="P1114" s="65"/>
      <c r="Q1114" s="103"/>
      <c r="R1114" s="103"/>
      <c r="S1114" s="103"/>
      <c r="T1114" s="103"/>
      <c r="U1114" s="68"/>
      <c r="V1114" s="69"/>
      <c r="W1114" s="68"/>
      <c r="X1114" s="68"/>
      <c r="Y1114" s="68"/>
      <c r="Z1114" s="68"/>
      <c r="AA1114" s="68"/>
      <c r="AB1114" s="68"/>
      <c r="AC1114" s="68"/>
      <c r="AD1114" s="68"/>
      <c r="AE1114" s="68"/>
      <c r="AF1114" s="68"/>
      <c r="AG1114" s="68"/>
      <c r="AH1114" s="68"/>
      <c r="AI1114" s="68"/>
      <c r="AJ1114" s="68"/>
      <c r="AK1114" s="68"/>
      <c r="AL1114" s="68"/>
      <c r="AM1114" s="68"/>
      <c r="AN1114" s="68"/>
      <c r="AO1114" s="68"/>
      <c r="AP1114" s="68"/>
      <c r="AQ1114" s="68"/>
      <c r="AR1114" s="68"/>
      <c r="AS1114" s="68"/>
      <c r="AT1114" s="68"/>
      <c r="AU1114" s="68"/>
      <c r="AV1114" s="68"/>
      <c r="AW1114" s="68"/>
      <c r="AX1114" s="68"/>
      <c r="AY1114" s="68"/>
      <c r="AZ1114" s="68"/>
      <c r="BA1114" s="68"/>
      <c r="BB1114" s="68"/>
      <c r="BC1114" s="68"/>
      <c r="BD1114" s="68"/>
      <c r="BE1114" s="68"/>
      <c r="BF1114" s="68"/>
      <c r="BG1114" s="68"/>
      <c r="BH1114" s="68"/>
      <c r="BI1114" s="68"/>
      <c r="BJ1114" s="68"/>
      <c r="BK1114" s="68"/>
      <c r="BL1114" s="68"/>
      <c r="BM1114" s="68"/>
      <c r="BN1114" s="68"/>
      <c r="BO1114" s="68"/>
      <c r="BP1114" s="68"/>
      <c r="BQ1114" s="68"/>
      <c r="BR1114" s="68"/>
      <c r="BS1114" s="68"/>
      <c r="BT1114" s="68"/>
      <c r="BU1114" s="68"/>
      <c r="BV1114" s="68"/>
      <c r="BW1114" s="68"/>
      <c r="BX1114" s="68"/>
      <c r="BY1114" s="68"/>
      <c r="BZ1114" s="68"/>
      <c r="CA1114" s="68"/>
      <c r="CB1114" s="68"/>
      <c r="CC1114" s="68"/>
      <c r="CD1114" s="68"/>
      <c r="CE1114" s="68"/>
      <c r="CF1114" s="68"/>
      <c r="CG1114" s="68"/>
      <c r="CH1114" s="68"/>
      <c r="CI1114" s="68"/>
      <c r="CJ1114" s="68"/>
      <c r="CK1114" s="68"/>
      <c r="CL1114" s="68"/>
      <c r="CM1114" s="68"/>
      <c r="CN1114" s="68"/>
      <c r="CO1114" s="68"/>
      <c r="CP1114" s="68"/>
      <c r="CQ1114" s="68"/>
      <c r="CR1114" s="68"/>
      <c r="CS1114" s="68"/>
      <c r="CT1114" s="68"/>
      <c r="CU1114" s="68"/>
      <c r="CV1114" s="68"/>
      <c r="CW1114" s="68"/>
      <c r="CX1114" s="68"/>
    </row>
    <row r="1115" spans="4:102" s="71" customFormat="1" hidden="1">
      <c r="D1115" s="105"/>
      <c r="E1115" s="100"/>
      <c r="F1115" s="100"/>
      <c r="G1115" s="100"/>
      <c r="H1115" s="100"/>
      <c r="I1115" s="100"/>
      <c r="J1115" s="100"/>
      <c r="K1115" s="112"/>
      <c r="L1115" s="100"/>
      <c r="M1115" s="100"/>
      <c r="N1115" s="100"/>
      <c r="O1115" s="100"/>
      <c r="P1115" s="65"/>
      <c r="Q1115" s="103"/>
      <c r="R1115" s="103"/>
      <c r="S1115" s="103"/>
      <c r="T1115" s="103"/>
      <c r="U1115" s="68"/>
      <c r="V1115" s="69"/>
      <c r="W1115" s="68"/>
      <c r="X1115" s="68"/>
      <c r="Y1115" s="68"/>
      <c r="Z1115" s="68"/>
      <c r="AA1115" s="68"/>
      <c r="AB1115" s="68"/>
      <c r="AC1115" s="68"/>
      <c r="AD1115" s="68"/>
      <c r="AE1115" s="68"/>
      <c r="AF1115" s="68"/>
      <c r="AG1115" s="68"/>
      <c r="AH1115" s="68"/>
      <c r="AI1115" s="68"/>
      <c r="AJ1115" s="68"/>
      <c r="AK1115" s="68"/>
      <c r="AL1115" s="68"/>
      <c r="AM1115" s="68"/>
      <c r="AN1115" s="68"/>
      <c r="AO1115" s="68"/>
      <c r="AP1115" s="68"/>
      <c r="AQ1115" s="68"/>
      <c r="AR1115" s="68"/>
      <c r="AS1115" s="68"/>
      <c r="AT1115" s="68"/>
      <c r="AU1115" s="68"/>
      <c r="AV1115" s="68"/>
      <c r="AW1115" s="68"/>
      <c r="AX1115" s="68"/>
      <c r="AY1115" s="68"/>
      <c r="AZ1115" s="68"/>
      <c r="BA1115" s="68"/>
      <c r="BB1115" s="68"/>
      <c r="BC1115" s="68"/>
      <c r="BD1115" s="68"/>
      <c r="BE1115" s="68"/>
      <c r="BF1115" s="68"/>
      <c r="BG1115" s="68"/>
      <c r="BH1115" s="68"/>
      <c r="BI1115" s="68"/>
      <c r="BJ1115" s="68"/>
      <c r="BK1115" s="68"/>
      <c r="BL1115" s="68"/>
      <c r="BM1115" s="68"/>
      <c r="BN1115" s="68"/>
      <c r="BO1115" s="68"/>
      <c r="BP1115" s="68"/>
      <c r="BQ1115" s="68"/>
      <c r="BR1115" s="68"/>
      <c r="BS1115" s="68"/>
      <c r="BT1115" s="68"/>
      <c r="BU1115" s="68"/>
      <c r="BV1115" s="68"/>
      <c r="BW1115" s="68"/>
      <c r="BX1115" s="68"/>
      <c r="BY1115" s="68"/>
      <c r="BZ1115" s="68"/>
      <c r="CA1115" s="68"/>
      <c r="CB1115" s="68"/>
      <c r="CC1115" s="68"/>
      <c r="CD1115" s="68"/>
      <c r="CE1115" s="68"/>
      <c r="CF1115" s="68"/>
      <c r="CG1115" s="68"/>
      <c r="CH1115" s="68"/>
      <c r="CI1115" s="68"/>
      <c r="CJ1115" s="68"/>
      <c r="CK1115" s="68"/>
      <c r="CL1115" s="68"/>
      <c r="CM1115" s="68"/>
      <c r="CN1115" s="68"/>
      <c r="CO1115" s="68"/>
      <c r="CP1115" s="68"/>
      <c r="CQ1115" s="68"/>
      <c r="CR1115" s="68"/>
      <c r="CS1115" s="68"/>
      <c r="CT1115" s="68"/>
      <c r="CU1115" s="68"/>
      <c r="CV1115" s="68"/>
      <c r="CW1115" s="68"/>
      <c r="CX1115" s="68"/>
    </row>
    <row r="1116" spans="4:102" s="71" customFormat="1" hidden="1">
      <c r="D1116" s="105"/>
      <c r="E1116" s="100"/>
      <c r="F1116" s="100"/>
      <c r="G1116" s="100"/>
      <c r="H1116" s="100"/>
      <c r="I1116" s="100"/>
      <c r="J1116" s="100"/>
      <c r="K1116" s="112"/>
      <c r="L1116" s="100"/>
      <c r="M1116" s="100"/>
      <c r="N1116" s="100"/>
      <c r="O1116" s="100"/>
      <c r="P1116" s="65"/>
      <c r="Q1116" s="103"/>
      <c r="R1116" s="103"/>
      <c r="S1116" s="103"/>
      <c r="T1116" s="103"/>
      <c r="U1116" s="68"/>
      <c r="V1116" s="69"/>
      <c r="W1116" s="68"/>
      <c r="X1116" s="68"/>
      <c r="Y1116" s="68"/>
      <c r="Z1116" s="68"/>
      <c r="AA1116" s="68"/>
      <c r="AB1116" s="68"/>
      <c r="AC1116" s="68"/>
      <c r="AD1116" s="68"/>
      <c r="AE1116" s="68"/>
      <c r="AF1116" s="68"/>
      <c r="AG1116" s="68"/>
      <c r="AH1116" s="68"/>
      <c r="AI1116" s="68"/>
      <c r="AJ1116" s="68"/>
      <c r="AK1116" s="68"/>
      <c r="AL1116" s="68"/>
      <c r="AM1116" s="68"/>
      <c r="AN1116" s="68"/>
      <c r="AO1116" s="68"/>
      <c r="AP1116" s="68"/>
      <c r="AQ1116" s="68"/>
      <c r="AR1116" s="68"/>
      <c r="AS1116" s="68"/>
      <c r="AT1116" s="68"/>
      <c r="AU1116" s="68"/>
      <c r="AV1116" s="68"/>
      <c r="AW1116" s="68"/>
      <c r="AX1116" s="68"/>
      <c r="AY1116" s="68"/>
      <c r="AZ1116" s="68"/>
      <c r="BA1116" s="68"/>
      <c r="BB1116" s="68"/>
      <c r="BC1116" s="68"/>
      <c r="BD1116" s="68"/>
      <c r="BE1116" s="68"/>
      <c r="BF1116" s="68"/>
      <c r="BG1116" s="68"/>
      <c r="BH1116" s="68"/>
      <c r="BI1116" s="68"/>
      <c r="BJ1116" s="68"/>
      <c r="BK1116" s="68"/>
      <c r="BL1116" s="68"/>
      <c r="BM1116" s="68"/>
      <c r="BN1116" s="68"/>
      <c r="BO1116" s="68"/>
      <c r="BP1116" s="68"/>
      <c r="BQ1116" s="68"/>
      <c r="BR1116" s="68"/>
      <c r="BS1116" s="68"/>
      <c r="BT1116" s="68"/>
      <c r="BU1116" s="68"/>
      <c r="BV1116" s="68"/>
      <c r="BW1116" s="68"/>
      <c r="BX1116" s="68"/>
      <c r="BY1116" s="68"/>
      <c r="BZ1116" s="68"/>
      <c r="CA1116" s="68"/>
      <c r="CB1116" s="68"/>
      <c r="CC1116" s="68"/>
      <c r="CD1116" s="68"/>
      <c r="CE1116" s="68"/>
      <c r="CF1116" s="68"/>
      <c r="CG1116" s="68"/>
      <c r="CH1116" s="68"/>
      <c r="CI1116" s="68"/>
      <c r="CJ1116" s="68"/>
      <c r="CK1116" s="68"/>
      <c r="CL1116" s="68"/>
      <c r="CM1116" s="68"/>
      <c r="CN1116" s="68"/>
      <c r="CO1116" s="68"/>
      <c r="CP1116" s="68"/>
      <c r="CQ1116" s="68"/>
      <c r="CR1116" s="68"/>
      <c r="CS1116" s="68"/>
      <c r="CT1116" s="68"/>
      <c r="CU1116" s="68"/>
      <c r="CV1116" s="68"/>
      <c r="CW1116" s="68"/>
      <c r="CX1116" s="68"/>
    </row>
    <row r="1117" spans="4:102" s="71" customFormat="1" hidden="1">
      <c r="D1117" s="105"/>
      <c r="E1117" s="100"/>
      <c r="F1117" s="100"/>
      <c r="G1117" s="100"/>
      <c r="H1117" s="100"/>
      <c r="I1117" s="100"/>
      <c r="J1117" s="100"/>
      <c r="K1117" s="112"/>
      <c r="L1117" s="100"/>
      <c r="M1117" s="100"/>
      <c r="N1117" s="100"/>
      <c r="O1117" s="100"/>
      <c r="P1117" s="65"/>
      <c r="Q1117" s="103"/>
      <c r="R1117" s="103"/>
      <c r="S1117" s="103"/>
      <c r="T1117" s="103"/>
      <c r="U1117" s="68"/>
      <c r="V1117" s="69"/>
      <c r="W1117" s="68"/>
      <c r="X1117" s="68"/>
      <c r="Y1117" s="68"/>
      <c r="Z1117" s="68"/>
      <c r="AA1117" s="68"/>
      <c r="AB1117" s="68"/>
      <c r="AC1117" s="68"/>
      <c r="AD1117" s="68"/>
      <c r="AE1117" s="68"/>
      <c r="AF1117" s="68"/>
      <c r="AG1117" s="68"/>
      <c r="AH1117" s="68"/>
      <c r="AI1117" s="68"/>
      <c r="AJ1117" s="68"/>
      <c r="AK1117" s="68"/>
      <c r="AL1117" s="68"/>
      <c r="AM1117" s="68"/>
      <c r="AN1117" s="68"/>
      <c r="AO1117" s="68"/>
      <c r="AP1117" s="68"/>
      <c r="AQ1117" s="68"/>
      <c r="AR1117" s="68"/>
      <c r="AS1117" s="68"/>
      <c r="AT1117" s="68"/>
      <c r="AU1117" s="68"/>
      <c r="AV1117" s="68"/>
      <c r="AW1117" s="68"/>
      <c r="AX1117" s="68"/>
      <c r="AY1117" s="68"/>
      <c r="AZ1117" s="68"/>
      <c r="BA1117" s="68"/>
      <c r="BB1117" s="68"/>
      <c r="BC1117" s="68"/>
      <c r="BD1117" s="68"/>
      <c r="BE1117" s="68"/>
      <c r="BF1117" s="68"/>
      <c r="BG1117" s="68"/>
      <c r="BH1117" s="68"/>
      <c r="BI1117" s="68"/>
      <c r="BJ1117" s="68"/>
      <c r="BK1117" s="68"/>
      <c r="BL1117" s="68"/>
      <c r="BM1117" s="68"/>
      <c r="BN1117" s="68"/>
      <c r="BO1117" s="68"/>
      <c r="BP1117" s="68"/>
      <c r="BQ1117" s="68"/>
      <c r="BR1117" s="68"/>
      <c r="BS1117" s="68"/>
      <c r="BT1117" s="68"/>
      <c r="BU1117" s="68"/>
      <c r="BV1117" s="68"/>
      <c r="BW1117" s="68"/>
      <c r="BX1117" s="68"/>
      <c r="BY1117" s="68"/>
      <c r="BZ1117" s="68"/>
      <c r="CA1117" s="68"/>
      <c r="CB1117" s="68"/>
      <c r="CC1117" s="68"/>
      <c r="CD1117" s="68"/>
      <c r="CE1117" s="68"/>
      <c r="CF1117" s="68"/>
      <c r="CG1117" s="68"/>
      <c r="CH1117" s="68"/>
      <c r="CI1117" s="68"/>
      <c r="CJ1117" s="68"/>
      <c r="CK1117" s="68"/>
      <c r="CL1117" s="68"/>
      <c r="CM1117" s="68"/>
      <c r="CN1117" s="68"/>
      <c r="CO1117" s="68"/>
      <c r="CP1117" s="68"/>
      <c r="CQ1117" s="68"/>
      <c r="CR1117" s="68"/>
      <c r="CS1117" s="68"/>
      <c r="CT1117" s="68"/>
      <c r="CU1117" s="68"/>
      <c r="CV1117" s="68"/>
      <c r="CW1117" s="68"/>
      <c r="CX1117" s="68"/>
    </row>
    <row r="1118" spans="4:102" s="71" customFormat="1" hidden="1">
      <c r="D1118" s="105"/>
      <c r="E1118" s="100"/>
      <c r="F1118" s="100"/>
      <c r="G1118" s="100"/>
      <c r="H1118" s="100"/>
      <c r="I1118" s="100"/>
      <c r="J1118" s="100"/>
      <c r="K1118" s="112"/>
      <c r="L1118" s="100"/>
      <c r="M1118" s="100"/>
      <c r="N1118" s="100"/>
      <c r="O1118" s="100"/>
      <c r="P1118" s="65"/>
      <c r="Q1118" s="103"/>
      <c r="R1118" s="103"/>
      <c r="S1118" s="103"/>
      <c r="T1118" s="103"/>
      <c r="U1118" s="68"/>
      <c r="V1118" s="69"/>
      <c r="W1118" s="68"/>
      <c r="X1118" s="68"/>
      <c r="Y1118" s="68"/>
      <c r="Z1118" s="68"/>
      <c r="AA1118" s="68"/>
      <c r="AB1118" s="68"/>
      <c r="AC1118" s="68"/>
      <c r="AD1118" s="68"/>
      <c r="AE1118" s="68"/>
      <c r="AF1118" s="68"/>
      <c r="AG1118" s="68"/>
      <c r="AH1118" s="68"/>
      <c r="AI1118" s="68"/>
      <c r="AJ1118" s="68"/>
      <c r="AK1118" s="68"/>
      <c r="AL1118" s="68"/>
      <c r="AM1118" s="68"/>
      <c r="AN1118" s="68"/>
      <c r="AO1118" s="68"/>
      <c r="AP1118" s="68"/>
      <c r="AQ1118" s="68"/>
      <c r="AR1118" s="68"/>
      <c r="AS1118" s="68"/>
      <c r="AT1118" s="68"/>
      <c r="AU1118" s="68"/>
      <c r="AV1118" s="68"/>
      <c r="AW1118" s="68"/>
      <c r="AX1118" s="68"/>
      <c r="AY1118" s="68"/>
      <c r="AZ1118" s="68"/>
      <c r="BA1118" s="68"/>
      <c r="BB1118" s="68"/>
      <c r="BC1118" s="68"/>
      <c r="BD1118" s="68"/>
      <c r="BE1118" s="68"/>
      <c r="BF1118" s="68"/>
      <c r="BG1118" s="68"/>
      <c r="BH1118" s="68"/>
      <c r="BI1118" s="68"/>
      <c r="BJ1118" s="68"/>
      <c r="BK1118" s="68"/>
      <c r="BL1118" s="68"/>
      <c r="BM1118" s="68"/>
      <c r="BN1118" s="68"/>
      <c r="BO1118" s="68"/>
      <c r="BP1118" s="68"/>
      <c r="BQ1118" s="68"/>
      <c r="BR1118" s="68"/>
      <c r="BS1118" s="68"/>
      <c r="BT1118" s="68"/>
      <c r="BU1118" s="68"/>
      <c r="BV1118" s="68"/>
      <c r="BW1118" s="68"/>
      <c r="BX1118" s="68"/>
      <c r="BY1118" s="68"/>
      <c r="BZ1118" s="68"/>
      <c r="CA1118" s="68"/>
      <c r="CB1118" s="68"/>
      <c r="CC1118" s="68"/>
      <c r="CD1118" s="68"/>
      <c r="CE1118" s="68"/>
      <c r="CF1118" s="68"/>
      <c r="CG1118" s="68"/>
      <c r="CH1118" s="68"/>
      <c r="CI1118" s="68"/>
      <c r="CJ1118" s="68"/>
      <c r="CK1118" s="68"/>
      <c r="CL1118" s="68"/>
      <c r="CM1118" s="68"/>
      <c r="CN1118" s="68"/>
      <c r="CO1118" s="68"/>
      <c r="CP1118" s="68"/>
      <c r="CQ1118" s="68"/>
      <c r="CR1118" s="68"/>
      <c r="CS1118" s="68"/>
      <c r="CT1118" s="68"/>
      <c r="CU1118" s="68"/>
      <c r="CV1118" s="68"/>
      <c r="CW1118" s="68"/>
      <c r="CX1118" s="68"/>
    </row>
    <row r="1119" spans="4:102" s="71" customFormat="1" hidden="1">
      <c r="D1119" s="105"/>
      <c r="E1119" s="100"/>
      <c r="F1119" s="100"/>
      <c r="G1119" s="100"/>
      <c r="H1119" s="100"/>
      <c r="I1119" s="100"/>
      <c r="J1119" s="100"/>
      <c r="K1119" s="112"/>
      <c r="L1119" s="100"/>
      <c r="M1119" s="100"/>
      <c r="N1119" s="100"/>
      <c r="O1119" s="100"/>
      <c r="P1119" s="65"/>
      <c r="Q1119" s="103"/>
      <c r="R1119" s="103"/>
      <c r="S1119" s="103"/>
      <c r="T1119" s="103"/>
      <c r="U1119" s="68"/>
      <c r="V1119" s="69"/>
      <c r="W1119" s="68"/>
      <c r="X1119" s="68"/>
      <c r="Y1119" s="68"/>
      <c r="Z1119" s="68"/>
      <c r="AA1119" s="68"/>
      <c r="AB1119" s="68"/>
      <c r="AC1119" s="68"/>
      <c r="AD1119" s="68"/>
      <c r="AE1119" s="68"/>
      <c r="AF1119" s="68"/>
      <c r="AG1119" s="68"/>
      <c r="AH1119" s="68"/>
      <c r="AI1119" s="68"/>
      <c r="AJ1119" s="68"/>
      <c r="AK1119" s="68"/>
      <c r="AL1119" s="68"/>
      <c r="AM1119" s="68"/>
      <c r="AN1119" s="68"/>
      <c r="AO1119" s="68"/>
      <c r="AP1119" s="68"/>
      <c r="AQ1119" s="68"/>
      <c r="AR1119" s="68"/>
      <c r="AS1119" s="68"/>
      <c r="AT1119" s="68"/>
      <c r="AU1119" s="68"/>
      <c r="AV1119" s="68"/>
      <c r="AW1119" s="68"/>
      <c r="AX1119" s="68"/>
      <c r="AY1119" s="68"/>
      <c r="AZ1119" s="68"/>
      <c r="BA1119" s="68"/>
      <c r="BB1119" s="68"/>
      <c r="BC1119" s="68"/>
      <c r="BD1119" s="68"/>
      <c r="BE1119" s="68"/>
      <c r="BF1119" s="68"/>
      <c r="BG1119" s="68"/>
      <c r="BH1119" s="68"/>
      <c r="BI1119" s="68"/>
      <c r="BJ1119" s="68"/>
      <c r="BK1119" s="68"/>
      <c r="BL1119" s="68"/>
      <c r="BM1119" s="68"/>
      <c r="BN1119" s="68"/>
      <c r="BO1119" s="68"/>
      <c r="BP1119" s="68"/>
      <c r="BQ1119" s="68"/>
      <c r="BR1119" s="68"/>
      <c r="BS1119" s="68"/>
      <c r="BT1119" s="68"/>
      <c r="BU1119" s="68"/>
      <c r="BV1119" s="68"/>
      <c r="BW1119" s="68"/>
      <c r="BX1119" s="68"/>
      <c r="BY1119" s="68"/>
      <c r="BZ1119" s="68"/>
      <c r="CA1119" s="68"/>
      <c r="CB1119" s="68"/>
      <c r="CC1119" s="68"/>
      <c r="CD1119" s="68"/>
      <c r="CE1119" s="68"/>
      <c r="CF1119" s="68"/>
      <c r="CG1119" s="68"/>
      <c r="CH1119" s="68"/>
      <c r="CI1119" s="68"/>
      <c r="CJ1119" s="68"/>
      <c r="CK1119" s="68"/>
      <c r="CL1119" s="68"/>
      <c r="CM1119" s="68"/>
      <c r="CN1119" s="68"/>
      <c r="CO1119" s="68"/>
      <c r="CP1119" s="68"/>
      <c r="CQ1119" s="68"/>
      <c r="CR1119" s="68"/>
      <c r="CS1119" s="68"/>
      <c r="CT1119" s="68"/>
      <c r="CU1119" s="68"/>
      <c r="CV1119" s="68"/>
      <c r="CW1119" s="68"/>
      <c r="CX1119" s="68"/>
    </row>
    <row r="1120" spans="4:102" s="71" customFormat="1" hidden="1">
      <c r="D1120" s="105"/>
      <c r="E1120" s="100"/>
      <c r="F1120" s="100"/>
      <c r="G1120" s="100"/>
      <c r="H1120" s="100"/>
      <c r="I1120" s="100"/>
      <c r="J1120" s="100"/>
      <c r="K1120" s="112"/>
      <c r="L1120" s="100"/>
      <c r="M1120" s="100"/>
      <c r="N1120" s="100"/>
      <c r="O1120" s="100"/>
      <c r="P1120" s="65"/>
      <c r="Q1120" s="103"/>
      <c r="R1120" s="103"/>
      <c r="S1120" s="103"/>
      <c r="T1120" s="103"/>
      <c r="U1120" s="68"/>
      <c r="V1120" s="69"/>
      <c r="W1120" s="68"/>
      <c r="X1120" s="68"/>
      <c r="Y1120" s="68"/>
      <c r="Z1120" s="68"/>
      <c r="AA1120" s="68"/>
      <c r="AB1120" s="68"/>
      <c r="AC1120" s="68"/>
      <c r="AD1120" s="68"/>
      <c r="AE1120" s="68"/>
      <c r="AF1120" s="68"/>
      <c r="AG1120" s="68"/>
      <c r="AH1120" s="68"/>
      <c r="AI1120" s="68"/>
      <c r="AJ1120" s="68"/>
      <c r="AK1120" s="68"/>
      <c r="AL1120" s="68"/>
      <c r="AM1120" s="68"/>
      <c r="AN1120" s="68"/>
      <c r="AO1120" s="68"/>
      <c r="AP1120" s="68"/>
      <c r="AQ1120" s="68"/>
      <c r="AR1120" s="68"/>
      <c r="AS1120" s="68"/>
      <c r="AT1120" s="68"/>
      <c r="AU1120" s="68"/>
      <c r="AV1120" s="68"/>
      <c r="AW1120" s="68"/>
      <c r="AX1120" s="68"/>
      <c r="AY1120" s="68"/>
      <c r="AZ1120" s="68"/>
      <c r="BA1120" s="68"/>
      <c r="BB1120" s="68"/>
      <c r="BC1120" s="68"/>
      <c r="BD1120" s="68"/>
      <c r="BE1120" s="68"/>
      <c r="BF1120" s="68"/>
      <c r="BG1120" s="68"/>
      <c r="BH1120" s="68"/>
      <c r="BI1120" s="68"/>
      <c r="BJ1120" s="68"/>
      <c r="BK1120" s="68"/>
      <c r="BL1120" s="68"/>
      <c r="BM1120" s="68"/>
      <c r="BN1120" s="68"/>
      <c r="BO1120" s="68"/>
      <c r="BP1120" s="68"/>
      <c r="BQ1120" s="68"/>
      <c r="BR1120" s="68"/>
      <c r="BS1120" s="68"/>
      <c r="BT1120" s="68"/>
      <c r="BU1120" s="68"/>
      <c r="BV1120" s="68"/>
      <c r="BW1120" s="68"/>
      <c r="BX1120" s="68"/>
      <c r="BY1120" s="68"/>
      <c r="BZ1120" s="68"/>
      <c r="CA1120" s="68"/>
      <c r="CB1120" s="68"/>
      <c r="CC1120" s="68"/>
      <c r="CD1120" s="68"/>
      <c r="CE1120" s="68"/>
      <c r="CF1120" s="68"/>
      <c r="CG1120" s="68"/>
      <c r="CH1120" s="68"/>
      <c r="CI1120" s="68"/>
      <c r="CJ1120" s="68"/>
      <c r="CK1120" s="68"/>
      <c r="CL1120" s="68"/>
      <c r="CM1120" s="68"/>
      <c r="CN1120" s="68"/>
      <c r="CO1120" s="68"/>
      <c r="CP1120" s="68"/>
      <c r="CQ1120" s="68"/>
      <c r="CR1120" s="68"/>
      <c r="CS1120" s="68"/>
      <c r="CT1120" s="68"/>
      <c r="CU1120" s="68"/>
      <c r="CV1120" s="68"/>
      <c r="CW1120" s="68"/>
      <c r="CX1120" s="68"/>
    </row>
    <row r="1121" spans="4:102" s="71" customFormat="1" hidden="1">
      <c r="D1121" s="105"/>
      <c r="E1121" s="100"/>
      <c r="F1121" s="100"/>
      <c r="G1121" s="100"/>
      <c r="H1121" s="100"/>
      <c r="I1121" s="100"/>
      <c r="J1121" s="100"/>
      <c r="K1121" s="112"/>
      <c r="L1121" s="100"/>
      <c r="M1121" s="100"/>
      <c r="N1121" s="100"/>
      <c r="O1121" s="100"/>
      <c r="P1121" s="65"/>
      <c r="Q1121" s="103"/>
      <c r="R1121" s="103"/>
      <c r="S1121" s="103"/>
      <c r="T1121" s="103"/>
      <c r="U1121" s="68"/>
      <c r="V1121" s="69"/>
      <c r="W1121" s="68"/>
      <c r="X1121" s="68"/>
      <c r="Y1121" s="68"/>
      <c r="Z1121" s="68"/>
      <c r="AA1121" s="68"/>
      <c r="AB1121" s="68"/>
      <c r="AC1121" s="68"/>
      <c r="AD1121" s="68"/>
      <c r="AE1121" s="68"/>
      <c r="AF1121" s="68"/>
      <c r="AG1121" s="68"/>
      <c r="AH1121" s="68"/>
      <c r="AI1121" s="68"/>
      <c r="AJ1121" s="68"/>
      <c r="AK1121" s="68"/>
      <c r="AL1121" s="68"/>
      <c r="AM1121" s="68"/>
      <c r="AN1121" s="68"/>
      <c r="AO1121" s="68"/>
      <c r="AP1121" s="68"/>
      <c r="AQ1121" s="68"/>
      <c r="AR1121" s="68"/>
      <c r="AS1121" s="68"/>
      <c r="AT1121" s="68"/>
      <c r="AU1121" s="68"/>
      <c r="AV1121" s="68"/>
      <c r="AW1121" s="68"/>
      <c r="AX1121" s="68"/>
      <c r="AY1121" s="68"/>
      <c r="AZ1121" s="68"/>
      <c r="BA1121" s="68"/>
      <c r="BB1121" s="68"/>
      <c r="BC1121" s="68"/>
      <c r="BD1121" s="68"/>
      <c r="BE1121" s="68"/>
      <c r="BF1121" s="68"/>
      <c r="BG1121" s="68"/>
      <c r="BH1121" s="68"/>
      <c r="BI1121" s="68"/>
      <c r="BJ1121" s="68"/>
      <c r="BK1121" s="68"/>
      <c r="BL1121" s="68"/>
      <c r="BM1121" s="68"/>
      <c r="BN1121" s="68"/>
      <c r="BO1121" s="68"/>
      <c r="BP1121" s="68"/>
      <c r="BQ1121" s="68"/>
      <c r="BR1121" s="68"/>
      <c r="BS1121" s="68"/>
      <c r="BT1121" s="68"/>
      <c r="BU1121" s="68"/>
      <c r="BV1121" s="68"/>
      <c r="BW1121" s="68"/>
      <c r="BX1121" s="68"/>
      <c r="BY1121" s="68"/>
      <c r="BZ1121" s="68"/>
      <c r="CA1121" s="68"/>
      <c r="CB1121" s="68"/>
      <c r="CC1121" s="68"/>
      <c r="CD1121" s="68"/>
      <c r="CE1121" s="68"/>
      <c r="CF1121" s="68"/>
      <c r="CG1121" s="68"/>
      <c r="CH1121" s="68"/>
      <c r="CI1121" s="68"/>
      <c r="CJ1121" s="68"/>
      <c r="CK1121" s="68"/>
      <c r="CL1121" s="68"/>
      <c r="CM1121" s="68"/>
      <c r="CN1121" s="68"/>
      <c r="CO1121" s="68"/>
      <c r="CP1121" s="68"/>
      <c r="CQ1121" s="68"/>
      <c r="CR1121" s="68"/>
      <c r="CS1121" s="68"/>
      <c r="CT1121" s="68"/>
      <c r="CU1121" s="68"/>
      <c r="CV1121" s="68"/>
      <c r="CW1121" s="68"/>
      <c r="CX1121" s="68"/>
    </row>
    <row r="1122" spans="4:102" s="71" customFormat="1" hidden="1">
      <c r="D1122" s="105"/>
      <c r="E1122" s="100"/>
      <c r="F1122" s="100"/>
      <c r="G1122" s="100"/>
      <c r="H1122" s="100"/>
      <c r="I1122" s="100"/>
      <c r="J1122" s="100"/>
      <c r="K1122" s="112"/>
      <c r="L1122" s="100"/>
      <c r="M1122" s="100"/>
      <c r="N1122" s="100"/>
      <c r="O1122" s="100"/>
      <c r="P1122" s="65"/>
      <c r="Q1122" s="103"/>
      <c r="R1122" s="103"/>
      <c r="S1122" s="103"/>
      <c r="T1122" s="103"/>
      <c r="U1122" s="68"/>
      <c r="V1122" s="69"/>
      <c r="W1122" s="68"/>
      <c r="X1122" s="68"/>
      <c r="Y1122" s="68"/>
      <c r="Z1122" s="68"/>
      <c r="AA1122" s="68"/>
      <c r="AB1122" s="68"/>
      <c r="AC1122" s="68"/>
      <c r="AD1122" s="68"/>
      <c r="AE1122" s="68"/>
      <c r="AF1122" s="68"/>
      <c r="AG1122" s="68"/>
      <c r="AH1122" s="68"/>
      <c r="AI1122" s="68"/>
      <c r="AJ1122" s="68"/>
      <c r="AK1122" s="68"/>
      <c r="AL1122" s="68"/>
      <c r="AM1122" s="68"/>
      <c r="AN1122" s="68"/>
      <c r="AO1122" s="68"/>
      <c r="AP1122" s="68"/>
      <c r="AQ1122" s="68"/>
      <c r="AR1122" s="68"/>
      <c r="AS1122" s="68"/>
      <c r="AT1122" s="68"/>
      <c r="AU1122" s="68"/>
      <c r="AV1122" s="68"/>
      <c r="AW1122" s="68"/>
      <c r="AX1122" s="68"/>
      <c r="AY1122" s="68"/>
      <c r="AZ1122" s="68"/>
      <c r="BA1122" s="68"/>
      <c r="BB1122" s="68"/>
      <c r="BC1122" s="68"/>
      <c r="BD1122" s="68"/>
      <c r="BE1122" s="68"/>
      <c r="BF1122" s="68"/>
      <c r="BG1122" s="68"/>
      <c r="BH1122" s="68"/>
      <c r="BI1122" s="68"/>
      <c r="BJ1122" s="68"/>
      <c r="BK1122" s="68"/>
      <c r="BL1122" s="68"/>
      <c r="BM1122" s="68"/>
      <c r="BN1122" s="68"/>
      <c r="BO1122" s="68"/>
      <c r="BP1122" s="68"/>
      <c r="BQ1122" s="68"/>
      <c r="BR1122" s="68"/>
      <c r="BS1122" s="68"/>
      <c r="BT1122" s="68"/>
      <c r="BU1122" s="68"/>
      <c r="BV1122" s="68"/>
      <c r="BW1122" s="68"/>
      <c r="BX1122" s="68"/>
      <c r="BY1122" s="68"/>
      <c r="BZ1122" s="68"/>
      <c r="CA1122" s="68"/>
      <c r="CB1122" s="68"/>
      <c r="CC1122" s="68"/>
      <c r="CD1122" s="68"/>
      <c r="CE1122" s="68"/>
      <c r="CF1122" s="68"/>
      <c r="CG1122" s="68"/>
      <c r="CH1122" s="68"/>
      <c r="CI1122" s="68"/>
      <c r="CJ1122" s="68"/>
      <c r="CK1122" s="68"/>
      <c r="CL1122" s="68"/>
      <c r="CM1122" s="68"/>
      <c r="CN1122" s="68"/>
      <c r="CO1122" s="68"/>
      <c r="CP1122" s="68"/>
      <c r="CQ1122" s="68"/>
      <c r="CR1122" s="68"/>
      <c r="CS1122" s="68"/>
      <c r="CT1122" s="68"/>
      <c r="CU1122" s="68"/>
      <c r="CV1122" s="68"/>
      <c r="CW1122" s="68"/>
      <c r="CX1122" s="68"/>
    </row>
    <row r="1123" spans="4:102" s="71" customFormat="1" hidden="1">
      <c r="D1123" s="105"/>
      <c r="E1123" s="100"/>
      <c r="F1123" s="100"/>
      <c r="G1123" s="100"/>
      <c r="H1123" s="100"/>
      <c r="I1123" s="100"/>
      <c r="J1123" s="100"/>
      <c r="K1123" s="112"/>
      <c r="L1123" s="100"/>
      <c r="M1123" s="100"/>
      <c r="N1123" s="100"/>
      <c r="O1123" s="100"/>
      <c r="P1123" s="65"/>
      <c r="Q1123" s="103"/>
      <c r="R1123" s="103"/>
      <c r="S1123" s="103"/>
      <c r="T1123" s="103"/>
      <c r="U1123" s="68"/>
      <c r="V1123" s="69"/>
      <c r="W1123" s="68"/>
      <c r="X1123" s="68"/>
      <c r="Y1123" s="68"/>
      <c r="Z1123" s="68"/>
      <c r="AA1123" s="68"/>
      <c r="AB1123" s="68"/>
      <c r="AC1123" s="68"/>
      <c r="AD1123" s="68"/>
      <c r="AE1123" s="68"/>
      <c r="AF1123" s="68"/>
      <c r="AG1123" s="68"/>
      <c r="AH1123" s="68"/>
      <c r="AI1123" s="68"/>
      <c r="AJ1123" s="68"/>
      <c r="AK1123" s="68"/>
      <c r="AL1123" s="68"/>
      <c r="AM1123" s="68"/>
      <c r="AN1123" s="68"/>
      <c r="AO1123" s="68"/>
      <c r="AP1123" s="68"/>
      <c r="AQ1123" s="68"/>
      <c r="AR1123" s="68"/>
      <c r="AS1123" s="68"/>
      <c r="AT1123" s="68"/>
      <c r="AU1123" s="68"/>
      <c r="AV1123" s="68"/>
      <c r="AW1123" s="68"/>
      <c r="AX1123" s="68"/>
      <c r="AY1123" s="68"/>
      <c r="AZ1123" s="68"/>
      <c r="BA1123" s="68"/>
      <c r="BB1123" s="68"/>
      <c r="BC1123" s="68"/>
      <c r="BD1123" s="68"/>
      <c r="BE1123" s="68"/>
      <c r="BF1123" s="68"/>
      <c r="BG1123" s="68"/>
      <c r="BH1123" s="68"/>
      <c r="BI1123" s="68"/>
      <c r="BJ1123" s="68"/>
      <c r="BK1123" s="68"/>
      <c r="BL1123" s="68"/>
      <c r="BM1123" s="68"/>
      <c r="BN1123" s="68"/>
      <c r="BO1123" s="68"/>
      <c r="BP1123" s="68"/>
      <c r="BQ1123" s="68"/>
      <c r="BR1123" s="68"/>
      <c r="BS1123" s="68"/>
      <c r="BT1123" s="68"/>
      <c r="BU1123" s="68"/>
      <c r="BV1123" s="68"/>
      <c r="BW1123" s="68"/>
      <c r="BX1123" s="68"/>
      <c r="BY1123" s="68"/>
      <c r="BZ1123" s="68"/>
      <c r="CA1123" s="68"/>
      <c r="CB1123" s="68"/>
      <c r="CC1123" s="68"/>
      <c r="CD1123" s="68"/>
      <c r="CE1123" s="68"/>
      <c r="CF1123" s="68"/>
      <c r="CG1123" s="68"/>
      <c r="CH1123" s="68"/>
      <c r="CI1123" s="68"/>
      <c r="CJ1123" s="68"/>
      <c r="CK1123" s="68"/>
      <c r="CL1123" s="68"/>
      <c r="CM1123" s="68"/>
      <c r="CN1123" s="68"/>
      <c r="CO1123" s="68"/>
      <c r="CP1123" s="68"/>
      <c r="CQ1123" s="68"/>
      <c r="CR1123" s="68"/>
      <c r="CS1123" s="68"/>
      <c r="CT1123" s="68"/>
      <c r="CU1123" s="68"/>
      <c r="CV1123" s="68"/>
      <c r="CW1123" s="68"/>
      <c r="CX1123" s="68"/>
    </row>
    <row r="1124" spans="4:102" s="71" customFormat="1" hidden="1">
      <c r="D1124" s="105"/>
      <c r="E1124" s="100"/>
      <c r="F1124" s="100"/>
      <c r="G1124" s="100"/>
      <c r="H1124" s="100"/>
      <c r="I1124" s="100"/>
      <c r="J1124" s="100"/>
      <c r="K1124" s="112"/>
      <c r="L1124" s="100"/>
      <c r="M1124" s="100"/>
      <c r="N1124" s="100"/>
      <c r="O1124" s="100"/>
      <c r="P1124" s="65"/>
      <c r="Q1124" s="103"/>
      <c r="R1124" s="103"/>
      <c r="S1124" s="103"/>
      <c r="T1124" s="103"/>
      <c r="U1124" s="68"/>
      <c r="V1124" s="69"/>
      <c r="W1124" s="68"/>
      <c r="X1124" s="68"/>
      <c r="Y1124" s="68"/>
      <c r="Z1124" s="68"/>
      <c r="AA1124" s="68"/>
      <c r="AB1124" s="68"/>
      <c r="AC1124" s="68"/>
      <c r="AD1124" s="68"/>
      <c r="AE1124" s="68"/>
      <c r="AF1124" s="68"/>
      <c r="AG1124" s="68"/>
      <c r="AH1124" s="68"/>
      <c r="AI1124" s="68"/>
      <c r="AJ1124" s="68"/>
      <c r="AK1124" s="68"/>
      <c r="AL1124" s="68"/>
      <c r="AM1124" s="68"/>
      <c r="AN1124" s="68"/>
      <c r="AO1124" s="68"/>
      <c r="AP1124" s="68"/>
      <c r="AQ1124" s="68"/>
      <c r="AR1124" s="68"/>
      <c r="AS1124" s="68"/>
      <c r="AT1124" s="68"/>
      <c r="AU1124" s="68"/>
      <c r="AV1124" s="68"/>
      <c r="AW1124" s="68"/>
      <c r="AX1124" s="68"/>
      <c r="AY1124" s="68"/>
      <c r="AZ1124" s="68"/>
      <c r="BA1124" s="68"/>
      <c r="BB1124" s="68"/>
      <c r="BC1124" s="68"/>
      <c r="BD1124" s="68"/>
      <c r="BE1124" s="68"/>
      <c r="BF1124" s="68"/>
      <c r="BG1124" s="68"/>
      <c r="BH1124" s="68"/>
      <c r="BI1124" s="68"/>
      <c r="BJ1124" s="68"/>
      <c r="BK1124" s="68"/>
      <c r="BL1124" s="68"/>
      <c r="BM1124" s="68"/>
      <c r="BN1124" s="68"/>
      <c r="BO1124" s="68"/>
      <c r="BP1124" s="68"/>
      <c r="BQ1124" s="68"/>
      <c r="BR1124" s="68"/>
      <c r="BS1124" s="68"/>
      <c r="BT1124" s="68"/>
      <c r="BU1124" s="68"/>
      <c r="BV1124" s="68"/>
      <c r="BW1124" s="68"/>
      <c r="BX1124" s="68"/>
      <c r="BY1124" s="68"/>
      <c r="BZ1124" s="68"/>
      <c r="CA1124" s="68"/>
      <c r="CB1124" s="68"/>
      <c r="CC1124" s="68"/>
      <c r="CD1124" s="68"/>
      <c r="CE1124" s="68"/>
      <c r="CF1124" s="68"/>
      <c r="CG1124" s="68"/>
      <c r="CH1124" s="68"/>
      <c r="CI1124" s="68"/>
      <c r="CJ1124" s="68"/>
      <c r="CK1124" s="68"/>
      <c r="CL1124" s="68"/>
      <c r="CM1124" s="68"/>
      <c r="CN1124" s="68"/>
      <c r="CO1124" s="68"/>
      <c r="CP1124" s="68"/>
      <c r="CQ1124" s="68"/>
      <c r="CR1124" s="68"/>
      <c r="CS1124" s="68"/>
      <c r="CT1124" s="68"/>
      <c r="CU1124" s="68"/>
      <c r="CV1124" s="68"/>
      <c r="CW1124" s="68"/>
      <c r="CX1124" s="68"/>
    </row>
    <row r="1125" spans="4:102" s="71" customFormat="1" hidden="1">
      <c r="D1125" s="105"/>
      <c r="E1125" s="100"/>
      <c r="F1125" s="100"/>
      <c r="G1125" s="100"/>
      <c r="H1125" s="100"/>
      <c r="I1125" s="100"/>
      <c r="J1125" s="100"/>
      <c r="K1125" s="112"/>
      <c r="L1125" s="100"/>
      <c r="M1125" s="100"/>
      <c r="N1125" s="100"/>
      <c r="O1125" s="100"/>
      <c r="P1125" s="65"/>
      <c r="Q1125" s="103"/>
      <c r="R1125" s="103"/>
      <c r="S1125" s="103"/>
      <c r="T1125" s="103"/>
      <c r="U1125" s="68"/>
      <c r="V1125" s="69"/>
      <c r="W1125" s="68"/>
      <c r="X1125" s="68"/>
      <c r="Y1125" s="68"/>
      <c r="Z1125" s="68"/>
      <c r="AA1125" s="68"/>
      <c r="AB1125" s="68"/>
      <c r="AC1125" s="68"/>
      <c r="AD1125" s="68"/>
      <c r="AE1125" s="68"/>
      <c r="AF1125" s="68"/>
      <c r="AG1125" s="68"/>
      <c r="AH1125" s="68"/>
      <c r="AI1125" s="68"/>
      <c r="AJ1125" s="68"/>
      <c r="AK1125" s="68"/>
      <c r="AL1125" s="68"/>
      <c r="AM1125" s="68"/>
      <c r="AN1125" s="68"/>
      <c r="AO1125" s="68"/>
      <c r="AP1125" s="68"/>
      <c r="AQ1125" s="68"/>
      <c r="AR1125" s="68"/>
      <c r="AS1125" s="68"/>
      <c r="AT1125" s="68"/>
      <c r="AU1125" s="68"/>
      <c r="AV1125" s="68"/>
      <c r="AW1125" s="68"/>
      <c r="AX1125" s="68"/>
      <c r="AY1125" s="68"/>
      <c r="AZ1125" s="68"/>
      <c r="BA1125" s="68"/>
      <c r="BB1125" s="68"/>
      <c r="BC1125" s="68"/>
      <c r="BD1125" s="68"/>
      <c r="BE1125" s="68"/>
      <c r="BF1125" s="68"/>
      <c r="BG1125" s="68"/>
      <c r="BH1125" s="68"/>
      <c r="BI1125" s="68"/>
      <c r="BJ1125" s="68"/>
      <c r="BK1125" s="68"/>
      <c r="BL1125" s="68"/>
      <c r="BM1125" s="68"/>
      <c r="BN1125" s="68"/>
      <c r="BO1125" s="68"/>
      <c r="BP1125" s="68"/>
      <c r="BQ1125" s="68"/>
      <c r="BR1125" s="68"/>
      <c r="BS1125" s="68"/>
      <c r="BT1125" s="68"/>
      <c r="BU1125" s="68"/>
      <c r="BV1125" s="68"/>
      <c r="BW1125" s="68"/>
      <c r="BX1125" s="68"/>
      <c r="BY1125" s="68"/>
      <c r="BZ1125" s="68"/>
      <c r="CA1125" s="68"/>
      <c r="CB1125" s="68"/>
      <c r="CC1125" s="68"/>
      <c r="CD1125" s="68"/>
      <c r="CE1125" s="68"/>
      <c r="CF1125" s="68"/>
      <c r="CG1125" s="68"/>
      <c r="CH1125" s="68"/>
      <c r="CI1125" s="68"/>
      <c r="CJ1125" s="68"/>
      <c r="CK1125" s="68"/>
      <c r="CL1125" s="68"/>
      <c r="CM1125" s="68"/>
      <c r="CN1125" s="68"/>
      <c r="CO1125" s="68"/>
      <c r="CP1125" s="68"/>
      <c r="CQ1125" s="68"/>
      <c r="CR1125" s="68"/>
      <c r="CS1125" s="68"/>
      <c r="CT1125" s="68"/>
      <c r="CU1125" s="68"/>
      <c r="CV1125" s="68"/>
      <c r="CW1125" s="68"/>
      <c r="CX1125" s="68"/>
    </row>
    <row r="1126" spans="4:102" s="71" customFormat="1" hidden="1">
      <c r="D1126" s="105"/>
      <c r="E1126" s="100"/>
      <c r="F1126" s="100"/>
      <c r="G1126" s="100"/>
      <c r="H1126" s="100"/>
      <c r="I1126" s="100"/>
      <c r="J1126" s="100"/>
      <c r="K1126" s="112"/>
      <c r="L1126" s="100"/>
      <c r="M1126" s="100"/>
      <c r="N1126" s="100"/>
      <c r="O1126" s="100"/>
      <c r="P1126" s="65"/>
      <c r="Q1126" s="103"/>
      <c r="R1126" s="103"/>
      <c r="S1126" s="103"/>
      <c r="T1126" s="103"/>
      <c r="U1126" s="68"/>
      <c r="V1126" s="69"/>
      <c r="W1126" s="68"/>
      <c r="X1126" s="68"/>
      <c r="Y1126" s="68"/>
      <c r="Z1126" s="68"/>
      <c r="AA1126" s="68"/>
      <c r="AB1126" s="68"/>
      <c r="AC1126" s="68"/>
      <c r="AD1126" s="68"/>
      <c r="AE1126" s="68"/>
      <c r="AF1126" s="68"/>
      <c r="AG1126" s="68"/>
      <c r="AH1126" s="68"/>
      <c r="AI1126" s="68"/>
      <c r="AJ1126" s="68"/>
      <c r="AK1126" s="68"/>
      <c r="AL1126" s="68"/>
      <c r="AM1126" s="68"/>
      <c r="AN1126" s="68"/>
      <c r="AO1126" s="68"/>
      <c r="AP1126" s="68"/>
      <c r="AQ1126" s="68"/>
      <c r="AR1126" s="68"/>
      <c r="AS1126" s="68"/>
      <c r="AT1126" s="68"/>
      <c r="AU1126" s="68"/>
      <c r="AV1126" s="68"/>
      <c r="AW1126" s="68"/>
      <c r="AX1126" s="68"/>
      <c r="AY1126" s="68"/>
      <c r="AZ1126" s="68"/>
      <c r="BA1126" s="68"/>
      <c r="BB1126" s="68"/>
      <c r="BC1126" s="68"/>
      <c r="BD1126" s="68"/>
      <c r="BE1126" s="68"/>
      <c r="BF1126" s="68"/>
      <c r="BG1126" s="68"/>
      <c r="BH1126" s="68"/>
      <c r="BI1126" s="68"/>
      <c r="BJ1126" s="68"/>
      <c r="BK1126" s="68"/>
      <c r="BL1126" s="68"/>
      <c r="BM1126" s="68"/>
      <c r="BN1126" s="68"/>
      <c r="BO1126" s="68"/>
      <c r="BP1126" s="68"/>
      <c r="BQ1126" s="68"/>
      <c r="BR1126" s="68"/>
      <c r="BS1126" s="68"/>
      <c r="BT1126" s="68"/>
      <c r="BU1126" s="68"/>
      <c r="BV1126" s="68"/>
      <c r="BW1126" s="68"/>
      <c r="BX1126" s="68"/>
      <c r="BY1126" s="68"/>
      <c r="BZ1126" s="68"/>
      <c r="CA1126" s="68"/>
      <c r="CB1126" s="68"/>
      <c r="CC1126" s="68"/>
      <c r="CD1126" s="68"/>
      <c r="CE1126" s="68"/>
      <c r="CF1126" s="68"/>
      <c r="CG1126" s="68"/>
      <c r="CH1126" s="68"/>
      <c r="CI1126" s="68"/>
      <c r="CJ1126" s="68"/>
      <c r="CK1126" s="68"/>
      <c r="CL1126" s="68"/>
      <c r="CM1126" s="68"/>
      <c r="CN1126" s="68"/>
      <c r="CO1126" s="68"/>
      <c r="CP1126" s="68"/>
      <c r="CQ1126" s="68"/>
      <c r="CR1126" s="68"/>
      <c r="CS1126" s="68"/>
      <c r="CT1126" s="68"/>
      <c r="CU1126" s="68"/>
      <c r="CV1126" s="68"/>
      <c r="CW1126" s="68"/>
      <c r="CX1126" s="68"/>
    </row>
    <row r="1127" spans="4:102" s="71" customFormat="1" hidden="1">
      <c r="D1127" s="105"/>
      <c r="E1127" s="100"/>
      <c r="F1127" s="100"/>
      <c r="G1127" s="100"/>
      <c r="H1127" s="100"/>
      <c r="I1127" s="100"/>
      <c r="J1127" s="100"/>
      <c r="K1127" s="112"/>
      <c r="L1127" s="100"/>
      <c r="M1127" s="100"/>
      <c r="N1127" s="100"/>
      <c r="O1127" s="100"/>
      <c r="P1127" s="65"/>
      <c r="Q1127" s="103"/>
      <c r="R1127" s="103"/>
      <c r="S1127" s="103"/>
      <c r="T1127" s="103"/>
      <c r="U1127" s="68"/>
      <c r="V1127" s="69"/>
      <c r="W1127" s="68"/>
      <c r="X1127" s="68"/>
      <c r="Y1127" s="68"/>
      <c r="Z1127" s="68"/>
      <c r="AA1127" s="68"/>
      <c r="AB1127" s="68"/>
      <c r="AC1127" s="68"/>
      <c r="AD1127" s="68"/>
      <c r="AE1127" s="68"/>
      <c r="AF1127" s="68"/>
      <c r="AG1127" s="68"/>
      <c r="AH1127" s="68"/>
      <c r="AI1127" s="68"/>
      <c r="AJ1127" s="68"/>
      <c r="AK1127" s="68"/>
      <c r="AL1127" s="68"/>
      <c r="AM1127" s="68"/>
      <c r="AN1127" s="68"/>
      <c r="AO1127" s="68"/>
      <c r="AP1127" s="68"/>
      <c r="AQ1127" s="68"/>
      <c r="AR1127" s="68"/>
      <c r="AS1127" s="68"/>
      <c r="AT1127" s="68"/>
      <c r="AU1127" s="68"/>
      <c r="AV1127" s="68"/>
      <c r="AW1127" s="68"/>
      <c r="AX1127" s="68"/>
      <c r="AY1127" s="68"/>
      <c r="AZ1127" s="68"/>
      <c r="BA1127" s="68"/>
      <c r="BB1127" s="68"/>
      <c r="BC1127" s="68"/>
      <c r="BD1127" s="68"/>
      <c r="BE1127" s="68"/>
      <c r="BF1127" s="68"/>
      <c r="BG1127" s="68"/>
      <c r="BH1127" s="68"/>
      <c r="BI1127" s="68"/>
      <c r="BJ1127" s="68"/>
      <c r="BK1127" s="68"/>
      <c r="BL1127" s="68"/>
      <c r="BM1127" s="68"/>
      <c r="BN1127" s="68"/>
      <c r="BO1127" s="68"/>
      <c r="BP1127" s="68"/>
      <c r="BQ1127" s="68"/>
      <c r="BR1127" s="68"/>
      <c r="BS1127" s="68"/>
      <c r="BT1127" s="68"/>
      <c r="BU1127" s="68"/>
      <c r="BV1127" s="68"/>
      <c r="BW1127" s="68"/>
      <c r="BX1127" s="68"/>
      <c r="BY1127" s="68"/>
      <c r="BZ1127" s="68"/>
      <c r="CA1127" s="68"/>
      <c r="CB1127" s="68"/>
      <c r="CC1127" s="68"/>
      <c r="CD1127" s="68"/>
      <c r="CE1127" s="68"/>
      <c r="CF1127" s="68"/>
      <c r="CG1127" s="68"/>
      <c r="CH1127" s="68"/>
      <c r="CI1127" s="68"/>
      <c r="CJ1127" s="68"/>
      <c r="CK1127" s="68"/>
      <c r="CL1127" s="68"/>
      <c r="CM1127" s="68"/>
      <c r="CN1127" s="68"/>
      <c r="CO1127" s="68"/>
      <c r="CP1127" s="68"/>
      <c r="CQ1127" s="68"/>
      <c r="CR1127" s="68"/>
      <c r="CS1127" s="68"/>
      <c r="CT1127" s="68"/>
      <c r="CU1127" s="68"/>
      <c r="CV1127" s="68"/>
      <c r="CW1127" s="68"/>
      <c r="CX1127" s="68"/>
    </row>
    <row r="1128" spans="4:102" s="71" customFormat="1" hidden="1">
      <c r="D1128" s="105"/>
      <c r="E1128" s="100"/>
      <c r="F1128" s="100"/>
      <c r="G1128" s="100"/>
      <c r="H1128" s="100"/>
      <c r="I1128" s="100"/>
      <c r="J1128" s="100"/>
      <c r="K1128" s="112"/>
      <c r="L1128" s="100"/>
      <c r="M1128" s="100"/>
      <c r="N1128" s="100"/>
      <c r="O1128" s="100"/>
      <c r="P1128" s="65"/>
      <c r="Q1128" s="103"/>
      <c r="R1128" s="103"/>
      <c r="S1128" s="103"/>
      <c r="T1128" s="103"/>
      <c r="U1128" s="68"/>
      <c r="V1128" s="69"/>
      <c r="W1128" s="68"/>
      <c r="X1128" s="68"/>
      <c r="Y1128" s="68"/>
      <c r="Z1128" s="68"/>
      <c r="AA1128" s="68"/>
      <c r="AB1128" s="68"/>
      <c r="AC1128" s="68"/>
      <c r="AD1128" s="68"/>
      <c r="AE1128" s="68"/>
      <c r="AF1128" s="68"/>
      <c r="AG1128" s="68"/>
      <c r="AH1128" s="68"/>
      <c r="AI1128" s="68"/>
      <c r="AJ1128" s="68"/>
      <c r="AK1128" s="68"/>
      <c r="AL1128" s="68"/>
      <c r="AM1128" s="68"/>
      <c r="AN1128" s="68"/>
      <c r="AO1128" s="68"/>
      <c r="AP1128" s="68"/>
      <c r="AQ1128" s="68"/>
      <c r="AR1128" s="68"/>
      <c r="AS1128" s="68"/>
      <c r="AT1128" s="68"/>
      <c r="AU1128" s="68"/>
      <c r="AV1128" s="68"/>
      <c r="AW1128" s="68"/>
      <c r="AX1128" s="68"/>
      <c r="AY1128" s="68"/>
      <c r="AZ1128" s="68"/>
      <c r="BA1128" s="68"/>
      <c r="BB1128" s="68"/>
      <c r="BC1128" s="68"/>
      <c r="BD1128" s="68"/>
      <c r="BE1128" s="68"/>
      <c r="BF1128" s="68"/>
      <c r="BG1128" s="68"/>
      <c r="BH1128" s="68"/>
      <c r="BI1128" s="68"/>
      <c r="BJ1128" s="68"/>
      <c r="BK1128" s="68"/>
      <c r="BL1128" s="68"/>
      <c r="BM1128" s="68"/>
      <c r="BN1128" s="68"/>
      <c r="BO1128" s="68"/>
      <c r="BP1128" s="68"/>
      <c r="BQ1128" s="68"/>
      <c r="BR1128" s="68"/>
      <c r="BS1128" s="68"/>
      <c r="BT1128" s="68"/>
      <c r="BU1128" s="68"/>
      <c r="BV1128" s="68"/>
      <c r="BW1128" s="68"/>
      <c r="BX1128" s="68"/>
      <c r="BY1128" s="68"/>
      <c r="BZ1128" s="68"/>
      <c r="CA1128" s="68"/>
      <c r="CB1128" s="68"/>
      <c r="CC1128" s="68"/>
      <c r="CD1128" s="68"/>
      <c r="CE1128" s="68"/>
      <c r="CF1128" s="68"/>
      <c r="CG1128" s="68"/>
      <c r="CH1128" s="68"/>
      <c r="CI1128" s="68"/>
      <c r="CJ1128" s="68"/>
      <c r="CK1128" s="68"/>
      <c r="CL1128" s="68"/>
      <c r="CM1128" s="68"/>
      <c r="CN1128" s="68"/>
      <c r="CO1128" s="68"/>
      <c r="CP1128" s="68"/>
      <c r="CQ1128" s="68"/>
      <c r="CR1128" s="68"/>
      <c r="CS1128" s="68"/>
      <c r="CT1128" s="68"/>
      <c r="CU1128" s="68"/>
      <c r="CV1128" s="68"/>
      <c r="CW1128" s="68"/>
      <c r="CX1128" s="68"/>
    </row>
    <row r="1129" spans="4:102" s="71" customFormat="1" hidden="1">
      <c r="D1129" s="105"/>
      <c r="E1129" s="100"/>
      <c r="F1129" s="100"/>
      <c r="G1129" s="100"/>
      <c r="H1129" s="100"/>
      <c r="I1129" s="100"/>
      <c r="J1129" s="100"/>
      <c r="K1129" s="112"/>
      <c r="L1129" s="100"/>
      <c r="M1129" s="100"/>
      <c r="N1129" s="100"/>
      <c r="O1129" s="100"/>
      <c r="P1129" s="65"/>
      <c r="Q1129" s="103"/>
      <c r="R1129" s="103"/>
      <c r="S1129" s="103"/>
      <c r="T1129" s="103"/>
      <c r="U1129" s="68"/>
      <c r="V1129" s="69"/>
      <c r="W1129" s="68"/>
      <c r="X1129" s="68"/>
      <c r="Y1129" s="68"/>
      <c r="Z1129" s="68"/>
      <c r="AA1129" s="68"/>
      <c r="AB1129" s="68"/>
      <c r="AC1129" s="68"/>
      <c r="AD1129" s="68"/>
      <c r="AE1129" s="68"/>
      <c r="AF1129" s="68"/>
      <c r="AG1129" s="68"/>
      <c r="AH1129" s="68"/>
      <c r="AI1129" s="68"/>
      <c r="AJ1129" s="68"/>
      <c r="AK1129" s="68"/>
      <c r="AL1129" s="68"/>
      <c r="AM1129" s="68"/>
      <c r="AN1129" s="68"/>
      <c r="AO1129" s="68"/>
      <c r="AP1129" s="68"/>
      <c r="AQ1129" s="68"/>
      <c r="AR1129" s="68"/>
      <c r="AS1129" s="68"/>
      <c r="AT1129" s="68"/>
      <c r="AU1129" s="68"/>
      <c r="AV1129" s="68"/>
      <c r="AW1129" s="68"/>
      <c r="AX1129" s="68"/>
      <c r="AY1129" s="68"/>
      <c r="AZ1129" s="68"/>
      <c r="BA1129" s="68"/>
      <c r="BB1129" s="68"/>
      <c r="BC1129" s="68"/>
      <c r="BD1129" s="68"/>
      <c r="BE1129" s="68"/>
      <c r="BF1129" s="68"/>
      <c r="BG1129" s="68"/>
      <c r="BH1129" s="68"/>
      <c r="BI1129" s="68"/>
      <c r="BJ1129" s="68"/>
      <c r="BK1129" s="68"/>
      <c r="BL1129" s="68"/>
      <c r="BM1129" s="68"/>
      <c r="BN1129" s="68"/>
      <c r="BO1129" s="68"/>
      <c r="BP1129" s="68"/>
      <c r="BQ1129" s="68"/>
      <c r="BR1129" s="68"/>
      <c r="BS1129" s="68"/>
      <c r="BT1129" s="68"/>
      <c r="BU1129" s="68"/>
      <c r="BV1129" s="68"/>
      <c r="BW1129" s="68"/>
      <c r="BX1129" s="68"/>
      <c r="BY1129" s="68"/>
      <c r="BZ1129" s="68"/>
      <c r="CA1129" s="68"/>
      <c r="CB1129" s="68"/>
      <c r="CC1129" s="68"/>
      <c r="CD1129" s="68"/>
      <c r="CE1129" s="68"/>
      <c r="CF1129" s="68"/>
      <c r="CG1129" s="68"/>
      <c r="CH1129" s="68"/>
      <c r="CI1129" s="68"/>
      <c r="CJ1129" s="68"/>
      <c r="CK1129" s="68"/>
      <c r="CL1129" s="68"/>
      <c r="CM1129" s="68"/>
      <c r="CN1129" s="68"/>
      <c r="CO1129" s="68"/>
      <c r="CP1129" s="68"/>
      <c r="CQ1129" s="68"/>
      <c r="CR1129" s="68"/>
      <c r="CS1129" s="68"/>
      <c r="CT1129" s="68"/>
      <c r="CU1129" s="68"/>
      <c r="CV1129" s="68"/>
      <c r="CW1129" s="68"/>
      <c r="CX1129" s="68"/>
    </row>
    <row r="1130" spans="4:102" s="71" customFormat="1" hidden="1">
      <c r="D1130" s="105"/>
      <c r="E1130" s="100"/>
      <c r="F1130" s="100"/>
      <c r="G1130" s="100"/>
      <c r="H1130" s="100"/>
      <c r="I1130" s="100"/>
      <c r="J1130" s="100"/>
      <c r="K1130" s="112"/>
      <c r="L1130" s="100"/>
      <c r="M1130" s="100"/>
      <c r="N1130" s="100"/>
      <c r="O1130" s="100"/>
      <c r="P1130" s="65"/>
      <c r="Q1130" s="103"/>
      <c r="R1130" s="103"/>
      <c r="S1130" s="103"/>
      <c r="T1130" s="103"/>
      <c r="U1130" s="68"/>
      <c r="V1130" s="69"/>
      <c r="W1130" s="68"/>
      <c r="X1130" s="68"/>
      <c r="Y1130" s="68"/>
      <c r="Z1130" s="68"/>
      <c r="AA1130" s="68"/>
      <c r="AB1130" s="68"/>
      <c r="AC1130" s="68"/>
      <c r="AD1130" s="68"/>
      <c r="AE1130" s="68"/>
      <c r="AF1130" s="68"/>
      <c r="AG1130" s="68"/>
      <c r="AH1130" s="68"/>
      <c r="AI1130" s="68"/>
      <c r="AJ1130" s="68"/>
      <c r="AK1130" s="68"/>
      <c r="AL1130" s="68"/>
      <c r="AM1130" s="68"/>
      <c r="AN1130" s="68"/>
      <c r="AO1130" s="68"/>
      <c r="AP1130" s="68"/>
      <c r="AQ1130" s="68"/>
      <c r="AR1130" s="68"/>
      <c r="AS1130" s="68"/>
      <c r="AT1130" s="68"/>
      <c r="AU1130" s="68"/>
      <c r="AV1130" s="68"/>
      <c r="AW1130" s="68"/>
      <c r="AX1130" s="68"/>
      <c r="AY1130" s="68"/>
      <c r="AZ1130" s="68"/>
      <c r="BA1130" s="68"/>
      <c r="BB1130" s="68"/>
      <c r="BC1130" s="68"/>
      <c r="BD1130" s="68"/>
      <c r="BE1130" s="68"/>
      <c r="BF1130" s="68"/>
      <c r="BG1130" s="68"/>
      <c r="BH1130" s="68"/>
      <c r="BI1130" s="68"/>
      <c r="BJ1130" s="68"/>
      <c r="BK1130" s="68"/>
      <c r="BL1130" s="68"/>
      <c r="BM1130" s="68"/>
      <c r="BN1130" s="68"/>
      <c r="BO1130" s="68"/>
      <c r="BP1130" s="68"/>
      <c r="BQ1130" s="68"/>
      <c r="BR1130" s="68"/>
      <c r="BS1130" s="68"/>
      <c r="BT1130" s="68"/>
      <c r="BU1130" s="68"/>
      <c r="BV1130" s="68"/>
      <c r="BW1130" s="68"/>
      <c r="BX1130" s="68"/>
      <c r="BY1130" s="68"/>
      <c r="BZ1130" s="68"/>
      <c r="CA1130" s="68"/>
      <c r="CB1130" s="68"/>
      <c r="CC1130" s="68"/>
      <c r="CD1130" s="68"/>
      <c r="CE1130" s="68"/>
      <c r="CF1130" s="68"/>
      <c r="CG1130" s="68"/>
      <c r="CH1130" s="68"/>
      <c r="CI1130" s="68"/>
      <c r="CJ1130" s="68"/>
      <c r="CK1130" s="68"/>
      <c r="CL1130" s="68"/>
      <c r="CM1130" s="68"/>
      <c r="CN1130" s="68"/>
      <c r="CO1130" s="68"/>
      <c r="CP1130" s="68"/>
      <c r="CQ1130" s="68"/>
      <c r="CR1130" s="68"/>
      <c r="CS1130" s="68"/>
      <c r="CT1130" s="68"/>
      <c r="CU1130" s="68"/>
      <c r="CV1130" s="68"/>
      <c r="CW1130" s="68"/>
      <c r="CX1130" s="68"/>
    </row>
    <row r="1131" spans="4:102" s="71" customFormat="1" hidden="1">
      <c r="D1131" s="105"/>
      <c r="E1131" s="100"/>
      <c r="F1131" s="100"/>
      <c r="G1131" s="100"/>
      <c r="H1131" s="100"/>
      <c r="I1131" s="100"/>
      <c r="J1131" s="100"/>
      <c r="K1131" s="112"/>
      <c r="L1131" s="100"/>
      <c r="M1131" s="100"/>
      <c r="N1131" s="100"/>
      <c r="O1131" s="100"/>
      <c r="P1131" s="65"/>
      <c r="Q1131" s="103"/>
      <c r="R1131" s="103"/>
      <c r="S1131" s="103"/>
      <c r="T1131" s="103"/>
      <c r="U1131" s="68"/>
      <c r="V1131" s="69"/>
      <c r="W1131" s="68"/>
      <c r="X1131" s="68"/>
      <c r="Y1131" s="68"/>
      <c r="Z1131" s="68"/>
      <c r="AA1131" s="68"/>
      <c r="AB1131" s="68"/>
      <c r="AC1131" s="68"/>
      <c r="AD1131" s="68"/>
      <c r="AE1131" s="68"/>
      <c r="AF1131" s="68"/>
      <c r="AG1131" s="68"/>
      <c r="AH1131" s="68"/>
      <c r="AI1131" s="68"/>
      <c r="AJ1131" s="68"/>
      <c r="AK1131" s="68"/>
      <c r="AL1131" s="68"/>
      <c r="AM1131" s="68"/>
      <c r="AN1131" s="68"/>
      <c r="AO1131" s="68"/>
      <c r="AP1131" s="68"/>
      <c r="AQ1131" s="68"/>
      <c r="AR1131" s="68"/>
      <c r="AS1131" s="68"/>
      <c r="AT1131" s="68"/>
      <c r="AU1131" s="68"/>
      <c r="AV1131" s="68"/>
      <c r="AW1131" s="68"/>
      <c r="AX1131" s="68"/>
      <c r="AY1131" s="68"/>
      <c r="AZ1131" s="68"/>
      <c r="BA1131" s="68"/>
      <c r="BB1131" s="68"/>
      <c r="BC1131" s="68"/>
      <c r="BD1131" s="68"/>
      <c r="BE1131" s="68"/>
      <c r="BF1131" s="68"/>
      <c r="BG1131" s="68"/>
      <c r="BH1131" s="68"/>
      <c r="BI1131" s="68"/>
      <c r="BJ1131" s="68"/>
      <c r="BK1131" s="68"/>
      <c r="BL1131" s="68"/>
      <c r="BM1131" s="68"/>
      <c r="BN1131" s="68"/>
      <c r="BO1131" s="68"/>
      <c r="BP1131" s="68"/>
      <c r="BQ1131" s="68"/>
      <c r="BR1131" s="68"/>
      <c r="BS1131" s="68"/>
      <c r="BT1131" s="68"/>
      <c r="BU1131" s="68"/>
      <c r="BV1131" s="68"/>
      <c r="BW1131" s="68"/>
      <c r="BX1131" s="68"/>
      <c r="BY1131" s="68"/>
      <c r="BZ1131" s="68"/>
      <c r="CA1131" s="68"/>
      <c r="CB1131" s="68"/>
      <c r="CC1131" s="68"/>
      <c r="CD1131" s="68"/>
      <c r="CE1131" s="68"/>
      <c r="CF1131" s="68"/>
      <c r="CG1131" s="68"/>
      <c r="CH1131" s="68"/>
      <c r="CI1131" s="68"/>
      <c r="CJ1131" s="68"/>
      <c r="CK1131" s="68"/>
      <c r="CL1131" s="68"/>
      <c r="CM1131" s="68"/>
      <c r="CN1131" s="68"/>
      <c r="CO1131" s="68"/>
      <c r="CP1131" s="68"/>
      <c r="CQ1131" s="68"/>
      <c r="CR1131" s="68"/>
      <c r="CS1131" s="68"/>
      <c r="CT1131" s="68"/>
      <c r="CU1131" s="68"/>
      <c r="CV1131" s="68"/>
      <c r="CW1131" s="68"/>
      <c r="CX1131" s="68"/>
    </row>
    <row r="1132" spans="4:102" s="71" customFormat="1" hidden="1">
      <c r="D1132" s="105"/>
      <c r="E1132" s="100"/>
      <c r="F1132" s="100"/>
      <c r="G1132" s="100"/>
      <c r="H1132" s="100"/>
      <c r="I1132" s="100"/>
      <c r="J1132" s="100"/>
      <c r="K1132" s="112"/>
      <c r="L1132" s="100"/>
      <c r="M1132" s="100"/>
      <c r="N1132" s="100"/>
      <c r="O1132" s="100"/>
      <c r="P1132" s="65"/>
      <c r="Q1132" s="103"/>
      <c r="R1132" s="103"/>
      <c r="S1132" s="103"/>
      <c r="T1132" s="103"/>
      <c r="U1132" s="68"/>
      <c r="V1132" s="69"/>
      <c r="W1132" s="68"/>
      <c r="X1132" s="68"/>
      <c r="Y1132" s="68"/>
      <c r="Z1132" s="68"/>
      <c r="AA1132" s="68"/>
      <c r="AB1132" s="68"/>
      <c r="AC1132" s="68"/>
      <c r="AD1132" s="68"/>
      <c r="AE1132" s="68"/>
      <c r="AF1132" s="68"/>
      <c r="AG1132" s="68"/>
      <c r="AH1132" s="68"/>
      <c r="AI1132" s="68"/>
      <c r="AJ1132" s="68"/>
      <c r="AK1132" s="68"/>
      <c r="AL1132" s="68"/>
      <c r="AM1132" s="68"/>
      <c r="AN1132" s="68"/>
      <c r="AO1132" s="68"/>
      <c r="AP1132" s="68"/>
      <c r="AQ1132" s="68"/>
      <c r="AR1132" s="68"/>
      <c r="AS1132" s="68"/>
      <c r="AT1132" s="68"/>
      <c r="AU1132" s="68"/>
      <c r="AV1132" s="68"/>
      <c r="AW1132" s="68"/>
      <c r="AX1132" s="68"/>
      <c r="AY1132" s="68"/>
      <c r="AZ1132" s="68"/>
      <c r="BA1132" s="68"/>
      <c r="BB1132" s="68"/>
      <c r="BC1132" s="68"/>
      <c r="BD1132" s="68"/>
      <c r="BE1132" s="68"/>
      <c r="BF1132" s="68"/>
      <c r="BG1132" s="68"/>
      <c r="BH1132" s="68"/>
      <c r="BI1132" s="68"/>
      <c r="BJ1132" s="68"/>
      <c r="BK1132" s="68"/>
      <c r="BL1132" s="68"/>
      <c r="BM1132" s="68"/>
      <c r="BN1132" s="68"/>
      <c r="BO1132" s="68"/>
      <c r="BP1132" s="68"/>
      <c r="BQ1132" s="68"/>
      <c r="BR1132" s="68"/>
      <c r="BS1132" s="68"/>
      <c r="BT1132" s="68"/>
      <c r="BU1132" s="68"/>
      <c r="BV1132" s="68"/>
      <c r="BW1132" s="68"/>
      <c r="BX1132" s="68"/>
      <c r="BY1132" s="68"/>
      <c r="BZ1132" s="68"/>
      <c r="CA1132" s="68"/>
      <c r="CB1132" s="68"/>
      <c r="CC1132" s="68"/>
      <c r="CD1132" s="68"/>
      <c r="CE1132" s="68"/>
      <c r="CF1132" s="68"/>
      <c r="CG1132" s="68"/>
      <c r="CH1132" s="68"/>
      <c r="CI1132" s="68"/>
      <c r="CJ1132" s="68"/>
      <c r="CK1132" s="68"/>
      <c r="CL1132" s="68"/>
      <c r="CM1132" s="68"/>
      <c r="CN1132" s="68"/>
      <c r="CO1132" s="68"/>
      <c r="CP1132" s="68"/>
      <c r="CQ1132" s="68"/>
      <c r="CR1132" s="68"/>
      <c r="CS1132" s="68"/>
      <c r="CT1132" s="68"/>
      <c r="CU1132" s="68"/>
      <c r="CV1132" s="68"/>
      <c r="CW1132" s="68"/>
      <c r="CX1132" s="68"/>
    </row>
    <row r="1133" spans="4:102" s="71" customFormat="1" hidden="1">
      <c r="D1133" s="105"/>
      <c r="E1133" s="100"/>
      <c r="F1133" s="100"/>
      <c r="G1133" s="100"/>
      <c r="H1133" s="100"/>
      <c r="I1133" s="100"/>
      <c r="J1133" s="100"/>
      <c r="K1133" s="112"/>
      <c r="L1133" s="100"/>
      <c r="M1133" s="100"/>
      <c r="N1133" s="100"/>
      <c r="O1133" s="100"/>
      <c r="P1133" s="65"/>
      <c r="Q1133" s="103"/>
      <c r="R1133" s="103"/>
      <c r="S1133" s="103"/>
      <c r="T1133" s="103"/>
      <c r="U1133" s="68"/>
      <c r="V1133" s="69"/>
      <c r="W1133" s="68"/>
      <c r="X1133" s="68"/>
      <c r="Y1133" s="68"/>
      <c r="Z1133" s="68"/>
      <c r="AA1133" s="68"/>
      <c r="AB1133" s="68"/>
      <c r="AC1133" s="68"/>
      <c r="AD1133" s="68"/>
      <c r="AE1133" s="68"/>
      <c r="AF1133" s="68"/>
      <c r="AG1133" s="68"/>
      <c r="AH1133" s="68"/>
      <c r="AI1133" s="68"/>
      <c r="AJ1133" s="68"/>
      <c r="AK1133" s="68"/>
      <c r="AL1133" s="68"/>
      <c r="AM1133" s="68"/>
      <c r="AN1133" s="68"/>
      <c r="AO1133" s="68"/>
      <c r="AP1133" s="68"/>
      <c r="AQ1133" s="68"/>
      <c r="AR1133" s="68"/>
      <c r="AS1133" s="68"/>
      <c r="AT1133" s="68"/>
      <c r="AU1133" s="68"/>
      <c r="AV1133" s="68"/>
      <c r="AW1133" s="68"/>
      <c r="AX1133" s="68"/>
      <c r="AY1133" s="68"/>
      <c r="AZ1133" s="68"/>
      <c r="BA1133" s="68"/>
      <c r="BB1133" s="68"/>
      <c r="BC1133" s="68"/>
      <c r="BD1133" s="68"/>
      <c r="BE1133" s="68"/>
      <c r="BF1133" s="68"/>
      <c r="BG1133" s="68"/>
      <c r="BH1133" s="68"/>
      <c r="BI1133" s="68"/>
      <c r="BJ1133" s="68"/>
      <c r="BK1133" s="68"/>
      <c r="BL1133" s="68"/>
      <c r="BM1133" s="68"/>
      <c r="BN1133" s="68"/>
      <c r="BO1133" s="68"/>
      <c r="BP1133" s="68"/>
      <c r="BQ1133" s="68"/>
      <c r="BR1133" s="68"/>
      <c r="BS1133" s="68"/>
      <c r="BT1133" s="68"/>
      <c r="BU1133" s="68"/>
      <c r="BV1133" s="68"/>
      <c r="BW1133" s="68"/>
      <c r="BX1133" s="68"/>
      <c r="BY1133" s="68"/>
      <c r="BZ1133" s="68"/>
      <c r="CA1133" s="68"/>
      <c r="CB1133" s="68"/>
      <c r="CC1133" s="68"/>
      <c r="CD1133" s="68"/>
      <c r="CE1133" s="68"/>
      <c r="CF1133" s="68"/>
      <c r="CG1133" s="68"/>
      <c r="CH1133" s="68"/>
      <c r="CI1133" s="68"/>
      <c r="CJ1133" s="68"/>
      <c r="CK1133" s="68"/>
      <c r="CL1133" s="68"/>
      <c r="CM1133" s="68"/>
      <c r="CN1133" s="68"/>
      <c r="CO1133" s="68"/>
      <c r="CP1133" s="68"/>
      <c r="CQ1133" s="68"/>
      <c r="CR1133" s="68"/>
      <c r="CS1133" s="68"/>
      <c r="CT1133" s="68"/>
      <c r="CU1133" s="68"/>
      <c r="CV1133" s="68"/>
      <c r="CW1133" s="68"/>
      <c r="CX1133" s="68"/>
    </row>
    <row r="1134" spans="4:102" s="71" customFormat="1" hidden="1">
      <c r="D1134" s="105"/>
      <c r="E1134" s="100"/>
      <c r="F1134" s="100"/>
      <c r="G1134" s="100"/>
      <c r="H1134" s="100"/>
      <c r="I1134" s="100"/>
      <c r="J1134" s="100"/>
      <c r="K1134" s="112"/>
      <c r="L1134" s="100"/>
      <c r="M1134" s="100"/>
      <c r="N1134" s="100"/>
      <c r="O1134" s="100"/>
      <c r="P1134" s="65"/>
      <c r="Q1134" s="103"/>
      <c r="R1134" s="103"/>
      <c r="S1134" s="103"/>
      <c r="T1134" s="103"/>
      <c r="U1134" s="68"/>
      <c r="V1134" s="69"/>
      <c r="W1134" s="68"/>
      <c r="X1134" s="68"/>
      <c r="Y1134" s="68"/>
      <c r="Z1134" s="68"/>
      <c r="AA1134" s="68"/>
      <c r="AB1134" s="68"/>
      <c r="AC1134" s="68"/>
      <c r="AD1134" s="68"/>
      <c r="AE1134" s="68"/>
      <c r="AF1134" s="68"/>
      <c r="AG1134" s="68"/>
      <c r="AH1134" s="68"/>
      <c r="AI1134" s="68"/>
      <c r="AJ1134" s="68"/>
      <c r="AK1134" s="68"/>
      <c r="AL1134" s="68"/>
      <c r="AM1134" s="68"/>
      <c r="AN1134" s="68"/>
      <c r="AO1134" s="68"/>
      <c r="AP1134" s="68"/>
      <c r="AQ1134" s="68"/>
      <c r="AR1134" s="68"/>
      <c r="AS1134" s="68"/>
      <c r="AT1134" s="68"/>
      <c r="AU1134" s="68"/>
      <c r="AV1134" s="68"/>
      <c r="AW1134" s="68"/>
      <c r="AX1134" s="68"/>
      <c r="AY1134" s="68"/>
      <c r="AZ1134" s="68"/>
      <c r="BA1134" s="68"/>
      <c r="BB1134" s="68"/>
      <c r="BC1134" s="68"/>
      <c r="BD1134" s="68"/>
      <c r="BE1134" s="68"/>
      <c r="BF1134" s="68"/>
      <c r="BG1134" s="68"/>
      <c r="BH1134" s="68"/>
      <c r="BI1134" s="68"/>
      <c r="BJ1134" s="68"/>
      <c r="BK1134" s="68"/>
      <c r="BL1134" s="68"/>
      <c r="BM1134" s="68"/>
      <c r="BN1134" s="68"/>
      <c r="BO1134" s="68"/>
      <c r="BP1134" s="68"/>
      <c r="BQ1134" s="68"/>
      <c r="BR1134" s="68"/>
      <c r="BS1134" s="68"/>
      <c r="BT1134" s="68"/>
      <c r="BU1134" s="68"/>
      <c r="BV1134" s="68"/>
      <c r="BW1134" s="68"/>
      <c r="BX1134" s="68"/>
      <c r="BY1134" s="68"/>
      <c r="BZ1134" s="68"/>
      <c r="CA1134" s="68"/>
      <c r="CB1134" s="68"/>
      <c r="CC1134" s="68"/>
      <c r="CD1134" s="68"/>
      <c r="CE1134" s="68"/>
      <c r="CF1134" s="68"/>
      <c r="CG1134" s="68"/>
      <c r="CH1134" s="68"/>
      <c r="CI1134" s="68"/>
      <c r="CJ1134" s="68"/>
      <c r="CK1134" s="68"/>
      <c r="CL1134" s="68"/>
      <c r="CM1134" s="68"/>
      <c r="CN1134" s="68"/>
      <c r="CO1134" s="68"/>
      <c r="CP1134" s="68"/>
      <c r="CQ1134" s="68"/>
      <c r="CR1134" s="68"/>
      <c r="CS1134" s="68"/>
      <c r="CT1134" s="68"/>
      <c r="CU1134" s="68"/>
      <c r="CV1134" s="68"/>
      <c r="CW1134" s="68"/>
      <c r="CX1134" s="68"/>
    </row>
    <row r="1135" spans="4:102" s="71" customFormat="1" hidden="1">
      <c r="D1135" s="105"/>
      <c r="E1135" s="100"/>
      <c r="F1135" s="100"/>
      <c r="G1135" s="100"/>
      <c r="H1135" s="100"/>
      <c r="I1135" s="100"/>
      <c r="J1135" s="100"/>
      <c r="K1135" s="112"/>
      <c r="L1135" s="100"/>
      <c r="M1135" s="100"/>
      <c r="N1135" s="100"/>
      <c r="O1135" s="100"/>
      <c r="P1135" s="65"/>
      <c r="Q1135" s="103"/>
      <c r="R1135" s="103"/>
      <c r="S1135" s="103"/>
      <c r="T1135" s="103"/>
      <c r="U1135" s="68"/>
      <c r="V1135" s="69"/>
      <c r="W1135" s="68"/>
      <c r="X1135" s="68"/>
      <c r="Y1135" s="68"/>
      <c r="Z1135" s="68"/>
      <c r="AA1135" s="68"/>
      <c r="AB1135" s="68"/>
      <c r="AC1135" s="68"/>
      <c r="AD1135" s="68"/>
      <c r="AE1135" s="68"/>
      <c r="AF1135" s="68"/>
      <c r="AG1135" s="68"/>
      <c r="AH1135" s="68"/>
      <c r="AI1135" s="68"/>
      <c r="AJ1135" s="68"/>
      <c r="AK1135" s="68"/>
      <c r="AL1135" s="68"/>
      <c r="AM1135" s="68"/>
      <c r="AN1135" s="68"/>
      <c r="AO1135" s="68"/>
      <c r="AP1135" s="68"/>
      <c r="AQ1135" s="68"/>
      <c r="AR1135" s="68"/>
      <c r="AS1135" s="68"/>
      <c r="AT1135" s="68"/>
      <c r="AU1135" s="68"/>
      <c r="AV1135" s="68"/>
      <c r="AW1135" s="68"/>
      <c r="AX1135" s="68"/>
      <c r="AY1135" s="68"/>
      <c r="AZ1135" s="68"/>
      <c r="BA1135" s="68"/>
      <c r="BB1135" s="68"/>
      <c r="BC1135" s="68"/>
      <c r="BD1135" s="68"/>
      <c r="BE1135" s="68"/>
      <c r="BF1135" s="68"/>
      <c r="BG1135" s="68"/>
      <c r="BH1135" s="68"/>
      <c r="BI1135" s="68"/>
      <c r="BJ1135" s="68"/>
      <c r="BK1135" s="68"/>
      <c r="BL1135" s="68"/>
      <c r="BM1135" s="68"/>
      <c r="BN1135" s="68"/>
      <c r="BO1135" s="68"/>
      <c r="BP1135" s="68"/>
      <c r="BQ1135" s="68"/>
      <c r="BR1135" s="68"/>
      <c r="BS1135" s="68"/>
      <c r="BT1135" s="68"/>
      <c r="BU1135" s="68"/>
      <c r="BV1135" s="68"/>
      <c r="BW1135" s="68"/>
      <c r="BX1135" s="68"/>
      <c r="BY1135" s="68"/>
      <c r="BZ1135" s="68"/>
      <c r="CA1135" s="68"/>
      <c r="CB1135" s="68"/>
      <c r="CC1135" s="68"/>
      <c r="CD1135" s="68"/>
      <c r="CE1135" s="68"/>
      <c r="CF1135" s="68"/>
      <c r="CG1135" s="68"/>
      <c r="CH1135" s="68"/>
      <c r="CI1135" s="68"/>
      <c r="CJ1135" s="68"/>
      <c r="CK1135" s="68"/>
      <c r="CL1135" s="68"/>
      <c r="CM1135" s="68"/>
      <c r="CN1135" s="68"/>
      <c r="CO1135" s="68"/>
      <c r="CP1135" s="68"/>
      <c r="CQ1135" s="68"/>
      <c r="CR1135" s="68"/>
      <c r="CS1135" s="68"/>
      <c r="CT1135" s="68"/>
      <c r="CU1135" s="68"/>
      <c r="CV1135" s="68"/>
      <c r="CW1135" s="68"/>
      <c r="CX1135" s="68"/>
    </row>
    <row r="1136" spans="4:102" s="71" customFormat="1" hidden="1">
      <c r="D1136" s="105"/>
      <c r="E1136" s="100"/>
      <c r="F1136" s="100"/>
      <c r="G1136" s="100"/>
      <c r="H1136" s="100"/>
      <c r="I1136" s="100"/>
      <c r="J1136" s="100"/>
      <c r="K1136" s="112"/>
      <c r="L1136" s="100"/>
      <c r="M1136" s="100"/>
      <c r="N1136" s="100"/>
      <c r="O1136" s="100"/>
      <c r="P1136" s="65"/>
      <c r="Q1136" s="103"/>
      <c r="R1136" s="103"/>
      <c r="S1136" s="103"/>
      <c r="T1136" s="103"/>
      <c r="U1136" s="68"/>
      <c r="V1136" s="69"/>
      <c r="W1136" s="68"/>
      <c r="X1136" s="68"/>
      <c r="Y1136" s="68"/>
      <c r="Z1136" s="68"/>
      <c r="AA1136" s="68"/>
      <c r="AB1136" s="68"/>
      <c r="AC1136" s="68"/>
      <c r="AD1136" s="68"/>
      <c r="AE1136" s="68"/>
      <c r="AF1136" s="68"/>
      <c r="AG1136" s="68"/>
      <c r="AH1136" s="68"/>
      <c r="AI1136" s="68"/>
      <c r="AJ1136" s="68"/>
      <c r="AK1136" s="68"/>
      <c r="AL1136" s="68"/>
      <c r="AM1136" s="68"/>
      <c r="AN1136" s="68"/>
      <c r="AO1136" s="68"/>
      <c r="AP1136" s="68"/>
      <c r="AQ1136" s="68"/>
      <c r="AR1136" s="68"/>
      <c r="AS1136" s="68"/>
      <c r="AT1136" s="68"/>
      <c r="AU1136" s="68"/>
      <c r="AV1136" s="68"/>
      <c r="AW1136" s="68"/>
      <c r="AX1136" s="68"/>
      <c r="AY1136" s="68"/>
      <c r="AZ1136" s="68"/>
      <c r="BA1136" s="68"/>
      <c r="BB1136" s="68"/>
      <c r="BC1136" s="68"/>
      <c r="BD1136" s="68"/>
      <c r="BE1136" s="68"/>
      <c r="BF1136" s="68"/>
      <c r="BG1136" s="68"/>
      <c r="BH1136" s="68"/>
      <c r="BI1136" s="68"/>
      <c r="BJ1136" s="68"/>
      <c r="BK1136" s="68"/>
      <c r="BL1136" s="68"/>
      <c r="BM1136" s="68"/>
      <c r="BN1136" s="68"/>
      <c r="BO1136" s="68"/>
      <c r="BP1136" s="68"/>
      <c r="BQ1136" s="68"/>
      <c r="BR1136" s="68"/>
      <c r="BS1136" s="68"/>
      <c r="BT1136" s="68"/>
      <c r="BU1136" s="68"/>
      <c r="BV1136" s="68"/>
      <c r="BW1136" s="68"/>
      <c r="BX1136" s="68"/>
      <c r="BY1136" s="68"/>
      <c r="BZ1136" s="68"/>
      <c r="CA1136" s="68"/>
      <c r="CB1136" s="68"/>
      <c r="CC1136" s="68"/>
      <c r="CD1136" s="68"/>
      <c r="CE1136" s="68"/>
      <c r="CF1136" s="68"/>
      <c r="CG1136" s="68"/>
      <c r="CH1136" s="68"/>
      <c r="CI1136" s="68"/>
      <c r="CJ1136" s="68"/>
      <c r="CK1136" s="68"/>
      <c r="CL1136" s="68"/>
      <c r="CM1136" s="68"/>
      <c r="CN1136" s="68"/>
      <c r="CO1136" s="68"/>
      <c r="CP1136" s="68"/>
      <c r="CQ1136" s="68"/>
      <c r="CR1136" s="68"/>
      <c r="CS1136" s="68"/>
      <c r="CT1136" s="68"/>
      <c r="CU1136" s="68"/>
      <c r="CV1136" s="68"/>
      <c r="CW1136" s="68"/>
      <c r="CX1136" s="68"/>
    </row>
    <row r="1137" spans="4:102" s="71" customFormat="1" hidden="1">
      <c r="D1137" s="105"/>
      <c r="E1137" s="100"/>
      <c r="F1137" s="100"/>
      <c r="G1137" s="100"/>
      <c r="H1137" s="100"/>
      <c r="I1137" s="100"/>
      <c r="J1137" s="100"/>
      <c r="K1137" s="112"/>
      <c r="L1137" s="100"/>
      <c r="M1137" s="100"/>
      <c r="N1137" s="100"/>
      <c r="O1137" s="100"/>
      <c r="P1137" s="65"/>
      <c r="Q1137" s="103"/>
      <c r="R1137" s="103"/>
      <c r="S1137" s="103"/>
      <c r="T1137" s="103"/>
      <c r="U1137" s="68"/>
      <c r="V1137" s="69"/>
      <c r="W1137" s="68"/>
      <c r="X1137" s="68"/>
      <c r="Y1137" s="68"/>
      <c r="Z1137" s="68"/>
      <c r="AA1137" s="68"/>
      <c r="AB1137" s="68"/>
      <c r="AC1137" s="68"/>
      <c r="AD1137" s="68"/>
      <c r="AE1137" s="68"/>
      <c r="AF1137" s="68"/>
      <c r="AG1137" s="68"/>
      <c r="AH1137" s="68"/>
      <c r="AI1137" s="68"/>
      <c r="AJ1137" s="68"/>
      <c r="AK1137" s="68"/>
      <c r="AL1137" s="68"/>
      <c r="AM1137" s="68"/>
      <c r="AN1137" s="68"/>
      <c r="AO1137" s="68"/>
      <c r="AP1137" s="68"/>
      <c r="AQ1137" s="68"/>
      <c r="AR1137" s="68"/>
      <c r="AS1137" s="68"/>
      <c r="AT1137" s="68"/>
      <c r="AU1137" s="68"/>
      <c r="AV1137" s="68"/>
      <c r="AW1137" s="68"/>
      <c r="AX1137" s="68"/>
      <c r="AY1137" s="68"/>
      <c r="AZ1137" s="68"/>
      <c r="BA1137" s="68"/>
      <c r="BB1137" s="68"/>
      <c r="BC1137" s="68"/>
      <c r="BD1137" s="68"/>
      <c r="BE1137" s="68"/>
      <c r="BF1137" s="68"/>
      <c r="BG1137" s="68"/>
      <c r="BH1137" s="68"/>
      <c r="BI1137" s="68"/>
      <c r="BJ1137" s="68"/>
      <c r="BK1137" s="68"/>
      <c r="BL1137" s="68"/>
      <c r="BM1137" s="68"/>
      <c r="BN1137" s="68"/>
      <c r="BO1137" s="68"/>
      <c r="BP1137" s="68"/>
      <c r="BQ1137" s="68"/>
      <c r="BR1137" s="68"/>
      <c r="BS1137" s="68"/>
      <c r="BT1137" s="68"/>
      <c r="BU1137" s="68"/>
      <c r="BV1137" s="68"/>
      <c r="BW1137" s="68"/>
      <c r="BX1137" s="68"/>
      <c r="BY1137" s="68"/>
      <c r="BZ1137" s="68"/>
      <c r="CA1137" s="68"/>
      <c r="CB1137" s="68"/>
      <c r="CC1137" s="68"/>
      <c r="CD1137" s="68"/>
      <c r="CE1137" s="68"/>
      <c r="CF1137" s="68"/>
      <c r="CG1137" s="68"/>
      <c r="CH1137" s="68"/>
      <c r="CI1137" s="68"/>
      <c r="CJ1137" s="68"/>
      <c r="CK1137" s="68"/>
      <c r="CL1137" s="68"/>
      <c r="CM1137" s="68"/>
      <c r="CN1137" s="68"/>
      <c r="CO1137" s="68"/>
      <c r="CP1137" s="68"/>
      <c r="CQ1137" s="68"/>
      <c r="CR1137" s="68"/>
      <c r="CS1137" s="68"/>
      <c r="CT1137" s="68"/>
      <c r="CU1137" s="68"/>
      <c r="CV1137" s="68"/>
      <c r="CW1137" s="68"/>
      <c r="CX1137" s="68"/>
    </row>
    <row r="1138" spans="4:102" s="71" customFormat="1" hidden="1">
      <c r="D1138" s="105"/>
      <c r="E1138" s="100"/>
      <c r="F1138" s="100"/>
      <c r="G1138" s="100"/>
      <c r="H1138" s="100"/>
      <c r="I1138" s="100"/>
      <c r="J1138" s="100"/>
      <c r="K1138" s="112"/>
      <c r="L1138" s="100"/>
      <c r="M1138" s="100"/>
      <c r="N1138" s="100"/>
      <c r="O1138" s="100"/>
      <c r="P1138" s="65"/>
      <c r="Q1138" s="103"/>
      <c r="R1138" s="103"/>
      <c r="S1138" s="103"/>
      <c r="T1138" s="103"/>
      <c r="U1138" s="68"/>
      <c r="V1138" s="69"/>
      <c r="W1138" s="68"/>
      <c r="X1138" s="68"/>
      <c r="Y1138" s="68"/>
      <c r="Z1138" s="68"/>
      <c r="AA1138" s="68"/>
      <c r="AB1138" s="68"/>
      <c r="AC1138" s="68"/>
      <c r="AD1138" s="68"/>
      <c r="AE1138" s="68"/>
      <c r="AF1138" s="68"/>
      <c r="AG1138" s="68"/>
      <c r="AH1138" s="68"/>
      <c r="AI1138" s="68"/>
      <c r="AJ1138" s="68"/>
      <c r="AK1138" s="68"/>
      <c r="AL1138" s="68"/>
      <c r="AM1138" s="68"/>
      <c r="AN1138" s="68"/>
      <c r="AO1138" s="68"/>
      <c r="AP1138" s="68"/>
      <c r="AQ1138" s="68"/>
      <c r="AR1138" s="68"/>
      <c r="AS1138" s="68"/>
      <c r="AT1138" s="68"/>
      <c r="AU1138" s="68"/>
      <c r="AV1138" s="68"/>
      <c r="AW1138" s="68"/>
      <c r="AX1138" s="68"/>
      <c r="AY1138" s="68"/>
      <c r="AZ1138" s="68"/>
      <c r="BA1138" s="68"/>
      <c r="BB1138" s="68"/>
      <c r="BC1138" s="68"/>
      <c r="BD1138" s="68"/>
      <c r="BE1138" s="68"/>
      <c r="BF1138" s="68"/>
      <c r="BG1138" s="68"/>
      <c r="BH1138" s="68"/>
      <c r="BI1138" s="68"/>
      <c r="BJ1138" s="68"/>
      <c r="BK1138" s="68"/>
      <c r="BL1138" s="68"/>
      <c r="BM1138" s="68"/>
      <c r="BN1138" s="68"/>
      <c r="BO1138" s="68"/>
      <c r="BP1138" s="68"/>
      <c r="BQ1138" s="68"/>
      <c r="BR1138" s="68"/>
      <c r="BS1138" s="68"/>
      <c r="BT1138" s="68"/>
      <c r="BU1138" s="68"/>
      <c r="BV1138" s="68"/>
      <c r="BW1138" s="68"/>
      <c r="BX1138" s="68"/>
      <c r="BY1138" s="68"/>
      <c r="BZ1138" s="68"/>
      <c r="CA1138" s="68"/>
      <c r="CB1138" s="68"/>
      <c r="CC1138" s="68"/>
      <c r="CD1138" s="68"/>
      <c r="CE1138" s="68"/>
      <c r="CF1138" s="68"/>
      <c r="CG1138" s="68"/>
      <c r="CH1138" s="68"/>
      <c r="CI1138" s="68"/>
      <c r="CJ1138" s="68"/>
      <c r="CK1138" s="68"/>
      <c r="CL1138" s="68"/>
      <c r="CM1138" s="68"/>
      <c r="CN1138" s="68"/>
      <c r="CO1138" s="68"/>
      <c r="CP1138" s="68"/>
      <c r="CQ1138" s="68"/>
      <c r="CR1138" s="68"/>
      <c r="CS1138" s="68"/>
      <c r="CT1138" s="68"/>
      <c r="CU1138" s="68"/>
      <c r="CV1138" s="68"/>
      <c r="CW1138" s="68"/>
      <c r="CX1138" s="68"/>
    </row>
    <row r="1139" spans="4:102" s="71" customFormat="1" hidden="1">
      <c r="D1139" s="69"/>
      <c r="E1139" s="68"/>
      <c r="F1139" s="68"/>
      <c r="G1139" s="68"/>
      <c r="H1139" s="68"/>
      <c r="I1139" s="68"/>
      <c r="J1139" s="68"/>
      <c r="K1139" s="73"/>
      <c r="L1139" s="68"/>
      <c r="M1139" s="68"/>
      <c r="N1139" s="68"/>
      <c r="O1139" s="68"/>
      <c r="P1139" s="65"/>
      <c r="Q1139" s="103"/>
      <c r="R1139" s="103"/>
      <c r="S1139" s="103"/>
      <c r="T1139" s="103"/>
      <c r="U1139" s="68"/>
      <c r="V1139" s="69"/>
      <c r="W1139" s="68"/>
      <c r="X1139" s="68"/>
      <c r="Y1139" s="68"/>
      <c r="Z1139" s="68"/>
      <c r="AA1139" s="68"/>
      <c r="AB1139" s="68"/>
      <c r="AC1139" s="68"/>
      <c r="AD1139" s="68"/>
      <c r="AE1139" s="68"/>
      <c r="AF1139" s="68"/>
      <c r="AG1139" s="68"/>
      <c r="AH1139" s="68"/>
      <c r="AI1139" s="68"/>
      <c r="AJ1139" s="68"/>
      <c r="AK1139" s="68"/>
      <c r="AL1139" s="68"/>
      <c r="AM1139" s="68"/>
      <c r="AN1139" s="68"/>
      <c r="AO1139" s="68"/>
      <c r="AP1139" s="68"/>
      <c r="AQ1139" s="68"/>
      <c r="AR1139" s="68"/>
      <c r="AS1139" s="68"/>
      <c r="AT1139" s="68"/>
      <c r="AU1139" s="68"/>
      <c r="AV1139" s="68"/>
      <c r="AW1139" s="68"/>
      <c r="AX1139" s="68"/>
      <c r="AY1139" s="68"/>
      <c r="AZ1139" s="68"/>
      <c r="BA1139" s="68"/>
      <c r="BB1139" s="68"/>
      <c r="BC1139" s="68"/>
      <c r="BD1139" s="68"/>
      <c r="BE1139" s="68"/>
      <c r="BF1139" s="68"/>
      <c r="BG1139" s="68"/>
      <c r="BH1139" s="68"/>
      <c r="BI1139" s="68"/>
      <c r="BJ1139" s="68"/>
      <c r="BK1139" s="68"/>
      <c r="BL1139" s="68"/>
      <c r="BM1139" s="68"/>
      <c r="BN1139" s="68"/>
      <c r="BO1139" s="68"/>
      <c r="BP1139" s="68"/>
      <c r="BQ1139" s="68"/>
      <c r="BR1139" s="68"/>
      <c r="BS1139" s="68"/>
      <c r="BT1139" s="68"/>
      <c r="BU1139" s="68"/>
      <c r="BV1139" s="68"/>
      <c r="BW1139" s="68"/>
      <c r="BX1139" s="68"/>
      <c r="BY1139" s="68"/>
      <c r="BZ1139" s="68"/>
      <c r="CA1139" s="68"/>
      <c r="CB1139" s="68"/>
      <c r="CC1139" s="68"/>
      <c r="CD1139" s="68"/>
      <c r="CE1139" s="68"/>
      <c r="CF1139" s="68"/>
      <c r="CG1139" s="68"/>
      <c r="CH1139" s="68"/>
      <c r="CI1139" s="68"/>
      <c r="CJ1139" s="68"/>
      <c r="CK1139" s="68"/>
      <c r="CL1139" s="68"/>
      <c r="CM1139" s="68"/>
      <c r="CN1139" s="68"/>
      <c r="CO1139" s="68"/>
      <c r="CP1139" s="68"/>
      <c r="CQ1139" s="68"/>
      <c r="CR1139" s="68"/>
      <c r="CS1139" s="68"/>
      <c r="CT1139" s="68"/>
      <c r="CU1139" s="68"/>
      <c r="CV1139" s="68"/>
      <c r="CW1139" s="68"/>
      <c r="CX1139" s="68"/>
    </row>
    <row r="1140" spans="4:102" s="71" customFormat="1" hidden="1">
      <c r="D1140" s="69"/>
      <c r="E1140" s="68"/>
      <c r="F1140" s="68"/>
      <c r="G1140" s="68"/>
      <c r="H1140" s="68"/>
      <c r="I1140" s="68"/>
      <c r="J1140" s="68"/>
      <c r="K1140" s="73"/>
      <c r="L1140" s="68"/>
      <c r="M1140" s="68"/>
      <c r="N1140" s="68"/>
      <c r="O1140" s="68"/>
      <c r="P1140" s="65"/>
      <c r="Q1140" s="103"/>
      <c r="R1140" s="103"/>
      <c r="S1140" s="103"/>
      <c r="T1140" s="103"/>
      <c r="U1140" s="68"/>
      <c r="V1140" s="69"/>
      <c r="W1140" s="68"/>
      <c r="X1140" s="68"/>
      <c r="Y1140" s="68"/>
      <c r="Z1140" s="68"/>
      <c r="AA1140" s="68"/>
      <c r="AB1140" s="68"/>
      <c r="AC1140" s="68"/>
      <c r="AD1140" s="68"/>
      <c r="AE1140" s="68"/>
      <c r="AF1140" s="68"/>
      <c r="AG1140" s="68"/>
      <c r="AH1140" s="68"/>
      <c r="AI1140" s="68"/>
      <c r="AJ1140" s="68"/>
      <c r="AK1140" s="68"/>
      <c r="AL1140" s="68"/>
      <c r="AM1140" s="68"/>
      <c r="AN1140" s="68"/>
      <c r="AO1140" s="68"/>
      <c r="AP1140" s="68"/>
      <c r="AQ1140" s="68"/>
      <c r="AR1140" s="68"/>
      <c r="AS1140" s="68"/>
      <c r="AT1140" s="68"/>
      <c r="AU1140" s="68"/>
      <c r="AV1140" s="68"/>
      <c r="AW1140" s="68"/>
      <c r="AX1140" s="68"/>
      <c r="AY1140" s="68"/>
      <c r="AZ1140" s="68"/>
      <c r="BA1140" s="68"/>
      <c r="BB1140" s="68"/>
      <c r="BC1140" s="68"/>
      <c r="BD1140" s="68"/>
      <c r="BE1140" s="68"/>
      <c r="BF1140" s="68"/>
      <c r="BG1140" s="68"/>
      <c r="BH1140" s="68"/>
      <c r="BI1140" s="68"/>
      <c r="BJ1140" s="68"/>
      <c r="BK1140" s="68"/>
      <c r="BL1140" s="68"/>
      <c r="BM1140" s="68"/>
      <c r="BN1140" s="68"/>
      <c r="BO1140" s="68"/>
      <c r="BP1140" s="68"/>
      <c r="BQ1140" s="68"/>
      <c r="BR1140" s="68"/>
      <c r="BS1140" s="68"/>
      <c r="BT1140" s="68"/>
      <c r="BU1140" s="68"/>
      <c r="BV1140" s="68"/>
      <c r="BW1140" s="68"/>
      <c r="BX1140" s="68"/>
      <c r="BY1140" s="68"/>
      <c r="BZ1140" s="68"/>
      <c r="CA1140" s="68"/>
      <c r="CB1140" s="68"/>
      <c r="CC1140" s="68"/>
      <c r="CD1140" s="68"/>
      <c r="CE1140" s="68"/>
      <c r="CF1140" s="68"/>
      <c r="CG1140" s="68"/>
      <c r="CH1140" s="68"/>
      <c r="CI1140" s="68"/>
      <c r="CJ1140" s="68"/>
      <c r="CK1140" s="68"/>
      <c r="CL1140" s="68"/>
      <c r="CM1140" s="68"/>
      <c r="CN1140" s="68"/>
      <c r="CO1140" s="68"/>
      <c r="CP1140" s="68"/>
      <c r="CQ1140" s="68"/>
      <c r="CR1140" s="68"/>
      <c r="CS1140" s="68"/>
      <c r="CT1140" s="68"/>
      <c r="CU1140" s="68"/>
      <c r="CV1140" s="68"/>
      <c r="CW1140" s="68"/>
      <c r="CX1140" s="68"/>
    </row>
    <row r="1141" spans="4:102" s="71" customFormat="1" hidden="1">
      <c r="D1141" s="69"/>
      <c r="E1141" s="68"/>
      <c r="F1141" s="68"/>
      <c r="G1141" s="68"/>
      <c r="H1141" s="68"/>
      <c r="I1141" s="68"/>
      <c r="J1141" s="68"/>
      <c r="K1141" s="73"/>
      <c r="L1141" s="68"/>
      <c r="M1141" s="68"/>
      <c r="N1141" s="68"/>
      <c r="O1141" s="68"/>
      <c r="P1141" s="65"/>
      <c r="Q1141" s="103"/>
      <c r="R1141" s="103"/>
      <c r="S1141" s="103"/>
      <c r="T1141" s="103"/>
      <c r="U1141" s="68"/>
      <c r="V1141" s="69"/>
      <c r="W1141" s="68"/>
      <c r="X1141" s="68"/>
      <c r="Y1141" s="68"/>
      <c r="Z1141" s="68"/>
      <c r="AA1141" s="68"/>
      <c r="AB1141" s="68"/>
      <c r="AC1141" s="68"/>
      <c r="AD1141" s="68"/>
      <c r="AE1141" s="68"/>
      <c r="AF1141" s="68"/>
      <c r="AG1141" s="68"/>
      <c r="AH1141" s="68"/>
      <c r="AI1141" s="68"/>
      <c r="AJ1141" s="68"/>
      <c r="AK1141" s="68"/>
      <c r="AL1141" s="68"/>
      <c r="AM1141" s="68"/>
      <c r="AN1141" s="68"/>
      <c r="AO1141" s="68"/>
      <c r="AP1141" s="68"/>
      <c r="AQ1141" s="68"/>
      <c r="AR1141" s="68"/>
      <c r="AS1141" s="68"/>
      <c r="AT1141" s="68"/>
      <c r="AU1141" s="68"/>
      <c r="AV1141" s="68"/>
      <c r="AW1141" s="68"/>
      <c r="AX1141" s="68"/>
      <c r="AY1141" s="68"/>
      <c r="AZ1141" s="68"/>
      <c r="BA1141" s="68"/>
      <c r="BB1141" s="68"/>
      <c r="BC1141" s="68"/>
      <c r="BD1141" s="68"/>
      <c r="BE1141" s="68"/>
      <c r="BF1141" s="68"/>
      <c r="BG1141" s="68"/>
      <c r="BH1141" s="68"/>
      <c r="BI1141" s="68"/>
      <c r="BJ1141" s="68"/>
      <c r="BK1141" s="68"/>
      <c r="BL1141" s="68"/>
      <c r="BM1141" s="68"/>
      <c r="BN1141" s="68"/>
      <c r="BO1141" s="68"/>
      <c r="BP1141" s="68"/>
      <c r="BQ1141" s="68"/>
      <c r="BR1141" s="68"/>
      <c r="BS1141" s="68"/>
      <c r="BT1141" s="68"/>
      <c r="BU1141" s="68"/>
      <c r="BV1141" s="68"/>
      <c r="BW1141" s="68"/>
      <c r="BX1141" s="68"/>
      <c r="BY1141" s="68"/>
      <c r="BZ1141" s="68"/>
      <c r="CA1141" s="68"/>
      <c r="CB1141" s="68"/>
      <c r="CC1141" s="68"/>
      <c r="CD1141" s="68"/>
      <c r="CE1141" s="68"/>
      <c r="CF1141" s="68"/>
      <c r="CG1141" s="68"/>
      <c r="CH1141" s="68"/>
      <c r="CI1141" s="68"/>
      <c r="CJ1141" s="68"/>
      <c r="CK1141" s="68"/>
      <c r="CL1141" s="68"/>
      <c r="CM1141" s="68"/>
      <c r="CN1141" s="68"/>
      <c r="CO1141" s="68"/>
      <c r="CP1141" s="68"/>
      <c r="CQ1141" s="68"/>
      <c r="CR1141" s="68"/>
      <c r="CS1141" s="68"/>
      <c r="CT1141" s="68"/>
      <c r="CU1141" s="68"/>
      <c r="CV1141" s="68"/>
      <c r="CW1141" s="68"/>
      <c r="CX1141" s="68"/>
    </row>
    <row r="1142" spans="4:102" s="71" customFormat="1" hidden="1">
      <c r="D1142" s="69"/>
      <c r="E1142" s="68"/>
      <c r="F1142" s="68"/>
      <c r="G1142" s="68"/>
      <c r="H1142" s="68"/>
      <c r="I1142" s="68"/>
      <c r="J1142" s="68"/>
      <c r="K1142" s="73"/>
      <c r="L1142" s="68"/>
      <c r="M1142" s="68"/>
      <c r="N1142" s="68"/>
      <c r="O1142" s="68"/>
      <c r="P1142" s="65"/>
      <c r="Q1142" s="103"/>
      <c r="R1142" s="103"/>
      <c r="S1142" s="103"/>
      <c r="T1142" s="103"/>
      <c r="U1142" s="68"/>
      <c r="V1142" s="69"/>
      <c r="W1142" s="68"/>
      <c r="X1142" s="68"/>
      <c r="Y1142" s="68"/>
      <c r="Z1142" s="68"/>
      <c r="AA1142" s="68"/>
      <c r="AB1142" s="68"/>
      <c r="AC1142" s="68"/>
      <c r="AD1142" s="68"/>
      <c r="AE1142" s="68"/>
      <c r="AF1142" s="68"/>
      <c r="AG1142" s="68"/>
      <c r="AH1142" s="68"/>
      <c r="AI1142" s="68"/>
      <c r="AJ1142" s="68"/>
      <c r="AK1142" s="68"/>
      <c r="AL1142" s="68"/>
      <c r="AM1142" s="68"/>
      <c r="AN1142" s="68"/>
      <c r="AO1142" s="68"/>
      <c r="AP1142" s="68"/>
      <c r="AQ1142" s="68"/>
      <c r="AR1142" s="68"/>
      <c r="AS1142" s="68"/>
      <c r="AT1142" s="68"/>
      <c r="AU1142" s="68"/>
      <c r="AV1142" s="68"/>
      <c r="AW1142" s="68"/>
      <c r="AX1142" s="68"/>
      <c r="AY1142" s="68"/>
      <c r="AZ1142" s="68"/>
      <c r="BA1142" s="68"/>
      <c r="BB1142" s="68"/>
      <c r="BC1142" s="68"/>
      <c r="BD1142" s="68"/>
      <c r="BE1142" s="68"/>
      <c r="BF1142" s="68"/>
      <c r="BG1142" s="68"/>
      <c r="BH1142" s="68"/>
      <c r="BI1142" s="68"/>
      <c r="BJ1142" s="68"/>
      <c r="BK1142" s="68"/>
      <c r="BL1142" s="68"/>
      <c r="BM1142" s="68"/>
      <c r="BN1142" s="68"/>
      <c r="BO1142" s="68"/>
      <c r="BP1142" s="68"/>
      <c r="BQ1142" s="68"/>
      <c r="BR1142" s="68"/>
      <c r="BS1142" s="68"/>
      <c r="BT1142" s="68"/>
      <c r="BU1142" s="68"/>
      <c r="BV1142" s="68"/>
      <c r="BW1142" s="68"/>
      <c r="BX1142" s="68"/>
      <c r="BY1142" s="68"/>
      <c r="BZ1142" s="68"/>
      <c r="CA1142" s="68"/>
      <c r="CB1142" s="68"/>
      <c r="CC1142" s="68"/>
      <c r="CD1142" s="68"/>
      <c r="CE1142" s="68"/>
      <c r="CF1142" s="68"/>
      <c r="CG1142" s="68"/>
      <c r="CH1142" s="68"/>
      <c r="CI1142" s="68"/>
      <c r="CJ1142" s="68"/>
      <c r="CK1142" s="68"/>
      <c r="CL1142" s="68"/>
      <c r="CM1142" s="68"/>
      <c r="CN1142" s="68"/>
      <c r="CO1142" s="68"/>
      <c r="CP1142" s="68"/>
      <c r="CQ1142" s="68"/>
      <c r="CR1142" s="68"/>
      <c r="CS1142" s="68"/>
      <c r="CT1142" s="68"/>
      <c r="CU1142" s="68"/>
      <c r="CV1142" s="68"/>
      <c r="CW1142" s="68"/>
      <c r="CX1142" s="68"/>
    </row>
    <row r="1143" spans="4:102" s="71" customFormat="1" hidden="1">
      <c r="D1143" s="69"/>
      <c r="E1143" s="68"/>
      <c r="F1143" s="68"/>
      <c r="G1143" s="68"/>
      <c r="H1143" s="68"/>
      <c r="I1143" s="68"/>
      <c r="J1143" s="68"/>
      <c r="K1143" s="73"/>
      <c r="L1143" s="68"/>
      <c r="M1143" s="68"/>
      <c r="N1143" s="68"/>
      <c r="O1143" s="68"/>
      <c r="P1143" s="65"/>
      <c r="Q1143" s="103"/>
      <c r="R1143" s="103"/>
      <c r="S1143" s="103"/>
      <c r="T1143" s="103"/>
      <c r="U1143" s="68"/>
      <c r="V1143" s="69"/>
      <c r="W1143" s="68"/>
      <c r="X1143" s="68"/>
      <c r="Y1143" s="68"/>
      <c r="Z1143" s="68"/>
      <c r="AA1143" s="68"/>
      <c r="AB1143" s="68"/>
      <c r="AC1143" s="68"/>
      <c r="AD1143" s="68"/>
      <c r="AE1143" s="68"/>
      <c r="AF1143" s="68"/>
      <c r="AG1143" s="68"/>
      <c r="AH1143" s="68"/>
      <c r="AI1143" s="68"/>
      <c r="AJ1143" s="68"/>
      <c r="AK1143" s="68"/>
      <c r="AL1143" s="68"/>
      <c r="AM1143" s="68"/>
      <c r="AN1143" s="68"/>
      <c r="AO1143" s="68"/>
      <c r="AP1143" s="68"/>
      <c r="AQ1143" s="68"/>
      <c r="AR1143" s="68"/>
      <c r="AS1143" s="68"/>
      <c r="AT1143" s="68"/>
      <c r="AU1143" s="68"/>
      <c r="AV1143" s="68"/>
      <c r="AW1143" s="68"/>
      <c r="AX1143" s="68"/>
      <c r="AY1143" s="68"/>
      <c r="AZ1143" s="68"/>
      <c r="BA1143" s="68"/>
      <c r="BB1143" s="68"/>
      <c r="BC1143" s="68"/>
      <c r="BD1143" s="68"/>
      <c r="BE1143" s="68"/>
      <c r="BF1143" s="68"/>
      <c r="BG1143" s="68"/>
      <c r="BH1143" s="68"/>
      <c r="BI1143" s="68"/>
      <c r="BJ1143" s="68"/>
      <c r="BK1143" s="68"/>
      <c r="BL1143" s="68"/>
      <c r="BM1143" s="68"/>
      <c r="BN1143" s="68"/>
      <c r="BO1143" s="68"/>
      <c r="BP1143" s="68"/>
      <c r="BQ1143" s="68"/>
      <c r="BR1143" s="68"/>
      <c r="BS1143" s="68"/>
      <c r="BT1143" s="68"/>
      <c r="BU1143" s="68"/>
      <c r="BV1143" s="68"/>
      <c r="BW1143" s="68"/>
      <c r="BX1143" s="68"/>
      <c r="BY1143" s="68"/>
      <c r="BZ1143" s="68"/>
      <c r="CA1143" s="68"/>
      <c r="CB1143" s="68"/>
      <c r="CC1143" s="68"/>
      <c r="CD1143" s="68"/>
      <c r="CE1143" s="68"/>
      <c r="CF1143" s="68"/>
      <c r="CG1143" s="68"/>
      <c r="CH1143" s="68"/>
      <c r="CI1143" s="68"/>
      <c r="CJ1143" s="68"/>
      <c r="CK1143" s="68"/>
      <c r="CL1143" s="68"/>
      <c r="CM1143" s="68"/>
      <c r="CN1143" s="68"/>
      <c r="CO1143" s="68"/>
      <c r="CP1143" s="68"/>
      <c r="CQ1143" s="68"/>
      <c r="CR1143" s="68"/>
      <c r="CS1143" s="68"/>
      <c r="CT1143" s="68"/>
      <c r="CU1143" s="68"/>
      <c r="CV1143" s="68"/>
      <c r="CW1143" s="68"/>
      <c r="CX1143" s="68"/>
    </row>
    <row r="1144" spans="4:102" s="71" customFormat="1" hidden="1">
      <c r="D1144" s="69"/>
      <c r="E1144" s="68"/>
      <c r="F1144" s="68"/>
      <c r="G1144" s="68"/>
      <c r="H1144" s="68"/>
      <c r="I1144" s="68"/>
      <c r="J1144" s="68"/>
      <c r="K1144" s="73"/>
      <c r="L1144" s="68"/>
      <c r="M1144" s="68"/>
      <c r="N1144" s="68"/>
      <c r="O1144" s="68"/>
      <c r="P1144" s="65"/>
      <c r="Q1144" s="103"/>
      <c r="R1144" s="103"/>
      <c r="S1144" s="103"/>
      <c r="T1144" s="103"/>
      <c r="U1144" s="68"/>
      <c r="V1144" s="69"/>
      <c r="W1144" s="68"/>
      <c r="X1144" s="68"/>
      <c r="Y1144" s="68"/>
      <c r="Z1144" s="68"/>
      <c r="AA1144" s="68"/>
      <c r="AB1144" s="68"/>
      <c r="AC1144" s="68"/>
      <c r="AD1144" s="68"/>
      <c r="AE1144" s="68"/>
      <c r="AF1144" s="68"/>
      <c r="AG1144" s="68"/>
      <c r="AH1144" s="68"/>
      <c r="AI1144" s="68"/>
      <c r="AJ1144" s="68"/>
      <c r="AK1144" s="68"/>
      <c r="AL1144" s="68"/>
      <c r="AM1144" s="68"/>
      <c r="AN1144" s="68"/>
      <c r="AO1144" s="68"/>
      <c r="AP1144" s="68"/>
      <c r="AQ1144" s="68"/>
      <c r="AR1144" s="68"/>
      <c r="AS1144" s="68"/>
      <c r="AT1144" s="68"/>
      <c r="AU1144" s="68"/>
      <c r="AV1144" s="68"/>
      <c r="AW1144" s="68"/>
      <c r="AX1144" s="68"/>
      <c r="AY1144" s="68"/>
      <c r="AZ1144" s="68"/>
      <c r="BA1144" s="68"/>
      <c r="BB1144" s="68"/>
      <c r="BC1144" s="68"/>
      <c r="BD1144" s="68"/>
      <c r="BE1144" s="68"/>
      <c r="BF1144" s="68"/>
      <c r="BG1144" s="68"/>
      <c r="BH1144" s="68"/>
      <c r="BI1144" s="68"/>
      <c r="BJ1144" s="68"/>
      <c r="BK1144" s="68"/>
      <c r="BL1144" s="68"/>
      <c r="BM1144" s="68"/>
      <c r="BN1144" s="68"/>
      <c r="BO1144" s="68"/>
      <c r="BP1144" s="68"/>
      <c r="BQ1144" s="68"/>
      <c r="BR1144" s="68"/>
      <c r="BS1144" s="68"/>
      <c r="BT1144" s="68"/>
      <c r="BU1144" s="68"/>
      <c r="BV1144" s="68"/>
      <c r="BW1144" s="68"/>
      <c r="BX1144" s="68"/>
      <c r="BY1144" s="68"/>
      <c r="BZ1144" s="68"/>
      <c r="CA1144" s="68"/>
      <c r="CB1144" s="68"/>
      <c r="CC1144" s="68"/>
      <c r="CD1144" s="68"/>
      <c r="CE1144" s="68"/>
      <c r="CF1144" s="68"/>
      <c r="CG1144" s="68"/>
      <c r="CH1144" s="68"/>
      <c r="CI1144" s="68"/>
      <c r="CJ1144" s="68"/>
      <c r="CK1144" s="68"/>
      <c r="CL1144" s="68"/>
      <c r="CM1144" s="68"/>
      <c r="CN1144" s="68"/>
      <c r="CO1144" s="68"/>
      <c r="CP1144" s="68"/>
      <c r="CQ1144" s="68"/>
      <c r="CR1144" s="68"/>
      <c r="CS1144" s="68"/>
      <c r="CT1144" s="68"/>
      <c r="CU1144" s="68"/>
      <c r="CV1144" s="68"/>
      <c r="CW1144" s="68"/>
      <c r="CX1144" s="68"/>
    </row>
    <row r="1145" spans="4:102" s="71" customFormat="1" hidden="1">
      <c r="D1145" s="69"/>
      <c r="E1145" s="68"/>
      <c r="F1145" s="68"/>
      <c r="G1145" s="68"/>
      <c r="H1145" s="68"/>
      <c r="I1145" s="68"/>
      <c r="J1145" s="68"/>
      <c r="K1145" s="73"/>
      <c r="L1145" s="68"/>
      <c r="M1145" s="68"/>
      <c r="N1145" s="68"/>
      <c r="O1145" s="68"/>
      <c r="P1145" s="65"/>
      <c r="Q1145" s="103"/>
      <c r="R1145" s="103"/>
      <c r="S1145" s="103"/>
      <c r="T1145" s="103"/>
      <c r="U1145" s="68"/>
      <c r="V1145" s="69"/>
      <c r="W1145" s="68"/>
      <c r="X1145" s="68"/>
      <c r="Y1145" s="68"/>
      <c r="Z1145" s="68"/>
      <c r="AA1145" s="68"/>
      <c r="AB1145" s="68"/>
      <c r="AC1145" s="68"/>
      <c r="AD1145" s="68"/>
      <c r="AE1145" s="68"/>
      <c r="AF1145" s="68"/>
      <c r="AG1145" s="68"/>
      <c r="AH1145" s="68"/>
      <c r="AI1145" s="68"/>
      <c r="AJ1145" s="68"/>
      <c r="AK1145" s="68"/>
      <c r="AL1145" s="68"/>
      <c r="AM1145" s="68"/>
      <c r="AN1145" s="68"/>
      <c r="AO1145" s="68"/>
      <c r="AP1145" s="68"/>
      <c r="AQ1145" s="68"/>
      <c r="AR1145" s="68"/>
      <c r="AS1145" s="68"/>
      <c r="AT1145" s="68"/>
      <c r="AU1145" s="68"/>
      <c r="AV1145" s="68"/>
      <c r="AW1145" s="68"/>
      <c r="AX1145" s="68"/>
      <c r="AY1145" s="68"/>
      <c r="AZ1145" s="68"/>
      <c r="BA1145" s="68"/>
      <c r="BB1145" s="68"/>
      <c r="BC1145" s="68"/>
      <c r="BD1145" s="68"/>
      <c r="BE1145" s="68"/>
      <c r="BF1145" s="68"/>
      <c r="BG1145" s="68"/>
      <c r="BH1145" s="68"/>
      <c r="BI1145" s="68"/>
      <c r="BJ1145" s="68"/>
      <c r="BK1145" s="68"/>
      <c r="BL1145" s="68"/>
      <c r="BM1145" s="68"/>
      <c r="BN1145" s="68"/>
      <c r="BO1145" s="68"/>
      <c r="BP1145" s="68"/>
      <c r="BQ1145" s="68"/>
      <c r="BR1145" s="68"/>
      <c r="BS1145" s="68"/>
      <c r="BT1145" s="68"/>
      <c r="BU1145" s="68"/>
      <c r="BV1145" s="68"/>
      <c r="BW1145" s="68"/>
      <c r="BX1145" s="68"/>
      <c r="BY1145" s="68"/>
      <c r="BZ1145" s="68"/>
      <c r="CA1145" s="68"/>
      <c r="CB1145" s="68"/>
      <c r="CC1145" s="68"/>
      <c r="CD1145" s="68"/>
      <c r="CE1145" s="68"/>
      <c r="CF1145" s="68"/>
      <c r="CG1145" s="68"/>
      <c r="CH1145" s="68"/>
      <c r="CI1145" s="68"/>
      <c r="CJ1145" s="68"/>
      <c r="CK1145" s="68"/>
      <c r="CL1145" s="68"/>
      <c r="CM1145" s="68"/>
      <c r="CN1145" s="68"/>
      <c r="CO1145" s="68"/>
      <c r="CP1145" s="68"/>
      <c r="CQ1145" s="68"/>
      <c r="CR1145" s="68"/>
      <c r="CS1145" s="68"/>
      <c r="CT1145" s="68"/>
      <c r="CU1145" s="68"/>
      <c r="CV1145" s="68"/>
      <c r="CW1145" s="68"/>
      <c r="CX1145" s="68"/>
    </row>
    <row r="1146" spans="4:102" s="71" customFormat="1" hidden="1">
      <c r="D1146" s="69"/>
      <c r="E1146" s="68"/>
      <c r="F1146" s="68"/>
      <c r="G1146" s="68"/>
      <c r="H1146" s="68"/>
      <c r="I1146" s="68"/>
      <c r="J1146" s="68"/>
      <c r="K1146" s="73"/>
      <c r="L1146" s="68"/>
      <c r="M1146" s="68"/>
      <c r="N1146" s="68"/>
      <c r="O1146" s="68"/>
      <c r="P1146" s="65"/>
      <c r="Q1146" s="103"/>
      <c r="R1146" s="103"/>
      <c r="S1146" s="103"/>
      <c r="T1146" s="103"/>
      <c r="U1146" s="68"/>
      <c r="V1146" s="69"/>
      <c r="W1146" s="68"/>
      <c r="X1146" s="68"/>
      <c r="Y1146" s="68"/>
      <c r="Z1146" s="68"/>
      <c r="AA1146" s="68"/>
      <c r="AB1146" s="68"/>
      <c r="AC1146" s="68"/>
      <c r="AD1146" s="68"/>
      <c r="AE1146" s="68"/>
      <c r="AF1146" s="68"/>
      <c r="AG1146" s="68"/>
      <c r="AH1146" s="68"/>
      <c r="AI1146" s="68"/>
      <c r="AJ1146" s="68"/>
      <c r="AK1146" s="68"/>
      <c r="AL1146" s="68"/>
      <c r="AM1146" s="68"/>
      <c r="AN1146" s="68"/>
      <c r="AO1146" s="68"/>
      <c r="AP1146" s="68"/>
      <c r="AQ1146" s="68"/>
      <c r="AR1146" s="68"/>
      <c r="AS1146" s="68"/>
      <c r="AT1146" s="68"/>
      <c r="AU1146" s="68"/>
      <c r="AV1146" s="68"/>
      <c r="AW1146" s="68"/>
      <c r="AX1146" s="68"/>
      <c r="AY1146" s="68"/>
      <c r="AZ1146" s="68"/>
      <c r="BA1146" s="68"/>
      <c r="BB1146" s="68"/>
      <c r="BC1146" s="68"/>
      <c r="BD1146" s="68"/>
      <c r="BE1146" s="68"/>
      <c r="BF1146" s="68"/>
      <c r="BG1146" s="68"/>
      <c r="BH1146" s="68"/>
      <c r="BI1146" s="68"/>
      <c r="BJ1146" s="68"/>
      <c r="BK1146" s="68"/>
      <c r="BL1146" s="68"/>
      <c r="BM1146" s="68"/>
      <c r="BN1146" s="68"/>
      <c r="BO1146" s="68"/>
      <c r="BP1146" s="68"/>
      <c r="BQ1146" s="68"/>
      <c r="BR1146" s="68"/>
      <c r="BS1146" s="68"/>
      <c r="BT1146" s="68"/>
      <c r="BU1146" s="68"/>
      <c r="BV1146" s="68"/>
      <c r="BW1146" s="68"/>
      <c r="BX1146" s="68"/>
      <c r="BY1146" s="68"/>
      <c r="BZ1146" s="68"/>
      <c r="CA1146" s="68"/>
      <c r="CB1146" s="68"/>
      <c r="CC1146" s="68"/>
      <c r="CD1146" s="68"/>
      <c r="CE1146" s="68"/>
      <c r="CF1146" s="68"/>
      <c r="CG1146" s="68"/>
      <c r="CH1146" s="68"/>
      <c r="CI1146" s="68"/>
      <c r="CJ1146" s="68"/>
      <c r="CK1146" s="68"/>
      <c r="CL1146" s="68"/>
      <c r="CM1146" s="68"/>
      <c r="CN1146" s="68"/>
      <c r="CO1146" s="68"/>
      <c r="CP1146" s="68"/>
      <c r="CQ1146" s="68"/>
      <c r="CR1146" s="68"/>
      <c r="CS1146" s="68"/>
      <c r="CT1146" s="68"/>
      <c r="CU1146" s="68"/>
      <c r="CV1146" s="68"/>
      <c r="CW1146" s="68"/>
      <c r="CX1146" s="68"/>
    </row>
    <row r="1147" spans="4:102" s="71" customFormat="1" hidden="1">
      <c r="D1147" s="69"/>
      <c r="E1147" s="68"/>
      <c r="F1147" s="68"/>
      <c r="G1147" s="68"/>
      <c r="H1147" s="68"/>
      <c r="I1147" s="68"/>
      <c r="J1147" s="68"/>
      <c r="K1147" s="73"/>
      <c r="L1147" s="68"/>
      <c r="M1147" s="68"/>
      <c r="N1147" s="68"/>
      <c r="O1147" s="68"/>
      <c r="P1147" s="65"/>
      <c r="Q1147" s="103"/>
      <c r="R1147" s="103"/>
      <c r="S1147" s="103"/>
      <c r="T1147" s="103"/>
      <c r="U1147" s="68"/>
      <c r="V1147" s="69"/>
      <c r="W1147" s="68"/>
      <c r="X1147" s="68"/>
      <c r="Y1147" s="68"/>
      <c r="Z1147" s="68"/>
      <c r="AA1147" s="68"/>
      <c r="AB1147" s="68"/>
      <c r="AC1147" s="68"/>
      <c r="AD1147" s="68"/>
      <c r="AE1147" s="68"/>
      <c r="AF1147" s="68"/>
      <c r="AG1147" s="68"/>
      <c r="AH1147" s="68"/>
      <c r="AI1147" s="68"/>
      <c r="AJ1147" s="68"/>
      <c r="AK1147" s="68"/>
      <c r="AL1147" s="68"/>
      <c r="AM1147" s="68"/>
      <c r="AN1147" s="68"/>
      <c r="AO1147" s="68"/>
      <c r="AP1147" s="68"/>
      <c r="AQ1147" s="68"/>
      <c r="AR1147" s="68"/>
      <c r="AS1147" s="68"/>
      <c r="AT1147" s="68"/>
      <c r="AU1147" s="68"/>
      <c r="AV1147" s="68"/>
      <c r="AW1147" s="68"/>
      <c r="AX1147" s="68"/>
      <c r="AY1147" s="68"/>
      <c r="AZ1147" s="68"/>
      <c r="BA1147" s="68"/>
      <c r="BB1147" s="68"/>
      <c r="BC1147" s="68"/>
      <c r="BD1147" s="68"/>
      <c r="BE1147" s="68"/>
      <c r="BF1147" s="68"/>
      <c r="BG1147" s="68"/>
      <c r="BH1147" s="68"/>
      <c r="BI1147" s="68"/>
      <c r="BJ1147" s="68"/>
      <c r="BK1147" s="68"/>
      <c r="BL1147" s="68"/>
      <c r="BM1147" s="68"/>
      <c r="BN1147" s="68"/>
      <c r="BO1147" s="68"/>
      <c r="BP1147" s="68"/>
      <c r="BQ1147" s="68"/>
      <c r="BR1147" s="68"/>
      <c r="BS1147" s="68"/>
      <c r="BT1147" s="68"/>
      <c r="BU1147" s="68"/>
      <c r="BV1147" s="68"/>
      <c r="BW1147" s="68"/>
      <c r="BX1147" s="68"/>
      <c r="BY1147" s="68"/>
      <c r="BZ1147" s="68"/>
      <c r="CA1147" s="68"/>
      <c r="CB1147" s="68"/>
      <c r="CC1147" s="68"/>
      <c r="CD1147" s="68"/>
      <c r="CE1147" s="68"/>
      <c r="CF1147" s="68"/>
      <c r="CG1147" s="68"/>
      <c r="CH1147" s="68"/>
      <c r="CI1147" s="68"/>
      <c r="CJ1147" s="68"/>
      <c r="CK1147" s="68"/>
      <c r="CL1147" s="68"/>
      <c r="CM1147" s="68"/>
      <c r="CN1147" s="68"/>
      <c r="CO1147" s="68"/>
      <c r="CP1147" s="68"/>
      <c r="CQ1147" s="68"/>
      <c r="CR1147" s="68"/>
      <c r="CS1147" s="68"/>
      <c r="CT1147" s="68"/>
      <c r="CU1147" s="68"/>
      <c r="CV1147" s="68"/>
      <c r="CW1147" s="68"/>
      <c r="CX1147" s="68"/>
    </row>
    <row r="1148" spans="4:102" s="71" customFormat="1" hidden="1">
      <c r="D1148" s="69"/>
      <c r="E1148" s="68"/>
      <c r="F1148" s="68"/>
      <c r="G1148" s="68"/>
      <c r="H1148" s="68"/>
      <c r="I1148" s="68"/>
      <c r="J1148" s="68"/>
      <c r="K1148" s="73"/>
      <c r="L1148" s="68"/>
      <c r="M1148" s="68"/>
      <c r="N1148" s="68"/>
      <c r="O1148" s="68"/>
      <c r="P1148" s="65"/>
      <c r="Q1148" s="103"/>
      <c r="R1148" s="103"/>
      <c r="S1148" s="103"/>
      <c r="T1148" s="103"/>
      <c r="U1148" s="68"/>
      <c r="V1148" s="69"/>
      <c r="W1148" s="68"/>
      <c r="X1148" s="68"/>
      <c r="Y1148" s="68"/>
      <c r="Z1148" s="68"/>
      <c r="AA1148" s="68"/>
      <c r="AB1148" s="68"/>
      <c r="AC1148" s="68"/>
      <c r="AD1148" s="68"/>
      <c r="AE1148" s="68"/>
      <c r="AF1148" s="68"/>
      <c r="AG1148" s="68"/>
      <c r="AH1148" s="68"/>
      <c r="AI1148" s="68"/>
      <c r="AJ1148" s="68"/>
      <c r="AK1148" s="68"/>
      <c r="AL1148" s="68"/>
      <c r="AM1148" s="68"/>
      <c r="AN1148" s="68"/>
      <c r="AO1148" s="68"/>
      <c r="AP1148" s="68"/>
      <c r="AQ1148" s="68"/>
      <c r="AR1148" s="68"/>
      <c r="AS1148" s="68"/>
      <c r="AT1148" s="68"/>
      <c r="AU1148" s="68"/>
      <c r="AV1148" s="68"/>
      <c r="AW1148" s="68"/>
      <c r="AX1148" s="68"/>
      <c r="AY1148" s="68"/>
      <c r="AZ1148" s="68"/>
      <c r="BA1148" s="68"/>
      <c r="BB1148" s="68"/>
      <c r="BC1148" s="68"/>
      <c r="BD1148" s="68"/>
      <c r="BE1148" s="68"/>
      <c r="BF1148" s="68"/>
      <c r="BG1148" s="68"/>
      <c r="BH1148" s="68"/>
      <c r="BI1148" s="68"/>
      <c r="BJ1148" s="68"/>
      <c r="BK1148" s="68"/>
      <c r="BL1148" s="68"/>
      <c r="BM1148" s="68"/>
      <c r="BN1148" s="68"/>
      <c r="BO1148" s="68"/>
      <c r="BP1148" s="68"/>
      <c r="BQ1148" s="68"/>
      <c r="BR1148" s="68"/>
      <c r="BS1148" s="68"/>
      <c r="BT1148" s="68"/>
      <c r="BU1148" s="68"/>
      <c r="BV1148" s="68"/>
      <c r="BW1148" s="68"/>
      <c r="BX1148" s="68"/>
      <c r="BY1148" s="68"/>
      <c r="BZ1148" s="68"/>
      <c r="CA1148" s="68"/>
      <c r="CB1148" s="68"/>
      <c r="CC1148" s="68"/>
      <c r="CD1148" s="68"/>
      <c r="CE1148" s="68"/>
      <c r="CF1148" s="68"/>
      <c r="CG1148" s="68"/>
      <c r="CH1148" s="68"/>
      <c r="CI1148" s="68"/>
      <c r="CJ1148" s="68"/>
      <c r="CK1148" s="68"/>
      <c r="CL1148" s="68"/>
      <c r="CM1148" s="68"/>
      <c r="CN1148" s="68"/>
      <c r="CO1148" s="68"/>
      <c r="CP1148" s="68"/>
      <c r="CQ1148" s="68"/>
      <c r="CR1148" s="68"/>
      <c r="CS1148" s="68"/>
      <c r="CT1148" s="68"/>
      <c r="CU1148" s="68"/>
      <c r="CV1148" s="68"/>
      <c r="CW1148" s="68"/>
      <c r="CX1148" s="68"/>
    </row>
    <row r="1149" spans="4:102" s="71" customFormat="1" hidden="1">
      <c r="D1149" s="69"/>
      <c r="E1149" s="68"/>
      <c r="F1149" s="68"/>
      <c r="G1149" s="68"/>
      <c r="H1149" s="68"/>
      <c r="I1149" s="68"/>
      <c r="J1149" s="68"/>
      <c r="K1149" s="73"/>
      <c r="L1149" s="68"/>
      <c r="M1149" s="68"/>
      <c r="N1149" s="68"/>
      <c r="O1149" s="68"/>
      <c r="P1149" s="65"/>
      <c r="Q1149" s="103"/>
      <c r="R1149" s="103"/>
      <c r="S1149" s="103"/>
      <c r="T1149" s="103"/>
      <c r="U1149" s="68"/>
      <c r="V1149" s="69"/>
      <c r="W1149" s="68"/>
      <c r="X1149" s="68"/>
      <c r="Y1149" s="68"/>
      <c r="Z1149" s="68"/>
      <c r="AA1149" s="68"/>
      <c r="AB1149" s="68"/>
      <c r="AC1149" s="68"/>
      <c r="AD1149" s="68"/>
      <c r="AE1149" s="68"/>
      <c r="AF1149" s="68"/>
      <c r="AG1149" s="68"/>
      <c r="AH1149" s="68"/>
      <c r="AI1149" s="68"/>
      <c r="AJ1149" s="68"/>
      <c r="AK1149" s="68"/>
      <c r="AL1149" s="68"/>
      <c r="AM1149" s="68"/>
      <c r="AN1149" s="68"/>
      <c r="AO1149" s="68"/>
      <c r="AP1149" s="68"/>
      <c r="AQ1149" s="68"/>
      <c r="AR1149" s="68"/>
      <c r="AS1149" s="68"/>
      <c r="AT1149" s="68"/>
      <c r="AU1149" s="68"/>
      <c r="AV1149" s="68"/>
      <c r="AW1149" s="68"/>
      <c r="AX1149" s="68"/>
      <c r="AY1149" s="68"/>
      <c r="AZ1149" s="68"/>
      <c r="BA1149" s="68"/>
      <c r="BB1149" s="68"/>
      <c r="BC1149" s="68"/>
      <c r="BD1149" s="68"/>
      <c r="BE1149" s="68"/>
      <c r="BF1149" s="68"/>
      <c r="BG1149" s="68"/>
      <c r="BH1149" s="68"/>
      <c r="BI1149" s="68"/>
      <c r="BJ1149" s="68"/>
      <c r="BK1149" s="68"/>
      <c r="BL1149" s="68"/>
      <c r="BM1149" s="68"/>
      <c r="BN1149" s="68"/>
      <c r="BO1149" s="68"/>
      <c r="BP1149" s="68"/>
      <c r="BQ1149" s="68"/>
      <c r="BR1149" s="68"/>
      <c r="BS1149" s="68"/>
      <c r="BT1149" s="68"/>
      <c r="BU1149" s="68"/>
      <c r="BV1149" s="68"/>
      <c r="BW1149" s="68"/>
      <c r="BX1149" s="68"/>
      <c r="BY1149" s="68"/>
      <c r="BZ1149" s="68"/>
      <c r="CA1149" s="68"/>
      <c r="CB1149" s="68"/>
      <c r="CC1149" s="68"/>
      <c r="CD1149" s="68"/>
      <c r="CE1149" s="68"/>
      <c r="CF1149" s="68"/>
      <c r="CG1149" s="68"/>
      <c r="CH1149" s="68"/>
      <c r="CI1149" s="68"/>
      <c r="CJ1149" s="68"/>
      <c r="CK1149" s="68"/>
      <c r="CL1149" s="68"/>
      <c r="CM1149" s="68"/>
      <c r="CN1149" s="68"/>
      <c r="CO1149" s="68"/>
      <c r="CP1149" s="68"/>
      <c r="CQ1149" s="68"/>
      <c r="CR1149" s="68"/>
      <c r="CS1149" s="68"/>
      <c r="CT1149" s="68"/>
      <c r="CU1149" s="68"/>
      <c r="CV1149" s="68"/>
      <c r="CW1149" s="68"/>
      <c r="CX1149" s="68"/>
    </row>
    <row r="1150" spans="4:102" s="71" customFormat="1" hidden="1">
      <c r="D1150" s="69"/>
      <c r="E1150" s="68"/>
      <c r="F1150" s="68"/>
      <c r="G1150" s="68"/>
      <c r="H1150" s="68"/>
      <c r="I1150" s="68"/>
      <c r="J1150" s="68"/>
      <c r="K1150" s="73"/>
      <c r="L1150" s="68"/>
      <c r="M1150" s="68"/>
      <c r="N1150" s="68"/>
      <c r="O1150" s="68"/>
      <c r="P1150" s="65"/>
      <c r="Q1150" s="103"/>
      <c r="R1150" s="103"/>
      <c r="S1150" s="103"/>
      <c r="T1150" s="103"/>
      <c r="U1150" s="68"/>
      <c r="V1150" s="69"/>
      <c r="W1150" s="68"/>
      <c r="X1150" s="68"/>
      <c r="Y1150" s="68"/>
      <c r="Z1150" s="68"/>
      <c r="AA1150" s="68"/>
      <c r="AB1150" s="68"/>
      <c r="AC1150" s="68"/>
      <c r="AD1150" s="68"/>
      <c r="AE1150" s="68"/>
      <c r="AF1150" s="68"/>
      <c r="AG1150" s="68"/>
      <c r="AH1150" s="68"/>
      <c r="AI1150" s="68"/>
      <c r="AJ1150" s="68"/>
      <c r="AK1150" s="68"/>
      <c r="AL1150" s="68"/>
      <c r="AM1150" s="68"/>
      <c r="AN1150" s="68"/>
      <c r="AO1150" s="68"/>
      <c r="AP1150" s="68"/>
      <c r="AQ1150" s="68"/>
      <c r="AR1150" s="68"/>
      <c r="AS1150" s="68"/>
      <c r="AT1150" s="68"/>
      <c r="AU1150" s="68"/>
      <c r="AV1150" s="68"/>
      <c r="AW1150" s="68"/>
      <c r="AX1150" s="68"/>
      <c r="AY1150" s="68"/>
      <c r="AZ1150" s="68"/>
      <c r="BA1150" s="68"/>
      <c r="BB1150" s="68"/>
      <c r="BC1150" s="68"/>
      <c r="BD1150" s="68"/>
      <c r="BE1150" s="68"/>
      <c r="BF1150" s="68"/>
      <c r="BG1150" s="68"/>
      <c r="BH1150" s="68"/>
      <c r="BI1150" s="68"/>
      <c r="BJ1150" s="68"/>
      <c r="BK1150" s="68"/>
      <c r="BL1150" s="68"/>
      <c r="BM1150" s="68"/>
      <c r="BN1150" s="68"/>
      <c r="BO1150" s="68"/>
      <c r="BP1150" s="68"/>
      <c r="BQ1150" s="68"/>
      <c r="BR1150" s="68"/>
      <c r="BS1150" s="68"/>
      <c r="BT1150" s="68"/>
      <c r="BU1150" s="68"/>
      <c r="BV1150" s="68"/>
      <c r="BW1150" s="68"/>
      <c r="BX1150" s="68"/>
      <c r="BY1150" s="68"/>
      <c r="BZ1150" s="68"/>
      <c r="CA1150" s="68"/>
      <c r="CB1150" s="68"/>
      <c r="CC1150" s="68"/>
      <c r="CD1150" s="68"/>
      <c r="CE1150" s="68"/>
      <c r="CF1150" s="68"/>
      <c r="CG1150" s="68"/>
      <c r="CH1150" s="68"/>
      <c r="CI1150" s="68"/>
      <c r="CJ1150" s="68"/>
      <c r="CK1150" s="68"/>
      <c r="CL1150" s="68"/>
      <c r="CM1150" s="68"/>
      <c r="CN1150" s="68"/>
      <c r="CO1150" s="68"/>
      <c r="CP1150" s="68"/>
      <c r="CQ1150" s="68"/>
      <c r="CR1150" s="68"/>
      <c r="CS1150" s="68"/>
      <c r="CT1150" s="68"/>
      <c r="CU1150" s="68"/>
      <c r="CV1150" s="68"/>
      <c r="CW1150" s="68"/>
      <c r="CX1150" s="68"/>
    </row>
    <row r="1151" spans="4:102" s="71" customFormat="1" hidden="1">
      <c r="D1151" s="69"/>
      <c r="E1151" s="68"/>
      <c r="F1151" s="68"/>
      <c r="G1151" s="68"/>
      <c r="H1151" s="68"/>
      <c r="I1151" s="68"/>
      <c r="J1151" s="68"/>
      <c r="K1151" s="73"/>
      <c r="L1151" s="68"/>
      <c r="M1151" s="68"/>
      <c r="N1151" s="68"/>
      <c r="O1151" s="68"/>
      <c r="P1151" s="65"/>
      <c r="Q1151" s="103"/>
      <c r="R1151" s="103"/>
      <c r="S1151" s="103"/>
      <c r="T1151" s="103"/>
      <c r="U1151" s="68"/>
      <c r="V1151" s="69"/>
      <c r="W1151" s="68"/>
      <c r="X1151" s="68"/>
      <c r="Y1151" s="68"/>
      <c r="Z1151" s="68"/>
      <c r="AA1151" s="68"/>
      <c r="AB1151" s="68"/>
      <c r="AC1151" s="68"/>
      <c r="AD1151" s="68"/>
      <c r="AE1151" s="68"/>
      <c r="AF1151" s="68"/>
      <c r="AG1151" s="68"/>
      <c r="AH1151" s="68"/>
      <c r="AI1151" s="68"/>
      <c r="AJ1151" s="68"/>
      <c r="AK1151" s="68"/>
      <c r="AL1151" s="68"/>
      <c r="AM1151" s="68"/>
      <c r="AN1151" s="68"/>
      <c r="AO1151" s="68"/>
      <c r="AP1151" s="68"/>
      <c r="AQ1151" s="68"/>
      <c r="AR1151" s="68"/>
      <c r="AS1151" s="68"/>
      <c r="AT1151" s="68"/>
      <c r="AU1151" s="68"/>
      <c r="AV1151" s="68"/>
      <c r="AW1151" s="68"/>
      <c r="AX1151" s="68"/>
      <c r="AY1151" s="68"/>
      <c r="AZ1151" s="68"/>
      <c r="BA1151" s="68"/>
      <c r="BB1151" s="68"/>
      <c r="BC1151" s="68"/>
      <c r="BD1151" s="68"/>
      <c r="BE1151" s="68"/>
      <c r="BF1151" s="68"/>
      <c r="BG1151" s="68"/>
      <c r="BH1151" s="68"/>
      <c r="BI1151" s="68"/>
      <c r="BJ1151" s="68"/>
      <c r="BK1151" s="68"/>
      <c r="BL1151" s="68"/>
      <c r="BM1151" s="68"/>
      <c r="BN1151" s="68"/>
      <c r="BO1151" s="68"/>
      <c r="BP1151" s="68"/>
      <c r="BQ1151" s="68"/>
      <c r="BR1151" s="68"/>
      <c r="BS1151" s="68"/>
      <c r="BT1151" s="68"/>
      <c r="BU1151" s="68"/>
      <c r="BV1151" s="68"/>
      <c r="BW1151" s="68"/>
      <c r="BX1151" s="68"/>
      <c r="BY1151" s="68"/>
      <c r="BZ1151" s="68"/>
      <c r="CA1151" s="68"/>
      <c r="CB1151" s="68"/>
      <c r="CC1151" s="68"/>
      <c r="CD1151" s="68"/>
      <c r="CE1151" s="68"/>
      <c r="CF1151" s="68"/>
      <c r="CG1151" s="68"/>
      <c r="CH1151" s="68"/>
      <c r="CI1151" s="68"/>
      <c r="CJ1151" s="68"/>
      <c r="CK1151" s="68"/>
      <c r="CL1151" s="68"/>
      <c r="CM1151" s="68"/>
      <c r="CN1151" s="68"/>
      <c r="CO1151" s="68"/>
      <c r="CP1151" s="68"/>
      <c r="CQ1151" s="68"/>
      <c r="CR1151" s="68"/>
      <c r="CS1151" s="68"/>
      <c r="CT1151" s="68"/>
      <c r="CU1151" s="68"/>
      <c r="CV1151" s="68"/>
      <c r="CW1151" s="68"/>
      <c r="CX1151" s="68"/>
    </row>
    <row r="1152" spans="4:102" s="71" customFormat="1" hidden="1">
      <c r="D1152" s="69"/>
      <c r="E1152" s="68"/>
      <c r="F1152" s="68"/>
      <c r="G1152" s="68"/>
      <c r="H1152" s="68"/>
      <c r="I1152" s="68"/>
      <c r="J1152" s="68"/>
      <c r="K1152" s="73"/>
      <c r="L1152" s="68"/>
      <c r="M1152" s="68"/>
      <c r="N1152" s="68"/>
      <c r="O1152" s="68"/>
      <c r="P1152" s="65"/>
      <c r="Q1152" s="103"/>
      <c r="R1152" s="103"/>
      <c r="S1152" s="103"/>
      <c r="T1152" s="103"/>
      <c r="U1152" s="68"/>
      <c r="V1152" s="69"/>
      <c r="W1152" s="68"/>
      <c r="X1152" s="68"/>
      <c r="Y1152" s="68"/>
      <c r="Z1152" s="68"/>
      <c r="AA1152" s="68"/>
      <c r="AB1152" s="68"/>
      <c r="AC1152" s="68"/>
      <c r="AD1152" s="68"/>
      <c r="AE1152" s="68"/>
      <c r="AF1152" s="68"/>
      <c r="AG1152" s="68"/>
      <c r="AH1152" s="68"/>
      <c r="AI1152" s="68"/>
      <c r="AJ1152" s="68"/>
      <c r="AK1152" s="68"/>
      <c r="AL1152" s="68"/>
      <c r="AM1152" s="68"/>
      <c r="AN1152" s="68"/>
      <c r="AO1152" s="68"/>
      <c r="AP1152" s="68"/>
      <c r="AQ1152" s="68"/>
      <c r="AR1152" s="68"/>
      <c r="AS1152" s="68"/>
      <c r="AT1152" s="68"/>
      <c r="AU1152" s="68"/>
      <c r="AV1152" s="68"/>
      <c r="AW1152" s="68"/>
      <c r="AX1152" s="68"/>
      <c r="AY1152" s="68"/>
      <c r="AZ1152" s="68"/>
      <c r="BA1152" s="68"/>
      <c r="BB1152" s="68"/>
      <c r="BC1152" s="68"/>
      <c r="BD1152" s="68"/>
      <c r="BE1152" s="68"/>
      <c r="BF1152" s="68"/>
      <c r="BG1152" s="68"/>
      <c r="BH1152" s="68"/>
      <c r="BI1152" s="68"/>
      <c r="BJ1152" s="68"/>
      <c r="BK1152" s="68"/>
      <c r="BL1152" s="68"/>
      <c r="BM1152" s="68"/>
      <c r="BN1152" s="68"/>
      <c r="BO1152" s="68"/>
      <c r="BP1152" s="68"/>
      <c r="BQ1152" s="68"/>
      <c r="BR1152" s="68"/>
      <c r="BS1152" s="68"/>
      <c r="BT1152" s="68"/>
      <c r="BU1152" s="68"/>
      <c r="BV1152" s="68"/>
      <c r="BW1152" s="68"/>
      <c r="BX1152" s="68"/>
      <c r="BY1152" s="68"/>
      <c r="BZ1152" s="68"/>
      <c r="CA1152" s="68"/>
      <c r="CB1152" s="68"/>
      <c r="CC1152" s="68"/>
      <c r="CD1152" s="68"/>
      <c r="CE1152" s="68"/>
      <c r="CF1152" s="68"/>
      <c r="CG1152" s="68"/>
      <c r="CH1152" s="68"/>
      <c r="CI1152" s="68"/>
      <c r="CJ1152" s="68"/>
      <c r="CK1152" s="68"/>
      <c r="CL1152" s="68"/>
      <c r="CM1152" s="68"/>
      <c r="CN1152" s="68"/>
      <c r="CO1152" s="68"/>
      <c r="CP1152" s="68"/>
      <c r="CQ1152" s="68"/>
      <c r="CR1152" s="68"/>
      <c r="CS1152" s="68"/>
      <c r="CT1152" s="68"/>
      <c r="CU1152" s="68"/>
      <c r="CV1152" s="68"/>
      <c r="CW1152" s="68"/>
      <c r="CX1152" s="68"/>
    </row>
    <row r="1153" spans="4:102" s="71" customFormat="1" hidden="1">
      <c r="D1153" s="69"/>
      <c r="E1153" s="68"/>
      <c r="F1153" s="68"/>
      <c r="G1153" s="68"/>
      <c r="H1153" s="68"/>
      <c r="I1153" s="68"/>
      <c r="J1153" s="68"/>
      <c r="K1153" s="73"/>
      <c r="L1153" s="68"/>
      <c r="M1153" s="68"/>
      <c r="N1153" s="68"/>
      <c r="O1153" s="68"/>
      <c r="P1153" s="65"/>
      <c r="Q1153" s="103"/>
      <c r="R1153" s="103"/>
      <c r="S1153" s="103"/>
      <c r="T1153" s="103"/>
      <c r="U1153" s="68"/>
      <c r="V1153" s="69"/>
      <c r="W1153" s="68"/>
      <c r="X1153" s="68"/>
      <c r="Y1153" s="68"/>
      <c r="Z1153" s="68"/>
      <c r="AA1153" s="68"/>
      <c r="AB1153" s="68"/>
      <c r="AC1153" s="68"/>
      <c r="AD1153" s="68"/>
      <c r="AE1153" s="68"/>
      <c r="AF1153" s="68"/>
      <c r="AG1153" s="68"/>
      <c r="AH1153" s="68"/>
      <c r="AI1153" s="68"/>
      <c r="AJ1153" s="68"/>
      <c r="AK1153" s="68"/>
      <c r="AL1153" s="68"/>
      <c r="AM1153" s="68"/>
      <c r="AN1153" s="68"/>
      <c r="AO1153" s="68"/>
      <c r="AP1153" s="68"/>
      <c r="AQ1153" s="68"/>
      <c r="AR1153" s="68"/>
      <c r="AS1153" s="68"/>
      <c r="AT1153" s="68"/>
      <c r="AU1153" s="68"/>
      <c r="AV1153" s="68"/>
      <c r="AW1153" s="68"/>
      <c r="AX1153" s="68"/>
      <c r="AY1153" s="68"/>
      <c r="AZ1153" s="68"/>
      <c r="BA1153" s="68"/>
      <c r="BB1153" s="68"/>
      <c r="BC1153" s="68"/>
      <c r="BD1153" s="68"/>
      <c r="BE1153" s="68"/>
      <c r="BF1153" s="68"/>
      <c r="BG1153" s="68"/>
      <c r="BH1153" s="68"/>
      <c r="BI1153" s="68"/>
      <c r="BJ1153" s="68"/>
      <c r="BK1153" s="68"/>
      <c r="BL1153" s="68"/>
      <c r="BM1153" s="68"/>
      <c r="BN1153" s="68"/>
      <c r="BO1153" s="68"/>
      <c r="BP1153" s="68"/>
      <c r="BQ1153" s="68"/>
      <c r="BR1153" s="68"/>
      <c r="BS1153" s="68"/>
      <c r="BT1153" s="68"/>
      <c r="BU1153" s="68"/>
      <c r="BV1153" s="68"/>
      <c r="BW1153" s="68"/>
      <c r="BX1153" s="68"/>
      <c r="BY1153" s="68"/>
      <c r="BZ1153" s="68"/>
      <c r="CA1153" s="68"/>
      <c r="CB1153" s="68"/>
      <c r="CC1153" s="68"/>
      <c r="CD1153" s="68"/>
      <c r="CE1153" s="68"/>
      <c r="CF1153" s="68"/>
      <c r="CG1153" s="68"/>
      <c r="CH1153" s="68"/>
      <c r="CI1153" s="68"/>
      <c r="CJ1153" s="68"/>
      <c r="CK1153" s="68"/>
      <c r="CL1153" s="68"/>
      <c r="CM1153" s="68"/>
      <c r="CN1153" s="68"/>
      <c r="CO1153" s="68"/>
      <c r="CP1153" s="68"/>
      <c r="CQ1153" s="68"/>
      <c r="CR1153" s="68"/>
      <c r="CS1153" s="68"/>
      <c r="CT1153" s="68"/>
      <c r="CU1153" s="68"/>
      <c r="CV1153" s="68"/>
      <c r="CW1153" s="68"/>
      <c r="CX1153" s="68"/>
    </row>
    <row r="1154" spans="4:102" s="71" customFormat="1" hidden="1">
      <c r="D1154" s="69"/>
      <c r="E1154" s="68"/>
      <c r="F1154" s="68"/>
      <c r="G1154" s="68"/>
      <c r="H1154" s="68"/>
      <c r="I1154" s="68"/>
      <c r="J1154" s="68"/>
      <c r="K1154" s="73"/>
      <c r="L1154" s="68"/>
      <c r="M1154" s="68"/>
      <c r="N1154" s="68"/>
      <c r="O1154" s="68"/>
      <c r="P1154" s="65"/>
      <c r="Q1154" s="103"/>
      <c r="R1154" s="103"/>
      <c r="S1154" s="103"/>
      <c r="T1154" s="103"/>
      <c r="U1154" s="68"/>
      <c r="V1154" s="69"/>
      <c r="W1154" s="68"/>
      <c r="X1154" s="68"/>
      <c r="Y1154" s="68"/>
      <c r="Z1154" s="68"/>
      <c r="AA1154" s="68"/>
      <c r="AB1154" s="68"/>
      <c r="AC1154" s="68"/>
      <c r="AD1154" s="68"/>
      <c r="AE1154" s="68"/>
      <c r="AF1154" s="68"/>
      <c r="AG1154" s="68"/>
      <c r="AH1154" s="68"/>
      <c r="AI1154" s="68"/>
      <c r="AJ1154" s="68"/>
      <c r="AK1154" s="68"/>
      <c r="AL1154" s="68"/>
      <c r="AM1154" s="68"/>
      <c r="AN1154" s="68"/>
      <c r="AO1154" s="68"/>
      <c r="AP1154" s="68"/>
      <c r="AQ1154" s="68"/>
      <c r="AR1154" s="68"/>
      <c r="AS1154" s="68"/>
      <c r="AT1154" s="68"/>
      <c r="AU1154" s="68"/>
      <c r="AV1154" s="68"/>
      <c r="AW1154" s="68"/>
      <c r="AX1154" s="68"/>
      <c r="AY1154" s="68"/>
      <c r="AZ1154" s="68"/>
      <c r="BA1154" s="68"/>
      <c r="BB1154" s="68"/>
      <c r="BC1154" s="68"/>
      <c r="BD1154" s="68"/>
      <c r="BE1154" s="68"/>
      <c r="BF1154" s="68"/>
      <c r="BG1154" s="68"/>
      <c r="BH1154" s="68"/>
      <c r="BI1154" s="68"/>
      <c r="BJ1154" s="68"/>
      <c r="BK1154" s="68"/>
      <c r="BL1154" s="68"/>
      <c r="BM1154" s="68"/>
      <c r="BN1154" s="68"/>
      <c r="BO1154" s="68"/>
      <c r="BP1154" s="68"/>
      <c r="BQ1154" s="68"/>
      <c r="BR1154" s="68"/>
      <c r="BS1154" s="68"/>
      <c r="BT1154" s="68"/>
      <c r="BU1154" s="68"/>
      <c r="BV1154" s="68"/>
      <c r="BW1154" s="68"/>
      <c r="BX1154" s="68"/>
      <c r="BY1154" s="68"/>
      <c r="BZ1154" s="68"/>
      <c r="CA1154" s="68"/>
      <c r="CB1154" s="68"/>
      <c r="CC1154" s="68"/>
      <c r="CD1154" s="68"/>
      <c r="CE1154" s="68"/>
      <c r="CF1154" s="68"/>
      <c r="CG1154" s="68"/>
      <c r="CH1154" s="68"/>
      <c r="CI1154" s="68"/>
      <c r="CJ1154" s="68"/>
      <c r="CK1154" s="68"/>
      <c r="CL1154" s="68"/>
      <c r="CM1154" s="68"/>
      <c r="CN1154" s="68"/>
      <c r="CO1154" s="68"/>
      <c r="CP1154" s="68"/>
      <c r="CQ1154" s="68"/>
      <c r="CR1154" s="68"/>
      <c r="CS1154" s="68"/>
      <c r="CT1154" s="68"/>
      <c r="CU1154" s="68"/>
      <c r="CV1154" s="68"/>
      <c r="CW1154" s="68"/>
      <c r="CX1154" s="68"/>
    </row>
    <row r="1155" spans="4:102" s="71" customFormat="1" hidden="1">
      <c r="D1155" s="69"/>
      <c r="E1155" s="68"/>
      <c r="F1155" s="68"/>
      <c r="G1155" s="68"/>
      <c r="H1155" s="68"/>
      <c r="I1155" s="68"/>
      <c r="J1155" s="68"/>
      <c r="K1155" s="73"/>
      <c r="L1155" s="68"/>
      <c r="M1155" s="68"/>
      <c r="N1155" s="68"/>
      <c r="O1155" s="68"/>
      <c r="P1155" s="65"/>
      <c r="Q1155" s="103"/>
      <c r="R1155" s="103"/>
      <c r="S1155" s="103"/>
      <c r="T1155" s="103"/>
      <c r="U1155" s="68"/>
      <c r="V1155" s="69"/>
      <c r="W1155" s="68"/>
      <c r="X1155" s="68"/>
      <c r="Y1155" s="68"/>
      <c r="Z1155" s="68"/>
      <c r="AA1155" s="68"/>
      <c r="AB1155" s="68"/>
      <c r="AC1155" s="68"/>
      <c r="AD1155" s="68"/>
      <c r="AE1155" s="68"/>
      <c r="AF1155" s="68"/>
      <c r="AG1155" s="68"/>
      <c r="AH1155" s="68"/>
      <c r="AI1155" s="68"/>
      <c r="AJ1155" s="68"/>
      <c r="AK1155" s="68"/>
      <c r="AL1155" s="68"/>
      <c r="AM1155" s="68"/>
      <c r="AN1155" s="68"/>
      <c r="AO1155" s="68"/>
      <c r="AP1155" s="68"/>
      <c r="AQ1155" s="68"/>
      <c r="AR1155" s="68"/>
      <c r="AS1155" s="68"/>
      <c r="AT1155" s="68"/>
      <c r="AU1155" s="68"/>
      <c r="AV1155" s="68"/>
      <c r="AW1155" s="68"/>
      <c r="AX1155" s="68"/>
      <c r="AY1155" s="68"/>
      <c r="AZ1155" s="68"/>
      <c r="BA1155" s="68"/>
      <c r="BB1155" s="68"/>
      <c r="BC1155" s="68"/>
      <c r="BD1155" s="68"/>
      <c r="BE1155" s="68"/>
      <c r="BF1155" s="68"/>
      <c r="BG1155" s="68"/>
      <c r="BH1155" s="68"/>
      <c r="BI1155" s="68"/>
      <c r="BJ1155" s="68"/>
      <c r="BK1155" s="68"/>
      <c r="BL1155" s="68"/>
      <c r="BM1155" s="68"/>
      <c r="BN1155" s="68"/>
      <c r="BO1155" s="68"/>
      <c r="BP1155" s="68"/>
      <c r="BQ1155" s="68"/>
      <c r="BR1155" s="68"/>
      <c r="BS1155" s="68"/>
      <c r="BT1155" s="68"/>
      <c r="BU1155" s="68"/>
      <c r="BV1155" s="68"/>
      <c r="BW1155" s="68"/>
      <c r="BX1155" s="68"/>
      <c r="BY1155" s="68"/>
      <c r="BZ1155" s="68"/>
      <c r="CA1155" s="68"/>
      <c r="CB1155" s="68"/>
      <c r="CC1155" s="68"/>
      <c r="CD1155" s="68"/>
      <c r="CE1155" s="68"/>
      <c r="CF1155" s="68"/>
      <c r="CG1155" s="68"/>
      <c r="CH1155" s="68"/>
      <c r="CI1155" s="68"/>
      <c r="CJ1155" s="68"/>
      <c r="CK1155" s="68"/>
      <c r="CL1155" s="68"/>
      <c r="CM1155" s="68"/>
      <c r="CN1155" s="68"/>
      <c r="CO1155" s="68"/>
      <c r="CP1155" s="68"/>
      <c r="CQ1155" s="68"/>
      <c r="CR1155" s="68"/>
      <c r="CS1155" s="68"/>
      <c r="CT1155" s="68"/>
      <c r="CU1155" s="68"/>
      <c r="CV1155" s="68"/>
      <c r="CW1155" s="68"/>
      <c r="CX1155" s="68"/>
    </row>
    <row r="1156" spans="4:102" s="71" customFormat="1" hidden="1">
      <c r="D1156" s="69"/>
      <c r="E1156" s="68"/>
      <c r="F1156" s="68"/>
      <c r="G1156" s="68"/>
      <c r="H1156" s="68"/>
      <c r="I1156" s="68"/>
      <c r="J1156" s="68"/>
      <c r="K1156" s="73"/>
      <c r="L1156" s="68"/>
      <c r="M1156" s="68"/>
      <c r="N1156" s="68"/>
      <c r="O1156" s="68"/>
      <c r="P1156" s="65"/>
      <c r="Q1156" s="103"/>
      <c r="R1156" s="103"/>
      <c r="S1156" s="103"/>
      <c r="T1156" s="103"/>
      <c r="U1156" s="68"/>
      <c r="V1156" s="69"/>
      <c r="W1156" s="68"/>
      <c r="X1156" s="68"/>
      <c r="Y1156" s="68"/>
      <c r="Z1156" s="68"/>
      <c r="AA1156" s="68"/>
      <c r="AB1156" s="68"/>
      <c r="AC1156" s="68"/>
      <c r="AD1156" s="68"/>
      <c r="AE1156" s="68"/>
      <c r="AF1156" s="68"/>
      <c r="AG1156" s="68"/>
      <c r="AH1156" s="68"/>
      <c r="AI1156" s="68"/>
      <c r="AJ1156" s="68"/>
      <c r="AK1156" s="68"/>
      <c r="AL1156" s="68"/>
      <c r="AM1156" s="68"/>
      <c r="AN1156" s="68"/>
      <c r="AO1156" s="68"/>
      <c r="AP1156" s="68"/>
      <c r="AQ1156" s="68"/>
      <c r="AR1156" s="68"/>
      <c r="AS1156" s="68"/>
      <c r="AT1156" s="68"/>
      <c r="AU1156" s="68"/>
      <c r="AV1156" s="68"/>
      <c r="AW1156" s="68"/>
      <c r="AX1156" s="68"/>
      <c r="AY1156" s="68"/>
      <c r="AZ1156" s="68"/>
      <c r="BA1156" s="68"/>
      <c r="BB1156" s="68"/>
      <c r="BC1156" s="68"/>
      <c r="BD1156" s="68"/>
      <c r="BE1156" s="68"/>
      <c r="BF1156" s="68"/>
      <c r="BG1156" s="68"/>
      <c r="BH1156" s="68"/>
      <c r="BI1156" s="68"/>
      <c r="BJ1156" s="68"/>
      <c r="BK1156" s="68"/>
      <c r="BL1156" s="68"/>
      <c r="BM1156" s="68"/>
      <c r="BN1156" s="68"/>
      <c r="BO1156" s="68"/>
      <c r="BP1156" s="68"/>
      <c r="BQ1156" s="68"/>
      <c r="BR1156" s="68"/>
      <c r="BS1156" s="68"/>
      <c r="BT1156" s="68"/>
      <c r="BU1156" s="68"/>
      <c r="BV1156" s="68"/>
      <c r="BW1156" s="68"/>
      <c r="BX1156" s="68"/>
      <c r="BY1156" s="68"/>
      <c r="BZ1156" s="68"/>
      <c r="CA1156" s="68"/>
      <c r="CB1156" s="68"/>
      <c r="CC1156" s="68"/>
      <c r="CD1156" s="68"/>
      <c r="CE1156" s="68"/>
      <c r="CF1156" s="68"/>
      <c r="CG1156" s="68"/>
      <c r="CH1156" s="68"/>
      <c r="CI1156" s="68"/>
      <c r="CJ1156" s="68"/>
      <c r="CK1156" s="68"/>
      <c r="CL1156" s="68"/>
      <c r="CM1156" s="68"/>
      <c r="CN1156" s="68"/>
      <c r="CO1156" s="68"/>
      <c r="CP1156" s="68"/>
      <c r="CQ1156" s="68"/>
      <c r="CR1156" s="68"/>
      <c r="CS1156" s="68"/>
      <c r="CT1156" s="68"/>
      <c r="CU1156" s="68"/>
      <c r="CV1156" s="68"/>
      <c r="CW1156" s="68"/>
      <c r="CX1156" s="68"/>
    </row>
    <row r="1157" spans="4:102" s="71" customFormat="1" hidden="1">
      <c r="D1157" s="69"/>
      <c r="E1157" s="68"/>
      <c r="F1157" s="68"/>
      <c r="G1157" s="68"/>
      <c r="H1157" s="68"/>
      <c r="I1157" s="68"/>
      <c r="J1157" s="68"/>
      <c r="K1157" s="73"/>
      <c r="L1157" s="68"/>
      <c r="M1157" s="68"/>
      <c r="N1157" s="68"/>
      <c r="O1157" s="68"/>
      <c r="P1157" s="65"/>
      <c r="Q1157" s="103"/>
      <c r="R1157" s="103"/>
      <c r="S1157" s="103"/>
      <c r="T1157" s="103"/>
      <c r="U1157" s="68"/>
      <c r="V1157" s="69"/>
      <c r="W1157" s="68"/>
      <c r="X1157" s="68"/>
      <c r="Y1157" s="68"/>
      <c r="Z1157" s="68"/>
      <c r="AA1157" s="68"/>
      <c r="AB1157" s="68"/>
      <c r="AC1157" s="68"/>
      <c r="AD1157" s="68"/>
      <c r="AE1157" s="68"/>
      <c r="AF1157" s="68"/>
      <c r="AG1157" s="68"/>
      <c r="AH1157" s="68"/>
      <c r="AI1157" s="68"/>
      <c r="AJ1157" s="68"/>
      <c r="AK1157" s="68"/>
      <c r="AL1157" s="68"/>
      <c r="AM1157" s="68"/>
      <c r="AN1157" s="68"/>
      <c r="AO1157" s="68"/>
      <c r="AP1157" s="68"/>
      <c r="AQ1157" s="68"/>
      <c r="AR1157" s="68"/>
      <c r="AS1157" s="68"/>
      <c r="AT1157" s="68"/>
      <c r="AU1157" s="68"/>
      <c r="AV1157" s="68"/>
      <c r="AW1157" s="68"/>
      <c r="AX1157" s="68"/>
      <c r="AY1157" s="68"/>
      <c r="AZ1157" s="68"/>
      <c r="BA1157" s="68"/>
      <c r="BB1157" s="68"/>
      <c r="BC1157" s="68"/>
      <c r="BD1157" s="68"/>
      <c r="BE1157" s="68"/>
      <c r="BF1157" s="68"/>
      <c r="BG1157" s="68"/>
      <c r="BH1157" s="68"/>
      <c r="BI1157" s="68"/>
      <c r="BJ1157" s="68"/>
      <c r="BK1157" s="68"/>
      <c r="BL1157" s="68"/>
      <c r="BM1157" s="68"/>
      <c r="BN1157" s="68"/>
      <c r="BO1157" s="68"/>
      <c r="BP1157" s="68"/>
      <c r="BQ1157" s="68"/>
      <c r="BR1157" s="68"/>
      <c r="BS1157" s="68"/>
      <c r="BT1157" s="68"/>
      <c r="BU1157" s="68"/>
      <c r="BV1157" s="68"/>
      <c r="BW1157" s="68"/>
      <c r="BX1157" s="68"/>
      <c r="BY1157" s="68"/>
      <c r="BZ1157" s="68"/>
      <c r="CA1157" s="68"/>
      <c r="CB1157" s="68"/>
      <c r="CC1157" s="68"/>
      <c r="CD1157" s="68"/>
      <c r="CE1157" s="68"/>
      <c r="CF1157" s="68"/>
      <c r="CG1157" s="68"/>
      <c r="CH1157" s="68"/>
      <c r="CI1157" s="68"/>
      <c r="CJ1157" s="68"/>
      <c r="CK1157" s="68"/>
      <c r="CL1157" s="68"/>
      <c r="CM1157" s="68"/>
      <c r="CN1157" s="68"/>
      <c r="CO1157" s="68"/>
      <c r="CP1157" s="68"/>
      <c r="CQ1157" s="68"/>
      <c r="CR1157" s="68"/>
      <c r="CS1157" s="68"/>
      <c r="CT1157" s="68"/>
      <c r="CU1157" s="68"/>
      <c r="CV1157" s="68"/>
      <c r="CW1157" s="68"/>
      <c r="CX1157" s="68"/>
    </row>
    <row r="1158" spans="4:102" s="71" customFormat="1" hidden="1">
      <c r="D1158" s="69"/>
      <c r="E1158" s="68"/>
      <c r="F1158" s="68"/>
      <c r="G1158" s="68"/>
      <c r="H1158" s="68"/>
      <c r="I1158" s="68"/>
      <c r="J1158" s="68"/>
      <c r="K1158" s="73"/>
      <c r="L1158" s="68"/>
      <c r="M1158" s="68"/>
      <c r="N1158" s="68"/>
      <c r="O1158" s="68"/>
      <c r="P1158" s="65"/>
      <c r="Q1158" s="103"/>
      <c r="R1158" s="103"/>
      <c r="S1158" s="103"/>
      <c r="T1158" s="103"/>
      <c r="U1158" s="68"/>
      <c r="V1158" s="69"/>
      <c r="W1158" s="68"/>
      <c r="X1158" s="68"/>
      <c r="Y1158" s="68"/>
      <c r="Z1158" s="68"/>
      <c r="AA1158" s="68"/>
      <c r="AB1158" s="68"/>
      <c r="AC1158" s="68"/>
      <c r="AD1158" s="68"/>
      <c r="AE1158" s="68"/>
      <c r="AF1158" s="68"/>
      <c r="AG1158" s="68"/>
      <c r="AH1158" s="68"/>
      <c r="AI1158" s="68"/>
      <c r="AJ1158" s="68"/>
      <c r="AK1158" s="68"/>
      <c r="AL1158" s="68"/>
      <c r="AM1158" s="68"/>
      <c r="AN1158" s="68"/>
      <c r="AO1158" s="68"/>
      <c r="AP1158" s="68"/>
      <c r="AQ1158" s="68"/>
      <c r="AR1158" s="68"/>
      <c r="AS1158" s="68"/>
      <c r="AT1158" s="68"/>
      <c r="AU1158" s="68"/>
      <c r="AV1158" s="68"/>
      <c r="AW1158" s="68"/>
      <c r="AX1158" s="68"/>
      <c r="AY1158" s="68"/>
      <c r="AZ1158" s="68"/>
      <c r="BA1158" s="68"/>
      <c r="BB1158" s="68"/>
      <c r="BC1158" s="68"/>
      <c r="BD1158" s="68"/>
      <c r="BE1158" s="68"/>
      <c r="BF1158" s="68"/>
      <c r="BG1158" s="68"/>
      <c r="BH1158" s="68"/>
      <c r="BI1158" s="68"/>
      <c r="BJ1158" s="68"/>
      <c r="BK1158" s="68"/>
      <c r="BL1158" s="68"/>
      <c r="BM1158" s="68"/>
      <c r="BN1158" s="68"/>
      <c r="BO1158" s="68"/>
      <c r="BP1158" s="68"/>
      <c r="BQ1158" s="68"/>
      <c r="BR1158" s="68"/>
      <c r="BS1158" s="68"/>
      <c r="BT1158" s="68"/>
      <c r="BU1158" s="68"/>
      <c r="BV1158" s="68"/>
      <c r="BW1158" s="68"/>
      <c r="BX1158" s="68"/>
      <c r="BY1158" s="68"/>
      <c r="BZ1158" s="68"/>
      <c r="CA1158" s="68"/>
      <c r="CB1158" s="68"/>
      <c r="CC1158" s="68"/>
      <c r="CD1158" s="68"/>
      <c r="CE1158" s="68"/>
      <c r="CF1158" s="68"/>
      <c r="CG1158" s="68"/>
      <c r="CH1158" s="68"/>
      <c r="CI1158" s="68"/>
      <c r="CJ1158" s="68"/>
      <c r="CK1158" s="68"/>
      <c r="CL1158" s="68"/>
      <c r="CM1158" s="68"/>
      <c r="CN1158" s="68"/>
      <c r="CO1158" s="68"/>
      <c r="CP1158" s="68"/>
      <c r="CQ1158" s="68"/>
      <c r="CR1158" s="68"/>
      <c r="CS1158" s="68"/>
      <c r="CT1158" s="68"/>
      <c r="CU1158" s="68"/>
      <c r="CV1158" s="68"/>
      <c r="CW1158" s="68"/>
      <c r="CX1158" s="68"/>
    </row>
    <row r="1159" spans="4:102" s="71" customFormat="1" hidden="1">
      <c r="D1159" s="69"/>
      <c r="E1159" s="68"/>
      <c r="F1159" s="68"/>
      <c r="G1159" s="68"/>
      <c r="H1159" s="68"/>
      <c r="I1159" s="68"/>
      <c r="J1159" s="68"/>
      <c r="K1159" s="73"/>
      <c r="L1159" s="68"/>
      <c r="M1159" s="68"/>
      <c r="N1159" s="68"/>
      <c r="O1159" s="68"/>
      <c r="P1159" s="65"/>
      <c r="Q1159" s="103"/>
      <c r="R1159" s="103"/>
      <c r="S1159" s="103"/>
      <c r="T1159" s="103"/>
      <c r="U1159" s="68"/>
      <c r="V1159" s="69"/>
      <c r="W1159" s="68"/>
      <c r="X1159" s="68"/>
      <c r="Y1159" s="68"/>
      <c r="Z1159" s="68"/>
      <c r="AA1159" s="68"/>
      <c r="AB1159" s="68"/>
      <c r="AC1159" s="68"/>
      <c r="AD1159" s="68"/>
      <c r="AE1159" s="68"/>
      <c r="AF1159" s="68"/>
      <c r="AG1159" s="68"/>
      <c r="AH1159" s="68"/>
      <c r="AI1159" s="68"/>
      <c r="AJ1159" s="68"/>
      <c r="AK1159" s="68"/>
      <c r="AL1159" s="68"/>
      <c r="AM1159" s="68"/>
      <c r="AN1159" s="68"/>
      <c r="AO1159" s="68"/>
      <c r="AP1159" s="68"/>
      <c r="AQ1159" s="68"/>
      <c r="AR1159" s="68"/>
      <c r="AS1159" s="68"/>
      <c r="AT1159" s="68"/>
      <c r="AU1159" s="68"/>
      <c r="AV1159" s="68"/>
      <c r="AW1159" s="68"/>
      <c r="AX1159" s="68"/>
      <c r="AY1159" s="68"/>
      <c r="AZ1159" s="68"/>
      <c r="BA1159" s="68"/>
      <c r="BB1159" s="68"/>
      <c r="BC1159" s="68"/>
      <c r="BD1159" s="68"/>
      <c r="BE1159" s="68"/>
      <c r="BF1159" s="68"/>
      <c r="BG1159" s="68"/>
      <c r="BH1159" s="68"/>
      <c r="BI1159" s="68"/>
      <c r="BJ1159" s="68"/>
      <c r="BK1159" s="68"/>
      <c r="BL1159" s="68"/>
      <c r="BM1159" s="68"/>
      <c r="BN1159" s="68"/>
      <c r="BO1159" s="68"/>
      <c r="BP1159" s="68"/>
      <c r="BQ1159" s="68"/>
      <c r="BR1159" s="68"/>
      <c r="BS1159" s="68"/>
      <c r="BT1159" s="68"/>
      <c r="BU1159" s="68"/>
      <c r="BV1159" s="68"/>
      <c r="BW1159" s="68"/>
      <c r="BX1159" s="68"/>
      <c r="BY1159" s="68"/>
      <c r="BZ1159" s="68"/>
      <c r="CA1159" s="68"/>
      <c r="CB1159" s="68"/>
      <c r="CC1159" s="68"/>
      <c r="CD1159" s="68"/>
      <c r="CE1159" s="68"/>
      <c r="CF1159" s="68"/>
      <c r="CG1159" s="68"/>
      <c r="CH1159" s="68"/>
      <c r="CI1159" s="68"/>
      <c r="CJ1159" s="68"/>
      <c r="CK1159" s="68"/>
      <c r="CL1159" s="68"/>
      <c r="CM1159" s="68"/>
      <c r="CN1159" s="68"/>
      <c r="CO1159" s="68"/>
      <c r="CP1159" s="68"/>
      <c r="CQ1159" s="68"/>
      <c r="CR1159" s="68"/>
      <c r="CS1159" s="68"/>
      <c r="CT1159" s="68"/>
      <c r="CU1159" s="68"/>
      <c r="CV1159" s="68"/>
      <c r="CW1159" s="68"/>
      <c r="CX1159" s="68"/>
    </row>
    <row r="1160" spans="4:102" s="71" customFormat="1" hidden="1">
      <c r="D1160" s="69"/>
      <c r="E1160" s="68"/>
      <c r="F1160" s="68"/>
      <c r="G1160" s="68"/>
      <c r="H1160" s="68"/>
      <c r="I1160" s="68"/>
      <c r="J1160" s="68"/>
      <c r="K1160" s="73"/>
      <c r="L1160" s="68"/>
      <c r="M1160" s="68"/>
      <c r="N1160" s="68"/>
      <c r="O1160" s="68"/>
      <c r="P1160" s="65"/>
      <c r="Q1160" s="103"/>
      <c r="R1160" s="103"/>
      <c r="S1160" s="103"/>
      <c r="T1160" s="103"/>
      <c r="U1160" s="68"/>
      <c r="V1160" s="69"/>
      <c r="W1160" s="68"/>
      <c r="X1160" s="68"/>
      <c r="Y1160" s="68"/>
      <c r="Z1160" s="68"/>
      <c r="AA1160" s="68"/>
      <c r="AB1160" s="68"/>
      <c r="AC1160" s="68"/>
      <c r="AD1160" s="68"/>
      <c r="AE1160" s="68"/>
      <c r="AF1160" s="68"/>
      <c r="AG1160" s="68"/>
      <c r="AH1160" s="68"/>
      <c r="AI1160" s="68"/>
      <c r="AJ1160" s="68"/>
      <c r="AK1160" s="68"/>
      <c r="AL1160" s="68"/>
      <c r="AM1160" s="68"/>
      <c r="AN1160" s="68"/>
      <c r="AO1160" s="68"/>
      <c r="AP1160" s="68"/>
      <c r="AQ1160" s="68"/>
      <c r="AR1160" s="68"/>
      <c r="AS1160" s="68"/>
      <c r="AT1160" s="68"/>
      <c r="AU1160" s="68"/>
      <c r="AV1160" s="68"/>
      <c r="AW1160" s="68"/>
      <c r="AX1160" s="68"/>
      <c r="AY1160" s="68"/>
      <c r="AZ1160" s="68"/>
      <c r="BA1160" s="68"/>
      <c r="BB1160" s="68"/>
      <c r="BC1160" s="68"/>
      <c r="BD1160" s="68"/>
      <c r="BE1160" s="68"/>
      <c r="BF1160" s="68"/>
      <c r="BG1160" s="68"/>
      <c r="BH1160" s="68"/>
      <c r="BI1160" s="68"/>
      <c r="BJ1160" s="68"/>
      <c r="BK1160" s="68"/>
      <c r="BL1160" s="68"/>
      <c r="BM1160" s="68"/>
      <c r="BN1160" s="68"/>
      <c r="BO1160" s="68"/>
      <c r="BP1160" s="68"/>
      <c r="BQ1160" s="68"/>
      <c r="BR1160" s="68"/>
      <c r="BS1160" s="68"/>
      <c r="BT1160" s="68"/>
      <c r="BU1160" s="68"/>
      <c r="BV1160" s="68"/>
      <c r="BW1160" s="68"/>
      <c r="BX1160" s="68"/>
      <c r="BY1160" s="68"/>
      <c r="BZ1160" s="68"/>
      <c r="CA1160" s="68"/>
      <c r="CB1160" s="68"/>
      <c r="CC1160" s="68"/>
      <c r="CD1160" s="68"/>
      <c r="CE1160" s="68"/>
      <c r="CF1160" s="68"/>
      <c r="CG1160" s="68"/>
      <c r="CH1160" s="68"/>
      <c r="CI1160" s="68"/>
      <c r="CJ1160" s="68"/>
      <c r="CK1160" s="68"/>
      <c r="CL1160" s="68"/>
      <c r="CM1160" s="68"/>
      <c r="CN1160" s="68"/>
      <c r="CO1160" s="68"/>
      <c r="CP1160" s="68"/>
      <c r="CQ1160" s="68"/>
      <c r="CR1160" s="68"/>
      <c r="CS1160" s="68"/>
      <c r="CT1160" s="68"/>
      <c r="CU1160" s="68"/>
      <c r="CV1160" s="68"/>
      <c r="CW1160" s="68"/>
      <c r="CX1160" s="68"/>
    </row>
    <row r="1161" spans="4:102" s="71" customFormat="1" hidden="1">
      <c r="D1161" s="69"/>
      <c r="E1161" s="68"/>
      <c r="F1161" s="68"/>
      <c r="G1161" s="68"/>
      <c r="H1161" s="68"/>
      <c r="I1161" s="68"/>
      <c r="J1161" s="68"/>
      <c r="K1161" s="73"/>
      <c r="L1161" s="68"/>
      <c r="M1161" s="68"/>
      <c r="N1161" s="68"/>
      <c r="O1161" s="68"/>
      <c r="P1161" s="65"/>
      <c r="Q1161" s="103"/>
      <c r="R1161" s="103"/>
      <c r="S1161" s="103"/>
      <c r="T1161" s="103"/>
      <c r="U1161" s="68"/>
      <c r="V1161" s="69"/>
      <c r="W1161" s="68"/>
      <c r="X1161" s="68"/>
      <c r="Y1161" s="68"/>
      <c r="Z1161" s="68"/>
      <c r="AA1161" s="68"/>
      <c r="AB1161" s="68"/>
      <c r="AC1161" s="68"/>
      <c r="AD1161" s="68"/>
      <c r="AE1161" s="68"/>
      <c r="AF1161" s="68"/>
      <c r="AG1161" s="68"/>
      <c r="AH1161" s="68"/>
      <c r="AI1161" s="68"/>
      <c r="AJ1161" s="68"/>
      <c r="AK1161" s="68"/>
      <c r="AL1161" s="68"/>
      <c r="AM1161" s="68"/>
      <c r="AN1161" s="68"/>
      <c r="AO1161" s="68"/>
      <c r="AP1161" s="68"/>
      <c r="AQ1161" s="68"/>
      <c r="AR1161" s="68"/>
      <c r="AS1161" s="68"/>
      <c r="AT1161" s="68"/>
      <c r="AU1161" s="68"/>
      <c r="AV1161" s="68"/>
      <c r="AW1161" s="68"/>
      <c r="AX1161" s="68"/>
      <c r="AY1161" s="68"/>
      <c r="AZ1161" s="68"/>
      <c r="BA1161" s="68"/>
      <c r="BB1161" s="68"/>
      <c r="BC1161" s="68"/>
      <c r="BD1161" s="68"/>
      <c r="BE1161" s="68"/>
      <c r="BF1161" s="68"/>
      <c r="BG1161" s="68"/>
      <c r="BH1161" s="68"/>
      <c r="BI1161" s="68"/>
      <c r="BJ1161" s="68"/>
      <c r="BK1161" s="68"/>
      <c r="BL1161" s="68"/>
      <c r="BM1161" s="68"/>
      <c r="BN1161" s="68"/>
      <c r="BO1161" s="68"/>
      <c r="BP1161" s="68"/>
      <c r="BQ1161" s="68"/>
      <c r="BR1161" s="68"/>
      <c r="BS1161" s="68"/>
      <c r="BT1161" s="68"/>
      <c r="BU1161" s="68"/>
      <c r="BV1161" s="68"/>
      <c r="BW1161" s="68"/>
      <c r="BX1161" s="68"/>
      <c r="BY1161" s="68"/>
      <c r="BZ1161" s="68"/>
      <c r="CA1161" s="68"/>
      <c r="CB1161" s="68"/>
      <c r="CC1161" s="68"/>
      <c r="CD1161" s="68"/>
      <c r="CE1161" s="68"/>
      <c r="CF1161" s="68"/>
      <c r="CG1161" s="68"/>
      <c r="CH1161" s="68"/>
      <c r="CI1161" s="68"/>
      <c r="CJ1161" s="68"/>
      <c r="CK1161" s="68"/>
      <c r="CL1161" s="68"/>
      <c r="CM1161" s="68"/>
      <c r="CN1161" s="68"/>
      <c r="CO1161" s="68"/>
      <c r="CP1161" s="68"/>
      <c r="CQ1161" s="68"/>
      <c r="CR1161" s="68"/>
      <c r="CS1161" s="68"/>
      <c r="CT1161" s="68"/>
      <c r="CU1161" s="68"/>
      <c r="CV1161" s="68"/>
      <c r="CW1161" s="68"/>
      <c r="CX1161" s="68"/>
    </row>
    <row r="1162" spans="4:102" s="71" customFormat="1" hidden="1">
      <c r="D1162" s="69"/>
      <c r="E1162" s="68"/>
      <c r="F1162" s="68"/>
      <c r="G1162" s="68"/>
      <c r="H1162" s="68"/>
      <c r="I1162" s="68"/>
      <c r="J1162" s="68"/>
      <c r="K1162" s="73"/>
      <c r="L1162" s="68"/>
      <c r="M1162" s="68"/>
      <c r="N1162" s="68"/>
      <c r="O1162" s="68"/>
      <c r="P1162" s="65"/>
      <c r="Q1162" s="103"/>
      <c r="R1162" s="103"/>
      <c r="S1162" s="103"/>
      <c r="T1162" s="103"/>
      <c r="U1162" s="68"/>
      <c r="V1162" s="69"/>
      <c r="W1162" s="68"/>
      <c r="X1162" s="68"/>
      <c r="Y1162" s="68"/>
      <c r="Z1162" s="68"/>
      <c r="AA1162" s="68"/>
      <c r="AB1162" s="68"/>
      <c r="AC1162" s="68"/>
      <c r="AD1162" s="68"/>
      <c r="AE1162" s="68"/>
      <c r="AF1162" s="68"/>
      <c r="AG1162" s="68"/>
      <c r="AH1162" s="68"/>
      <c r="AI1162" s="68"/>
      <c r="AJ1162" s="68"/>
      <c r="AK1162" s="68"/>
      <c r="AL1162" s="68"/>
      <c r="AM1162" s="68"/>
      <c r="AN1162" s="68"/>
      <c r="AO1162" s="68"/>
      <c r="AP1162" s="68"/>
      <c r="AQ1162" s="68"/>
      <c r="AR1162" s="68"/>
      <c r="AS1162" s="68"/>
      <c r="AT1162" s="68"/>
      <c r="AU1162" s="68"/>
      <c r="AV1162" s="68"/>
      <c r="AW1162" s="68"/>
      <c r="AX1162" s="68"/>
      <c r="AY1162" s="68"/>
      <c r="AZ1162" s="68"/>
      <c r="BA1162" s="68"/>
      <c r="BB1162" s="68"/>
      <c r="BC1162" s="68"/>
      <c r="BD1162" s="68"/>
      <c r="BE1162" s="68"/>
      <c r="BF1162" s="68"/>
      <c r="BG1162" s="68"/>
      <c r="BH1162" s="68"/>
      <c r="BI1162" s="68"/>
      <c r="BJ1162" s="68"/>
      <c r="BK1162" s="68"/>
      <c r="BL1162" s="68"/>
      <c r="BM1162" s="68"/>
      <c r="BN1162" s="68"/>
      <c r="BO1162" s="68"/>
      <c r="BP1162" s="68"/>
      <c r="BQ1162" s="68"/>
      <c r="BR1162" s="68"/>
      <c r="BS1162" s="68"/>
      <c r="BT1162" s="68"/>
      <c r="BU1162" s="68"/>
      <c r="BV1162" s="68"/>
      <c r="BW1162" s="68"/>
      <c r="BX1162" s="68"/>
      <c r="BY1162" s="68"/>
      <c r="BZ1162" s="68"/>
      <c r="CA1162" s="68"/>
      <c r="CB1162" s="68"/>
      <c r="CC1162" s="68"/>
      <c r="CD1162" s="68"/>
      <c r="CE1162" s="68"/>
      <c r="CF1162" s="68"/>
      <c r="CG1162" s="68"/>
      <c r="CH1162" s="68"/>
      <c r="CI1162" s="68"/>
      <c r="CJ1162" s="68"/>
      <c r="CK1162" s="68"/>
      <c r="CL1162" s="68"/>
      <c r="CM1162" s="68"/>
      <c r="CN1162" s="68"/>
      <c r="CO1162" s="68"/>
      <c r="CP1162" s="68"/>
      <c r="CQ1162" s="68"/>
      <c r="CR1162" s="68"/>
      <c r="CS1162" s="68"/>
      <c r="CT1162" s="68"/>
      <c r="CU1162" s="68"/>
      <c r="CV1162" s="68"/>
      <c r="CW1162" s="68"/>
      <c r="CX1162" s="68"/>
    </row>
    <row r="1163" spans="4:102" s="71" customFormat="1" hidden="1">
      <c r="D1163" s="69"/>
      <c r="E1163" s="68"/>
      <c r="F1163" s="68"/>
      <c r="G1163" s="68"/>
      <c r="H1163" s="68"/>
      <c r="I1163" s="68"/>
      <c r="J1163" s="68"/>
      <c r="K1163" s="73"/>
      <c r="L1163" s="68"/>
      <c r="M1163" s="68"/>
      <c r="N1163" s="68"/>
      <c r="O1163" s="68"/>
      <c r="P1163" s="65"/>
      <c r="Q1163" s="103"/>
      <c r="R1163" s="103"/>
      <c r="S1163" s="103"/>
      <c r="T1163" s="103"/>
      <c r="U1163" s="68"/>
      <c r="V1163" s="69"/>
      <c r="W1163" s="68"/>
      <c r="X1163" s="68"/>
      <c r="Y1163" s="68"/>
      <c r="Z1163" s="68"/>
      <c r="AA1163" s="68"/>
      <c r="AB1163" s="68"/>
      <c r="AC1163" s="68"/>
      <c r="AD1163" s="68"/>
      <c r="AE1163" s="68"/>
      <c r="AF1163" s="68"/>
      <c r="AG1163" s="68"/>
      <c r="AH1163" s="68"/>
      <c r="AI1163" s="68"/>
      <c r="AJ1163" s="68"/>
      <c r="AK1163" s="68"/>
      <c r="AL1163" s="68"/>
      <c r="AM1163" s="68"/>
      <c r="AN1163" s="68"/>
      <c r="AO1163" s="68"/>
      <c r="AP1163" s="68"/>
      <c r="AQ1163" s="68"/>
      <c r="AR1163" s="68"/>
      <c r="AS1163" s="68"/>
      <c r="AT1163" s="68"/>
      <c r="AU1163" s="68"/>
      <c r="AV1163" s="68"/>
      <c r="AW1163" s="68"/>
      <c r="AX1163" s="68"/>
      <c r="AY1163" s="68"/>
      <c r="AZ1163" s="68"/>
      <c r="BA1163" s="68"/>
      <c r="BB1163" s="68"/>
      <c r="BC1163" s="68"/>
      <c r="BD1163" s="68"/>
      <c r="BE1163" s="68"/>
      <c r="BF1163" s="68"/>
      <c r="BG1163" s="68"/>
      <c r="BH1163" s="68"/>
      <c r="BI1163" s="68"/>
      <c r="BJ1163" s="68"/>
      <c r="BK1163" s="68"/>
      <c r="BL1163" s="68"/>
      <c r="BM1163" s="68"/>
      <c r="BN1163" s="68"/>
      <c r="BO1163" s="68"/>
      <c r="BP1163" s="68"/>
      <c r="BQ1163" s="68"/>
      <c r="BR1163" s="68"/>
      <c r="BS1163" s="68"/>
      <c r="BT1163" s="68"/>
      <c r="BU1163" s="68"/>
      <c r="BV1163" s="68"/>
      <c r="BW1163" s="68"/>
      <c r="BX1163" s="68"/>
      <c r="BY1163" s="68"/>
      <c r="BZ1163" s="68"/>
      <c r="CA1163" s="68"/>
      <c r="CB1163" s="68"/>
      <c r="CC1163" s="68"/>
      <c r="CD1163" s="68"/>
      <c r="CE1163" s="68"/>
      <c r="CF1163" s="68"/>
      <c r="CG1163" s="68"/>
      <c r="CH1163" s="68"/>
      <c r="CI1163" s="68"/>
      <c r="CJ1163" s="68"/>
      <c r="CK1163" s="68"/>
      <c r="CL1163" s="68"/>
      <c r="CM1163" s="68"/>
      <c r="CN1163" s="68"/>
      <c r="CO1163" s="68"/>
      <c r="CP1163" s="68"/>
      <c r="CQ1163" s="68"/>
      <c r="CR1163" s="68"/>
      <c r="CS1163" s="68"/>
      <c r="CT1163" s="68"/>
      <c r="CU1163" s="68"/>
      <c r="CV1163" s="68"/>
      <c r="CW1163" s="68"/>
      <c r="CX1163" s="68"/>
    </row>
    <row r="1164" spans="4:102" s="71" customFormat="1" hidden="1">
      <c r="D1164" s="69"/>
      <c r="E1164" s="68"/>
      <c r="F1164" s="68"/>
      <c r="G1164" s="68"/>
      <c r="H1164" s="68"/>
      <c r="I1164" s="68"/>
      <c r="J1164" s="68"/>
      <c r="K1164" s="73"/>
      <c r="L1164" s="68"/>
      <c r="M1164" s="68"/>
      <c r="N1164" s="68"/>
      <c r="O1164" s="68"/>
      <c r="P1164" s="65"/>
      <c r="Q1164" s="103"/>
      <c r="R1164" s="103"/>
      <c r="S1164" s="103"/>
      <c r="T1164" s="103"/>
      <c r="U1164" s="68"/>
      <c r="V1164" s="69"/>
      <c r="W1164" s="68"/>
      <c r="X1164" s="68"/>
      <c r="Y1164" s="68"/>
      <c r="Z1164" s="68"/>
      <c r="AA1164" s="68"/>
      <c r="AB1164" s="68"/>
      <c r="AC1164" s="68"/>
      <c r="AD1164" s="68"/>
      <c r="AE1164" s="68"/>
      <c r="AF1164" s="68"/>
      <c r="AG1164" s="68"/>
      <c r="AH1164" s="68"/>
      <c r="AI1164" s="68"/>
      <c r="AJ1164" s="68"/>
      <c r="AK1164" s="68"/>
      <c r="AL1164" s="68"/>
      <c r="AM1164" s="68"/>
      <c r="AN1164" s="68"/>
      <c r="AO1164" s="68"/>
      <c r="AP1164" s="68"/>
      <c r="AQ1164" s="68"/>
      <c r="AR1164" s="68"/>
      <c r="AS1164" s="68"/>
      <c r="AT1164" s="68"/>
      <c r="AU1164" s="68"/>
      <c r="AV1164" s="68"/>
      <c r="AW1164" s="68"/>
      <c r="AX1164" s="68"/>
      <c r="AY1164" s="68"/>
      <c r="AZ1164" s="68"/>
      <c r="BA1164" s="68"/>
      <c r="BB1164" s="68"/>
      <c r="BC1164" s="68"/>
      <c r="BD1164" s="68"/>
      <c r="BE1164" s="68"/>
      <c r="BF1164" s="68"/>
      <c r="BG1164" s="68"/>
      <c r="BH1164" s="68"/>
      <c r="BI1164" s="68"/>
      <c r="BJ1164" s="68"/>
      <c r="BK1164" s="68"/>
      <c r="BL1164" s="68"/>
      <c r="BM1164" s="68"/>
      <c r="BN1164" s="68"/>
      <c r="BO1164" s="68"/>
      <c r="BP1164" s="68"/>
      <c r="BQ1164" s="68"/>
      <c r="BR1164" s="68"/>
      <c r="BS1164" s="68"/>
      <c r="BT1164" s="68"/>
      <c r="BU1164" s="68"/>
      <c r="BV1164" s="68"/>
      <c r="BW1164" s="68"/>
      <c r="BX1164" s="68"/>
      <c r="BY1164" s="68"/>
      <c r="BZ1164" s="68"/>
      <c r="CA1164" s="68"/>
      <c r="CB1164" s="68"/>
      <c r="CC1164" s="68"/>
      <c r="CD1164" s="68"/>
      <c r="CE1164" s="68"/>
      <c r="CF1164" s="68"/>
      <c r="CG1164" s="68"/>
      <c r="CH1164" s="68"/>
      <c r="CI1164" s="68"/>
      <c r="CJ1164" s="68"/>
      <c r="CK1164" s="68"/>
      <c r="CL1164" s="68"/>
      <c r="CM1164" s="68"/>
      <c r="CN1164" s="68"/>
      <c r="CO1164" s="68"/>
      <c r="CP1164" s="68"/>
      <c r="CQ1164" s="68"/>
      <c r="CR1164" s="68"/>
      <c r="CS1164" s="68"/>
      <c r="CT1164" s="68"/>
      <c r="CU1164" s="68"/>
      <c r="CV1164" s="68"/>
      <c r="CW1164" s="68"/>
      <c r="CX1164" s="68"/>
    </row>
    <row r="1165" spans="4:102" s="71" customFormat="1" hidden="1">
      <c r="D1165" s="69"/>
      <c r="E1165" s="68"/>
      <c r="F1165" s="68"/>
      <c r="G1165" s="68"/>
      <c r="H1165" s="68"/>
      <c r="I1165" s="68"/>
      <c r="J1165" s="68"/>
      <c r="K1165" s="73"/>
      <c r="L1165" s="68"/>
      <c r="M1165" s="68"/>
      <c r="N1165" s="68"/>
      <c r="O1165" s="68"/>
      <c r="P1165" s="65"/>
      <c r="Q1165" s="103"/>
      <c r="R1165" s="103"/>
      <c r="S1165" s="103"/>
      <c r="T1165" s="103"/>
      <c r="U1165" s="68"/>
      <c r="V1165" s="69"/>
      <c r="W1165" s="68"/>
      <c r="X1165" s="68"/>
      <c r="Y1165" s="68"/>
      <c r="Z1165" s="68"/>
      <c r="AA1165" s="68"/>
      <c r="AB1165" s="68"/>
      <c r="AC1165" s="68"/>
      <c r="AD1165" s="68"/>
      <c r="AE1165" s="68"/>
      <c r="AF1165" s="68"/>
      <c r="AG1165" s="68"/>
      <c r="AH1165" s="68"/>
      <c r="AI1165" s="68"/>
      <c r="AJ1165" s="68"/>
      <c r="AK1165" s="68"/>
      <c r="AL1165" s="68"/>
      <c r="AM1165" s="68"/>
      <c r="AN1165" s="68"/>
      <c r="AO1165" s="68"/>
      <c r="AP1165" s="68"/>
      <c r="AQ1165" s="68"/>
      <c r="AR1165" s="68"/>
      <c r="AS1165" s="68"/>
      <c r="AT1165" s="68"/>
      <c r="AU1165" s="68"/>
      <c r="AV1165" s="68"/>
      <c r="AW1165" s="68"/>
      <c r="AX1165" s="68"/>
      <c r="AY1165" s="68"/>
      <c r="AZ1165" s="68"/>
      <c r="BA1165" s="68"/>
      <c r="BB1165" s="68"/>
      <c r="BC1165" s="68"/>
      <c r="BD1165" s="68"/>
      <c r="BE1165" s="68"/>
      <c r="BF1165" s="68"/>
      <c r="BG1165" s="68"/>
      <c r="BH1165" s="68"/>
      <c r="BI1165" s="68"/>
      <c r="BJ1165" s="68"/>
      <c r="BK1165" s="68"/>
      <c r="BL1165" s="68"/>
      <c r="BM1165" s="68"/>
      <c r="BN1165" s="68"/>
      <c r="BO1165" s="68"/>
      <c r="BP1165" s="68"/>
      <c r="BQ1165" s="68"/>
      <c r="BR1165" s="68"/>
      <c r="BS1165" s="68"/>
      <c r="BT1165" s="68"/>
      <c r="BU1165" s="68"/>
      <c r="BV1165" s="68"/>
      <c r="BW1165" s="68"/>
      <c r="BX1165" s="68"/>
      <c r="BY1165" s="68"/>
      <c r="BZ1165" s="68"/>
      <c r="CA1165" s="68"/>
      <c r="CB1165" s="68"/>
      <c r="CC1165" s="68"/>
      <c r="CD1165" s="68"/>
      <c r="CE1165" s="68"/>
      <c r="CF1165" s="68"/>
      <c r="CG1165" s="68"/>
      <c r="CH1165" s="68"/>
      <c r="CI1165" s="68"/>
      <c r="CJ1165" s="68"/>
      <c r="CK1165" s="68"/>
      <c r="CL1165" s="68"/>
      <c r="CM1165" s="68"/>
      <c r="CN1165" s="68"/>
      <c r="CO1165" s="68"/>
      <c r="CP1165" s="68"/>
      <c r="CQ1165" s="68"/>
      <c r="CR1165" s="68"/>
      <c r="CS1165" s="68"/>
      <c r="CT1165" s="68"/>
      <c r="CU1165" s="68"/>
      <c r="CV1165" s="68"/>
      <c r="CW1165" s="68"/>
      <c r="CX1165" s="68"/>
    </row>
    <row r="1166" spans="4:102" s="71" customFormat="1" hidden="1">
      <c r="D1166" s="69"/>
      <c r="E1166" s="68"/>
      <c r="F1166" s="68"/>
      <c r="G1166" s="68"/>
      <c r="H1166" s="68"/>
      <c r="I1166" s="68"/>
      <c r="J1166" s="68"/>
      <c r="K1166" s="73"/>
      <c r="L1166" s="68"/>
      <c r="M1166" s="68"/>
      <c r="N1166" s="68"/>
      <c r="O1166" s="68"/>
      <c r="P1166" s="65"/>
      <c r="Q1166" s="103"/>
      <c r="R1166" s="103"/>
      <c r="S1166" s="103"/>
      <c r="T1166" s="103"/>
      <c r="U1166" s="68"/>
      <c r="V1166" s="69"/>
      <c r="W1166" s="68"/>
      <c r="X1166" s="68"/>
      <c r="Y1166" s="68"/>
      <c r="Z1166" s="68"/>
      <c r="AA1166" s="68"/>
      <c r="AB1166" s="68"/>
      <c r="AC1166" s="68"/>
      <c r="AD1166" s="68"/>
      <c r="AE1166" s="68"/>
      <c r="AF1166" s="68"/>
      <c r="AG1166" s="68"/>
      <c r="AH1166" s="68"/>
      <c r="AI1166" s="68"/>
      <c r="AJ1166" s="68"/>
      <c r="AK1166" s="68"/>
      <c r="AL1166" s="68"/>
      <c r="AM1166" s="68"/>
      <c r="AN1166" s="68"/>
      <c r="AO1166" s="68"/>
      <c r="AP1166" s="68"/>
      <c r="AQ1166" s="68"/>
      <c r="AR1166" s="68"/>
      <c r="AS1166" s="68"/>
      <c r="AT1166" s="68"/>
      <c r="AU1166" s="68"/>
      <c r="AV1166" s="68"/>
      <c r="AW1166" s="68"/>
      <c r="AX1166" s="68"/>
      <c r="AY1166" s="68"/>
      <c r="AZ1166" s="68"/>
      <c r="BA1166" s="68"/>
      <c r="BB1166" s="68"/>
      <c r="BC1166" s="68"/>
      <c r="BD1166" s="68"/>
      <c r="BE1166" s="68"/>
      <c r="BF1166" s="68"/>
      <c r="BG1166" s="68"/>
      <c r="BH1166" s="68"/>
      <c r="BI1166" s="68"/>
      <c r="BJ1166" s="68"/>
      <c r="BK1166" s="68"/>
      <c r="BL1166" s="68"/>
      <c r="BM1166" s="68"/>
      <c r="BN1166" s="68"/>
      <c r="BO1166" s="68"/>
      <c r="BP1166" s="68"/>
      <c r="BQ1166" s="68"/>
      <c r="BR1166" s="68"/>
      <c r="BS1166" s="68"/>
      <c r="BT1166" s="68"/>
      <c r="BU1166" s="68"/>
      <c r="BV1166" s="68"/>
      <c r="BW1166" s="68"/>
      <c r="BX1166" s="68"/>
      <c r="BY1166" s="68"/>
      <c r="BZ1166" s="68"/>
      <c r="CA1166" s="68"/>
      <c r="CB1166" s="68"/>
      <c r="CC1166" s="68"/>
      <c r="CD1166" s="68"/>
      <c r="CE1166" s="68"/>
      <c r="CF1166" s="68"/>
      <c r="CG1166" s="68"/>
      <c r="CH1166" s="68"/>
      <c r="CI1166" s="68"/>
      <c r="CJ1166" s="68"/>
      <c r="CK1166" s="68"/>
      <c r="CL1166" s="68"/>
      <c r="CM1166" s="68"/>
      <c r="CN1166" s="68"/>
      <c r="CO1166" s="68"/>
      <c r="CP1166" s="68"/>
      <c r="CQ1166" s="68"/>
      <c r="CR1166" s="68"/>
      <c r="CS1166" s="68"/>
      <c r="CT1166" s="68"/>
      <c r="CU1166" s="68"/>
      <c r="CV1166" s="68"/>
      <c r="CW1166" s="68"/>
      <c r="CX1166" s="68"/>
    </row>
    <row r="1167" spans="4:102" s="71" customFormat="1" hidden="1">
      <c r="D1167" s="69"/>
      <c r="E1167" s="68"/>
      <c r="F1167" s="68"/>
      <c r="G1167" s="68"/>
      <c r="H1167" s="68"/>
      <c r="I1167" s="68"/>
      <c r="J1167" s="68"/>
      <c r="K1167" s="73"/>
      <c r="L1167" s="68"/>
      <c r="M1167" s="68"/>
      <c r="N1167" s="68"/>
      <c r="O1167" s="68"/>
      <c r="P1167" s="65"/>
      <c r="Q1167" s="103"/>
      <c r="R1167" s="103"/>
      <c r="S1167" s="103"/>
      <c r="T1167" s="103"/>
      <c r="U1167" s="68"/>
      <c r="V1167" s="69"/>
      <c r="W1167" s="68"/>
      <c r="X1167" s="68"/>
      <c r="Y1167" s="68"/>
      <c r="Z1167" s="68"/>
      <c r="AA1167" s="68"/>
      <c r="AB1167" s="68"/>
      <c r="AC1167" s="68"/>
      <c r="AD1167" s="68"/>
      <c r="AE1167" s="68"/>
      <c r="AF1167" s="68"/>
      <c r="AG1167" s="68"/>
      <c r="AH1167" s="68"/>
      <c r="AI1167" s="68"/>
      <c r="AJ1167" s="68"/>
      <c r="AK1167" s="68"/>
      <c r="AL1167" s="68"/>
      <c r="AM1167" s="68"/>
      <c r="AN1167" s="68"/>
      <c r="AO1167" s="68"/>
      <c r="AP1167" s="68"/>
      <c r="AQ1167" s="68"/>
      <c r="AR1167" s="68"/>
      <c r="AS1167" s="68"/>
      <c r="AT1167" s="68"/>
      <c r="AU1167" s="68"/>
      <c r="AV1167" s="68"/>
      <c r="AW1167" s="68"/>
      <c r="AX1167" s="68"/>
      <c r="AY1167" s="68"/>
      <c r="AZ1167" s="68"/>
      <c r="BA1167" s="68"/>
      <c r="BB1167" s="68"/>
      <c r="BC1167" s="68"/>
      <c r="BD1167" s="68"/>
      <c r="BE1167" s="68"/>
      <c r="BF1167" s="68"/>
      <c r="BG1167" s="68"/>
      <c r="BH1167" s="68"/>
      <c r="BI1167" s="68"/>
      <c r="BJ1167" s="68"/>
      <c r="BK1167" s="68"/>
      <c r="BL1167" s="68"/>
      <c r="BM1167" s="68"/>
      <c r="BN1167" s="68"/>
      <c r="BO1167" s="68"/>
      <c r="BP1167" s="68"/>
      <c r="BQ1167" s="68"/>
      <c r="BR1167" s="68"/>
      <c r="BS1167" s="68"/>
      <c r="BT1167" s="68"/>
      <c r="BU1167" s="68"/>
      <c r="BV1167" s="68"/>
      <c r="BW1167" s="68"/>
      <c r="BX1167" s="68"/>
      <c r="BY1167" s="68"/>
      <c r="BZ1167" s="68"/>
      <c r="CA1167" s="68"/>
      <c r="CB1167" s="68"/>
      <c r="CC1167" s="68"/>
      <c r="CD1167" s="68"/>
      <c r="CE1167" s="68"/>
      <c r="CF1167" s="68"/>
      <c r="CG1167" s="68"/>
      <c r="CH1167" s="68"/>
      <c r="CI1167" s="68"/>
      <c r="CJ1167" s="68"/>
      <c r="CK1167" s="68"/>
      <c r="CL1167" s="68"/>
      <c r="CM1167" s="68"/>
      <c r="CN1167" s="68"/>
      <c r="CO1167" s="68"/>
      <c r="CP1167" s="68"/>
      <c r="CQ1167" s="68"/>
      <c r="CR1167" s="68"/>
      <c r="CS1167" s="68"/>
      <c r="CT1167" s="68"/>
      <c r="CU1167" s="68"/>
      <c r="CV1167" s="68"/>
      <c r="CW1167" s="68"/>
      <c r="CX1167" s="68"/>
    </row>
    <row r="1168" spans="4:102" s="71" customFormat="1" hidden="1">
      <c r="D1168" s="69"/>
      <c r="E1168" s="68"/>
      <c r="F1168" s="68"/>
      <c r="G1168" s="68"/>
      <c r="H1168" s="68"/>
      <c r="I1168" s="68"/>
      <c r="J1168" s="68"/>
      <c r="K1168" s="73"/>
      <c r="L1168" s="68"/>
      <c r="M1168" s="68"/>
      <c r="N1168" s="68"/>
      <c r="O1168" s="68"/>
      <c r="P1168" s="65"/>
      <c r="Q1168" s="103"/>
      <c r="R1168" s="103"/>
      <c r="S1168" s="103"/>
      <c r="T1168" s="103"/>
      <c r="U1168" s="68"/>
      <c r="V1168" s="69"/>
      <c r="W1168" s="68"/>
      <c r="X1168" s="68"/>
      <c r="Y1168" s="68"/>
      <c r="Z1168" s="68"/>
      <c r="AA1168" s="68"/>
      <c r="AB1168" s="68"/>
      <c r="AC1168" s="68"/>
      <c r="AD1168" s="68"/>
      <c r="AE1168" s="68"/>
      <c r="AF1168" s="68"/>
      <c r="AG1168" s="68"/>
      <c r="AH1168" s="68"/>
      <c r="AI1168" s="68"/>
      <c r="AJ1168" s="68"/>
      <c r="AK1168" s="68"/>
      <c r="AL1168" s="68"/>
      <c r="AM1168" s="68"/>
      <c r="AN1168" s="68"/>
      <c r="AO1168" s="68"/>
      <c r="AP1168" s="68"/>
      <c r="AQ1168" s="68"/>
      <c r="AR1168" s="68"/>
      <c r="AS1168" s="68"/>
      <c r="AT1168" s="68"/>
      <c r="AU1168" s="68"/>
      <c r="AV1168" s="68"/>
      <c r="AW1168" s="68"/>
      <c r="AX1168" s="68"/>
      <c r="AY1168" s="68"/>
      <c r="AZ1168" s="68"/>
      <c r="BA1168" s="68"/>
      <c r="BB1168" s="68"/>
      <c r="BC1168" s="68"/>
      <c r="BD1168" s="68"/>
      <c r="BE1168" s="68"/>
      <c r="BF1168" s="68"/>
      <c r="BG1168" s="68"/>
      <c r="BH1168" s="68"/>
      <c r="BI1168" s="68"/>
      <c r="BJ1168" s="68"/>
      <c r="BK1168" s="68"/>
      <c r="BL1168" s="68"/>
      <c r="BM1168" s="68"/>
      <c r="BN1168" s="68"/>
      <c r="BO1168" s="68"/>
      <c r="BP1168" s="68"/>
      <c r="BQ1168" s="68"/>
      <c r="BR1168" s="68"/>
      <c r="BS1168" s="68"/>
      <c r="BT1168" s="68"/>
      <c r="BU1168" s="68"/>
      <c r="BV1168" s="68"/>
      <c r="BW1168" s="68"/>
      <c r="BX1168" s="68"/>
      <c r="BY1168" s="68"/>
      <c r="BZ1168" s="68"/>
      <c r="CA1168" s="68"/>
      <c r="CB1168" s="68"/>
      <c r="CC1168" s="68"/>
      <c r="CD1168" s="68"/>
      <c r="CE1168" s="68"/>
      <c r="CF1168" s="68"/>
      <c r="CG1168" s="68"/>
      <c r="CH1168" s="68"/>
      <c r="CI1168" s="68"/>
      <c r="CJ1168" s="68"/>
      <c r="CK1168" s="68"/>
      <c r="CL1168" s="68"/>
      <c r="CM1168" s="68"/>
      <c r="CN1168" s="68"/>
      <c r="CO1168" s="68"/>
      <c r="CP1168" s="68"/>
      <c r="CQ1168" s="68"/>
      <c r="CR1168" s="68"/>
      <c r="CS1168" s="68"/>
      <c r="CT1168" s="68"/>
      <c r="CU1168" s="68"/>
      <c r="CV1168" s="68"/>
      <c r="CW1168" s="68"/>
      <c r="CX1168" s="68"/>
    </row>
    <row r="1169" spans="4:102" s="71" customFormat="1" hidden="1">
      <c r="D1169" s="69"/>
      <c r="E1169" s="68"/>
      <c r="F1169" s="68"/>
      <c r="G1169" s="68"/>
      <c r="H1169" s="68"/>
      <c r="I1169" s="68"/>
      <c r="J1169" s="68"/>
      <c r="K1169" s="73"/>
      <c r="L1169" s="68"/>
      <c r="M1169" s="68"/>
      <c r="N1169" s="68"/>
      <c r="O1169" s="68"/>
      <c r="P1169" s="65"/>
      <c r="Q1169" s="103"/>
      <c r="R1169" s="103"/>
      <c r="S1169" s="103"/>
      <c r="T1169" s="103"/>
      <c r="U1169" s="68"/>
      <c r="V1169" s="69"/>
      <c r="W1169" s="68"/>
      <c r="X1169" s="68"/>
      <c r="Y1169" s="68"/>
      <c r="Z1169" s="68"/>
      <c r="AA1169" s="68"/>
      <c r="AB1169" s="68"/>
      <c r="AC1169" s="68"/>
      <c r="AD1169" s="68"/>
      <c r="AE1169" s="68"/>
      <c r="AF1169" s="68"/>
      <c r="AG1169" s="68"/>
      <c r="AH1169" s="68"/>
      <c r="AI1169" s="68"/>
      <c r="AJ1169" s="68"/>
      <c r="AK1169" s="68"/>
      <c r="AL1169" s="68"/>
      <c r="AM1169" s="68"/>
      <c r="AN1169" s="68"/>
      <c r="AO1169" s="68"/>
      <c r="AP1169" s="68"/>
      <c r="AQ1169" s="68"/>
      <c r="AR1169" s="68"/>
      <c r="AS1169" s="68"/>
      <c r="AT1169" s="68"/>
      <c r="AU1169" s="68"/>
      <c r="AV1169" s="68"/>
      <c r="AW1169" s="68"/>
      <c r="AX1169" s="68"/>
      <c r="AY1169" s="68"/>
      <c r="AZ1169" s="68"/>
      <c r="BA1169" s="68"/>
      <c r="BB1169" s="68"/>
      <c r="BC1169" s="68"/>
      <c r="BD1169" s="68"/>
      <c r="BE1169" s="68"/>
      <c r="BF1169" s="68"/>
      <c r="BG1169" s="68"/>
      <c r="BH1169" s="68"/>
      <c r="BI1169" s="68"/>
      <c r="BJ1169" s="68"/>
      <c r="BK1169" s="68"/>
      <c r="BL1169" s="68"/>
      <c r="BM1169" s="68"/>
      <c r="BN1169" s="68"/>
      <c r="BO1169" s="68"/>
      <c r="BP1169" s="68"/>
      <c r="BQ1169" s="68"/>
      <c r="BR1169" s="68"/>
      <c r="BS1169" s="68"/>
      <c r="BT1169" s="68"/>
      <c r="BU1169" s="68"/>
      <c r="BV1169" s="68"/>
      <c r="BW1169" s="68"/>
      <c r="BX1169" s="68"/>
      <c r="BY1169" s="68"/>
      <c r="BZ1169" s="68"/>
      <c r="CA1169" s="68"/>
      <c r="CB1169" s="68"/>
      <c r="CC1169" s="68"/>
      <c r="CD1169" s="68"/>
      <c r="CE1169" s="68"/>
      <c r="CF1169" s="68"/>
      <c r="CG1169" s="68"/>
      <c r="CH1169" s="68"/>
      <c r="CI1169" s="68"/>
      <c r="CJ1169" s="68"/>
      <c r="CK1169" s="68"/>
      <c r="CL1169" s="68"/>
      <c r="CM1169" s="68"/>
      <c r="CN1169" s="68"/>
      <c r="CO1169" s="68"/>
      <c r="CP1169" s="68"/>
      <c r="CQ1169" s="68"/>
      <c r="CR1169" s="68"/>
      <c r="CS1169" s="68"/>
      <c r="CT1169" s="68"/>
      <c r="CU1169" s="68"/>
      <c r="CV1169" s="68"/>
      <c r="CW1169" s="68"/>
      <c r="CX1169" s="68"/>
    </row>
    <row r="1170" spans="4:102" s="71" customFormat="1" hidden="1">
      <c r="D1170" s="69"/>
      <c r="E1170" s="68"/>
      <c r="F1170" s="68"/>
      <c r="G1170" s="68"/>
      <c r="H1170" s="68"/>
      <c r="I1170" s="68"/>
      <c r="J1170" s="68"/>
      <c r="K1170" s="73"/>
      <c r="L1170" s="68"/>
      <c r="M1170" s="68"/>
      <c r="N1170" s="68"/>
      <c r="O1170" s="68"/>
      <c r="P1170" s="65"/>
      <c r="Q1170" s="103"/>
      <c r="R1170" s="103"/>
      <c r="S1170" s="103"/>
      <c r="T1170" s="103"/>
      <c r="U1170" s="68"/>
      <c r="V1170" s="69"/>
      <c r="W1170" s="68"/>
      <c r="X1170" s="68"/>
      <c r="Y1170" s="68"/>
      <c r="Z1170" s="68"/>
      <c r="AA1170" s="68"/>
      <c r="AB1170" s="68"/>
      <c r="AC1170" s="68"/>
      <c r="AD1170" s="68"/>
      <c r="AE1170" s="68"/>
      <c r="AF1170" s="68"/>
      <c r="AG1170" s="68"/>
      <c r="AH1170" s="68"/>
      <c r="AI1170" s="68"/>
      <c r="AJ1170" s="68"/>
      <c r="AK1170" s="68"/>
      <c r="AL1170" s="68"/>
      <c r="AM1170" s="68"/>
      <c r="AN1170" s="68"/>
      <c r="AO1170" s="68"/>
      <c r="AP1170" s="68"/>
      <c r="AQ1170" s="68"/>
      <c r="AR1170" s="68"/>
      <c r="AS1170" s="68"/>
      <c r="AT1170" s="68"/>
      <c r="AU1170" s="68"/>
      <c r="AV1170" s="68"/>
      <c r="AW1170" s="68"/>
      <c r="AX1170" s="68"/>
      <c r="AY1170" s="68"/>
      <c r="AZ1170" s="68"/>
      <c r="BA1170" s="68"/>
      <c r="BB1170" s="68"/>
      <c r="BC1170" s="68"/>
      <c r="BD1170" s="68"/>
      <c r="BE1170" s="68"/>
      <c r="BF1170" s="68"/>
      <c r="BG1170" s="68"/>
      <c r="BH1170" s="68"/>
      <c r="BI1170" s="68"/>
      <c r="BJ1170" s="68"/>
      <c r="BK1170" s="68"/>
      <c r="BL1170" s="68"/>
      <c r="BM1170" s="68"/>
      <c r="BN1170" s="68"/>
      <c r="BO1170" s="68"/>
      <c r="BP1170" s="68"/>
      <c r="BQ1170" s="68"/>
      <c r="BR1170" s="68"/>
      <c r="BS1170" s="68"/>
      <c r="BT1170" s="68"/>
      <c r="BU1170" s="68"/>
      <c r="BV1170" s="68"/>
      <c r="BW1170" s="68"/>
      <c r="BX1170" s="68"/>
      <c r="BY1170" s="68"/>
      <c r="BZ1170" s="68"/>
      <c r="CA1170" s="68"/>
      <c r="CB1170" s="68"/>
      <c r="CC1170" s="68"/>
      <c r="CD1170" s="68"/>
      <c r="CE1170" s="68"/>
      <c r="CF1170" s="68"/>
      <c r="CG1170" s="68"/>
      <c r="CH1170" s="68"/>
      <c r="CI1170" s="68"/>
      <c r="CJ1170" s="68"/>
      <c r="CK1170" s="68"/>
      <c r="CL1170" s="68"/>
      <c r="CM1170" s="68"/>
      <c r="CN1170" s="68"/>
      <c r="CO1170" s="68"/>
      <c r="CP1170" s="68"/>
      <c r="CQ1170" s="68"/>
      <c r="CR1170" s="68"/>
      <c r="CS1170" s="68"/>
      <c r="CT1170" s="68"/>
      <c r="CU1170" s="68"/>
      <c r="CV1170" s="68"/>
      <c r="CW1170" s="68"/>
      <c r="CX1170" s="68"/>
    </row>
    <row r="1171" spans="4:102" s="71" customFormat="1" hidden="1">
      <c r="D1171" s="69"/>
      <c r="E1171" s="68"/>
      <c r="F1171" s="68"/>
      <c r="G1171" s="68"/>
      <c r="H1171" s="68"/>
      <c r="I1171" s="68"/>
      <c r="J1171" s="68"/>
      <c r="K1171" s="73"/>
      <c r="L1171" s="68"/>
      <c r="M1171" s="68"/>
      <c r="N1171" s="68"/>
      <c r="O1171" s="68"/>
      <c r="P1171" s="65"/>
      <c r="Q1171" s="103"/>
      <c r="R1171" s="103"/>
      <c r="S1171" s="103"/>
      <c r="T1171" s="103"/>
      <c r="U1171" s="68"/>
      <c r="V1171" s="69"/>
      <c r="W1171" s="68"/>
      <c r="X1171" s="68"/>
      <c r="Y1171" s="68"/>
      <c r="Z1171" s="68"/>
      <c r="AA1171" s="68"/>
      <c r="AB1171" s="68"/>
      <c r="AC1171" s="68"/>
      <c r="AD1171" s="68"/>
      <c r="AE1171" s="68"/>
      <c r="AF1171" s="68"/>
      <c r="AG1171" s="68"/>
      <c r="AH1171" s="68"/>
      <c r="AI1171" s="68"/>
      <c r="AJ1171" s="68"/>
      <c r="AK1171" s="68"/>
      <c r="AL1171" s="68"/>
      <c r="AM1171" s="68"/>
      <c r="AN1171" s="68"/>
      <c r="AO1171" s="68"/>
      <c r="AP1171" s="68"/>
      <c r="AQ1171" s="68"/>
      <c r="AR1171" s="68"/>
      <c r="AS1171" s="68"/>
      <c r="AT1171" s="68"/>
      <c r="AU1171" s="68"/>
      <c r="AV1171" s="68"/>
      <c r="AW1171" s="68"/>
      <c r="AX1171" s="68"/>
      <c r="AY1171" s="68"/>
      <c r="AZ1171" s="68"/>
      <c r="BA1171" s="68"/>
      <c r="BB1171" s="68"/>
      <c r="BC1171" s="68"/>
      <c r="BD1171" s="68"/>
      <c r="BE1171" s="68"/>
      <c r="BF1171" s="68"/>
      <c r="BG1171" s="68"/>
      <c r="BH1171" s="68"/>
      <c r="BI1171" s="68"/>
      <c r="BJ1171" s="68"/>
      <c r="BK1171" s="68"/>
      <c r="BL1171" s="68"/>
      <c r="BM1171" s="68"/>
      <c r="BN1171" s="68"/>
      <c r="BO1171" s="68"/>
      <c r="BP1171" s="68"/>
      <c r="BQ1171" s="68"/>
      <c r="BR1171" s="68"/>
      <c r="BS1171" s="68"/>
      <c r="BT1171" s="68"/>
      <c r="BU1171" s="68"/>
      <c r="BV1171" s="68"/>
      <c r="BW1171" s="68"/>
      <c r="BX1171" s="68"/>
      <c r="BY1171" s="68"/>
      <c r="BZ1171" s="68"/>
      <c r="CA1171" s="68"/>
      <c r="CB1171" s="68"/>
      <c r="CC1171" s="68"/>
      <c r="CD1171" s="68"/>
      <c r="CE1171" s="68"/>
      <c r="CF1171" s="68"/>
      <c r="CG1171" s="68"/>
      <c r="CH1171" s="68"/>
      <c r="CI1171" s="68"/>
      <c r="CJ1171" s="68"/>
      <c r="CK1171" s="68"/>
      <c r="CL1171" s="68"/>
      <c r="CM1171" s="68"/>
      <c r="CN1171" s="68"/>
      <c r="CO1171" s="68"/>
      <c r="CP1171" s="68"/>
      <c r="CQ1171" s="68"/>
      <c r="CR1171" s="68"/>
      <c r="CS1171" s="68"/>
      <c r="CT1171" s="68"/>
      <c r="CU1171" s="68"/>
      <c r="CV1171" s="68"/>
      <c r="CW1171" s="68"/>
      <c r="CX1171" s="68"/>
    </row>
    <row r="1172" spans="4:102" s="71" customFormat="1" hidden="1">
      <c r="D1172" s="69"/>
      <c r="E1172" s="68"/>
      <c r="F1172" s="68"/>
      <c r="G1172" s="68"/>
      <c r="H1172" s="68"/>
      <c r="I1172" s="68"/>
      <c r="J1172" s="68"/>
      <c r="K1172" s="73"/>
      <c r="L1172" s="68"/>
      <c r="M1172" s="68"/>
      <c r="N1172" s="68"/>
      <c r="O1172" s="68"/>
      <c r="P1172" s="65"/>
      <c r="Q1172" s="103"/>
      <c r="R1172" s="103"/>
      <c r="S1172" s="103"/>
      <c r="T1172" s="103"/>
      <c r="U1172" s="68"/>
      <c r="V1172" s="69"/>
      <c r="W1172" s="68"/>
      <c r="X1172" s="68"/>
      <c r="Y1172" s="68"/>
      <c r="Z1172" s="68"/>
      <c r="AA1172" s="68"/>
      <c r="AB1172" s="68"/>
      <c r="AC1172" s="68"/>
      <c r="AD1172" s="68"/>
      <c r="AE1172" s="68"/>
      <c r="AF1172" s="68"/>
      <c r="AG1172" s="68"/>
      <c r="AH1172" s="68"/>
      <c r="AI1172" s="68"/>
      <c r="AJ1172" s="68"/>
      <c r="AK1172" s="68"/>
      <c r="AL1172" s="68"/>
      <c r="AM1172" s="68"/>
      <c r="AN1172" s="68"/>
      <c r="AO1172" s="68"/>
      <c r="AP1172" s="68"/>
      <c r="AQ1172" s="68"/>
      <c r="AR1172" s="68"/>
      <c r="AS1172" s="68"/>
      <c r="AT1172" s="68"/>
      <c r="AU1172" s="68"/>
      <c r="AV1172" s="68"/>
      <c r="AW1172" s="68"/>
      <c r="AX1172" s="68"/>
      <c r="AY1172" s="68"/>
      <c r="AZ1172" s="68"/>
      <c r="BA1172" s="68"/>
      <c r="BB1172" s="68"/>
      <c r="BC1172" s="68"/>
      <c r="BD1172" s="68"/>
      <c r="BE1172" s="68"/>
      <c r="BF1172" s="68"/>
      <c r="BG1172" s="68"/>
      <c r="BH1172" s="68"/>
      <c r="BI1172" s="68"/>
      <c r="BJ1172" s="68"/>
      <c r="BK1172" s="68"/>
      <c r="BL1172" s="68"/>
      <c r="BM1172" s="68"/>
      <c r="BN1172" s="68"/>
      <c r="BO1172" s="68"/>
      <c r="BP1172" s="68"/>
      <c r="BQ1172" s="68"/>
      <c r="BR1172" s="68"/>
      <c r="BS1172" s="68"/>
      <c r="BT1172" s="68"/>
      <c r="BU1172" s="68"/>
      <c r="BV1172" s="68"/>
      <c r="BW1172" s="68"/>
      <c r="BX1172" s="68"/>
      <c r="BY1172" s="68"/>
      <c r="BZ1172" s="68"/>
      <c r="CA1172" s="68"/>
      <c r="CB1172" s="68"/>
      <c r="CC1172" s="68"/>
      <c r="CD1172" s="68"/>
      <c r="CE1172" s="68"/>
      <c r="CF1172" s="68"/>
      <c r="CG1172" s="68"/>
      <c r="CH1172" s="68"/>
      <c r="CI1172" s="68"/>
      <c r="CJ1172" s="68"/>
      <c r="CK1172" s="68"/>
      <c r="CL1172" s="68"/>
      <c r="CM1172" s="68"/>
      <c r="CN1172" s="68"/>
      <c r="CO1172" s="68"/>
      <c r="CP1172" s="68"/>
      <c r="CQ1172" s="68"/>
      <c r="CR1172" s="68"/>
      <c r="CS1172" s="68"/>
      <c r="CT1172" s="68"/>
      <c r="CU1172" s="68"/>
      <c r="CV1172" s="68"/>
      <c r="CW1172" s="68"/>
      <c r="CX1172" s="68"/>
    </row>
    <row r="1173" spans="4:102" s="71" customFormat="1" hidden="1">
      <c r="D1173" s="69"/>
      <c r="E1173" s="68"/>
      <c r="F1173" s="68"/>
      <c r="G1173" s="68"/>
      <c r="H1173" s="68"/>
      <c r="I1173" s="68"/>
      <c r="J1173" s="68"/>
      <c r="K1173" s="73"/>
      <c r="L1173" s="68"/>
      <c r="M1173" s="68"/>
      <c r="N1173" s="68"/>
      <c r="O1173" s="68"/>
      <c r="P1173" s="65"/>
      <c r="Q1173" s="103"/>
      <c r="R1173" s="103"/>
      <c r="S1173" s="103"/>
      <c r="T1173" s="103"/>
      <c r="U1173" s="68"/>
      <c r="V1173" s="69"/>
      <c r="W1173" s="68"/>
      <c r="X1173" s="68"/>
      <c r="Y1173" s="68"/>
      <c r="Z1173" s="68"/>
      <c r="AA1173" s="68"/>
      <c r="AB1173" s="68"/>
      <c r="AC1173" s="68"/>
      <c r="AD1173" s="68"/>
      <c r="AE1173" s="68"/>
      <c r="AF1173" s="68"/>
      <c r="AG1173" s="68"/>
      <c r="AH1173" s="68"/>
      <c r="AI1173" s="68"/>
      <c r="AJ1173" s="68"/>
      <c r="AK1173" s="68"/>
      <c r="AL1173" s="68"/>
      <c r="AM1173" s="68"/>
      <c r="AN1173" s="68"/>
      <c r="AO1173" s="68"/>
      <c r="AP1173" s="68"/>
      <c r="AQ1173" s="68"/>
      <c r="AR1173" s="68"/>
      <c r="AS1173" s="68"/>
      <c r="AT1173" s="68"/>
      <c r="AU1173" s="68"/>
      <c r="AV1173" s="68"/>
      <c r="AW1173" s="68"/>
      <c r="AX1173" s="68"/>
      <c r="AY1173" s="68"/>
      <c r="AZ1173" s="68"/>
      <c r="BA1173" s="68"/>
      <c r="BB1173" s="68"/>
      <c r="BC1173" s="68"/>
      <c r="BD1173" s="68"/>
      <c r="BE1173" s="68"/>
      <c r="BF1173" s="68"/>
      <c r="BG1173" s="68"/>
      <c r="BH1173" s="68"/>
      <c r="BI1173" s="68"/>
      <c r="BJ1173" s="68"/>
      <c r="BK1173" s="68"/>
      <c r="BL1173" s="68"/>
      <c r="BM1173" s="68"/>
      <c r="BN1173" s="68"/>
      <c r="BO1173" s="68"/>
      <c r="BP1173" s="68"/>
      <c r="BQ1173" s="68"/>
      <c r="BR1173" s="68"/>
      <c r="BS1173" s="68"/>
      <c r="BT1173" s="68"/>
      <c r="BU1173" s="68"/>
      <c r="BV1173" s="68"/>
      <c r="BW1173" s="68"/>
      <c r="BX1173" s="68"/>
      <c r="BY1173" s="68"/>
      <c r="BZ1173" s="68"/>
      <c r="CA1173" s="68"/>
      <c r="CB1173" s="68"/>
      <c r="CC1173" s="68"/>
      <c r="CD1173" s="68"/>
      <c r="CE1173" s="68"/>
      <c r="CF1173" s="68"/>
      <c r="CG1173" s="68"/>
      <c r="CH1173" s="68"/>
      <c r="CI1173" s="68"/>
      <c r="CJ1173" s="68"/>
      <c r="CK1173" s="68"/>
      <c r="CL1173" s="68"/>
      <c r="CM1173" s="68"/>
      <c r="CN1173" s="68"/>
      <c r="CO1173" s="68"/>
      <c r="CP1173" s="68"/>
      <c r="CQ1173" s="68"/>
      <c r="CR1173" s="68"/>
      <c r="CS1173" s="68"/>
      <c r="CT1173" s="68"/>
      <c r="CU1173" s="68"/>
      <c r="CV1173" s="68"/>
      <c r="CW1173" s="68"/>
      <c r="CX1173" s="68"/>
    </row>
    <row r="1174" spans="4:102" s="71" customFormat="1" hidden="1">
      <c r="D1174" s="69"/>
      <c r="E1174" s="68"/>
      <c r="F1174" s="68"/>
      <c r="G1174" s="68"/>
      <c r="H1174" s="68"/>
      <c r="I1174" s="68"/>
      <c r="J1174" s="68"/>
      <c r="K1174" s="73"/>
      <c r="L1174" s="68"/>
      <c r="M1174" s="68"/>
      <c r="N1174" s="68"/>
      <c r="O1174" s="68"/>
      <c r="P1174" s="65"/>
      <c r="Q1174" s="103"/>
      <c r="R1174" s="103"/>
      <c r="S1174" s="103"/>
      <c r="T1174" s="103"/>
      <c r="U1174" s="68"/>
      <c r="V1174" s="69"/>
      <c r="W1174" s="68"/>
      <c r="X1174" s="68"/>
      <c r="Y1174" s="68"/>
      <c r="Z1174" s="68"/>
      <c r="AA1174" s="68"/>
      <c r="AB1174" s="68"/>
      <c r="AC1174" s="68"/>
      <c r="AD1174" s="68"/>
      <c r="AE1174" s="68"/>
      <c r="AF1174" s="68"/>
      <c r="AG1174" s="68"/>
      <c r="AH1174" s="68"/>
      <c r="AI1174" s="68"/>
      <c r="AJ1174" s="68"/>
      <c r="AK1174" s="68"/>
      <c r="AL1174" s="68"/>
      <c r="AM1174" s="68"/>
      <c r="AN1174" s="68"/>
      <c r="AO1174" s="68"/>
      <c r="AP1174" s="68"/>
      <c r="AQ1174" s="68"/>
      <c r="AR1174" s="68"/>
      <c r="AS1174" s="68"/>
      <c r="AT1174" s="68"/>
      <c r="AU1174" s="68"/>
      <c r="AV1174" s="68"/>
      <c r="AW1174" s="68"/>
      <c r="AX1174" s="68"/>
      <c r="AY1174" s="68"/>
      <c r="AZ1174" s="68"/>
      <c r="BA1174" s="68"/>
      <c r="BB1174" s="68"/>
      <c r="BC1174" s="68"/>
      <c r="BD1174" s="68"/>
      <c r="BE1174" s="68"/>
      <c r="BF1174" s="68"/>
      <c r="BG1174" s="68"/>
      <c r="BH1174" s="68"/>
      <c r="BI1174" s="68"/>
      <c r="BJ1174" s="68"/>
      <c r="BK1174" s="68"/>
      <c r="BL1174" s="68"/>
      <c r="BM1174" s="68"/>
      <c r="BN1174" s="68"/>
      <c r="BO1174" s="68"/>
      <c r="BP1174" s="68"/>
      <c r="BQ1174" s="68"/>
      <c r="BR1174" s="68"/>
      <c r="BS1174" s="68"/>
      <c r="BT1174" s="68"/>
      <c r="BU1174" s="68"/>
      <c r="BV1174" s="68"/>
      <c r="BW1174" s="68"/>
      <c r="BX1174" s="68"/>
      <c r="BY1174" s="68"/>
      <c r="BZ1174" s="68"/>
      <c r="CA1174" s="68"/>
      <c r="CB1174" s="68"/>
      <c r="CC1174" s="68"/>
      <c r="CD1174" s="68"/>
      <c r="CE1174" s="68"/>
      <c r="CF1174" s="68"/>
      <c r="CG1174" s="68"/>
      <c r="CH1174" s="68"/>
      <c r="CI1174" s="68"/>
      <c r="CJ1174" s="68"/>
      <c r="CK1174" s="68"/>
      <c r="CL1174" s="68"/>
      <c r="CM1174" s="68"/>
      <c r="CN1174" s="68"/>
      <c r="CO1174" s="68"/>
      <c r="CP1174" s="68"/>
      <c r="CQ1174" s="68"/>
      <c r="CR1174" s="68"/>
      <c r="CS1174" s="68"/>
      <c r="CT1174" s="68"/>
      <c r="CU1174" s="68"/>
      <c r="CV1174" s="68"/>
      <c r="CW1174" s="68"/>
      <c r="CX1174" s="68"/>
    </row>
    <row r="1175" spans="4:102" s="71" customFormat="1" hidden="1">
      <c r="D1175" s="69"/>
      <c r="E1175" s="68"/>
      <c r="F1175" s="68"/>
      <c r="G1175" s="68"/>
      <c r="H1175" s="68"/>
      <c r="I1175" s="68"/>
      <c r="J1175" s="68"/>
      <c r="K1175" s="73"/>
      <c r="L1175" s="68"/>
      <c r="M1175" s="68"/>
      <c r="N1175" s="68"/>
      <c r="O1175" s="68"/>
      <c r="P1175" s="65"/>
      <c r="Q1175" s="103"/>
      <c r="R1175" s="103"/>
      <c r="S1175" s="103"/>
      <c r="T1175" s="103"/>
      <c r="U1175" s="68"/>
      <c r="V1175" s="69"/>
      <c r="W1175" s="68"/>
      <c r="X1175" s="68"/>
      <c r="Y1175" s="68"/>
      <c r="Z1175" s="68"/>
      <c r="AA1175" s="68"/>
      <c r="AB1175" s="68"/>
      <c r="AC1175" s="68"/>
      <c r="AD1175" s="68"/>
      <c r="AE1175" s="68"/>
      <c r="AF1175" s="68"/>
      <c r="AG1175" s="68"/>
      <c r="AH1175" s="68"/>
      <c r="AI1175" s="68"/>
      <c r="AJ1175" s="68"/>
      <c r="AK1175" s="68"/>
      <c r="AL1175" s="68"/>
      <c r="AM1175" s="68"/>
      <c r="AN1175" s="68"/>
      <c r="AO1175" s="68"/>
      <c r="AP1175" s="68"/>
      <c r="AQ1175" s="68"/>
      <c r="AR1175" s="68"/>
      <c r="AS1175" s="68"/>
      <c r="AT1175" s="68"/>
      <c r="AU1175" s="68"/>
      <c r="AV1175" s="68"/>
      <c r="AW1175" s="68"/>
      <c r="AX1175" s="68"/>
      <c r="AY1175" s="68"/>
      <c r="AZ1175" s="68"/>
      <c r="BA1175" s="68"/>
      <c r="BB1175" s="68"/>
      <c r="BC1175" s="68"/>
      <c r="BD1175" s="68"/>
      <c r="BE1175" s="68"/>
      <c r="BF1175" s="68"/>
      <c r="BG1175" s="68"/>
      <c r="BH1175" s="68"/>
      <c r="BI1175" s="68"/>
      <c r="BJ1175" s="68"/>
      <c r="BK1175" s="68"/>
      <c r="BL1175" s="68"/>
      <c r="BM1175" s="68"/>
      <c r="BN1175" s="68"/>
      <c r="BO1175" s="68"/>
      <c r="BP1175" s="68"/>
      <c r="BQ1175" s="68"/>
      <c r="BR1175" s="68"/>
      <c r="BS1175" s="68"/>
      <c r="BT1175" s="68"/>
      <c r="BU1175" s="68"/>
      <c r="BV1175" s="68"/>
      <c r="BW1175" s="68"/>
      <c r="BX1175" s="68"/>
      <c r="BY1175" s="68"/>
      <c r="BZ1175" s="68"/>
      <c r="CA1175" s="68"/>
      <c r="CB1175" s="68"/>
      <c r="CC1175" s="68"/>
      <c r="CD1175" s="68"/>
      <c r="CE1175" s="68"/>
      <c r="CF1175" s="68"/>
      <c r="CG1175" s="68"/>
      <c r="CH1175" s="68"/>
      <c r="CI1175" s="68"/>
      <c r="CJ1175" s="68"/>
      <c r="CK1175" s="68"/>
      <c r="CL1175" s="68"/>
      <c r="CM1175" s="68"/>
      <c r="CN1175" s="68"/>
      <c r="CO1175" s="68"/>
      <c r="CP1175" s="68"/>
      <c r="CQ1175" s="68"/>
      <c r="CR1175" s="68"/>
      <c r="CS1175" s="68"/>
      <c r="CT1175" s="68"/>
      <c r="CU1175" s="68"/>
      <c r="CV1175" s="68"/>
      <c r="CW1175" s="68"/>
      <c r="CX1175" s="68"/>
    </row>
    <row r="1176" spans="4:102" s="71" customFormat="1" hidden="1">
      <c r="D1176" s="69"/>
      <c r="E1176" s="68"/>
      <c r="F1176" s="68"/>
      <c r="G1176" s="68"/>
      <c r="H1176" s="68"/>
      <c r="I1176" s="68"/>
      <c r="J1176" s="68"/>
      <c r="K1176" s="73"/>
      <c r="L1176" s="68"/>
      <c r="M1176" s="68"/>
      <c r="N1176" s="68"/>
      <c r="O1176" s="68"/>
      <c r="P1176" s="65"/>
      <c r="Q1176" s="103"/>
      <c r="R1176" s="103"/>
      <c r="S1176" s="103"/>
      <c r="T1176" s="103"/>
      <c r="U1176" s="68"/>
      <c r="V1176" s="69"/>
      <c r="W1176" s="68"/>
      <c r="X1176" s="68"/>
      <c r="Y1176" s="68"/>
      <c r="Z1176" s="68"/>
      <c r="AA1176" s="68"/>
      <c r="AB1176" s="68"/>
      <c r="AC1176" s="68"/>
      <c r="AD1176" s="68"/>
      <c r="AE1176" s="68"/>
      <c r="AF1176" s="68"/>
      <c r="AG1176" s="68"/>
      <c r="AH1176" s="68"/>
      <c r="AI1176" s="68"/>
      <c r="AJ1176" s="68"/>
      <c r="AK1176" s="68"/>
      <c r="AL1176" s="68"/>
      <c r="AM1176" s="68"/>
      <c r="AN1176" s="68"/>
      <c r="AO1176" s="68"/>
      <c r="AP1176" s="68"/>
      <c r="AQ1176" s="68"/>
      <c r="AR1176" s="68"/>
      <c r="AS1176" s="68"/>
      <c r="AT1176" s="68"/>
      <c r="AU1176" s="68"/>
      <c r="AV1176" s="68"/>
      <c r="AW1176" s="68"/>
      <c r="AX1176" s="68"/>
      <c r="AY1176" s="68"/>
      <c r="AZ1176" s="68"/>
      <c r="BA1176" s="68"/>
      <c r="BB1176" s="68"/>
      <c r="BC1176" s="68"/>
      <c r="BD1176" s="68"/>
      <c r="BE1176" s="68"/>
      <c r="BF1176" s="68"/>
      <c r="BG1176" s="68"/>
      <c r="BH1176" s="68"/>
      <c r="BI1176" s="68"/>
      <c r="BJ1176" s="68"/>
      <c r="BK1176" s="68"/>
      <c r="BL1176" s="68"/>
      <c r="BM1176" s="68"/>
      <c r="BN1176" s="68"/>
      <c r="BO1176" s="68"/>
      <c r="BP1176" s="68"/>
      <c r="BQ1176" s="68"/>
      <c r="BR1176" s="68"/>
      <c r="BS1176" s="68"/>
      <c r="BT1176" s="68"/>
      <c r="BU1176" s="68"/>
      <c r="BV1176" s="68"/>
      <c r="BW1176" s="68"/>
      <c r="BX1176" s="68"/>
      <c r="BY1176" s="68"/>
      <c r="BZ1176" s="68"/>
      <c r="CA1176" s="68"/>
      <c r="CB1176" s="68"/>
      <c r="CC1176" s="68"/>
      <c r="CD1176" s="68"/>
      <c r="CE1176" s="68"/>
      <c r="CF1176" s="68"/>
      <c r="CG1176" s="68"/>
      <c r="CH1176" s="68"/>
      <c r="CI1176" s="68"/>
      <c r="CJ1176" s="68"/>
      <c r="CK1176" s="68"/>
      <c r="CL1176" s="68"/>
      <c r="CM1176" s="68"/>
      <c r="CN1176" s="68"/>
      <c r="CO1176" s="68"/>
      <c r="CP1176" s="68"/>
      <c r="CQ1176" s="68"/>
      <c r="CR1176" s="68"/>
      <c r="CS1176" s="68"/>
      <c r="CT1176" s="68"/>
      <c r="CU1176" s="68"/>
      <c r="CV1176" s="68"/>
      <c r="CW1176" s="68"/>
      <c r="CX1176" s="68"/>
    </row>
    <row r="1177" spans="4:102" s="71" customFormat="1" hidden="1">
      <c r="D1177" s="69"/>
      <c r="E1177" s="68"/>
      <c r="F1177" s="68"/>
      <c r="G1177" s="68"/>
      <c r="H1177" s="68"/>
      <c r="I1177" s="68"/>
      <c r="J1177" s="68"/>
      <c r="K1177" s="73"/>
      <c r="L1177" s="68"/>
      <c r="M1177" s="68"/>
      <c r="N1177" s="68"/>
      <c r="O1177" s="68"/>
      <c r="P1177" s="65"/>
      <c r="Q1177" s="103"/>
      <c r="R1177" s="103"/>
      <c r="S1177" s="103"/>
      <c r="T1177" s="103"/>
      <c r="U1177" s="68"/>
      <c r="V1177" s="69"/>
      <c r="W1177" s="68"/>
      <c r="X1177" s="68"/>
      <c r="Y1177" s="68"/>
      <c r="Z1177" s="68"/>
      <c r="AA1177" s="68"/>
      <c r="AB1177" s="68"/>
      <c r="AC1177" s="68"/>
      <c r="AD1177" s="68"/>
      <c r="AE1177" s="68"/>
      <c r="AF1177" s="68"/>
      <c r="AG1177" s="68"/>
      <c r="AH1177" s="68"/>
      <c r="AI1177" s="68"/>
      <c r="AJ1177" s="68"/>
      <c r="AK1177" s="68"/>
      <c r="AL1177" s="68"/>
      <c r="AM1177" s="68"/>
      <c r="AN1177" s="68"/>
      <c r="AO1177" s="68"/>
      <c r="AP1177" s="68"/>
      <c r="AQ1177" s="68"/>
      <c r="AR1177" s="68"/>
      <c r="AS1177" s="68"/>
      <c r="AT1177" s="68"/>
      <c r="AU1177" s="68"/>
      <c r="AV1177" s="68"/>
      <c r="AW1177" s="68"/>
      <c r="AX1177" s="68"/>
      <c r="AY1177" s="68"/>
      <c r="AZ1177" s="68"/>
      <c r="BA1177" s="68"/>
      <c r="BB1177" s="68"/>
      <c r="BC1177" s="68"/>
      <c r="BD1177" s="68"/>
      <c r="BE1177" s="68"/>
      <c r="BF1177" s="68"/>
      <c r="BG1177" s="68"/>
      <c r="BH1177" s="68"/>
      <c r="BI1177" s="68"/>
      <c r="BJ1177" s="68"/>
      <c r="BK1177" s="68"/>
      <c r="BL1177" s="68"/>
      <c r="BM1177" s="68"/>
      <c r="BN1177" s="68"/>
      <c r="BO1177" s="68"/>
      <c r="BP1177" s="68"/>
      <c r="BQ1177" s="68"/>
      <c r="BR1177" s="68"/>
      <c r="BS1177" s="68"/>
      <c r="BT1177" s="68"/>
      <c r="BU1177" s="68"/>
      <c r="BV1177" s="68"/>
      <c r="BW1177" s="68"/>
      <c r="BX1177" s="68"/>
      <c r="BY1177" s="68"/>
      <c r="BZ1177" s="68"/>
      <c r="CA1177" s="68"/>
      <c r="CB1177" s="68"/>
      <c r="CC1177" s="68"/>
      <c r="CD1177" s="68"/>
      <c r="CE1177" s="68"/>
      <c r="CF1177" s="68"/>
      <c r="CG1177" s="68"/>
      <c r="CH1177" s="68"/>
      <c r="CI1177" s="68"/>
      <c r="CJ1177" s="68"/>
      <c r="CK1177" s="68"/>
      <c r="CL1177" s="68"/>
      <c r="CM1177" s="68"/>
      <c r="CN1177" s="68"/>
      <c r="CO1177" s="68"/>
      <c r="CP1177" s="68"/>
      <c r="CQ1177" s="68"/>
      <c r="CR1177" s="68"/>
      <c r="CS1177" s="68"/>
      <c r="CT1177" s="68"/>
      <c r="CU1177" s="68"/>
      <c r="CV1177" s="68"/>
      <c r="CW1177" s="68"/>
      <c r="CX1177" s="68"/>
    </row>
    <row r="1178" spans="4:102" s="71" customFormat="1" hidden="1">
      <c r="D1178" s="69"/>
      <c r="E1178" s="68"/>
      <c r="F1178" s="68"/>
      <c r="G1178" s="68"/>
      <c r="H1178" s="68"/>
      <c r="I1178" s="68"/>
      <c r="J1178" s="68"/>
      <c r="K1178" s="73"/>
      <c r="L1178" s="68"/>
      <c r="M1178" s="68"/>
      <c r="N1178" s="68"/>
      <c r="O1178" s="68"/>
      <c r="P1178" s="65"/>
      <c r="Q1178" s="103"/>
      <c r="R1178" s="103"/>
      <c r="S1178" s="103"/>
      <c r="T1178" s="103"/>
      <c r="U1178" s="68"/>
      <c r="V1178" s="69"/>
      <c r="W1178" s="68"/>
      <c r="X1178" s="68"/>
      <c r="Y1178" s="68"/>
      <c r="Z1178" s="68"/>
      <c r="AA1178" s="68"/>
      <c r="AB1178" s="68"/>
      <c r="AC1178" s="68"/>
      <c r="AD1178" s="68"/>
      <c r="AE1178" s="68"/>
      <c r="AF1178" s="68"/>
      <c r="AG1178" s="68"/>
      <c r="AH1178" s="68"/>
      <c r="AI1178" s="68"/>
      <c r="AJ1178" s="68"/>
      <c r="AK1178" s="68"/>
      <c r="AL1178" s="68"/>
      <c r="AM1178" s="68"/>
      <c r="AN1178" s="68"/>
      <c r="AO1178" s="68"/>
      <c r="AP1178" s="68"/>
      <c r="AQ1178" s="68"/>
      <c r="AR1178" s="68"/>
      <c r="AS1178" s="68"/>
      <c r="AT1178" s="68"/>
      <c r="AU1178" s="68"/>
      <c r="AV1178" s="68"/>
      <c r="AW1178" s="68"/>
      <c r="AX1178" s="68"/>
      <c r="AY1178" s="68"/>
      <c r="AZ1178" s="68"/>
      <c r="BA1178" s="68"/>
      <c r="BB1178" s="68"/>
      <c r="BC1178" s="68"/>
      <c r="BD1178" s="68"/>
      <c r="BE1178" s="68"/>
      <c r="BF1178" s="68"/>
      <c r="BG1178" s="68"/>
      <c r="BH1178" s="68"/>
      <c r="BI1178" s="68"/>
      <c r="BJ1178" s="68"/>
      <c r="BK1178" s="68"/>
      <c r="BL1178" s="68"/>
      <c r="BM1178" s="68"/>
      <c r="BN1178" s="68"/>
      <c r="BO1178" s="68"/>
      <c r="BP1178" s="68"/>
      <c r="BQ1178" s="68"/>
      <c r="BR1178" s="68"/>
      <c r="BS1178" s="68"/>
      <c r="BT1178" s="68"/>
      <c r="BU1178" s="68"/>
      <c r="BV1178" s="68"/>
      <c r="BW1178" s="68"/>
      <c r="BX1178" s="68"/>
      <c r="BY1178" s="68"/>
      <c r="BZ1178" s="68"/>
      <c r="CA1178" s="68"/>
      <c r="CB1178" s="68"/>
      <c r="CC1178" s="68"/>
      <c r="CD1178" s="68"/>
      <c r="CE1178" s="68"/>
      <c r="CF1178" s="68"/>
      <c r="CG1178" s="68"/>
      <c r="CH1178" s="68"/>
      <c r="CI1178" s="68"/>
      <c r="CJ1178" s="68"/>
      <c r="CK1178" s="68"/>
      <c r="CL1178" s="68"/>
      <c r="CM1178" s="68"/>
      <c r="CN1178" s="68"/>
      <c r="CO1178" s="68"/>
      <c r="CP1178" s="68"/>
      <c r="CQ1178" s="68"/>
      <c r="CR1178" s="68"/>
      <c r="CS1178" s="68"/>
      <c r="CT1178" s="68"/>
      <c r="CU1178" s="68"/>
      <c r="CV1178" s="68"/>
      <c r="CW1178" s="68"/>
      <c r="CX1178" s="68"/>
    </row>
    <row r="1179" spans="4:102" s="71" customFormat="1" hidden="1">
      <c r="D1179" s="69"/>
      <c r="E1179" s="68"/>
      <c r="F1179" s="68"/>
      <c r="G1179" s="68"/>
      <c r="H1179" s="68"/>
      <c r="I1179" s="68"/>
      <c r="J1179" s="68"/>
      <c r="K1179" s="73"/>
      <c r="L1179" s="68"/>
      <c r="M1179" s="68"/>
      <c r="N1179" s="68"/>
      <c r="O1179" s="68"/>
      <c r="P1179" s="65"/>
      <c r="Q1179" s="103"/>
      <c r="R1179" s="103"/>
      <c r="S1179" s="103"/>
      <c r="T1179" s="103"/>
      <c r="U1179" s="68"/>
      <c r="V1179" s="69"/>
      <c r="W1179" s="68"/>
      <c r="X1179" s="68"/>
      <c r="Y1179" s="68"/>
      <c r="Z1179" s="68"/>
      <c r="AA1179" s="68"/>
      <c r="AB1179" s="68"/>
      <c r="AC1179" s="68"/>
      <c r="AD1179" s="68"/>
      <c r="AE1179" s="68"/>
      <c r="AF1179" s="68"/>
      <c r="AG1179" s="68"/>
      <c r="AH1179" s="68"/>
      <c r="AI1179" s="68"/>
      <c r="AJ1179" s="68"/>
      <c r="AK1179" s="68"/>
      <c r="AL1179" s="68"/>
      <c r="AM1179" s="68"/>
      <c r="AN1179" s="68"/>
      <c r="AO1179" s="68"/>
      <c r="AP1179" s="68"/>
      <c r="AQ1179" s="68"/>
      <c r="AR1179" s="68"/>
      <c r="AS1179" s="68"/>
      <c r="AT1179" s="68"/>
      <c r="AU1179" s="68"/>
      <c r="AV1179" s="68"/>
      <c r="AW1179" s="68"/>
      <c r="AX1179" s="68"/>
      <c r="AY1179" s="68"/>
      <c r="AZ1179" s="68"/>
      <c r="BA1179" s="68"/>
      <c r="BB1179" s="68"/>
      <c r="BC1179" s="68"/>
      <c r="BD1179" s="68"/>
      <c r="BE1179" s="68"/>
      <c r="BF1179" s="68"/>
      <c r="BG1179" s="68"/>
      <c r="BH1179" s="68"/>
      <c r="BI1179" s="68"/>
      <c r="BJ1179" s="68"/>
      <c r="BK1179" s="68"/>
      <c r="BL1179" s="68"/>
      <c r="BM1179" s="68"/>
      <c r="BN1179" s="68"/>
      <c r="BO1179" s="68"/>
      <c r="BP1179" s="68"/>
      <c r="BQ1179" s="68"/>
      <c r="BR1179" s="68"/>
      <c r="BS1179" s="68"/>
      <c r="BT1179" s="68"/>
      <c r="BU1179" s="68"/>
      <c r="BV1179" s="68"/>
      <c r="BW1179" s="68"/>
      <c r="BX1179" s="68"/>
      <c r="BY1179" s="68"/>
      <c r="BZ1179" s="68"/>
      <c r="CA1179" s="68"/>
      <c r="CB1179" s="68"/>
      <c r="CC1179" s="68"/>
      <c r="CD1179" s="68"/>
      <c r="CE1179" s="68"/>
      <c r="CF1179" s="68"/>
      <c r="CG1179" s="68"/>
      <c r="CH1179" s="68"/>
      <c r="CI1179" s="68"/>
      <c r="CJ1179" s="68"/>
      <c r="CK1179" s="68"/>
      <c r="CL1179" s="68"/>
      <c r="CM1179" s="68"/>
      <c r="CN1179" s="68"/>
      <c r="CO1179" s="68"/>
      <c r="CP1179" s="68"/>
      <c r="CQ1179" s="68"/>
      <c r="CR1179" s="68"/>
      <c r="CS1179" s="68"/>
      <c r="CT1179" s="68"/>
      <c r="CU1179" s="68"/>
      <c r="CV1179" s="68"/>
      <c r="CW1179" s="68"/>
      <c r="CX1179" s="68"/>
    </row>
    <row r="1180" spans="4:102" s="71" customFormat="1" hidden="1">
      <c r="D1180" s="69"/>
      <c r="E1180" s="68"/>
      <c r="F1180" s="68"/>
      <c r="G1180" s="68"/>
      <c r="H1180" s="68"/>
      <c r="I1180" s="68"/>
      <c r="J1180" s="68"/>
      <c r="K1180" s="73"/>
      <c r="L1180" s="68"/>
      <c r="M1180" s="68"/>
      <c r="N1180" s="68"/>
      <c r="O1180" s="68"/>
      <c r="P1180" s="65"/>
      <c r="Q1180" s="103"/>
      <c r="R1180" s="103"/>
      <c r="S1180" s="103"/>
      <c r="T1180" s="103"/>
      <c r="U1180" s="68"/>
      <c r="V1180" s="69"/>
      <c r="W1180" s="68"/>
      <c r="X1180" s="68"/>
      <c r="Y1180" s="68"/>
      <c r="Z1180" s="68"/>
      <c r="AA1180" s="68"/>
      <c r="AB1180" s="68"/>
      <c r="AC1180" s="68"/>
      <c r="AD1180" s="68"/>
      <c r="AE1180" s="68"/>
      <c r="AF1180" s="68"/>
      <c r="AG1180" s="68"/>
      <c r="AH1180" s="68"/>
      <c r="AI1180" s="68"/>
      <c r="AJ1180" s="68"/>
      <c r="AK1180" s="68"/>
      <c r="AL1180" s="68"/>
      <c r="AM1180" s="68"/>
      <c r="AN1180" s="68"/>
      <c r="AO1180" s="68"/>
      <c r="AP1180" s="68"/>
      <c r="AQ1180" s="68"/>
      <c r="AR1180" s="68"/>
      <c r="AS1180" s="68"/>
      <c r="AT1180" s="68"/>
      <c r="AU1180" s="68"/>
      <c r="AV1180" s="68"/>
      <c r="AW1180" s="68"/>
      <c r="AX1180" s="68"/>
      <c r="AY1180" s="68"/>
      <c r="AZ1180" s="68"/>
      <c r="BA1180" s="68"/>
      <c r="BB1180" s="68"/>
      <c r="BC1180" s="68"/>
      <c r="BD1180" s="68"/>
      <c r="BE1180" s="68"/>
      <c r="BF1180" s="68"/>
      <c r="BG1180" s="68"/>
      <c r="BH1180" s="68"/>
      <c r="BI1180" s="68"/>
      <c r="BJ1180" s="68"/>
      <c r="BK1180" s="68"/>
      <c r="BL1180" s="68"/>
      <c r="BM1180" s="68"/>
      <c r="BN1180" s="68"/>
      <c r="BO1180" s="68"/>
      <c r="BP1180" s="68"/>
      <c r="BQ1180" s="68"/>
      <c r="BR1180" s="68"/>
      <c r="BS1180" s="68"/>
      <c r="BT1180" s="68"/>
      <c r="BU1180" s="68"/>
      <c r="BV1180" s="68"/>
      <c r="BW1180" s="68"/>
      <c r="BX1180" s="68"/>
      <c r="BY1180" s="68"/>
      <c r="BZ1180" s="68"/>
      <c r="CA1180" s="68"/>
      <c r="CB1180" s="68"/>
      <c r="CC1180" s="68"/>
      <c r="CD1180" s="68"/>
      <c r="CE1180" s="68"/>
      <c r="CF1180" s="68"/>
      <c r="CG1180" s="68"/>
      <c r="CH1180" s="68"/>
      <c r="CI1180" s="68"/>
      <c r="CJ1180" s="68"/>
      <c r="CK1180" s="68"/>
      <c r="CL1180" s="68"/>
      <c r="CM1180" s="68"/>
      <c r="CN1180" s="68"/>
      <c r="CO1180" s="68"/>
      <c r="CP1180" s="68"/>
      <c r="CQ1180" s="68"/>
      <c r="CR1180" s="68"/>
      <c r="CS1180" s="68"/>
      <c r="CT1180" s="68"/>
      <c r="CU1180" s="68"/>
      <c r="CV1180" s="68"/>
      <c r="CW1180" s="68"/>
      <c r="CX1180" s="68"/>
    </row>
    <row r="1181" spans="4:102" s="71" customFormat="1" hidden="1">
      <c r="D1181" s="69"/>
      <c r="E1181" s="68"/>
      <c r="F1181" s="68"/>
      <c r="G1181" s="68"/>
      <c r="H1181" s="68"/>
      <c r="I1181" s="68"/>
      <c r="J1181" s="68"/>
      <c r="K1181" s="73"/>
      <c r="L1181" s="68"/>
      <c r="M1181" s="68"/>
      <c r="N1181" s="68"/>
      <c r="O1181" s="68"/>
      <c r="P1181" s="65"/>
      <c r="Q1181" s="103"/>
      <c r="R1181" s="103"/>
      <c r="S1181" s="103"/>
      <c r="T1181" s="103"/>
      <c r="U1181" s="68"/>
      <c r="V1181" s="69"/>
      <c r="W1181" s="68"/>
      <c r="X1181" s="68"/>
      <c r="Y1181" s="68"/>
      <c r="Z1181" s="68"/>
      <c r="AA1181" s="68"/>
      <c r="AB1181" s="68"/>
      <c r="AC1181" s="68"/>
      <c r="AD1181" s="68"/>
      <c r="AE1181" s="68"/>
      <c r="AF1181" s="68"/>
      <c r="AG1181" s="68"/>
      <c r="AH1181" s="68"/>
      <c r="AI1181" s="68"/>
      <c r="AJ1181" s="68"/>
      <c r="AK1181" s="68"/>
      <c r="AL1181" s="68"/>
      <c r="AM1181" s="68"/>
      <c r="AN1181" s="68"/>
      <c r="AO1181" s="68"/>
      <c r="AP1181" s="68"/>
      <c r="AQ1181" s="68"/>
      <c r="AR1181" s="68"/>
      <c r="AS1181" s="68"/>
      <c r="AT1181" s="68"/>
      <c r="AU1181" s="68"/>
      <c r="AV1181" s="68"/>
      <c r="AW1181" s="68"/>
      <c r="AX1181" s="68"/>
      <c r="AY1181" s="68"/>
      <c r="AZ1181" s="68"/>
      <c r="BA1181" s="68"/>
      <c r="BB1181" s="68"/>
      <c r="BC1181" s="68"/>
      <c r="BD1181" s="68"/>
      <c r="BE1181" s="68"/>
      <c r="BF1181" s="68"/>
      <c r="BG1181" s="68"/>
      <c r="BH1181" s="68"/>
      <c r="BI1181" s="68"/>
      <c r="BJ1181" s="68"/>
      <c r="BK1181" s="68"/>
      <c r="BL1181" s="68"/>
      <c r="BM1181" s="68"/>
      <c r="BN1181" s="68"/>
      <c r="BO1181" s="68"/>
      <c r="BP1181" s="68"/>
      <c r="BQ1181" s="68"/>
      <c r="BR1181" s="68"/>
      <c r="BS1181" s="68"/>
      <c r="BT1181" s="68"/>
      <c r="BU1181" s="68"/>
      <c r="BV1181" s="68"/>
      <c r="BW1181" s="68"/>
      <c r="BX1181" s="68"/>
      <c r="BY1181" s="68"/>
      <c r="BZ1181" s="68"/>
      <c r="CA1181" s="68"/>
      <c r="CB1181" s="68"/>
      <c r="CC1181" s="68"/>
      <c r="CD1181" s="68"/>
      <c r="CE1181" s="68"/>
      <c r="CF1181" s="68"/>
      <c r="CG1181" s="68"/>
      <c r="CH1181" s="68"/>
      <c r="CI1181" s="68"/>
      <c r="CJ1181" s="68"/>
      <c r="CK1181" s="68"/>
      <c r="CL1181" s="68"/>
      <c r="CM1181" s="68"/>
      <c r="CN1181" s="68"/>
      <c r="CO1181" s="68"/>
      <c r="CP1181" s="68"/>
      <c r="CQ1181" s="68"/>
      <c r="CR1181" s="68"/>
      <c r="CS1181" s="68"/>
      <c r="CT1181" s="68"/>
      <c r="CU1181" s="68"/>
      <c r="CV1181" s="68"/>
      <c r="CW1181" s="68"/>
      <c r="CX1181" s="68"/>
    </row>
    <row r="1182" spans="4:102" s="71" customFormat="1" hidden="1">
      <c r="D1182" s="69"/>
      <c r="E1182" s="68"/>
      <c r="F1182" s="68"/>
      <c r="G1182" s="68"/>
      <c r="H1182" s="68"/>
      <c r="I1182" s="68"/>
      <c r="J1182" s="68"/>
      <c r="K1182" s="73"/>
      <c r="L1182" s="68"/>
      <c r="M1182" s="68"/>
      <c r="N1182" s="68"/>
      <c r="O1182" s="68"/>
      <c r="P1182" s="65"/>
      <c r="Q1182" s="103"/>
      <c r="R1182" s="103"/>
      <c r="S1182" s="103"/>
      <c r="T1182" s="103"/>
      <c r="U1182" s="68"/>
      <c r="V1182" s="69"/>
      <c r="W1182" s="68"/>
      <c r="X1182" s="68"/>
      <c r="Y1182" s="68"/>
      <c r="Z1182" s="68"/>
      <c r="AA1182" s="68"/>
      <c r="AB1182" s="68"/>
      <c r="AC1182" s="68"/>
      <c r="AD1182" s="68"/>
      <c r="AE1182" s="68"/>
      <c r="AF1182" s="68"/>
      <c r="AG1182" s="68"/>
      <c r="AH1182" s="68"/>
      <c r="AI1182" s="68"/>
      <c r="AJ1182" s="68"/>
      <c r="AK1182" s="68"/>
      <c r="AL1182" s="68"/>
      <c r="AM1182" s="68"/>
      <c r="AN1182" s="68"/>
      <c r="AO1182" s="68"/>
      <c r="AP1182" s="68"/>
      <c r="AQ1182" s="68"/>
      <c r="AR1182" s="68"/>
      <c r="AS1182" s="68"/>
      <c r="AT1182" s="68"/>
      <c r="AU1182" s="68"/>
      <c r="AV1182" s="68"/>
      <c r="AW1182" s="68"/>
      <c r="AX1182" s="68"/>
      <c r="AY1182" s="68"/>
      <c r="AZ1182" s="68"/>
      <c r="BA1182" s="68"/>
      <c r="BB1182" s="68"/>
      <c r="BC1182" s="68"/>
      <c r="BD1182" s="68"/>
      <c r="BE1182" s="68"/>
      <c r="BF1182" s="68"/>
      <c r="BG1182" s="68"/>
      <c r="BH1182" s="68"/>
      <c r="BI1182" s="68"/>
      <c r="BJ1182" s="68"/>
      <c r="BK1182" s="68"/>
      <c r="BL1182" s="68"/>
      <c r="BM1182" s="68"/>
      <c r="BN1182" s="68"/>
      <c r="BO1182" s="68"/>
      <c r="BP1182" s="68"/>
      <c r="BQ1182" s="68"/>
      <c r="BR1182" s="68"/>
      <c r="BS1182" s="68"/>
      <c r="BT1182" s="68"/>
      <c r="BU1182" s="68"/>
      <c r="BV1182" s="68"/>
      <c r="BW1182" s="68"/>
      <c r="BX1182" s="68"/>
      <c r="BY1182" s="68"/>
      <c r="BZ1182" s="68"/>
      <c r="CA1182" s="68"/>
      <c r="CB1182" s="68"/>
      <c r="CC1182" s="68"/>
      <c r="CD1182" s="68"/>
      <c r="CE1182" s="68"/>
      <c r="CF1182" s="68"/>
      <c r="CG1182" s="68"/>
      <c r="CH1182" s="68"/>
      <c r="CI1182" s="68"/>
      <c r="CJ1182" s="68"/>
      <c r="CK1182" s="68"/>
      <c r="CL1182" s="68"/>
      <c r="CM1182" s="68"/>
      <c r="CN1182" s="68"/>
      <c r="CO1182" s="68"/>
      <c r="CP1182" s="68"/>
      <c r="CQ1182" s="68"/>
      <c r="CR1182" s="68"/>
      <c r="CS1182" s="68"/>
      <c r="CT1182" s="68"/>
      <c r="CU1182" s="68"/>
      <c r="CV1182" s="68"/>
      <c r="CW1182" s="68"/>
      <c r="CX1182" s="68"/>
    </row>
    <row r="1183" spans="4:102" s="71" customFormat="1" hidden="1">
      <c r="D1183" s="69"/>
      <c r="E1183" s="68"/>
      <c r="F1183" s="68"/>
      <c r="G1183" s="68"/>
      <c r="H1183" s="68"/>
      <c r="I1183" s="68"/>
      <c r="J1183" s="68"/>
      <c r="K1183" s="73"/>
      <c r="L1183" s="68"/>
      <c r="M1183" s="68"/>
      <c r="N1183" s="68"/>
      <c r="O1183" s="68"/>
      <c r="P1183" s="65"/>
      <c r="Q1183" s="103"/>
      <c r="R1183" s="103"/>
      <c r="S1183" s="103"/>
      <c r="T1183" s="103"/>
      <c r="U1183" s="68"/>
      <c r="V1183" s="69"/>
      <c r="W1183" s="68"/>
      <c r="X1183" s="68"/>
      <c r="Y1183" s="68"/>
      <c r="Z1183" s="68"/>
      <c r="AA1183" s="68"/>
      <c r="AB1183" s="68"/>
      <c r="AC1183" s="68"/>
      <c r="AD1183" s="68"/>
      <c r="AE1183" s="68"/>
      <c r="AF1183" s="68"/>
      <c r="AG1183" s="68"/>
      <c r="AH1183" s="68"/>
      <c r="AI1183" s="68"/>
      <c r="AJ1183" s="68"/>
      <c r="AK1183" s="68"/>
      <c r="AL1183" s="68"/>
      <c r="AM1183" s="68"/>
      <c r="AN1183" s="68"/>
      <c r="AO1183" s="68"/>
      <c r="AP1183" s="68"/>
      <c r="AQ1183" s="68"/>
      <c r="AR1183" s="68"/>
      <c r="AS1183" s="68"/>
      <c r="AT1183" s="68"/>
      <c r="AU1183" s="68"/>
      <c r="AV1183" s="68"/>
      <c r="AW1183" s="68"/>
      <c r="AX1183" s="68"/>
      <c r="AY1183" s="68"/>
      <c r="AZ1183" s="68"/>
      <c r="BA1183" s="68"/>
      <c r="BB1183" s="68"/>
      <c r="BC1183" s="68"/>
      <c r="BD1183" s="68"/>
      <c r="BE1183" s="68"/>
      <c r="BF1183" s="68"/>
      <c r="BG1183" s="68"/>
      <c r="BH1183" s="68"/>
      <c r="BI1183" s="68"/>
      <c r="BJ1183" s="68"/>
      <c r="BK1183" s="68"/>
      <c r="BL1183" s="68"/>
      <c r="BM1183" s="68"/>
      <c r="BN1183" s="68"/>
      <c r="BO1183" s="68"/>
      <c r="BP1183" s="68"/>
      <c r="BQ1183" s="68"/>
      <c r="BR1183" s="68"/>
      <c r="BS1183" s="68"/>
      <c r="BT1183" s="68"/>
      <c r="BU1183" s="68"/>
      <c r="BV1183" s="68"/>
      <c r="BW1183" s="68"/>
      <c r="BX1183" s="68"/>
      <c r="BY1183" s="68"/>
      <c r="BZ1183" s="68"/>
      <c r="CA1183" s="68"/>
      <c r="CB1183" s="68"/>
      <c r="CC1183" s="68"/>
      <c r="CD1183" s="68"/>
      <c r="CE1183" s="68"/>
      <c r="CF1183" s="68"/>
      <c r="CG1183" s="68"/>
      <c r="CH1183" s="68"/>
      <c r="CI1183" s="68"/>
      <c r="CJ1183" s="68"/>
      <c r="CK1183" s="68"/>
      <c r="CL1183" s="68"/>
      <c r="CM1183" s="68"/>
      <c r="CN1183" s="68"/>
      <c r="CO1183" s="68"/>
      <c r="CP1183" s="68"/>
      <c r="CQ1183" s="68"/>
      <c r="CR1183" s="68"/>
      <c r="CS1183" s="68"/>
      <c r="CT1183" s="68"/>
      <c r="CU1183" s="68"/>
      <c r="CV1183" s="68"/>
      <c r="CW1183" s="68"/>
      <c r="CX1183" s="68"/>
    </row>
    <row r="1184" spans="4:102" s="71" customFormat="1" hidden="1">
      <c r="D1184" s="69"/>
      <c r="E1184" s="68"/>
      <c r="F1184" s="68"/>
      <c r="G1184" s="68"/>
      <c r="H1184" s="68"/>
      <c r="I1184" s="68"/>
      <c r="J1184" s="68"/>
      <c r="K1184" s="73"/>
      <c r="L1184" s="68"/>
      <c r="M1184" s="68"/>
      <c r="N1184" s="68"/>
      <c r="O1184" s="68"/>
      <c r="P1184" s="65"/>
      <c r="Q1184" s="103"/>
      <c r="R1184" s="103"/>
      <c r="S1184" s="103"/>
      <c r="T1184" s="103"/>
      <c r="U1184" s="68"/>
      <c r="V1184" s="69"/>
      <c r="W1184" s="68"/>
      <c r="X1184" s="68"/>
      <c r="Y1184" s="68"/>
      <c r="Z1184" s="68"/>
      <c r="AA1184" s="68"/>
      <c r="AB1184" s="68"/>
      <c r="AC1184" s="68"/>
      <c r="AD1184" s="68"/>
      <c r="AE1184" s="68"/>
      <c r="AF1184" s="68"/>
      <c r="AG1184" s="68"/>
      <c r="AH1184" s="68"/>
      <c r="AI1184" s="68"/>
      <c r="AJ1184" s="68"/>
      <c r="AK1184" s="68"/>
      <c r="AL1184" s="68"/>
      <c r="AM1184" s="68"/>
      <c r="AN1184" s="68"/>
      <c r="AO1184" s="68"/>
      <c r="AP1184" s="68"/>
      <c r="AQ1184" s="68"/>
      <c r="AR1184" s="68"/>
      <c r="AS1184" s="68"/>
      <c r="AT1184" s="68"/>
      <c r="AU1184" s="68"/>
      <c r="AV1184" s="68"/>
      <c r="AW1184" s="68"/>
      <c r="AX1184" s="68"/>
      <c r="AY1184" s="68"/>
      <c r="AZ1184" s="68"/>
      <c r="BA1184" s="68"/>
      <c r="BB1184" s="68"/>
      <c r="BC1184" s="68"/>
      <c r="BD1184" s="68"/>
      <c r="BE1184" s="68"/>
      <c r="BF1184" s="68"/>
      <c r="BG1184" s="68"/>
      <c r="BH1184" s="68"/>
      <c r="BI1184" s="68"/>
      <c r="BJ1184" s="68"/>
      <c r="BK1184" s="68"/>
      <c r="BL1184" s="68"/>
      <c r="BM1184" s="68"/>
      <c r="BN1184" s="68"/>
      <c r="BO1184" s="68"/>
      <c r="BP1184" s="68"/>
      <c r="BQ1184" s="68"/>
      <c r="BR1184" s="68"/>
      <c r="BS1184" s="68"/>
      <c r="BT1184" s="68"/>
      <c r="BU1184" s="68"/>
      <c r="BV1184" s="68"/>
      <c r="BW1184" s="68"/>
      <c r="BX1184" s="68"/>
      <c r="BY1184" s="68"/>
      <c r="BZ1184" s="68"/>
      <c r="CA1184" s="68"/>
      <c r="CB1184" s="68"/>
      <c r="CC1184" s="68"/>
      <c r="CD1184" s="68"/>
      <c r="CE1184" s="68"/>
      <c r="CF1184" s="68"/>
      <c r="CG1184" s="68"/>
      <c r="CH1184" s="68"/>
      <c r="CI1184" s="68"/>
      <c r="CJ1184" s="68"/>
      <c r="CK1184" s="68"/>
      <c r="CL1184" s="68"/>
      <c r="CM1184" s="68"/>
      <c r="CN1184" s="68"/>
      <c r="CO1184" s="68"/>
      <c r="CP1184" s="68"/>
      <c r="CQ1184" s="68"/>
      <c r="CR1184" s="68"/>
      <c r="CS1184" s="68"/>
      <c r="CT1184" s="68"/>
      <c r="CU1184" s="68"/>
      <c r="CV1184" s="68"/>
      <c r="CW1184" s="68"/>
      <c r="CX1184" s="68"/>
    </row>
    <row r="1185" spans="4:102" s="71" customFormat="1" hidden="1">
      <c r="D1185" s="69"/>
      <c r="E1185" s="68"/>
      <c r="F1185" s="68"/>
      <c r="G1185" s="68"/>
      <c r="H1185" s="68"/>
      <c r="I1185" s="68"/>
      <c r="J1185" s="68"/>
      <c r="K1185" s="73"/>
      <c r="L1185" s="68"/>
      <c r="M1185" s="68"/>
      <c r="N1185" s="68"/>
      <c r="O1185" s="68"/>
      <c r="P1185" s="65"/>
      <c r="Q1185" s="103"/>
      <c r="R1185" s="103"/>
      <c r="S1185" s="103"/>
      <c r="T1185" s="103"/>
      <c r="U1185" s="68"/>
      <c r="V1185" s="69"/>
      <c r="W1185" s="68"/>
      <c r="X1185" s="68"/>
      <c r="Y1185" s="68"/>
      <c r="Z1185" s="68"/>
      <c r="AA1185" s="68"/>
      <c r="AB1185" s="68"/>
      <c r="AC1185" s="68"/>
      <c r="AD1185" s="68"/>
      <c r="AE1185" s="68"/>
      <c r="AF1185" s="68"/>
      <c r="AG1185" s="68"/>
      <c r="AH1185" s="68"/>
      <c r="AI1185" s="68"/>
      <c r="AJ1185" s="68"/>
      <c r="AK1185" s="68"/>
      <c r="AL1185" s="68"/>
      <c r="AM1185" s="68"/>
      <c r="AN1185" s="68"/>
      <c r="AO1185" s="68"/>
      <c r="AP1185" s="68"/>
      <c r="AQ1185" s="68"/>
      <c r="AR1185" s="68"/>
      <c r="AS1185" s="68"/>
      <c r="AT1185" s="68"/>
      <c r="AU1185" s="68"/>
      <c r="AV1185" s="68"/>
      <c r="AW1185" s="68"/>
      <c r="AX1185" s="68"/>
      <c r="AY1185" s="68"/>
      <c r="AZ1185" s="68"/>
      <c r="BA1185" s="68"/>
      <c r="BB1185" s="68"/>
      <c r="BC1185" s="68"/>
      <c r="BD1185" s="68"/>
      <c r="BE1185" s="68"/>
      <c r="BF1185" s="68"/>
      <c r="BG1185" s="68"/>
      <c r="BH1185" s="68"/>
      <c r="BI1185" s="68"/>
      <c r="BJ1185" s="68"/>
      <c r="BK1185" s="68"/>
      <c r="BL1185" s="68"/>
      <c r="BM1185" s="68"/>
      <c r="BN1185" s="68"/>
      <c r="BO1185" s="68"/>
      <c r="BP1185" s="68"/>
      <c r="BQ1185" s="68"/>
      <c r="BR1185" s="68"/>
      <c r="BS1185" s="68"/>
      <c r="BT1185" s="68"/>
      <c r="BU1185" s="68"/>
      <c r="BV1185" s="68"/>
      <c r="BW1185" s="68"/>
      <c r="BX1185" s="68"/>
      <c r="BY1185" s="68"/>
      <c r="BZ1185" s="68"/>
      <c r="CA1185" s="68"/>
      <c r="CB1185" s="68"/>
      <c r="CC1185" s="68"/>
      <c r="CD1185" s="68"/>
      <c r="CE1185" s="68"/>
      <c r="CF1185" s="68"/>
      <c r="CG1185" s="68"/>
      <c r="CH1185" s="68"/>
      <c r="CI1185" s="68"/>
      <c r="CJ1185" s="68"/>
      <c r="CK1185" s="68"/>
      <c r="CL1185" s="68"/>
      <c r="CM1185" s="68"/>
      <c r="CN1185" s="68"/>
      <c r="CO1185" s="68"/>
      <c r="CP1185" s="68"/>
      <c r="CQ1185" s="68"/>
      <c r="CR1185" s="68"/>
      <c r="CS1185" s="68"/>
      <c r="CT1185" s="68"/>
      <c r="CU1185" s="68"/>
      <c r="CV1185" s="68"/>
      <c r="CW1185" s="68"/>
      <c r="CX1185" s="68"/>
    </row>
    <row r="1186" spans="4:102" s="71" customFormat="1" hidden="1">
      <c r="D1186" s="69"/>
      <c r="E1186" s="68"/>
      <c r="F1186" s="68"/>
      <c r="G1186" s="68"/>
      <c r="H1186" s="68"/>
      <c r="I1186" s="68"/>
      <c r="J1186" s="68"/>
      <c r="K1186" s="73"/>
      <c r="L1186" s="68"/>
      <c r="M1186" s="68"/>
      <c r="N1186" s="68"/>
      <c r="O1186" s="68"/>
      <c r="P1186" s="65"/>
      <c r="Q1186" s="103"/>
      <c r="R1186" s="103"/>
      <c r="S1186" s="103"/>
      <c r="T1186" s="103"/>
      <c r="U1186" s="68"/>
      <c r="V1186" s="69"/>
      <c r="W1186" s="68"/>
      <c r="X1186" s="68"/>
      <c r="Y1186" s="68"/>
      <c r="Z1186" s="68"/>
      <c r="AA1186" s="68"/>
      <c r="AB1186" s="68"/>
      <c r="AC1186" s="68"/>
      <c r="AD1186" s="68"/>
      <c r="AE1186" s="68"/>
      <c r="AF1186" s="68"/>
      <c r="AG1186" s="68"/>
      <c r="AH1186" s="68"/>
      <c r="AI1186" s="68"/>
      <c r="AJ1186" s="68"/>
      <c r="AK1186" s="68"/>
      <c r="AL1186" s="68"/>
      <c r="AM1186" s="68"/>
      <c r="AN1186" s="68"/>
      <c r="AO1186" s="68"/>
      <c r="AP1186" s="68"/>
      <c r="AQ1186" s="68"/>
      <c r="AR1186" s="68"/>
      <c r="AS1186" s="68"/>
      <c r="AT1186" s="68"/>
      <c r="AU1186" s="68"/>
      <c r="AV1186" s="68"/>
      <c r="AW1186" s="68"/>
      <c r="AX1186" s="68"/>
      <c r="AY1186" s="68"/>
      <c r="AZ1186" s="68"/>
      <c r="BA1186" s="68"/>
      <c r="BB1186" s="68"/>
      <c r="BC1186" s="68"/>
      <c r="BD1186" s="68"/>
      <c r="BE1186" s="68"/>
      <c r="BF1186" s="68"/>
      <c r="BG1186" s="68"/>
      <c r="BH1186" s="68"/>
      <c r="BI1186" s="68"/>
      <c r="BJ1186" s="68"/>
      <c r="BK1186" s="68"/>
      <c r="BL1186" s="68"/>
      <c r="BM1186" s="68"/>
      <c r="BN1186" s="68"/>
      <c r="BO1186" s="68"/>
      <c r="BP1186" s="68"/>
      <c r="BQ1186" s="68"/>
      <c r="BR1186" s="68"/>
      <c r="BS1186" s="68"/>
      <c r="BT1186" s="68"/>
      <c r="BU1186" s="68"/>
      <c r="BV1186" s="68"/>
      <c r="BW1186" s="68"/>
      <c r="BX1186" s="68"/>
      <c r="BY1186" s="68"/>
      <c r="BZ1186" s="68"/>
      <c r="CA1186" s="68"/>
      <c r="CB1186" s="68"/>
      <c r="CC1186" s="68"/>
      <c r="CD1186" s="68"/>
      <c r="CE1186" s="68"/>
      <c r="CF1186" s="68"/>
      <c r="CG1186" s="68"/>
      <c r="CH1186" s="68"/>
      <c r="CI1186" s="68"/>
      <c r="CJ1186" s="68"/>
      <c r="CK1186" s="68"/>
      <c r="CL1186" s="68"/>
      <c r="CM1186" s="68"/>
      <c r="CN1186" s="68"/>
      <c r="CO1186" s="68"/>
      <c r="CP1186" s="68"/>
      <c r="CQ1186" s="68"/>
      <c r="CR1186" s="68"/>
      <c r="CS1186" s="68"/>
      <c r="CT1186" s="68"/>
      <c r="CU1186" s="68"/>
      <c r="CV1186" s="68"/>
      <c r="CW1186" s="68"/>
      <c r="CX1186" s="68"/>
    </row>
    <row r="1187" spans="4:102" s="71" customFormat="1" hidden="1">
      <c r="D1187" s="69"/>
      <c r="E1187" s="68"/>
      <c r="F1187" s="68"/>
      <c r="G1187" s="68"/>
      <c r="H1187" s="68"/>
      <c r="I1187" s="68"/>
      <c r="J1187" s="68"/>
      <c r="K1187" s="73"/>
      <c r="L1187" s="68"/>
      <c r="M1187" s="68"/>
      <c r="N1187" s="68"/>
      <c r="O1187" s="68"/>
      <c r="P1187" s="65"/>
      <c r="Q1187" s="103"/>
      <c r="R1187" s="103"/>
      <c r="S1187" s="103"/>
      <c r="T1187" s="103"/>
      <c r="U1187" s="68"/>
      <c r="V1187" s="69"/>
      <c r="W1187" s="68"/>
      <c r="X1187" s="68"/>
      <c r="Y1187" s="68"/>
      <c r="Z1187" s="68"/>
      <c r="AA1187" s="68"/>
      <c r="AB1187" s="68"/>
      <c r="AC1187" s="68"/>
      <c r="AD1187" s="68"/>
      <c r="AE1187" s="68"/>
      <c r="AF1187" s="68"/>
      <c r="AG1187" s="68"/>
      <c r="AH1187" s="68"/>
      <c r="AI1187" s="68"/>
      <c r="AJ1187" s="68"/>
      <c r="AK1187" s="68"/>
      <c r="AL1187" s="68"/>
      <c r="AM1187" s="68"/>
      <c r="AN1187" s="68"/>
      <c r="AO1187" s="68"/>
      <c r="AP1187" s="68"/>
      <c r="AQ1187" s="68"/>
      <c r="AR1187" s="68"/>
      <c r="AS1187" s="68"/>
      <c r="AT1187" s="68"/>
      <c r="AU1187" s="68"/>
      <c r="AV1187" s="68"/>
      <c r="AW1187" s="68"/>
      <c r="AX1187" s="68"/>
      <c r="AY1187" s="68"/>
      <c r="AZ1187" s="68"/>
      <c r="BA1187" s="68"/>
      <c r="BB1187" s="68"/>
      <c r="BC1187" s="68"/>
      <c r="BD1187" s="68"/>
      <c r="BE1187" s="68"/>
      <c r="BF1187" s="68"/>
      <c r="BG1187" s="68"/>
      <c r="BH1187" s="68"/>
      <c r="BI1187" s="68"/>
      <c r="BJ1187" s="68"/>
      <c r="BK1187" s="68"/>
      <c r="BL1187" s="68"/>
      <c r="BM1187" s="68"/>
      <c r="BN1187" s="68"/>
      <c r="BO1187" s="68"/>
      <c r="BP1187" s="68"/>
      <c r="BQ1187" s="68"/>
      <c r="BR1187" s="68"/>
      <c r="BS1187" s="68"/>
      <c r="BT1187" s="68"/>
      <c r="BU1187" s="68"/>
      <c r="BV1187" s="68"/>
      <c r="BW1187" s="68"/>
      <c r="BX1187" s="68"/>
      <c r="BY1187" s="68"/>
      <c r="BZ1187" s="68"/>
      <c r="CA1187" s="68"/>
      <c r="CB1187" s="68"/>
      <c r="CC1187" s="68"/>
      <c r="CD1187" s="68"/>
      <c r="CE1187" s="68"/>
      <c r="CF1187" s="68"/>
      <c r="CG1187" s="68"/>
      <c r="CH1187" s="68"/>
      <c r="CI1187" s="68"/>
      <c r="CJ1187" s="68"/>
      <c r="CK1187" s="68"/>
      <c r="CL1187" s="68"/>
      <c r="CM1187" s="68"/>
      <c r="CN1187" s="68"/>
      <c r="CO1187" s="68"/>
      <c r="CP1187" s="68"/>
      <c r="CQ1187" s="68"/>
      <c r="CR1187" s="68"/>
      <c r="CS1187" s="68"/>
      <c r="CT1187" s="68"/>
      <c r="CU1187" s="68"/>
      <c r="CV1187" s="68"/>
      <c r="CW1187" s="68"/>
      <c r="CX1187" s="68"/>
    </row>
    <row r="1188" spans="4:102" s="71" customFormat="1" hidden="1">
      <c r="D1188" s="69"/>
      <c r="E1188" s="68"/>
      <c r="F1188" s="68"/>
      <c r="G1188" s="68"/>
      <c r="H1188" s="68"/>
      <c r="I1188" s="68"/>
      <c r="J1188" s="68"/>
      <c r="K1188" s="73"/>
      <c r="L1188" s="68"/>
      <c r="M1188" s="68"/>
      <c r="N1188" s="68"/>
      <c r="O1188" s="68"/>
      <c r="P1188" s="65"/>
      <c r="Q1188" s="103"/>
      <c r="R1188" s="103"/>
      <c r="S1188" s="103"/>
      <c r="T1188" s="103"/>
      <c r="U1188" s="68"/>
      <c r="V1188" s="69"/>
      <c r="W1188" s="68"/>
      <c r="X1188" s="68"/>
      <c r="Y1188" s="68"/>
      <c r="Z1188" s="68"/>
      <c r="AA1188" s="68"/>
      <c r="AB1188" s="68"/>
      <c r="AC1188" s="68"/>
      <c r="AD1188" s="68"/>
      <c r="AE1188" s="68"/>
      <c r="AF1188" s="68"/>
      <c r="AG1188" s="68"/>
      <c r="AH1188" s="68"/>
      <c r="AI1188" s="68"/>
      <c r="AJ1188" s="68"/>
      <c r="AK1188" s="68"/>
      <c r="AL1188" s="68"/>
      <c r="AM1188" s="68"/>
      <c r="AN1188" s="68"/>
      <c r="AO1188" s="68"/>
      <c r="AP1188" s="68"/>
      <c r="AQ1188" s="68"/>
      <c r="AR1188" s="68"/>
      <c r="AS1188" s="68"/>
      <c r="AT1188" s="68"/>
      <c r="AU1188" s="68"/>
      <c r="AV1188" s="68"/>
      <c r="AW1188" s="68"/>
      <c r="AX1188" s="68"/>
      <c r="AY1188" s="68"/>
      <c r="AZ1188" s="68"/>
      <c r="BA1188" s="68"/>
      <c r="BB1188" s="68"/>
      <c r="BC1188" s="68"/>
      <c r="BD1188" s="68"/>
      <c r="BE1188" s="68"/>
      <c r="BF1188" s="68"/>
      <c r="BG1188" s="68"/>
      <c r="BH1188" s="68"/>
      <c r="BI1188" s="68"/>
      <c r="BJ1188" s="68"/>
      <c r="BK1188" s="68"/>
      <c r="BL1188" s="68"/>
      <c r="BM1188" s="68"/>
      <c r="BN1188" s="68"/>
      <c r="BO1188" s="68"/>
      <c r="BP1188" s="68"/>
      <c r="BQ1188" s="68"/>
      <c r="BR1188" s="68"/>
      <c r="BS1188" s="68"/>
      <c r="BT1188" s="68"/>
      <c r="BU1188" s="68"/>
      <c r="BV1188" s="68"/>
      <c r="BW1188" s="68"/>
      <c r="BX1188" s="68"/>
      <c r="BY1188" s="68"/>
      <c r="BZ1188" s="68"/>
      <c r="CA1188" s="68"/>
      <c r="CB1188" s="68"/>
      <c r="CC1188" s="68"/>
      <c r="CD1188" s="68"/>
      <c r="CE1188" s="68"/>
      <c r="CF1188" s="68"/>
      <c r="CG1188" s="68"/>
      <c r="CH1188" s="68"/>
      <c r="CI1188" s="68"/>
      <c r="CJ1188" s="68"/>
      <c r="CK1188" s="68"/>
      <c r="CL1188" s="68"/>
      <c r="CM1188" s="68"/>
      <c r="CN1188" s="68"/>
      <c r="CO1188" s="68"/>
      <c r="CP1188" s="68"/>
      <c r="CQ1188" s="68"/>
      <c r="CR1188" s="68"/>
      <c r="CS1188" s="68"/>
      <c r="CT1188" s="68"/>
      <c r="CU1188" s="68"/>
      <c r="CV1188" s="68"/>
      <c r="CW1188" s="68"/>
      <c r="CX1188" s="68"/>
    </row>
    <row r="1189" spans="4:102" s="71" customFormat="1" hidden="1">
      <c r="D1189" s="69"/>
      <c r="E1189" s="68"/>
      <c r="F1189" s="68"/>
      <c r="G1189" s="68"/>
      <c r="H1189" s="68"/>
      <c r="I1189" s="68"/>
      <c r="J1189" s="68"/>
      <c r="K1189" s="73"/>
      <c r="L1189" s="68"/>
      <c r="M1189" s="68"/>
      <c r="N1189" s="68"/>
      <c r="O1189" s="68"/>
      <c r="P1189" s="65"/>
      <c r="Q1189" s="103"/>
      <c r="R1189" s="103"/>
      <c r="S1189" s="103"/>
      <c r="T1189" s="103"/>
      <c r="U1189" s="68"/>
      <c r="V1189" s="69"/>
      <c r="W1189" s="68"/>
      <c r="X1189" s="68"/>
      <c r="Y1189" s="68"/>
      <c r="Z1189" s="68"/>
      <c r="AA1189" s="68"/>
      <c r="AB1189" s="68"/>
      <c r="AC1189" s="68"/>
      <c r="AD1189" s="68"/>
      <c r="AE1189" s="68"/>
      <c r="AF1189" s="68"/>
      <c r="AG1189" s="68"/>
      <c r="AH1189" s="68"/>
      <c r="AI1189" s="68"/>
      <c r="AJ1189" s="68"/>
      <c r="AK1189" s="68"/>
      <c r="AL1189" s="68"/>
      <c r="AM1189" s="68"/>
      <c r="AN1189" s="68"/>
      <c r="AO1189" s="68"/>
      <c r="AP1189" s="68"/>
      <c r="AQ1189" s="68"/>
      <c r="AR1189" s="68"/>
      <c r="AS1189" s="68"/>
      <c r="AT1189" s="68"/>
      <c r="AU1189" s="68"/>
      <c r="AV1189" s="68"/>
      <c r="AW1189" s="68"/>
      <c r="AX1189" s="68"/>
      <c r="AY1189" s="68"/>
      <c r="AZ1189" s="68"/>
      <c r="BA1189" s="68"/>
      <c r="BB1189" s="68"/>
      <c r="BC1189" s="68"/>
      <c r="BD1189" s="68"/>
      <c r="BE1189" s="68"/>
      <c r="BF1189" s="68"/>
      <c r="BG1189" s="68"/>
      <c r="BH1189" s="68"/>
      <c r="BI1189" s="68"/>
      <c r="BJ1189" s="68"/>
      <c r="BK1189" s="68"/>
      <c r="BL1189" s="68"/>
      <c r="BM1189" s="68"/>
      <c r="BN1189" s="68"/>
      <c r="BO1189" s="68"/>
      <c r="BP1189" s="68"/>
      <c r="BQ1189" s="68"/>
      <c r="BR1189" s="68"/>
      <c r="BS1189" s="68"/>
      <c r="BT1189" s="68"/>
      <c r="BU1189" s="68"/>
      <c r="BV1189" s="68"/>
      <c r="BW1189" s="68"/>
      <c r="BX1189" s="68"/>
      <c r="BY1189" s="68"/>
      <c r="BZ1189" s="68"/>
      <c r="CA1189" s="68"/>
      <c r="CB1189" s="68"/>
      <c r="CC1189" s="68"/>
      <c r="CD1189" s="68"/>
      <c r="CE1189" s="68"/>
      <c r="CF1189" s="68"/>
      <c r="CG1189" s="68"/>
      <c r="CH1189" s="68"/>
      <c r="CI1189" s="68"/>
      <c r="CJ1189" s="68"/>
      <c r="CK1189" s="68"/>
      <c r="CL1189" s="68"/>
      <c r="CM1189" s="68"/>
      <c r="CN1189" s="68"/>
      <c r="CO1189" s="68"/>
      <c r="CP1189" s="68"/>
      <c r="CQ1189" s="68"/>
      <c r="CR1189" s="68"/>
      <c r="CS1189" s="68"/>
      <c r="CT1189" s="68"/>
      <c r="CU1189" s="68"/>
      <c r="CV1189" s="68"/>
      <c r="CW1189" s="68"/>
      <c r="CX1189" s="68"/>
    </row>
    <row r="1190" spans="4:102" s="71" customFormat="1" hidden="1">
      <c r="D1190" s="69"/>
      <c r="E1190" s="68"/>
      <c r="F1190" s="68"/>
      <c r="G1190" s="68"/>
      <c r="H1190" s="68"/>
      <c r="I1190" s="68"/>
      <c r="J1190" s="68"/>
      <c r="K1190" s="73"/>
      <c r="L1190" s="68"/>
      <c r="M1190" s="68"/>
      <c r="N1190" s="68"/>
      <c r="O1190" s="68"/>
      <c r="P1190" s="65"/>
      <c r="Q1190" s="103"/>
      <c r="R1190" s="103"/>
      <c r="S1190" s="103"/>
      <c r="T1190" s="103"/>
      <c r="U1190" s="68"/>
      <c r="V1190" s="69"/>
      <c r="W1190" s="68"/>
      <c r="X1190" s="68"/>
      <c r="Y1190" s="68"/>
      <c r="Z1190" s="68"/>
      <c r="AA1190" s="68"/>
      <c r="AB1190" s="68"/>
      <c r="AC1190" s="68"/>
      <c r="AD1190" s="68"/>
      <c r="AE1190" s="68"/>
      <c r="AF1190" s="68"/>
      <c r="AG1190" s="68"/>
      <c r="AH1190" s="68"/>
      <c r="AI1190" s="68"/>
      <c r="AJ1190" s="68"/>
      <c r="AK1190" s="68"/>
      <c r="AL1190" s="68"/>
      <c r="AM1190" s="68"/>
      <c r="AN1190" s="68"/>
      <c r="AO1190" s="68"/>
      <c r="AP1190" s="68"/>
      <c r="AQ1190" s="68"/>
      <c r="AR1190" s="68"/>
      <c r="AS1190" s="68"/>
      <c r="AT1190" s="68"/>
      <c r="AU1190" s="68"/>
      <c r="AV1190" s="68"/>
      <c r="AW1190" s="68"/>
      <c r="AX1190" s="68"/>
      <c r="AY1190" s="68"/>
      <c r="AZ1190" s="68"/>
      <c r="BA1190" s="68"/>
      <c r="BB1190" s="68"/>
      <c r="BC1190" s="68"/>
      <c r="BD1190" s="68"/>
      <c r="BE1190" s="68"/>
      <c r="BF1190" s="68"/>
      <c r="BG1190" s="68"/>
      <c r="BH1190" s="68"/>
      <c r="BI1190" s="68"/>
      <c r="BJ1190" s="68"/>
      <c r="BK1190" s="68"/>
      <c r="BL1190" s="68"/>
      <c r="BM1190" s="68"/>
      <c r="BN1190" s="68"/>
      <c r="BO1190" s="68"/>
      <c r="BP1190" s="68"/>
      <c r="BQ1190" s="68"/>
      <c r="BR1190" s="68"/>
      <c r="BS1190" s="68"/>
      <c r="BT1190" s="68"/>
      <c r="BU1190" s="68"/>
      <c r="BV1190" s="68"/>
      <c r="BW1190" s="68"/>
      <c r="BX1190" s="68"/>
      <c r="BY1190" s="68"/>
      <c r="BZ1190" s="68"/>
      <c r="CA1190" s="68"/>
      <c r="CB1190" s="68"/>
      <c r="CC1190" s="68"/>
      <c r="CD1190" s="68"/>
      <c r="CE1190" s="68"/>
      <c r="CF1190" s="68"/>
      <c r="CG1190" s="68"/>
      <c r="CH1190" s="68"/>
      <c r="CI1190" s="68"/>
      <c r="CJ1190" s="68"/>
      <c r="CK1190" s="68"/>
      <c r="CL1190" s="68"/>
      <c r="CM1190" s="68"/>
      <c r="CN1190" s="68"/>
      <c r="CO1190" s="68"/>
      <c r="CP1190" s="68"/>
      <c r="CQ1190" s="68"/>
      <c r="CR1190" s="68"/>
      <c r="CS1190" s="68"/>
      <c r="CT1190" s="68"/>
      <c r="CU1190" s="68"/>
      <c r="CV1190" s="68"/>
      <c r="CW1190" s="68"/>
      <c r="CX1190" s="68"/>
    </row>
    <row r="1191" spans="4:102" s="71" customFormat="1" hidden="1">
      <c r="D1191" s="69"/>
      <c r="E1191" s="68"/>
      <c r="F1191" s="68"/>
      <c r="G1191" s="68"/>
      <c r="H1191" s="68"/>
      <c r="I1191" s="68"/>
      <c r="J1191" s="68"/>
      <c r="K1191" s="73"/>
      <c r="L1191" s="68"/>
      <c r="M1191" s="68"/>
      <c r="N1191" s="68"/>
      <c r="O1191" s="68"/>
      <c r="P1191" s="65"/>
      <c r="Q1191" s="103"/>
      <c r="R1191" s="103"/>
      <c r="S1191" s="103"/>
      <c r="T1191" s="103"/>
      <c r="U1191" s="68"/>
      <c r="V1191" s="69"/>
      <c r="W1191" s="68"/>
      <c r="X1191" s="68"/>
      <c r="Y1191" s="68"/>
      <c r="Z1191" s="68"/>
      <c r="AA1191" s="68"/>
      <c r="AB1191" s="68"/>
      <c r="AC1191" s="68"/>
      <c r="AD1191" s="68"/>
      <c r="AE1191" s="68"/>
      <c r="AF1191" s="68"/>
      <c r="AG1191" s="68"/>
      <c r="AH1191" s="68"/>
      <c r="AI1191" s="68"/>
      <c r="AJ1191" s="68"/>
      <c r="AK1191" s="68"/>
      <c r="AL1191" s="68"/>
      <c r="AM1191" s="68"/>
      <c r="AN1191" s="68"/>
      <c r="AO1191" s="68"/>
      <c r="AP1191" s="68"/>
      <c r="AQ1191" s="68"/>
      <c r="AR1191" s="68"/>
      <c r="AS1191" s="68"/>
      <c r="AT1191" s="68"/>
      <c r="AU1191" s="68"/>
      <c r="AV1191" s="68"/>
      <c r="AW1191" s="68"/>
      <c r="AX1191" s="68"/>
      <c r="AY1191" s="68"/>
      <c r="AZ1191" s="68"/>
      <c r="BA1191" s="68"/>
      <c r="BB1191" s="68"/>
      <c r="BC1191" s="68"/>
      <c r="BD1191" s="68"/>
      <c r="BE1191" s="68"/>
      <c r="BF1191" s="68"/>
      <c r="BG1191" s="68"/>
      <c r="BH1191" s="68"/>
      <c r="BI1191" s="68"/>
      <c r="BJ1191" s="68"/>
      <c r="BK1191" s="68"/>
      <c r="BL1191" s="68"/>
      <c r="BM1191" s="68"/>
      <c r="BN1191" s="68"/>
      <c r="BO1191" s="68"/>
      <c r="BP1191" s="68"/>
      <c r="BQ1191" s="68"/>
      <c r="BR1191" s="68"/>
      <c r="BS1191" s="68"/>
      <c r="BT1191" s="68"/>
      <c r="BU1191" s="68"/>
      <c r="BV1191" s="68"/>
      <c r="BW1191" s="68"/>
      <c r="BX1191" s="68"/>
      <c r="BY1191" s="68"/>
      <c r="BZ1191" s="68"/>
      <c r="CA1191" s="68"/>
      <c r="CB1191" s="68"/>
      <c r="CC1191" s="68"/>
      <c r="CD1191" s="68"/>
      <c r="CE1191" s="68"/>
      <c r="CF1191" s="68"/>
      <c r="CG1191" s="68"/>
      <c r="CH1191" s="68"/>
      <c r="CI1191" s="68"/>
      <c r="CJ1191" s="68"/>
      <c r="CK1191" s="68"/>
      <c r="CL1191" s="68"/>
      <c r="CM1191" s="68"/>
      <c r="CN1191" s="68"/>
      <c r="CO1191" s="68"/>
      <c r="CP1191" s="68"/>
      <c r="CQ1191" s="68"/>
      <c r="CR1191" s="68"/>
      <c r="CS1191" s="68"/>
      <c r="CT1191" s="68"/>
      <c r="CU1191" s="68"/>
      <c r="CV1191" s="68"/>
      <c r="CW1191" s="68"/>
      <c r="CX1191" s="68"/>
    </row>
    <row r="1192" spans="4:102" s="71" customFormat="1" hidden="1">
      <c r="D1192" s="69"/>
      <c r="E1192" s="68"/>
      <c r="F1192" s="68"/>
      <c r="G1192" s="68"/>
      <c r="H1192" s="68"/>
      <c r="I1192" s="68"/>
      <c r="J1192" s="68"/>
      <c r="K1192" s="73"/>
      <c r="L1192" s="68"/>
      <c r="M1192" s="68"/>
      <c r="N1192" s="68"/>
      <c r="O1192" s="68"/>
      <c r="P1192" s="65"/>
      <c r="Q1192" s="103"/>
      <c r="R1192" s="103"/>
      <c r="S1192" s="103"/>
      <c r="T1192" s="103"/>
      <c r="U1192" s="68"/>
      <c r="V1192" s="69"/>
      <c r="W1192" s="68"/>
      <c r="X1192" s="68"/>
      <c r="Y1192" s="68"/>
      <c r="Z1192" s="68"/>
      <c r="AA1192" s="68"/>
      <c r="AB1192" s="68"/>
      <c r="AC1192" s="68"/>
      <c r="AD1192" s="68"/>
      <c r="AE1192" s="68"/>
      <c r="AF1192" s="68"/>
      <c r="AG1192" s="68"/>
      <c r="AH1192" s="68"/>
      <c r="AI1192" s="68"/>
      <c r="AJ1192" s="68"/>
      <c r="AK1192" s="68"/>
      <c r="AL1192" s="68"/>
      <c r="AM1192" s="68"/>
      <c r="AN1192" s="68"/>
      <c r="AO1192" s="68"/>
      <c r="AP1192" s="68"/>
      <c r="AQ1192" s="68"/>
      <c r="AR1192" s="68"/>
      <c r="AS1192" s="68"/>
      <c r="AT1192" s="68"/>
      <c r="AU1192" s="68"/>
      <c r="AV1192" s="68"/>
      <c r="AW1192" s="68"/>
      <c r="AX1192" s="68"/>
      <c r="AY1192" s="68"/>
      <c r="AZ1192" s="68"/>
      <c r="BA1192" s="68"/>
      <c r="BB1192" s="68"/>
      <c r="BC1192" s="68"/>
      <c r="BD1192" s="68"/>
      <c r="BE1192" s="68"/>
      <c r="BF1192" s="68"/>
      <c r="BG1192" s="68"/>
      <c r="BH1192" s="68"/>
      <c r="BI1192" s="68"/>
      <c r="BJ1192" s="68"/>
      <c r="BK1192" s="68"/>
      <c r="BL1192" s="68"/>
      <c r="BM1192" s="68"/>
      <c r="BN1192" s="68"/>
      <c r="BO1192" s="68"/>
      <c r="BP1192" s="68"/>
      <c r="BQ1192" s="68"/>
      <c r="BR1192" s="68"/>
      <c r="BS1192" s="68"/>
      <c r="BT1192" s="68"/>
      <c r="BU1192" s="68"/>
      <c r="BV1192" s="68"/>
      <c r="BW1192" s="68"/>
      <c r="BX1192" s="68"/>
      <c r="BY1192" s="68"/>
      <c r="BZ1192" s="68"/>
      <c r="CA1192" s="68"/>
      <c r="CB1192" s="68"/>
      <c r="CC1192" s="68"/>
      <c r="CD1192" s="68"/>
      <c r="CE1192" s="68"/>
      <c r="CF1192" s="68"/>
      <c r="CG1192" s="68"/>
      <c r="CH1192" s="68"/>
      <c r="CI1192" s="68"/>
      <c r="CJ1192" s="68"/>
      <c r="CK1192" s="68"/>
      <c r="CL1192" s="68"/>
      <c r="CM1192" s="68"/>
      <c r="CN1192" s="68"/>
      <c r="CO1192" s="68"/>
      <c r="CP1192" s="68"/>
      <c r="CQ1192" s="68"/>
      <c r="CR1192" s="68"/>
      <c r="CS1192" s="68"/>
      <c r="CT1192" s="68"/>
      <c r="CU1192" s="68"/>
      <c r="CV1192" s="68"/>
      <c r="CW1192" s="68"/>
      <c r="CX1192" s="68"/>
    </row>
    <row r="1193" spans="4:102" s="71" customFormat="1" hidden="1">
      <c r="D1193" s="69"/>
      <c r="E1193" s="68"/>
      <c r="F1193" s="68"/>
      <c r="G1193" s="68"/>
      <c r="H1193" s="68"/>
      <c r="I1193" s="68"/>
      <c r="J1193" s="68"/>
      <c r="K1193" s="73"/>
      <c r="L1193" s="68"/>
      <c r="M1193" s="68"/>
      <c r="N1193" s="68"/>
      <c r="O1193" s="68"/>
      <c r="P1193" s="65"/>
      <c r="Q1193" s="103"/>
      <c r="R1193" s="103"/>
      <c r="S1193" s="103"/>
      <c r="T1193" s="103"/>
      <c r="U1193" s="68"/>
      <c r="V1193" s="69"/>
      <c r="W1193" s="68"/>
      <c r="X1193" s="68"/>
      <c r="Y1193" s="68"/>
      <c r="Z1193" s="68"/>
      <c r="AA1193" s="68"/>
      <c r="AB1193" s="68"/>
      <c r="AC1193" s="68"/>
      <c r="AD1193" s="68"/>
      <c r="AE1193" s="68"/>
      <c r="AF1193" s="68"/>
      <c r="AG1193" s="68"/>
      <c r="AH1193" s="68"/>
      <c r="AI1193" s="68"/>
      <c r="AJ1193" s="68"/>
      <c r="AK1193" s="68"/>
      <c r="AL1193" s="68"/>
      <c r="AM1193" s="68"/>
      <c r="AN1193" s="68"/>
      <c r="AO1193" s="68"/>
      <c r="AP1193" s="68"/>
      <c r="AQ1193" s="68"/>
      <c r="AR1193" s="68"/>
      <c r="AS1193" s="68"/>
      <c r="AT1193" s="68"/>
      <c r="AU1193" s="68"/>
      <c r="AV1193" s="68"/>
      <c r="AW1193" s="68"/>
      <c r="AX1193" s="68"/>
      <c r="AY1193" s="68"/>
      <c r="AZ1193" s="68"/>
      <c r="BA1193" s="68"/>
      <c r="BB1193" s="68"/>
      <c r="BC1193" s="68"/>
      <c r="BD1193" s="68"/>
      <c r="BE1193" s="68"/>
      <c r="BF1193" s="68"/>
      <c r="BG1193" s="68"/>
      <c r="BH1193" s="68"/>
      <c r="BI1193" s="68"/>
      <c r="BJ1193" s="68"/>
      <c r="BK1193" s="68"/>
      <c r="BL1193" s="68"/>
      <c r="BM1193" s="68"/>
      <c r="BN1193" s="68"/>
      <c r="BO1193" s="68"/>
      <c r="BP1193" s="68"/>
      <c r="BQ1193" s="68"/>
      <c r="BR1193" s="68"/>
      <c r="BS1193" s="68"/>
      <c r="BT1193" s="68"/>
      <c r="BU1193" s="68"/>
      <c r="BV1193" s="68"/>
      <c r="BW1193" s="68"/>
      <c r="BX1193" s="68"/>
      <c r="BY1193" s="68"/>
      <c r="BZ1193" s="68"/>
      <c r="CA1193" s="68"/>
      <c r="CB1193" s="68"/>
      <c r="CC1193" s="68"/>
      <c r="CD1193" s="68"/>
      <c r="CE1193" s="68"/>
      <c r="CF1193" s="68"/>
      <c r="CG1193" s="68"/>
      <c r="CH1193" s="68"/>
      <c r="CI1193" s="68"/>
      <c r="CJ1193" s="68"/>
      <c r="CK1193" s="68"/>
      <c r="CL1193" s="68"/>
      <c r="CM1193" s="68"/>
      <c r="CN1193" s="68"/>
      <c r="CO1193" s="68"/>
      <c r="CP1193" s="68"/>
      <c r="CQ1193" s="68"/>
      <c r="CR1193" s="68"/>
      <c r="CS1193" s="68"/>
      <c r="CT1193" s="68"/>
      <c r="CU1193" s="68"/>
      <c r="CV1193" s="68"/>
      <c r="CW1193" s="68"/>
      <c r="CX1193" s="68"/>
    </row>
    <row r="1194" spans="4:102" s="71" customFormat="1" hidden="1">
      <c r="D1194" s="69"/>
      <c r="E1194" s="68"/>
      <c r="F1194" s="68"/>
      <c r="G1194" s="68"/>
      <c r="H1194" s="68"/>
      <c r="I1194" s="68"/>
      <c r="J1194" s="68"/>
      <c r="K1194" s="73"/>
      <c r="L1194" s="68"/>
      <c r="M1194" s="68"/>
      <c r="N1194" s="68"/>
      <c r="O1194" s="68"/>
      <c r="P1194" s="65"/>
      <c r="Q1194" s="103"/>
      <c r="R1194" s="103"/>
      <c r="S1194" s="103"/>
      <c r="T1194" s="103"/>
      <c r="U1194" s="68"/>
      <c r="V1194" s="69"/>
      <c r="W1194" s="68"/>
      <c r="X1194" s="68"/>
      <c r="Y1194" s="68"/>
      <c r="Z1194" s="68"/>
      <c r="AA1194" s="68"/>
      <c r="AB1194" s="68"/>
      <c r="AC1194" s="68"/>
      <c r="AD1194" s="68"/>
      <c r="AE1194" s="68"/>
      <c r="AF1194" s="68"/>
      <c r="AG1194" s="68"/>
      <c r="AH1194" s="68"/>
      <c r="AI1194" s="68"/>
      <c r="AJ1194" s="68"/>
      <c r="AK1194" s="68"/>
      <c r="AL1194" s="68"/>
      <c r="AM1194" s="68"/>
      <c r="AN1194" s="68"/>
      <c r="AO1194" s="68"/>
      <c r="AP1194" s="68"/>
      <c r="AQ1194" s="68"/>
      <c r="AR1194" s="68"/>
      <c r="AS1194" s="68"/>
      <c r="AT1194" s="68"/>
      <c r="AU1194" s="68"/>
      <c r="AV1194" s="68"/>
      <c r="AW1194" s="68"/>
      <c r="AX1194" s="68"/>
      <c r="AY1194" s="68"/>
      <c r="AZ1194" s="68"/>
      <c r="BA1194" s="68"/>
      <c r="BB1194" s="68"/>
      <c r="BC1194" s="68"/>
      <c r="BD1194" s="68"/>
      <c r="BE1194" s="68"/>
      <c r="BF1194" s="68"/>
      <c r="BG1194" s="68"/>
      <c r="BH1194" s="68"/>
      <c r="BI1194" s="68"/>
      <c r="BJ1194" s="68"/>
      <c r="BK1194" s="68"/>
      <c r="BL1194" s="68"/>
      <c r="BM1194" s="68"/>
      <c r="BN1194" s="68"/>
      <c r="BO1194" s="68"/>
      <c r="BP1194" s="68"/>
      <c r="BQ1194" s="68"/>
      <c r="BR1194" s="68"/>
      <c r="BS1194" s="68"/>
      <c r="BT1194" s="68"/>
      <c r="BU1194" s="68"/>
      <c r="BV1194" s="68"/>
      <c r="BW1194" s="68"/>
      <c r="BX1194" s="68"/>
      <c r="BY1194" s="68"/>
      <c r="BZ1194" s="68"/>
      <c r="CA1194" s="68"/>
      <c r="CB1194" s="68"/>
      <c r="CC1194" s="68"/>
      <c r="CD1194" s="68"/>
      <c r="CE1194" s="68"/>
      <c r="CF1194" s="68"/>
      <c r="CG1194" s="68"/>
      <c r="CH1194" s="68"/>
      <c r="CI1194" s="68"/>
      <c r="CJ1194" s="68"/>
      <c r="CK1194" s="68"/>
      <c r="CL1194" s="68"/>
      <c r="CM1194" s="68"/>
      <c r="CN1194" s="68"/>
      <c r="CO1194" s="68"/>
      <c r="CP1194" s="68"/>
      <c r="CQ1194" s="68"/>
      <c r="CR1194" s="68"/>
      <c r="CS1194" s="68"/>
      <c r="CT1194" s="68"/>
      <c r="CU1194" s="68"/>
      <c r="CV1194" s="68"/>
      <c r="CW1194" s="68"/>
      <c r="CX1194" s="68"/>
    </row>
    <row r="1195" spans="4:102" s="71" customFormat="1" hidden="1">
      <c r="D1195" s="69"/>
      <c r="E1195" s="68"/>
      <c r="F1195" s="68"/>
      <c r="G1195" s="68"/>
      <c r="H1195" s="68"/>
      <c r="I1195" s="68"/>
      <c r="J1195" s="68"/>
      <c r="K1195" s="73"/>
      <c r="L1195" s="68"/>
      <c r="M1195" s="68"/>
      <c r="N1195" s="68"/>
      <c r="O1195" s="68"/>
      <c r="P1195" s="65"/>
      <c r="Q1195" s="103"/>
      <c r="R1195" s="103"/>
      <c r="S1195" s="103"/>
      <c r="T1195" s="103"/>
      <c r="U1195" s="68"/>
      <c r="V1195" s="69"/>
      <c r="W1195" s="68"/>
      <c r="X1195" s="68"/>
      <c r="Y1195" s="68"/>
      <c r="Z1195" s="68"/>
      <c r="AA1195" s="68"/>
      <c r="AB1195" s="68"/>
      <c r="AC1195" s="68"/>
      <c r="AD1195" s="68"/>
      <c r="AE1195" s="68"/>
      <c r="AF1195" s="68"/>
      <c r="AG1195" s="68"/>
      <c r="AH1195" s="68"/>
      <c r="AI1195" s="68"/>
      <c r="AJ1195" s="68"/>
      <c r="AK1195" s="68"/>
      <c r="AL1195" s="68"/>
      <c r="AM1195" s="68"/>
      <c r="AN1195" s="68"/>
      <c r="AO1195" s="68"/>
      <c r="AP1195" s="68"/>
      <c r="AQ1195" s="68"/>
      <c r="AR1195" s="68"/>
      <c r="AS1195" s="68"/>
      <c r="AT1195" s="68"/>
      <c r="AU1195" s="68"/>
      <c r="AV1195" s="68"/>
      <c r="AW1195" s="68"/>
      <c r="AX1195" s="68"/>
      <c r="AY1195" s="68"/>
      <c r="AZ1195" s="68"/>
      <c r="BA1195" s="68"/>
      <c r="BB1195" s="68"/>
      <c r="BC1195" s="68"/>
      <c r="BD1195" s="68"/>
      <c r="BE1195" s="68"/>
      <c r="BF1195" s="68"/>
      <c r="BG1195" s="68"/>
      <c r="BH1195" s="68"/>
      <c r="BI1195" s="68"/>
      <c r="BJ1195" s="68"/>
      <c r="BK1195" s="68"/>
      <c r="BL1195" s="68"/>
      <c r="BM1195" s="68"/>
      <c r="BN1195" s="68"/>
      <c r="BO1195" s="68"/>
      <c r="BP1195" s="68"/>
      <c r="BQ1195" s="68"/>
      <c r="BR1195" s="68"/>
      <c r="BS1195" s="68"/>
      <c r="BT1195" s="68"/>
      <c r="BU1195" s="68"/>
      <c r="BV1195" s="68"/>
      <c r="BW1195" s="68"/>
      <c r="BX1195" s="68"/>
      <c r="BY1195" s="68"/>
      <c r="BZ1195" s="68"/>
      <c r="CA1195" s="68"/>
      <c r="CB1195" s="68"/>
      <c r="CC1195" s="68"/>
      <c r="CD1195" s="68"/>
      <c r="CE1195" s="68"/>
      <c r="CF1195" s="68"/>
      <c r="CG1195" s="68"/>
      <c r="CH1195" s="68"/>
      <c r="CI1195" s="68"/>
      <c r="CJ1195" s="68"/>
      <c r="CK1195" s="68"/>
      <c r="CL1195" s="68"/>
      <c r="CM1195" s="68"/>
      <c r="CN1195" s="68"/>
      <c r="CO1195" s="68"/>
      <c r="CP1195" s="68"/>
      <c r="CQ1195" s="68"/>
      <c r="CR1195" s="68"/>
      <c r="CS1195" s="68"/>
      <c r="CT1195" s="68"/>
      <c r="CU1195" s="68"/>
      <c r="CV1195" s="68"/>
      <c r="CW1195" s="68"/>
      <c r="CX1195" s="68"/>
    </row>
    <row r="1196" spans="4:102" s="71" customFormat="1" hidden="1">
      <c r="D1196" s="69"/>
      <c r="E1196" s="68"/>
      <c r="F1196" s="68"/>
      <c r="G1196" s="68"/>
      <c r="H1196" s="68"/>
      <c r="I1196" s="68"/>
      <c r="J1196" s="68"/>
      <c r="K1196" s="73"/>
      <c r="L1196" s="68"/>
      <c r="M1196" s="68"/>
      <c r="N1196" s="68"/>
      <c r="O1196" s="68"/>
      <c r="P1196" s="65"/>
      <c r="Q1196" s="103"/>
      <c r="R1196" s="103"/>
      <c r="S1196" s="103"/>
      <c r="T1196" s="103"/>
      <c r="U1196" s="68"/>
      <c r="V1196" s="69"/>
      <c r="W1196" s="68"/>
      <c r="X1196" s="68"/>
      <c r="Y1196" s="68"/>
      <c r="Z1196" s="68"/>
      <c r="AA1196" s="68"/>
      <c r="AB1196" s="68"/>
      <c r="AC1196" s="68"/>
      <c r="AD1196" s="68"/>
      <c r="AE1196" s="68"/>
      <c r="AF1196" s="68"/>
      <c r="AG1196" s="68"/>
      <c r="AH1196" s="68"/>
      <c r="AI1196" s="68"/>
      <c r="AJ1196" s="68"/>
      <c r="AK1196" s="68"/>
      <c r="AL1196" s="68"/>
      <c r="AM1196" s="68"/>
      <c r="AN1196" s="68"/>
      <c r="AO1196" s="68"/>
      <c r="AP1196" s="68"/>
      <c r="AQ1196" s="68"/>
      <c r="AR1196" s="68"/>
      <c r="AS1196" s="68"/>
      <c r="AT1196" s="68"/>
      <c r="AU1196" s="68"/>
      <c r="AV1196" s="68"/>
      <c r="AW1196" s="68"/>
      <c r="AX1196" s="68"/>
      <c r="AY1196" s="68"/>
      <c r="AZ1196" s="68"/>
      <c r="BA1196" s="68"/>
      <c r="BB1196" s="68"/>
      <c r="BC1196" s="68"/>
      <c r="BD1196" s="68"/>
      <c r="BE1196" s="68"/>
      <c r="BF1196" s="68"/>
      <c r="BG1196" s="68"/>
      <c r="BH1196" s="68"/>
      <c r="BI1196" s="68"/>
      <c r="BJ1196" s="68"/>
      <c r="BK1196" s="68"/>
      <c r="BL1196" s="68"/>
      <c r="BM1196" s="68"/>
      <c r="BN1196" s="68"/>
      <c r="BO1196" s="68"/>
      <c r="BP1196" s="68"/>
      <c r="BQ1196" s="68"/>
      <c r="BR1196" s="68"/>
      <c r="BS1196" s="68"/>
      <c r="BT1196" s="68"/>
      <c r="BU1196" s="68"/>
      <c r="BV1196" s="68"/>
      <c r="BW1196" s="68"/>
      <c r="BX1196" s="68"/>
      <c r="BY1196" s="68"/>
      <c r="BZ1196" s="68"/>
      <c r="CA1196" s="68"/>
      <c r="CB1196" s="68"/>
      <c r="CC1196" s="68"/>
      <c r="CD1196" s="68"/>
      <c r="CE1196" s="68"/>
      <c r="CF1196" s="68"/>
      <c r="CG1196" s="68"/>
      <c r="CH1196" s="68"/>
      <c r="CI1196" s="68"/>
      <c r="CJ1196" s="68"/>
      <c r="CK1196" s="68"/>
      <c r="CL1196" s="68"/>
      <c r="CM1196" s="68"/>
      <c r="CN1196" s="68"/>
      <c r="CO1196" s="68"/>
      <c r="CP1196" s="68"/>
      <c r="CQ1196" s="68"/>
      <c r="CR1196" s="68"/>
      <c r="CS1196" s="68"/>
      <c r="CT1196" s="68"/>
      <c r="CU1196" s="68"/>
      <c r="CV1196" s="68"/>
      <c r="CW1196" s="68"/>
      <c r="CX1196" s="68"/>
    </row>
    <row r="1197" spans="4:102" s="71" customFormat="1" hidden="1">
      <c r="D1197" s="69"/>
      <c r="E1197" s="68"/>
      <c r="F1197" s="68"/>
      <c r="G1197" s="68"/>
      <c r="H1197" s="68"/>
      <c r="I1197" s="68"/>
      <c r="J1197" s="68"/>
      <c r="K1197" s="73"/>
      <c r="L1197" s="68"/>
      <c r="M1197" s="68"/>
      <c r="N1197" s="68"/>
      <c r="O1197" s="68"/>
      <c r="P1197" s="65"/>
      <c r="Q1197" s="103"/>
      <c r="R1197" s="103"/>
      <c r="S1197" s="103"/>
      <c r="T1197" s="103"/>
      <c r="U1197" s="68"/>
      <c r="V1197" s="69"/>
      <c r="W1197" s="68"/>
      <c r="X1197" s="68"/>
      <c r="Y1197" s="68"/>
      <c r="Z1197" s="68"/>
      <c r="AA1197" s="68"/>
      <c r="AB1197" s="68"/>
      <c r="AC1197" s="68"/>
      <c r="AD1197" s="68"/>
      <c r="AE1197" s="68"/>
      <c r="AF1197" s="68"/>
      <c r="AG1197" s="68"/>
      <c r="AH1197" s="68"/>
      <c r="AI1197" s="68"/>
      <c r="AJ1197" s="68"/>
      <c r="AK1197" s="68"/>
      <c r="AL1197" s="68"/>
      <c r="AM1197" s="68"/>
      <c r="AN1197" s="68"/>
      <c r="AO1197" s="68"/>
      <c r="AP1197" s="68"/>
      <c r="AQ1197" s="68"/>
      <c r="AR1197" s="68"/>
      <c r="AS1197" s="68"/>
      <c r="AT1197" s="68"/>
      <c r="AU1197" s="68"/>
      <c r="AV1197" s="68"/>
      <c r="AW1197" s="68"/>
      <c r="AX1197" s="68"/>
      <c r="AY1197" s="68"/>
      <c r="AZ1197" s="68"/>
      <c r="BA1197" s="68"/>
      <c r="BB1197" s="68"/>
      <c r="BC1197" s="68"/>
      <c r="BD1197" s="68"/>
      <c r="BE1197" s="68"/>
      <c r="BF1197" s="68"/>
      <c r="BG1197" s="68"/>
      <c r="BH1197" s="68"/>
      <c r="BI1197" s="68"/>
      <c r="BJ1197" s="68"/>
      <c r="BK1197" s="68"/>
      <c r="BL1197" s="68"/>
      <c r="BM1197" s="68"/>
      <c r="BN1197" s="68"/>
      <c r="BO1197" s="68"/>
      <c r="BP1197" s="68"/>
      <c r="BQ1197" s="68"/>
      <c r="BR1197" s="68"/>
      <c r="BS1197" s="68"/>
      <c r="BT1197" s="68"/>
      <c r="BU1197" s="68"/>
      <c r="BV1197" s="68"/>
      <c r="BW1197" s="68"/>
      <c r="BX1197" s="68"/>
      <c r="BY1197" s="68"/>
      <c r="BZ1197" s="68"/>
      <c r="CA1197" s="68"/>
      <c r="CB1197" s="68"/>
      <c r="CC1197" s="68"/>
      <c r="CD1197" s="68"/>
      <c r="CE1197" s="68"/>
      <c r="CF1197" s="68"/>
      <c r="CG1197" s="68"/>
      <c r="CH1197" s="68"/>
      <c r="CI1197" s="68"/>
      <c r="CJ1197" s="68"/>
      <c r="CK1197" s="68"/>
      <c r="CL1197" s="68"/>
      <c r="CM1197" s="68"/>
      <c r="CN1197" s="68"/>
      <c r="CO1197" s="68"/>
      <c r="CP1197" s="68"/>
      <c r="CQ1197" s="68"/>
      <c r="CR1197" s="68"/>
      <c r="CS1197" s="68"/>
      <c r="CT1197" s="68"/>
      <c r="CU1197" s="68"/>
      <c r="CV1197" s="68"/>
      <c r="CW1197" s="68"/>
      <c r="CX1197" s="68"/>
    </row>
    <row r="1198" spans="4:102" s="71" customFormat="1" hidden="1">
      <c r="D1198" s="69"/>
      <c r="E1198" s="68"/>
      <c r="F1198" s="68"/>
      <c r="G1198" s="68"/>
      <c r="H1198" s="68"/>
      <c r="I1198" s="68"/>
      <c r="J1198" s="68"/>
      <c r="K1198" s="73"/>
      <c r="L1198" s="68"/>
      <c r="M1198" s="68"/>
      <c r="N1198" s="68"/>
      <c r="O1198" s="68"/>
      <c r="P1198" s="65"/>
      <c r="Q1198" s="103"/>
      <c r="R1198" s="103"/>
      <c r="S1198" s="103"/>
      <c r="T1198" s="103"/>
      <c r="U1198" s="68"/>
      <c r="V1198" s="69"/>
      <c r="W1198" s="68"/>
      <c r="X1198" s="68"/>
      <c r="Y1198" s="68"/>
      <c r="Z1198" s="68"/>
      <c r="AA1198" s="68"/>
      <c r="AB1198" s="68"/>
      <c r="AC1198" s="68"/>
      <c r="AD1198" s="68"/>
      <c r="AE1198" s="68"/>
      <c r="AF1198" s="68"/>
      <c r="AG1198" s="68"/>
      <c r="AH1198" s="68"/>
      <c r="AI1198" s="68"/>
      <c r="AJ1198" s="68"/>
      <c r="AK1198" s="68"/>
      <c r="AL1198" s="68"/>
      <c r="AM1198" s="68"/>
      <c r="AN1198" s="68"/>
      <c r="AO1198" s="68"/>
      <c r="AP1198" s="68"/>
      <c r="AQ1198" s="68"/>
      <c r="AR1198" s="68"/>
      <c r="AS1198" s="68"/>
      <c r="AT1198" s="68"/>
      <c r="AU1198" s="68"/>
      <c r="AV1198" s="68"/>
      <c r="AW1198" s="68"/>
      <c r="AX1198" s="68"/>
      <c r="AY1198" s="68"/>
      <c r="AZ1198" s="68"/>
      <c r="BA1198" s="68"/>
      <c r="BB1198" s="68"/>
      <c r="BC1198" s="68"/>
      <c r="BD1198" s="68"/>
      <c r="BE1198" s="68"/>
      <c r="BF1198" s="68"/>
      <c r="BG1198" s="68"/>
      <c r="BH1198" s="68"/>
      <c r="BI1198" s="68"/>
      <c r="BJ1198" s="68"/>
      <c r="BK1198" s="68"/>
      <c r="BL1198" s="68"/>
      <c r="BM1198" s="68"/>
      <c r="BN1198" s="68"/>
      <c r="BO1198" s="68"/>
      <c r="BP1198" s="68"/>
      <c r="BQ1198" s="68"/>
      <c r="BR1198" s="68"/>
      <c r="BS1198" s="68"/>
      <c r="BT1198" s="68"/>
      <c r="BU1198" s="68"/>
      <c r="BV1198" s="68"/>
      <c r="BW1198" s="68"/>
      <c r="BX1198" s="68"/>
      <c r="BY1198" s="68"/>
      <c r="BZ1198" s="68"/>
      <c r="CA1198" s="68"/>
      <c r="CB1198" s="68"/>
      <c r="CC1198" s="68"/>
      <c r="CD1198" s="68"/>
      <c r="CE1198" s="68"/>
      <c r="CF1198" s="68"/>
      <c r="CG1198" s="68"/>
      <c r="CH1198" s="68"/>
      <c r="CI1198" s="68"/>
      <c r="CJ1198" s="68"/>
      <c r="CK1198" s="68"/>
      <c r="CL1198" s="68"/>
      <c r="CM1198" s="68"/>
      <c r="CN1198" s="68"/>
      <c r="CO1198" s="68"/>
      <c r="CP1198" s="68"/>
      <c r="CQ1198" s="68"/>
      <c r="CR1198" s="68"/>
      <c r="CS1198" s="68"/>
      <c r="CT1198" s="68"/>
      <c r="CU1198" s="68"/>
      <c r="CV1198" s="68"/>
      <c r="CW1198" s="68"/>
      <c r="CX1198" s="68"/>
    </row>
    <row r="1199" spans="4:102" s="71" customFormat="1" hidden="1">
      <c r="D1199" s="69"/>
      <c r="E1199" s="68"/>
      <c r="F1199" s="68"/>
      <c r="G1199" s="68"/>
      <c r="H1199" s="68"/>
      <c r="I1199" s="68"/>
      <c r="J1199" s="68"/>
      <c r="K1199" s="73"/>
      <c r="L1199" s="68"/>
      <c r="M1199" s="68"/>
      <c r="N1199" s="68"/>
      <c r="O1199" s="68"/>
      <c r="P1199" s="65"/>
      <c r="Q1199" s="103"/>
      <c r="R1199" s="103"/>
      <c r="S1199" s="103"/>
      <c r="T1199" s="103"/>
      <c r="U1199" s="68"/>
      <c r="V1199" s="69"/>
      <c r="W1199" s="68"/>
      <c r="X1199" s="68"/>
      <c r="Y1199" s="68"/>
      <c r="Z1199" s="68"/>
      <c r="AA1199" s="68"/>
      <c r="AB1199" s="68"/>
      <c r="AC1199" s="68"/>
      <c r="AD1199" s="68"/>
      <c r="AE1199" s="68"/>
      <c r="AF1199" s="68"/>
      <c r="AG1199" s="68"/>
      <c r="AH1199" s="68"/>
      <c r="AI1199" s="68"/>
      <c r="AJ1199" s="68"/>
      <c r="AK1199" s="68"/>
      <c r="AL1199" s="68"/>
      <c r="AM1199" s="68"/>
      <c r="AN1199" s="68"/>
      <c r="AO1199" s="68"/>
      <c r="AP1199" s="68"/>
      <c r="AQ1199" s="68"/>
      <c r="AR1199" s="68"/>
      <c r="AS1199" s="68"/>
      <c r="AT1199" s="68"/>
      <c r="AU1199" s="68"/>
      <c r="AV1199" s="68"/>
      <c r="AW1199" s="68"/>
      <c r="AX1199" s="68"/>
      <c r="AY1199" s="68"/>
      <c r="AZ1199" s="68"/>
      <c r="BA1199" s="68"/>
      <c r="BB1199" s="68"/>
      <c r="BC1199" s="68"/>
      <c r="BD1199" s="68"/>
      <c r="BE1199" s="68"/>
      <c r="BF1199" s="68"/>
      <c r="BG1199" s="68"/>
      <c r="BH1199" s="68"/>
      <c r="BI1199" s="68"/>
      <c r="BJ1199" s="68"/>
      <c r="BK1199" s="68"/>
      <c r="BL1199" s="68"/>
      <c r="BM1199" s="68"/>
      <c r="BN1199" s="68"/>
      <c r="BO1199" s="68"/>
      <c r="BP1199" s="68"/>
      <c r="BQ1199" s="68"/>
      <c r="BR1199" s="68"/>
      <c r="BS1199" s="68"/>
      <c r="BT1199" s="68"/>
      <c r="BU1199" s="68"/>
      <c r="BV1199" s="68"/>
      <c r="BW1199" s="68"/>
      <c r="BX1199" s="68"/>
      <c r="BY1199" s="68"/>
      <c r="BZ1199" s="68"/>
      <c r="CA1199" s="68"/>
      <c r="CB1199" s="68"/>
      <c r="CC1199" s="68"/>
      <c r="CD1199" s="68"/>
      <c r="CE1199" s="68"/>
      <c r="CF1199" s="68"/>
      <c r="CG1199" s="68"/>
      <c r="CH1199" s="68"/>
      <c r="CI1199" s="68"/>
      <c r="CJ1199" s="68"/>
      <c r="CK1199" s="68"/>
      <c r="CL1199" s="68"/>
      <c r="CM1199" s="68"/>
      <c r="CN1199" s="68"/>
      <c r="CO1199" s="68"/>
      <c r="CP1199" s="68"/>
      <c r="CQ1199" s="68"/>
      <c r="CR1199" s="68"/>
      <c r="CS1199" s="68"/>
      <c r="CT1199" s="68"/>
      <c r="CU1199" s="68"/>
      <c r="CV1199" s="68"/>
      <c r="CW1199" s="68"/>
      <c r="CX1199" s="68"/>
    </row>
    <row r="1200" spans="4:102" s="71" customFormat="1" hidden="1">
      <c r="D1200" s="69"/>
      <c r="E1200" s="68"/>
      <c r="F1200" s="68"/>
      <c r="G1200" s="68"/>
      <c r="H1200" s="68"/>
      <c r="I1200" s="68"/>
      <c r="J1200" s="68"/>
      <c r="K1200" s="73"/>
      <c r="L1200" s="68"/>
      <c r="M1200" s="68"/>
      <c r="N1200" s="68"/>
      <c r="O1200" s="68"/>
      <c r="P1200" s="65"/>
      <c r="Q1200" s="103"/>
      <c r="R1200" s="103"/>
      <c r="S1200" s="103"/>
      <c r="T1200" s="103"/>
      <c r="U1200" s="68"/>
      <c r="V1200" s="69"/>
      <c r="W1200" s="68"/>
      <c r="X1200" s="68"/>
      <c r="Y1200" s="68"/>
      <c r="Z1200" s="68"/>
      <c r="AA1200" s="68"/>
      <c r="AB1200" s="68"/>
      <c r="AC1200" s="68"/>
      <c r="AD1200" s="68"/>
      <c r="AE1200" s="68"/>
      <c r="AF1200" s="68"/>
      <c r="AG1200" s="68"/>
      <c r="AH1200" s="68"/>
      <c r="AI1200" s="68"/>
      <c r="AJ1200" s="68"/>
      <c r="AK1200" s="68"/>
      <c r="AL1200" s="68"/>
      <c r="AM1200" s="68"/>
      <c r="AN1200" s="68"/>
      <c r="AO1200" s="68"/>
      <c r="AP1200" s="68"/>
      <c r="AQ1200" s="68"/>
      <c r="AR1200" s="68"/>
      <c r="AS1200" s="68"/>
      <c r="AT1200" s="68"/>
      <c r="AU1200" s="68"/>
      <c r="AV1200" s="68"/>
      <c r="AW1200" s="68"/>
      <c r="AX1200" s="68"/>
      <c r="AY1200" s="68"/>
      <c r="AZ1200" s="68"/>
      <c r="BA1200" s="68"/>
      <c r="BB1200" s="68"/>
      <c r="BC1200" s="68"/>
      <c r="BD1200" s="68"/>
      <c r="BE1200" s="68"/>
      <c r="BF1200" s="68"/>
      <c r="BG1200" s="68"/>
      <c r="BH1200" s="68"/>
      <c r="BI1200" s="68"/>
      <c r="BJ1200" s="68"/>
      <c r="BK1200" s="68"/>
      <c r="BL1200" s="68"/>
      <c r="BM1200" s="68"/>
      <c r="BN1200" s="68"/>
      <c r="BO1200" s="68"/>
      <c r="BP1200" s="68"/>
      <c r="BQ1200" s="68"/>
      <c r="BR1200" s="68"/>
      <c r="BS1200" s="68"/>
      <c r="BT1200" s="68"/>
      <c r="BU1200" s="68"/>
      <c r="BV1200" s="68"/>
      <c r="BW1200" s="68"/>
      <c r="BX1200" s="68"/>
      <c r="BY1200" s="68"/>
      <c r="BZ1200" s="68"/>
      <c r="CA1200" s="68"/>
      <c r="CB1200" s="68"/>
      <c r="CC1200" s="68"/>
      <c r="CD1200" s="68"/>
      <c r="CE1200" s="68"/>
      <c r="CF1200" s="68"/>
      <c r="CG1200" s="68"/>
      <c r="CH1200" s="68"/>
      <c r="CI1200" s="68"/>
      <c r="CJ1200" s="68"/>
      <c r="CK1200" s="68"/>
      <c r="CL1200" s="68"/>
      <c r="CM1200" s="68"/>
      <c r="CN1200" s="68"/>
      <c r="CO1200" s="68"/>
      <c r="CP1200" s="68"/>
      <c r="CQ1200" s="68"/>
      <c r="CR1200" s="68"/>
      <c r="CS1200" s="68"/>
      <c r="CT1200" s="68"/>
      <c r="CU1200" s="68"/>
      <c r="CV1200" s="68"/>
      <c r="CW1200" s="68"/>
      <c r="CX1200" s="68"/>
    </row>
    <row r="1201" spans="4:102" s="71" customFormat="1" hidden="1">
      <c r="D1201" s="69"/>
      <c r="E1201" s="68"/>
      <c r="F1201" s="68"/>
      <c r="G1201" s="68"/>
      <c r="H1201" s="68"/>
      <c r="I1201" s="68"/>
      <c r="J1201" s="68"/>
      <c r="K1201" s="73"/>
      <c r="L1201" s="68"/>
      <c r="M1201" s="68"/>
      <c r="N1201" s="68"/>
      <c r="O1201" s="68"/>
      <c r="P1201" s="65"/>
      <c r="Q1201" s="103"/>
      <c r="R1201" s="103"/>
      <c r="S1201" s="103"/>
      <c r="T1201" s="103"/>
      <c r="U1201" s="68"/>
      <c r="V1201" s="69"/>
      <c r="W1201" s="68"/>
      <c r="X1201" s="68"/>
      <c r="Y1201" s="68"/>
      <c r="Z1201" s="68"/>
      <c r="AA1201" s="68"/>
      <c r="AB1201" s="68"/>
      <c r="AC1201" s="68"/>
      <c r="AD1201" s="68"/>
      <c r="AE1201" s="68"/>
      <c r="AF1201" s="68"/>
      <c r="AG1201" s="68"/>
      <c r="AH1201" s="68"/>
      <c r="AI1201" s="68"/>
      <c r="AJ1201" s="68"/>
      <c r="AK1201" s="68"/>
      <c r="AL1201" s="68"/>
      <c r="AM1201" s="68"/>
      <c r="AN1201" s="68"/>
      <c r="AO1201" s="68"/>
      <c r="AP1201" s="68"/>
      <c r="AQ1201" s="68"/>
      <c r="AR1201" s="68"/>
      <c r="AS1201" s="68"/>
      <c r="AT1201" s="68"/>
      <c r="AU1201" s="68"/>
      <c r="AV1201" s="68"/>
      <c r="AW1201" s="68"/>
      <c r="AX1201" s="68"/>
      <c r="AY1201" s="68"/>
      <c r="AZ1201" s="68"/>
      <c r="BA1201" s="68"/>
      <c r="BB1201" s="68"/>
      <c r="BC1201" s="68"/>
      <c r="BD1201" s="68"/>
      <c r="BE1201" s="68"/>
      <c r="BF1201" s="68"/>
      <c r="BG1201" s="68"/>
      <c r="BH1201" s="68"/>
      <c r="BI1201" s="68"/>
      <c r="BJ1201" s="68"/>
      <c r="BK1201" s="68"/>
      <c r="BL1201" s="68"/>
      <c r="BM1201" s="68"/>
      <c r="BN1201" s="68"/>
      <c r="BO1201" s="68"/>
      <c r="BP1201" s="68"/>
      <c r="BQ1201" s="68"/>
      <c r="BR1201" s="68"/>
      <c r="BS1201" s="68"/>
      <c r="BT1201" s="68"/>
      <c r="BU1201" s="68"/>
      <c r="BV1201" s="68"/>
      <c r="BW1201" s="68"/>
      <c r="BX1201" s="68"/>
      <c r="BY1201" s="68"/>
      <c r="BZ1201" s="68"/>
      <c r="CA1201" s="68"/>
      <c r="CB1201" s="68"/>
      <c r="CC1201" s="68"/>
      <c r="CD1201" s="68"/>
      <c r="CE1201" s="68"/>
      <c r="CF1201" s="68"/>
      <c r="CG1201" s="68"/>
      <c r="CH1201" s="68"/>
      <c r="CI1201" s="68"/>
      <c r="CJ1201" s="68"/>
      <c r="CK1201" s="68"/>
      <c r="CL1201" s="68"/>
      <c r="CM1201" s="68"/>
      <c r="CN1201" s="68"/>
      <c r="CO1201" s="68"/>
      <c r="CP1201" s="68"/>
      <c r="CQ1201" s="68"/>
      <c r="CR1201" s="68"/>
      <c r="CS1201" s="68"/>
      <c r="CT1201" s="68"/>
      <c r="CU1201" s="68"/>
      <c r="CV1201" s="68"/>
      <c r="CW1201" s="68"/>
      <c r="CX1201" s="68"/>
    </row>
    <row r="1202" spans="4:102" s="71" customFormat="1" hidden="1">
      <c r="D1202" s="69"/>
      <c r="E1202" s="68"/>
      <c r="F1202" s="68"/>
      <c r="G1202" s="68"/>
      <c r="H1202" s="68"/>
      <c r="I1202" s="68"/>
      <c r="J1202" s="68"/>
      <c r="K1202" s="73"/>
      <c r="L1202" s="68"/>
      <c r="M1202" s="68"/>
      <c r="N1202" s="68"/>
      <c r="O1202" s="68"/>
      <c r="P1202" s="65"/>
      <c r="Q1202" s="103"/>
      <c r="R1202" s="103"/>
      <c r="S1202" s="103"/>
      <c r="T1202" s="103"/>
      <c r="U1202" s="68"/>
      <c r="V1202" s="69"/>
      <c r="W1202" s="68"/>
      <c r="X1202" s="68"/>
      <c r="Y1202" s="68"/>
      <c r="Z1202" s="68"/>
      <c r="AA1202" s="68"/>
      <c r="AB1202" s="68"/>
      <c r="AC1202" s="68"/>
      <c r="AD1202" s="68"/>
      <c r="AE1202" s="68"/>
      <c r="AF1202" s="68"/>
      <c r="AG1202" s="68"/>
      <c r="AH1202" s="68"/>
      <c r="AI1202" s="68"/>
      <c r="AJ1202" s="68"/>
      <c r="AK1202" s="68"/>
      <c r="AL1202" s="68"/>
      <c r="AM1202" s="68"/>
      <c r="AN1202" s="68"/>
      <c r="AO1202" s="68"/>
      <c r="AP1202" s="68"/>
      <c r="AQ1202" s="68"/>
      <c r="AR1202" s="68"/>
      <c r="AS1202" s="68"/>
      <c r="AT1202" s="68"/>
      <c r="AU1202" s="68"/>
      <c r="AV1202" s="68"/>
      <c r="AW1202" s="68"/>
      <c r="AX1202" s="68"/>
      <c r="AY1202" s="68"/>
      <c r="AZ1202" s="68"/>
      <c r="BA1202" s="68"/>
      <c r="BB1202" s="68"/>
      <c r="BC1202" s="68"/>
      <c r="BD1202" s="68"/>
      <c r="BE1202" s="68"/>
      <c r="BF1202" s="68"/>
      <c r="BG1202" s="68"/>
      <c r="BH1202" s="68"/>
      <c r="BI1202" s="68"/>
      <c r="BJ1202" s="68"/>
      <c r="BK1202" s="68"/>
      <c r="BL1202" s="68"/>
      <c r="BM1202" s="68"/>
      <c r="BN1202" s="68"/>
      <c r="BO1202" s="68"/>
      <c r="BP1202" s="68"/>
      <c r="BQ1202" s="68"/>
      <c r="BR1202" s="68"/>
      <c r="BS1202" s="68"/>
      <c r="BT1202" s="68"/>
      <c r="BU1202" s="68"/>
      <c r="BV1202" s="68"/>
      <c r="BW1202" s="68"/>
      <c r="BX1202" s="68"/>
      <c r="BY1202" s="68"/>
      <c r="BZ1202" s="68"/>
      <c r="CA1202" s="68"/>
      <c r="CB1202" s="68"/>
      <c r="CC1202" s="68"/>
      <c r="CD1202" s="68"/>
      <c r="CE1202" s="68"/>
      <c r="CF1202" s="68"/>
      <c r="CG1202" s="68"/>
      <c r="CH1202" s="68"/>
      <c r="CI1202" s="68"/>
      <c r="CJ1202" s="68"/>
      <c r="CK1202" s="68"/>
      <c r="CL1202" s="68"/>
      <c r="CM1202" s="68"/>
      <c r="CN1202" s="68"/>
      <c r="CO1202" s="68"/>
      <c r="CP1202" s="68"/>
      <c r="CQ1202" s="68"/>
      <c r="CR1202" s="68"/>
      <c r="CS1202" s="68"/>
      <c r="CT1202" s="68"/>
      <c r="CU1202" s="68"/>
      <c r="CV1202" s="68"/>
      <c r="CW1202" s="68"/>
      <c r="CX1202" s="68"/>
    </row>
    <row r="1203" spans="4:102" s="71" customFormat="1" hidden="1">
      <c r="D1203" s="69"/>
      <c r="E1203" s="68"/>
      <c r="F1203" s="68"/>
      <c r="G1203" s="68"/>
      <c r="H1203" s="68"/>
      <c r="I1203" s="68"/>
      <c r="J1203" s="68"/>
      <c r="K1203" s="73"/>
      <c r="L1203" s="68"/>
      <c r="M1203" s="68"/>
      <c r="N1203" s="68"/>
      <c r="O1203" s="68"/>
      <c r="P1203" s="65"/>
      <c r="Q1203" s="103"/>
      <c r="R1203" s="103"/>
      <c r="S1203" s="103"/>
      <c r="T1203" s="103"/>
      <c r="U1203" s="68"/>
      <c r="V1203" s="69"/>
      <c r="W1203" s="68"/>
      <c r="X1203" s="68"/>
      <c r="Y1203" s="68"/>
      <c r="Z1203" s="68"/>
      <c r="AA1203" s="68"/>
      <c r="AB1203" s="68"/>
      <c r="AC1203" s="68"/>
      <c r="AD1203" s="68"/>
      <c r="AE1203" s="68"/>
      <c r="AF1203" s="68"/>
      <c r="AG1203" s="68"/>
      <c r="AH1203" s="68"/>
      <c r="AI1203" s="68"/>
      <c r="AJ1203" s="68"/>
      <c r="AK1203" s="68"/>
      <c r="AL1203" s="68"/>
      <c r="AM1203" s="68"/>
      <c r="AN1203" s="68"/>
      <c r="AO1203" s="68"/>
      <c r="AP1203" s="68"/>
      <c r="AQ1203" s="68"/>
      <c r="AR1203" s="68"/>
      <c r="AS1203" s="68"/>
      <c r="AT1203" s="68"/>
      <c r="AU1203" s="68"/>
      <c r="AV1203" s="68"/>
      <c r="AW1203" s="68"/>
      <c r="AX1203" s="68"/>
      <c r="AY1203" s="68"/>
      <c r="AZ1203" s="68"/>
      <c r="BA1203" s="68"/>
      <c r="BB1203" s="68"/>
      <c r="BC1203" s="68"/>
      <c r="BD1203" s="68"/>
      <c r="BE1203" s="68"/>
      <c r="BF1203" s="68"/>
      <c r="BG1203" s="68"/>
      <c r="BH1203" s="68"/>
      <c r="BI1203" s="68"/>
      <c r="BJ1203" s="68"/>
      <c r="BK1203" s="68"/>
      <c r="BL1203" s="68"/>
      <c r="BM1203" s="68"/>
      <c r="BN1203" s="68"/>
      <c r="BO1203" s="68"/>
      <c r="BP1203" s="68"/>
      <c r="BQ1203" s="68"/>
      <c r="BR1203" s="68"/>
      <c r="BS1203" s="68"/>
      <c r="BT1203" s="68"/>
      <c r="BU1203" s="68"/>
      <c r="BV1203" s="68"/>
      <c r="BW1203" s="68"/>
      <c r="BX1203" s="68"/>
      <c r="BY1203" s="68"/>
      <c r="BZ1203" s="68"/>
      <c r="CA1203" s="68"/>
      <c r="CB1203" s="68"/>
      <c r="CC1203" s="68"/>
      <c r="CD1203" s="68"/>
      <c r="CE1203" s="68"/>
      <c r="CF1203" s="68"/>
      <c r="CG1203" s="68"/>
      <c r="CH1203" s="68"/>
      <c r="CI1203" s="68"/>
      <c r="CJ1203" s="68"/>
      <c r="CK1203" s="68"/>
      <c r="CL1203" s="68"/>
      <c r="CM1203" s="68"/>
      <c r="CN1203" s="68"/>
      <c r="CO1203" s="68"/>
      <c r="CP1203" s="68"/>
      <c r="CQ1203" s="68"/>
      <c r="CR1203" s="68"/>
      <c r="CS1203" s="68"/>
      <c r="CT1203" s="68"/>
      <c r="CU1203" s="68"/>
      <c r="CV1203" s="68"/>
      <c r="CW1203" s="68"/>
      <c r="CX1203" s="68"/>
    </row>
    <row r="1204" spans="4:102" s="71" customFormat="1" hidden="1">
      <c r="D1204" s="69"/>
      <c r="E1204" s="68"/>
      <c r="F1204" s="68"/>
      <c r="G1204" s="68"/>
      <c r="H1204" s="68"/>
      <c r="I1204" s="68"/>
      <c r="J1204" s="68"/>
      <c r="K1204" s="73"/>
      <c r="L1204" s="68"/>
      <c r="M1204" s="68"/>
      <c r="N1204" s="68"/>
      <c r="O1204" s="68"/>
      <c r="P1204" s="65"/>
      <c r="Q1204" s="103"/>
      <c r="R1204" s="103"/>
      <c r="S1204" s="103"/>
      <c r="T1204" s="103"/>
      <c r="U1204" s="68"/>
      <c r="V1204" s="69"/>
      <c r="W1204" s="68"/>
      <c r="X1204" s="68"/>
      <c r="Y1204" s="68"/>
      <c r="Z1204" s="68"/>
      <c r="AA1204" s="68"/>
      <c r="AB1204" s="68"/>
      <c r="AC1204" s="68"/>
      <c r="AD1204" s="68"/>
      <c r="AE1204" s="68"/>
      <c r="AF1204" s="68"/>
      <c r="AG1204" s="68"/>
      <c r="AH1204" s="68"/>
      <c r="AI1204" s="68"/>
      <c r="AJ1204" s="68"/>
      <c r="AK1204" s="68"/>
      <c r="AL1204" s="68"/>
      <c r="AM1204" s="68"/>
      <c r="AN1204" s="68"/>
      <c r="AO1204" s="68"/>
      <c r="AP1204" s="68"/>
      <c r="AQ1204" s="68"/>
      <c r="AR1204" s="68"/>
      <c r="AS1204" s="68"/>
      <c r="AT1204" s="68"/>
      <c r="AU1204" s="68"/>
      <c r="AV1204" s="68"/>
      <c r="AW1204" s="68"/>
      <c r="AX1204" s="68"/>
      <c r="AY1204" s="68"/>
      <c r="AZ1204" s="68"/>
      <c r="BA1204" s="68"/>
      <c r="BB1204" s="68"/>
      <c r="BC1204" s="68"/>
      <c r="BD1204" s="68"/>
      <c r="BE1204" s="68"/>
      <c r="BF1204" s="68"/>
      <c r="BG1204" s="68"/>
      <c r="BH1204" s="68"/>
      <c r="BI1204" s="68"/>
      <c r="BJ1204" s="68"/>
      <c r="BK1204" s="68"/>
      <c r="BL1204" s="68"/>
      <c r="BM1204" s="68"/>
      <c r="BN1204" s="68"/>
      <c r="BO1204" s="68"/>
      <c r="BP1204" s="68"/>
      <c r="BQ1204" s="68"/>
      <c r="BR1204" s="68"/>
      <c r="BS1204" s="68"/>
      <c r="BT1204" s="68"/>
      <c r="BU1204" s="68"/>
      <c r="BV1204" s="68"/>
      <c r="BW1204" s="68"/>
      <c r="BX1204" s="68"/>
      <c r="BY1204" s="68"/>
      <c r="BZ1204" s="68"/>
      <c r="CA1204" s="68"/>
      <c r="CB1204" s="68"/>
      <c r="CC1204" s="68"/>
      <c r="CD1204" s="68"/>
      <c r="CE1204" s="68"/>
      <c r="CF1204" s="68"/>
      <c r="CG1204" s="68"/>
      <c r="CH1204" s="68"/>
      <c r="CI1204" s="68"/>
      <c r="CJ1204" s="68"/>
      <c r="CK1204" s="68"/>
      <c r="CL1204" s="68"/>
      <c r="CM1204" s="68"/>
      <c r="CN1204" s="68"/>
      <c r="CO1204" s="68"/>
      <c r="CP1204" s="68"/>
      <c r="CQ1204" s="68"/>
      <c r="CR1204" s="68"/>
      <c r="CS1204" s="68"/>
      <c r="CT1204" s="68"/>
      <c r="CU1204" s="68"/>
      <c r="CV1204" s="68"/>
      <c r="CW1204" s="68"/>
      <c r="CX1204" s="68"/>
    </row>
    <row r="1205" spans="4:102" s="71" customFormat="1" hidden="1">
      <c r="D1205" s="69"/>
      <c r="E1205" s="68"/>
      <c r="F1205" s="68"/>
      <c r="G1205" s="68"/>
      <c r="H1205" s="68"/>
      <c r="I1205" s="68"/>
      <c r="J1205" s="68"/>
      <c r="K1205" s="73"/>
      <c r="L1205" s="68"/>
      <c r="M1205" s="68"/>
      <c r="N1205" s="68"/>
      <c r="O1205" s="68"/>
      <c r="P1205" s="65"/>
      <c r="Q1205" s="103"/>
      <c r="R1205" s="103"/>
      <c r="S1205" s="103"/>
      <c r="T1205" s="103"/>
      <c r="U1205" s="68"/>
      <c r="V1205" s="69"/>
      <c r="W1205" s="68"/>
      <c r="X1205" s="68"/>
      <c r="Y1205" s="68"/>
      <c r="Z1205" s="68"/>
      <c r="AA1205" s="68"/>
      <c r="AB1205" s="68"/>
      <c r="AC1205" s="68"/>
      <c r="AD1205" s="68"/>
      <c r="AE1205" s="68"/>
      <c r="AF1205" s="68"/>
      <c r="AG1205" s="68"/>
      <c r="AH1205" s="68"/>
      <c r="AI1205" s="68"/>
      <c r="AJ1205" s="68"/>
      <c r="AK1205" s="68"/>
      <c r="AL1205" s="68"/>
      <c r="AM1205" s="68"/>
      <c r="AN1205" s="68"/>
      <c r="AO1205" s="68"/>
      <c r="AP1205" s="68"/>
      <c r="AQ1205" s="68"/>
      <c r="AR1205" s="68"/>
      <c r="AS1205" s="68"/>
      <c r="AT1205" s="68"/>
      <c r="AU1205" s="68"/>
      <c r="AV1205" s="68"/>
      <c r="AW1205" s="68"/>
      <c r="AX1205" s="68"/>
      <c r="AY1205" s="68"/>
      <c r="AZ1205" s="68"/>
      <c r="BA1205" s="68"/>
      <c r="BB1205" s="68"/>
      <c r="BC1205" s="68"/>
      <c r="BD1205" s="68"/>
      <c r="BE1205" s="68"/>
      <c r="BF1205" s="68"/>
      <c r="BG1205" s="68"/>
      <c r="BH1205" s="68"/>
      <c r="BI1205" s="68"/>
      <c r="BJ1205" s="68"/>
      <c r="BK1205" s="68"/>
      <c r="BL1205" s="68"/>
      <c r="BM1205" s="68"/>
      <c r="BN1205" s="68"/>
      <c r="BO1205" s="68"/>
      <c r="BP1205" s="68"/>
      <c r="BQ1205" s="68"/>
      <c r="BR1205" s="68"/>
      <c r="BS1205" s="68"/>
      <c r="BT1205" s="68"/>
      <c r="BU1205" s="68"/>
      <c r="BV1205" s="68"/>
      <c r="BW1205" s="68"/>
      <c r="BX1205" s="68"/>
      <c r="BY1205" s="68"/>
      <c r="BZ1205" s="68"/>
      <c r="CA1205" s="68"/>
      <c r="CB1205" s="68"/>
      <c r="CC1205" s="68"/>
      <c r="CD1205" s="68"/>
      <c r="CE1205" s="68"/>
      <c r="CF1205" s="68"/>
      <c r="CG1205" s="68"/>
      <c r="CH1205" s="68"/>
      <c r="CI1205" s="68"/>
      <c r="CJ1205" s="68"/>
      <c r="CK1205" s="68"/>
      <c r="CL1205" s="68"/>
      <c r="CM1205" s="68"/>
      <c r="CN1205" s="68"/>
      <c r="CO1205" s="68"/>
      <c r="CP1205" s="68"/>
      <c r="CQ1205" s="68"/>
      <c r="CR1205" s="68"/>
      <c r="CS1205" s="68"/>
      <c r="CT1205" s="68"/>
      <c r="CU1205" s="68"/>
      <c r="CV1205" s="68"/>
      <c r="CW1205" s="68"/>
      <c r="CX1205" s="68"/>
    </row>
    <row r="1206" spans="4:102" s="71" customFormat="1" hidden="1">
      <c r="D1206" s="69"/>
      <c r="E1206" s="68"/>
      <c r="F1206" s="68"/>
      <c r="G1206" s="68"/>
      <c r="H1206" s="68"/>
      <c r="I1206" s="68"/>
      <c r="J1206" s="68"/>
      <c r="K1206" s="73"/>
      <c r="L1206" s="68"/>
      <c r="M1206" s="68"/>
      <c r="N1206" s="68"/>
      <c r="O1206" s="68"/>
      <c r="P1206" s="65"/>
      <c r="Q1206" s="103"/>
      <c r="R1206" s="103"/>
      <c r="S1206" s="103"/>
      <c r="T1206" s="103"/>
      <c r="U1206" s="68"/>
      <c r="V1206" s="69"/>
      <c r="W1206" s="68"/>
      <c r="X1206" s="68"/>
      <c r="Y1206" s="68"/>
      <c r="Z1206" s="68"/>
      <c r="AA1206" s="68"/>
      <c r="AB1206" s="68"/>
      <c r="AC1206" s="68"/>
      <c r="AD1206" s="68"/>
      <c r="AE1206" s="68"/>
      <c r="AF1206" s="68"/>
      <c r="AG1206" s="68"/>
      <c r="AH1206" s="68"/>
      <c r="AI1206" s="68"/>
      <c r="AJ1206" s="68"/>
      <c r="AK1206" s="68"/>
      <c r="AL1206" s="68"/>
      <c r="AM1206" s="68"/>
      <c r="AN1206" s="68"/>
      <c r="AO1206" s="68"/>
      <c r="AP1206" s="68"/>
      <c r="AQ1206" s="68"/>
      <c r="AR1206" s="68"/>
      <c r="AS1206" s="68"/>
      <c r="AT1206" s="68"/>
      <c r="AU1206" s="68"/>
      <c r="AV1206" s="68"/>
      <c r="AW1206" s="68"/>
      <c r="AX1206" s="68"/>
      <c r="AY1206" s="68"/>
      <c r="AZ1206" s="68"/>
      <c r="BA1206" s="68"/>
      <c r="BB1206" s="68"/>
      <c r="BC1206" s="68"/>
      <c r="BD1206" s="68"/>
      <c r="BE1206" s="68"/>
      <c r="BF1206" s="68"/>
      <c r="BG1206" s="68"/>
      <c r="BH1206" s="68"/>
      <c r="BI1206" s="68"/>
      <c r="BJ1206" s="68"/>
      <c r="BK1206" s="68"/>
      <c r="BL1206" s="68"/>
      <c r="BM1206" s="68"/>
      <c r="BN1206" s="68"/>
      <c r="BO1206" s="68"/>
      <c r="BP1206" s="68"/>
      <c r="BQ1206" s="68"/>
      <c r="BR1206" s="68"/>
      <c r="BS1206" s="68"/>
      <c r="BT1206" s="68"/>
      <c r="BU1206" s="68"/>
      <c r="BV1206" s="68"/>
      <c r="BW1206" s="68"/>
      <c r="BX1206" s="68"/>
      <c r="BY1206" s="68"/>
      <c r="BZ1206" s="68"/>
      <c r="CA1206" s="68"/>
      <c r="CB1206" s="68"/>
      <c r="CC1206" s="68"/>
      <c r="CD1206" s="68"/>
      <c r="CE1206" s="68"/>
      <c r="CF1206" s="68"/>
      <c r="CG1206" s="68"/>
      <c r="CH1206" s="68"/>
      <c r="CI1206" s="68"/>
      <c r="CJ1206" s="68"/>
      <c r="CK1206" s="68"/>
      <c r="CL1206" s="68"/>
      <c r="CM1206" s="68"/>
      <c r="CN1206" s="68"/>
      <c r="CO1206" s="68"/>
      <c r="CP1206" s="68"/>
      <c r="CQ1206" s="68"/>
      <c r="CR1206" s="68"/>
      <c r="CS1206" s="68"/>
      <c r="CT1206" s="68"/>
      <c r="CU1206" s="68"/>
      <c r="CV1206" s="68"/>
      <c r="CW1206" s="68"/>
      <c r="CX1206" s="68"/>
    </row>
    <row r="1207" spans="4:102" s="71" customFormat="1" hidden="1">
      <c r="D1207" s="69"/>
      <c r="E1207" s="68"/>
      <c r="F1207" s="68"/>
      <c r="G1207" s="68"/>
      <c r="H1207" s="68"/>
      <c r="I1207" s="68"/>
      <c r="J1207" s="68"/>
      <c r="K1207" s="73"/>
      <c r="L1207" s="68"/>
      <c r="M1207" s="68"/>
      <c r="N1207" s="68"/>
      <c r="O1207" s="68"/>
      <c r="P1207" s="65"/>
      <c r="Q1207" s="103"/>
      <c r="R1207" s="103"/>
      <c r="S1207" s="103"/>
      <c r="T1207" s="103"/>
      <c r="U1207" s="68"/>
      <c r="V1207" s="69"/>
      <c r="W1207" s="68"/>
      <c r="X1207" s="68"/>
      <c r="Y1207" s="68"/>
      <c r="Z1207" s="68"/>
      <c r="AA1207" s="68"/>
      <c r="AB1207" s="68"/>
      <c r="AC1207" s="68"/>
      <c r="AD1207" s="68"/>
      <c r="AE1207" s="68"/>
      <c r="AF1207" s="68"/>
      <c r="AG1207" s="68"/>
      <c r="AH1207" s="68"/>
      <c r="AI1207" s="68"/>
      <c r="AJ1207" s="68"/>
      <c r="AK1207" s="68"/>
      <c r="AL1207" s="68"/>
      <c r="AM1207" s="68"/>
      <c r="AN1207" s="68"/>
      <c r="AO1207" s="68"/>
      <c r="AP1207" s="68"/>
      <c r="AQ1207" s="68"/>
      <c r="AR1207" s="68"/>
      <c r="AS1207" s="68"/>
      <c r="AT1207" s="68"/>
      <c r="AU1207" s="68"/>
      <c r="AV1207" s="68"/>
      <c r="AW1207" s="68"/>
      <c r="AX1207" s="68"/>
      <c r="AY1207" s="68"/>
      <c r="AZ1207" s="68"/>
      <c r="BA1207" s="68"/>
      <c r="BB1207" s="68"/>
      <c r="BC1207" s="68"/>
      <c r="BD1207" s="68"/>
      <c r="BE1207" s="68"/>
      <c r="BF1207" s="68"/>
      <c r="BG1207" s="68"/>
      <c r="BH1207" s="68"/>
      <c r="BI1207" s="68"/>
      <c r="BJ1207" s="68"/>
      <c r="BK1207" s="68"/>
      <c r="BL1207" s="68"/>
      <c r="BM1207" s="68"/>
      <c r="BN1207" s="68"/>
      <c r="BO1207" s="68"/>
      <c r="BP1207" s="68"/>
      <c r="BQ1207" s="68"/>
      <c r="BR1207" s="68"/>
      <c r="BS1207" s="68"/>
      <c r="BT1207" s="68"/>
      <c r="BU1207" s="68"/>
      <c r="BV1207" s="68"/>
      <c r="BW1207" s="68"/>
      <c r="BX1207" s="68"/>
      <c r="BY1207" s="68"/>
      <c r="BZ1207" s="68"/>
      <c r="CA1207" s="68"/>
      <c r="CB1207" s="68"/>
      <c r="CC1207" s="68"/>
      <c r="CD1207" s="68"/>
      <c r="CE1207" s="68"/>
      <c r="CF1207" s="68"/>
      <c r="CG1207" s="68"/>
      <c r="CH1207" s="68"/>
      <c r="CI1207" s="68"/>
      <c r="CJ1207" s="68"/>
      <c r="CK1207" s="68"/>
      <c r="CL1207" s="68"/>
      <c r="CM1207" s="68"/>
      <c r="CN1207" s="68"/>
      <c r="CO1207" s="68"/>
      <c r="CP1207" s="68"/>
      <c r="CQ1207" s="68"/>
      <c r="CR1207" s="68"/>
      <c r="CS1207" s="68"/>
      <c r="CT1207" s="68"/>
      <c r="CU1207" s="68"/>
      <c r="CV1207" s="68"/>
      <c r="CW1207" s="68"/>
      <c r="CX1207" s="68"/>
    </row>
    <row r="1208" spans="4:102" s="71" customFormat="1" hidden="1">
      <c r="D1208" s="69"/>
      <c r="E1208" s="68"/>
      <c r="F1208" s="68"/>
      <c r="G1208" s="68"/>
      <c r="H1208" s="68"/>
      <c r="I1208" s="68"/>
      <c r="J1208" s="68"/>
      <c r="K1208" s="73"/>
      <c r="L1208" s="68"/>
      <c r="M1208" s="68"/>
      <c r="N1208" s="68"/>
      <c r="O1208" s="68"/>
      <c r="P1208" s="65"/>
      <c r="Q1208" s="103"/>
      <c r="R1208" s="103"/>
      <c r="S1208" s="103"/>
      <c r="T1208" s="103"/>
      <c r="U1208" s="68"/>
      <c r="V1208" s="69"/>
      <c r="W1208" s="68"/>
      <c r="X1208" s="68"/>
      <c r="Y1208" s="68"/>
      <c r="Z1208" s="68"/>
      <c r="AA1208" s="68"/>
      <c r="AB1208" s="68"/>
      <c r="AC1208" s="68"/>
      <c r="AD1208" s="68"/>
      <c r="AE1208" s="68"/>
      <c r="AF1208" s="68"/>
      <c r="AG1208" s="68"/>
      <c r="AH1208" s="68"/>
      <c r="AI1208" s="68"/>
      <c r="AJ1208" s="68"/>
      <c r="AK1208" s="68"/>
      <c r="AL1208" s="68"/>
      <c r="AM1208" s="68"/>
      <c r="AN1208" s="68"/>
      <c r="AO1208" s="68"/>
      <c r="AP1208" s="68"/>
      <c r="AQ1208" s="68"/>
      <c r="AR1208" s="68"/>
      <c r="AS1208" s="68"/>
      <c r="AT1208" s="68"/>
      <c r="AU1208" s="68"/>
      <c r="AV1208" s="68"/>
      <c r="AW1208" s="68"/>
      <c r="AX1208" s="68"/>
      <c r="AY1208" s="68"/>
      <c r="AZ1208" s="68"/>
      <c r="BA1208" s="68"/>
      <c r="BB1208" s="68"/>
      <c r="BC1208" s="68"/>
      <c r="BD1208" s="68"/>
      <c r="BE1208" s="68"/>
      <c r="BF1208" s="68"/>
      <c r="BG1208" s="68"/>
      <c r="BH1208" s="68"/>
      <c r="BI1208" s="68"/>
      <c r="BJ1208" s="68"/>
      <c r="BK1208" s="68"/>
      <c r="BL1208" s="68"/>
      <c r="BM1208" s="68"/>
      <c r="BN1208" s="68"/>
      <c r="BO1208" s="68"/>
      <c r="BP1208" s="68"/>
      <c r="BQ1208" s="68"/>
      <c r="BR1208" s="68"/>
      <c r="BS1208" s="68"/>
      <c r="BT1208" s="68"/>
      <c r="BU1208" s="68"/>
      <c r="BV1208" s="68"/>
      <c r="BW1208" s="68"/>
      <c r="BX1208" s="68"/>
      <c r="BY1208" s="68"/>
      <c r="BZ1208" s="68"/>
      <c r="CA1208" s="68"/>
      <c r="CB1208" s="68"/>
      <c r="CC1208" s="68"/>
      <c r="CD1208" s="68"/>
      <c r="CE1208" s="68"/>
      <c r="CF1208" s="68"/>
      <c r="CG1208" s="68"/>
      <c r="CH1208" s="68"/>
      <c r="CI1208" s="68"/>
      <c r="CJ1208" s="68"/>
      <c r="CK1208" s="68"/>
      <c r="CL1208" s="68"/>
      <c r="CM1208" s="68"/>
      <c r="CN1208" s="68"/>
      <c r="CO1208" s="68"/>
      <c r="CP1208" s="68"/>
      <c r="CQ1208" s="68"/>
      <c r="CR1208" s="68"/>
      <c r="CS1208" s="68"/>
      <c r="CT1208" s="68"/>
      <c r="CU1208" s="68"/>
      <c r="CV1208" s="68"/>
      <c r="CW1208" s="68"/>
      <c r="CX1208" s="68"/>
    </row>
    <row r="1209" spans="4:102" s="71" customFormat="1" hidden="1">
      <c r="D1209" s="69"/>
      <c r="E1209" s="68"/>
      <c r="F1209" s="68"/>
      <c r="G1209" s="68"/>
      <c r="H1209" s="68"/>
      <c r="I1209" s="68"/>
      <c r="J1209" s="68"/>
      <c r="K1209" s="73"/>
      <c r="L1209" s="68"/>
      <c r="M1209" s="68"/>
      <c r="N1209" s="68"/>
      <c r="O1209" s="68"/>
      <c r="P1209" s="65"/>
      <c r="Q1209" s="103"/>
      <c r="R1209" s="103"/>
      <c r="S1209" s="103"/>
      <c r="T1209" s="103"/>
      <c r="U1209" s="68"/>
      <c r="V1209" s="69"/>
      <c r="W1209" s="68"/>
      <c r="X1209" s="68"/>
      <c r="Y1209" s="68"/>
      <c r="Z1209" s="68"/>
      <c r="AA1209" s="68"/>
      <c r="AB1209" s="68"/>
      <c r="AC1209" s="68"/>
      <c r="AD1209" s="68"/>
      <c r="AE1209" s="68"/>
      <c r="AF1209" s="68"/>
      <c r="AG1209" s="68"/>
      <c r="AH1209" s="68"/>
      <c r="AI1209" s="68"/>
      <c r="AJ1209" s="68"/>
      <c r="AK1209" s="68"/>
      <c r="AL1209" s="68"/>
      <c r="AM1209" s="68"/>
      <c r="AN1209" s="68"/>
      <c r="AO1209" s="68"/>
      <c r="AP1209" s="68"/>
      <c r="AQ1209" s="68"/>
      <c r="AR1209" s="68"/>
      <c r="AS1209" s="68"/>
      <c r="AT1209" s="68"/>
      <c r="AU1209" s="68"/>
      <c r="AV1209" s="68"/>
      <c r="AW1209" s="68"/>
      <c r="AX1209" s="68"/>
      <c r="AY1209" s="68"/>
      <c r="AZ1209" s="68"/>
      <c r="BA1209" s="68"/>
      <c r="BB1209" s="68"/>
      <c r="BC1209" s="68"/>
      <c r="BD1209" s="68"/>
      <c r="BE1209" s="68"/>
      <c r="BF1209" s="68"/>
      <c r="BG1209" s="68"/>
      <c r="BH1209" s="68"/>
      <c r="BI1209" s="68"/>
      <c r="BJ1209" s="68"/>
      <c r="BK1209" s="68"/>
      <c r="BL1209" s="68"/>
      <c r="BM1209" s="68"/>
      <c r="BN1209" s="68"/>
      <c r="BO1209" s="68"/>
      <c r="BP1209" s="68"/>
      <c r="BQ1209" s="68"/>
      <c r="BR1209" s="68"/>
      <c r="BS1209" s="68"/>
      <c r="BT1209" s="68"/>
      <c r="BU1209" s="68"/>
      <c r="BV1209" s="68"/>
      <c r="BW1209" s="68"/>
      <c r="BX1209" s="68"/>
      <c r="BY1209" s="68"/>
      <c r="BZ1209" s="68"/>
      <c r="CA1209" s="68"/>
      <c r="CB1209" s="68"/>
      <c r="CC1209" s="68"/>
      <c r="CD1209" s="68"/>
      <c r="CE1209" s="68"/>
      <c r="CF1209" s="68"/>
      <c r="CG1209" s="68"/>
      <c r="CH1209" s="68"/>
      <c r="CI1209" s="68"/>
      <c r="CJ1209" s="68"/>
      <c r="CK1209" s="68"/>
      <c r="CL1209" s="68"/>
      <c r="CM1209" s="68"/>
      <c r="CN1209" s="68"/>
      <c r="CO1209" s="68"/>
      <c r="CP1209" s="68"/>
      <c r="CQ1209" s="68"/>
      <c r="CR1209" s="68"/>
      <c r="CS1209" s="68"/>
      <c r="CT1209" s="68"/>
      <c r="CU1209" s="68"/>
      <c r="CV1209" s="68"/>
      <c r="CW1209" s="68"/>
      <c r="CX1209" s="68"/>
    </row>
    <row r="1210" spans="4:102" s="71" customFormat="1" hidden="1">
      <c r="D1210" s="69"/>
      <c r="E1210" s="68"/>
      <c r="F1210" s="68"/>
      <c r="G1210" s="68"/>
      <c r="H1210" s="68"/>
      <c r="I1210" s="68"/>
      <c r="J1210" s="68"/>
      <c r="K1210" s="73"/>
      <c r="L1210" s="68"/>
      <c r="M1210" s="68"/>
      <c r="N1210" s="68"/>
      <c r="O1210" s="68"/>
      <c r="P1210" s="65"/>
      <c r="Q1210" s="103"/>
      <c r="R1210" s="103"/>
      <c r="S1210" s="103"/>
      <c r="T1210" s="103"/>
      <c r="U1210" s="68"/>
      <c r="V1210" s="69"/>
      <c r="W1210" s="68"/>
      <c r="X1210" s="68"/>
      <c r="Y1210" s="68"/>
      <c r="Z1210" s="68"/>
      <c r="AA1210" s="68"/>
      <c r="AB1210" s="68"/>
      <c r="AC1210" s="68"/>
      <c r="AD1210" s="68"/>
      <c r="AE1210" s="68"/>
      <c r="AF1210" s="68"/>
      <c r="AG1210" s="68"/>
      <c r="AH1210" s="68"/>
      <c r="AI1210" s="68"/>
      <c r="AJ1210" s="68"/>
      <c r="AK1210" s="68"/>
      <c r="AL1210" s="68"/>
      <c r="AM1210" s="68"/>
      <c r="AN1210" s="68"/>
      <c r="AO1210" s="68"/>
      <c r="AP1210" s="68"/>
      <c r="AQ1210" s="68"/>
      <c r="AR1210" s="68"/>
      <c r="AS1210" s="68"/>
      <c r="AT1210" s="68"/>
      <c r="AU1210" s="68"/>
      <c r="AV1210" s="68"/>
      <c r="AW1210" s="68"/>
      <c r="AX1210" s="68"/>
      <c r="AY1210" s="68"/>
      <c r="AZ1210" s="68"/>
      <c r="BA1210" s="68"/>
      <c r="BB1210" s="68"/>
      <c r="BC1210" s="68"/>
      <c r="BD1210" s="68"/>
      <c r="BE1210" s="68"/>
      <c r="BF1210" s="68"/>
      <c r="BG1210" s="68"/>
      <c r="BH1210" s="68"/>
      <c r="BI1210" s="68"/>
      <c r="BJ1210" s="68"/>
      <c r="BK1210" s="68"/>
      <c r="BL1210" s="68"/>
      <c r="BM1210" s="68"/>
      <c r="BN1210" s="68"/>
      <c r="BO1210" s="68"/>
      <c r="BP1210" s="68"/>
      <c r="BQ1210" s="68"/>
      <c r="BR1210" s="68"/>
      <c r="BS1210" s="68"/>
      <c r="BT1210" s="68"/>
      <c r="BU1210" s="68"/>
      <c r="BV1210" s="68"/>
      <c r="BW1210" s="68"/>
      <c r="BX1210" s="68"/>
      <c r="BY1210" s="68"/>
      <c r="BZ1210" s="68"/>
      <c r="CA1210" s="68"/>
      <c r="CB1210" s="68"/>
      <c r="CC1210" s="68"/>
      <c r="CD1210" s="68"/>
      <c r="CE1210" s="68"/>
      <c r="CF1210" s="68"/>
      <c r="CG1210" s="68"/>
      <c r="CH1210" s="68"/>
      <c r="CI1210" s="68"/>
      <c r="CJ1210" s="68"/>
      <c r="CK1210" s="68"/>
      <c r="CL1210" s="68"/>
      <c r="CM1210" s="68"/>
      <c r="CN1210" s="68"/>
      <c r="CO1210" s="68"/>
      <c r="CP1210" s="68"/>
      <c r="CQ1210" s="68"/>
      <c r="CR1210" s="68"/>
      <c r="CS1210" s="68"/>
      <c r="CT1210" s="68"/>
      <c r="CU1210" s="68"/>
      <c r="CV1210" s="68"/>
      <c r="CW1210" s="68"/>
      <c r="CX1210" s="68"/>
    </row>
    <row r="1211" spans="4:102" s="71" customFormat="1" hidden="1">
      <c r="D1211" s="69"/>
      <c r="E1211" s="68"/>
      <c r="F1211" s="68"/>
      <c r="G1211" s="68"/>
      <c r="H1211" s="68"/>
      <c r="I1211" s="68"/>
      <c r="J1211" s="68"/>
      <c r="K1211" s="73"/>
      <c r="L1211" s="68"/>
      <c r="M1211" s="68"/>
      <c r="N1211" s="68"/>
      <c r="O1211" s="68"/>
      <c r="P1211" s="65"/>
      <c r="Q1211" s="103"/>
      <c r="R1211" s="103"/>
      <c r="S1211" s="103"/>
      <c r="T1211" s="103"/>
      <c r="U1211" s="68"/>
      <c r="V1211" s="69"/>
      <c r="W1211" s="68"/>
      <c r="X1211" s="68"/>
      <c r="Y1211" s="68"/>
      <c r="Z1211" s="68"/>
      <c r="AA1211" s="68"/>
      <c r="AB1211" s="68"/>
      <c r="AC1211" s="68"/>
      <c r="AD1211" s="68"/>
      <c r="AE1211" s="68"/>
      <c r="AF1211" s="68"/>
      <c r="AG1211" s="68"/>
      <c r="AH1211" s="68"/>
      <c r="AI1211" s="68"/>
      <c r="AJ1211" s="68"/>
      <c r="AK1211" s="68"/>
      <c r="AL1211" s="68"/>
      <c r="AM1211" s="68"/>
      <c r="AN1211" s="68"/>
      <c r="AO1211" s="68"/>
      <c r="AP1211" s="68"/>
      <c r="AQ1211" s="68"/>
      <c r="AR1211" s="68"/>
      <c r="AS1211" s="68"/>
      <c r="AT1211" s="68"/>
      <c r="AU1211" s="68"/>
      <c r="AV1211" s="68"/>
      <c r="AW1211" s="68"/>
      <c r="AX1211" s="68"/>
      <c r="AY1211" s="68"/>
      <c r="AZ1211" s="68"/>
      <c r="BA1211" s="68"/>
      <c r="BB1211" s="68"/>
      <c r="BC1211" s="68"/>
      <c r="BD1211" s="68"/>
      <c r="BE1211" s="68"/>
      <c r="BF1211" s="68"/>
      <c r="BG1211" s="68"/>
      <c r="BH1211" s="68"/>
      <c r="BI1211" s="68"/>
      <c r="BJ1211" s="68"/>
      <c r="BK1211" s="68"/>
      <c r="BL1211" s="68"/>
      <c r="BM1211" s="68"/>
      <c r="BN1211" s="68"/>
      <c r="BO1211" s="68"/>
      <c r="BP1211" s="68"/>
      <c r="BQ1211" s="68"/>
      <c r="BR1211" s="68"/>
      <c r="BS1211" s="68"/>
      <c r="BT1211" s="68"/>
      <c r="BU1211" s="68"/>
      <c r="BV1211" s="68"/>
      <c r="BW1211" s="68"/>
      <c r="BX1211" s="68"/>
      <c r="BY1211" s="68"/>
      <c r="BZ1211" s="68"/>
      <c r="CA1211" s="68"/>
      <c r="CB1211" s="68"/>
      <c r="CC1211" s="68"/>
      <c r="CD1211" s="68"/>
      <c r="CE1211" s="68"/>
      <c r="CF1211" s="68"/>
      <c r="CG1211" s="68"/>
      <c r="CH1211" s="68"/>
      <c r="CI1211" s="68"/>
      <c r="CJ1211" s="68"/>
      <c r="CK1211" s="68"/>
      <c r="CL1211" s="68"/>
      <c r="CM1211" s="68"/>
      <c r="CN1211" s="68"/>
      <c r="CO1211" s="68"/>
      <c r="CP1211" s="68"/>
      <c r="CQ1211" s="68"/>
      <c r="CR1211" s="68"/>
      <c r="CS1211" s="68"/>
      <c r="CT1211" s="68"/>
      <c r="CU1211" s="68"/>
      <c r="CV1211" s="68"/>
      <c r="CW1211" s="68"/>
      <c r="CX1211" s="68"/>
    </row>
    <row r="1212" spans="4:102" s="71" customFormat="1" hidden="1">
      <c r="D1212" s="69"/>
      <c r="E1212" s="68"/>
      <c r="F1212" s="68"/>
      <c r="G1212" s="68"/>
      <c r="H1212" s="68"/>
      <c r="I1212" s="68"/>
      <c r="J1212" s="68"/>
      <c r="K1212" s="73"/>
      <c r="L1212" s="68"/>
      <c r="M1212" s="68"/>
      <c r="N1212" s="68"/>
      <c r="O1212" s="68"/>
      <c r="P1212" s="65"/>
      <c r="Q1212" s="103"/>
      <c r="R1212" s="103"/>
      <c r="S1212" s="103"/>
      <c r="T1212" s="103"/>
      <c r="U1212" s="68"/>
      <c r="V1212" s="69"/>
      <c r="W1212" s="68"/>
      <c r="X1212" s="68"/>
      <c r="Y1212" s="68"/>
      <c r="Z1212" s="68"/>
      <c r="AA1212" s="68"/>
      <c r="AB1212" s="68"/>
      <c r="AC1212" s="68"/>
      <c r="AD1212" s="68"/>
      <c r="AE1212" s="68"/>
      <c r="AF1212" s="68"/>
      <c r="AG1212" s="68"/>
      <c r="AH1212" s="68"/>
      <c r="AI1212" s="68"/>
      <c r="AJ1212" s="68"/>
      <c r="AK1212" s="68"/>
      <c r="AL1212" s="68"/>
      <c r="AM1212" s="68"/>
      <c r="AN1212" s="68"/>
      <c r="AO1212" s="68"/>
      <c r="AP1212" s="68"/>
      <c r="AQ1212" s="68"/>
      <c r="AR1212" s="68"/>
      <c r="AS1212" s="68"/>
      <c r="AT1212" s="68"/>
      <c r="AU1212" s="68"/>
      <c r="AV1212" s="68"/>
      <c r="AW1212" s="68"/>
      <c r="AX1212" s="68"/>
      <c r="AY1212" s="68"/>
      <c r="AZ1212" s="68"/>
      <c r="BA1212" s="68"/>
      <c r="BB1212" s="68"/>
      <c r="BC1212" s="68"/>
      <c r="BD1212" s="68"/>
      <c r="BE1212" s="68"/>
      <c r="BF1212" s="68"/>
      <c r="BG1212" s="68"/>
      <c r="BH1212" s="68"/>
      <c r="BI1212" s="68"/>
      <c r="BJ1212" s="68"/>
      <c r="BK1212" s="68"/>
      <c r="BL1212" s="68"/>
      <c r="BM1212" s="68"/>
      <c r="BN1212" s="68"/>
      <c r="BO1212" s="68"/>
      <c r="BP1212" s="68"/>
      <c r="BQ1212" s="68"/>
      <c r="BR1212" s="68"/>
      <c r="BS1212" s="68"/>
      <c r="BT1212" s="68"/>
      <c r="BU1212" s="68"/>
      <c r="BV1212" s="68"/>
      <c r="BW1212" s="68"/>
      <c r="BX1212" s="68"/>
      <c r="BY1212" s="68"/>
      <c r="BZ1212" s="68"/>
      <c r="CA1212" s="68"/>
      <c r="CB1212" s="68"/>
      <c r="CC1212" s="68"/>
      <c r="CD1212" s="68"/>
      <c r="CE1212" s="68"/>
      <c r="CF1212" s="68"/>
      <c r="CG1212" s="68"/>
      <c r="CH1212" s="68"/>
      <c r="CI1212" s="68"/>
      <c r="CJ1212" s="68"/>
      <c r="CK1212" s="68"/>
      <c r="CL1212" s="68"/>
      <c r="CM1212" s="68"/>
      <c r="CN1212" s="68"/>
      <c r="CO1212" s="68"/>
      <c r="CP1212" s="68"/>
      <c r="CQ1212" s="68"/>
      <c r="CR1212" s="68"/>
      <c r="CS1212" s="68"/>
      <c r="CT1212" s="68"/>
      <c r="CU1212" s="68"/>
      <c r="CV1212" s="68"/>
      <c r="CW1212" s="68"/>
      <c r="CX1212" s="68"/>
    </row>
    <row r="1213" spans="4:102" s="71" customFormat="1" hidden="1">
      <c r="D1213" s="69"/>
      <c r="E1213" s="68"/>
      <c r="F1213" s="68"/>
      <c r="G1213" s="68"/>
      <c r="H1213" s="68"/>
      <c r="I1213" s="68"/>
      <c r="J1213" s="68"/>
      <c r="K1213" s="73"/>
      <c r="L1213" s="68"/>
      <c r="M1213" s="68"/>
      <c r="N1213" s="68"/>
      <c r="O1213" s="68"/>
      <c r="P1213" s="65"/>
      <c r="Q1213" s="103"/>
      <c r="R1213" s="103"/>
      <c r="S1213" s="103"/>
      <c r="T1213" s="103"/>
      <c r="U1213" s="68"/>
      <c r="V1213" s="69"/>
      <c r="W1213" s="68"/>
      <c r="X1213" s="68"/>
      <c r="Y1213" s="68"/>
      <c r="Z1213" s="68"/>
      <c r="AA1213" s="68"/>
      <c r="AB1213" s="68"/>
      <c r="AC1213" s="68"/>
      <c r="AD1213" s="68"/>
      <c r="AE1213" s="68"/>
      <c r="AF1213" s="68"/>
      <c r="AG1213" s="68"/>
      <c r="AH1213" s="68"/>
      <c r="AI1213" s="68"/>
      <c r="AJ1213" s="68"/>
      <c r="AK1213" s="68"/>
      <c r="AL1213" s="68"/>
      <c r="AM1213" s="68"/>
      <c r="AN1213" s="68"/>
      <c r="AO1213" s="68"/>
      <c r="AP1213" s="68"/>
      <c r="AQ1213" s="68"/>
      <c r="AR1213" s="68"/>
      <c r="AS1213" s="68"/>
      <c r="AT1213" s="68"/>
      <c r="AU1213" s="68"/>
      <c r="AV1213" s="68"/>
      <c r="AW1213" s="68"/>
      <c r="AX1213" s="68"/>
      <c r="AY1213" s="68"/>
      <c r="AZ1213" s="68"/>
      <c r="BA1213" s="68"/>
      <c r="BB1213" s="68"/>
      <c r="BC1213" s="68"/>
      <c r="BD1213" s="68"/>
      <c r="BE1213" s="68"/>
      <c r="BF1213" s="68"/>
      <c r="BG1213" s="68"/>
      <c r="BH1213" s="68"/>
      <c r="BI1213" s="68"/>
      <c r="BJ1213" s="68"/>
      <c r="BK1213" s="68"/>
      <c r="BL1213" s="68"/>
      <c r="BM1213" s="68"/>
      <c r="BN1213" s="68"/>
      <c r="BO1213" s="68"/>
      <c r="BP1213" s="68"/>
      <c r="BQ1213" s="68"/>
      <c r="BR1213" s="68"/>
      <c r="BS1213" s="68"/>
      <c r="BT1213" s="68"/>
      <c r="BU1213" s="68"/>
      <c r="BV1213" s="68"/>
      <c r="BW1213" s="68"/>
      <c r="BX1213" s="68"/>
      <c r="BY1213" s="68"/>
      <c r="BZ1213" s="68"/>
      <c r="CA1213" s="68"/>
      <c r="CB1213" s="68"/>
      <c r="CC1213" s="68"/>
      <c r="CD1213" s="68"/>
      <c r="CE1213" s="68"/>
      <c r="CF1213" s="68"/>
      <c r="CG1213" s="68"/>
      <c r="CH1213" s="68"/>
      <c r="CI1213" s="68"/>
      <c r="CJ1213" s="68"/>
      <c r="CK1213" s="68"/>
      <c r="CL1213" s="68"/>
      <c r="CM1213" s="68"/>
      <c r="CN1213" s="68"/>
      <c r="CO1213" s="68"/>
      <c r="CP1213" s="68"/>
      <c r="CQ1213" s="68"/>
      <c r="CR1213" s="68"/>
      <c r="CS1213" s="68"/>
      <c r="CT1213" s="68"/>
      <c r="CU1213" s="68"/>
      <c r="CV1213" s="68"/>
      <c r="CW1213" s="68"/>
      <c r="CX1213" s="68"/>
    </row>
    <row r="1214" spans="4:102" s="71" customFormat="1" hidden="1">
      <c r="D1214" s="69"/>
      <c r="E1214" s="68"/>
      <c r="F1214" s="68"/>
      <c r="G1214" s="68"/>
      <c r="H1214" s="68"/>
      <c r="I1214" s="68"/>
      <c r="J1214" s="68"/>
      <c r="K1214" s="73"/>
      <c r="L1214" s="68"/>
      <c r="M1214" s="68"/>
      <c r="N1214" s="68"/>
      <c r="O1214" s="68"/>
      <c r="P1214" s="65"/>
      <c r="Q1214" s="103"/>
      <c r="R1214" s="103"/>
      <c r="S1214" s="103"/>
      <c r="T1214" s="103"/>
      <c r="U1214" s="68"/>
      <c r="V1214" s="69"/>
      <c r="W1214" s="68"/>
      <c r="X1214" s="68"/>
      <c r="Y1214" s="68"/>
      <c r="Z1214" s="68"/>
      <c r="AA1214" s="68"/>
      <c r="AB1214" s="68"/>
      <c r="AC1214" s="68"/>
      <c r="AD1214" s="68"/>
      <c r="AE1214" s="68"/>
      <c r="AF1214" s="68"/>
      <c r="AG1214" s="68"/>
      <c r="AH1214" s="68"/>
      <c r="AI1214" s="68"/>
      <c r="AJ1214" s="68"/>
      <c r="AK1214" s="68"/>
      <c r="AL1214" s="68"/>
      <c r="AM1214" s="68"/>
      <c r="AN1214" s="68"/>
      <c r="AO1214" s="68"/>
      <c r="AP1214" s="68"/>
      <c r="AQ1214" s="68"/>
      <c r="AR1214" s="68"/>
      <c r="AS1214" s="68"/>
      <c r="AT1214" s="68"/>
      <c r="AU1214" s="68"/>
      <c r="AV1214" s="68"/>
      <c r="AW1214" s="68"/>
      <c r="AX1214" s="68"/>
      <c r="AY1214" s="68"/>
      <c r="AZ1214" s="68"/>
      <c r="BA1214" s="68"/>
      <c r="BB1214" s="68"/>
      <c r="BC1214" s="68"/>
      <c r="BD1214" s="68"/>
      <c r="BE1214" s="68"/>
      <c r="BF1214" s="68"/>
      <c r="BG1214" s="68"/>
      <c r="BH1214" s="68"/>
      <c r="BI1214" s="68"/>
      <c r="BJ1214" s="68"/>
      <c r="BK1214" s="68"/>
      <c r="BL1214" s="68"/>
      <c r="BM1214" s="68"/>
      <c r="BN1214" s="68"/>
      <c r="BO1214" s="68"/>
      <c r="BP1214" s="68"/>
      <c r="BQ1214" s="68"/>
      <c r="BR1214" s="68"/>
      <c r="BS1214" s="68"/>
      <c r="BT1214" s="68"/>
      <c r="BU1214" s="68"/>
      <c r="BV1214" s="68"/>
      <c r="BW1214" s="68"/>
      <c r="BX1214" s="68"/>
      <c r="BY1214" s="68"/>
      <c r="BZ1214" s="68"/>
      <c r="CA1214" s="68"/>
      <c r="CB1214" s="68"/>
      <c r="CC1214" s="68"/>
      <c r="CD1214" s="68"/>
      <c r="CE1214" s="68"/>
      <c r="CF1214" s="68"/>
      <c r="CG1214" s="68"/>
      <c r="CH1214" s="68"/>
      <c r="CI1214" s="68"/>
      <c r="CJ1214" s="68"/>
      <c r="CK1214" s="68"/>
      <c r="CL1214" s="68"/>
      <c r="CM1214" s="68"/>
      <c r="CN1214" s="68"/>
      <c r="CO1214" s="68"/>
      <c r="CP1214" s="68"/>
      <c r="CQ1214" s="68"/>
      <c r="CR1214" s="68"/>
      <c r="CS1214" s="68"/>
      <c r="CT1214" s="68"/>
      <c r="CU1214" s="68"/>
      <c r="CV1214" s="68"/>
      <c r="CW1214" s="68"/>
      <c r="CX1214" s="68"/>
    </row>
    <row r="1215" spans="4:102" s="71" customFormat="1" hidden="1">
      <c r="D1215" s="69"/>
      <c r="E1215" s="68"/>
      <c r="F1215" s="68"/>
      <c r="G1215" s="68"/>
      <c r="H1215" s="68"/>
      <c r="I1215" s="68"/>
      <c r="J1215" s="68"/>
      <c r="K1215" s="73"/>
      <c r="L1215" s="68"/>
      <c r="M1215" s="68"/>
      <c r="N1215" s="68"/>
      <c r="O1215" s="68"/>
      <c r="P1215" s="65"/>
      <c r="Q1215" s="103"/>
      <c r="R1215" s="103"/>
      <c r="S1215" s="103"/>
      <c r="T1215" s="103"/>
      <c r="U1215" s="68"/>
      <c r="V1215" s="69"/>
      <c r="W1215" s="68"/>
      <c r="X1215" s="68"/>
      <c r="Y1215" s="68"/>
      <c r="Z1215" s="68"/>
      <c r="AA1215" s="68"/>
      <c r="AB1215" s="68"/>
      <c r="AC1215" s="68"/>
      <c r="AD1215" s="68"/>
      <c r="AE1215" s="68"/>
      <c r="AF1215" s="68"/>
      <c r="AG1215" s="68"/>
      <c r="AH1215" s="68"/>
      <c r="AI1215" s="68"/>
      <c r="AJ1215" s="68"/>
      <c r="AK1215" s="68"/>
      <c r="AL1215" s="68"/>
      <c r="AM1215" s="68"/>
      <c r="AN1215" s="68"/>
      <c r="AO1215" s="68"/>
      <c r="AP1215" s="68"/>
      <c r="AQ1215" s="68"/>
      <c r="AR1215" s="68"/>
      <c r="AS1215" s="68"/>
      <c r="AT1215" s="68"/>
      <c r="AU1215" s="68"/>
      <c r="AV1215" s="68"/>
      <c r="AW1215" s="68"/>
      <c r="AX1215" s="68"/>
      <c r="AY1215" s="68"/>
      <c r="AZ1215" s="68"/>
      <c r="BA1215" s="68"/>
      <c r="BB1215" s="68"/>
      <c r="BC1215" s="68"/>
      <c r="BD1215" s="68"/>
      <c r="BE1215" s="68"/>
      <c r="BF1215" s="68"/>
      <c r="BG1215" s="68"/>
      <c r="BH1215" s="68"/>
      <c r="BI1215" s="68"/>
      <c r="BJ1215" s="68"/>
      <c r="BK1215" s="68"/>
      <c r="BL1215" s="68"/>
      <c r="BM1215" s="68"/>
      <c r="BN1215" s="68"/>
      <c r="BO1215" s="68"/>
      <c r="BP1215" s="68"/>
      <c r="BQ1215" s="68"/>
      <c r="BR1215" s="68"/>
      <c r="BS1215" s="68"/>
      <c r="BT1215" s="68"/>
      <c r="BU1215" s="68"/>
      <c r="BV1215" s="68"/>
      <c r="BW1215" s="68"/>
      <c r="BX1215" s="68"/>
      <c r="BY1215" s="68"/>
      <c r="BZ1215" s="68"/>
      <c r="CA1215" s="68"/>
      <c r="CB1215" s="68"/>
      <c r="CC1215" s="68"/>
      <c r="CD1215" s="68"/>
      <c r="CE1215" s="68"/>
      <c r="CF1215" s="68"/>
      <c r="CG1215" s="68"/>
      <c r="CH1215" s="68"/>
      <c r="CI1215" s="68"/>
      <c r="CJ1215" s="68"/>
      <c r="CK1215" s="68"/>
      <c r="CL1215" s="68"/>
      <c r="CM1215" s="68"/>
      <c r="CN1215" s="68"/>
      <c r="CO1215" s="68"/>
      <c r="CP1215" s="68"/>
      <c r="CQ1215" s="68"/>
      <c r="CR1215" s="68"/>
      <c r="CS1215" s="68"/>
      <c r="CT1215" s="68"/>
      <c r="CU1215" s="68"/>
      <c r="CV1215" s="68"/>
      <c r="CW1215" s="68"/>
      <c r="CX1215" s="68"/>
    </row>
    <row r="1216" spans="4:102" s="71" customFormat="1" hidden="1">
      <c r="D1216" s="69"/>
      <c r="E1216" s="68"/>
      <c r="F1216" s="68"/>
      <c r="G1216" s="68"/>
      <c r="H1216" s="68"/>
      <c r="I1216" s="68"/>
      <c r="J1216" s="68"/>
      <c r="K1216" s="73"/>
      <c r="L1216" s="68"/>
      <c r="M1216" s="68"/>
      <c r="N1216" s="68"/>
      <c r="O1216" s="68"/>
      <c r="P1216" s="65"/>
      <c r="Q1216" s="103"/>
      <c r="R1216" s="103"/>
      <c r="S1216" s="103"/>
      <c r="T1216" s="103"/>
      <c r="U1216" s="68"/>
      <c r="V1216" s="69"/>
      <c r="W1216" s="68"/>
      <c r="X1216" s="68"/>
      <c r="Y1216" s="68"/>
      <c r="Z1216" s="68"/>
      <c r="AA1216" s="68"/>
      <c r="AB1216" s="68"/>
      <c r="AC1216" s="68"/>
      <c r="AD1216" s="68"/>
      <c r="AE1216" s="68"/>
      <c r="AF1216" s="68"/>
      <c r="AG1216" s="68"/>
      <c r="AH1216" s="68"/>
      <c r="AI1216" s="68"/>
      <c r="AJ1216" s="68"/>
      <c r="AK1216" s="68"/>
      <c r="AL1216" s="68"/>
      <c r="AM1216" s="68"/>
      <c r="AN1216" s="68"/>
      <c r="AO1216" s="68"/>
      <c r="AP1216" s="68"/>
      <c r="AQ1216" s="68"/>
      <c r="AR1216" s="68"/>
      <c r="AS1216" s="68"/>
      <c r="AT1216" s="68"/>
      <c r="AU1216" s="68"/>
      <c r="AV1216" s="68"/>
      <c r="AW1216" s="68"/>
      <c r="AX1216" s="68"/>
      <c r="AY1216" s="68"/>
      <c r="AZ1216" s="68"/>
      <c r="BA1216" s="68"/>
      <c r="BB1216" s="68"/>
      <c r="BC1216" s="68"/>
      <c r="BD1216" s="68"/>
      <c r="BE1216" s="68"/>
      <c r="BF1216" s="68"/>
      <c r="BG1216" s="68"/>
      <c r="BH1216" s="68"/>
      <c r="BI1216" s="68"/>
      <c r="BJ1216" s="68"/>
      <c r="BK1216" s="68"/>
      <c r="BL1216" s="68"/>
      <c r="BM1216" s="68"/>
      <c r="BN1216" s="68"/>
      <c r="BO1216" s="68"/>
      <c r="BP1216" s="68"/>
      <c r="BQ1216" s="68"/>
      <c r="BR1216" s="68"/>
      <c r="BS1216" s="68"/>
      <c r="BT1216" s="68"/>
      <c r="BU1216" s="68"/>
      <c r="BV1216" s="68"/>
      <c r="BW1216" s="68"/>
      <c r="BX1216" s="68"/>
      <c r="BY1216" s="68"/>
      <c r="BZ1216" s="68"/>
      <c r="CA1216" s="68"/>
      <c r="CB1216" s="68"/>
      <c r="CC1216" s="68"/>
      <c r="CD1216" s="68"/>
      <c r="CE1216" s="68"/>
      <c r="CF1216" s="68"/>
      <c r="CG1216" s="68"/>
      <c r="CH1216" s="68"/>
      <c r="CI1216" s="68"/>
      <c r="CJ1216" s="68"/>
      <c r="CK1216" s="68"/>
      <c r="CL1216" s="68"/>
      <c r="CM1216" s="68"/>
      <c r="CN1216" s="68"/>
      <c r="CO1216" s="68"/>
      <c r="CP1216" s="68"/>
      <c r="CQ1216" s="68"/>
      <c r="CR1216" s="68"/>
      <c r="CS1216" s="68"/>
      <c r="CT1216" s="68"/>
      <c r="CU1216" s="68"/>
      <c r="CV1216" s="68"/>
      <c r="CW1216" s="68"/>
      <c r="CX1216" s="68"/>
    </row>
    <row r="1217" spans="4:102" s="71" customFormat="1" hidden="1">
      <c r="D1217" s="69"/>
      <c r="E1217" s="68"/>
      <c r="F1217" s="68"/>
      <c r="G1217" s="68"/>
      <c r="H1217" s="68"/>
      <c r="I1217" s="68"/>
      <c r="J1217" s="68"/>
      <c r="K1217" s="73"/>
      <c r="L1217" s="68"/>
      <c r="M1217" s="68"/>
      <c r="N1217" s="68"/>
      <c r="O1217" s="68"/>
      <c r="P1217" s="65"/>
      <c r="Q1217" s="103"/>
      <c r="R1217" s="103"/>
      <c r="S1217" s="103"/>
      <c r="T1217" s="103"/>
      <c r="U1217" s="68"/>
      <c r="V1217" s="69"/>
      <c r="W1217" s="68"/>
      <c r="X1217" s="68"/>
      <c r="Y1217" s="68"/>
      <c r="Z1217" s="68"/>
      <c r="AA1217" s="68"/>
      <c r="AB1217" s="68"/>
      <c r="AC1217" s="68"/>
      <c r="AD1217" s="68"/>
      <c r="AE1217" s="68"/>
      <c r="AF1217" s="68"/>
      <c r="AG1217" s="68"/>
      <c r="AH1217" s="68"/>
      <c r="AI1217" s="68"/>
      <c r="AJ1217" s="68"/>
      <c r="AK1217" s="68"/>
      <c r="AL1217" s="68"/>
      <c r="AM1217" s="68"/>
      <c r="AN1217" s="68"/>
      <c r="AO1217" s="68"/>
      <c r="AP1217" s="68"/>
      <c r="AQ1217" s="68"/>
      <c r="AR1217" s="68"/>
      <c r="AS1217" s="68"/>
      <c r="AT1217" s="68"/>
      <c r="AU1217" s="68"/>
      <c r="AV1217" s="68"/>
      <c r="AW1217" s="68"/>
      <c r="AX1217" s="68"/>
      <c r="AY1217" s="68"/>
      <c r="AZ1217" s="68"/>
      <c r="BA1217" s="68"/>
      <c r="BB1217" s="68"/>
      <c r="BC1217" s="68"/>
      <c r="BD1217" s="68"/>
      <c r="BE1217" s="68"/>
      <c r="BF1217" s="68"/>
      <c r="BG1217" s="68"/>
      <c r="BH1217" s="68"/>
      <c r="BI1217" s="68"/>
      <c r="BJ1217" s="68"/>
      <c r="BK1217" s="68"/>
      <c r="BL1217" s="68"/>
      <c r="BM1217" s="68"/>
      <c r="BN1217" s="68"/>
      <c r="BO1217" s="68"/>
      <c r="BP1217" s="68"/>
      <c r="BQ1217" s="68"/>
      <c r="BR1217" s="68"/>
      <c r="BS1217" s="68"/>
      <c r="BT1217" s="68"/>
      <c r="BU1217" s="68"/>
      <c r="BV1217" s="68"/>
      <c r="BW1217" s="68"/>
      <c r="BX1217" s="68"/>
      <c r="BY1217" s="68"/>
      <c r="BZ1217" s="68"/>
      <c r="CA1217" s="68"/>
      <c r="CB1217" s="68"/>
      <c r="CC1217" s="68"/>
      <c r="CD1217" s="68"/>
      <c r="CE1217" s="68"/>
      <c r="CF1217" s="68"/>
      <c r="CG1217" s="68"/>
      <c r="CH1217" s="68"/>
      <c r="CI1217" s="68"/>
      <c r="CJ1217" s="68"/>
      <c r="CK1217" s="68"/>
      <c r="CL1217" s="68"/>
      <c r="CM1217" s="68"/>
      <c r="CN1217" s="68"/>
      <c r="CO1217" s="68"/>
      <c r="CP1217" s="68"/>
      <c r="CQ1217" s="68"/>
      <c r="CR1217" s="68"/>
      <c r="CS1217" s="68"/>
      <c r="CT1217" s="68"/>
      <c r="CU1217" s="68"/>
      <c r="CV1217" s="68"/>
      <c r="CW1217" s="68"/>
      <c r="CX1217" s="68"/>
    </row>
    <row r="1218" spans="4:102" s="71" customFormat="1" hidden="1">
      <c r="D1218" s="69"/>
      <c r="E1218" s="68"/>
      <c r="F1218" s="68"/>
      <c r="G1218" s="68"/>
      <c r="H1218" s="68"/>
      <c r="I1218" s="68"/>
      <c r="J1218" s="68"/>
      <c r="K1218" s="73"/>
      <c r="L1218" s="68"/>
      <c r="M1218" s="68"/>
      <c r="N1218" s="68"/>
      <c r="O1218" s="68"/>
      <c r="P1218" s="65"/>
      <c r="Q1218" s="103"/>
      <c r="R1218" s="103"/>
      <c r="S1218" s="103"/>
      <c r="T1218" s="103"/>
      <c r="U1218" s="68"/>
      <c r="V1218" s="69"/>
      <c r="W1218" s="68"/>
      <c r="X1218" s="68"/>
      <c r="Y1218" s="68"/>
      <c r="Z1218" s="68"/>
      <c r="AA1218" s="68"/>
      <c r="AB1218" s="68"/>
      <c r="AC1218" s="68"/>
      <c r="AD1218" s="68"/>
      <c r="AE1218" s="68"/>
      <c r="AF1218" s="68"/>
      <c r="AG1218" s="68"/>
      <c r="AH1218" s="68"/>
      <c r="AI1218" s="68"/>
      <c r="AJ1218" s="68"/>
      <c r="AK1218" s="68"/>
      <c r="AL1218" s="68"/>
      <c r="AM1218" s="68"/>
      <c r="AN1218" s="68"/>
      <c r="AO1218" s="68"/>
      <c r="AP1218" s="68"/>
      <c r="AQ1218" s="68"/>
      <c r="AR1218" s="68"/>
      <c r="AS1218" s="68"/>
      <c r="AT1218" s="68"/>
      <c r="AU1218" s="68"/>
      <c r="AV1218" s="68"/>
      <c r="AW1218" s="68"/>
      <c r="AX1218" s="68"/>
      <c r="AY1218" s="68"/>
      <c r="AZ1218" s="68"/>
      <c r="BA1218" s="68"/>
      <c r="BB1218" s="68"/>
      <c r="BC1218" s="68"/>
      <c r="BD1218" s="68"/>
      <c r="BE1218" s="68"/>
      <c r="BF1218" s="68"/>
      <c r="BG1218" s="68"/>
      <c r="BH1218" s="68"/>
      <c r="BI1218" s="68"/>
      <c r="BJ1218" s="68"/>
      <c r="BK1218" s="68"/>
      <c r="BL1218" s="68"/>
      <c r="BM1218" s="68"/>
      <c r="BN1218" s="68"/>
      <c r="BO1218" s="68"/>
      <c r="BP1218" s="68"/>
      <c r="BQ1218" s="68"/>
      <c r="BR1218" s="68"/>
      <c r="BS1218" s="68"/>
      <c r="BT1218" s="68"/>
      <c r="BU1218" s="68"/>
      <c r="BV1218" s="68"/>
      <c r="BW1218" s="68"/>
      <c r="BX1218" s="68"/>
      <c r="BY1218" s="68"/>
      <c r="BZ1218" s="68"/>
      <c r="CA1218" s="68"/>
      <c r="CB1218" s="68"/>
      <c r="CC1218" s="68"/>
      <c r="CD1218" s="68"/>
      <c r="CE1218" s="68"/>
      <c r="CF1218" s="68"/>
      <c r="CG1218" s="68"/>
      <c r="CH1218" s="68"/>
      <c r="CI1218" s="68"/>
      <c r="CJ1218" s="68"/>
      <c r="CK1218" s="68"/>
      <c r="CL1218" s="68"/>
      <c r="CM1218" s="68"/>
      <c r="CN1218" s="68"/>
      <c r="CO1218" s="68"/>
      <c r="CP1218" s="68"/>
      <c r="CQ1218" s="68"/>
      <c r="CR1218" s="68"/>
      <c r="CS1218" s="68"/>
      <c r="CT1218" s="68"/>
      <c r="CU1218" s="68"/>
      <c r="CV1218" s="68"/>
      <c r="CW1218" s="68"/>
      <c r="CX1218" s="68"/>
    </row>
    <row r="1219" spans="4:102" s="71" customFormat="1" hidden="1">
      <c r="D1219" s="69"/>
      <c r="E1219" s="68"/>
      <c r="F1219" s="68"/>
      <c r="G1219" s="68"/>
      <c r="H1219" s="68"/>
      <c r="I1219" s="68"/>
      <c r="J1219" s="68"/>
      <c r="K1219" s="73"/>
      <c r="L1219" s="68"/>
      <c r="M1219" s="68"/>
      <c r="N1219" s="68"/>
      <c r="O1219" s="68"/>
      <c r="P1219" s="65"/>
      <c r="Q1219" s="103"/>
      <c r="R1219" s="103"/>
      <c r="S1219" s="103"/>
      <c r="T1219" s="103"/>
      <c r="U1219" s="68"/>
      <c r="V1219" s="69"/>
      <c r="W1219" s="68"/>
      <c r="X1219" s="68"/>
      <c r="Y1219" s="68"/>
      <c r="Z1219" s="68"/>
      <c r="AA1219" s="68"/>
      <c r="AB1219" s="68"/>
      <c r="AC1219" s="68"/>
      <c r="AD1219" s="68"/>
      <c r="AE1219" s="68"/>
      <c r="AF1219" s="68"/>
      <c r="AG1219" s="68"/>
      <c r="AH1219" s="68"/>
      <c r="AI1219" s="68"/>
      <c r="AJ1219" s="68"/>
      <c r="AK1219" s="68"/>
      <c r="AL1219" s="68"/>
      <c r="AM1219" s="68"/>
      <c r="AN1219" s="68"/>
      <c r="AO1219" s="68"/>
      <c r="AP1219" s="68"/>
      <c r="AQ1219" s="68"/>
      <c r="AR1219" s="68"/>
      <c r="AS1219" s="68"/>
      <c r="AT1219" s="68"/>
      <c r="AU1219" s="68"/>
      <c r="AV1219" s="68"/>
      <c r="AW1219" s="68"/>
      <c r="AX1219" s="68"/>
      <c r="AY1219" s="68"/>
      <c r="AZ1219" s="68"/>
      <c r="BA1219" s="68"/>
      <c r="BB1219" s="68"/>
      <c r="BC1219" s="68"/>
      <c r="BD1219" s="68"/>
      <c r="BE1219" s="68"/>
      <c r="BF1219" s="68"/>
      <c r="BG1219" s="68"/>
      <c r="BH1219" s="68"/>
      <c r="BI1219" s="68"/>
      <c r="BJ1219" s="68"/>
      <c r="BK1219" s="68"/>
      <c r="BL1219" s="68"/>
      <c r="BM1219" s="68"/>
      <c r="BN1219" s="68"/>
      <c r="BO1219" s="68"/>
      <c r="BP1219" s="68"/>
      <c r="BQ1219" s="68"/>
      <c r="BR1219" s="68"/>
      <c r="BS1219" s="68"/>
      <c r="BT1219" s="68"/>
      <c r="BU1219" s="68"/>
      <c r="BV1219" s="68"/>
      <c r="BW1219" s="68"/>
      <c r="BX1219" s="68"/>
      <c r="BY1219" s="68"/>
      <c r="BZ1219" s="68"/>
      <c r="CA1219" s="68"/>
      <c r="CB1219" s="68"/>
      <c r="CC1219" s="68"/>
      <c r="CD1219" s="68"/>
      <c r="CE1219" s="68"/>
      <c r="CF1219" s="68"/>
      <c r="CG1219" s="68"/>
      <c r="CH1219" s="68"/>
      <c r="CI1219" s="68"/>
      <c r="CJ1219" s="68"/>
      <c r="CK1219" s="68"/>
      <c r="CL1219" s="68"/>
      <c r="CM1219" s="68"/>
      <c r="CN1219" s="68"/>
      <c r="CO1219" s="68"/>
      <c r="CP1219" s="68"/>
      <c r="CQ1219" s="68"/>
      <c r="CR1219" s="68"/>
      <c r="CS1219" s="68"/>
      <c r="CT1219" s="68"/>
      <c r="CU1219" s="68"/>
      <c r="CV1219" s="68"/>
      <c r="CW1219" s="68"/>
      <c r="CX1219" s="68"/>
    </row>
    <row r="1220" spans="4:102" s="71" customFormat="1" hidden="1">
      <c r="D1220" s="69"/>
      <c r="E1220" s="68"/>
      <c r="F1220" s="68"/>
      <c r="G1220" s="68"/>
      <c r="H1220" s="68"/>
      <c r="I1220" s="68"/>
      <c r="J1220" s="68"/>
      <c r="K1220" s="73"/>
      <c r="L1220" s="68"/>
      <c r="M1220" s="68"/>
      <c r="N1220" s="68"/>
      <c r="O1220" s="68"/>
      <c r="P1220" s="65"/>
      <c r="Q1220" s="103"/>
      <c r="R1220" s="103"/>
      <c r="S1220" s="103"/>
      <c r="T1220" s="103"/>
      <c r="U1220" s="68"/>
      <c r="V1220" s="69"/>
      <c r="W1220" s="68"/>
      <c r="X1220" s="68"/>
      <c r="Y1220" s="68"/>
      <c r="Z1220" s="68"/>
      <c r="AA1220" s="68"/>
      <c r="AB1220" s="68"/>
      <c r="AC1220" s="68"/>
      <c r="AD1220" s="68"/>
      <c r="AE1220" s="68"/>
      <c r="AF1220" s="68"/>
      <c r="AG1220" s="68"/>
      <c r="AH1220" s="68"/>
      <c r="AI1220" s="68"/>
      <c r="AJ1220" s="68"/>
      <c r="AK1220" s="68"/>
      <c r="AL1220" s="68"/>
      <c r="AM1220" s="68"/>
      <c r="AN1220" s="68"/>
      <c r="AO1220" s="68"/>
      <c r="AP1220" s="68"/>
      <c r="AQ1220" s="68"/>
      <c r="AR1220" s="68"/>
      <c r="AS1220" s="68"/>
      <c r="AT1220" s="68"/>
      <c r="AU1220" s="68"/>
      <c r="AV1220" s="68"/>
      <c r="AW1220" s="68"/>
      <c r="AX1220" s="68"/>
      <c r="AY1220" s="68"/>
      <c r="AZ1220" s="68"/>
      <c r="BA1220" s="68"/>
      <c r="BB1220" s="68"/>
      <c r="BC1220" s="68"/>
      <c r="BD1220" s="68"/>
      <c r="BE1220" s="68"/>
      <c r="BF1220" s="68"/>
      <c r="BG1220" s="68"/>
      <c r="BH1220" s="68"/>
      <c r="BI1220" s="68"/>
      <c r="BJ1220" s="68"/>
      <c r="BK1220" s="68"/>
      <c r="BL1220" s="68"/>
      <c r="BM1220" s="68"/>
      <c r="BN1220" s="68"/>
      <c r="BO1220" s="68"/>
      <c r="BP1220" s="68"/>
      <c r="BQ1220" s="68"/>
      <c r="BR1220" s="68"/>
      <c r="BS1220" s="68"/>
      <c r="BT1220" s="68"/>
      <c r="BU1220" s="68"/>
      <c r="BV1220" s="68"/>
      <c r="BW1220" s="68"/>
      <c r="BX1220" s="68"/>
      <c r="BY1220" s="68"/>
      <c r="BZ1220" s="68"/>
      <c r="CA1220" s="68"/>
      <c r="CB1220" s="68"/>
      <c r="CC1220" s="68"/>
      <c r="CD1220" s="68"/>
      <c r="CE1220" s="68"/>
      <c r="CF1220" s="68"/>
      <c r="CG1220" s="68"/>
      <c r="CH1220" s="68"/>
      <c r="CI1220" s="68"/>
      <c r="CJ1220" s="68"/>
      <c r="CK1220" s="68"/>
      <c r="CL1220" s="68"/>
      <c r="CM1220" s="68"/>
      <c r="CN1220" s="68"/>
      <c r="CO1220" s="68"/>
      <c r="CP1220" s="68"/>
      <c r="CQ1220" s="68"/>
      <c r="CR1220" s="68"/>
      <c r="CS1220" s="68"/>
      <c r="CT1220" s="68"/>
      <c r="CU1220" s="68"/>
      <c r="CV1220" s="68"/>
      <c r="CW1220" s="68"/>
      <c r="CX1220" s="68"/>
    </row>
    <row r="1221" spans="4:102" s="71" customFormat="1" hidden="1">
      <c r="D1221" s="69"/>
      <c r="E1221" s="68"/>
      <c r="F1221" s="68"/>
      <c r="G1221" s="68"/>
      <c r="H1221" s="68"/>
      <c r="I1221" s="68"/>
      <c r="J1221" s="68"/>
      <c r="K1221" s="73"/>
      <c r="L1221" s="68"/>
      <c r="M1221" s="68"/>
      <c r="N1221" s="68"/>
      <c r="O1221" s="68"/>
      <c r="P1221" s="65"/>
      <c r="Q1221" s="103"/>
      <c r="R1221" s="103"/>
      <c r="S1221" s="103"/>
      <c r="T1221" s="103"/>
      <c r="U1221" s="68"/>
      <c r="V1221" s="69"/>
      <c r="W1221" s="68"/>
      <c r="X1221" s="68"/>
      <c r="Y1221" s="68"/>
      <c r="Z1221" s="68"/>
      <c r="AA1221" s="68"/>
      <c r="AB1221" s="68"/>
      <c r="AC1221" s="68"/>
      <c r="AD1221" s="68"/>
      <c r="AE1221" s="68"/>
      <c r="AF1221" s="68"/>
      <c r="AG1221" s="68"/>
      <c r="AH1221" s="68"/>
      <c r="AI1221" s="68"/>
      <c r="AJ1221" s="68"/>
      <c r="AK1221" s="68"/>
      <c r="AL1221" s="68"/>
      <c r="AM1221" s="68"/>
      <c r="AN1221" s="68"/>
      <c r="AO1221" s="68"/>
      <c r="AP1221" s="68"/>
      <c r="AQ1221" s="68"/>
      <c r="AR1221" s="68"/>
      <c r="AS1221" s="68"/>
      <c r="AT1221" s="68"/>
      <c r="AU1221" s="68"/>
      <c r="AV1221" s="68"/>
      <c r="AW1221" s="68"/>
      <c r="AX1221" s="68"/>
      <c r="AY1221" s="68"/>
      <c r="AZ1221" s="68"/>
      <c r="BA1221" s="68"/>
      <c r="BB1221" s="68"/>
      <c r="BC1221" s="68"/>
      <c r="BD1221" s="68"/>
      <c r="BE1221" s="68"/>
      <c r="BF1221" s="68"/>
      <c r="BG1221" s="68"/>
      <c r="BH1221" s="68"/>
      <c r="BI1221" s="68"/>
      <c r="BJ1221" s="68"/>
      <c r="BK1221" s="68"/>
      <c r="BL1221" s="68"/>
      <c r="BM1221" s="68"/>
      <c r="BN1221" s="68"/>
      <c r="BO1221" s="68"/>
      <c r="BP1221" s="68"/>
      <c r="BQ1221" s="68"/>
      <c r="BR1221" s="68"/>
      <c r="BS1221" s="68"/>
      <c r="BT1221" s="68"/>
      <c r="BU1221" s="68"/>
      <c r="BV1221" s="68"/>
      <c r="BW1221" s="68"/>
      <c r="BX1221" s="68"/>
      <c r="BY1221" s="68"/>
      <c r="BZ1221" s="68"/>
      <c r="CA1221" s="68"/>
      <c r="CB1221" s="68"/>
      <c r="CC1221" s="68"/>
      <c r="CD1221" s="68"/>
      <c r="CE1221" s="68"/>
      <c r="CF1221" s="68"/>
      <c r="CG1221" s="68"/>
      <c r="CH1221" s="68"/>
      <c r="CI1221" s="68"/>
      <c r="CJ1221" s="68"/>
      <c r="CK1221" s="68"/>
      <c r="CL1221" s="68"/>
      <c r="CM1221" s="68"/>
      <c r="CN1221" s="68"/>
      <c r="CO1221" s="68"/>
      <c r="CP1221" s="68"/>
      <c r="CQ1221" s="68"/>
      <c r="CR1221" s="68"/>
      <c r="CS1221" s="68"/>
      <c r="CT1221" s="68"/>
      <c r="CU1221" s="68"/>
      <c r="CV1221" s="68"/>
      <c r="CW1221" s="68"/>
      <c r="CX1221" s="68"/>
    </row>
    <row r="1222" spans="4:102" s="71" customFormat="1" hidden="1">
      <c r="D1222" s="69"/>
      <c r="E1222" s="68"/>
      <c r="F1222" s="68"/>
      <c r="G1222" s="68"/>
      <c r="H1222" s="68"/>
      <c r="I1222" s="68"/>
      <c r="J1222" s="68"/>
      <c r="K1222" s="73"/>
      <c r="L1222" s="68"/>
      <c r="M1222" s="68"/>
      <c r="N1222" s="68"/>
      <c r="O1222" s="68"/>
      <c r="P1222" s="65"/>
      <c r="Q1222" s="103"/>
      <c r="R1222" s="103"/>
      <c r="S1222" s="103"/>
      <c r="T1222" s="103"/>
      <c r="U1222" s="68"/>
      <c r="V1222" s="69"/>
      <c r="W1222" s="68"/>
      <c r="X1222" s="68"/>
      <c r="Y1222" s="68"/>
      <c r="Z1222" s="68"/>
      <c r="AA1222" s="68"/>
      <c r="AB1222" s="68"/>
      <c r="AC1222" s="68"/>
      <c r="AD1222" s="68"/>
      <c r="AE1222" s="68"/>
      <c r="AF1222" s="68"/>
      <c r="AG1222" s="68"/>
      <c r="AH1222" s="68"/>
      <c r="AI1222" s="68"/>
      <c r="AJ1222" s="68"/>
      <c r="AK1222" s="68"/>
      <c r="AL1222" s="68"/>
      <c r="AM1222" s="68"/>
      <c r="AN1222" s="68"/>
      <c r="AO1222" s="68"/>
      <c r="AP1222" s="68"/>
      <c r="AQ1222" s="68"/>
      <c r="AR1222" s="68"/>
      <c r="AS1222" s="68"/>
      <c r="AT1222" s="68"/>
      <c r="AU1222" s="68"/>
      <c r="AV1222" s="68"/>
      <c r="AW1222" s="68"/>
      <c r="AX1222" s="68"/>
      <c r="AY1222" s="68"/>
      <c r="AZ1222" s="68"/>
      <c r="BA1222" s="68"/>
      <c r="BB1222" s="68"/>
      <c r="BC1222" s="68"/>
      <c r="BD1222" s="68"/>
      <c r="BE1222" s="68"/>
      <c r="BF1222" s="68"/>
      <c r="BG1222" s="68"/>
      <c r="BH1222" s="68"/>
      <c r="BI1222" s="68"/>
      <c r="BJ1222" s="68"/>
      <c r="BK1222" s="68"/>
      <c r="BL1222" s="68"/>
      <c r="BM1222" s="68"/>
      <c r="BN1222" s="68"/>
      <c r="BO1222" s="68"/>
      <c r="BP1222" s="68"/>
      <c r="BQ1222" s="68"/>
      <c r="BR1222" s="68"/>
      <c r="BS1222" s="68"/>
      <c r="BT1222" s="68"/>
      <c r="BU1222" s="68"/>
      <c r="BV1222" s="68"/>
      <c r="BW1222" s="68"/>
      <c r="BX1222" s="68"/>
      <c r="BY1222" s="68"/>
      <c r="BZ1222" s="68"/>
      <c r="CA1222" s="68"/>
      <c r="CB1222" s="68"/>
      <c r="CC1222" s="68"/>
      <c r="CD1222" s="68"/>
      <c r="CE1222" s="68"/>
      <c r="CF1222" s="68"/>
      <c r="CG1222" s="68"/>
      <c r="CH1222" s="68"/>
      <c r="CI1222" s="68"/>
      <c r="CJ1222" s="68"/>
      <c r="CK1222" s="68"/>
      <c r="CL1222" s="68"/>
      <c r="CM1222" s="68"/>
      <c r="CN1222" s="68"/>
      <c r="CO1222" s="68"/>
      <c r="CP1222" s="68"/>
      <c r="CQ1222" s="68"/>
      <c r="CR1222" s="68"/>
      <c r="CS1222" s="68"/>
      <c r="CT1222" s="68"/>
      <c r="CU1222" s="68"/>
      <c r="CV1222" s="68"/>
      <c r="CW1222" s="68"/>
      <c r="CX1222" s="68"/>
    </row>
    <row r="1223" spans="4:102" s="71" customFormat="1" hidden="1">
      <c r="D1223" s="69"/>
      <c r="E1223" s="68"/>
      <c r="F1223" s="68"/>
      <c r="G1223" s="68"/>
      <c r="H1223" s="68"/>
      <c r="I1223" s="68"/>
      <c r="J1223" s="68"/>
      <c r="K1223" s="73"/>
      <c r="L1223" s="68"/>
      <c r="M1223" s="68"/>
      <c r="N1223" s="68"/>
      <c r="O1223" s="68"/>
      <c r="P1223" s="65"/>
      <c r="Q1223" s="103"/>
      <c r="R1223" s="103"/>
      <c r="S1223" s="103"/>
      <c r="T1223" s="103"/>
      <c r="U1223" s="68"/>
      <c r="V1223" s="69"/>
      <c r="W1223" s="68"/>
      <c r="X1223" s="68"/>
      <c r="Y1223" s="68"/>
      <c r="Z1223" s="68"/>
      <c r="AA1223" s="68"/>
      <c r="AB1223" s="68"/>
      <c r="AC1223" s="68"/>
      <c r="AD1223" s="68"/>
      <c r="AE1223" s="68"/>
      <c r="AF1223" s="68"/>
      <c r="AG1223" s="68"/>
      <c r="AH1223" s="68"/>
      <c r="AI1223" s="68"/>
      <c r="AJ1223" s="68"/>
      <c r="AK1223" s="68"/>
      <c r="AL1223" s="68"/>
      <c r="AM1223" s="68"/>
      <c r="AN1223" s="68"/>
      <c r="AO1223" s="68"/>
      <c r="AP1223" s="68"/>
      <c r="AQ1223" s="68"/>
      <c r="AR1223" s="68"/>
      <c r="AS1223" s="68"/>
      <c r="AT1223" s="68"/>
      <c r="AU1223" s="68"/>
      <c r="AV1223" s="68"/>
      <c r="AW1223" s="68"/>
      <c r="AX1223" s="68"/>
      <c r="AY1223" s="68"/>
      <c r="AZ1223" s="68"/>
      <c r="BA1223" s="68"/>
      <c r="BB1223" s="68"/>
      <c r="BC1223" s="68"/>
      <c r="BD1223" s="68"/>
      <c r="BE1223" s="68"/>
      <c r="BF1223" s="68"/>
      <c r="BG1223" s="68"/>
      <c r="BH1223" s="68"/>
      <c r="BI1223" s="68"/>
      <c r="BJ1223" s="68"/>
      <c r="BK1223" s="68"/>
      <c r="BL1223" s="68"/>
      <c r="BM1223" s="68"/>
      <c r="BN1223" s="68"/>
      <c r="BO1223" s="68"/>
      <c r="BP1223" s="68"/>
      <c r="BQ1223" s="68"/>
      <c r="BR1223" s="68"/>
      <c r="BS1223" s="68"/>
      <c r="BT1223" s="68"/>
      <c r="BU1223" s="68"/>
      <c r="BV1223" s="68"/>
      <c r="BW1223" s="68"/>
      <c r="BX1223" s="68"/>
      <c r="BY1223" s="68"/>
      <c r="BZ1223" s="68"/>
      <c r="CA1223" s="68"/>
      <c r="CB1223" s="68"/>
      <c r="CC1223" s="68"/>
      <c r="CD1223" s="68"/>
      <c r="CE1223" s="68"/>
      <c r="CF1223" s="68"/>
      <c r="CG1223" s="68"/>
      <c r="CH1223" s="68"/>
      <c r="CI1223" s="68"/>
      <c r="CJ1223" s="68"/>
      <c r="CK1223" s="68"/>
      <c r="CL1223" s="68"/>
      <c r="CM1223" s="68"/>
      <c r="CN1223" s="68"/>
      <c r="CO1223" s="68"/>
      <c r="CP1223" s="68"/>
      <c r="CQ1223" s="68"/>
      <c r="CR1223" s="68"/>
      <c r="CS1223" s="68"/>
      <c r="CT1223" s="68"/>
      <c r="CU1223" s="68"/>
      <c r="CV1223" s="68"/>
      <c r="CW1223" s="68"/>
      <c r="CX1223" s="68"/>
    </row>
    <row r="1224" spans="4:102" s="71" customFormat="1" hidden="1">
      <c r="D1224" s="69"/>
      <c r="E1224" s="68"/>
      <c r="F1224" s="68"/>
      <c r="G1224" s="68"/>
      <c r="H1224" s="68"/>
      <c r="I1224" s="68"/>
      <c r="J1224" s="68"/>
      <c r="K1224" s="73"/>
      <c r="L1224" s="68"/>
      <c r="M1224" s="68"/>
      <c r="N1224" s="68"/>
      <c r="O1224" s="68"/>
      <c r="P1224" s="65"/>
      <c r="Q1224" s="103"/>
      <c r="R1224" s="103"/>
      <c r="S1224" s="103"/>
      <c r="T1224" s="103"/>
      <c r="U1224" s="68"/>
      <c r="V1224" s="69"/>
      <c r="W1224" s="68"/>
      <c r="X1224" s="68"/>
      <c r="Y1224" s="68"/>
      <c r="Z1224" s="68"/>
      <c r="AA1224" s="68"/>
      <c r="AB1224" s="68"/>
      <c r="AC1224" s="68"/>
      <c r="AD1224" s="68"/>
      <c r="AE1224" s="68"/>
      <c r="AF1224" s="68"/>
      <c r="AG1224" s="68"/>
      <c r="AH1224" s="68"/>
      <c r="AI1224" s="68"/>
      <c r="AJ1224" s="68"/>
      <c r="AK1224" s="68"/>
      <c r="AL1224" s="68"/>
      <c r="AM1224" s="68"/>
      <c r="AN1224" s="68"/>
      <c r="AO1224" s="68"/>
      <c r="AP1224" s="68"/>
      <c r="AQ1224" s="68"/>
      <c r="AR1224" s="68"/>
      <c r="AS1224" s="68"/>
      <c r="AT1224" s="68"/>
      <c r="AU1224" s="68"/>
      <c r="AV1224" s="68"/>
      <c r="AW1224" s="68"/>
      <c r="AX1224" s="68"/>
      <c r="AY1224" s="68"/>
      <c r="AZ1224" s="68"/>
      <c r="BA1224" s="68"/>
      <c r="BB1224" s="68"/>
      <c r="BC1224" s="68"/>
      <c r="BD1224" s="68"/>
      <c r="BE1224" s="68"/>
      <c r="BF1224" s="68"/>
      <c r="BG1224" s="68"/>
      <c r="BH1224" s="68"/>
      <c r="BI1224" s="68"/>
      <c r="BJ1224" s="68"/>
      <c r="BK1224" s="68"/>
      <c r="BL1224" s="68"/>
      <c r="BM1224" s="68"/>
      <c r="BN1224" s="68"/>
      <c r="BO1224" s="68"/>
      <c r="BP1224" s="68"/>
      <c r="BQ1224" s="68"/>
      <c r="BR1224" s="68"/>
      <c r="BS1224" s="68"/>
      <c r="BT1224" s="68"/>
      <c r="BU1224" s="68"/>
      <c r="BV1224" s="68"/>
      <c r="BW1224" s="68"/>
      <c r="BX1224" s="68"/>
      <c r="BY1224" s="68"/>
      <c r="BZ1224" s="68"/>
      <c r="CA1224" s="68"/>
      <c r="CB1224" s="68"/>
      <c r="CC1224" s="68"/>
      <c r="CD1224" s="68"/>
      <c r="CE1224" s="68"/>
      <c r="CF1224" s="68"/>
      <c r="CG1224" s="68"/>
      <c r="CH1224" s="68"/>
      <c r="CI1224" s="68"/>
      <c r="CJ1224" s="68"/>
      <c r="CK1224" s="68"/>
      <c r="CL1224" s="68"/>
      <c r="CM1224" s="68"/>
      <c r="CN1224" s="68"/>
      <c r="CO1224" s="68"/>
      <c r="CP1224" s="68"/>
      <c r="CQ1224" s="68"/>
      <c r="CR1224" s="68"/>
      <c r="CS1224" s="68"/>
      <c r="CT1224" s="68"/>
      <c r="CU1224" s="68"/>
      <c r="CV1224" s="68"/>
      <c r="CW1224" s="68"/>
      <c r="CX1224" s="68"/>
    </row>
    <row r="1225" spans="4:102" s="71" customFormat="1" hidden="1">
      <c r="D1225" s="69"/>
      <c r="E1225" s="68"/>
      <c r="F1225" s="68"/>
      <c r="G1225" s="68"/>
      <c r="H1225" s="68"/>
      <c r="I1225" s="68"/>
      <c r="J1225" s="68"/>
      <c r="K1225" s="73"/>
      <c r="L1225" s="68"/>
      <c r="M1225" s="68"/>
      <c r="N1225" s="68"/>
      <c r="O1225" s="68"/>
      <c r="P1225" s="65"/>
      <c r="Q1225" s="103"/>
      <c r="R1225" s="103"/>
      <c r="S1225" s="103"/>
      <c r="T1225" s="103"/>
      <c r="U1225" s="68"/>
      <c r="V1225" s="69"/>
      <c r="W1225" s="68"/>
      <c r="X1225" s="68"/>
      <c r="Y1225" s="68"/>
      <c r="Z1225" s="68"/>
      <c r="AA1225" s="68"/>
      <c r="AB1225" s="68"/>
      <c r="AC1225" s="68"/>
      <c r="AD1225" s="68"/>
      <c r="AE1225" s="68"/>
      <c r="AF1225" s="68"/>
      <c r="AG1225" s="68"/>
      <c r="AH1225" s="68"/>
      <c r="AI1225" s="68"/>
      <c r="AJ1225" s="68"/>
      <c r="AK1225" s="68"/>
      <c r="AL1225" s="68"/>
      <c r="AM1225" s="68"/>
      <c r="AN1225" s="68"/>
      <c r="AO1225" s="68"/>
      <c r="AP1225" s="68"/>
      <c r="AQ1225" s="68"/>
      <c r="AR1225" s="68"/>
      <c r="AS1225" s="68"/>
      <c r="AT1225" s="68"/>
      <c r="AU1225" s="68"/>
      <c r="AV1225" s="68"/>
      <c r="AW1225" s="68"/>
      <c r="AX1225" s="68"/>
      <c r="AY1225" s="68"/>
      <c r="AZ1225" s="68"/>
      <c r="BA1225" s="68"/>
      <c r="BB1225" s="68"/>
      <c r="BC1225" s="68"/>
      <c r="BD1225" s="68"/>
      <c r="BE1225" s="68"/>
      <c r="BF1225" s="68"/>
      <c r="BG1225" s="68"/>
      <c r="BH1225" s="68"/>
      <c r="BI1225" s="68"/>
      <c r="BJ1225" s="68"/>
      <c r="BK1225" s="68"/>
      <c r="BL1225" s="68"/>
      <c r="BM1225" s="68"/>
      <c r="BN1225" s="68"/>
      <c r="BO1225" s="68"/>
      <c r="BP1225" s="68"/>
      <c r="BQ1225" s="68"/>
      <c r="BR1225" s="68"/>
      <c r="BS1225" s="68"/>
      <c r="BT1225" s="68"/>
      <c r="BU1225" s="68"/>
      <c r="BV1225" s="68"/>
      <c r="BW1225" s="68"/>
      <c r="BX1225" s="68"/>
      <c r="BY1225" s="68"/>
      <c r="BZ1225" s="68"/>
      <c r="CA1225" s="68"/>
      <c r="CB1225" s="68"/>
      <c r="CC1225" s="68"/>
      <c r="CD1225" s="68"/>
      <c r="CE1225" s="68"/>
      <c r="CF1225" s="68"/>
      <c r="CG1225" s="68"/>
      <c r="CH1225" s="68"/>
      <c r="CI1225" s="68"/>
      <c r="CJ1225" s="68"/>
      <c r="CK1225" s="68"/>
      <c r="CL1225" s="68"/>
      <c r="CM1225" s="68"/>
      <c r="CN1225" s="68"/>
      <c r="CO1225" s="68"/>
      <c r="CP1225" s="68"/>
      <c r="CQ1225" s="68"/>
      <c r="CR1225" s="68"/>
      <c r="CS1225" s="68"/>
      <c r="CT1225" s="68"/>
      <c r="CU1225" s="68"/>
      <c r="CV1225" s="68"/>
      <c r="CW1225" s="68"/>
      <c r="CX1225" s="68"/>
    </row>
    <row r="1226" spans="4:102" s="71" customFormat="1" hidden="1">
      <c r="D1226" s="69"/>
      <c r="E1226" s="68"/>
      <c r="F1226" s="68"/>
      <c r="G1226" s="68"/>
      <c r="H1226" s="68"/>
      <c r="I1226" s="68"/>
      <c r="J1226" s="68"/>
      <c r="K1226" s="73"/>
      <c r="L1226" s="68"/>
      <c r="M1226" s="68"/>
      <c r="N1226" s="68"/>
      <c r="O1226" s="68"/>
      <c r="P1226" s="65"/>
      <c r="Q1226" s="103"/>
      <c r="R1226" s="103"/>
      <c r="S1226" s="103"/>
      <c r="T1226" s="103"/>
      <c r="U1226" s="68"/>
      <c r="V1226" s="69"/>
      <c r="W1226" s="68"/>
      <c r="X1226" s="68"/>
      <c r="Y1226" s="68"/>
      <c r="Z1226" s="68"/>
      <c r="AA1226" s="68"/>
      <c r="AB1226" s="68"/>
      <c r="AC1226" s="68"/>
      <c r="AD1226" s="68"/>
      <c r="AE1226" s="68"/>
      <c r="AF1226" s="68"/>
      <c r="AG1226" s="68"/>
      <c r="AH1226" s="68"/>
      <c r="AI1226" s="68"/>
      <c r="AJ1226" s="68"/>
      <c r="AK1226" s="68"/>
      <c r="AL1226" s="68"/>
      <c r="AM1226" s="68"/>
      <c r="AN1226" s="68"/>
      <c r="AO1226" s="68"/>
      <c r="AP1226" s="68"/>
      <c r="AQ1226" s="68"/>
      <c r="AR1226" s="68"/>
      <c r="AS1226" s="68"/>
      <c r="AT1226" s="68"/>
      <c r="AU1226" s="68"/>
      <c r="AV1226" s="68"/>
      <c r="AW1226" s="68"/>
      <c r="AX1226" s="68"/>
      <c r="AY1226" s="68"/>
      <c r="AZ1226" s="68"/>
      <c r="BA1226" s="68"/>
      <c r="BB1226" s="68"/>
      <c r="BC1226" s="68"/>
      <c r="BD1226" s="68"/>
      <c r="BE1226" s="68"/>
      <c r="BF1226" s="68"/>
      <c r="BG1226" s="68"/>
      <c r="BH1226" s="68"/>
      <c r="BI1226" s="68"/>
      <c r="BJ1226" s="68"/>
      <c r="BK1226" s="68"/>
      <c r="BL1226" s="68"/>
      <c r="BM1226" s="68"/>
      <c r="BN1226" s="68"/>
      <c r="BO1226" s="68"/>
      <c r="BP1226" s="68"/>
      <c r="BQ1226" s="68"/>
      <c r="BR1226" s="68"/>
      <c r="BS1226" s="68"/>
      <c r="BT1226" s="68"/>
      <c r="BU1226" s="68"/>
      <c r="BV1226" s="68"/>
      <c r="BW1226" s="68"/>
      <c r="BX1226" s="68"/>
      <c r="BY1226" s="68"/>
      <c r="BZ1226" s="68"/>
      <c r="CA1226" s="68"/>
      <c r="CB1226" s="68"/>
      <c r="CC1226" s="68"/>
      <c r="CD1226" s="68"/>
      <c r="CE1226" s="68"/>
      <c r="CF1226" s="68"/>
      <c r="CG1226" s="68"/>
      <c r="CH1226" s="68"/>
      <c r="CI1226" s="68"/>
      <c r="CJ1226" s="68"/>
      <c r="CK1226" s="68"/>
      <c r="CL1226" s="68"/>
      <c r="CM1226" s="68"/>
      <c r="CN1226" s="68"/>
      <c r="CO1226" s="68"/>
      <c r="CP1226" s="68"/>
      <c r="CQ1226" s="68"/>
      <c r="CR1226" s="68"/>
      <c r="CS1226" s="68"/>
      <c r="CT1226" s="68"/>
      <c r="CU1226" s="68"/>
      <c r="CV1226" s="68"/>
      <c r="CW1226" s="68"/>
      <c r="CX1226" s="68"/>
    </row>
    <row r="1227" spans="4:102" s="71" customFormat="1" hidden="1">
      <c r="D1227" s="69"/>
      <c r="E1227" s="68"/>
      <c r="F1227" s="68"/>
      <c r="G1227" s="68"/>
      <c r="H1227" s="68"/>
      <c r="I1227" s="68"/>
      <c r="J1227" s="68"/>
      <c r="K1227" s="73"/>
      <c r="L1227" s="68"/>
      <c r="M1227" s="68"/>
      <c r="N1227" s="68"/>
      <c r="O1227" s="68"/>
      <c r="P1227" s="65"/>
      <c r="Q1227" s="103"/>
      <c r="R1227" s="103"/>
      <c r="S1227" s="103"/>
      <c r="T1227" s="103"/>
      <c r="U1227" s="68"/>
      <c r="V1227" s="69"/>
      <c r="W1227" s="68"/>
      <c r="X1227" s="68"/>
      <c r="Y1227" s="68"/>
      <c r="Z1227" s="68"/>
      <c r="AA1227" s="68"/>
      <c r="AB1227" s="68"/>
      <c r="AC1227" s="68"/>
      <c r="AD1227" s="68"/>
      <c r="AE1227" s="68"/>
      <c r="AF1227" s="68"/>
      <c r="AG1227" s="68"/>
      <c r="AH1227" s="68"/>
      <c r="AI1227" s="68"/>
      <c r="AJ1227" s="68"/>
      <c r="AK1227" s="68"/>
      <c r="AL1227" s="68"/>
      <c r="AM1227" s="68"/>
      <c r="AN1227" s="68"/>
      <c r="AO1227" s="68"/>
      <c r="AP1227" s="68"/>
      <c r="AQ1227" s="68"/>
      <c r="AR1227" s="68"/>
      <c r="AS1227" s="68"/>
      <c r="AT1227" s="68"/>
      <c r="AU1227" s="68"/>
      <c r="AV1227" s="68"/>
      <c r="AW1227" s="68"/>
      <c r="AX1227" s="68"/>
      <c r="AY1227" s="68"/>
      <c r="AZ1227" s="68"/>
      <c r="BA1227" s="68"/>
      <c r="BB1227" s="68"/>
      <c r="BC1227" s="68"/>
      <c r="BD1227" s="68"/>
      <c r="BE1227" s="68"/>
      <c r="BF1227" s="68"/>
      <c r="BG1227" s="68"/>
      <c r="BH1227" s="68"/>
      <c r="BI1227" s="68"/>
      <c r="BJ1227" s="68"/>
      <c r="BK1227" s="68"/>
      <c r="BL1227" s="68"/>
      <c r="BM1227" s="68"/>
      <c r="BN1227" s="68"/>
      <c r="BO1227" s="68"/>
      <c r="BP1227" s="68"/>
      <c r="BQ1227" s="68"/>
      <c r="BR1227" s="68"/>
      <c r="BS1227" s="68"/>
      <c r="BT1227" s="68"/>
      <c r="BU1227" s="68"/>
      <c r="BV1227" s="68"/>
      <c r="BW1227" s="68"/>
      <c r="BX1227" s="68"/>
      <c r="BY1227" s="68"/>
      <c r="BZ1227" s="68"/>
      <c r="CA1227" s="68"/>
      <c r="CB1227" s="68"/>
      <c r="CC1227" s="68"/>
      <c r="CD1227" s="68"/>
      <c r="CE1227" s="68"/>
      <c r="CF1227" s="68"/>
      <c r="CG1227" s="68"/>
      <c r="CH1227" s="68"/>
      <c r="CI1227" s="68"/>
      <c r="CJ1227" s="68"/>
      <c r="CK1227" s="68"/>
      <c r="CL1227" s="68"/>
      <c r="CM1227" s="68"/>
      <c r="CN1227" s="68"/>
      <c r="CO1227" s="68"/>
      <c r="CP1227" s="68"/>
      <c r="CQ1227" s="68"/>
      <c r="CR1227" s="68"/>
      <c r="CS1227" s="68"/>
      <c r="CT1227" s="68"/>
      <c r="CU1227" s="68"/>
      <c r="CV1227" s="68"/>
      <c r="CW1227" s="68"/>
      <c r="CX1227" s="68"/>
    </row>
    <row r="1228" spans="4:102" s="71" customFormat="1" hidden="1">
      <c r="D1228" s="69"/>
      <c r="E1228" s="68"/>
      <c r="F1228" s="68"/>
      <c r="G1228" s="68"/>
      <c r="H1228" s="68"/>
      <c r="I1228" s="68"/>
      <c r="J1228" s="68"/>
      <c r="K1228" s="73"/>
      <c r="L1228" s="68"/>
      <c r="M1228" s="68"/>
      <c r="N1228" s="68"/>
      <c r="O1228" s="68"/>
      <c r="P1228" s="65"/>
      <c r="Q1228" s="103"/>
      <c r="R1228" s="103"/>
      <c r="S1228" s="103"/>
      <c r="T1228" s="103"/>
      <c r="U1228" s="68"/>
      <c r="V1228" s="69"/>
      <c r="W1228" s="68"/>
      <c r="X1228" s="68"/>
      <c r="Y1228" s="68"/>
      <c r="Z1228" s="68"/>
      <c r="AA1228" s="68"/>
      <c r="AB1228" s="68"/>
      <c r="AC1228" s="68"/>
      <c r="AD1228" s="68"/>
      <c r="AE1228" s="68"/>
      <c r="AF1228" s="68"/>
      <c r="AG1228" s="68"/>
      <c r="AH1228" s="68"/>
      <c r="AI1228" s="68"/>
      <c r="AJ1228" s="68"/>
      <c r="AK1228" s="68"/>
      <c r="AL1228" s="68"/>
      <c r="AM1228" s="68"/>
      <c r="AN1228" s="68"/>
      <c r="AO1228" s="68"/>
      <c r="AP1228" s="68"/>
      <c r="AQ1228" s="68"/>
      <c r="AR1228" s="68"/>
      <c r="AS1228" s="68"/>
      <c r="AT1228" s="68"/>
      <c r="AU1228" s="68"/>
      <c r="AV1228" s="68"/>
      <c r="AW1228" s="68"/>
      <c r="AX1228" s="68"/>
      <c r="AY1228" s="68"/>
      <c r="AZ1228" s="68"/>
      <c r="BA1228" s="68"/>
      <c r="BB1228" s="68"/>
      <c r="BC1228" s="68"/>
      <c r="BD1228" s="68"/>
      <c r="BE1228" s="68"/>
      <c r="BF1228" s="68"/>
      <c r="BG1228" s="68"/>
      <c r="BH1228" s="68"/>
      <c r="BI1228" s="68"/>
      <c r="BJ1228" s="68"/>
      <c r="BK1228" s="68"/>
      <c r="BL1228" s="68"/>
      <c r="BM1228" s="68"/>
      <c r="BN1228" s="68"/>
      <c r="BO1228" s="68"/>
      <c r="BP1228" s="68"/>
      <c r="BQ1228" s="68"/>
      <c r="BR1228" s="68"/>
      <c r="BS1228" s="68"/>
      <c r="BT1228" s="68"/>
      <c r="BU1228" s="68"/>
      <c r="BV1228" s="68"/>
      <c r="BW1228" s="68"/>
      <c r="BX1228" s="68"/>
      <c r="BY1228" s="68"/>
      <c r="BZ1228" s="68"/>
      <c r="CA1228" s="68"/>
      <c r="CB1228" s="68"/>
      <c r="CC1228" s="68"/>
      <c r="CD1228" s="68"/>
      <c r="CE1228" s="68"/>
      <c r="CF1228" s="68"/>
      <c r="CG1228" s="68"/>
      <c r="CH1228" s="68"/>
      <c r="CI1228" s="68"/>
      <c r="CJ1228" s="68"/>
      <c r="CK1228" s="68"/>
      <c r="CL1228" s="68"/>
      <c r="CM1228" s="68"/>
      <c r="CN1228" s="68"/>
      <c r="CO1228" s="68"/>
      <c r="CP1228" s="68"/>
      <c r="CQ1228" s="68"/>
      <c r="CR1228" s="68"/>
      <c r="CS1228" s="68"/>
      <c r="CT1228" s="68"/>
      <c r="CU1228" s="68"/>
      <c r="CV1228" s="68"/>
      <c r="CW1228" s="68"/>
      <c r="CX1228" s="68"/>
    </row>
    <row r="1229" spans="4:102" s="71" customFormat="1" hidden="1">
      <c r="D1229" s="69"/>
      <c r="E1229" s="68"/>
      <c r="F1229" s="68"/>
      <c r="G1229" s="68"/>
      <c r="H1229" s="68"/>
      <c r="I1229" s="68"/>
      <c r="J1229" s="68"/>
      <c r="K1229" s="73"/>
      <c r="L1229" s="68"/>
      <c r="M1229" s="68"/>
      <c r="N1229" s="68"/>
      <c r="O1229" s="68"/>
      <c r="P1229" s="65"/>
      <c r="Q1229" s="103"/>
      <c r="R1229" s="103"/>
      <c r="S1229" s="103"/>
      <c r="T1229" s="103"/>
      <c r="U1229" s="68"/>
      <c r="V1229" s="69"/>
      <c r="W1229" s="68"/>
      <c r="X1229" s="68"/>
      <c r="Y1229" s="68"/>
      <c r="Z1229" s="68"/>
      <c r="AA1229" s="68"/>
      <c r="AB1229" s="68"/>
      <c r="AC1229" s="68"/>
      <c r="AD1229" s="68"/>
      <c r="AE1229" s="68"/>
      <c r="AF1229" s="68"/>
      <c r="AG1229" s="68"/>
      <c r="AH1229" s="68"/>
      <c r="AI1229" s="68"/>
      <c r="AJ1229" s="68"/>
      <c r="AK1229" s="68"/>
      <c r="AL1229" s="68"/>
      <c r="AM1229" s="68"/>
      <c r="AN1229" s="68"/>
      <c r="AO1229" s="68"/>
      <c r="AP1229" s="68"/>
      <c r="AQ1229" s="68"/>
      <c r="AR1229" s="68"/>
      <c r="AS1229" s="68"/>
      <c r="AT1229" s="68"/>
      <c r="AU1229" s="68"/>
      <c r="AV1229" s="68"/>
      <c r="AW1229" s="68"/>
      <c r="AX1229" s="68"/>
      <c r="AY1229" s="68"/>
      <c r="AZ1229" s="68"/>
      <c r="BA1229" s="68"/>
      <c r="BB1229" s="68"/>
      <c r="BC1229" s="68"/>
      <c r="BD1229" s="68"/>
      <c r="BE1229" s="68"/>
      <c r="BF1229" s="68"/>
      <c r="BG1229" s="68"/>
      <c r="BH1229" s="68"/>
      <c r="BI1229" s="68"/>
      <c r="BJ1229" s="68"/>
      <c r="BK1229" s="68"/>
      <c r="BL1229" s="68"/>
      <c r="BM1229" s="68"/>
      <c r="BN1229" s="68"/>
      <c r="BO1229" s="68"/>
      <c r="BP1229" s="68"/>
      <c r="BQ1229" s="68"/>
      <c r="BR1229" s="68"/>
      <c r="BS1229" s="68"/>
      <c r="BT1229" s="68"/>
      <c r="BU1229" s="68"/>
      <c r="BV1229" s="68"/>
      <c r="BW1229" s="68"/>
      <c r="BX1229" s="68"/>
      <c r="BY1229" s="68"/>
      <c r="BZ1229" s="68"/>
      <c r="CA1229" s="68"/>
      <c r="CB1229" s="68"/>
      <c r="CC1229" s="68"/>
      <c r="CD1229" s="68"/>
      <c r="CE1229" s="68"/>
      <c r="CF1229" s="68"/>
      <c r="CG1229" s="68"/>
      <c r="CH1229" s="68"/>
      <c r="CI1229" s="68"/>
      <c r="CJ1229" s="68"/>
      <c r="CK1229" s="68"/>
      <c r="CL1229" s="68"/>
      <c r="CM1229" s="68"/>
      <c r="CN1229" s="68"/>
      <c r="CO1229" s="68"/>
      <c r="CP1229" s="68"/>
      <c r="CQ1229" s="68"/>
      <c r="CR1229" s="68"/>
      <c r="CS1229" s="68"/>
      <c r="CT1229" s="68"/>
      <c r="CU1229" s="68"/>
      <c r="CV1229" s="68"/>
      <c r="CW1229" s="68"/>
      <c r="CX1229" s="68"/>
    </row>
    <row r="1230" spans="4:102" s="71" customFormat="1" hidden="1">
      <c r="D1230" s="69"/>
      <c r="E1230" s="68"/>
      <c r="F1230" s="68"/>
      <c r="G1230" s="68"/>
      <c r="H1230" s="68"/>
      <c r="I1230" s="68"/>
      <c r="J1230" s="68"/>
      <c r="K1230" s="73"/>
      <c r="L1230" s="68"/>
      <c r="M1230" s="68"/>
      <c r="N1230" s="68"/>
      <c r="O1230" s="68"/>
      <c r="P1230" s="65"/>
      <c r="Q1230" s="103"/>
      <c r="R1230" s="103"/>
      <c r="S1230" s="103"/>
      <c r="T1230" s="103"/>
      <c r="U1230" s="68"/>
      <c r="V1230" s="69"/>
      <c r="W1230" s="68"/>
      <c r="X1230" s="68"/>
      <c r="Y1230" s="68"/>
      <c r="Z1230" s="68"/>
      <c r="AA1230" s="68"/>
      <c r="AB1230" s="68"/>
      <c r="AC1230" s="68"/>
      <c r="AD1230" s="68"/>
      <c r="AE1230" s="68"/>
      <c r="AF1230" s="68"/>
      <c r="AG1230" s="68"/>
      <c r="AH1230" s="68"/>
      <c r="AI1230" s="68"/>
      <c r="AJ1230" s="68"/>
      <c r="AK1230" s="68"/>
      <c r="AL1230" s="68"/>
      <c r="AM1230" s="68"/>
      <c r="AN1230" s="68"/>
      <c r="AO1230" s="68"/>
      <c r="AP1230" s="68"/>
      <c r="AQ1230" s="68"/>
      <c r="AR1230" s="68"/>
      <c r="AS1230" s="68"/>
      <c r="AT1230" s="68"/>
      <c r="AU1230" s="68"/>
      <c r="AV1230" s="68"/>
      <c r="AW1230" s="68"/>
      <c r="AX1230" s="68"/>
      <c r="AY1230" s="68"/>
      <c r="AZ1230" s="68"/>
      <c r="BA1230" s="68"/>
      <c r="BB1230" s="68"/>
      <c r="BC1230" s="68"/>
      <c r="BD1230" s="68"/>
      <c r="BE1230" s="68"/>
      <c r="BF1230" s="68"/>
      <c r="BG1230" s="68"/>
      <c r="BH1230" s="68"/>
      <c r="BI1230" s="68"/>
      <c r="BJ1230" s="68"/>
      <c r="BK1230" s="68"/>
      <c r="BL1230" s="68"/>
      <c r="BM1230" s="68"/>
      <c r="BN1230" s="68"/>
      <c r="BO1230" s="68"/>
      <c r="BP1230" s="68"/>
      <c r="BQ1230" s="68"/>
      <c r="BR1230" s="68"/>
      <c r="BS1230" s="68"/>
      <c r="BT1230" s="68"/>
      <c r="BU1230" s="68"/>
      <c r="BV1230" s="68"/>
      <c r="BW1230" s="68"/>
      <c r="BX1230" s="68"/>
      <c r="BY1230" s="68"/>
      <c r="BZ1230" s="68"/>
      <c r="CA1230" s="68"/>
      <c r="CB1230" s="68"/>
      <c r="CC1230" s="68"/>
      <c r="CD1230" s="68"/>
      <c r="CE1230" s="68"/>
      <c r="CF1230" s="68"/>
      <c r="CG1230" s="68"/>
      <c r="CH1230" s="68"/>
      <c r="CI1230" s="68"/>
      <c r="CJ1230" s="68"/>
      <c r="CK1230" s="68"/>
      <c r="CL1230" s="68"/>
      <c r="CM1230" s="68"/>
      <c r="CN1230" s="68"/>
      <c r="CO1230" s="68"/>
      <c r="CP1230" s="68"/>
      <c r="CQ1230" s="68"/>
      <c r="CR1230" s="68"/>
      <c r="CS1230" s="68"/>
      <c r="CT1230" s="68"/>
      <c r="CU1230" s="68"/>
      <c r="CV1230" s="68"/>
      <c r="CW1230" s="68"/>
      <c r="CX1230" s="68"/>
    </row>
    <row r="1231" spans="4:102" s="71" customFormat="1" hidden="1">
      <c r="D1231" s="69"/>
      <c r="E1231" s="68"/>
      <c r="F1231" s="68"/>
      <c r="G1231" s="68"/>
      <c r="H1231" s="68"/>
      <c r="I1231" s="68"/>
      <c r="J1231" s="68"/>
      <c r="K1231" s="73"/>
      <c r="L1231" s="68"/>
      <c r="M1231" s="68"/>
      <c r="N1231" s="68"/>
      <c r="O1231" s="68"/>
      <c r="P1231" s="65"/>
      <c r="Q1231" s="103"/>
      <c r="R1231" s="103"/>
      <c r="S1231" s="103"/>
      <c r="T1231" s="103"/>
      <c r="U1231" s="68"/>
      <c r="V1231" s="69"/>
      <c r="W1231" s="68"/>
      <c r="X1231" s="68"/>
      <c r="Y1231" s="68"/>
      <c r="Z1231" s="68"/>
      <c r="AA1231" s="68"/>
      <c r="AB1231" s="68"/>
      <c r="AC1231" s="68"/>
      <c r="AD1231" s="68"/>
      <c r="AE1231" s="68"/>
      <c r="AF1231" s="68"/>
      <c r="AG1231" s="68"/>
      <c r="AH1231" s="68"/>
      <c r="AI1231" s="68"/>
      <c r="AJ1231" s="68"/>
      <c r="AK1231" s="68"/>
      <c r="AL1231" s="68"/>
      <c r="AM1231" s="68"/>
      <c r="AN1231" s="68"/>
      <c r="AO1231" s="68"/>
      <c r="AP1231" s="68"/>
      <c r="AQ1231" s="68"/>
      <c r="AR1231" s="68"/>
      <c r="AS1231" s="68"/>
      <c r="AT1231" s="68"/>
      <c r="AU1231" s="68"/>
      <c r="AV1231" s="68"/>
      <c r="AW1231" s="68"/>
      <c r="AX1231" s="68"/>
      <c r="AY1231" s="68"/>
      <c r="AZ1231" s="68"/>
      <c r="BA1231" s="68"/>
      <c r="BB1231" s="68"/>
      <c r="BC1231" s="68"/>
      <c r="BD1231" s="68"/>
      <c r="BE1231" s="68"/>
      <c r="BF1231" s="68"/>
      <c r="BG1231" s="68"/>
      <c r="BH1231" s="68"/>
      <c r="BI1231" s="68"/>
      <c r="BJ1231" s="68"/>
      <c r="BK1231" s="68"/>
      <c r="BL1231" s="68"/>
      <c r="BM1231" s="68"/>
      <c r="BN1231" s="68"/>
      <c r="BO1231" s="68"/>
      <c r="BP1231" s="68"/>
      <c r="BQ1231" s="68"/>
      <c r="BR1231" s="68"/>
      <c r="BS1231" s="68"/>
      <c r="BT1231" s="68"/>
      <c r="BU1231" s="68"/>
      <c r="BV1231" s="68"/>
      <c r="BW1231" s="68"/>
      <c r="BX1231" s="68"/>
      <c r="BY1231" s="68"/>
      <c r="BZ1231" s="68"/>
      <c r="CA1231" s="68"/>
      <c r="CB1231" s="68"/>
      <c r="CC1231" s="68"/>
      <c r="CD1231" s="68"/>
      <c r="CE1231" s="68"/>
      <c r="CF1231" s="68"/>
      <c r="CG1231" s="68"/>
      <c r="CH1231" s="68"/>
      <c r="CI1231" s="68"/>
      <c r="CJ1231" s="68"/>
      <c r="CK1231" s="68"/>
      <c r="CL1231" s="68"/>
      <c r="CM1231" s="68"/>
      <c r="CN1231" s="68"/>
      <c r="CO1231" s="68"/>
      <c r="CP1231" s="68"/>
      <c r="CQ1231" s="68"/>
      <c r="CR1231" s="68"/>
      <c r="CS1231" s="68"/>
      <c r="CT1231" s="68"/>
      <c r="CU1231" s="68"/>
      <c r="CV1231" s="68"/>
      <c r="CW1231" s="68"/>
      <c r="CX1231" s="68"/>
    </row>
    <row r="1232" spans="4:102" s="71" customFormat="1" hidden="1">
      <c r="D1232" s="69"/>
      <c r="E1232" s="68"/>
      <c r="F1232" s="68"/>
      <c r="G1232" s="68"/>
      <c r="H1232" s="68"/>
      <c r="I1232" s="68"/>
      <c r="J1232" s="68"/>
      <c r="K1232" s="73"/>
      <c r="L1232" s="68"/>
      <c r="M1232" s="68"/>
      <c r="N1232" s="68"/>
      <c r="O1232" s="68"/>
      <c r="P1232" s="65"/>
      <c r="Q1232" s="103"/>
      <c r="R1232" s="103"/>
      <c r="S1232" s="103"/>
      <c r="T1232" s="103"/>
      <c r="U1232" s="68"/>
      <c r="V1232" s="69"/>
      <c r="W1232" s="68"/>
      <c r="X1232" s="68"/>
      <c r="Y1232" s="68"/>
      <c r="Z1232" s="68"/>
      <c r="AA1232" s="68"/>
      <c r="AB1232" s="68"/>
      <c r="AC1232" s="68"/>
      <c r="AD1232" s="68"/>
      <c r="AE1232" s="68"/>
      <c r="AF1232" s="68"/>
      <c r="AG1232" s="68"/>
      <c r="AH1232" s="68"/>
      <c r="AI1232" s="68"/>
      <c r="AJ1232" s="68"/>
      <c r="AK1232" s="68"/>
      <c r="AL1232" s="68"/>
      <c r="AM1232" s="68"/>
      <c r="AN1232" s="68"/>
      <c r="AO1232" s="68"/>
      <c r="AP1232" s="68"/>
      <c r="AQ1232" s="68"/>
      <c r="AR1232" s="68"/>
      <c r="AS1232" s="68"/>
      <c r="AT1232" s="68"/>
      <c r="AU1232" s="68"/>
      <c r="AV1232" s="68"/>
      <c r="AW1232" s="68"/>
      <c r="AX1232" s="68"/>
      <c r="AY1232" s="68"/>
      <c r="AZ1232" s="68"/>
      <c r="BA1232" s="68"/>
      <c r="BB1232" s="68"/>
      <c r="BC1232" s="68"/>
      <c r="BD1232" s="68"/>
      <c r="BE1232" s="68"/>
      <c r="BF1232" s="68"/>
      <c r="BG1232" s="68"/>
      <c r="BH1232" s="68"/>
      <c r="BI1232" s="68"/>
      <c r="BJ1232" s="68"/>
      <c r="BK1232" s="68"/>
      <c r="BL1232" s="68"/>
      <c r="BM1232" s="68"/>
      <c r="BN1232" s="68"/>
      <c r="BO1232" s="68"/>
      <c r="BP1232" s="68"/>
      <c r="BQ1232" s="68"/>
      <c r="BR1232" s="68"/>
      <c r="BS1232" s="68"/>
      <c r="BT1232" s="68"/>
      <c r="BU1232" s="68"/>
      <c r="BV1232" s="68"/>
      <c r="BW1232" s="68"/>
      <c r="BX1232" s="68"/>
      <c r="BY1232" s="68"/>
      <c r="BZ1232" s="68"/>
      <c r="CA1232" s="68"/>
      <c r="CB1232" s="68"/>
      <c r="CC1232" s="68"/>
      <c r="CD1232" s="68"/>
      <c r="CE1232" s="68"/>
      <c r="CF1232" s="68"/>
      <c r="CG1232" s="68"/>
      <c r="CH1232" s="68"/>
      <c r="CI1232" s="68"/>
      <c r="CJ1232" s="68"/>
      <c r="CK1232" s="68"/>
      <c r="CL1232" s="68"/>
      <c r="CM1232" s="68"/>
      <c r="CN1232" s="68"/>
      <c r="CO1232" s="68"/>
      <c r="CP1232" s="68"/>
      <c r="CQ1232" s="68"/>
      <c r="CR1232" s="68"/>
      <c r="CS1232" s="68"/>
      <c r="CT1232" s="68"/>
      <c r="CU1232" s="68"/>
      <c r="CV1232" s="68"/>
      <c r="CW1232" s="68"/>
      <c r="CX1232" s="68"/>
    </row>
    <row r="1233" spans="4:102" s="71" customFormat="1" hidden="1">
      <c r="D1233" s="69"/>
      <c r="E1233" s="68"/>
      <c r="F1233" s="68"/>
      <c r="G1233" s="68"/>
      <c r="H1233" s="68"/>
      <c r="I1233" s="68"/>
      <c r="J1233" s="68"/>
      <c r="K1233" s="73"/>
      <c r="L1233" s="68"/>
      <c r="M1233" s="68"/>
      <c r="N1233" s="68"/>
      <c r="O1233" s="68"/>
      <c r="P1233" s="65"/>
      <c r="Q1233" s="103"/>
      <c r="R1233" s="103"/>
      <c r="S1233" s="103"/>
      <c r="T1233" s="103"/>
      <c r="U1233" s="68"/>
      <c r="V1233" s="69"/>
      <c r="W1233" s="68"/>
      <c r="X1233" s="68"/>
      <c r="Y1233" s="68"/>
      <c r="Z1233" s="68"/>
      <c r="AA1233" s="68"/>
      <c r="AB1233" s="68"/>
      <c r="AC1233" s="68"/>
      <c r="AD1233" s="68"/>
      <c r="AE1233" s="68"/>
      <c r="AF1233" s="68"/>
      <c r="AG1233" s="68"/>
      <c r="AH1233" s="68"/>
      <c r="AI1233" s="68"/>
      <c r="AJ1233" s="68"/>
      <c r="AK1233" s="68"/>
      <c r="AL1233" s="68"/>
      <c r="AM1233" s="68"/>
      <c r="AN1233" s="68"/>
      <c r="AO1233" s="68"/>
      <c r="AP1233" s="68"/>
      <c r="AQ1233" s="68"/>
      <c r="AR1233" s="68"/>
      <c r="AS1233" s="68"/>
      <c r="AT1233" s="68"/>
      <c r="AU1233" s="68"/>
      <c r="AV1233" s="68"/>
      <c r="AW1233" s="68"/>
      <c r="AX1233" s="68"/>
      <c r="AY1233" s="68"/>
      <c r="AZ1233" s="68"/>
      <c r="BA1233" s="68"/>
      <c r="BB1233" s="68"/>
      <c r="BC1233" s="68"/>
      <c r="BD1233" s="68"/>
      <c r="BE1233" s="68"/>
      <c r="BF1233" s="68"/>
      <c r="BG1233" s="68"/>
      <c r="BH1233" s="68"/>
      <c r="BI1233" s="68"/>
      <c r="BJ1233" s="68"/>
      <c r="BK1233" s="68"/>
      <c r="BL1233" s="68"/>
      <c r="BM1233" s="68"/>
      <c r="BN1233" s="68"/>
      <c r="BO1233" s="68"/>
      <c r="BP1233" s="68"/>
      <c r="BQ1233" s="68"/>
      <c r="BR1233" s="68"/>
      <c r="BS1233" s="68"/>
      <c r="BT1233" s="68"/>
      <c r="BU1233" s="68"/>
      <c r="BV1233" s="68"/>
      <c r="BW1233" s="68"/>
      <c r="BX1233" s="68"/>
      <c r="BY1233" s="68"/>
      <c r="BZ1233" s="68"/>
      <c r="CA1233" s="68"/>
      <c r="CB1233" s="68"/>
      <c r="CC1233" s="68"/>
      <c r="CD1233" s="68"/>
      <c r="CE1233" s="68"/>
      <c r="CF1233" s="68"/>
      <c r="CG1233" s="68"/>
      <c r="CH1233" s="68"/>
      <c r="CI1233" s="68"/>
      <c r="CJ1233" s="68"/>
      <c r="CK1233" s="68"/>
      <c r="CL1233" s="68"/>
      <c r="CM1233" s="68"/>
      <c r="CN1233" s="68"/>
      <c r="CO1233" s="68"/>
      <c r="CP1233" s="68"/>
      <c r="CQ1233" s="68"/>
      <c r="CR1233" s="68"/>
      <c r="CS1233" s="68"/>
      <c r="CT1233" s="68"/>
      <c r="CU1233" s="68"/>
      <c r="CV1233" s="68"/>
      <c r="CW1233" s="68"/>
      <c r="CX1233" s="68"/>
    </row>
    <row r="1234" spans="4:102" s="71" customFormat="1" hidden="1">
      <c r="D1234" s="69"/>
      <c r="E1234" s="68"/>
      <c r="F1234" s="68"/>
      <c r="G1234" s="68"/>
      <c r="H1234" s="68"/>
      <c r="I1234" s="68"/>
      <c r="J1234" s="68"/>
      <c r="K1234" s="73"/>
      <c r="L1234" s="68"/>
      <c r="M1234" s="68"/>
      <c r="N1234" s="68"/>
      <c r="O1234" s="68"/>
      <c r="P1234" s="65"/>
      <c r="Q1234" s="103"/>
      <c r="R1234" s="103"/>
      <c r="S1234" s="103"/>
      <c r="T1234" s="103"/>
      <c r="U1234" s="68"/>
      <c r="V1234" s="69"/>
      <c r="W1234" s="68"/>
      <c r="X1234" s="68"/>
      <c r="Y1234" s="68"/>
      <c r="Z1234" s="68"/>
      <c r="AA1234" s="68"/>
      <c r="AB1234" s="68"/>
      <c r="AC1234" s="68"/>
      <c r="AD1234" s="68"/>
      <c r="AE1234" s="68"/>
      <c r="AF1234" s="68"/>
      <c r="AG1234" s="68"/>
      <c r="AH1234" s="68"/>
      <c r="AI1234" s="68"/>
      <c r="AJ1234" s="68"/>
      <c r="AK1234" s="68"/>
      <c r="AL1234" s="68"/>
      <c r="AM1234" s="68"/>
      <c r="AN1234" s="68"/>
      <c r="AO1234" s="68"/>
      <c r="AP1234" s="68"/>
      <c r="AQ1234" s="68"/>
      <c r="AR1234" s="68"/>
      <c r="AS1234" s="68"/>
      <c r="AT1234" s="68"/>
      <c r="AU1234" s="68"/>
      <c r="AV1234" s="68"/>
      <c r="AW1234" s="68"/>
      <c r="AX1234" s="68"/>
      <c r="AY1234" s="68"/>
      <c r="AZ1234" s="68"/>
      <c r="BA1234" s="68"/>
      <c r="BB1234" s="68"/>
      <c r="BC1234" s="68"/>
      <c r="BD1234" s="68"/>
      <c r="BE1234" s="68"/>
      <c r="BF1234" s="68"/>
      <c r="BG1234" s="68"/>
      <c r="BH1234" s="68"/>
      <c r="BI1234" s="68"/>
      <c r="BJ1234" s="68"/>
      <c r="BK1234" s="68"/>
      <c r="BL1234" s="68"/>
      <c r="BM1234" s="68"/>
      <c r="BN1234" s="68"/>
      <c r="BO1234" s="68"/>
      <c r="BP1234" s="68"/>
      <c r="BQ1234" s="68"/>
      <c r="BR1234" s="68"/>
      <c r="BS1234" s="68"/>
      <c r="BT1234" s="68"/>
      <c r="BU1234" s="68"/>
      <c r="BV1234" s="68"/>
      <c r="BW1234" s="68"/>
      <c r="BX1234" s="68"/>
      <c r="BY1234" s="68"/>
      <c r="BZ1234" s="68"/>
      <c r="CA1234" s="68"/>
      <c r="CB1234" s="68"/>
      <c r="CC1234" s="68"/>
      <c r="CD1234" s="68"/>
      <c r="CE1234" s="68"/>
      <c r="CF1234" s="68"/>
      <c r="CG1234" s="68"/>
      <c r="CH1234" s="68"/>
      <c r="CI1234" s="68"/>
      <c r="CJ1234" s="68"/>
      <c r="CK1234" s="68"/>
      <c r="CL1234" s="68"/>
      <c r="CM1234" s="68"/>
      <c r="CN1234" s="68"/>
      <c r="CO1234" s="68"/>
      <c r="CP1234" s="68"/>
      <c r="CQ1234" s="68"/>
      <c r="CR1234" s="68"/>
      <c r="CS1234" s="68"/>
      <c r="CT1234" s="68"/>
      <c r="CU1234" s="68"/>
      <c r="CV1234" s="68"/>
      <c r="CW1234" s="68"/>
      <c r="CX1234" s="68"/>
    </row>
    <row r="1235" spans="4:102" s="71" customFormat="1" hidden="1">
      <c r="D1235" s="69"/>
      <c r="E1235" s="68"/>
      <c r="F1235" s="68"/>
      <c r="G1235" s="68"/>
      <c r="H1235" s="68"/>
      <c r="I1235" s="68"/>
      <c r="J1235" s="68"/>
      <c r="K1235" s="73"/>
      <c r="L1235" s="68"/>
      <c r="M1235" s="68"/>
      <c r="N1235" s="68"/>
      <c r="O1235" s="68"/>
      <c r="P1235" s="65"/>
      <c r="Q1235" s="103"/>
      <c r="R1235" s="103"/>
      <c r="S1235" s="103"/>
      <c r="T1235" s="103"/>
      <c r="U1235" s="68"/>
      <c r="V1235" s="69"/>
      <c r="W1235" s="68"/>
      <c r="X1235" s="68"/>
      <c r="Y1235" s="68"/>
      <c r="Z1235" s="68"/>
      <c r="AA1235" s="68"/>
      <c r="AB1235" s="68"/>
      <c r="AC1235" s="68"/>
      <c r="AD1235" s="68"/>
      <c r="AE1235" s="68"/>
      <c r="AF1235" s="68"/>
      <c r="AG1235" s="68"/>
      <c r="AH1235" s="68"/>
      <c r="AI1235" s="68"/>
      <c r="AJ1235" s="68"/>
      <c r="AK1235" s="68"/>
      <c r="AL1235" s="68"/>
      <c r="AM1235" s="68"/>
      <c r="AN1235" s="68"/>
      <c r="AO1235" s="68"/>
      <c r="AP1235" s="68"/>
      <c r="AQ1235" s="68"/>
      <c r="AR1235" s="68"/>
      <c r="AS1235" s="68"/>
      <c r="AT1235" s="68"/>
      <c r="AU1235" s="68"/>
      <c r="AV1235" s="68"/>
      <c r="AW1235" s="68"/>
      <c r="AX1235" s="68"/>
      <c r="AY1235" s="68"/>
      <c r="AZ1235" s="68"/>
      <c r="BA1235" s="68"/>
      <c r="BB1235" s="68"/>
      <c r="BC1235" s="68"/>
      <c r="BD1235" s="68"/>
      <c r="BE1235" s="68"/>
      <c r="BF1235" s="68"/>
      <c r="BG1235" s="68"/>
      <c r="BH1235" s="68"/>
      <c r="BI1235" s="68"/>
      <c r="BJ1235" s="68"/>
      <c r="BK1235" s="68"/>
      <c r="BL1235" s="68"/>
      <c r="BM1235" s="68"/>
      <c r="BN1235" s="68"/>
      <c r="BO1235" s="68"/>
      <c r="BP1235" s="68"/>
      <c r="BQ1235" s="68"/>
      <c r="BR1235" s="68"/>
      <c r="BS1235" s="68"/>
      <c r="BT1235" s="68"/>
      <c r="BU1235" s="68"/>
      <c r="BV1235" s="68"/>
      <c r="BW1235" s="68"/>
      <c r="BX1235" s="68"/>
      <c r="BY1235" s="68"/>
      <c r="BZ1235" s="68"/>
      <c r="CA1235" s="68"/>
      <c r="CB1235" s="68"/>
      <c r="CC1235" s="68"/>
      <c r="CD1235" s="68"/>
      <c r="CE1235" s="68"/>
      <c r="CF1235" s="68"/>
      <c r="CG1235" s="68"/>
      <c r="CH1235" s="68"/>
      <c r="CI1235" s="68"/>
      <c r="CJ1235" s="68"/>
      <c r="CK1235" s="68"/>
      <c r="CL1235" s="68"/>
      <c r="CM1235" s="68"/>
      <c r="CN1235" s="68"/>
      <c r="CO1235" s="68"/>
      <c r="CP1235" s="68"/>
      <c r="CQ1235" s="68"/>
      <c r="CR1235" s="68"/>
      <c r="CS1235" s="68"/>
      <c r="CT1235" s="68"/>
      <c r="CU1235" s="68"/>
      <c r="CV1235" s="68"/>
      <c r="CW1235" s="68"/>
      <c r="CX1235" s="68"/>
    </row>
    <row r="1236" spans="4:102" s="71" customFormat="1" hidden="1">
      <c r="D1236" s="69"/>
      <c r="E1236" s="68"/>
      <c r="F1236" s="68"/>
      <c r="G1236" s="68"/>
      <c r="H1236" s="68"/>
      <c r="I1236" s="68"/>
      <c r="J1236" s="68"/>
      <c r="K1236" s="73"/>
      <c r="L1236" s="68"/>
      <c r="M1236" s="68"/>
      <c r="N1236" s="68"/>
      <c r="O1236" s="68"/>
      <c r="P1236" s="65"/>
      <c r="Q1236" s="103"/>
      <c r="R1236" s="103"/>
      <c r="S1236" s="103"/>
      <c r="T1236" s="103"/>
      <c r="U1236" s="68"/>
      <c r="V1236" s="69"/>
      <c r="W1236" s="68"/>
      <c r="X1236" s="68"/>
      <c r="Y1236" s="68"/>
      <c r="Z1236" s="68"/>
      <c r="AA1236" s="68"/>
      <c r="AB1236" s="68"/>
      <c r="AC1236" s="68"/>
      <c r="AD1236" s="68"/>
      <c r="AE1236" s="68"/>
      <c r="AF1236" s="68"/>
      <c r="AG1236" s="68"/>
      <c r="AH1236" s="68"/>
      <c r="AI1236" s="68"/>
      <c r="AJ1236" s="68"/>
      <c r="AK1236" s="68"/>
      <c r="AL1236" s="68"/>
      <c r="AM1236" s="68"/>
      <c r="AN1236" s="68"/>
      <c r="AO1236" s="68"/>
      <c r="AP1236" s="68"/>
      <c r="AQ1236" s="68"/>
      <c r="AR1236" s="68"/>
      <c r="AS1236" s="68"/>
      <c r="AT1236" s="68"/>
      <c r="AU1236" s="68"/>
      <c r="AV1236" s="68"/>
      <c r="AW1236" s="68"/>
      <c r="AX1236" s="68"/>
      <c r="AY1236" s="68"/>
      <c r="AZ1236" s="68"/>
      <c r="BA1236" s="68"/>
      <c r="BB1236" s="68"/>
      <c r="BC1236" s="68"/>
      <c r="BD1236" s="68"/>
      <c r="BE1236" s="68"/>
      <c r="BF1236" s="68"/>
      <c r="BG1236" s="68"/>
      <c r="BH1236" s="68"/>
      <c r="BI1236" s="68"/>
      <c r="BJ1236" s="68"/>
      <c r="BK1236" s="68"/>
      <c r="BL1236" s="68"/>
      <c r="BM1236" s="68"/>
      <c r="BN1236" s="68"/>
      <c r="BO1236" s="68"/>
      <c r="BP1236" s="68"/>
      <c r="BQ1236" s="68"/>
      <c r="BR1236" s="68"/>
      <c r="BS1236" s="68"/>
      <c r="BT1236" s="68"/>
      <c r="BU1236" s="68"/>
      <c r="BV1236" s="68"/>
      <c r="BW1236" s="68"/>
      <c r="BX1236" s="68"/>
      <c r="BY1236" s="68"/>
      <c r="BZ1236" s="68"/>
      <c r="CA1236" s="68"/>
      <c r="CB1236" s="68"/>
      <c r="CC1236" s="68"/>
      <c r="CD1236" s="68"/>
      <c r="CE1236" s="68"/>
      <c r="CF1236" s="68"/>
      <c r="CG1236" s="68"/>
      <c r="CH1236" s="68"/>
      <c r="CI1236" s="68"/>
      <c r="CJ1236" s="68"/>
      <c r="CK1236" s="68"/>
      <c r="CL1236" s="68"/>
      <c r="CM1236" s="68"/>
      <c r="CN1236" s="68"/>
      <c r="CO1236" s="68"/>
      <c r="CP1236" s="68"/>
      <c r="CQ1236" s="68"/>
      <c r="CR1236" s="68"/>
      <c r="CS1236" s="68"/>
      <c r="CT1236" s="68"/>
      <c r="CU1236" s="68"/>
      <c r="CV1236" s="68"/>
      <c r="CW1236" s="68"/>
      <c r="CX1236" s="68"/>
    </row>
    <row r="1237" spans="4:102" s="71" customFormat="1" hidden="1">
      <c r="D1237" s="69"/>
      <c r="E1237" s="68"/>
      <c r="F1237" s="68"/>
      <c r="G1237" s="68"/>
      <c r="H1237" s="68"/>
      <c r="I1237" s="68"/>
      <c r="J1237" s="68"/>
      <c r="K1237" s="73"/>
      <c r="L1237" s="68"/>
      <c r="M1237" s="68"/>
      <c r="N1237" s="68"/>
      <c r="O1237" s="68"/>
      <c r="P1237" s="65"/>
      <c r="Q1237" s="103"/>
      <c r="R1237" s="103"/>
      <c r="S1237" s="103"/>
      <c r="T1237" s="103"/>
      <c r="U1237" s="68"/>
      <c r="V1237" s="69"/>
      <c r="W1237" s="68"/>
      <c r="X1237" s="68"/>
      <c r="Y1237" s="68"/>
      <c r="Z1237" s="68"/>
      <c r="AA1237" s="68"/>
      <c r="AB1237" s="68"/>
      <c r="AC1237" s="68"/>
      <c r="AD1237" s="68"/>
      <c r="AE1237" s="68"/>
      <c r="AF1237" s="68"/>
      <c r="AG1237" s="68"/>
      <c r="AH1237" s="68"/>
      <c r="AI1237" s="68"/>
      <c r="AJ1237" s="68"/>
      <c r="AK1237" s="68"/>
      <c r="AL1237" s="68"/>
      <c r="AM1237" s="68"/>
      <c r="AN1237" s="68"/>
      <c r="AO1237" s="68"/>
      <c r="AP1237" s="68"/>
      <c r="AQ1237" s="68"/>
      <c r="AR1237" s="68"/>
      <c r="AS1237" s="68"/>
      <c r="AT1237" s="68"/>
      <c r="AU1237" s="68"/>
      <c r="AV1237" s="68"/>
      <c r="AW1237" s="68"/>
      <c r="AX1237" s="68"/>
      <c r="AY1237" s="68"/>
      <c r="AZ1237" s="68"/>
      <c r="BA1237" s="68"/>
      <c r="BB1237" s="68"/>
      <c r="BC1237" s="68"/>
      <c r="BD1237" s="68"/>
      <c r="BE1237" s="68"/>
      <c r="BF1237" s="68"/>
      <c r="BG1237" s="68"/>
      <c r="BH1237" s="68"/>
      <c r="BI1237" s="68"/>
      <c r="BJ1237" s="68"/>
      <c r="BK1237" s="68"/>
      <c r="BL1237" s="68"/>
      <c r="BM1237" s="68"/>
      <c r="BN1237" s="68"/>
      <c r="BO1237" s="68"/>
      <c r="BP1237" s="68"/>
      <c r="BQ1237" s="68"/>
      <c r="BR1237" s="68"/>
      <c r="BS1237" s="68"/>
      <c r="BT1237" s="68"/>
      <c r="BU1237" s="68"/>
      <c r="BV1237" s="68"/>
      <c r="BW1237" s="68"/>
      <c r="BX1237" s="68"/>
      <c r="BY1237" s="68"/>
      <c r="BZ1237" s="68"/>
      <c r="CA1237" s="68"/>
      <c r="CB1237" s="68"/>
      <c r="CC1237" s="68"/>
      <c r="CD1237" s="68"/>
      <c r="CE1237" s="68"/>
      <c r="CF1237" s="68"/>
      <c r="CG1237" s="68"/>
      <c r="CH1237" s="68"/>
      <c r="CI1237" s="68"/>
      <c r="CJ1237" s="68"/>
      <c r="CK1237" s="68"/>
      <c r="CL1237" s="68"/>
      <c r="CM1237" s="68"/>
      <c r="CN1237" s="68"/>
      <c r="CO1237" s="68"/>
      <c r="CP1237" s="68"/>
      <c r="CQ1237" s="68"/>
      <c r="CR1237" s="68"/>
      <c r="CS1237" s="68"/>
      <c r="CT1237" s="68"/>
      <c r="CU1237" s="68"/>
      <c r="CV1237" s="68"/>
      <c r="CW1237" s="68"/>
      <c r="CX1237" s="68"/>
    </row>
    <row r="1238" spans="4:102" s="71" customFormat="1" hidden="1">
      <c r="D1238" s="69"/>
      <c r="E1238" s="68"/>
      <c r="F1238" s="68"/>
      <c r="G1238" s="68"/>
      <c r="H1238" s="68"/>
      <c r="I1238" s="68"/>
      <c r="J1238" s="68"/>
      <c r="K1238" s="73"/>
      <c r="L1238" s="68"/>
      <c r="M1238" s="68"/>
      <c r="N1238" s="68"/>
      <c r="O1238" s="68"/>
      <c r="P1238" s="65"/>
      <c r="Q1238" s="103"/>
      <c r="R1238" s="103"/>
      <c r="S1238" s="103"/>
      <c r="T1238" s="103"/>
      <c r="U1238" s="68"/>
      <c r="V1238" s="69"/>
      <c r="W1238" s="68"/>
      <c r="X1238" s="68"/>
      <c r="Y1238" s="68"/>
      <c r="Z1238" s="68"/>
      <c r="AA1238" s="68"/>
      <c r="AB1238" s="68"/>
      <c r="AC1238" s="68"/>
      <c r="AD1238" s="68"/>
      <c r="AE1238" s="68"/>
      <c r="AF1238" s="68"/>
      <c r="AG1238" s="68"/>
      <c r="AH1238" s="68"/>
      <c r="AI1238" s="68"/>
      <c r="AJ1238" s="68"/>
      <c r="AK1238" s="68"/>
      <c r="AL1238" s="68"/>
      <c r="AM1238" s="68"/>
      <c r="AN1238" s="68"/>
      <c r="AO1238" s="68"/>
      <c r="AP1238" s="68"/>
      <c r="AQ1238" s="68"/>
      <c r="AR1238" s="68"/>
      <c r="AS1238" s="68"/>
      <c r="AT1238" s="68"/>
      <c r="AU1238" s="68"/>
      <c r="AV1238" s="68"/>
      <c r="AW1238" s="68"/>
      <c r="AX1238" s="68"/>
      <c r="AY1238" s="68"/>
      <c r="AZ1238" s="68"/>
      <c r="BA1238" s="68"/>
      <c r="BB1238" s="68"/>
      <c r="BC1238" s="68"/>
      <c r="BD1238" s="68"/>
      <c r="BE1238" s="68"/>
      <c r="BF1238" s="68"/>
      <c r="BG1238" s="68"/>
      <c r="BH1238" s="68"/>
      <c r="BI1238" s="68"/>
      <c r="BJ1238" s="68"/>
      <c r="BK1238" s="68"/>
      <c r="BL1238" s="68"/>
      <c r="BM1238" s="68"/>
      <c r="BN1238" s="68"/>
      <c r="BO1238" s="68"/>
      <c r="BP1238" s="68"/>
      <c r="BQ1238" s="68"/>
      <c r="BR1238" s="68"/>
      <c r="BS1238" s="68"/>
      <c r="BT1238" s="68"/>
      <c r="BU1238" s="68"/>
      <c r="BV1238" s="68"/>
      <c r="BW1238" s="68"/>
      <c r="BX1238" s="68"/>
      <c r="BY1238" s="68"/>
      <c r="BZ1238" s="68"/>
      <c r="CA1238" s="68"/>
      <c r="CB1238" s="68"/>
      <c r="CC1238" s="68"/>
      <c r="CD1238" s="68"/>
      <c r="CE1238" s="68"/>
      <c r="CF1238" s="68"/>
      <c r="CG1238" s="68"/>
      <c r="CH1238" s="68"/>
      <c r="CI1238" s="68"/>
      <c r="CJ1238" s="68"/>
      <c r="CK1238" s="68"/>
      <c r="CL1238" s="68"/>
      <c r="CM1238" s="68"/>
      <c r="CN1238" s="68"/>
      <c r="CO1238" s="68"/>
      <c r="CP1238" s="68"/>
      <c r="CQ1238" s="68"/>
      <c r="CR1238" s="68"/>
      <c r="CS1238" s="68"/>
      <c r="CT1238" s="68"/>
      <c r="CU1238" s="68"/>
      <c r="CV1238" s="68"/>
      <c r="CW1238" s="68"/>
      <c r="CX1238" s="68"/>
    </row>
    <row r="1239" spans="4:102" s="71" customFormat="1" hidden="1">
      <c r="D1239" s="69"/>
      <c r="E1239" s="68"/>
      <c r="F1239" s="68"/>
      <c r="G1239" s="68"/>
      <c r="H1239" s="68"/>
      <c r="I1239" s="68"/>
      <c r="J1239" s="68"/>
      <c r="K1239" s="73"/>
      <c r="L1239" s="68"/>
      <c r="M1239" s="68"/>
      <c r="N1239" s="68"/>
      <c r="O1239" s="68"/>
      <c r="P1239" s="65"/>
      <c r="Q1239" s="103"/>
      <c r="R1239" s="103"/>
      <c r="S1239" s="103"/>
      <c r="T1239" s="103"/>
      <c r="U1239" s="68"/>
      <c r="V1239" s="69"/>
      <c r="W1239" s="68"/>
      <c r="X1239" s="68"/>
      <c r="Y1239" s="68"/>
      <c r="Z1239" s="68"/>
      <c r="AA1239" s="68"/>
      <c r="AB1239" s="68"/>
      <c r="AC1239" s="68"/>
      <c r="AD1239" s="68"/>
      <c r="AE1239" s="68"/>
      <c r="AF1239" s="68"/>
      <c r="AG1239" s="68"/>
      <c r="AH1239" s="68"/>
      <c r="AI1239" s="68"/>
      <c r="AJ1239" s="68"/>
      <c r="AK1239" s="68"/>
      <c r="AL1239" s="68"/>
      <c r="AM1239" s="68"/>
      <c r="AN1239" s="68"/>
      <c r="AO1239" s="68"/>
      <c r="AP1239" s="68"/>
      <c r="AQ1239" s="68"/>
      <c r="AR1239" s="68"/>
      <c r="AS1239" s="68"/>
      <c r="AT1239" s="68"/>
      <c r="AU1239" s="68"/>
      <c r="AV1239" s="68"/>
      <c r="AW1239" s="68"/>
      <c r="AX1239" s="68"/>
      <c r="AY1239" s="68"/>
      <c r="AZ1239" s="68"/>
      <c r="BA1239" s="68"/>
      <c r="BB1239" s="68"/>
      <c r="BC1239" s="68"/>
      <c r="BD1239" s="68"/>
      <c r="BE1239" s="68"/>
      <c r="BF1239" s="68"/>
      <c r="BG1239" s="68"/>
      <c r="BH1239" s="68"/>
      <c r="BI1239" s="68"/>
      <c r="BJ1239" s="68"/>
      <c r="BK1239" s="68"/>
      <c r="BL1239" s="68"/>
      <c r="BM1239" s="68"/>
      <c r="BN1239" s="68"/>
      <c r="BO1239" s="68"/>
      <c r="BP1239" s="68"/>
      <c r="BQ1239" s="68"/>
      <c r="BR1239" s="68"/>
      <c r="BS1239" s="68"/>
      <c r="BT1239" s="68"/>
      <c r="BU1239" s="68"/>
      <c r="BV1239" s="68"/>
      <c r="BW1239" s="68"/>
      <c r="BX1239" s="68"/>
      <c r="BY1239" s="68"/>
      <c r="BZ1239" s="68"/>
      <c r="CA1239" s="68"/>
      <c r="CB1239" s="68"/>
      <c r="CC1239" s="68"/>
      <c r="CD1239" s="68"/>
      <c r="CE1239" s="68"/>
      <c r="CF1239" s="68"/>
      <c r="CG1239" s="68"/>
      <c r="CH1239" s="68"/>
      <c r="CI1239" s="68"/>
      <c r="CJ1239" s="68"/>
      <c r="CK1239" s="68"/>
      <c r="CL1239" s="68"/>
      <c r="CM1239" s="68"/>
      <c r="CN1239" s="68"/>
      <c r="CO1239" s="68"/>
      <c r="CP1239" s="68"/>
      <c r="CQ1239" s="68"/>
      <c r="CR1239" s="68"/>
      <c r="CS1239" s="68"/>
      <c r="CT1239" s="68"/>
      <c r="CU1239" s="68"/>
      <c r="CV1239" s="68"/>
      <c r="CW1239" s="68"/>
      <c r="CX1239" s="68"/>
    </row>
    <row r="1240" spans="4:102" s="71" customFormat="1" hidden="1">
      <c r="D1240" s="69"/>
      <c r="E1240" s="68"/>
      <c r="F1240" s="68"/>
      <c r="G1240" s="68"/>
      <c r="H1240" s="68"/>
      <c r="I1240" s="68"/>
      <c r="J1240" s="68"/>
      <c r="K1240" s="73"/>
      <c r="L1240" s="68"/>
      <c r="M1240" s="68"/>
      <c r="N1240" s="68"/>
      <c r="O1240" s="68"/>
      <c r="P1240" s="65"/>
      <c r="Q1240" s="103"/>
      <c r="R1240" s="103"/>
      <c r="S1240" s="103"/>
      <c r="T1240" s="103"/>
      <c r="U1240" s="68"/>
      <c r="V1240" s="69"/>
      <c r="W1240" s="68"/>
      <c r="X1240" s="68"/>
      <c r="Y1240" s="68"/>
      <c r="Z1240" s="68"/>
      <c r="AA1240" s="68"/>
      <c r="AB1240" s="68"/>
      <c r="AC1240" s="68"/>
      <c r="AD1240" s="68"/>
      <c r="AE1240" s="68"/>
      <c r="AF1240" s="68"/>
      <c r="AG1240" s="68"/>
      <c r="AH1240" s="68"/>
      <c r="AI1240" s="68"/>
      <c r="AJ1240" s="68"/>
      <c r="AK1240" s="68"/>
      <c r="AL1240" s="68"/>
      <c r="AM1240" s="68"/>
      <c r="AN1240" s="68"/>
      <c r="AO1240" s="68"/>
      <c r="AP1240" s="68"/>
      <c r="AQ1240" s="68"/>
      <c r="AR1240" s="68"/>
      <c r="AS1240" s="68"/>
      <c r="AT1240" s="68"/>
      <c r="AU1240" s="68"/>
      <c r="AV1240" s="68"/>
      <c r="AW1240" s="68"/>
      <c r="AX1240" s="68"/>
      <c r="AY1240" s="68"/>
      <c r="AZ1240" s="68"/>
      <c r="BA1240" s="68"/>
      <c r="BB1240" s="68"/>
      <c r="BC1240" s="68"/>
      <c r="BD1240" s="68"/>
      <c r="BE1240" s="68"/>
      <c r="BF1240" s="68"/>
      <c r="BG1240" s="68"/>
      <c r="BH1240" s="68"/>
      <c r="BI1240" s="68"/>
      <c r="BJ1240" s="68"/>
      <c r="BK1240" s="68"/>
      <c r="BL1240" s="68"/>
      <c r="BM1240" s="68"/>
      <c r="BN1240" s="68"/>
      <c r="BO1240" s="68"/>
      <c r="BP1240" s="68"/>
      <c r="BQ1240" s="68"/>
      <c r="BR1240" s="68"/>
      <c r="BS1240" s="68"/>
      <c r="BT1240" s="68"/>
      <c r="BU1240" s="68"/>
      <c r="BV1240" s="68"/>
      <c r="BW1240" s="68"/>
      <c r="BX1240" s="68"/>
      <c r="BY1240" s="68"/>
      <c r="BZ1240" s="68"/>
      <c r="CA1240" s="68"/>
      <c r="CB1240" s="68"/>
      <c r="CC1240" s="68"/>
      <c r="CD1240" s="68"/>
      <c r="CE1240" s="68"/>
      <c r="CF1240" s="68"/>
      <c r="CG1240" s="68"/>
      <c r="CH1240" s="68"/>
      <c r="CI1240" s="68"/>
      <c r="CJ1240" s="68"/>
      <c r="CK1240" s="68"/>
      <c r="CL1240" s="68"/>
      <c r="CM1240" s="68"/>
      <c r="CN1240" s="68"/>
      <c r="CO1240" s="68"/>
      <c r="CP1240" s="68"/>
      <c r="CQ1240" s="68"/>
      <c r="CR1240" s="68"/>
      <c r="CS1240" s="68"/>
      <c r="CT1240" s="68"/>
      <c r="CU1240" s="68"/>
      <c r="CV1240" s="68"/>
      <c r="CW1240" s="68"/>
      <c r="CX1240" s="68"/>
    </row>
    <row r="1241" spans="4:102" s="71" customFormat="1" hidden="1">
      <c r="D1241" s="69"/>
      <c r="E1241" s="68"/>
      <c r="F1241" s="68"/>
      <c r="G1241" s="68"/>
      <c r="H1241" s="68"/>
      <c r="I1241" s="68"/>
      <c r="J1241" s="68"/>
      <c r="K1241" s="73"/>
      <c r="L1241" s="68"/>
      <c r="M1241" s="68"/>
      <c r="N1241" s="68"/>
      <c r="O1241" s="68"/>
      <c r="P1241" s="65"/>
      <c r="Q1241" s="103"/>
      <c r="R1241" s="103"/>
      <c r="S1241" s="103"/>
      <c r="T1241" s="103"/>
      <c r="U1241" s="68"/>
      <c r="V1241" s="69"/>
      <c r="W1241" s="68"/>
      <c r="X1241" s="68"/>
      <c r="Y1241" s="68"/>
      <c r="Z1241" s="68"/>
      <c r="AA1241" s="68"/>
      <c r="AB1241" s="68"/>
      <c r="AC1241" s="68"/>
      <c r="AD1241" s="68"/>
      <c r="AE1241" s="68"/>
      <c r="AF1241" s="68"/>
      <c r="AG1241" s="68"/>
      <c r="AH1241" s="68"/>
      <c r="AI1241" s="68"/>
      <c r="AJ1241" s="68"/>
      <c r="AK1241" s="68"/>
      <c r="AL1241" s="68"/>
      <c r="AM1241" s="68"/>
      <c r="AN1241" s="68"/>
      <c r="AO1241" s="68"/>
      <c r="AP1241" s="68"/>
      <c r="AQ1241" s="68"/>
      <c r="AR1241" s="68"/>
      <c r="AS1241" s="68"/>
      <c r="AT1241" s="68"/>
      <c r="AU1241" s="68"/>
      <c r="AV1241" s="68"/>
      <c r="AW1241" s="68"/>
      <c r="AX1241" s="68"/>
      <c r="AY1241" s="68"/>
      <c r="AZ1241" s="68"/>
      <c r="BA1241" s="68"/>
      <c r="BB1241" s="68"/>
      <c r="BC1241" s="68"/>
      <c r="BD1241" s="68"/>
      <c r="BE1241" s="68"/>
      <c r="BF1241" s="68"/>
      <c r="BG1241" s="68"/>
      <c r="BH1241" s="68"/>
      <c r="BI1241" s="68"/>
      <c r="BJ1241" s="68"/>
      <c r="BK1241" s="68"/>
      <c r="BL1241" s="68"/>
      <c r="BM1241" s="68"/>
      <c r="BN1241" s="68"/>
      <c r="BO1241" s="68"/>
      <c r="BP1241" s="68"/>
      <c r="BQ1241" s="68"/>
      <c r="BR1241" s="68"/>
      <c r="BS1241" s="68"/>
      <c r="BT1241" s="68"/>
      <c r="BU1241" s="68"/>
      <c r="BV1241" s="68"/>
      <c r="BW1241" s="68"/>
      <c r="BX1241" s="68"/>
      <c r="BY1241" s="68"/>
      <c r="BZ1241" s="68"/>
      <c r="CA1241" s="68"/>
      <c r="CB1241" s="68"/>
      <c r="CC1241" s="68"/>
      <c r="CD1241" s="68"/>
      <c r="CE1241" s="68"/>
      <c r="CF1241" s="68"/>
      <c r="CG1241" s="68"/>
      <c r="CH1241" s="68"/>
      <c r="CI1241" s="68"/>
      <c r="CJ1241" s="68"/>
      <c r="CK1241" s="68"/>
      <c r="CL1241" s="68"/>
      <c r="CM1241" s="68"/>
      <c r="CN1241" s="68"/>
      <c r="CO1241" s="68"/>
      <c r="CP1241" s="68"/>
      <c r="CQ1241" s="68"/>
      <c r="CR1241" s="68"/>
      <c r="CS1241" s="68"/>
      <c r="CT1241" s="68"/>
      <c r="CU1241" s="68"/>
      <c r="CV1241" s="68"/>
      <c r="CW1241" s="68"/>
      <c r="CX1241" s="68"/>
    </row>
    <row r="1242" spans="4:102" s="71" customFormat="1" hidden="1">
      <c r="D1242" s="69"/>
      <c r="E1242" s="68"/>
      <c r="F1242" s="68"/>
      <c r="G1242" s="68"/>
      <c r="H1242" s="68"/>
      <c r="I1242" s="68"/>
      <c r="J1242" s="68"/>
      <c r="K1242" s="73"/>
      <c r="L1242" s="68"/>
      <c r="M1242" s="68"/>
      <c r="N1242" s="68"/>
      <c r="O1242" s="68"/>
      <c r="P1242" s="65"/>
      <c r="Q1242" s="103"/>
      <c r="R1242" s="103"/>
      <c r="S1242" s="103"/>
      <c r="T1242" s="103"/>
      <c r="U1242" s="68"/>
      <c r="V1242" s="69"/>
      <c r="W1242" s="68"/>
      <c r="X1242" s="68"/>
      <c r="Y1242" s="68"/>
      <c r="Z1242" s="68"/>
      <c r="AA1242" s="68"/>
      <c r="AB1242" s="68"/>
      <c r="AC1242" s="68"/>
      <c r="AD1242" s="68"/>
      <c r="AE1242" s="68"/>
      <c r="AF1242" s="68"/>
      <c r="AG1242" s="68"/>
      <c r="AH1242" s="68"/>
      <c r="AI1242" s="68"/>
      <c r="AJ1242" s="68"/>
      <c r="AK1242" s="68"/>
      <c r="AL1242" s="68"/>
      <c r="AM1242" s="68"/>
      <c r="AN1242" s="68"/>
      <c r="AO1242" s="68"/>
      <c r="AP1242" s="68"/>
      <c r="AQ1242" s="68"/>
      <c r="AR1242" s="68"/>
      <c r="AS1242" s="68"/>
      <c r="AT1242" s="68"/>
      <c r="AU1242" s="68"/>
      <c r="AV1242" s="68"/>
      <c r="AW1242" s="68"/>
      <c r="AX1242" s="68"/>
      <c r="AY1242" s="68"/>
      <c r="AZ1242" s="68"/>
      <c r="BA1242" s="68"/>
      <c r="BB1242" s="68"/>
      <c r="BC1242" s="68"/>
      <c r="BD1242" s="68"/>
      <c r="BE1242" s="68"/>
      <c r="BF1242" s="68"/>
      <c r="BG1242" s="68"/>
      <c r="BH1242" s="68"/>
      <c r="BI1242" s="68"/>
      <c r="BJ1242" s="68"/>
      <c r="BK1242" s="68"/>
      <c r="BL1242" s="68"/>
      <c r="BM1242" s="68"/>
      <c r="BN1242" s="68"/>
      <c r="BO1242" s="68"/>
      <c r="BP1242" s="68"/>
      <c r="BQ1242" s="68"/>
      <c r="BR1242" s="68"/>
      <c r="BS1242" s="68"/>
      <c r="BT1242" s="68"/>
      <c r="BU1242" s="68"/>
      <c r="BV1242" s="68"/>
      <c r="BW1242" s="68"/>
      <c r="BX1242" s="68"/>
      <c r="BY1242" s="68"/>
      <c r="BZ1242" s="68"/>
      <c r="CA1242" s="68"/>
      <c r="CB1242" s="68"/>
      <c r="CC1242" s="68"/>
      <c r="CD1242" s="68"/>
      <c r="CE1242" s="68"/>
      <c r="CF1242" s="68"/>
      <c r="CG1242" s="68"/>
      <c r="CH1242" s="68"/>
      <c r="CI1242" s="68"/>
      <c r="CJ1242" s="68"/>
      <c r="CK1242" s="68"/>
      <c r="CL1242" s="68"/>
      <c r="CM1242" s="68"/>
      <c r="CN1242" s="68"/>
      <c r="CO1242" s="68"/>
      <c r="CP1242" s="68"/>
      <c r="CQ1242" s="68"/>
      <c r="CR1242" s="68"/>
      <c r="CS1242" s="68"/>
      <c r="CT1242" s="68"/>
      <c r="CU1242" s="68"/>
      <c r="CV1242" s="68"/>
      <c r="CW1242" s="68"/>
      <c r="CX1242" s="68"/>
    </row>
    <row r="1243" spans="4:102" s="71" customFormat="1" hidden="1">
      <c r="D1243" s="69"/>
      <c r="E1243" s="68"/>
      <c r="F1243" s="68"/>
      <c r="G1243" s="68"/>
      <c r="H1243" s="68"/>
      <c r="I1243" s="68"/>
      <c r="J1243" s="68"/>
      <c r="K1243" s="73"/>
      <c r="L1243" s="68"/>
      <c r="M1243" s="68"/>
      <c r="N1243" s="68"/>
      <c r="O1243" s="68"/>
      <c r="P1243" s="65"/>
      <c r="Q1243" s="103"/>
      <c r="R1243" s="103"/>
      <c r="S1243" s="103"/>
      <c r="T1243" s="103"/>
      <c r="U1243" s="68"/>
      <c r="V1243" s="69"/>
      <c r="W1243" s="68"/>
      <c r="X1243" s="68"/>
      <c r="Y1243" s="68"/>
      <c r="Z1243" s="68"/>
      <c r="AA1243" s="68"/>
      <c r="AB1243" s="68"/>
      <c r="AC1243" s="68"/>
      <c r="AD1243" s="68"/>
      <c r="AE1243" s="68"/>
      <c r="AF1243" s="68"/>
      <c r="AG1243" s="68"/>
      <c r="AH1243" s="68"/>
      <c r="AI1243" s="68"/>
      <c r="AJ1243" s="68"/>
      <c r="AK1243" s="68"/>
      <c r="AL1243" s="68"/>
      <c r="AM1243" s="68"/>
      <c r="AN1243" s="68"/>
      <c r="AO1243" s="68"/>
      <c r="AP1243" s="68"/>
      <c r="AQ1243" s="68"/>
      <c r="AR1243" s="68"/>
      <c r="AS1243" s="68"/>
      <c r="AT1243" s="68"/>
      <c r="AU1243" s="68"/>
      <c r="AV1243" s="68"/>
      <c r="AW1243" s="68"/>
      <c r="AX1243" s="68"/>
      <c r="AY1243" s="68"/>
      <c r="AZ1243" s="68"/>
      <c r="BA1243" s="68"/>
      <c r="BB1243" s="68"/>
      <c r="BC1243" s="68"/>
      <c r="BD1243" s="68"/>
      <c r="BE1243" s="68"/>
      <c r="BF1243" s="68"/>
      <c r="BG1243" s="68"/>
      <c r="BH1243" s="68"/>
      <c r="BI1243" s="68"/>
      <c r="BJ1243" s="68"/>
      <c r="BK1243" s="68"/>
      <c r="BL1243" s="68"/>
      <c r="BM1243" s="68"/>
      <c r="BN1243" s="68"/>
      <c r="BO1243" s="68"/>
      <c r="BP1243" s="68"/>
      <c r="BQ1243" s="68"/>
      <c r="BR1243" s="68"/>
      <c r="BS1243" s="68"/>
      <c r="BT1243" s="68"/>
      <c r="BU1243" s="68"/>
      <c r="BV1243" s="68"/>
      <c r="BW1243" s="68"/>
      <c r="BX1243" s="68"/>
      <c r="BY1243" s="68"/>
      <c r="BZ1243" s="68"/>
      <c r="CA1243" s="68"/>
      <c r="CB1243" s="68"/>
      <c r="CC1243" s="68"/>
      <c r="CD1243" s="68"/>
      <c r="CE1243" s="68"/>
      <c r="CF1243" s="68"/>
      <c r="CG1243" s="68"/>
      <c r="CH1243" s="68"/>
      <c r="CI1243" s="68"/>
      <c r="CJ1243" s="68"/>
      <c r="CK1243" s="68"/>
      <c r="CL1243" s="68"/>
      <c r="CM1243" s="68"/>
      <c r="CN1243" s="68"/>
      <c r="CO1243" s="68"/>
      <c r="CP1243" s="68"/>
      <c r="CQ1243" s="68"/>
      <c r="CR1243" s="68"/>
      <c r="CS1243" s="68"/>
      <c r="CT1243" s="68"/>
      <c r="CU1243" s="68"/>
      <c r="CV1243" s="68"/>
      <c r="CW1243" s="68"/>
      <c r="CX1243" s="68"/>
    </row>
    <row r="1244" spans="4:102" s="71" customFormat="1" hidden="1">
      <c r="D1244" s="69"/>
      <c r="E1244" s="68"/>
      <c r="F1244" s="68"/>
      <c r="G1244" s="68"/>
      <c r="H1244" s="68"/>
      <c r="I1244" s="68"/>
      <c r="J1244" s="68"/>
      <c r="K1244" s="73"/>
      <c r="L1244" s="68"/>
      <c r="M1244" s="68"/>
      <c r="N1244" s="68"/>
      <c r="O1244" s="68"/>
      <c r="P1244" s="65"/>
      <c r="Q1244" s="103"/>
      <c r="R1244" s="103"/>
      <c r="S1244" s="103"/>
      <c r="T1244" s="103"/>
      <c r="U1244" s="68"/>
      <c r="V1244" s="69"/>
      <c r="W1244" s="68"/>
      <c r="X1244" s="68"/>
      <c r="Y1244" s="68"/>
      <c r="Z1244" s="68"/>
      <c r="AA1244" s="68"/>
      <c r="AB1244" s="68"/>
      <c r="AC1244" s="68"/>
      <c r="AD1244" s="68"/>
      <c r="AE1244" s="68"/>
      <c r="AF1244" s="68"/>
      <c r="AG1244" s="68"/>
      <c r="AH1244" s="68"/>
      <c r="AI1244" s="68"/>
      <c r="AJ1244" s="68"/>
      <c r="AK1244" s="68"/>
      <c r="AL1244" s="68"/>
      <c r="AM1244" s="68"/>
      <c r="AN1244" s="68"/>
      <c r="AO1244" s="68"/>
      <c r="AP1244" s="68"/>
      <c r="AQ1244" s="68"/>
      <c r="AR1244" s="68"/>
      <c r="AS1244" s="68"/>
      <c r="AT1244" s="68"/>
      <c r="AU1244" s="68"/>
      <c r="AV1244" s="68"/>
      <c r="AW1244" s="68"/>
      <c r="AX1244" s="68"/>
      <c r="AY1244" s="68"/>
      <c r="AZ1244" s="68"/>
      <c r="BA1244" s="68"/>
      <c r="BB1244" s="68"/>
      <c r="BC1244" s="68"/>
      <c r="BD1244" s="68"/>
      <c r="BE1244" s="68"/>
      <c r="BF1244" s="68"/>
      <c r="BG1244" s="68"/>
      <c r="BH1244" s="68"/>
      <c r="BI1244" s="68"/>
      <c r="BJ1244" s="68"/>
      <c r="BK1244" s="68"/>
      <c r="BL1244" s="68"/>
      <c r="BM1244" s="68"/>
      <c r="BN1244" s="68"/>
      <c r="BO1244" s="68"/>
      <c r="BP1244" s="68"/>
      <c r="BQ1244" s="68"/>
      <c r="BR1244" s="68"/>
      <c r="BS1244" s="68"/>
      <c r="BT1244" s="68"/>
      <c r="BU1244" s="68"/>
      <c r="BV1244" s="68"/>
      <c r="BW1244" s="68"/>
      <c r="BX1244" s="68"/>
      <c r="BY1244" s="68"/>
      <c r="BZ1244" s="68"/>
      <c r="CA1244" s="68"/>
      <c r="CB1244" s="68"/>
      <c r="CC1244" s="68"/>
      <c r="CD1244" s="68"/>
      <c r="CE1244" s="68"/>
      <c r="CF1244" s="68"/>
      <c r="CG1244" s="68"/>
      <c r="CH1244" s="68"/>
      <c r="CI1244" s="68"/>
      <c r="CJ1244" s="68"/>
      <c r="CK1244" s="68"/>
      <c r="CL1244" s="68"/>
      <c r="CM1244" s="68"/>
      <c r="CN1244" s="68"/>
      <c r="CO1244" s="68"/>
      <c r="CP1244" s="68"/>
      <c r="CQ1244" s="68"/>
      <c r="CR1244" s="68"/>
      <c r="CS1244" s="68"/>
      <c r="CT1244" s="68"/>
      <c r="CU1244" s="68"/>
      <c r="CV1244" s="68"/>
      <c r="CW1244" s="68"/>
      <c r="CX1244" s="68"/>
    </row>
    <row r="1245" spans="4:102" s="71" customFormat="1" hidden="1">
      <c r="D1245" s="69"/>
      <c r="E1245" s="68"/>
      <c r="F1245" s="68"/>
      <c r="G1245" s="68"/>
      <c r="H1245" s="68"/>
      <c r="I1245" s="68"/>
      <c r="J1245" s="68"/>
      <c r="K1245" s="73"/>
      <c r="L1245" s="68"/>
      <c r="M1245" s="68"/>
      <c r="N1245" s="68"/>
      <c r="O1245" s="68"/>
      <c r="P1245" s="65"/>
      <c r="Q1245" s="103"/>
      <c r="R1245" s="103"/>
      <c r="S1245" s="103"/>
      <c r="T1245" s="103"/>
      <c r="U1245" s="68"/>
      <c r="V1245" s="69"/>
      <c r="W1245" s="68"/>
      <c r="X1245" s="68"/>
      <c r="Y1245" s="68"/>
      <c r="Z1245" s="68"/>
      <c r="AA1245" s="68"/>
      <c r="AB1245" s="68"/>
      <c r="AC1245" s="68"/>
      <c r="AD1245" s="68"/>
      <c r="AE1245" s="68"/>
      <c r="AF1245" s="68"/>
      <c r="AG1245" s="68"/>
      <c r="AH1245" s="68"/>
      <c r="AI1245" s="68"/>
      <c r="AJ1245" s="68"/>
      <c r="AK1245" s="68"/>
      <c r="AL1245" s="68"/>
      <c r="AM1245" s="68"/>
      <c r="AN1245" s="68"/>
      <c r="AO1245" s="68"/>
      <c r="AP1245" s="68"/>
      <c r="AQ1245" s="68"/>
      <c r="AR1245" s="68"/>
      <c r="AS1245" s="68"/>
      <c r="AT1245" s="68"/>
      <c r="AU1245" s="68"/>
      <c r="AV1245" s="68"/>
      <c r="AW1245" s="68"/>
      <c r="AX1245" s="68"/>
      <c r="AY1245" s="68"/>
      <c r="AZ1245" s="68"/>
      <c r="BA1245" s="68"/>
      <c r="BB1245" s="68"/>
      <c r="BC1245" s="68"/>
      <c r="BD1245" s="68"/>
      <c r="BE1245" s="68"/>
      <c r="BF1245" s="68"/>
      <c r="BG1245" s="68"/>
      <c r="BH1245" s="68"/>
      <c r="BI1245" s="68"/>
      <c r="BJ1245" s="68"/>
      <c r="BK1245" s="68"/>
      <c r="BL1245" s="68"/>
      <c r="BM1245" s="68"/>
      <c r="BN1245" s="68"/>
      <c r="BO1245" s="68"/>
      <c r="BP1245" s="68"/>
      <c r="BQ1245" s="68"/>
      <c r="BR1245" s="68"/>
      <c r="BS1245" s="68"/>
      <c r="BT1245" s="68"/>
      <c r="BU1245" s="68"/>
      <c r="BV1245" s="68"/>
      <c r="BW1245" s="68"/>
      <c r="BX1245" s="68"/>
      <c r="BY1245" s="68"/>
      <c r="BZ1245" s="68"/>
      <c r="CA1245" s="68"/>
      <c r="CB1245" s="68"/>
      <c r="CC1245" s="68"/>
      <c r="CD1245" s="68"/>
      <c r="CE1245" s="68"/>
      <c r="CF1245" s="68"/>
      <c r="CG1245" s="68"/>
      <c r="CH1245" s="68"/>
      <c r="CI1245" s="68"/>
      <c r="CJ1245" s="68"/>
      <c r="CK1245" s="68"/>
      <c r="CL1245" s="68"/>
      <c r="CM1245" s="68"/>
      <c r="CN1245" s="68"/>
      <c r="CO1245" s="68"/>
      <c r="CP1245" s="68"/>
      <c r="CQ1245" s="68"/>
      <c r="CR1245" s="68"/>
      <c r="CS1245" s="68"/>
      <c r="CT1245" s="68"/>
      <c r="CU1245" s="68"/>
      <c r="CV1245" s="68"/>
      <c r="CW1245" s="68"/>
      <c r="CX1245" s="68"/>
    </row>
    <row r="1246" spans="4:102" s="71" customFormat="1" hidden="1">
      <c r="D1246" s="69"/>
      <c r="E1246" s="68"/>
      <c r="F1246" s="68"/>
      <c r="G1246" s="68"/>
      <c r="H1246" s="68"/>
      <c r="I1246" s="68"/>
      <c r="J1246" s="68"/>
      <c r="K1246" s="73"/>
      <c r="L1246" s="68"/>
      <c r="M1246" s="68"/>
      <c r="N1246" s="68"/>
      <c r="O1246" s="68"/>
      <c r="P1246" s="65"/>
      <c r="Q1246" s="103"/>
      <c r="R1246" s="103"/>
      <c r="S1246" s="103"/>
      <c r="T1246" s="103"/>
      <c r="U1246" s="68"/>
      <c r="V1246" s="69"/>
      <c r="W1246" s="68"/>
      <c r="X1246" s="68"/>
      <c r="Y1246" s="68"/>
      <c r="Z1246" s="68"/>
      <c r="AA1246" s="68"/>
      <c r="AB1246" s="68"/>
      <c r="AC1246" s="68"/>
      <c r="AD1246" s="68"/>
      <c r="AE1246" s="68"/>
      <c r="AF1246" s="68"/>
      <c r="AG1246" s="68"/>
      <c r="AH1246" s="68"/>
      <c r="AI1246" s="68"/>
      <c r="AJ1246" s="68"/>
      <c r="AK1246" s="68"/>
      <c r="AL1246" s="68"/>
      <c r="AM1246" s="68"/>
      <c r="AN1246" s="68"/>
      <c r="AO1246" s="68"/>
      <c r="AP1246" s="68"/>
      <c r="AQ1246" s="68"/>
      <c r="AR1246" s="68"/>
      <c r="AS1246" s="68"/>
      <c r="AT1246" s="68"/>
      <c r="AU1246" s="68"/>
      <c r="AV1246" s="68"/>
      <c r="AW1246" s="68"/>
      <c r="AX1246" s="68"/>
      <c r="AY1246" s="68"/>
      <c r="AZ1246" s="68"/>
      <c r="BA1246" s="68"/>
      <c r="BB1246" s="68"/>
      <c r="BC1246" s="68"/>
      <c r="BD1246" s="68"/>
      <c r="BE1246" s="68"/>
      <c r="BF1246" s="68"/>
      <c r="BG1246" s="68"/>
      <c r="BH1246" s="68"/>
      <c r="BI1246" s="68"/>
      <c r="BJ1246" s="68"/>
      <c r="BK1246" s="68"/>
      <c r="BL1246" s="68"/>
      <c r="BM1246" s="68"/>
      <c r="BN1246" s="68"/>
      <c r="BO1246" s="68"/>
      <c r="BP1246" s="68"/>
      <c r="BQ1246" s="68"/>
      <c r="BR1246" s="68"/>
      <c r="BS1246" s="68"/>
      <c r="BT1246" s="68"/>
      <c r="BU1246" s="68"/>
      <c r="BV1246" s="68"/>
      <c r="BW1246" s="68"/>
      <c r="BX1246" s="68"/>
      <c r="BY1246" s="68"/>
      <c r="BZ1246" s="68"/>
      <c r="CA1246" s="68"/>
      <c r="CB1246" s="68"/>
      <c r="CC1246" s="68"/>
      <c r="CD1246" s="68"/>
      <c r="CE1246" s="68"/>
      <c r="CF1246" s="68"/>
      <c r="CG1246" s="68"/>
      <c r="CH1246" s="68"/>
      <c r="CI1246" s="68"/>
      <c r="CJ1246" s="68"/>
      <c r="CK1246" s="68"/>
      <c r="CL1246" s="68"/>
      <c r="CM1246" s="68"/>
      <c r="CN1246" s="68"/>
      <c r="CO1246" s="68"/>
      <c r="CP1246" s="68"/>
      <c r="CQ1246" s="68"/>
      <c r="CR1246" s="68"/>
      <c r="CS1246" s="68"/>
      <c r="CT1246" s="68"/>
      <c r="CU1246" s="68"/>
      <c r="CV1246" s="68"/>
      <c r="CW1246" s="68"/>
      <c r="CX1246" s="68"/>
    </row>
    <row r="1247" spans="4:102" s="71" customFormat="1" hidden="1">
      <c r="D1247" s="69"/>
      <c r="E1247" s="68"/>
      <c r="F1247" s="68"/>
      <c r="G1247" s="68"/>
      <c r="H1247" s="68"/>
      <c r="I1247" s="68"/>
      <c r="J1247" s="68"/>
      <c r="K1247" s="73"/>
      <c r="L1247" s="68"/>
      <c r="M1247" s="68"/>
      <c r="N1247" s="68"/>
      <c r="O1247" s="68"/>
      <c r="P1247" s="65"/>
      <c r="Q1247" s="103"/>
      <c r="R1247" s="103"/>
      <c r="S1247" s="103"/>
      <c r="T1247" s="103"/>
      <c r="U1247" s="68"/>
      <c r="V1247" s="69"/>
      <c r="W1247" s="68"/>
      <c r="X1247" s="68"/>
      <c r="Y1247" s="68"/>
      <c r="Z1247" s="68"/>
      <c r="AA1247" s="68"/>
      <c r="AB1247" s="68"/>
      <c r="AC1247" s="68"/>
      <c r="AD1247" s="68"/>
      <c r="AE1247" s="68"/>
      <c r="AF1247" s="68"/>
      <c r="AG1247" s="68"/>
      <c r="AH1247" s="68"/>
      <c r="AI1247" s="68"/>
      <c r="AJ1247" s="68"/>
      <c r="AK1247" s="68"/>
      <c r="AL1247" s="68"/>
      <c r="AM1247" s="68"/>
      <c r="AN1247" s="68"/>
      <c r="AO1247" s="68"/>
      <c r="AP1247" s="68"/>
      <c r="AQ1247" s="68"/>
      <c r="AR1247" s="68"/>
      <c r="AS1247" s="68"/>
      <c r="AT1247" s="68"/>
      <c r="AU1247" s="68"/>
      <c r="AV1247" s="68"/>
      <c r="AW1247" s="68"/>
      <c r="AX1247" s="68"/>
      <c r="AY1247" s="68"/>
      <c r="AZ1247" s="68"/>
      <c r="BA1247" s="68"/>
      <c r="BB1247" s="68"/>
      <c r="BC1247" s="68"/>
      <c r="BD1247" s="68"/>
      <c r="BE1247" s="68"/>
      <c r="BF1247" s="68"/>
      <c r="BG1247" s="68"/>
      <c r="BH1247" s="68"/>
      <c r="BI1247" s="68"/>
      <c r="BJ1247" s="68"/>
      <c r="BK1247" s="68"/>
      <c r="BL1247" s="68"/>
      <c r="BM1247" s="68"/>
      <c r="BN1247" s="68"/>
      <c r="BO1247" s="68"/>
      <c r="BP1247" s="68"/>
      <c r="BQ1247" s="68"/>
      <c r="BR1247" s="68"/>
      <c r="BS1247" s="68"/>
      <c r="BT1247" s="68"/>
      <c r="BU1247" s="68"/>
      <c r="BV1247" s="68"/>
      <c r="BW1247" s="68"/>
      <c r="BX1247" s="68"/>
      <c r="BY1247" s="68"/>
      <c r="BZ1247" s="68"/>
      <c r="CA1247" s="68"/>
      <c r="CB1247" s="68"/>
      <c r="CC1247" s="68"/>
      <c r="CD1247" s="68"/>
      <c r="CE1247" s="68"/>
      <c r="CF1247" s="68"/>
      <c r="CG1247" s="68"/>
      <c r="CH1247" s="68"/>
      <c r="CI1247" s="68"/>
      <c r="CJ1247" s="68"/>
      <c r="CK1247" s="68"/>
      <c r="CL1247" s="68"/>
      <c r="CM1247" s="68"/>
      <c r="CN1247" s="68"/>
      <c r="CO1247" s="68"/>
      <c r="CP1247" s="68"/>
      <c r="CQ1247" s="68"/>
      <c r="CR1247" s="68"/>
      <c r="CS1247" s="68"/>
      <c r="CT1247" s="68"/>
      <c r="CU1247" s="68"/>
      <c r="CV1247" s="68"/>
      <c r="CW1247" s="68"/>
      <c r="CX1247" s="68"/>
    </row>
    <row r="1248" spans="4:102" s="71" customFormat="1" hidden="1">
      <c r="D1248" s="69"/>
      <c r="E1248" s="68"/>
      <c r="F1248" s="68"/>
      <c r="G1248" s="68"/>
      <c r="H1248" s="68"/>
      <c r="I1248" s="68"/>
      <c r="J1248" s="68"/>
      <c r="K1248" s="73"/>
      <c r="L1248" s="68"/>
      <c r="M1248" s="68"/>
      <c r="N1248" s="68"/>
      <c r="O1248" s="68"/>
      <c r="P1248" s="65"/>
      <c r="Q1248" s="103"/>
      <c r="R1248" s="103"/>
      <c r="S1248" s="103"/>
      <c r="T1248" s="103"/>
      <c r="U1248" s="68"/>
      <c r="V1248" s="69"/>
      <c r="W1248" s="68"/>
      <c r="X1248" s="68"/>
      <c r="Y1248" s="68"/>
      <c r="Z1248" s="68"/>
      <c r="AA1248" s="68"/>
      <c r="AB1248" s="68"/>
      <c r="AC1248" s="68"/>
      <c r="AD1248" s="68"/>
      <c r="AE1248" s="68"/>
      <c r="AF1248" s="68"/>
      <c r="AG1248" s="68"/>
      <c r="AH1248" s="68"/>
      <c r="AI1248" s="68"/>
      <c r="AJ1248" s="68"/>
      <c r="AK1248" s="68"/>
      <c r="AL1248" s="68"/>
      <c r="AM1248" s="68"/>
      <c r="AN1248" s="68"/>
      <c r="AO1248" s="68"/>
      <c r="AP1248" s="68"/>
      <c r="AQ1248" s="68"/>
      <c r="AR1248" s="68"/>
      <c r="AS1248" s="68"/>
      <c r="AT1248" s="68"/>
      <c r="AU1248" s="68"/>
      <c r="AV1248" s="68"/>
      <c r="AW1248" s="68"/>
      <c r="AX1248" s="68"/>
      <c r="AY1248" s="68"/>
      <c r="AZ1248" s="68"/>
      <c r="BA1248" s="68"/>
      <c r="BB1248" s="68"/>
      <c r="BC1248" s="68"/>
      <c r="BD1248" s="68"/>
      <c r="BE1248" s="68"/>
      <c r="BF1248" s="68"/>
      <c r="BG1248" s="68"/>
      <c r="BH1248" s="68"/>
      <c r="BI1248" s="68"/>
      <c r="BJ1248" s="68"/>
      <c r="BK1248" s="68"/>
      <c r="BL1248" s="68"/>
      <c r="BM1248" s="68"/>
      <c r="BN1248" s="68"/>
      <c r="BO1248" s="68"/>
      <c r="BP1248" s="68"/>
      <c r="BQ1248" s="68"/>
      <c r="BR1248" s="68"/>
      <c r="BS1248" s="68"/>
      <c r="BT1248" s="68"/>
      <c r="BU1248" s="68"/>
      <c r="BV1248" s="68"/>
      <c r="BW1248" s="68"/>
      <c r="BX1248" s="68"/>
      <c r="BY1248" s="68"/>
      <c r="BZ1248" s="68"/>
      <c r="CA1248" s="68"/>
      <c r="CB1248" s="68"/>
      <c r="CC1248" s="68"/>
      <c r="CD1248" s="68"/>
      <c r="CE1248" s="68"/>
      <c r="CF1248" s="68"/>
      <c r="CG1248" s="68"/>
      <c r="CH1248" s="68"/>
      <c r="CI1248" s="68"/>
      <c r="CJ1248" s="68"/>
      <c r="CK1248" s="68"/>
      <c r="CL1248" s="68"/>
      <c r="CM1248" s="68"/>
      <c r="CN1248" s="68"/>
      <c r="CO1248" s="68"/>
      <c r="CP1248" s="68"/>
      <c r="CQ1248" s="68"/>
      <c r="CR1248" s="68"/>
      <c r="CS1248" s="68"/>
      <c r="CT1248" s="68"/>
      <c r="CU1248" s="68"/>
      <c r="CV1248" s="68"/>
      <c r="CW1248" s="68"/>
      <c r="CX1248" s="68"/>
    </row>
    <row r="1249" spans="4:102" s="71" customFormat="1" hidden="1">
      <c r="D1249" s="69"/>
      <c r="E1249" s="68"/>
      <c r="F1249" s="68"/>
      <c r="G1249" s="68"/>
      <c r="H1249" s="68"/>
      <c r="I1249" s="68"/>
      <c r="J1249" s="68"/>
      <c r="K1249" s="73"/>
      <c r="L1249" s="68"/>
      <c r="M1249" s="68"/>
      <c r="N1249" s="68"/>
      <c r="O1249" s="68"/>
      <c r="P1249" s="65"/>
      <c r="Q1249" s="103"/>
      <c r="R1249" s="103"/>
      <c r="S1249" s="103"/>
      <c r="T1249" s="103"/>
      <c r="U1249" s="68"/>
      <c r="V1249" s="69"/>
      <c r="W1249" s="68"/>
      <c r="X1249" s="68"/>
      <c r="Y1249" s="68"/>
      <c r="Z1249" s="68"/>
      <c r="AA1249" s="68"/>
      <c r="AB1249" s="68"/>
      <c r="AC1249" s="68"/>
      <c r="AD1249" s="68"/>
      <c r="AE1249" s="68"/>
      <c r="AF1249" s="68"/>
      <c r="AG1249" s="68"/>
      <c r="AH1249" s="68"/>
      <c r="AI1249" s="68"/>
      <c r="AJ1249" s="68"/>
      <c r="AK1249" s="68"/>
      <c r="AL1249" s="68"/>
      <c r="AM1249" s="68"/>
      <c r="AN1249" s="68"/>
      <c r="AO1249" s="68"/>
      <c r="AP1249" s="68"/>
      <c r="AQ1249" s="68"/>
      <c r="AR1249" s="68"/>
      <c r="AS1249" s="68"/>
      <c r="AT1249" s="68"/>
      <c r="AU1249" s="68"/>
      <c r="AV1249" s="68"/>
      <c r="AW1249" s="68"/>
      <c r="AX1249" s="68"/>
      <c r="AY1249" s="68"/>
      <c r="AZ1249" s="68"/>
      <c r="BA1249" s="68"/>
      <c r="BB1249" s="68"/>
      <c r="BC1249" s="68"/>
      <c r="BD1249" s="68"/>
      <c r="BE1249" s="68"/>
      <c r="BF1249" s="68"/>
      <c r="BG1249" s="68"/>
      <c r="BH1249" s="68"/>
      <c r="BI1249" s="68"/>
      <c r="BJ1249" s="68"/>
      <c r="BK1249" s="68"/>
      <c r="BL1249" s="68"/>
      <c r="BM1249" s="68"/>
      <c r="BN1249" s="68"/>
      <c r="BO1249" s="68"/>
      <c r="BP1249" s="68"/>
      <c r="BQ1249" s="68"/>
      <c r="BR1249" s="68"/>
      <c r="BS1249" s="68"/>
      <c r="BT1249" s="68"/>
      <c r="BU1249" s="68"/>
      <c r="BV1249" s="68"/>
      <c r="BW1249" s="68"/>
      <c r="BX1249" s="68"/>
      <c r="BY1249" s="68"/>
      <c r="BZ1249" s="68"/>
      <c r="CA1249" s="68"/>
      <c r="CB1249" s="68"/>
      <c r="CC1249" s="68"/>
      <c r="CD1249" s="68"/>
      <c r="CE1249" s="68"/>
      <c r="CF1249" s="68"/>
      <c r="CG1249" s="68"/>
      <c r="CH1249" s="68"/>
      <c r="CI1249" s="68"/>
      <c r="CJ1249" s="68"/>
      <c r="CK1249" s="68"/>
      <c r="CL1249" s="68"/>
      <c r="CM1249" s="68"/>
      <c r="CN1249" s="68"/>
      <c r="CO1249" s="68"/>
      <c r="CP1249" s="68"/>
      <c r="CQ1249" s="68"/>
      <c r="CR1249" s="68"/>
      <c r="CS1249" s="68"/>
      <c r="CT1249" s="68"/>
      <c r="CU1249" s="68"/>
      <c r="CV1249" s="68"/>
      <c r="CW1249" s="68"/>
      <c r="CX1249" s="68"/>
    </row>
    <row r="1250" spans="4:102" s="71" customFormat="1" hidden="1">
      <c r="D1250" s="69"/>
      <c r="E1250" s="68"/>
      <c r="F1250" s="68"/>
      <c r="G1250" s="68"/>
      <c r="H1250" s="68"/>
      <c r="I1250" s="68"/>
      <c r="J1250" s="68"/>
      <c r="K1250" s="73"/>
      <c r="L1250" s="68"/>
      <c r="M1250" s="68"/>
      <c r="N1250" s="68"/>
      <c r="O1250" s="68"/>
      <c r="P1250" s="65"/>
      <c r="Q1250" s="103"/>
      <c r="R1250" s="103"/>
      <c r="S1250" s="103"/>
      <c r="T1250" s="103"/>
      <c r="U1250" s="68"/>
      <c r="V1250" s="69"/>
      <c r="W1250" s="68"/>
      <c r="X1250" s="68"/>
      <c r="Y1250" s="68"/>
      <c r="Z1250" s="68"/>
      <c r="AA1250" s="68"/>
      <c r="AB1250" s="68"/>
      <c r="AC1250" s="68"/>
      <c r="AD1250" s="68"/>
      <c r="AE1250" s="68"/>
      <c r="AF1250" s="68"/>
      <c r="AG1250" s="68"/>
      <c r="AH1250" s="68"/>
      <c r="AI1250" s="68"/>
      <c r="AJ1250" s="68"/>
      <c r="AK1250" s="68"/>
      <c r="AL1250" s="68"/>
      <c r="AM1250" s="68"/>
      <c r="AN1250" s="68"/>
      <c r="AO1250" s="68"/>
      <c r="AP1250" s="68"/>
      <c r="AQ1250" s="68"/>
      <c r="AR1250" s="68"/>
      <c r="AS1250" s="68"/>
      <c r="AT1250" s="68"/>
      <c r="AU1250" s="68"/>
      <c r="AV1250" s="68"/>
      <c r="AW1250" s="68"/>
      <c r="AX1250" s="68"/>
      <c r="AY1250" s="68"/>
      <c r="AZ1250" s="68"/>
      <c r="BA1250" s="68"/>
      <c r="BB1250" s="68"/>
      <c r="BC1250" s="68"/>
      <c r="BD1250" s="68"/>
      <c r="BE1250" s="68"/>
      <c r="BF1250" s="68"/>
      <c r="BG1250" s="68"/>
      <c r="BH1250" s="68"/>
      <c r="BI1250" s="68"/>
      <c r="BJ1250" s="68"/>
      <c r="BK1250" s="68"/>
      <c r="BL1250" s="68"/>
      <c r="BM1250" s="68"/>
      <c r="BN1250" s="68"/>
      <c r="BO1250" s="68"/>
      <c r="BP1250" s="68"/>
      <c r="BQ1250" s="68"/>
      <c r="BR1250" s="68"/>
      <c r="BS1250" s="68"/>
      <c r="BT1250" s="68"/>
      <c r="BU1250" s="68"/>
      <c r="BV1250" s="68"/>
      <c r="BW1250" s="68"/>
      <c r="BX1250" s="68"/>
      <c r="BY1250" s="68"/>
      <c r="BZ1250" s="68"/>
      <c r="CA1250" s="68"/>
      <c r="CB1250" s="68"/>
      <c r="CC1250" s="68"/>
      <c r="CD1250" s="68"/>
      <c r="CE1250" s="68"/>
      <c r="CF1250" s="68"/>
      <c r="CG1250" s="68"/>
      <c r="CH1250" s="68"/>
      <c r="CI1250" s="68"/>
      <c r="CJ1250" s="68"/>
      <c r="CK1250" s="68"/>
      <c r="CL1250" s="68"/>
      <c r="CM1250" s="68"/>
      <c r="CN1250" s="68"/>
      <c r="CO1250" s="68"/>
      <c r="CP1250" s="68"/>
      <c r="CQ1250" s="68"/>
      <c r="CR1250" s="68"/>
      <c r="CS1250" s="68"/>
      <c r="CT1250" s="68"/>
      <c r="CU1250" s="68"/>
      <c r="CV1250" s="68"/>
      <c r="CW1250" s="68"/>
      <c r="CX1250" s="68"/>
    </row>
    <row r="1251" spans="4:102" s="71" customFormat="1" hidden="1">
      <c r="D1251" s="69"/>
      <c r="E1251" s="68"/>
      <c r="F1251" s="68"/>
      <c r="G1251" s="68"/>
      <c r="H1251" s="68"/>
      <c r="I1251" s="68"/>
      <c r="J1251" s="68"/>
      <c r="K1251" s="73"/>
      <c r="L1251" s="68"/>
      <c r="M1251" s="68"/>
      <c r="N1251" s="68"/>
      <c r="O1251" s="68"/>
      <c r="P1251" s="65"/>
      <c r="Q1251" s="103"/>
      <c r="R1251" s="103"/>
      <c r="S1251" s="103"/>
      <c r="T1251" s="103"/>
      <c r="U1251" s="68"/>
      <c r="V1251" s="69"/>
      <c r="W1251" s="68"/>
      <c r="X1251" s="68"/>
      <c r="Y1251" s="68"/>
      <c r="Z1251" s="68"/>
      <c r="AA1251" s="68"/>
      <c r="AB1251" s="68"/>
      <c r="AC1251" s="68"/>
      <c r="AD1251" s="68"/>
      <c r="AE1251" s="68"/>
      <c r="AF1251" s="68"/>
      <c r="AG1251" s="68"/>
      <c r="AH1251" s="68"/>
      <c r="AI1251" s="68"/>
      <c r="AJ1251" s="68"/>
      <c r="AK1251" s="68"/>
      <c r="AL1251" s="68"/>
      <c r="AM1251" s="68"/>
      <c r="AN1251" s="68"/>
      <c r="AO1251" s="68"/>
      <c r="AP1251" s="68"/>
      <c r="AQ1251" s="68"/>
      <c r="AR1251" s="68"/>
      <c r="AS1251" s="68"/>
      <c r="AT1251" s="68"/>
      <c r="AU1251" s="68"/>
      <c r="AV1251" s="68"/>
      <c r="AW1251" s="68"/>
      <c r="AX1251" s="68"/>
      <c r="AY1251" s="68"/>
      <c r="AZ1251" s="68"/>
      <c r="BA1251" s="68"/>
      <c r="BB1251" s="68"/>
      <c r="BC1251" s="68"/>
      <c r="BD1251" s="68"/>
      <c r="BE1251" s="68"/>
      <c r="BF1251" s="68"/>
      <c r="BG1251" s="68"/>
      <c r="BH1251" s="68"/>
      <c r="BI1251" s="68"/>
      <c r="BJ1251" s="68"/>
      <c r="BK1251" s="68"/>
      <c r="BL1251" s="68"/>
      <c r="BM1251" s="68"/>
      <c r="BN1251" s="68"/>
      <c r="BO1251" s="68"/>
      <c r="BP1251" s="68"/>
      <c r="BQ1251" s="68"/>
      <c r="BR1251" s="68"/>
      <c r="BS1251" s="68"/>
      <c r="BT1251" s="68"/>
      <c r="BU1251" s="68"/>
      <c r="BV1251" s="68"/>
      <c r="BW1251" s="68"/>
      <c r="BX1251" s="68"/>
      <c r="BY1251" s="68"/>
      <c r="BZ1251" s="68"/>
      <c r="CA1251" s="68"/>
      <c r="CB1251" s="68"/>
      <c r="CC1251" s="68"/>
      <c r="CD1251" s="68"/>
      <c r="CE1251" s="68"/>
      <c r="CF1251" s="68"/>
      <c r="CG1251" s="68"/>
      <c r="CH1251" s="68"/>
      <c r="CI1251" s="68"/>
      <c r="CJ1251" s="68"/>
      <c r="CK1251" s="68"/>
      <c r="CL1251" s="68"/>
      <c r="CM1251" s="68"/>
      <c r="CN1251" s="68"/>
      <c r="CO1251" s="68"/>
      <c r="CP1251" s="68"/>
      <c r="CQ1251" s="68"/>
      <c r="CR1251" s="68"/>
      <c r="CS1251" s="68"/>
      <c r="CT1251" s="68"/>
      <c r="CU1251" s="68"/>
      <c r="CV1251" s="68"/>
      <c r="CW1251" s="68"/>
      <c r="CX1251" s="68"/>
    </row>
    <row r="1252" spans="4:102" s="71" customFormat="1" hidden="1">
      <c r="D1252" s="69"/>
      <c r="E1252" s="68"/>
      <c r="F1252" s="68"/>
      <c r="G1252" s="68"/>
      <c r="H1252" s="68"/>
      <c r="I1252" s="68"/>
      <c r="J1252" s="68"/>
      <c r="K1252" s="73"/>
      <c r="L1252" s="68"/>
      <c r="M1252" s="68"/>
      <c r="N1252" s="68"/>
      <c r="O1252" s="68"/>
      <c r="P1252" s="65"/>
      <c r="Q1252" s="103"/>
      <c r="R1252" s="103"/>
      <c r="S1252" s="103"/>
      <c r="T1252" s="103"/>
      <c r="U1252" s="68"/>
      <c r="V1252" s="69"/>
      <c r="W1252" s="68"/>
      <c r="X1252" s="68"/>
      <c r="Y1252" s="68"/>
      <c r="Z1252" s="68"/>
      <c r="AA1252" s="68"/>
      <c r="AB1252" s="68"/>
      <c r="AC1252" s="68"/>
      <c r="AD1252" s="68"/>
      <c r="AE1252" s="68"/>
      <c r="AF1252" s="68"/>
      <c r="AG1252" s="68"/>
      <c r="AH1252" s="68"/>
      <c r="AI1252" s="68"/>
      <c r="AJ1252" s="68"/>
      <c r="AK1252" s="68"/>
      <c r="AL1252" s="68"/>
      <c r="AM1252" s="68"/>
      <c r="AN1252" s="68"/>
      <c r="AO1252" s="68"/>
      <c r="AP1252" s="68"/>
      <c r="AQ1252" s="68"/>
      <c r="AR1252" s="68"/>
      <c r="AS1252" s="68"/>
      <c r="AT1252" s="68"/>
      <c r="AU1252" s="68"/>
      <c r="AV1252" s="68"/>
      <c r="AW1252" s="68"/>
      <c r="AX1252" s="68"/>
      <c r="AY1252" s="68"/>
      <c r="AZ1252" s="68"/>
      <c r="BA1252" s="68"/>
      <c r="BB1252" s="68"/>
      <c r="BC1252" s="68"/>
      <c r="BD1252" s="68"/>
      <c r="BE1252" s="68"/>
      <c r="BF1252" s="68"/>
      <c r="BG1252" s="68"/>
      <c r="BH1252" s="68"/>
      <c r="BI1252" s="68"/>
      <c r="BJ1252" s="68"/>
      <c r="BK1252" s="68"/>
      <c r="BL1252" s="68"/>
      <c r="BM1252" s="68"/>
      <c r="BN1252" s="68"/>
      <c r="BO1252" s="68"/>
      <c r="BP1252" s="68"/>
      <c r="BQ1252" s="68"/>
      <c r="BR1252" s="68"/>
      <c r="BS1252" s="68"/>
      <c r="BT1252" s="68"/>
      <c r="BU1252" s="68"/>
      <c r="BV1252" s="68"/>
      <c r="BW1252" s="68"/>
      <c r="BX1252" s="68"/>
      <c r="BY1252" s="68"/>
      <c r="BZ1252" s="68"/>
      <c r="CA1252" s="68"/>
      <c r="CB1252" s="68"/>
      <c r="CC1252" s="68"/>
      <c r="CD1252" s="68"/>
      <c r="CE1252" s="68"/>
      <c r="CF1252" s="68"/>
      <c r="CG1252" s="68"/>
      <c r="CH1252" s="68"/>
      <c r="CI1252" s="68"/>
      <c r="CJ1252" s="68"/>
      <c r="CK1252" s="68"/>
      <c r="CL1252" s="68"/>
      <c r="CM1252" s="68"/>
      <c r="CN1252" s="68"/>
      <c r="CO1252" s="68"/>
      <c r="CP1252" s="68"/>
      <c r="CQ1252" s="68"/>
      <c r="CR1252" s="68"/>
      <c r="CS1252" s="68"/>
      <c r="CT1252" s="68"/>
      <c r="CU1252" s="68"/>
      <c r="CV1252" s="68"/>
      <c r="CW1252" s="68"/>
      <c r="CX1252" s="68"/>
    </row>
    <row r="1253" spans="4:102" s="71" customFormat="1" hidden="1">
      <c r="D1253" s="69"/>
      <c r="E1253" s="68"/>
      <c r="F1253" s="68"/>
      <c r="G1253" s="68"/>
      <c r="H1253" s="68"/>
      <c r="I1253" s="68"/>
      <c r="J1253" s="68"/>
      <c r="K1253" s="73"/>
      <c r="L1253" s="68"/>
      <c r="M1253" s="68"/>
      <c r="N1253" s="68"/>
      <c r="O1253" s="68"/>
      <c r="P1253" s="65"/>
      <c r="Q1253" s="103"/>
      <c r="R1253" s="103"/>
      <c r="S1253" s="103"/>
      <c r="T1253" s="103"/>
      <c r="U1253" s="68"/>
      <c r="V1253" s="69"/>
      <c r="W1253" s="68"/>
      <c r="X1253" s="68"/>
      <c r="Y1253" s="68"/>
      <c r="Z1253" s="68"/>
      <c r="AA1253" s="68"/>
      <c r="AB1253" s="68"/>
      <c r="AC1253" s="68"/>
      <c r="AD1253" s="68"/>
      <c r="AE1253" s="68"/>
      <c r="AF1253" s="68"/>
      <c r="AG1253" s="68"/>
      <c r="AH1253" s="68"/>
      <c r="AI1253" s="68"/>
      <c r="AJ1253" s="68"/>
      <c r="AK1253" s="68"/>
      <c r="AL1253" s="68"/>
      <c r="AM1253" s="68"/>
      <c r="AN1253" s="68"/>
      <c r="AO1253" s="68"/>
      <c r="AP1253" s="68"/>
      <c r="AQ1253" s="68"/>
      <c r="AR1253" s="68"/>
      <c r="AS1253" s="68"/>
      <c r="AT1253" s="68"/>
      <c r="AU1253" s="68"/>
      <c r="AV1253" s="68"/>
      <c r="AW1253" s="68"/>
      <c r="AX1253" s="68"/>
      <c r="AY1253" s="68"/>
      <c r="AZ1253" s="68"/>
      <c r="BA1253" s="68"/>
      <c r="BB1253" s="68"/>
      <c r="BC1253" s="68"/>
      <c r="BD1253" s="68"/>
      <c r="BE1253" s="68"/>
      <c r="BF1253" s="68"/>
      <c r="BG1253" s="68"/>
      <c r="BH1253" s="68"/>
      <c r="BI1253" s="68"/>
      <c r="BJ1253" s="68"/>
      <c r="BK1253" s="68"/>
      <c r="BL1253" s="68"/>
      <c r="BM1253" s="68"/>
      <c r="BN1253" s="68"/>
      <c r="BO1253" s="68"/>
      <c r="BP1253" s="68"/>
      <c r="BQ1253" s="68"/>
      <c r="BR1253" s="68"/>
      <c r="BS1253" s="68"/>
      <c r="BT1253" s="68"/>
      <c r="BU1253" s="68"/>
      <c r="BV1253" s="68"/>
      <c r="BW1253" s="68"/>
      <c r="BX1253" s="68"/>
      <c r="BY1253" s="68"/>
      <c r="BZ1253" s="68"/>
      <c r="CA1253" s="68"/>
      <c r="CB1253" s="68"/>
      <c r="CC1253" s="68"/>
      <c r="CD1253" s="68"/>
      <c r="CE1253" s="68"/>
      <c r="CF1253" s="68"/>
      <c r="CG1253" s="68"/>
      <c r="CH1253" s="68"/>
      <c r="CI1253" s="68"/>
      <c r="CJ1253" s="68"/>
      <c r="CK1253" s="68"/>
      <c r="CL1253" s="68"/>
      <c r="CM1253" s="68"/>
      <c r="CN1253" s="68"/>
      <c r="CO1253" s="68"/>
      <c r="CP1253" s="68"/>
      <c r="CQ1253" s="68"/>
      <c r="CR1253" s="68"/>
      <c r="CS1253" s="68"/>
      <c r="CT1253" s="68"/>
      <c r="CU1253" s="68"/>
      <c r="CV1253" s="68"/>
      <c r="CW1253" s="68"/>
      <c r="CX1253" s="68"/>
    </row>
    <row r="1254" spans="4:102" s="71" customFormat="1" hidden="1">
      <c r="D1254" s="69"/>
      <c r="E1254" s="68"/>
      <c r="F1254" s="68"/>
      <c r="G1254" s="68"/>
      <c r="H1254" s="68"/>
      <c r="I1254" s="68"/>
      <c r="J1254" s="68"/>
      <c r="K1254" s="73"/>
      <c r="L1254" s="68"/>
      <c r="M1254" s="68"/>
      <c r="N1254" s="68"/>
      <c r="O1254" s="68"/>
      <c r="P1254" s="65"/>
      <c r="Q1254" s="103"/>
      <c r="R1254" s="103"/>
      <c r="S1254" s="103"/>
      <c r="T1254" s="103"/>
      <c r="U1254" s="68"/>
      <c r="V1254" s="69"/>
      <c r="W1254" s="68"/>
      <c r="X1254" s="68"/>
      <c r="Y1254" s="68"/>
      <c r="Z1254" s="68"/>
      <c r="AA1254" s="68"/>
      <c r="AB1254" s="68"/>
      <c r="AC1254" s="68"/>
      <c r="AD1254" s="68"/>
      <c r="AE1254" s="68"/>
      <c r="AF1254" s="68"/>
      <c r="AG1254" s="68"/>
      <c r="AH1254" s="68"/>
      <c r="AI1254" s="68"/>
      <c r="AJ1254" s="68"/>
      <c r="AK1254" s="68"/>
      <c r="AL1254" s="68"/>
      <c r="AM1254" s="68"/>
      <c r="AN1254" s="68"/>
      <c r="AO1254" s="68"/>
      <c r="AP1254" s="68"/>
      <c r="AQ1254" s="68"/>
      <c r="AR1254" s="68"/>
      <c r="AS1254" s="68"/>
      <c r="AT1254" s="68"/>
      <c r="AU1254" s="68"/>
      <c r="AV1254" s="68"/>
      <c r="AW1254" s="68"/>
      <c r="AX1254" s="68"/>
      <c r="AY1254" s="68"/>
      <c r="AZ1254" s="68"/>
      <c r="BA1254" s="68"/>
      <c r="BB1254" s="68"/>
      <c r="BC1254" s="68"/>
      <c r="BD1254" s="68"/>
      <c r="BE1254" s="68"/>
      <c r="BF1254" s="68"/>
      <c r="BG1254" s="68"/>
      <c r="BH1254" s="68"/>
      <c r="BI1254" s="68"/>
      <c r="BJ1254" s="68"/>
      <c r="BK1254" s="68"/>
      <c r="BL1254" s="68"/>
      <c r="BM1254" s="68"/>
      <c r="BN1254" s="68"/>
      <c r="BO1254" s="68"/>
      <c r="BP1254" s="68"/>
      <c r="BQ1254" s="68"/>
      <c r="BR1254" s="68"/>
      <c r="BS1254" s="68"/>
      <c r="BT1254" s="68"/>
      <c r="BU1254" s="68"/>
      <c r="BV1254" s="68"/>
      <c r="BW1254" s="68"/>
      <c r="BX1254" s="68"/>
      <c r="BY1254" s="68"/>
      <c r="BZ1254" s="68"/>
      <c r="CA1254" s="68"/>
      <c r="CB1254" s="68"/>
      <c r="CC1254" s="68"/>
      <c r="CD1254" s="68"/>
      <c r="CE1254" s="68"/>
      <c r="CF1254" s="68"/>
      <c r="CG1254" s="68"/>
      <c r="CH1254" s="68"/>
      <c r="CI1254" s="68"/>
      <c r="CJ1254" s="68"/>
      <c r="CK1254" s="68"/>
      <c r="CL1254" s="68"/>
      <c r="CM1254" s="68"/>
      <c r="CN1254" s="68"/>
      <c r="CO1254" s="68"/>
      <c r="CP1254" s="68"/>
      <c r="CQ1254" s="68"/>
      <c r="CR1254" s="68"/>
      <c r="CS1254" s="68"/>
      <c r="CT1254" s="68"/>
      <c r="CU1254" s="68"/>
      <c r="CV1254" s="68"/>
      <c r="CW1254" s="68"/>
      <c r="CX1254" s="68"/>
    </row>
    <row r="1255" spans="4:102" s="71" customFormat="1" hidden="1">
      <c r="D1255" s="69"/>
      <c r="E1255" s="68"/>
      <c r="F1255" s="68"/>
      <c r="G1255" s="68"/>
      <c r="H1255" s="68"/>
      <c r="I1255" s="68"/>
      <c r="J1255" s="68"/>
      <c r="K1255" s="73"/>
      <c r="L1255" s="68"/>
      <c r="M1255" s="68"/>
      <c r="N1255" s="68"/>
      <c r="O1255" s="68"/>
      <c r="P1255" s="65"/>
      <c r="Q1255" s="103"/>
      <c r="R1255" s="103"/>
      <c r="S1255" s="103"/>
      <c r="T1255" s="103"/>
      <c r="U1255" s="68"/>
      <c r="V1255" s="69"/>
      <c r="W1255" s="68"/>
      <c r="X1255" s="68"/>
      <c r="Y1255" s="68"/>
      <c r="Z1255" s="68"/>
      <c r="AA1255" s="68"/>
      <c r="AB1255" s="68"/>
      <c r="AC1255" s="68"/>
      <c r="AD1255" s="68"/>
      <c r="AE1255" s="68"/>
      <c r="AF1255" s="68"/>
      <c r="AG1255" s="68"/>
      <c r="AH1255" s="68"/>
      <c r="AI1255" s="68"/>
      <c r="AJ1255" s="68"/>
      <c r="AK1255" s="68"/>
      <c r="AL1255" s="68"/>
      <c r="AM1255" s="68"/>
      <c r="AN1255" s="68"/>
      <c r="AO1255" s="68"/>
      <c r="AP1255" s="68"/>
      <c r="AQ1255" s="68"/>
      <c r="AR1255" s="68"/>
      <c r="AS1255" s="68"/>
      <c r="AT1255" s="68"/>
      <c r="AU1255" s="68"/>
      <c r="AV1255" s="68"/>
      <c r="AW1255" s="68"/>
      <c r="AX1255" s="68"/>
      <c r="AY1255" s="68"/>
      <c r="AZ1255" s="68"/>
      <c r="BA1255" s="68"/>
      <c r="BB1255" s="68"/>
      <c r="BC1255" s="68"/>
      <c r="BD1255" s="68"/>
      <c r="BE1255" s="68"/>
      <c r="BF1255" s="68"/>
      <c r="BG1255" s="68"/>
      <c r="BH1255" s="68"/>
      <c r="BI1255" s="68"/>
      <c r="BJ1255" s="68"/>
      <c r="BK1255" s="68"/>
      <c r="BL1255" s="68"/>
      <c r="BM1255" s="68"/>
      <c r="BN1255" s="68"/>
      <c r="BO1255" s="68"/>
      <c r="BP1255" s="68"/>
      <c r="BQ1255" s="68"/>
      <c r="BR1255" s="68"/>
      <c r="BS1255" s="68"/>
      <c r="BT1255" s="68"/>
      <c r="BU1255" s="68"/>
      <c r="BV1255" s="68"/>
      <c r="BW1255" s="68"/>
      <c r="BX1255" s="68"/>
      <c r="BY1255" s="68"/>
      <c r="BZ1255" s="68"/>
      <c r="CA1255" s="68"/>
      <c r="CB1255" s="68"/>
      <c r="CC1255" s="68"/>
      <c r="CD1255" s="68"/>
      <c r="CE1255" s="68"/>
      <c r="CF1255" s="68"/>
      <c r="CG1255" s="68"/>
      <c r="CH1255" s="68"/>
      <c r="CI1255" s="68"/>
      <c r="CJ1255" s="68"/>
      <c r="CK1255" s="68"/>
      <c r="CL1255" s="68"/>
      <c r="CM1255" s="68"/>
      <c r="CN1255" s="68"/>
      <c r="CO1255" s="68"/>
      <c r="CP1255" s="68"/>
      <c r="CQ1255" s="68"/>
      <c r="CR1255" s="68"/>
      <c r="CS1255" s="68"/>
      <c r="CT1255" s="68"/>
      <c r="CU1255" s="68"/>
      <c r="CV1255" s="68"/>
      <c r="CW1255" s="68"/>
      <c r="CX1255" s="68"/>
    </row>
    <row r="1256" spans="4:102" s="71" customFormat="1" hidden="1">
      <c r="D1256" s="69"/>
      <c r="E1256" s="68"/>
      <c r="F1256" s="68"/>
      <c r="G1256" s="68"/>
      <c r="H1256" s="68"/>
      <c r="I1256" s="68"/>
      <c r="J1256" s="68"/>
      <c r="K1256" s="73"/>
      <c r="L1256" s="68"/>
      <c r="M1256" s="68"/>
      <c r="N1256" s="68"/>
      <c r="O1256" s="68"/>
      <c r="P1256" s="65"/>
      <c r="Q1256" s="103"/>
      <c r="R1256" s="103"/>
      <c r="S1256" s="103"/>
      <c r="T1256" s="103"/>
      <c r="U1256" s="68"/>
      <c r="V1256" s="69"/>
      <c r="W1256" s="68"/>
      <c r="X1256" s="68"/>
      <c r="Y1256" s="68"/>
      <c r="Z1256" s="68"/>
      <c r="AA1256" s="68"/>
      <c r="AB1256" s="68"/>
      <c r="AC1256" s="68"/>
      <c r="AD1256" s="68"/>
      <c r="AE1256" s="68"/>
      <c r="AF1256" s="68"/>
      <c r="AG1256" s="68"/>
      <c r="AH1256" s="68"/>
      <c r="AI1256" s="68"/>
      <c r="AJ1256" s="68"/>
      <c r="AK1256" s="68"/>
      <c r="AL1256" s="68"/>
      <c r="AM1256" s="68"/>
      <c r="AN1256" s="68"/>
      <c r="AO1256" s="68"/>
      <c r="AP1256" s="68"/>
      <c r="AQ1256" s="68"/>
      <c r="AR1256" s="68"/>
      <c r="AS1256" s="68"/>
      <c r="AT1256" s="68"/>
      <c r="AU1256" s="68"/>
      <c r="AV1256" s="68"/>
      <c r="AW1256" s="68"/>
      <c r="AX1256" s="68"/>
      <c r="AY1256" s="68"/>
      <c r="AZ1256" s="68"/>
      <c r="BA1256" s="68"/>
      <c r="BB1256" s="68"/>
      <c r="BC1256" s="68"/>
      <c r="BD1256" s="68"/>
      <c r="BE1256" s="68"/>
      <c r="BF1256" s="68"/>
      <c r="BG1256" s="68"/>
      <c r="BH1256" s="68"/>
      <c r="BI1256" s="68"/>
      <c r="BJ1256" s="68"/>
      <c r="BK1256" s="68"/>
      <c r="BL1256" s="68"/>
      <c r="BM1256" s="68"/>
      <c r="BN1256" s="68"/>
      <c r="BO1256" s="68"/>
      <c r="BP1256" s="68"/>
      <c r="BQ1256" s="68"/>
      <c r="BR1256" s="68"/>
      <c r="BS1256" s="68"/>
      <c r="BT1256" s="68"/>
      <c r="BU1256" s="68"/>
      <c r="BV1256" s="68"/>
      <c r="BW1256" s="68"/>
      <c r="BX1256" s="68"/>
      <c r="BY1256" s="68"/>
      <c r="BZ1256" s="68"/>
      <c r="CA1256" s="68"/>
      <c r="CB1256" s="68"/>
      <c r="CC1256" s="68"/>
      <c r="CD1256" s="68"/>
      <c r="CE1256" s="68"/>
      <c r="CF1256" s="68"/>
      <c r="CG1256" s="68"/>
      <c r="CH1256" s="68"/>
      <c r="CI1256" s="68"/>
      <c r="CJ1256" s="68"/>
      <c r="CK1256" s="68"/>
      <c r="CL1256" s="68"/>
      <c r="CM1256" s="68"/>
      <c r="CN1256" s="68"/>
      <c r="CO1256" s="68"/>
      <c r="CP1256" s="68"/>
      <c r="CQ1256" s="68"/>
      <c r="CR1256" s="68"/>
      <c r="CS1256" s="68"/>
      <c r="CT1256" s="68"/>
      <c r="CU1256" s="68"/>
      <c r="CV1256" s="68"/>
      <c r="CW1256" s="68"/>
      <c r="CX1256" s="68"/>
    </row>
    <row r="1257" spans="4:102" s="71" customFormat="1" hidden="1">
      <c r="D1257" s="69"/>
      <c r="E1257" s="68"/>
      <c r="F1257" s="68"/>
      <c r="G1257" s="68"/>
      <c r="H1257" s="68"/>
      <c r="I1257" s="68"/>
      <c r="J1257" s="68"/>
      <c r="K1257" s="73"/>
      <c r="L1257" s="68"/>
      <c r="M1257" s="68"/>
      <c r="N1257" s="68"/>
      <c r="O1257" s="68"/>
      <c r="P1257" s="65"/>
      <c r="Q1257" s="103"/>
      <c r="R1257" s="103"/>
      <c r="S1257" s="103"/>
      <c r="T1257" s="103"/>
      <c r="U1257" s="68"/>
      <c r="V1257" s="69"/>
      <c r="W1257" s="68"/>
      <c r="X1257" s="68"/>
      <c r="Y1257" s="68"/>
      <c r="Z1257" s="68"/>
      <c r="AA1257" s="68"/>
      <c r="AB1257" s="68"/>
      <c r="AC1257" s="68"/>
      <c r="AD1257" s="68"/>
      <c r="AE1257" s="68"/>
      <c r="AF1257" s="68"/>
      <c r="AG1257" s="68"/>
      <c r="AH1257" s="68"/>
      <c r="AI1257" s="68"/>
      <c r="AJ1257" s="68"/>
      <c r="AK1257" s="68"/>
      <c r="AL1257" s="68"/>
      <c r="AM1257" s="68"/>
      <c r="AN1257" s="68"/>
      <c r="AO1257" s="68"/>
      <c r="AP1257" s="68"/>
      <c r="AQ1257" s="68"/>
      <c r="AR1257" s="68"/>
      <c r="AS1257" s="68"/>
      <c r="AT1257" s="68"/>
      <c r="AU1257" s="68"/>
      <c r="AV1257" s="68"/>
      <c r="AW1257" s="68"/>
      <c r="AX1257" s="68"/>
      <c r="AY1257" s="68"/>
      <c r="AZ1257" s="68"/>
      <c r="BA1257" s="68"/>
      <c r="BB1257" s="68"/>
      <c r="BC1257" s="68"/>
      <c r="BD1257" s="68"/>
      <c r="BE1257" s="68"/>
      <c r="BF1257" s="68"/>
      <c r="BG1257" s="68"/>
      <c r="BH1257" s="68"/>
      <c r="BI1257" s="68"/>
      <c r="BJ1257" s="68"/>
      <c r="BK1257" s="68"/>
      <c r="BL1257" s="68"/>
      <c r="BM1257" s="68"/>
      <c r="BN1257" s="68"/>
      <c r="BO1257" s="68"/>
      <c r="BP1257" s="68"/>
      <c r="BQ1257" s="68"/>
      <c r="BR1257" s="68"/>
      <c r="BS1257" s="68"/>
      <c r="BT1257" s="68"/>
      <c r="BU1257" s="68"/>
      <c r="BV1257" s="68"/>
      <c r="BW1257" s="68"/>
      <c r="BX1257" s="68"/>
      <c r="BY1257" s="68"/>
      <c r="BZ1257" s="68"/>
      <c r="CA1257" s="68"/>
      <c r="CB1257" s="68"/>
      <c r="CC1257" s="68"/>
      <c r="CD1257" s="68"/>
      <c r="CE1257" s="68"/>
      <c r="CF1257" s="68"/>
      <c r="CG1257" s="68"/>
      <c r="CH1257" s="68"/>
      <c r="CI1257" s="68"/>
      <c r="CJ1257" s="68"/>
      <c r="CK1257" s="68"/>
      <c r="CL1257" s="68"/>
      <c r="CM1257" s="68"/>
      <c r="CN1257" s="68"/>
      <c r="CO1257" s="68"/>
      <c r="CP1257" s="68"/>
      <c r="CQ1257" s="68"/>
      <c r="CR1257" s="68"/>
      <c r="CS1257" s="68"/>
      <c r="CT1257" s="68"/>
      <c r="CU1257" s="68"/>
      <c r="CV1257" s="68"/>
      <c r="CW1257" s="68"/>
      <c r="CX1257" s="68"/>
    </row>
    <row r="1258" spans="4:102" s="71" customFormat="1" hidden="1">
      <c r="D1258" s="69"/>
      <c r="E1258" s="68"/>
      <c r="F1258" s="68"/>
      <c r="G1258" s="68"/>
      <c r="H1258" s="68"/>
      <c r="I1258" s="68"/>
      <c r="J1258" s="68"/>
      <c r="K1258" s="73"/>
      <c r="L1258" s="68"/>
      <c r="M1258" s="68"/>
      <c r="N1258" s="68"/>
      <c r="O1258" s="68"/>
      <c r="P1258" s="65"/>
      <c r="Q1258" s="103"/>
      <c r="R1258" s="103"/>
      <c r="S1258" s="103"/>
      <c r="T1258" s="103"/>
      <c r="U1258" s="68"/>
      <c r="V1258" s="69"/>
      <c r="W1258" s="68"/>
      <c r="X1258" s="68"/>
      <c r="Y1258" s="68"/>
      <c r="Z1258" s="68"/>
      <c r="AA1258" s="68"/>
      <c r="AB1258" s="68"/>
      <c r="AC1258" s="68"/>
      <c r="AD1258" s="68"/>
      <c r="AE1258" s="68"/>
      <c r="AF1258" s="68"/>
      <c r="AG1258" s="68"/>
      <c r="AH1258" s="68"/>
      <c r="AI1258" s="68"/>
      <c r="AJ1258" s="68"/>
      <c r="AK1258" s="68"/>
      <c r="AL1258" s="68"/>
      <c r="AM1258" s="68"/>
      <c r="AN1258" s="68"/>
      <c r="AO1258" s="68"/>
      <c r="AP1258" s="68"/>
      <c r="AQ1258" s="68"/>
      <c r="AR1258" s="68"/>
      <c r="AS1258" s="68"/>
      <c r="AT1258" s="68"/>
      <c r="AU1258" s="68"/>
      <c r="AV1258" s="68"/>
      <c r="AW1258" s="68"/>
      <c r="AX1258" s="68"/>
      <c r="AY1258" s="68"/>
      <c r="AZ1258" s="68"/>
      <c r="BA1258" s="68"/>
      <c r="BB1258" s="68"/>
      <c r="BC1258" s="68"/>
      <c r="BD1258" s="68"/>
      <c r="BE1258" s="68"/>
      <c r="BF1258" s="68"/>
      <c r="BG1258" s="68"/>
      <c r="BH1258" s="68"/>
      <c r="BI1258" s="68"/>
      <c r="BJ1258" s="68"/>
      <c r="BK1258" s="68"/>
      <c r="BL1258" s="68"/>
      <c r="BM1258" s="68"/>
      <c r="BN1258" s="68"/>
      <c r="BO1258" s="68"/>
      <c r="BP1258" s="68"/>
      <c r="BQ1258" s="68"/>
      <c r="BR1258" s="68"/>
      <c r="BS1258" s="68"/>
      <c r="BT1258" s="68"/>
      <c r="BU1258" s="68"/>
      <c r="BV1258" s="68"/>
      <c r="BW1258" s="68"/>
      <c r="BX1258" s="68"/>
      <c r="BY1258" s="68"/>
      <c r="BZ1258" s="68"/>
      <c r="CA1258" s="68"/>
      <c r="CB1258" s="68"/>
      <c r="CC1258" s="68"/>
      <c r="CD1258" s="68"/>
      <c r="CE1258" s="68"/>
      <c r="CF1258" s="68"/>
      <c r="CG1258" s="68"/>
      <c r="CH1258" s="68"/>
      <c r="CI1258" s="68"/>
      <c r="CJ1258" s="68"/>
      <c r="CK1258" s="68"/>
      <c r="CL1258" s="68"/>
      <c r="CM1258" s="68"/>
      <c r="CN1258" s="68"/>
      <c r="CO1258" s="68"/>
      <c r="CP1258" s="68"/>
      <c r="CQ1258" s="68"/>
      <c r="CR1258" s="68"/>
      <c r="CS1258" s="68"/>
      <c r="CT1258" s="68"/>
      <c r="CU1258" s="68"/>
      <c r="CV1258" s="68"/>
      <c r="CW1258" s="68"/>
      <c r="CX1258" s="68"/>
    </row>
    <row r="1259" spans="4:102" s="71" customFormat="1" hidden="1">
      <c r="D1259" s="69"/>
      <c r="E1259" s="68"/>
      <c r="F1259" s="68"/>
      <c r="G1259" s="68"/>
      <c r="H1259" s="68"/>
      <c r="I1259" s="68"/>
      <c r="J1259" s="68"/>
      <c r="K1259" s="73"/>
      <c r="L1259" s="68"/>
      <c r="M1259" s="68"/>
      <c r="N1259" s="68"/>
      <c r="O1259" s="68"/>
      <c r="P1259" s="65"/>
      <c r="Q1259" s="103"/>
      <c r="R1259" s="103"/>
      <c r="S1259" s="103"/>
      <c r="T1259" s="103"/>
      <c r="U1259" s="68"/>
      <c r="V1259" s="69"/>
      <c r="W1259" s="68"/>
      <c r="X1259" s="68"/>
      <c r="Y1259" s="68"/>
      <c r="Z1259" s="68"/>
      <c r="AA1259" s="68"/>
      <c r="AB1259" s="68"/>
      <c r="AC1259" s="68"/>
      <c r="AD1259" s="68"/>
      <c r="AE1259" s="68"/>
      <c r="AF1259" s="68"/>
      <c r="AG1259" s="68"/>
      <c r="AH1259" s="68"/>
      <c r="AI1259" s="68"/>
      <c r="AJ1259" s="68"/>
      <c r="AK1259" s="68"/>
      <c r="AL1259" s="68"/>
      <c r="AM1259" s="68"/>
      <c r="AN1259" s="68"/>
      <c r="AO1259" s="68"/>
      <c r="AP1259" s="68"/>
      <c r="AQ1259" s="68"/>
      <c r="AR1259" s="68"/>
      <c r="AS1259" s="68"/>
      <c r="AT1259" s="68"/>
      <c r="AU1259" s="68"/>
      <c r="AV1259" s="68"/>
      <c r="AW1259" s="68"/>
      <c r="AX1259" s="68"/>
      <c r="AY1259" s="68"/>
      <c r="AZ1259" s="68"/>
      <c r="BA1259" s="68"/>
      <c r="BB1259" s="68"/>
      <c r="BC1259" s="68"/>
      <c r="BD1259" s="68"/>
      <c r="BE1259" s="68"/>
      <c r="BF1259" s="68"/>
      <c r="BG1259" s="68"/>
      <c r="BH1259" s="68"/>
      <c r="BI1259" s="68"/>
      <c r="BJ1259" s="68"/>
      <c r="BK1259" s="68"/>
      <c r="BL1259" s="68"/>
      <c r="BM1259" s="68"/>
      <c r="BN1259" s="68"/>
      <c r="BO1259" s="68"/>
      <c r="BP1259" s="68"/>
      <c r="BQ1259" s="68"/>
      <c r="BR1259" s="68"/>
      <c r="BS1259" s="68"/>
      <c r="BT1259" s="68"/>
      <c r="BU1259" s="68"/>
      <c r="BV1259" s="68"/>
      <c r="BW1259" s="68"/>
      <c r="BX1259" s="68"/>
      <c r="BY1259" s="68"/>
      <c r="BZ1259" s="68"/>
      <c r="CA1259" s="68"/>
      <c r="CB1259" s="68"/>
      <c r="CC1259" s="68"/>
      <c r="CD1259" s="68"/>
      <c r="CE1259" s="68"/>
      <c r="CF1259" s="68"/>
      <c r="CG1259" s="68"/>
      <c r="CH1259" s="68"/>
      <c r="CI1259" s="68"/>
      <c r="CJ1259" s="68"/>
      <c r="CK1259" s="68"/>
      <c r="CL1259" s="68"/>
      <c r="CM1259" s="68"/>
      <c r="CN1259" s="68"/>
      <c r="CO1259" s="68"/>
      <c r="CP1259" s="68"/>
      <c r="CQ1259" s="68"/>
      <c r="CR1259" s="68"/>
      <c r="CS1259" s="68"/>
      <c r="CT1259" s="68"/>
      <c r="CU1259" s="68"/>
      <c r="CV1259" s="68"/>
      <c r="CW1259" s="68"/>
      <c r="CX1259" s="68"/>
    </row>
    <row r="1260" spans="4:102" s="71" customFormat="1" hidden="1">
      <c r="D1260" s="69"/>
      <c r="E1260" s="68"/>
      <c r="F1260" s="68"/>
      <c r="G1260" s="68"/>
      <c r="H1260" s="68"/>
      <c r="I1260" s="68"/>
      <c r="J1260" s="68"/>
      <c r="K1260" s="73"/>
      <c r="L1260" s="68"/>
      <c r="M1260" s="68"/>
      <c r="N1260" s="68"/>
      <c r="O1260" s="68"/>
      <c r="P1260" s="65"/>
      <c r="Q1260" s="103"/>
      <c r="R1260" s="103"/>
      <c r="S1260" s="103"/>
      <c r="T1260" s="103"/>
      <c r="U1260" s="68"/>
      <c r="V1260" s="69"/>
      <c r="W1260" s="68"/>
      <c r="X1260" s="68"/>
      <c r="Y1260" s="68"/>
      <c r="Z1260" s="68"/>
      <c r="AA1260" s="68"/>
      <c r="AB1260" s="68"/>
      <c r="AC1260" s="68"/>
      <c r="AD1260" s="68"/>
      <c r="AE1260" s="68"/>
      <c r="AF1260" s="68"/>
      <c r="AG1260" s="68"/>
      <c r="AH1260" s="68"/>
      <c r="AI1260" s="68"/>
      <c r="AJ1260" s="68"/>
      <c r="AK1260" s="68"/>
      <c r="AL1260" s="68"/>
      <c r="AM1260" s="68"/>
      <c r="AN1260" s="68"/>
      <c r="AO1260" s="68"/>
      <c r="AP1260" s="68"/>
      <c r="AQ1260" s="68"/>
      <c r="AR1260" s="68"/>
      <c r="AS1260" s="68"/>
      <c r="AT1260" s="68"/>
      <c r="AU1260" s="68"/>
      <c r="AV1260" s="68"/>
      <c r="AW1260" s="68"/>
      <c r="AX1260" s="68"/>
      <c r="AY1260" s="68"/>
      <c r="AZ1260" s="68"/>
      <c r="BA1260" s="68"/>
      <c r="BB1260" s="68"/>
      <c r="BC1260" s="68"/>
      <c r="BD1260" s="68"/>
      <c r="BE1260" s="68"/>
      <c r="BF1260" s="68"/>
      <c r="BG1260" s="68"/>
      <c r="BH1260" s="68"/>
      <c r="BI1260" s="68"/>
      <c r="BJ1260" s="68"/>
      <c r="BK1260" s="68"/>
      <c r="BL1260" s="68"/>
      <c r="BM1260" s="68"/>
      <c r="BN1260" s="68"/>
      <c r="BO1260" s="68"/>
      <c r="BP1260" s="68"/>
      <c r="BQ1260" s="68"/>
      <c r="BR1260" s="68"/>
      <c r="BS1260" s="68"/>
      <c r="BT1260" s="68"/>
      <c r="BU1260" s="68"/>
      <c r="BV1260" s="68"/>
      <c r="BW1260" s="68"/>
      <c r="BX1260" s="68"/>
      <c r="BY1260" s="68"/>
      <c r="BZ1260" s="68"/>
      <c r="CA1260" s="68"/>
      <c r="CB1260" s="68"/>
      <c r="CC1260" s="68"/>
      <c r="CD1260" s="68"/>
      <c r="CE1260" s="68"/>
      <c r="CF1260" s="68"/>
      <c r="CG1260" s="68"/>
      <c r="CH1260" s="68"/>
      <c r="CI1260" s="68"/>
      <c r="CJ1260" s="68"/>
      <c r="CK1260" s="68"/>
      <c r="CL1260" s="68"/>
      <c r="CM1260" s="68"/>
      <c r="CN1260" s="68"/>
      <c r="CO1260" s="68"/>
      <c r="CP1260" s="68"/>
      <c r="CQ1260" s="68"/>
      <c r="CR1260" s="68"/>
      <c r="CS1260" s="68"/>
      <c r="CT1260" s="68"/>
      <c r="CU1260" s="68"/>
      <c r="CV1260" s="68"/>
      <c r="CW1260" s="68"/>
      <c r="CX1260" s="68"/>
    </row>
    <row r="1261" spans="4:102" s="71" customFormat="1" hidden="1">
      <c r="D1261" s="69"/>
      <c r="E1261" s="68"/>
      <c r="F1261" s="68"/>
      <c r="G1261" s="68"/>
      <c r="H1261" s="68"/>
      <c r="I1261" s="68"/>
      <c r="J1261" s="68"/>
      <c r="K1261" s="73"/>
      <c r="L1261" s="68"/>
      <c r="M1261" s="68"/>
      <c r="N1261" s="68"/>
      <c r="O1261" s="68"/>
      <c r="P1261" s="65"/>
      <c r="Q1261" s="103"/>
      <c r="R1261" s="103"/>
      <c r="S1261" s="103"/>
      <c r="T1261" s="103"/>
      <c r="U1261" s="68"/>
      <c r="V1261" s="69"/>
      <c r="W1261" s="68"/>
      <c r="X1261" s="68"/>
      <c r="Y1261" s="68"/>
      <c r="Z1261" s="68"/>
      <c r="AA1261" s="68"/>
      <c r="AB1261" s="68"/>
      <c r="AC1261" s="68"/>
      <c r="AD1261" s="68"/>
      <c r="AE1261" s="68"/>
      <c r="AF1261" s="68"/>
      <c r="AG1261" s="68"/>
      <c r="AH1261" s="68"/>
      <c r="AI1261" s="68"/>
      <c r="AJ1261" s="68"/>
      <c r="AK1261" s="68"/>
      <c r="AL1261" s="68"/>
      <c r="AM1261" s="68"/>
      <c r="AN1261" s="68"/>
      <c r="AO1261" s="68"/>
      <c r="AP1261" s="68"/>
      <c r="AQ1261" s="68"/>
      <c r="AR1261" s="68"/>
      <c r="AS1261" s="68"/>
      <c r="AT1261" s="68"/>
      <c r="AU1261" s="68"/>
      <c r="AV1261" s="68"/>
      <c r="AW1261" s="68"/>
      <c r="AX1261" s="68"/>
      <c r="AY1261" s="68"/>
      <c r="AZ1261" s="68"/>
      <c r="BA1261" s="68"/>
      <c r="BB1261" s="68"/>
      <c r="BC1261" s="68"/>
      <c r="BD1261" s="68"/>
      <c r="BE1261" s="68"/>
      <c r="BF1261" s="68"/>
      <c r="BG1261" s="68"/>
      <c r="BH1261" s="68"/>
      <c r="BI1261" s="68"/>
      <c r="BJ1261" s="68"/>
      <c r="BK1261" s="68"/>
      <c r="BL1261" s="68"/>
      <c r="BM1261" s="68"/>
      <c r="BN1261" s="68"/>
      <c r="BO1261" s="68"/>
      <c r="BP1261" s="68"/>
      <c r="BQ1261" s="68"/>
      <c r="BR1261" s="68"/>
      <c r="BS1261" s="68"/>
      <c r="BT1261" s="68"/>
      <c r="BU1261" s="68"/>
      <c r="BV1261" s="68"/>
      <c r="BW1261" s="68"/>
      <c r="BX1261" s="68"/>
      <c r="BY1261" s="68"/>
      <c r="BZ1261" s="68"/>
      <c r="CA1261" s="68"/>
      <c r="CB1261" s="68"/>
      <c r="CC1261" s="68"/>
      <c r="CD1261" s="68"/>
      <c r="CE1261" s="68"/>
      <c r="CF1261" s="68"/>
      <c r="CG1261" s="68"/>
      <c r="CH1261" s="68"/>
      <c r="CI1261" s="68"/>
      <c r="CJ1261" s="68"/>
      <c r="CK1261" s="68"/>
      <c r="CL1261" s="68"/>
      <c r="CM1261" s="68"/>
      <c r="CN1261" s="68"/>
      <c r="CO1261" s="68"/>
      <c r="CP1261" s="68"/>
      <c r="CQ1261" s="68"/>
      <c r="CR1261" s="68"/>
      <c r="CS1261" s="68"/>
      <c r="CT1261" s="68"/>
      <c r="CU1261" s="68"/>
      <c r="CV1261" s="68"/>
      <c r="CW1261" s="68"/>
      <c r="CX1261" s="68"/>
    </row>
    <row r="1262" spans="4:102" s="71" customFormat="1" hidden="1">
      <c r="D1262" s="69"/>
      <c r="E1262" s="68"/>
      <c r="F1262" s="68"/>
      <c r="G1262" s="68"/>
      <c r="H1262" s="68"/>
      <c r="I1262" s="68"/>
      <c r="J1262" s="68"/>
      <c r="K1262" s="73"/>
      <c r="L1262" s="68"/>
      <c r="M1262" s="68"/>
      <c r="N1262" s="68"/>
      <c r="O1262" s="68"/>
      <c r="P1262" s="65"/>
      <c r="Q1262" s="103"/>
      <c r="R1262" s="103"/>
      <c r="S1262" s="103"/>
      <c r="T1262" s="103"/>
      <c r="U1262" s="68"/>
      <c r="V1262" s="69"/>
      <c r="W1262" s="68"/>
      <c r="X1262" s="68"/>
      <c r="Y1262" s="68"/>
      <c r="Z1262" s="68"/>
      <c r="AA1262" s="68"/>
      <c r="AB1262" s="68"/>
      <c r="AC1262" s="68"/>
      <c r="AD1262" s="68"/>
      <c r="AE1262" s="68"/>
      <c r="AF1262" s="68"/>
      <c r="AG1262" s="68"/>
      <c r="AH1262" s="68"/>
      <c r="AI1262" s="68"/>
      <c r="AJ1262" s="68"/>
      <c r="AK1262" s="68"/>
      <c r="AL1262" s="68"/>
      <c r="AM1262" s="68"/>
      <c r="AN1262" s="68"/>
      <c r="AO1262" s="68"/>
      <c r="AP1262" s="68"/>
      <c r="AQ1262" s="68"/>
      <c r="AR1262" s="68"/>
      <c r="AS1262" s="68"/>
      <c r="AT1262" s="68"/>
      <c r="AU1262" s="68"/>
      <c r="AV1262" s="68"/>
      <c r="AW1262" s="68"/>
      <c r="AX1262" s="68"/>
      <c r="AY1262" s="68"/>
      <c r="AZ1262" s="68"/>
      <c r="BA1262" s="68"/>
      <c r="BB1262" s="68"/>
      <c r="BC1262" s="68"/>
      <c r="BD1262" s="68"/>
      <c r="BE1262" s="68"/>
      <c r="BF1262" s="68"/>
      <c r="BG1262" s="68"/>
      <c r="BH1262" s="68"/>
      <c r="BI1262" s="68"/>
      <c r="BJ1262" s="68"/>
      <c r="BK1262" s="68"/>
      <c r="BL1262" s="68"/>
      <c r="BM1262" s="68"/>
      <c r="BN1262" s="68"/>
      <c r="BO1262" s="68"/>
      <c r="BP1262" s="68"/>
      <c r="BQ1262" s="68"/>
      <c r="BR1262" s="68"/>
      <c r="BS1262" s="68"/>
      <c r="BT1262" s="68"/>
      <c r="BU1262" s="68"/>
      <c r="BV1262" s="68"/>
      <c r="BW1262" s="68"/>
      <c r="BX1262" s="68"/>
      <c r="BY1262" s="68"/>
      <c r="BZ1262" s="68"/>
      <c r="CA1262" s="68"/>
      <c r="CB1262" s="68"/>
      <c r="CC1262" s="68"/>
      <c r="CD1262" s="68"/>
      <c r="CE1262" s="68"/>
      <c r="CF1262" s="68"/>
      <c r="CG1262" s="68"/>
      <c r="CH1262" s="68"/>
      <c r="CI1262" s="68"/>
      <c r="CJ1262" s="68"/>
      <c r="CK1262" s="68"/>
      <c r="CL1262" s="68"/>
      <c r="CM1262" s="68"/>
      <c r="CN1262" s="68"/>
      <c r="CO1262" s="68"/>
      <c r="CP1262" s="68"/>
      <c r="CQ1262" s="68"/>
      <c r="CR1262" s="68"/>
      <c r="CS1262" s="68"/>
      <c r="CT1262" s="68"/>
      <c r="CU1262" s="68"/>
      <c r="CV1262" s="68"/>
      <c r="CW1262" s="68"/>
      <c r="CX1262" s="68"/>
    </row>
    <row r="1263" spans="4:102" s="71" customFormat="1" hidden="1">
      <c r="D1263" s="69"/>
      <c r="E1263" s="68"/>
      <c r="F1263" s="68"/>
      <c r="G1263" s="68"/>
      <c r="H1263" s="68"/>
      <c r="I1263" s="68"/>
      <c r="J1263" s="68"/>
      <c r="K1263" s="73"/>
      <c r="L1263" s="68"/>
      <c r="M1263" s="68"/>
      <c r="N1263" s="68"/>
      <c r="O1263" s="68"/>
      <c r="P1263" s="65"/>
      <c r="Q1263" s="103"/>
      <c r="R1263" s="103"/>
      <c r="S1263" s="103"/>
      <c r="T1263" s="103"/>
      <c r="U1263" s="68"/>
      <c r="V1263" s="69"/>
      <c r="W1263" s="68"/>
      <c r="X1263" s="68"/>
      <c r="Y1263" s="68"/>
      <c r="Z1263" s="68"/>
      <c r="AA1263" s="68"/>
      <c r="AB1263" s="68"/>
      <c r="AC1263" s="68"/>
      <c r="AD1263" s="68"/>
      <c r="AE1263" s="68"/>
      <c r="AF1263" s="68"/>
      <c r="AG1263" s="68"/>
      <c r="AH1263" s="68"/>
      <c r="AI1263" s="68"/>
      <c r="AJ1263" s="68"/>
      <c r="AK1263" s="68"/>
      <c r="AL1263" s="68"/>
      <c r="AM1263" s="68"/>
      <c r="AN1263" s="68"/>
      <c r="AO1263" s="68"/>
      <c r="AP1263" s="68"/>
      <c r="AQ1263" s="68"/>
      <c r="AR1263" s="68"/>
      <c r="AS1263" s="68"/>
      <c r="AT1263" s="68"/>
      <c r="AU1263" s="68"/>
      <c r="AV1263" s="68"/>
      <c r="AW1263" s="68"/>
      <c r="AX1263" s="68"/>
      <c r="AY1263" s="68"/>
      <c r="AZ1263" s="68"/>
      <c r="BA1263" s="68"/>
      <c r="BB1263" s="68"/>
      <c r="BC1263" s="68"/>
      <c r="BD1263" s="68"/>
      <c r="BE1263" s="68"/>
      <c r="BF1263" s="68"/>
      <c r="BG1263" s="68"/>
      <c r="BH1263" s="68"/>
      <c r="BI1263" s="68"/>
      <c r="BJ1263" s="68"/>
      <c r="BK1263" s="68"/>
      <c r="BL1263" s="68"/>
      <c r="BM1263" s="68"/>
      <c r="BN1263" s="68"/>
      <c r="BO1263" s="68"/>
      <c r="BP1263" s="68"/>
      <c r="BQ1263" s="68"/>
      <c r="BR1263" s="68"/>
      <c r="BS1263" s="68"/>
      <c r="BT1263" s="68"/>
      <c r="BU1263" s="68"/>
      <c r="BV1263" s="68"/>
      <c r="BW1263" s="68"/>
      <c r="BX1263" s="68"/>
      <c r="BY1263" s="68"/>
      <c r="BZ1263" s="68"/>
      <c r="CA1263" s="68"/>
      <c r="CB1263" s="68"/>
      <c r="CC1263" s="68"/>
      <c r="CD1263" s="68"/>
      <c r="CE1263" s="68"/>
      <c r="CF1263" s="68"/>
      <c r="CG1263" s="68"/>
      <c r="CH1263" s="68"/>
      <c r="CI1263" s="68"/>
      <c r="CJ1263" s="68"/>
      <c r="CK1263" s="68"/>
      <c r="CL1263" s="68"/>
      <c r="CM1263" s="68"/>
      <c r="CN1263" s="68"/>
      <c r="CO1263" s="68"/>
      <c r="CP1263" s="68"/>
      <c r="CQ1263" s="68"/>
      <c r="CR1263" s="68"/>
      <c r="CS1263" s="68"/>
      <c r="CT1263" s="68"/>
      <c r="CU1263" s="68"/>
      <c r="CV1263" s="68"/>
      <c r="CW1263" s="68"/>
      <c r="CX1263" s="68"/>
    </row>
    <row r="1264" spans="4:102" s="71" customFormat="1" hidden="1">
      <c r="D1264" s="69"/>
      <c r="E1264" s="68"/>
      <c r="F1264" s="68"/>
      <c r="G1264" s="68"/>
      <c r="H1264" s="68"/>
      <c r="I1264" s="68"/>
      <c r="J1264" s="68"/>
      <c r="K1264" s="73"/>
      <c r="L1264" s="68"/>
      <c r="M1264" s="68"/>
      <c r="N1264" s="68"/>
      <c r="O1264" s="68"/>
      <c r="P1264" s="65"/>
      <c r="Q1264" s="103"/>
      <c r="R1264" s="103"/>
      <c r="S1264" s="103"/>
      <c r="T1264" s="103"/>
      <c r="U1264" s="68"/>
      <c r="V1264" s="69"/>
      <c r="W1264" s="68"/>
      <c r="X1264" s="68"/>
      <c r="Y1264" s="68"/>
      <c r="Z1264" s="68"/>
      <c r="AA1264" s="68"/>
      <c r="AB1264" s="68"/>
      <c r="AC1264" s="68"/>
      <c r="AD1264" s="68"/>
      <c r="AE1264" s="68"/>
      <c r="AF1264" s="68"/>
      <c r="AG1264" s="68"/>
      <c r="AH1264" s="68"/>
      <c r="AI1264" s="68"/>
      <c r="AJ1264" s="68"/>
      <c r="AK1264" s="68"/>
      <c r="AL1264" s="68"/>
      <c r="AM1264" s="68"/>
      <c r="AN1264" s="68"/>
      <c r="AO1264" s="68"/>
      <c r="AP1264" s="68"/>
      <c r="AQ1264" s="68"/>
      <c r="AR1264" s="68"/>
      <c r="AS1264" s="68"/>
      <c r="AT1264" s="68"/>
      <c r="AU1264" s="68"/>
      <c r="AV1264" s="68"/>
      <c r="AW1264" s="68"/>
      <c r="AX1264" s="68"/>
      <c r="AY1264" s="68"/>
      <c r="AZ1264" s="68"/>
      <c r="BA1264" s="68"/>
      <c r="BB1264" s="68"/>
      <c r="BC1264" s="68"/>
      <c r="BD1264" s="68"/>
      <c r="BE1264" s="68"/>
      <c r="BF1264" s="68"/>
      <c r="BG1264" s="68"/>
      <c r="BH1264" s="68"/>
      <c r="BI1264" s="68"/>
      <c r="BJ1264" s="68"/>
      <c r="BK1264" s="68"/>
      <c r="BL1264" s="68"/>
      <c r="BM1264" s="68"/>
      <c r="BN1264" s="68"/>
      <c r="BO1264" s="68"/>
      <c r="BP1264" s="68"/>
      <c r="BQ1264" s="68"/>
      <c r="BR1264" s="68"/>
      <c r="BS1264" s="68"/>
      <c r="BT1264" s="68"/>
      <c r="BU1264" s="68"/>
      <c r="BV1264" s="68"/>
      <c r="BW1264" s="68"/>
      <c r="BX1264" s="68"/>
      <c r="BY1264" s="68"/>
      <c r="BZ1264" s="68"/>
      <c r="CA1264" s="68"/>
      <c r="CB1264" s="68"/>
      <c r="CC1264" s="68"/>
      <c r="CD1264" s="68"/>
      <c r="CE1264" s="68"/>
      <c r="CF1264" s="68"/>
      <c r="CG1264" s="68"/>
      <c r="CH1264" s="68"/>
      <c r="CI1264" s="68"/>
      <c r="CJ1264" s="68"/>
      <c r="CK1264" s="68"/>
      <c r="CL1264" s="68"/>
      <c r="CM1264" s="68"/>
      <c r="CN1264" s="68"/>
      <c r="CO1264" s="68"/>
      <c r="CP1264" s="68"/>
      <c r="CQ1264" s="68"/>
      <c r="CR1264" s="68"/>
      <c r="CS1264" s="68"/>
      <c r="CT1264" s="68"/>
      <c r="CU1264" s="68"/>
      <c r="CV1264" s="68"/>
      <c r="CW1264" s="68"/>
      <c r="CX1264" s="68"/>
    </row>
    <row r="1265" spans="4:102" s="71" customFormat="1" hidden="1">
      <c r="D1265" s="69"/>
      <c r="E1265" s="68"/>
      <c r="F1265" s="68"/>
      <c r="G1265" s="68"/>
      <c r="H1265" s="68"/>
      <c r="I1265" s="68"/>
      <c r="J1265" s="68"/>
      <c r="K1265" s="73"/>
      <c r="L1265" s="68"/>
      <c r="M1265" s="68"/>
      <c r="N1265" s="68"/>
      <c r="O1265" s="68"/>
      <c r="P1265" s="65"/>
      <c r="Q1265" s="103"/>
      <c r="R1265" s="103"/>
      <c r="S1265" s="103"/>
      <c r="T1265" s="103"/>
      <c r="U1265" s="68"/>
      <c r="V1265" s="69"/>
      <c r="W1265" s="68"/>
      <c r="X1265" s="68"/>
      <c r="Y1265" s="68"/>
      <c r="Z1265" s="68"/>
      <c r="AA1265" s="68"/>
      <c r="AB1265" s="68"/>
      <c r="AC1265" s="68"/>
      <c r="AD1265" s="68"/>
      <c r="AE1265" s="68"/>
      <c r="AF1265" s="68"/>
      <c r="AG1265" s="68"/>
      <c r="AH1265" s="68"/>
      <c r="AI1265" s="68"/>
      <c r="AJ1265" s="68"/>
      <c r="AK1265" s="68"/>
      <c r="AL1265" s="68"/>
      <c r="AM1265" s="68"/>
      <c r="AN1265" s="68"/>
      <c r="AO1265" s="68"/>
      <c r="AP1265" s="68"/>
      <c r="AQ1265" s="68"/>
      <c r="AR1265" s="68"/>
      <c r="AS1265" s="68"/>
      <c r="AT1265" s="68"/>
      <c r="AU1265" s="68"/>
      <c r="AV1265" s="68"/>
      <c r="AW1265" s="68"/>
      <c r="AX1265" s="68"/>
      <c r="AY1265" s="68"/>
      <c r="AZ1265" s="68"/>
      <c r="BA1265" s="68"/>
      <c r="BB1265" s="68"/>
      <c r="BC1265" s="68"/>
      <c r="BD1265" s="68"/>
      <c r="BE1265" s="68"/>
      <c r="BF1265" s="68"/>
      <c r="BG1265" s="68"/>
      <c r="BH1265" s="68"/>
      <c r="BI1265" s="68"/>
      <c r="BJ1265" s="68"/>
      <c r="BK1265" s="68"/>
      <c r="BL1265" s="68"/>
      <c r="BM1265" s="68"/>
      <c r="BN1265" s="68"/>
      <c r="BO1265" s="68"/>
      <c r="BP1265" s="68"/>
      <c r="BQ1265" s="68"/>
      <c r="BR1265" s="68"/>
      <c r="BS1265" s="68"/>
      <c r="BT1265" s="68"/>
      <c r="BU1265" s="68"/>
      <c r="BV1265" s="68"/>
      <c r="BW1265" s="68"/>
      <c r="BX1265" s="68"/>
      <c r="BY1265" s="68"/>
      <c r="BZ1265" s="68"/>
      <c r="CA1265" s="68"/>
      <c r="CB1265" s="68"/>
      <c r="CC1265" s="68"/>
      <c r="CD1265" s="68"/>
      <c r="CE1265" s="68"/>
      <c r="CF1265" s="68"/>
      <c r="CG1265" s="68"/>
      <c r="CH1265" s="68"/>
      <c r="CI1265" s="68"/>
      <c r="CJ1265" s="68"/>
      <c r="CK1265" s="68"/>
      <c r="CL1265" s="68"/>
      <c r="CM1265" s="68"/>
      <c r="CN1265" s="68"/>
      <c r="CO1265" s="68"/>
      <c r="CP1265" s="68"/>
      <c r="CQ1265" s="68"/>
      <c r="CR1265" s="68"/>
      <c r="CS1265" s="68"/>
      <c r="CT1265" s="68"/>
      <c r="CU1265" s="68"/>
      <c r="CV1265" s="68"/>
      <c r="CW1265" s="68"/>
      <c r="CX1265" s="68"/>
    </row>
    <row r="1266" spans="4:102" s="71" customFormat="1" hidden="1">
      <c r="D1266" s="69"/>
      <c r="E1266" s="68"/>
      <c r="F1266" s="68"/>
      <c r="G1266" s="68"/>
      <c r="H1266" s="68"/>
      <c r="I1266" s="68"/>
      <c r="J1266" s="68"/>
      <c r="K1266" s="73"/>
      <c r="L1266" s="68"/>
      <c r="M1266" s="68"/>
      <c r="N1266" s="68"/>
      <c r="O1266" s="68"/>
      <c r="P1266" s="65"/>
      <c r="Q1266" s="103"/>
      <c r="R1266" s="103"/>
      <c r="S1266" s="103"/>
      <c r="T1266" s="103"/>
      <c r="U1266" s="68"/>
      <c r="V1266" s="69"/>
      <c r="W1266" s="68"/>
      <c r="X1266" s="68"/>
      <c r="Y1266" s="68"/>
      <c r="Z1266" s="68"/>
      <c r="AA1266" s="68"/>
      <c r="AB1266" s="68"/>
      <c r="AC1266" s="68"/>
      <c r="AD1266" s="68"/>
      <c r="AE1266" s="68"/>
      <c r="AF1266" s="68"/>
      <c r="AG1266" s="68"/>
      <c r="AH1266" s="68"/>
      <c r="AI1266" s="68"/>
      <c r="AJ1266" s="68"/>
      <c r="AK1266" s="68"/>
      <c r="AL1266" s="68"/>
      <c r="AM1266" s="68"/>
      <c r="AN1266" s="68"/>
      <c r="AO1266" s="68"/>
      <c r="AP1266" s="68"/>
      <c r="AQ1266" s="68"/>
      <c r="AR1266" s="68"/>
      <c r="AS1266" s="68"/>
      <c r="AT1266" s="68"/>
      <c r="AU1266" s="68"/>
      <c r="AV1266" s="68"/>
      <c r="AW1266" s="68"/>
      <c r="AX1266" s="68"/>
      <c r="AY1266" s="68"/>
      <c r="AZ1266" s="68"/>
      <c r="BA1266" s="68"/>
      <c r="BB1266" s="68"/>
      <c r="BC1266" s="68"/>
      <c r="BD1266" s="68"/>
      <c r="BE1266" s="68"/>
      <c r="BF1266" s="68"/>
      <c r="BG1266" s="68"/>
      <c r="BH1266" s="68"/>
      <c r="BI1266" s="68"/>
      <c r="BJ1266" s="68"/>
      <c r="BK1266" s="68"/>
      <c r="BL1266" s="68"/>
      <c r="BM1266" s="68"/>
      <c r="BN1266" s="68"/>
      <c r="BO1266" s="68"/>
      <c r="BP1266" s="68"/>
      <c r="BQ1266" s="68"/>
      <c r="BR1266" s="68"/>
      <c r="BS1266" s="68"/>
      <c r="BT1266" s="68"/>
      <c r="BU1266" s="68"/>
      <c r="BV1266" s="68"/>
      <c r="BW1266" s="68"/>
      <c r="BX1266" s="68"/>
      <c r="BY1266" s="68"/>
      <c r="BZ1266" s="68"/>
      <c r="CA1266" s="68"/>
      <c r="CB1266" s="68"/>
      <c r="CC1266" s="68"/>
      <c r="CD1266" s="68"/>
      <c r="CE1266" s="68"/>
      <c r="CF1266" s="68"/>
      <c r="CG1266" s="68"/>
      <c r="CH1266" s="68"/>
      <c r="CI1266" s="68"/>
      <c r="CJ1266" s="68"/>
      <c r="CK1266" s="68"/>
      <c r="CL1266" s="68"/>
      <c r="CM1266" s="68"/>
      <c r="CN1266" s="68"/>
      <c r="CO1266" s="68"/>
      <c r="CP1266" s="68"/>
      <c r="CQ1266" s="68"/>
      <c r="CR1266" s="68"/>
      <c r="CS1266" s="68"/>
      <c r="CT1266" s="68"/>
      <c r="CU1266" s="68"/>
      <c r="CV1266" s="68"/>
      <c r="CW1266" s="68"/>
      <c r="CX1266" s="68"/>
    </row>
    <row r="1267" spans="4:102" s="71" customFormat="1" hidden="1">
      <c r="D1267" s="69"/>
      <c r="E1267" s="68"/>
      <c r="F1267" s="68"/>
      <c r="G1267" s="68"/>
      <c r="H1267" s="68"/>
      <c r="I1267" s="68"/>
      <c r="J1267" s="68"/>
      <c r="K1267" s="73"/>
      <c r="L1267" s="68"/>
      <c r="M1267" s="68"/>
      <c r="N1267" s="68"/>
      <c r="O1267" s="68"/>
      <c r="P1267" s="65"/>
      <c r="Q1267" s="103"/>
      <c r="R1267" s="103"/>
      <c r="S1267" s="103"/>
      <c r="T1267" s="103"/>
      <c r="U1267" s="68"/>
      <c r="V1267" s="69"/>
      <c r="W1267" s="68"/>
      <c r="X1267" s="68"/>
      <c r="Y1267" s="68"/>
      <c r="Z1267" s="68"/>
      <c r="AA1267" s="68"/>
      <c r="AB1267" s="68"/>
      <c r="AC1267" s="68"/>
      <c r="AD1267" s="68"/>
      <c r="AE1267" s="68"/>
      <c r="AF1267" s="68"/>
      <c r="AG1267" s="68"/>
      <c r="AH1267" s="68"/>
      <c r="AI1267" s="68"/>
      <c r="AJ1267" s="68"/>
      <c r="AK1267" s="68"/>
      <c r="AL1267" s="68"/>
      <c r="AM1267" s="68"/>
      <c r="AN1267" s="68"/>
      <c r="AO1267" s="68"/>
      <c r="AP1267" s="68"/>
      <c r="AQ1267" s="68"/>
      <c r="AR1267" s="68"/>
      <c r="AS1267" s="68"/>
      <c r="AT1267" s="68"/>
      <c r="AU1267" s="68"/>
      <c r="AV1267" s="68"/>
      <c r="AW1267" s="68"/>
      <c r="AX1267" s="68"/>
      <c r="AY1267" s="68"/>
      <c r="AZ1267" s="68"/>
      <c r="BA1267" s="68"/>
      <c r="BB1267" s="68"/>
      <c r="BC1267" s="68"/>
      <c r="BD1267" s="68"/>
      <c r="BE1267" s="68"/>
      <c r="BF1267" s="68"/>
      <c r="BG1267" s="68"/>
      <c r="BH1267" s="68"/>
      <c r="BI1267" s="68"/>
      <c r="BJ1267" s="68"/>
      <c r="BK1267" s="68"/>
      <c r="BL1267" s="68"/>
      <c r="BM1267" s="68"/>
      <c r="BN1267" s="68"/>
      <c r="BO1267" s="68"/>
      <c r="BP1267" s="68"/>
      <c r="BQ1267" s="68"/>
      <c r="BR1267" s="68"/>
      <c r="BS1267" s="68"/>
      <c r="BT1267" s="68"/>
      <c r="BU1267" s="68"/>
      <c r="BV1267" s="68"/>
      <c r="BW1267" s="68"/>
      <c r="BX1267" s="68"/>
      <c r="BY1267" s="68"/>
      <c r="BZ1267" s="68"/>
      <c r="CA1267" s="68"/>
      <c r="CB1267" s="68"/>
      <c r="CC1267" s="68"/>
      <c r="CD1267" s="68"/>
      <c r="CE1267" s="68"/>
      <c r="CF1267" s="68"/>
      <c r="CG1267" s="68"/>
      <c r="CH1267" s="68"/>
      <c r="CI1267" s="68"/>
      <c r="CJ1267" s="68"/>
      <c r="CK1267" s="68"/>
      <c r="CL1267" s="68"/>
      <c r="CM1267" s="68"/>
      <c r="CN1267" s="68"/>
      <c r="CO1267" s="68"/>
      <c r="CP1267" s="68"/>
      <c r="CQ1267" s="68"/>
      <c r="CR1267" s="68"/>
      <c r="CS1267" s="68"/>
      <c r="CT1267" s="68"/>
      <c r="CU1267" s="68"/>
      <c r="CV1267" s="68"/>
      <c r="CW1267" s="68"/>
      <c r="CX1267" s="68"/>
    </row>
    <row r="1268" spans="4:102" s="71" customFormat="1" hidden="1">
      <c r="D1268" s="69"/>
      <c r="E1268" s="68"/>
      <c r="F1268" s="68"/>
      <c r="G1268" s="68"/>
      <c r="H1268" s="68"/>
      <c r="I1268" s="68"/>
      <c r="J1268" s="68"/>
      <c r="K1268" s="73"/>
      <c r="L1268" s="68"/>
      <c r="M1268" s="68"/>
      <c r="N1268" s="68"/>
      <c r="O1268" s="68"/>
      <c r="P1268" s="65"/>
      <c r="Q1268" s="103"/>
      <c r="R1268" s="103"/>
      <c r="S1268" s="103"/>
      <c r="T1268" s="103"/>
      <c r="U1268" s="68"/>
      <c r="V1268" s="69"/>
      <c r="W1268" s="68"/>
      <c r="X1268" s="68"/>
      <c r="Y1268" s="68"/>
      <c r="Z1268" s="68"/>
      <c r="AA1268" s="68"/>
      <c r="AB1268" s="68"/>
      <c r="AC1268" s="68"/>
      <c r="AD1268" s="68"/>
      <c r="AE1268" s="68"/>
      <c r="AF1268" s="68"/>
      <c r="AG1268" s="68"/>
      <c r="AH1268" s="68"/>
      <c r="AI1268" s="68"/>
      <c r="AJ1268" s="68"/>
      <c r="AK1268" s="68"/>
      <c r="AL1268" s="68"/>
      <c r="AM1268" s="68"/>
      <c r="AN1268" s="68"/>
      <c r="AO1268" s="68"/>
      <c r="AP1268" s="68"/>
      <c r="AQ1268" s="68"/>
      <c r="AR1268" s="68"/>
      <c r="AS1268" s="68"/>
      <c r="AT1268" s="68"/>
      <c r="AU1268" s="68"/>
      <c r="AV1268" s="68"/>
      <c r="AW1268" s="68"/>
      <c r="AX1268" s="68"/>
      <c r="AY1268" s="68"/>
      <c r="AZ1268" s="68"/>
      <c r="BA1268" s="68"/>
      <c r="BB1268" s="68"/>
      <c r="BC1268" s="68"/>
      <c r="BD1268" s="68"/>
      <c r="BE1268" s="68"/>
      <c r="BF1268" s="68"/>
      <c r="BG1268" s="68"/>
      <c r="BH1268" s="68"/>
      <c r="BI1268" s="68"/>
      <c r="BJ1268" s="68"/>
      <c r="BK1268" s="68"/>
      <c r="BL1268" s="68"/>
      <c r="BM1268" s="68"/>
      <c r="BN1268" s="68"/>
      <c r="BO1268" s="68"/>
      <c r="BP1268" s="68"/>
      <c r="BQ1268" s="68"/>
      <c r="BR1268" s="68"/>
      <c r="BS1268" s="68"/>
      <c r="BT1268" s="68"/>
      <c r="BU1268" s="68"/>
      <c r="BV1268" s="68"/>
      <c r="BW1268" s="68"/>
      <c r="BX1268" s="68"/>
      <c r="BY1268" s="68"/>
      <c r="BZ1268" s="68"/>
      <c r="CA1268" s="68"/>
      <c r="CB1268" s="68"/>
      <c r="CC1268" s="68"/>
      <c r="CD1268" s="68"/>
      <c r="CE1268" s="68"/>
      <c r="CF1268" s="68"/>
      <c r="CG1268" s="68"/>
      <c r="CH1268" s="68"/>
      <c r="CI1268" s="68"/>
      <c r="CJ1268" s="68"/>
      <c r="CK1268" s="68"/>
      <c r="CL1268" s="68"/>
      <c r="CM1268" s="68"/>
      <c r="CN1268" s="68"/>
      <c r="CO1268" s="68"/>
      <c r="CP1268" s="68"/>
      <c r="CQ1268" s="68"/>
      <c r="CR1268" s="68"/>
      <c r="CS1268" s="68"/>
      <c r="CT1268" s="68"/>
      <c r="CU1268" s="68"/>
      <c r="CV1268" s="68"/>
      <c r="CW1268" s="68"/>
      <c r="CX1268" s="68"/>
    </row>
    <row r="1269" spans="4:102" s="71" customFormat="1" hidden="1">
      <c r="D1269" s="69"/>
      <c r="E1269" s="68"/>
      <c r="F1269" s="68"/>
      <c r="G1269" s="68"/>
      <c r="H1269" s="68"/>
      <c r="I1269" s="68"/>
      <c r="J1269" s="68"/>
      <c r="K1269" s="73"/>
      <c r="L1269" s="68"/>
      <c r="M1269" s="68"/>
      <c r="N1269" s="68"/>
      <c r="O1269" s="68"/>
      <c r="P1269" s="65"/>
      <c r="Q1269" s="103"/>
      <c r="R1269" s="103"/>
      <c r="S1269" s="103"/>
      <c r="T1269" s="103"/>
      <c r="U1269" s="68"/>
      <c r="V1269" s="69"/>
      <c r="W1269" s="68"/>
      <c r="X1269" s="68"/>
      <c r="Y1269" s="68"/>
      <c r="Z1269" s="68"/>
      <c r="AA1269" s="68"/>
      <c r="AB1269" s="68"/>
      <c r="AC1269" s="68"/>
      <c r="AD1269" s="68"/>
      <c r="AE1269" s="68"/>
      <c r="AF1269" s="68"/>
      <c r="AG1269" s="68"/>
      <c r="AH1269" s="68"/>
      <c r="AI1269" s="68"/>
      <c r="AJ1269" s="68"/>
      <c r="AK1269" s="68"/>
      <c r="AL1269" s="68"/>
      <c r="AM1269" s="68"/>
      <c r="AN1269" s="68"/>
      <c r="AO1269" s="68"/>
      <c r="AP1269" s="68"/>
      <c r="AQ1269" s="68"/>
      <c r="AR1269" s="68"/>
      <c r="AS1269" s="68"/>
      <c r="AT1269" s="68"/>
      <c r="AU1269" s="68"/>
      <c r="AV1269" s="68"/>
      <c r="AW1269" s="68"/>
      <c r="AX1269" s="68"/>
      <c r="AY1269" s="68"/>
      <c r="AZ1269" s="68"/>
      <c r="BA1269" s="68"/>
      <c r="BB1269" s="68"/>
      <c r="BC1269" s="68"/>
      <c r="BD1269" s="68"/>
      <c r="BE1269" s="68"/>
      <c r="BF1269" s="68"/>
      <c r="BG1269" s="68"/>
      <c r="BH1269" s="68"/>
      <c r="BI1269" s="68"/>
      <c r="BJ1269" s="68"/>
      <c r="BK1269" s="68"/>
      <c r="BL1269" s="68"/>
      <c r="BM1269" s="68"/>
      <c r="BN1269" s="68"/>
      <c r="BO1269" s="68"/>
      <c r="BP1269" s="68"/>
      <c r="BQ1269" s="68"/>
      <c r="BR1269" s="68"/>
      <c r="BS1269" s="68"/>
      <c r="BT1269" s="68"/>
      <c r="BU1269" s="68"/>
      <c r="BV1269" s="68"/>
      <c r="BW1269" s="68"/>
      <c r="BX1269" s="68"/>
      <c r="BY1269" s="68"/>
      <c r="BZ1269" s="68"/>
      <c r="CA1269" s="68"/>
      <c r="CB1269" s="68"/>
      <c r="CC1269" s="68"/>
      <c r="CD1269" s="68"/>
      <c r="CE1269" s="68"/>
      <c r="CF1269" s="68"/>
      <c r="CG1269" s="68"/>
      <c r="CH1269" s="68"/>
      <c r="CI1269" s="68"/>
      <c r="CJ1269" s="68"/>
      <c r="CK1269" s="68"/>
      <c r="CL1269" s="68"/>
      <c r="CM1269" s="68"/>
      <c r="CN1269" s="68"/>
      <c r="CO1269" s="68"/>
      <c r="CP1269" s="68"/>
      <c r="CQ1269" s="68"/>
      <c r="CR1269" s="68"/>
      <c r="CS1269" s="68"/>
      <c r="CT1269" s="68"/>
      <c r="CU1269" s="68"/>
      <c r="CV1269" s="68"/>
      <c r="CW1269" s="68"/>
      <c r="CX1269" s="68"/>
    </row>
    <row r="1270" spans="4:102" s="71" customFormat="1" hidden="1">
      <c r="D1270" s="69"/>
      <c r="E1270" s="68"/>
      <c r="F1270" s="68"/>
      <c r="G1270" s="68"/>
      <c r="H1270" s="68"/>
      <c r="I1270" s="68"/>
      <c r="J1270" s="68"/>
      <c r="K1270" s="73"/>
      <c r="L1270" s="68"/>
      <c r="M1270" s="68"/>
      <c r="N1270" s="68"/>
      <c r="O1270" s="68"/>
      <c r="P1270" s="65"/>
      <c r="Q1270" s="103"/>
      <c r="R1270" s="103"/>
      <c r="S1270" s="103"/>
      <c r="T1270" s="103"/>
      <c r="U1270" s="68"/>
      <c r="V1270" s="69"/>
      <c r="W1270" s="68"/>
      <c r="X1270" s="68"/>
      <c r="Y1270" s="68"/>
      <c r="Z1270" s="68"/>
      <c r="AA1270" s="68"/>
      <c r="AB1270" s="68"/>
      <c r="AC1270" s="68"/>
      <c r="AD1270" s="68"/>
      <c r="AE1270" s="68"/>
      <c r="AF1270" s="68"/>
      <c r="AG1270" s="68"/>
      <c r="AH1270" s="68"/>
      <c r="AI1270" s="68"/>
      <c r="AJ1270" s="68"/>
      <c r="AK1270" s="68"/>
      <c r="AL1270" s="68"/>
      <c r="AM1270" s="68"/>
      <c r="AN1270" s="68"/>
      <c r="AO1270" s="68"/>
      <c r="AP1270" s="68"/>
      <c r="AQ1270" s="68"/>
      <c r="AR1270" s="68"/>
      <c r="AS1270" s="68"/>
      <c r="AT1270" s="68"/>
      <c r="AU1270" s="68"/>
      <c r="AV1270" s="68"/>
      <c r="AW1270" s="68"/>
      <c r="AX1270" s="68"/>
      <c r="AY1270" s="68"/>
      <c r="AZ1270" s="68"/>
      <c r="BA1270" s="68"/>
      <c r="BB1270" s="68"/>
      <c r="BC1270" s="68"/>
      <c r="BD1270" s="68"/>
      <c r="BE1270" s="68"/>
      <c r="BF1270" s="68"/>
      <c r="BG1270" s="68"/>
      <c r="BH1270" s="68"/>
      <c r="BI1270" s="68"/>
      <c r="BJ1270" s="68"/>
      <c r="BK1270" s="68"/>
      <c r="BL1270" s="68"/>
      <c r="BM1270" s="68"/>
      <c r="BN1270" s="68"/>
      <c r="BO1270" s="68"/>
      <c r="BP1270" s="68"/>
      <c r="BQ1270" s="68"/>
      <c r="BR1270" s="68"/>
      <c r="BS1270" s="68"/>
      <c r="BT1270" s="68"/>
      <c r="BU1270" s="68"/>
      <c r="BV1270" s="68"/>
      <c r="BW1270" s="68"/>
      <c r="BX1270" s="68"/>
      <c r="BY1270" s="68"/>
      <c r="BZ1270" s="68"/>
      <c r="CA1270" s="68"/>
      <c r="CB1270" s="68"/>
      <c r="CC1270" s="68"/>
      <c r="CD1270" s="68"/>
      <c r="CE1270" s="68"/>
      <c r="CF1270" s="68"/>
      <c r="CG1270" s="68"/>
      <c r="CH1270" s="68"/>
      <c r="CI1270" s="68"/>
      <c r="CJ1270" s="68"/>
      <c r="CK1270" s="68"/>
      <c r="CL1270" s="68"/>
      <c r="CM1270" s="68"/>
      <c r="CN1270" s="68"/>
      <c r="CO1270" s="68"/>
      <c r="CP1270" s="68"/>
      <c r="CQ1270" s="68"/>
      <c r="CR1270" s="68"/>
      <c r="CS1270" s="68"/>
      <c r="CT1270" s="68"/>
      <c r="CU1270" s="68"/>
      <c r="CV1270" s="68"/>
      <c r="CW1270" s="68"/>
      <c r="CX1270" s="68"/>
    </row>
    <row r="1271" spans="4:102" s="71" customFormat="1" hidden="1">
      <c r="D1271" s="69"/>
      <c r="E1271" s="68"/>
      <c r="F1271" s="68"/>
      <c r="G1271" s="68"/>
      <c r="H1271" s="68"/>
      <c r="I1271" s="68"/>
      <c r="J1271" s="68"/>
      <c r="K1271" s="73"/>
      <c r="L1271" s="68"/>
      <c r="M1271" s="68"/>
      <c r="N1271" s="68"/>
      <c r="O1271" s="68"/>
      <c r="P1271" s="65"/>
      <c r="Q1271" s="103"/>
      <c r="R1271" s="103"/>
      <c r="S1271" s="103"/>
      <c r="T1271" s="103"/>
      <c r="U1271" s="68"/>
      <c r="V1271" s="69"/>
      <c r="W1271" s="68"/>
      <c r="X1271" s="68"/>
      <c r="Y1271" s="68"/>
      <c r="Z1271" s="68"/>
      <c r="AA1271" s="68"/>
      <c r="AB1271" s="68"/>
      <c r="AC1271" s="68"/>
      <c r="AD1271" s="68"/>
      <c r="AE1271" s="68"/>
      <c r="AF1271" s="68"/>
      <c r="AG1271" s="68"/>
      <c r="AH1271" s="68"/>
      <c r="AI1271" s="68"/>
      <c r="AJ1271" s="68"/>
      <c r="AK1271" s="68"/>
      <c r="AL1271" s="68"/>
      <c r="AM1271" s="68"/>
      <c r="AN1271" s="68"/>
      <c r="AO1271" s="68"/>
      <c r="AP1271" s="68"/>
      <c r="AQ1271" s="68"/>
      <c r="AR1271" s="68"/>
      <c r="AS1271" s="68"/>
      <c r="AT1271" s="68"/>
      <c r="AU1271" s="68"/>
      <c r="AV1271" s="68"/>
      <c r="AW1271" s="68"/>
      <c r="AX1271" s="68"/>
      <c r="AY1271" s="68"/>
      <c r="AZ1271" s="68"/>
      <c r="BA1271" s="68"/>
      <c r="BB1271" s="68"/>
      <c r="BC1271" s="68"/>
      <c r="BD1271" s="68"/>
      <c r="BE1271" s="68"/>
      <c r="BF1271" s="68"/>
      <c r="BG1271" s="68"/>
      <c r="BH1271" s="68"/>
      <c r="BI1271" s="68"/>
      <c r="BJ1271" s="68"/>
      <c r="BK1271" s="68"/>
      <c r="BL1271" s="68"/>
      <c r="BM1271" s="68"/>
      <c r="BN1271" s="68"/>
      <c r="BO1271" s="68"/>
      <c r="BP1271" s="68"/>
      <c r="BQ1271" s="68"/>
      <c r="BR1271" s="68"/>
      <c r="BS1271" s="68"/>
      <c r="BT1271" s="68"/>
      <c r="BU1271" s="68"/>
      <c r="BV1271" s="68"/>
      <c r="BW1271" s="68"/>
      <c r="BX1271" s="68"/>
      <c r="BY1271" s="68"/>
      <c r="BZ1271" s="68"/>
      <c r="CA1271" s="68"/>
      <c r="CB1271" s="68"/>
      <c r="CC1271" s="68"/>
      <c r="CD1271" s="68"/>
      <c r="CE1271" s="68"/>
      <c r="CF1271" s="68"/>
      <c r="CG1271" s="68"/>
      <c r="CH1271" s="68"/>
      <c r="CI1271" s="68"/>
      <c r="CJ1271" s="68"/>
      <c r="CK1271" s="68"/>
      <c r="CL1271" s="68"/>
      <c r="CM1271" s="68"/>
      <c r="CN1271" s="68"/>
      <c r="CO1271" s="68"/>
      <c r="CP1271" s="68"/>
      <c r="CQ1271" s="68"/>
      <c r="CR1271" s="68"/>
      <c r="CS1271" s="68"/>
      <c r="CT1271" s="68"/>
      <c r="CU1271" s="68"/>
      <c r="CV1271" s="68"/>
      <c r="CW1271" s="68"/>
      <c r="CX1271" s="68"/>
    </row>
    <row r="1272" spans="4:102" s="71" customFormat="1" hidden="1">
      <c r="D1272" s="69"/>
      <c r="E1272" s="68"/>
      <c r="F1272" s="68"/>
      <c r="G1272" s="68"/>
      <c r="H1272" s="68"/>
      <c r="I1272" s="68"/>
      <c r="J1272" s="68"/>
      <c r="K1272" s="73"/>
      <c r="L1272" s="68"/>
      <c r="M1272" s="68"/>
      <c r="N1272" s="68"/>
      <c r="O1272" s="68"/>
      <c r="P1272" s="65"/>
      <c r="Q1272" s="103"/>
      <c r="R1272" s="103"/>
      <c r="S1272" s="103"/>
      <c r="T1272" s="103"/>
      <c r="U1272" s="68"/>
      <c r="V1272" s="69"/>
      <c r="W1272" s="68"/>
      <c r="X1272" s="68"/>
      <c r="Y1272" s="68"/>
      <c r="Z1272" s="68"/>
      <c r="AA1272" s="68"/>
      <c r="AB1272" s="68"/>
      <c r="AC1272" s="68"/>
      <c r="AD1272" s="68"/>
      <c r="AE1272" s="68"/>
      <c r="AF1272" s="68"/>
      <c r="AG1272" s="68"/>
      <c r="AH1272" s="68"/>
      <c r="AI1272" s="68"/>
      <c r="AJ1272" s="68"/>
      <c r="AK1272" s="68"/>
      <c r="AL1272" s="68"/>
      <c r="AM1272" s="68"/>
      <c r="AN1272" s="68"/>
      <c r="AO1272" s="68"/>
      <c r="AP1272" s="68"/>
      <c r="AQ1272" s="68"/>
      <c r="AR1272" s="68"/>
      <c r="AS1272" s="68"/>
      <c r="AT1272" s="68"/>
      <c r="AU1272" s="68"/>
      <c r="AV1272" s="68"/>
      <c r="AW1272" s="68"/>
      <c r="AX1272" s="68"/>
      <c r="AY1272" s="68"/>
      <c r="AZ1272" s="68"/>
      <c r="BA1272" s="68"/>
      <c r="BB1272" s="68"/>
      <c r="BC1272" s="68"/>
      <c r="BD1272" s="68"/>
      <c r="BE1272" s="68"/>
      <c r="BF1272" s="68"/>
      <c r="BG1272" s="68"/>
      <c r="BH1272" s="68"/>
      <c r="BI1272" s="68"/>
      <c r="BJ1272" s="68"/>
      <c r="BK1272" s="68"/>
      <c r="BL1272" s="68"/>
      <c r="BM1272" s="68"/>
      <c r="BN1272" s="68"/>
      <c r="BO1272" s="68"/>
      <c r="BP1272" s="68"/>
      <c r="BQ1272" s="68"/>
      <c r="BR1272" s="68"/>
      <c r="BS1272" s="68"/>
      <c r="BT1272" s="68"/>
      <c r="BU1272" s="68"/>
      <c r="BV1272" s="68"/>
      <c r="BW1272" s="68"/>
      <c r="BX1272" s="68"/>
      <c r="BY1272" s="68"/>
      <c r="BZ1272" s="68"/>
      <c r="CA1272" s="68"/>
      <c r="CB1272" s="68"/>
      <c r="CC1272" s="68"/>
      <c r="CD1272" s="68"/>
      <c r="CE1272" s="68"/>
      <c r="CF1272" s="68"/>
      <c r="CG1272" s="68"/>
      <c r="CH1272" s="68"/>
      <c r="CI1272" s="68"/>
      <c r="CJ1272" s="68"/>
      <c r="CK1272" s="68"/>
      <c r="CL1272" s="68"/>
      <c r="CM1272" s="68"/>
      <c r="CN1272" s="68"/>
      <c r="CO1272" s="68"/>
      <c r="CP1272" s="68"/>
      <c r="CQ1272" s="68"/>
      <c r="CR1272" s="68"/>
      <c r="CS1272" s="68"/>
      <c r="CT1272" s="68"/>
      <c r="CU1272" s="68"/>
      <c r="CV1272" s="68"/>
      <c r="CW1272" s="68"/>
      <c r="CX1272" s="68"/>
    </row>
    <row r="1273" spans="4:102" s="71" customFormat="1" hidden="1">
      <c r="D1273" s="69"/>
      <c r="E1273" s="68"/>
      <c r="F1273" s="68"/>
      <c r="G1273" s="68"/>
      <c r="H1273" s="68"/>
      <c r="I1273" s="68"/>
      <c r="J1273" s="68"/>
      <c r="K1273" s="73"/>
      <c r="L1273" s="68"/>
      <c r="M1273" s="68"/>
      <c r="N1273" s="68"/>
      <c r="O1273" s="68"/>
      <c r="P1273" s="65"/>
      <c r="Q1273" s="103"/>
      <c r="R1273" s="103"/>
      <c r="S1273" s="103"/>
      <c r="T1273" s="103"/>
      <c r="U1273" s="68"/>
      <c r="V1273" s="69"/>
      <c r="W1273" s="68"/>
      <c r="X1273" s="68"/>
      <c r="Y1273" s="68"/>
      <c r="Z1273" s="68"/>
      <c r="AA1273" s="68"/>
      <c r="AB1273" s="68"/>
      <c r="AC1273" s="68"/>
      <c r="AD1273" s="68"/>
      <c r="AE1273" s="68"/>
      <c r="AF1273" s="68"/>
      <c r="AG1273" s="68"/>
      <c r="AH1273" s="68"/>
      <c r="AI1273" s="68"/>
      <c r="AJ1273" s="68"/>
      <c r="AK1273" s="68"/>
      <c r="AL1273" s="68"/>
      <c r="AM1273" s="68"/>
      <c r="AN1273" s="68"/>
      <c r="AO1273" s="68"/>
      <c r="AP1273" s="68"/>
      <c r="AQ1273" s="68"/>
      <c r="AR1273" s="68"/>
      <c r="AS1273" s="68"/>
      <c r="AT1273" s="68"/>
      <c r="AU1273" s="68"/>
      <c r="AV1273" s="68"/>
      <c r="AW1273" s="68"/>
      <c r="AX1273" s="68"/>
      <c r="AY1273" s="68"/>
      <c r="AZ1273" s="68"/>
      <c r="BA1273" s="68"/>
      <c r="BB1273" s="68"/>
      <c r="BC1273" s="68"/>
      <c r="BD1273" s="68"/>
      <c r="BE1273" s="68"/>
      <c r="BF1273" s="68"/>
      <c r="BG1273" s="68"/>
      <c r="BH1273" s="68"/>
      <c r="BI1273" s="68"/>
      <c r="BJ1273" s="68"/>
      <c r="BK1273" s="68"/>
      <c r="BL1273" s="68"/>
      <c r="BM1273" s="68"/>
      <c r="BN1273" s="68"/>
      <c r="BO1273" s="68"/>
      <c r="BP1273" s="68"/>
      <c r="BQ1273" s="68"/>
      <c r="BR1273" s="68"/>
      <c r="BS1273" s="68"/>
      <c r="BT1273" s="68"/>
      <c r="BU1273" s="68"/>
      <c r="BV1273" s="68"/>
      <c r="BW1273" s="68"/>
      <c r="BX1273" s="68"/>
      <c r="BY1273" s="68"/>
      <c r="BZ1273" s="68"/>
      <c r="CA1273" s="68"/>
      <c r="CB1273" s="68"/>
      <c r="CC1273" s="68"/>
      <c r="CD1273" s="68"/>
      <c r="CE1273" s="68"/>
      <c r="CF1273" s="68"/>
      <c r="CG1273" s="68"/>
      <c r="CH1273" s="68"/>
      <c r="CI1273" s="68"/>
      <c r="CJ1273" s="68"/>
      <c r="CK1273" s="68"/>
      <c r="CL1273" s="68"/>
      <c r="CM1273" s="68"/>
      <c r="CN1273" s="68"/>
      <c r="CO1273" s="68"/>
      <c r="CP1273" s="68"/>
      <c r="CQ1273" s="68"/>
      <c r="CR1273" s="68"/>
      <c r="CS1273" s="68"/>
      <c r="CT1273" s="68"/>
      <c r="CU1273" s="68"/>
      <c r="CV1273" s="68"/>
      <c r="CW1273" s="68"/>
      <c r="CX1273" s="68"/>
    </row>
    <row r="1274" spans="4:102" s="71" customFormat="1" hidden="1">
      <c r="D1274" s="69"/>
      <c r="E1274" s="68"/>
      <c r="F1274" s="68"/>
      <c r="G1274" s="68"/>
      <c r="H1274" s="68"/>
      <c r="I1274" s="68"/>
      <c r="J1274" s="68"/>
      <c r="K1274" s="73"/>
      <c r="L1274" s="68"/>
      <c r="M1274" s="68"/>
      <c r="N1274" s="68"/>
      <c r="O1274" s="68"/>
      <c r="P1274" s="65"/>
      <c r="Q1274" s="103"/>
      <c r="R1274" s="103"/>
      <c r="S1274" s="103"/>
      <c r="T1274" s="103"/>
      <c r="U1274" s="68"/>
      <c r="V1274" s="69"/>
      <c r="W1274" s="68"/>
      <c r="X1274" s="68"/>
      <c r="Y1274" s="68"/>
      <c r="Z1274" s="68"/>
      <c r="AA1274" s="68"/>
      <c r="AB1274" s="68"/>
      <c r="AC1274" s="68"/>
      <c r="AD1274" s="68"/>
      <c r="AE1274" s="68"/>
      <c r="AF1274" s="68"/>
      <c r="AG1274" s="68"/>
      <c r="AH1274" s="68"/>
      <c r="AI1274" s="68"/>
      <c r="AJ1274" s="68"/>
      <c r="AK1274" s="68"/>
      <c r="AL1274" s="68"/>
      <c r="AM1274" s="68"/>
      <c r="AN1274" s="68"/>
      <c r="AO1274" s="68"/>
      <c r="AP1274" s="68"/>
      <c r="AQ1274" s="68"/>
      <c r="AR1274" s="68"/>
      <c r="AS1274" s="68"/>
      <c r="AT1274" s="68"/>
      <c r="AU1274" s="68"/>
      <c r="AV1274" s="68"/>
      <c r="AW1274" s="68"/>
      <c r="AX1274" s="68"/>
      <c r="AY1274" s="68"/>
      <c r="AZ1274" s="68"/>
      <c r="BA1274" s="68"/>
      <c r="BB1274" s="68"/>
      <c r="BC1274" s="68"/>
      <c r="BD1274" s="68"/>
      <c r="BE1274" s="68"/>
      <c r="BF1274" s="68"/>
      <c r="BG1274" s="68"/>
      <c r="BH1274" s="68"/>
      <c r="BI1274" s="68"/>
      <c r="BJ1274" s="68"/>
      <c r="BK1274" s="68"/>
      <c r="BL1274" s="68"/>
      <c r="BM1274" s="68"/>
      <c r="BN1274" s="68"/>
      <c r="BO1274" s="68"/>
      <c r="BP1274" s="68"/>
      <c r="BQ1274" s="68"/>
      <c r="BR1274" s="68"/>
      <c r="BS1274" s="68"/>
      <c r="BT1274" s="68"/>
      <c r="BU1274" s="68"/>
      <c r="BV1274" s="68"/>
      <c r="BW1274" s="68"/>
      <c r="BX1274" s="68"/>
      <c r="BY1274" s="68"/>
      <c r="BZ1274" s="68"/>
      <c r="CA1274" s="68"/>
      <c r="CB1274" s="68"/>
      <c r="CC1274" s="68"/>
      <c r="CD1274" s="68"/>
      <c r="CE1274" s="68"/>
      <c r="CF1274" s="68"/>
      <c r="CG1274" s="68"/>
      <c r="CH1274" s="68"/>
      <c r="CI1274" s="68"/>
      <c r="CJ1274" s="68"/>
      <c r="CK1274" s="68"/>
      <c r="CL1274" s="68"/>
      <c r="CM1274" s="68"/>
      <c r="CN1274" s="68"/>
      <c r="CO1274" s="68"/>
      <c r="CP1274" s="68"/>
      <c r="CQ1274" s="68"/>
      <c r="CR1274" s="68"/>
      <c r="CS1274" s="68"/>
      <c r="CT1274" s="68"/>
      <c r="CU1274" s="68"/>
      <c r="CV1274" s="68"/>
      <c r="CW1274" s="68"/>
      <c r="CX1274" s="68"/>
    </row>
    <row r="1275" spans="4:102" s="71" customFormat="1" hidden="1">
      <c r="D1275" s="69"/>
      <c r="E1275" s="68"/>
      <c r="F1275" s="68"/>
      <c r="G1275" s="68"/>
      <c r="H1275" s="68"/>
      <c r="I1275" s="68"/>
      <c r="J1275" s="68"/>
      <c r="K1275" s="73"/>
      <c r="L1275" s="68"/>
      <c r="M1275" s="68"/>
      <c r="N1275" s="68"/>
      <c r="O1275" s="68"/>
      <c r="P1275" s="65"/>
      <c r="Q1275" s="103"/>
      <c r="R1275" s="103"/>
      <c r="S1275" s="103"/>
      <c r="T1275" s="103"/>
      <c r="U1275" s="68"/>
      <c r="V1275" s="69"/>
      <c r="W1275" s="68"/>
      <c r="X1275" s="68"/>
      <c r="Y1275" s="68"/>
      <c r="Z1275" s="68"/>
      <c r="AA1275" s="68"/>
      <c r="AB1275" s="68"/>
      <c r="AC1275" s="68"/>
      <c r="AD1275" s="68"/>
      <c r="AE1275" s="68"/>
      <c r="AF1275" s="68"/>
      <c r="AG1275" s="68"/>
      <c r="AH1275" s="68"/>
      <c r="AI1275" s="68"/>
      <c r="AJ1275" s="68"/>
      <c r="AK1275" s="68"/>
      <c r="AL1275" s="68"/>
      <c r="AM1275" s="68"/>
      <c r="AN1275" s="68"/>
      <c r="AO1275" s="68"/>
      <c r="AP1275" s="68"/>
      <c r="AQ1275" s="68"/>
      <c r="AR1275" s="68"/>
      <c r="AS1275" s="68"/>
      <c r="AT1275" s="68"/>
      <c r="AU1275" s="68"/>
      <c r="AV1275" s="68"/>
      <c r="AW1275" s="68"/>
      <c r="AX1275" s="68"/>
      <c r="AY1275" s="68"/>
      <c r="AZ1275" s="68"/>
      <c r="BA1275" s="68"/>
      <c r="BB1275" s="68"/>
      <c r="BC1275" s="68"/>
      <c r="BD1275" s="68"/>
      <c r="BE1275" s="68"/>
      <c r="BF1275" s="68"/>
      <c r="BG1275" s="68"/>
      <c r="BH1275" s="68"/>
      <c r="BI1275" s="68"/>
      <c r="BJ1275" s="68"/>
      <c r="BK1275" s="68"/>
      <c r="BL1275" s="68"/>
      <c r="BM1275" s="68"/>
      <c r="BN1275" s="68"/>
      <c r="BO1275" s="68"/>
      <c r="BP1275" s="68"/>
      <c r="BQ1275" s="68"/>
      <c r="BR1275" s="68"/>
      <c r="BS1275" s="68"/>
      <c r="BT1275" s="68"/>
      <c r="BU1275" s="68"/>
      <c r="BV1275" s="68"/>
      <c r="BW1275" s="68"/>
      <c r="BX1275" s="68"/>
      <c r="BY1275" s="68"/>
      <c r="BZ1275" s="68"/>
      <c r="CA1275" s="68"/>
      <c r="CB1275" s="68"/>
      <c r="CC1275" s="68"/>
      <c r="CD1275" s="68"/>
      <c r="CE1275" s="68"/>
      <c r="CF1275" s="68"/>
      <c r="CG1275" s="68"/>
      <c r="CH1275" s="68"/>
      <c r="CI1275" s="68"/>
      <c r="CJ1275" s="68"/>
      <c r="CK1275" s="68"/>
      <c r="CL1275" s="68"/>
      <c r="CM1275" s="68"/>
      <c r="CN1275" s="68"/>
      <c r="CO1275" s="68"/>
      <c r="CP1275" s="68"/>
      <c r="CQ1275" s="68"/>
      <c r="CR1275" s="68"/>
      <c r="CS1275" s="68"/>
      <c r="CT1275" s="68"/>
      <c r="CU1275" s="68"/>
      <c r="CV1275" s="68"/>
      <c r="CW1275" s="68"/>
      <c r="CX1275" s="68"/>
    </row>
    <row r="1276" spans="4:102" s="71" customFormat="1" hidden="1">
      <c r="D1276" s="69"/>
      <c r="E1276" s="68"/>
      <c r="F1276" s="68"/>
      <c r="G1276" s="68"/>
      <c r="H1276" s="68"/>
      <c r="I1276" s="68"/>
      <c r="J1276" s="68"/>
      <c r="K1276" s="73"/>
      <c r="L1276" s="68"/>
      <c r="M1276" s="68"/>
      <c r="N1276" s="68"/>
      <c r="O1276" s="68"/>
      <c r="P1276" s="65"/>
      <c r="Q1276" s="103"/>
      <c r="R1276" s="103"/>
      <c r="S1276" s="103"/>
      <c r="T1276" s="103"/>
      <c r="U1276" s="68"/>
      <c r="V1276" s="69"/>
      <c r="W1276" s="68"/>
      <c r="X1276" s="68"/>
      <c r="Y1276" s="68"/>
      <c r="Z1276" s="68"/>
      <c r="AA1276" s="68"/>
      <c r="AB1276" s="68"/>
      <c r="AC1276" s="68"/>
      <c r="AD1276" s="68"/>
      <c r="AE1276" s="68"/>
      <c r="AF1276" s="68"/>
      <c r="AG1276" s="68"/>
      <c r="AH1276" s="68"/>
      <c r="AI1276" s="68"/>
      <c r="AJ1276" s="68"/>
      <c r="AK1276" s="68"/>
      <c r="AL1276" s="68"/>
      <c r="AM1276" s="68"/>
      <c r="AN1276" s="68"/>
      <c r="AO1276" s="68"/>
      <c r="AP1276" s="68"/>
      <c r="AQ1276" s="68"/>
      <c r="AR1276" s="68"/>
      <c r="AS1276" s="68"/>
      <c r="AT1276" s="68"/>
      <c r="AU1276" s="68"/>
      <c r="AV1276" s="68"/>
      <c r="AW1276" s="68"/>
      <c r="AX1276" s="68"/>
      <c r="AY1276" s="68"/>
      <c r="AZ1276" s="68"/>
      <c r="BA1276" s="68"/>
      <c r="BB1276" s="68"/>
      <c r="BC1276" s="68"/>
      <c r="BD1276" s="68"/>
      <c r="BE1276" s="68"/>
      <c r="BF1276" s="68"/>
      <c r="BG1276" s="68"/>
      <c r="BH1276" s="68"/>
      <c r="BI1276" s="68"/>
      <c r="BJ1276" s="68"/>
      <c r="BK1276" s="68"/>
      <c r="BL1276" s="68"/>
      <c r="BM1276" s="68"/>
      <c r="BN1276" s="68"/>
      <c r="BO1276" s="68"/>
      <c r="BP1276" s="68"/>
      <c r="BQ1276" s="68"/>
      <c r="BR1276" s="68"/>
      <c r="BS1276" s="68"/>
      <c r="BT1276" s="68"/>
      <c r="BU1276" s="68"/>
      <c r="BV1276" s="68"/>
      <c r="BW1276" s="68"/>
      <c r="BX1276" s="68"/>
      <c r="BY1276" s="68"/>
      <c r="BZ1276" s="68"/>
      <c r="CA1276" s="68"/>
      <c r="CB1276" s="68"/>
      <c r="CC1276" s="68"/>
      <c r="CD1276" s="68"/>
      <c r="CE1276" s="68"/>
      <c r="CF1276" s="68"/>
      <c r="CG1276" s="68"/>
      <c r="CH1276" s="68"/>
      <c r="CI1276" s="68"/>
      <c r="CJ1276" s="68"/>
      <c r="CK1276" s="68"/>
      <c r="CL1276" s="68"/>
      <c r="CM1276" s="68"/>
      <c r="CN1276" s="68"/>
      <c r="CO1276" s="68"/>
      <c r="CP1276" s="68"/>
      <c r="CQ1276" s="68"/>
      <c r="CR1276" s="68"/>
      <c r="CS1276" s="68"/>
      <c r="CT1276" s="68"/>
      <c r="CU1276" s="68"/>
      <c r="CV1276" s="68"/>
      <c r="CW1276" s="68"/>
      <c r="CX1276" s="68"/>
    </row>
    <row r="1277" spans="4:102" s="71" customFormat="1" hidden="1">
      <c r="D1277" s="69"/>
      <c r="E1277" s="68"/>
      <c r="F1277" s="68"/>
      <c r="G1277" s="68"/>
      <c r="H1277" s="68"/>
      <c r="I1277" s="68"/>
      <c r="J1277" s="68"/>
      <c r="K1277" s="73"/>
      <c r="L1277" s="68"/>
      <c r="M1277" s="68"/>
      <c r="N1277" s="68"/>
      <c r="O1277" s="68"/>
      <c r="P1277" s="65"/>
      <c r="Q1277" s="103"/>
      <c r="R1277" s="103"/>
      <c r="S1277" s="103"/>
      <c r="T1277" s="103"/>
      <c r="U1277" s="68"/>
      <c r="V1277" s="69"/>
      <c r="W1277" s="68"/>
      <c r="X1277" s="68"/>
      <c r="Y1277" s="68"/>
      <c r="Z1277" s="68"/>
      <c r="AA1277" s="68"/>
      <c r="AB1277" s="68"/>
      <c r="AC1277" s="68"/>
      <c r="AD1277" s="68"/>
      <c r="AE1277" s="68"/>
      <c r="AF1277" s="68"/>
      <c r="AG1277" s="68"/>
      <c r="AH1277" s="68"/>
      <c r="AI1277" s="68"/>
      <c r="AJ1277" s="68"/>
      <c r="AK1277" s="68"/>
      <c r="AL1277" s="68"/>
      <c r="AM1277" s="68"/>
      <c r="AN1277" s="68"/>
      <c r="AO1277" s="68"/>
      <c r="AP1277" s="68"/>
      <c r="AQ1277" s="68"/>
      <c r="AR1277" s="68"/>
      <c r="AS1277" s="68"/>
      <c r="AT1277" s="68"/>
      <c r="AU1277" s="68"/>
      <c r="AV1277" s="68"/>
      <c r="AW1277" s="68"/>
      <c r="AX1277" s="68"/>
      <c r="AY1277" s="68"/>
      <c r="AZ1277" s="68"/>
      <c r="BA1277" s="68"/>
      <c r="BB1277" s="68"/>
      <c r="BC1277" s="68"/>
      <c r="BD1277" s="68"/>
      <c r="BE1277" s="68"/>
      <c r="BF1277" s="68"/>
      <c r="BG1277" s="68"/>
      <c r="BH1277" s="68"/>
      <c r="BI1277" s="68"/>
      <c r="BJ1277" s="68"/>
      <c r="BK1277" s="68"/>
      <c r="BL1277" s="68"/>
      <c r="BM1277" s="68"/>
      <c r="BN1277" s="68"/>
      <c r="BO1277" s="68"/>
      <c r="BP1277" s="68"/>
      <c r="BQ1277" s="68"/>
      <c r="BR1277" s="68"/>
      <c r="BS1277" s="68"/>
      <c r="BT1277" s="68"/>
      <c r="BU1277" s="68"/>
      <c r="BV1277" s="68"/>
      <c r="BW1277" s="68"/>
      <c r="BX1277" s="68"/>
      <c r="BY1277" s="68"/>
      <c r="BZ1277" s="68"/>
      <c r="CA1277" s="68"/>
      <c r="CB1277" s="68"/>
      <c r="CC1277" s="68"/>
      <c r="CD1277" s="68"/>
      <c r="CE1277" s="68"/>
      <c r="CF1277" s="68"/>
      <c r="CG1277" s="68"/>
      <c r="CH1277" s="68"/>
      <c r="CI1277" s="68"/>
      <c r="CJ1277" s="68"/>
      <c r="CK1277" s="68"/>
      <c r="CL1277" s="68"/>
      <c r="CM1277" s="68"/>
      <c r="CN1277" s="68"/>
      <c r="CO1277" s="68"/>
      <c r="CP1277" s="68"/>
      <c r="CQ1277" s="68"/>
      <c r="CR1277" s="68"/>
      <c r="CS1277" s="68"/>
      <c r="CT1277" s="68"/>
      <c r="CU1277" s="68"/>
      <c r="CV1277" s="68"/>
      <c r="CW1277" s="68"/>
      <c r="CX1277" s="68"/>
    </row>
    <row r="1278" spans="4:102" s="71" customFormat="1" hidden="1">
      <c r="D1278" s="69"/>
      <c r="E1278" s="68"/>
      <c r="F1278" s="68"/>
      <c r="G1278" s="68"/>
      <c r="H1278" s="68"/>
      <c r="I1278" s="68"/>
      <c r="J1278" s="68"/>
      <c r="K1278" s="73"/>
      <c r="L1278" s="68"/>
      <c r="M1278" s="68"/>
      <c r="N1278" s="68"/>
      <c r="O1278" s="68"/>
      <c r="P1278" s="65"/>
      <c r="Q1278" s="103"/>
      <c r="R1278" s="103"/>
      <c r="S1278" s="103"/>
      <c r="T1278" s="103"/>
      <c r="U1278" s="68"/>
      <c r="V1278" s="69"/>
      <c r="W1278" s="68"/>
      <c r="X1278" s="68"/>
      <c r="Y1278" s="68"/>
      <c r="Z1278" s="68"/>
      <c r="AA1278" s="68"/>
      <c r="AB1278" s="68"/>
      <c r="AC1278" s="68"/>
      <c r="AD1278" s="68"/>
      <c r="AE1278" s="68"/>
      <c r="AF1278" s="68"/>
      <c r="AG1278" s="68"/>
      <c r="AH1278" s="68"/>
      <c r="AI1278" s="68"/>
      <c r="AJ1278" s="68"/>
      <c r="AK1278" s="68"/>
      <c r="AL1278" s="68"/>
      <c r="AM1278" s="68"/>
      <c r="AN1278" s="68"/>
      <c r="AO1278" s="68"/>
      <c r="AP1278" s="68"/>
      <c r="AQ1278" s="68"/>
      <c r="AR1278" s="68"/>
      <c r="AS1278" s="68"/>
      <c r="AT1278" s="68"/>
      <c r="AU1278" s="68"/>
      <c r="AV1278" s="68"/>
      <c r="AW1278" s="68"/>
      <c r="AX1278" s="68"/>
      <c r="AY1278" s="68"/>
      <c r="AZ1278" s="68"/>
      <c r="BA1278" s="68"/>
      <c r="BB1278" s="68"/>
      <c r="BC1278" s="68"/>
      <c r="BD1278" s="68"/>
      <c r="BE1278" s="68"/>
      <c r="BF1278" s="68"/>
      <c r="BG1278" s="68"/>
      <c r="BH1278" s="68"/>
      <c r="BI1278" s="68"/>
      <c r="BJ1278" s="68"/>
      <c r="BK1278" s="68"/>
      <c r="BL1278" s="68"/>
      <c r="BM1278" s="68"/>
      <c r="BN1278" s="68"/>
      <c r="BO1278" s="68"/>
      <c r="BP1278" s="68"/>
      <c r="BQ1278" s="68"/>
      <c r="BR1278" s="68"/>
      <c r="BS1278" s="68"/>
      <c r="BT1278" s="68"/>
      <c r="BU1278" s="68"/>
      <c r="BV1278" s="68"/>
      <c r="BW1278" s="68"/>
      <c r="BX1278" s="68"/>
      <c r="BY1278" s="68"/>
      <c r="BZ1278" s="68"/>
      <c r="CA1278" s="68"/>
      <c r="CB1278" s="68"/>
      <c r="CC1278" s="68"/>
      <c r="CD1278" s="68"/>
      <c r="CE1278" s="68"/>
      <c r="CF1278" s="68"/>
      <c r="CG1278" s="68"/>
      <c r="CH1278" s="68"/>
      <c r="CI1278" s="68"/>
      <c r="CJ1278" s="68"/>
      <c r="CK1278" s="68"/>
      <c r="CL1278" s="68"/>
      <c r="CM1278" s="68"/>
      <c r="CN1278" s="68"/>
      <c r="CO1278" s="68"/>
      <c r="CP1278" s="68"/>
      <c r="CQ1278" s="68"/>
      <c r="CR1278" s="68"/>
      <c r="CS1278" s="68"/>
      <c r="CT1278" s="68"/>
      <c r="CU1278" s="68"/>
      <c r="CV1278" s="68"/>
      <c r="CW1278" s="68"/>
      <c r="CX1278" s="68"/>
    </row>
    <row r="1279" spans="4:102" s="71" customFormat="1" hidden="1">
      <c r="D1279" s="69"/>
      <c r="E1279" s="68"/>
      <c r="F1279" s="68"/>
      <c r="G1279" s="68"/>
      <c r="H1279" s="68"/>
      <c r="I1279" s="68"/>
      <c r="J1279" s="68"/>
      <c r="K1279" s="73"/>
      <c r="L1279" s="68"/>
      <c r="M1279" s="68"/>
      <c r="N1279" s="68"/>
      <c r="O1279" s="68"/>
      <c r="P1279" s="65"/>
      <c r="Q1279" s="103"/>
      <c r="R1279" s="103"/>
      <c r="S1279" s="103"/>
      <c r="T1279" s="103"/>
      <c r="U1279" s="68"/>
      <c r="V1279" s="69"/>
      <c r="W1279" s="68"/>
      <c r="X1279" s="68"/>
      <c r="Y1279" s="68"/>
      <c r="Z1279" s="68"/>
      <c r="AA1279" s="68"/>
      <c r="AB1279" s="68"/>
      <c r="AC1279" s="68"/>
      <c r="AD1279" s="68"/>
      <c r="AE1279" s="68"/>
      <c r="AF1279" s="68"/>
      <c r="AG1279" s="68"/>
      <c r="AH1279" s="68"/>
      <c r="AI1279" s="68"/>
      <c r="AJ1279" s="68"/>
      <c r="AK1279" s="68"/>
      <c r="AL1279" s="68"/>
      <c r="AM1279" s="68"/>
      <c r="AN1279" s="68"/>
      <c r="AO1279" s="68"/>
      <c r="AP1279" s="68"/>
      <c r="AQ1279" s="68"/>
      <c r="AR1279" s="68"/>
      <c r="AS1279" s="68"/>
      <c r="AT1279" s="68"/>
      <c r="AU1279" s="68"/>
      <c r="AV1279" s="68"/>
      <c r="AW1279" s="68"/>
      <c r="AX1279" s="68"/>
      <c r="AY1279" s="68"/>
      <c r="AZ1279" s="68"/>
      <c r="BA1279" s="68"/>
      <c r="BB1279" s="68"/>
      <c r="BC1279" s="68"/>
      <c r="BD1279" s="68"/>
      <c r="BE1279" s="68"/>
      <c r="BF1279" s="68"/>
      <c r="BG1279" s="68"/>
      <c r="BH1279" s="68"/>
      <c r="BI1279" s="68"/>
      <c r="BJ1279" s="68"/>
      <c r="BK1279" s="68"/>
      <c r="BL1279" s="68"/>
      <c r="BM1279" s="68"/>
      <c r="BN1279" s="68"/>
      <c r="BO1279" s="68"/>
      <c r="BP1279" s="68"/>
      <c r="BQ1279" s="68"/>
      <c r="BR1279" s="68"/>
      <c r="BS1279" s="68"/>
      <c r="BT1279" s="68"/>
      <c r="BU1279" s="68"/>
      <c r="BV1279" s="68"/>
      <c r="BW1279" s="68"/>
      <c r="BX1279" s="68"/>
      <c r="BY1279" s="68"/>
      <c r="BZ1279" s="68"/>
      <c r="CA1279" s="68"/>
      <c r="CB1279" s="68"/>
      <c r="CC1279" s="68"/>
      <c r="CD1279" s="68"/>
      <c r="CE1279" s="68"/>
      <c r="CF1279" s="68"/>
      <c r="CG1279" s="68"/>
      <c r="CH1279" s="68"/>
      <c r="CI1279" s="68"/>
      <c r="CJ1279" s="68"/>
      <c r="CK1279" s="68"/>
      <c r="CL1279" s="68"/>
      <c r="CM1279" s="68"/>
      <c r="CN1279" s="68"/>
      <c r="CO1279" s="68"/>
      <c r="CP1279" s="68"/>
      <c r="CQ1279" s="68"/>
      <c r="CR1279" s="68"/>
      <c r="CS1279" s="68"/>
      <c r="CT1279" s="68"/>
      <c r="CU1279" s="68"/>
      <c r="CV1279" s="68"/>
      <c r="CW1279" s="68"/>
      <c r="CX1279" s="68"/>
    </row>
    <row r="1280" spans="4:102" s="71" customFormat="1" hidden="1">
      <c r="D1280" s="69"/>
      <c r="E1280" s="68"/>
      <c r="F1280" s="68"/>
      <c r="G1280" s="68"/>
      <c r="H1280" s="68"/>
      <c r="I1280" s="68"/>
      <c r="J1280" s="68"/>
      <c r="K1280" s="73"/>
      <c r="L1280" s="68"/>
      <c r="M1280" s="68"/>
      <c r="N1280" s="68"/>
      <c r="O1280" s="68"/>
      <c r="P1280" s="65"/>
      <c r="Q1280" s="103"/>
      <c r="R1280" s="103"/>
      <c r="S1280" s="103"/>
      <c r="T1280" s="103"/>
      <c r="U1280" s="68"/>
      <c r="V1280" s="69"/>
      <c r="W1280" s="68"/>
      <c r="X1280" s="68"/>
      <c r="Y1280" s="68"/>
      <c r="Z1280" s="68"/>
      <c r="AA1280" s="68"/>
      <c r="AB1280" s="68"/>
      <c r="AC1280" s="68"/>
      <c r="AD1280" s="68"/>
      <c r="AE1280" s="68"/>
      <c r="AF1280" s="68"/>
      <c r="AG1280" s="68"/>
      <c r="AH1280" s="68"/>
      <c r="AI1280" s="68"/>
      <c r="AJ1280" s="68"/>
      <c r="AK1280" s="68"/>
      <c r="AL1280" s="68"/>
      <c r="AM1280" s="68"/>
      <c r="AN1280" s="68"/>
      <c r="AO1280" s="68"/>
      <c r="AP1280" s="68"/>
      <c r="AQ1280" s="68"/>
      <c r="AR1280" s="68"/>
      <c r="AS1280" s="68"/>
      <c r="AT1280" s="68"/>
      <c r="AU1280" s="68"/>
      <c r="AV1280" s="68"/>
      <c r="AW1280" s="68"/>
      <c r="AX1280" s="68"/>
      <c r="AY1280" s="68"/>
      <c r="AZ1280" s="68"/>
      <c r="BA1280" s="68"/>
      <c r="BB1280" s="68"/>
      <c r="BC1280" s="68"/>
      <c r="BD1280" s="68"/>
      <c r="BE1280" s="68"/>
      <c r="BF1280" s="68"/>
      <c r="BG1280" s="68"/>
      <c r="BH1280" s="68"/>
      <c r="BI1280" s="68"/>
      <c r="BJ1280" s="68"/>
      <c r="BK1280" s="68"/>
      <c r="BL1280" s="68"/>
      <c r="BM1280" s="68"/>
      <c r="BN1280" s="68"/>
      <c r="BO1280" s="68"/>
      <c r="BP1280" s="68"/>
      <c r="BQ1280" s="68"/>
      <c r="BR1280" s="68"/>
      <c r="BS1280" s="68"/>
      <c r="BT1280" s="68"/>
      <c r="BU1280" s="68"/>
      <c r="BV1280" s="68"/>
      <c r="BW1280" s="68"/>
      <c r="BX1280" s="68"/>
      <c r="BY1280" s="68"/>
      <c r="BZ1280" s="68"/>
      <c r="CA1280" s="68"/>
      <c r="CB1280" s="68"/>
      <c r="CC1280" s="68"/>
      <c r="CD1280" s="68"/>
      <c r="CE1280" s="68"/>
      <c r="CF1280" s="68"/>
      <c r="CG1280" s="68"/>
      <c r="CH1280" s="68"/>
      <c r="CI1280" s="68"/>
      <c r="CJ1280" s="68"/>
      <c r="CK1280" s="68"/>
      <c r="CL1280" s="68"/>
      <c r="CM1280" s="68"/>
      <c r="CN1280" s="68"/>
      <c r="CO1280" s="68"/>
      <c r="CP1280" s="68"/>
      <c r="CQ1280" s="68"/>
      <c r="CR1280" s="68"/>
      <c r="CS1280" s="68"/>
      <c r="CT1280" s="68"/>
      <c r="CU1280" s="68"/>
      <c r="CV1280" s="68"/>
      <c r="CW1280" s="68"/>
      <c r="CX1280" s="68"/>
    </row>
    <row r="1281" spans="4:102" s="71" customFormat="1" hidden="1">
      <c r="D1281" s="69"/>
      <c r="E1281" s="68"/>
      <c r="F1281" s="68"/>
      <c r="G1281" s="68"/>
      <c r="H1281" s="68"/>
      <c r="I1281" s="68"/>
      <c r="J1281" s="68"/>
      <c r="K1281" s="73"/>
      <c r="L1281" s="68"/>
      <c r="M1281" s="68"/>
      <c r="N1281" s="68"/>
      <c r="O1281" s="68"/>
      <c r="P1281" s="65"/>
      <c r="Q1281" s="103"/>
      <c r="R1281" s="103"/>
      <c r="S1281" s="103"/>
      <c r="T1281" s="103"/>
      <c r="U1281" s="68"/>
      <c r="V1281" s="69"/>
      <c r="W1281" s="68"/>
      <c r="X1281" s="68"/>
      <c r="Y1281" s="68"/>
      <c r="Z1281" s="68"/>
      <c r="AA1281" s="68"/>
      <c r="AB1281" s="68"/>
      <c r="AC1281" s="68"/>
      <c r="AD1281" s="68"/>
      <c r="AE1281" s="68"/>
      <c r="AF1281" s="68"/>
      <c r="AG1281" s="68"/>
      <c r="AH1281" s="68"/>
      <c r="AI1281" s="68"/>
      <c r="AJ1281" s="68"/>
      <c r="AK1281" s="68"/>
      <c r="AL1281" s="68"/>
      <c r="AM1281" s="68"/>
      <c r="AN1281" s="68"/>
      <c r="AO1281" s="68"/>
      <c r="AP1281" s="68"/>
      <c r="AQ1281" s="68"/>
      <c r="AR1281" s="68"/>
      <c r="AS1281" s="68"/>
      <c r="AT1281" s="68"/>
      <c r="AU1281" s="68"/>
      <c r="AV1281" s="68"/>
      <c r="AW1281" s="68"/>
      <c r="AX1281" s="68"/>
      <c r="AY1281" s="68"/>
      <c r="AZ1281" s="68"/>
      <c r="BA1281" s="68"/>
      <c r="BB1281" s="68"/>
      <c r="BC1281" s="68"/>
      <c r="BD1281" s="68"/>
      <c r="BE1281" s="68"/>
      <c r="BF1281" s="68"/>
      <c r="BG1281" s="68"/>
      <c r="BH1281" s="68"/>
      <c r="BI1281" s="68"/>
      <c r="BJ1281" s="68"/>
      <c r="BK1281" s="68"/>
      <c r="BL1281" s="68"/>
      <c r="BM1281" s="68"/>
      <c r="BN1281" s="68"/>
      <c r="BO1281" s="68"/>
      <c r="BP1281" s="68"/>
      <c r="BQ1281" s="68"/>
      <c r="BR1281" s="68"/>
      <c r="BS1281" s="68"/>
      <c r="BT1281" s="68"/>
      <c r="BU1281" s="68"/>
      <c r="BV1281" s="68"/>
      <c r="BW1281" s="68"/>
      <c r="BX1281" s="68"/>
      <c r="BY1281" s="68"/>
      <c r="BZ1281" s="68"/>
      <c r="CA1281" s="68"/>
      <c r="CB1281" s="68"/>
      <c r="CC1281" s="68"/>
      <c r="CD1281" s="68"/>
      <c r="CE1281" s="68"/>
      <c r="CF1281" s="68"/>
      <c r="CG1281" s="68"/>
      <c r="CH1281" s="68"/>
      <c r="CI1281" s="68"/>
      <c r="CJ1281" s="68"/>
      <c r="CK1281" s="68"/>
      <c r="CL1281" s="68"/>
      <c r="CM1281" s="68"/>
      <c r="CN1281" s="68"/>
      <c r="CO1281" s="68"/>
      <c r="CP1281" s="68"/>
      <c r="CQ1281" s="68"/>
      <c r="CR1281" s="68"/>
      <c r="CS1281" s="68"/>
      <c r="CT1281" s="68"/>
      <c r="CU1281" s="68"/>
      <c r="CV1281" s="68"/>
      <c r="CW1281" s="68"/>
      <c r="CX1281" s="68"/>
    </row>
    <row r="1282" spans="4:102" s="71" customFormat="1" hidden="1">
      <c r="D1282" s="69"/>
      <c r="E1282" s="68"/>
      <c r="F1282" s="68"/>
      <c r="G1282" s="68"/>
      <c r="H1282" s="68"/>
      <c r="I1282" s="68"/>
      <c r="J1282" s="68"/>
      <c r="K1282" s="73"/>
      <c r="L1282" s="68"/>
      <c r="M1282" s="68"/>
      <c r="N1282" s="68"/>
      <c r="O1282" s="68"/>
      <c r="P1282" s="65"/>
      <c r="Q1282" s="103"/>
      <c r="R1282" s="103"/>
      <c r="S1282" s="103"/>
      <c r="T1282" s="103"/>
      <c r="U1282" s="68"/>
      <c r="V1282" s="69"/>
      <c r="W1282" s="68"/>
      <c r="X1282" s="68"/>
      <c r="Y1282" s="68"/>
      <c r="Z1282" s="68"/>
      <c r="AA1282" s="68"/>
      <c r="AB1282" s="68"/>
      <c r="AC1282" s="68"/>
      <c r="AD1282" s="68"/>
      <c r="AE1282" s="68"/>
      <c r="AF1282" s="68"/>
      <c r="AG1282" s="68"/>
      <c r="AH1282" s="68"/>
      <c r="AI1282" s="68"/>
      <c r="AJ1282" s="68"/>
      <c r="AK1282" s="68"/>
      <c r="AL1282" s="68"/>
      <c r="AM1282" s="68"/>
      <c r="AN1282" s="68"/>
      <c r="AO1282" s="68"/>
      <c r="AP1282" s="68"/>
      <c r="AQ1282" s="68"/>
      <c r="AR1282" s="68"/>
      <c r="AS1282" s="68"/>
      <c r="AT1282" s="68"/>
      <c r="AU1282" s="68"/>
      <c r="AV1282" s="68"/>
      <c r="AW1282" s="68"/>
      <c r="AX1282" s="68"/>
      <c r="AY1282" s="68"/>
      <c r="AZ1282" s="68"/>
      <c r="BA1282" s="68"/>
      <c r="BB1282" s="68"/>
      <c r="BC1282" s="68"/>
      <c r="BD1282" s="68"/>
      <c r="BE1282" s="68"/>
      <c r="BF1282" s="68"/>
      <c r="BG1282" s="68"/>
      <c r="BH1282" s="68"/>
      <c r="BI1282" s="68"/>
      <c r="BJ1282" s="68"/>
      <c r="BK1282" s="68"/>
      <c r="BL1282" s="68"/>
      <c r="BM1282" s="68"/>
      <c r="BN1282" s="68"/>
      <c r="BO1282" s="68"/>
      <c r="BP1282" s="68"/>
      <c r="BQ1282" s="68"/>
      <c r="BR1282" s="68"/>
      <c r="BS1282" s="68"/>
      <c r="BT1282" s="68"/>
      <c r="BU1282" s="68"/>
      <c r="BV1282" s="68"/>
      <c r="BW1282" s="68"/>
      <c r="BX1282" s="68"/>
      <c r="BY1282" s="68"/>
      <c r="BZ1282" s="68"/>
      <c r="CA1282" s="68"/>
      <c r="CB1282" s="68"/>
      <c r="CC1282" s="68"/>
      <c r="CD1282" s="68"/>
      <c r="CE1282" s="68"/>
      <c r="CF1282" s="68"/>
      <c r="CG1282" s="68"/>
      <c r="CH1282" s="68"/>
      <c r="CI1282" s="68"/>
      <c r="CJ1282" s="68"/>
      <c r="CK1282" s="68"/>
      <c r="CL1282" s="68"/>
      <c r="CM1282" s="68"/>
      <c r="CN1282" s="68"/>
      <c r="CO1282" s="68"/>
      <c r="CP1282" s="68"/>
      <c r="CQ1282" s="68"/>
      <c r="CR1282" s="68"/>
      <c r="CS1282" s="68"/>
      <c r="CT1282" s="68"/>
      <c r="CU1282" s="68"/>
      <c r="CV1282" s="68"/>
      <c r="CW1282" s="68"/>
      <c r="CX1282" s="68"/>
    </row>
    <row r="1283" spans="4:102" s="71" customFormat="1" hidden="1">
      <c r="D1283" s="69"/>
      <c r="E1283" s="68"/>
      <c r="F1283" s="68"/>
      <c r="G1283" s="68"/>
      <c r="H1283" s="68"/>
      <c r="I1283" s="68"/>
      <c r="J1283" s="68"/>
      <c r="K1283" s="73"/>
      <c r="L1283" s="68"/>
      <c r="M1283" s="68"/>
      <c r="N1283" s="68"/>
      <c r="O1283" s="68"/>
      <c r="P1283" s="65"/>
      <c r="Q1283" s="103"/>
      <c r="R1283" s="103"/>
      <c r="S1283" s="103"/>
      <c r="T1283" s="103"/>
      <c r="U1283" s="68"/>
      <c r="V1283" s="69"/>
      <c r="W1283" s="68"/>
      <c r="X1283" s="68"/>
      <c r="Y1283" s="68"/>
      <c r="Z1283" s="68"/>
      <c r="AA1283" s="68"/>
      <c r="AB1283" s="68"/>
      <c r="AC1283" s="68"/>
      <c r="AD1283" s="68"/>
      <c r="AE1283" s="68"/>
      <c r="AF1283" s="68"/>
      <c r="AG1283" s="68"/>
      <c r="AH1283" s="68"/>
      <c r="AI1283" s="68"/>
      <c r="AJ1283" s="68"/>
      <c r="AK1283" s="68"/>
      <c r="AL1283" s="68"/>
      <c r="AM1283" s="68"/>
      <c r="AN1283" s="68"/>
      <c r="AO1283" s="68"/>
      <c r="AP1283" s="68"/>
      <c r="AQ1283" s="68"/>
      <c r="AR1283" s="68"/>
      <c r="AS1283" s="68"/>
      <c r="AT1283" s="68"/>
      <c r="AU1283" s="68"/>
      <c r="AV1283" s="68"/>
      <c r="AW1283" s="68"/>
      <c r="AX1283" s="68"/>
      <c r="AY1283" s="68"/>
      <c r="AZ1283" s="68"/>
      <c r="BA1283" s="68"/>
      <c r="BB1283" s="68"/>
      <c r="BC1283" s="68"/>
      <c r="BD1283" s="68"/>
      <c r="BE1283" s="68"/>
      <c r="BF1283" s="68"/>
      <c r="BG1283" s="68"/>
      <c r="BH1283" s="68"/>
      <c r="BI1283" s="68"/>
      <c r="BJ1283" s="68"/>
      <c r="BK1283" s="68"/>
      <c r="BL1283" s="68"/>
      <c r="BM1283" s="68"/>
      <c r="BN1283" s="68"/>
      <c r="BO1283" s="68"/>
      <c r="BP1283" s="68"/>
      <c r="BQ1283" s="68"/>
      <c r="BR1283" s="68"/>
      <c r="BS1283" s="68"/>
      <c r="BT1283" s="68"/>
      <c r="BU1283" s="68"/>
      <c r="BV1283" s="68"/>
      <c r="BW1283" s="68"/>
      <c r="BX1283" s="68"/>
      <c r="BY1283" s="68"/>
      <c r="BZ1283" s="68"/>
      <c r="CA1283" s="68"/>
      <c r="CB1283" s="68"/>
      <c r="CC1283" s="68"/>
      <c r="CD1283" s="68"/>
      <c r="CE1283" s="68"/>
      <c r="CF1283" s="68"/>
      <c r="CG1283" s="68"/>
      <c r="CH1283" s="68"/>
      <c r="CI1283" s="68"/>
      <c r="CJ1283" s="68"/>
      <c r="CK1283" s="68"/>
      <c r="CL1283" s="68"/>
      <c r="CM1283" s="68"/>
      <c r="CN1283" s="68"/>
      <c r="CO1283" s="68"/>
      <c r="CP1283" s="68"/>
      <c r="CQ1283" s="68"/>
      <c r="CR1283" s="68"/>
      <c r="CS1283" s="68"/>
      <c r="CT1283" s="68"/>
      <c r="CU1283" s="68"/>
      <c r="CV1283" s="68"/>
      <c r="CW1283" s="68"/>
      <c r="CX1283" s="68"/>
    </row>
    <row r="1284" spans="4:102" s="71" customFormat="1" hidden="1">
      <c r="D1284" s="69"/>
      <c r="E1284" s="68"/>
      <c r="F1284" s="68"/>
      <c r="G1284" s="68"/>
      <c r="H1284" s="68"/>
      <c r="I1284" s="68"/>
      <c r="J1284" s="68"/>
      <c r="K1284" s="73"/>
      <c r="L1284" s="68"/>
      <c r="M1284" s="68"/>
      <c r="N1284" s="68"/>
      <c r="O1284" s="68"/>
      <c r="P1284" s="65"/>
      <c r="Q1284" s="103"/>
      <c r="R1284" s="103"/>
      <c r="S1284" s="103"/>
      <c r="T1284" s="103"/>
      <c r="U1284" s="68"/>
      <c r="V1284" s="69"/>
      <c r="W1284" s="68"/>
      <c r="X1284" s="68"/>
      <c r="Y1284" s="68"/>
      <c r="Z1284" s="68"/>
      <c r="AA1284" s="68"/>
      <c r="AB1284" s="68"/>
      <c r="AC1284" s="68"/>
      <c r="AD1284" s="68"/>
      <c r="AE1284" s="68"/>
      <c r="AF1284" s="68"/>
      <c r="AG1284" s="68"/>
      <c r="AH1284" s="68"/>
      <c r="AI1284" s="68"/>
      <c r="AJ1284" s="68"/>
      <c r="AK1284" s="68"/>
      <c r="AL1284" s="68"/>
      <c r="AM1284" s="68"/>
      <c r="AN1284" s="68"/>
      <c r="AO1284" s="68"/>
      <c r="AP1284" s="68"/>
      <c r="AQ1284" s="68"/>
      <c r="AR1284" s="68"/>
      <c r="AS1284" s="68"/>
      <c r="AT1284" s="68"/>
      <c r="AU1284" s="68"/>
      <c r="AV1284" s="68"/>
      <c r="AW1284" s="68"/>
      <c r="AX1284" s="68"/>
      <c r="AY1284" s="68"/>
      <c r="AZ1284" s="68"/>
      <c r="BA1284" s="68"/>
      <c r="BB1284" s="68"/>
      <c r="BC1284" s="68"/>
      <c r="BD1284" s="68"/>
      <c r="BE1284" s="68"/>
      <c r="BF1284" s="68"/>
      <c r="BG1284" s="68"/>
      <c r="BH1284" s="68"/>
      <c r="BI1284" s="68"/>
      <c r="BJ1284" s="68"/>
      <c r="BK1284" s="68"/>
      <c r="BL1284" s="68"/>
      <c r="BM1284" s="68"/>
      <c r="BN1284" s="68"/>
      <c r="BO1284" s="68"/>
      <c r="BP1284" s="68"/>
      <c r="BQ1284" s="68"/>
      <c r="BR1284" s="68"/>
      <c r="BS1284" s="68"/>
      <c r="BT1284" s="68"/>
      <c r="BU1284" s="68"/>
      <c r="BV1284" s="68"/>
      <c r="BW1284" s="68"/>
      <c r="BX1284" s="68"/>
      <c r="BY1284" s="68"/>
      <c r="BZ1284" s="68"/>
      <c r="CA1284" s="68"/>
      <c r="CB1284" s="68"/>
      <c r="CC1284" s="68"/>
      <c r="CD1284" s="68"/>
      <c r="CE1284" s="68"/>
      <c r="CF1284" s="68"/>
      <c r="CG1284" s="68"/>
      <c r="CH1284" s="68"/>
      <c r="CI1284" s="68"/>
      <c r="CJ1284" s="68"/>
      <c r="CK1284" s="68"/>
      <c r="CL1284" s="68"/>
      <c r="CM1284" s="68"/>
      <c r="CN1284" s="68"/>
      <c r="CO1284" s="68"/>
      <c r="CP1284" s="68"/>
      <c r="CQ1284" s="68"/>
      <c r="CR1284" s="68"/>
      <c r="CS1284" s="68"/>
      <c r="CT1284" s="68"/>
      <c r="CU1284" s="68"/>
      <c r="CV1284" s="68"/>
      <c r="CW1284" s="68"/>
      <c r="CX1284" s="68"/>
    </row>
    <row r="1285" spans="4:102" s="71" customFormat="1" hidden="1">
      <c r="D1285" s="69"/>
      <c r="E1285" s="68"/>
      <c r="F1285" s="68"/>
      <c r="G1285" s="68"/>
      <c r="H1285" s="68"/>
      <c r="I1285" s="68"/>
      <c r="J1285" s="68"/>
      <c r="K1285" s="73"/>
      <c r="L1285" s="68"/>
      <c r="M1285" s="68"/>
      <c r="N1285" s="68"/>
      <c r="O1285" s="68"/>
      <c r="P1285" s="65"/>
      <c r="Q1285" s="103"/>
      <c r="R1285" s="103"/>
      <c r="S1285" s="103"/>
      <c r="T1285" s="103"/>
      <c r="U1285" s="68"/>
      <c r="V1285" s="69"/>
      <c r="W1285" s="68"/>
      <c r="X1285" s="68"/>
      <c r="Y1285" s="68"/>
      <c r="Z1285" s="68"/>
      <c r="AA1285" s="68"/>
      <c r="AB1285" s="68"/>
      <c r="AC1285" s="68"/>
      <c r="AD1285" s="68"/>
      <c r="AE1285" s="68"/>
      <c r="AF1285" s="68"/>
      <c r="AG1285" s="68"/>
      <c r="AH1285" s="68"/>
      <c r="AI1285" s="68"/>
      <c r="AJ1285" s="68"/>
      <c r="AK1285" s="68"/>
      <c r="AL1285" s="68"/>
      <c r="AM1285" s="68"/>
      <c r="AN1285" s="68"/>
      <c r="AO1285" s="68"/>
      <c r="AP1285" s="68"/>
      <c r="AQ1285" s="68"/>
      <c r="AR1285" s="68"/>
      <c r="AS1285" s="68"/>
      <c r="AT1285" s="68"/>
      <c r="AU1285" s="68"/>
      <c r="AV1285" s="68"/>
      <c r="AW1285" s="68"/>
      <c r="AX1285" s="68"/>
      <c r="AY1285" s="68"/>
      <c r="AZ1285" s="68"/>
      <c r="BA1285" s="68"/>
      <c r="BB1285" s="68"/>
      <c r="BC1285" s="68"/>
      <c r="BD1285" s="68"/>
      <c r="BE1285" s="68"/>
      <c r="BF1285" s="68"/>
      <c r="BG1285" s="68"/>
      <c r="BH1285" s="68"/>
      <c r="BI1285" s="68"/>
      <c r="BJ1285" s="68"/>
      <c r="BK1285" s="68"/>
      <c r="BL1285" s="68"/>
      <c r="BM1285" s="68"/>
      <c r="BN1285" s="68"/>
      <c r="BO1285" s="68"/>
      <c r="BP1285" s="68"/>
      <c r="BQ1285" s="68"/>
      <c r="BR1285" s="68"/>
      <c r="BS1285" s="68"/>
      <c r="BT1285" s="68"/>
      <c r="BU1285" s="68"/>
      <c r="BV1285" s="68"/>
      <c r="BW1285" s="68"/>
      <c r="BX1285" s="68"/>
      <c r="BY1285" s="68"/>
      <c r="BZ1285" s="68"/>
      <c r="CA1285" s="68"/>
      <c r="CB1285" s="68"/>
      <c r="CC1285" s="68"/>
      <c r="CD1285" s="68"/>
      <c r="CE1285" s="68"/>
      <c r="CF1285" s="68"/>
      <c r="CG1285" s="68"/>
      <c r="CH1285" s="68"/>
      <c r="CI1285" s="68"/>
      <c r="CJ1285" s="68"/>
      <c r="CK1285" s="68"/>
      <c r="CL1285" s="68"/>
      <c r="CM1285" s="68"/>
      <c r="CN1285" s="68"/>
      <c r="CO1285" s="68"/>
      <c r="CP1285" s="68"/>
      <c r="CQ1285" s="68"/>
      <c r="CR1285" s="68"/>
      <c r="CS1285" s="68"/>
      <c r="CT1285" s="68"/>
      <c r="CU1285" s="68"/>
      <c r="CV1285" s="68"/>
      <c r="CW1285" s="68"/>
      <c r="CX1285" s="68"/>
    </row>
    <row r="1286" spans="4:102" s="71" customFormat="1" hidden="1">
      <c r="D1286" s="69"/>
      <c r="E1286" s="68"/>
      <c r="F1286" s="68"/>
      <c r="G1286" s="68"/>
      <c r="H1286" s="68"/>
      <c r="I1286" s="68"/>
      <c r="J1286" s="68"/>
      <c r="K1286" s="73"/>
      <c r="L1286" s="68"/>
      <c r="M1286" s="68"/>
      <c r="N1286" s="68"/>
      <c r="O1286" s="68"/>
      <c r="P1286" s="65"/>
      <c r="Q1286" s="103"/>
      <c r="R1286" s="103"/>
      <c r="S1286" s="103"/>
      <c r="T1286" s="103"/>
      <c r="U1286" s="68"/>
      <c r="V1286" s="69"/>
      <c r="W1286" s="68"/>
      <c r="X1286" s="68"/>
      <c r="Y1286" s="68"/>
      <c r="Z1286" s="68"/>
      <c r="AA1286" s="68"/>
      <c r="AB1286" s="68"/>
      <c r="AC1286" s="68"/>
      <c r="AD1286" s="68"/>
      <c r="AE1286" s="68"/>
      <c r="AF1286" s="68"/>
      <c r="AG1286" s="68"/>
      <c r="AH1286" s="68"/>
      <c r="AI1286" s="68"/>
      <c r="AJ1286" s="68"/>
      <c r="AK1286" s="68"/>
      <c r="AL1286" s="68"/>
      <c r="AM1286" s="68"/>
      <c r="AN1286" s="68"/>
      <c r="AO1286" s="68"/>
      <c r="AP1286" s="68"/>
      <c r="AQ1286" s="68"/>
      <c r="AR1286" s="68"/>
      <c r="AS1286" s="68"/>
      <c r="AT1286" s="68"/>
      <c r="AU1286" s="68"/>
      <c r="AV1286" s="68"/>
      <c r="AW1286" s="68"/>
      <c r="AX1286" s="68"/>
      <c r="AY1286" s="68"/>
      <c r="AZ1286" s="68"/>
      <c r="BA1286" s="68"/>
      <c r="BB1286" s="68"/>
      <c r="BC1286" s="68"/>
      <c r="BD1286" s="68"/>
      <c r="BE1286" s="68"/>
      <c r="BF1286" s="68"/>
      <c r="BG1286" s="68"/>
      <c r="BH1286" s="68"/>
      <c r="BI1286" s="68"/>
      <c r="BJ1286" s="68"/>
      <c r="BK1286" s="68"/>
      <c r="BL1286" s="68"/>
      <c r="BM1286" s="68"/>
      <c r="BN1286" s="68"/>
      <c r="BO1286" s="68"/>
      <c r="BP1286" s="68"/>
      <c r="BQ1286" s="68"/>
      <c r="BR1286" s="68"/>
      <c r="BS1286" s="68"/>
      <c r="BT1286" s="68"/>
      <c r="BU1286" s="68"/>
      <c r="BV1286" s="68"/>
      <c r="BW1286" s="68"/>
      <c r="BX1286" s="68"/>
      <c r="BY1286" s="68"/>
      <c r="BZ1286" s="68"/>
      <c r="CA1286" s="68"/>
      <c r="CB1286" s="68"/>
      <c r="CC1286" s="68"/>
      <c r="CD1286" s="68"/>
      <c r="CE1286" s="68"/>
      <c r="CF1286" s="68"/>
      <c r="CG1286" s="68"/>
      <c r="CH1286" s="68"/>
      <c r="CI1286" s="68"/>
      <c r="CJ1286" s="68"/>
      <c r="CK1286" s="68"/>
      <c r="CL1286" s="68"/>
      <c r="CM1286" s="68"/>
      <c r="CN1286" s="68"/>
      <c r="CO1286" s="68"/>
      <c r="CP1286" s="68"/>
      <c r="CQ1286" s="68"/>
      <c r="CR1286" s="68"/>
      <c r="CS1286" s="68"/>
      <c r="CT1286" s="68"/>
      <c r="CU1286" s="68"/>
      <c r="CV1286" s="68"/>
      <c r="CW1286" s="68"/>
      <c r="CX1286" s="68"/>
    </row>
    <row r="1287" spans="4:102" s="71" customFormat="1" hidden="1">
      <c r="D1287" s="69"/>
      <c r="E1287" s="68"/>
      <c r="F1287" s="68"/>
      <c r="G1287" s="68"/>
      <c r="H1287" s="68"/>
      <c r="I1287" s="68"/>
      <c r="J1287" s="68"/>
      <c r="K1287" s="73"/>
      <c r="L1287" s="68"/>
      <c r="M1287" s="68"/>
      <c r="N1287" s="68"/>
      <c r="O1287" s="68"/>
      <c r="P1287" s="65"/>
      <c r="Q1287" s="103"/>
      <c r="R1287" s="103"/>
      <c r="S1287" s="103"/>
      <c r="T1287" s="103"/>
      <c r="U1287" s="68"/>
      <c r="V1287" s="69"/>
      <c r="W1287" s="68"/>
      <c r="X1287" s="68"/>
      <c r="Y1287" s="68"/>
      <c r="Z1287" s="68"/>
      <c r="AA1287" s="68"/>
      <c r="AB1287" s="68"/>
      <c r="AC1287" s="68"/>
      <c r="AD1287" s="68"/>
      <c r="AE1287" s="68"/>
      <c r="AF1287" s="68"/>
      <c r="AG1287" s="68"/>
      <c r="AH1287" s="68"/>
      <c r="AI1287" s="68"/>
      <c r="AJ1287" s="68"/>
      <c r="AK1287" s="68"/>
      <c r="AL1287" s="68"/>
      <c r="AM1287" s="68"/>
      <c r="AN1287" s="68"/>
      <c r="AO1287" s="68"/>
      <c r="AP1287" s="68"/>
      <c r="AQ1287" s="68"/>
      <c r="AR1287" s="68"/>
      <c r="AS1287" s="68"/>
      <c r="AT1287" s="68"/>
      <c r="AU1287" s="68"/>
      <c r="AV1287" s="68"/>
      <c r="AW1287" s="68"/>
      <c r="AX1287" s="68"/>
      <c r="AY1287" s="68"/>
      <c r="AZ1287" s="68"/>
      <c r="BA1287" s="68"/>
      <c r="BB1287" s="68"/>
      <c r="BC1287" s="68"/>
      <c r="BD1287" s="68"/>
      <c r="BE1287" s="68"/>
      <c r="BF1287" s="68"/>
      <c r="BG1287" s="68"/>
      <c r="BH1287" s="68"/>
      <c r="BI1287" s="68"/>
      <c r="BJ1287" s="68"/>
      <c r="BK1287" s="68"/>
      <c r="BL1287" s="68"/>
      <c r="BM1287" s="68"/>
      <c r="BN1287" s="68"/>
      <c r="BO1287" s="68"/>
      <c r="BP1287" s="68"/>
      <c r="BQ1287" s="68"/>
      <c r="BR1287" s="68"/>
      <c r="BS1287" s="68"/>
      <c r="BT1287" s="68"/>
      <c r="BU1287" s="68"/>
      <c r="BV1287" s="68"/>
      <c r="BW1287" s="68"/>
      <c r="BX1287" s="68"/>
      <c r="BY1287" s="68"/>
      <c r="BZ1287" s="68"/>
      <c r="CA1287" s="68"/>
      <c r="CB1287" s="68"/>
      <c r="CC1287" s="68"/>
      <c r="CD1287" s="68"/>
      <c r="CE1287" s="68"/>
      <c r="CF1287" s="68"/>
      <c r="CG1287" s="68"/>
      <c r="CH1287" s="68"/>
      <c r="CI1287" s="68"/>
      <c r="CJ1287" s="68"/>
      <c r="CK1287" s="68"/>
      <c r="CL1287" s="68"/>
      <c r="CM1287" s="68"/>
      <c r="CN1287" s="68"/>
      <c r="CO1287" s="68"/>
      <c r="CP1287" s="68"/>
      <c r="CQ1287" s="68"/>
      <c r="CR1287" s="68"/>
      <c r="CS1287" s="68"/>
      <c r="CT1287" s="68"/>
      <c r="CU1287" s="68"/>
      <c r="CV1287" s="68"/>
      <c r="CW1287" s="68"/>
      <c r="CX1287" s="68"/>
    </row>
    <row r="1288" spans="4:102" s="71" customFormat="1" hidden="1">
      <c r="D1288" s="69"/>
      <c r="E1288" s="68"/>
      <c r="F1288" s="68"/>
      <c r="G1288" s="68"/>
      <c r="H1288" s="68"/>
      <c r="I1288" s="68"/>
      <c r="J1288" s="68"/>
      <c r="K1288" s="73"/>
      <c r="L1288" s="68"/>
      <c r="M1288" s="68"/>
      <c r="N1288" s="68"/>
      <c r="O1288" s="68"/>
      <c r="P1288" s="65"/>
      <c r="Q1288" s="103"/>
      <c r="R1288" s="103"/>
      <c r="S1288" s="103"/>
      <c r="T1288" s="103"/>
      <c r="U1288" s="68"/>
      <c r="V1288" s="69"/>
      <c r="W1288" s="68"/>
      <c r="X1288" s="68"/>
      <c r="Y1288" s="68"/>
      <c r="Z1288" s="68"/>
      <c r="AA1288" s="68"/>
      <c r="AB1288" s="68"/>
      <c r="AC1288" s="68"/>
      <c r="AD1288" s="68"/>
      <c r="AE1288" s="68"/>
      <c r="AF1288" s="68"/>
      <c r="AG1288" s="68"/>
      <c r="AH1288" s="68"/>
      <c r="AI1288" s="68"/>
      <c r="AJ1288" s="68"/>
      <c r="AK1288" s="68"/>
      <c r="AL1288" s="68"/>
      <c r="AM1288" s="68"/>
      <c r="AN1288" s="68"/>
      <c r="AO1288" s="68"/>
      <c r="AP1288" s="68"/>
      <c r="AQ1288" s="68"/>
      <c r="AR1288" s="68"/>
      <c r="AS1288" s="68"/>
      <c r="AT1288" s="68"/>
      <c r="AU1288" s="68"/>
      <c r="AV1288" s="68"/>
      <c r="AW1288" s="68"/>
      <c r="AX1288" s="68"/>
      <c r="AY1288" s="68"/>
      <c r="AZ1288" s="68"/>
      <c r="BA1288" s="68"/>
      <c r="BB1288" s="68"/>
      <c r="BC1288" s="68"/>
      <c r="BD1288" s="68"/>
      <c r="BE1288" s="68"/>
      <c r="BF1288" s="68"/>
      <c r="BG1288" s="68"/>
      <c r="BH1288" s="68"/>
      <c r="BI1288" s="68"/>
      <c r="BJ1288" s="68"/>
      <c r="BK1288" s="68"/>
      <c r="BL1288" s="68"/>
      <c r="BM1288" s="68"/>
      <c r="BN1288" s="68"/>
      <c r="BO1288" s="68"/>
      <c r="BP1288" s="68"/>
      <c r="BQ1288" s="68"/>
      <c r="BR1288" s="68"/>
      <c r="BS1288" s="68"/>
      <c r="BT1288" s="68"/>
      <c r="BU1288" s="68"/>
      <c r="BV1288" s="68"/>
      <c r="BW1288" s="68"/>
      <c r="BX1288" s="68"/>
      <c r="BY1288" s="68"/>
      <c r="BZ1288" s="68"/>
      <c r="CA1288" s="68"/>
      <c r="CB1288" s="68"/>
      <c r="CC1288" s="68"/>
      <c r="CD1288" s="68"/>
      <c r="CE1288" s="68"/>
      <c r="CF1288" s="68"/>
      <c r="CG1288" s="68"/>
      <c r="CH1288" s="68"/>
      <c r="CI1288" s="68"/>
      <c r="CJ1288" s="68"/>
      <c r="CK1288" s="68"/>
      <c r="CL1288" s="68"/>
      <c r="CM1288" s="68"/>
      <c r="CN1288" s="68"/>
      <c r="CO1288" s="68"/>
      <c r="CP1288" s="68"/>
      <c r="CQ1288" s="68"/>
      <c r="CR1288" s="68"/>
      <c r="CS1288" s="68"/>
      <c r="CT1288" s="68"/>
      <c r="CU1288" s="68"/>
      <c r="CV1288" s="68"/>
      <c r="CW1288" s="68"/>
      <c r="CX1288" s="68"/>
    </row>
    <row r="1289" spans="4:102" s="71" customFormat="1" hidden="1">
      <c r="D1289" s="69"/>
      <c r="E1289" s="68"/>
      <c r="F1289" s="68"/>
      <c r="G1289" s="68"/>
      <c r="H1289" s="68"/>
      <c r="I1289" s="68"/>
      <c r="J1289" s="68"/>
      <c r="K1289" s="73"/>
      <c r="L1289" s="68"/>
      <c r="M1289" s="68"/>
      <c r="N1289" s="68"/>
      <c r="O1289" s="68"/>
      <c r="P1289" s="65"/>
      <c r="Q1289" s="103"/>
      <c r="R1289" s="103"/>
      <c r="S1289" s="103"/>
      <c r="T1289" s="103"/>
      <c r="U1289" s="68"/>
      <c r="V1289" s="69"/>
      <c r="W1289" s="68"/>
      <c r="X1289" s="68"/>
      <c r="Y1289" s="68"/>
      <c r="Z1289" s="68"/>
      <c r="AA1289" s="68"/>
      <c r="AB1289" s="68"/>
      <c r="AC1289" s="68"/>
      <c r="AD1289" s="68"/>
      <c r="AE1289" s="68"/>
      <c r="AF1289" s="68"/>
      <c r="AG1289" s="68"/>
      <c r="AH1289" s="68"/>
      <c r="AI1289" s="68"/>
      <c r="AJ1289" s="68"/>
      <c r="AK1289" s="68"/>
      <c r="AL1289" s="68"/>
      <c r="AM1289" s="68"/>
      <c r="AN1289" s="68"/>
      <c r="AO1289" s="68"/>
      <c r="AP1289" s="68"/>
      <c r="AQ1289" s="68"/>
      <c r="AR1289" s="68"/>
      <c r="AS1289" s="68"/>
      <c r="AT1289" s="68"/>
      <c r="AU1289" s="68"/>
      <c r="AV1289" s="68"/>
      <c r="AW1289" s="68"/>
      <c r="AX1289" s="68"/>
      <c r="AY1289" s="68"/>
      <c r="AZ1289" s="68"/>
      <c r="BA1289" s="68"/>
      <c r="BB1289" s="68"/>
      <c r="BC1289" s="68"/>
      <c r="BD1289" s="68"/>
      <c r="BE1289" s="68"/>
      <c r="BF1289" s="68"/>
      <c r="BG1289" s="68"/>
      <c r="BH1289" s="68"/>
      <c r="BI1289" s="68"/>
      <c r="BJ1289" s="68"/>
      <c r="BK1289" s="68"/>
      <c r="BL1289" s="68"/>
      <c r="BM1289" s="68"/>
      <c r="BN1289" s="68"/>
      <c r="BO1289" s="68"/>
      <c r="BP1289" s="68"/>
      <c r="BQ1289" s="68"/>
      <c r="BR1289" s="68"/>
      <c r="BS1289" s="68"/>
      <c r="BT1289" s="68"/>
      <c r="BU1289" s="68"/>
      <c r="BV1289" s="68"/>
      <c r="BW1289" s="68"/>
      <c r="BX1289" s="68"/>
      <c r="BY1289" s="68"/>
      <c r="BZ1289" s="68"/>
      <c r="CA1289" s="68"/>
      <c r="CB1289" s="68"/>
      <c r="CC1289" s="68"/>
      <c r="CD1289" s="68"/>
      <c r="CE1289" s="68"/>
      <c r="CF1289" s="68"/>
      <c r="CG1289" s="68"/>
      <c r="CH1289" s="68"/>
      <c r="CI1289" s="68"/>
      <c r="CJ1289" s="68"/>
      <c r="CK1289" s="68"/>
      <c r="CL1289" s="68"/>
      <c r="CM1289" s="68"/>
      <c r="CN1289" s="68"/>
      <c r="CO1289" s="68"/>
      <c r="CP1289" s="68"/>
      <c r="CQ1289" s="68"/>
      <c r="CR1289" s="68"/>
      <c r="CS1289" s="68"/>
      <c r="CT1289" s="68"/>
      <c r="CU1289" s="68"/>
      <c r="CV1289" s="68"/>
      <c r="CW1289" s="68"/>
      <c r="CX1289" s="68"/>
    </row>
    <row r="1290" spans="4:102" s="71" customFormat="1" hidden="1">
      <c r="D1290" s="69"/>
      <c r="E1290" s="68"/>
      <c r="F1290" s="68"/>
      <c r="G1290" s="68"/>
      <c r="H1290" s="68"/>
      <c r="I1290" s="68"/>
      <c r="J1290" s="68"/>
      <c r="K1290" s="73"/>
      <c r="L1290" s="68"/>
      <c r="M1290" s="68"/>
      <c r="N1290" s="68"/>
      <c r="O1290" s="68"/>
      <c r="P1290" s="65"/>
      <c r="Q1290" s="103"/>
      <c r="R1290" s="103"/>
      <c r="S1290" s="103"/>
      <c r="T1290" s="103"/>
      <c r="U1290" s="68"/>
      <c r="V1290" s="69"/>
      <c r="W1290" s="68"/>
      <c r="X1290" s="68"/>
      <c r="Y1290" s="68"/>
      <c r="Z1290" s="68"/>
      <c r="AA1290" s="68"/>
      <c r="AB1290" s="68"/>
      <c r="AC1290" s="68"/>
      <c r="AD1290" s="68"/>
      <c r="AE1290" s="68"/>
      <c r="AF1290" s="68"/>
      <c r="AG1290" s="68"/>
      <c r="AH1290" s="68"/>
      <c r="AI1290" s="68"/>
      <c r="AJ1290" s="68"/>
      <c r="AK1290" s="68"/>
      <c r="AL1290" s="68"/>
      <c r="AM1290" s="68"/>
      <c r="AN1290" s="68"/>
      <c r="AO1290" s="68"/>
      <c r="AP1290" s="68"/>
      <c r="AQ1290" s="68"/>
      <c r="AR1290" s="68"/>
      <c r="AS1290" s="68"/>
      <c r="AT1290" s="68"/>
      <c r="AU1290" s="68"/>
      <c r="AV1290" s="68"/>
      <c r="AW1290" s="68"/>
      <c r="AX1290" s="68"/>
      <c r="AY1290" s="68"/>
      <c r="AZ1290" s="68"/>
      <c r="BA1290" s="68"/>
      <c r="BB1290" s="68"/>
      <c r="BC1290" s="68"/>
      <c r="BD1290" s="68"/>
      <c r="BE1290" s="68"/>
      <c r="BF1290" s="68"/>
      <c r="BG1290" s="68"/>
      <c r="BH1290" s="68"/>
      <c r="BI1290" s="68"/>
      <c r="BJ1290" s="68"/>
      <c r="BK1290" s="68"/>
      <c r="BL1290" s="68"/>
      <c r="BM1290" s="68"/>
      <c r="BN1290" s="68"/>
      <c r="BO1290" s="68"/>
      <c r="BP1290" s="68"/>
      <c r="BQ1290" s="68"/>
      <c r="BR1290" s="68"/>
      <c r="BS1290" s="68"/>
      <c r="BT1290" s="68"/>
      <c r="BU1290" s="68"/>
      <c r="BV1290" s="68"/>
      <c r="BW1290" s="68"/>
      <c r="BX1290" s="68"/>
      <c r="BY1290" s="68"/>
      <c r="BZ1290" s="68"/>
      <c r="CA1290" s="68"/>
      <c r="CB1290" s="68"/>
      <c r="CC1290" s="68"/>
      <c r="CD1290" s="68"/>
      <c r="CE1290" s="68"/>
      <c r="CF1290" s="68"/>
      <c r="CG1290" s="68"/>
      <c r="CH1290" s="68"/>
      <c r="CI1290" s="68"/>
      <c r="CJ1290" s="68"/>
      <c r="CK1290" s="68"/>
      <c r="CL1290" s="68"/>
      <c r="CM1290" s="68"/>
      <c r="CN1290" s="68"/>
      <c r="CO1290" s="68"/>
      <c r="CP1290" s="68"/>
      <c r="CQ1290" s="68"/>
      <c r="CR1290" s="68"/>
      <c r="CS1290" s="68"/>
      <c r="CT1290" s="68"/>
      <c r="CU1290" s="68"/>
      <c r="CV1290" s="68"/>
      <c r="CW1290" s="68"/>
      <c r="CX1290" s="68"/>
    </row>
    <row r="1291" spans="4:102" s="71" customFormat="1" hidden="1">
      <c r="D1291" s="69"/>
      <c r="E1291" s="68"/>
      <c r="F1291" s="68"/>
      <c r="G1291" s="68"/>
      <c r="H1291" s="68"/>
      <c r="I1291" s="68"/>
      <c r="J1291" s="68"/>
      <c r="K1291" s="73"/>
      <c r="L1291" s="68"/>
      <c r="M1291" s="68"/>
      <c r="N1291" s="68"/>
      <c r="O1291" s="68"/>
      <c r="P1291" s="65"/>
      <c r="Q1291" s="103"/>
      <c r="R1291" s="103"/>
      <c r="S1291" s="103"/>
      <c r="T1291" s="103"/>
      <c r="U1291" s="68"/>
      <c r="V1291" s="69"/>
      <c r="W1291" s="68"/>
      <c r="X1291" s="68"/>
      <c r="Y1291" s="68"/>
      <c r="Z1291" s="68"/>
      <c r="AA1291" s="68"/>
      <c r="AB1291" s="68"/>
      <c r="AC1291" s="68"/>
      <c r="AD1291" s="68"/>
      <c r="AE1291" s="68"/>
      <c r="AF1291" s="68"/>
      <c r="AG1291" s="68"/>
      <c r="AH1291" s="68"/>
      <c r="AI1291" s="68"/>
      <c r="AJ1291" s="68"/>
      <c r="AK1291" s="68"/>
      <c r="AL1291" s="68"/>
      <c r="AM1291" s="68"/>
      <c r="AN1291" s="68"/>
      <c r="AO1291" s="68"/>
      <c r="AP1291" s="68"/>
      <c r="AQ1291" s="68"/>
      <c r="AR1291" s="68"/>
      <c r="AS1291" s="68"/>
      <c r="AT1291" s="68"/>
      <c r="AU1291" s="68"/>
      <c r="AV1291" s="68"/>
      <c r="AW1291" s="68"/>
      <c r="AX1291" s="68"/>
      <c r="AY1291" s="68"/>
      <c r="AZ1291" s="68"/>
      <c r="BA1291" s="68"/>
      <c r="BB1291" s="68"/>
      <c r="BC1291" s="68"/>
      <c r="BD1291" s="68"/>
      <c r="BE1291" s="68"/>
      <c r="BF1291" s="68"/>
      <c r="BG1291" s="68"/>
      <c r="BH1291" s="68"/>
      <c r="BI1291" s="68"/>
      <c r="BJ1291" s="68"/>
      <c r="BK1291" s="68"/>
      <c r="BL1291" s="68"/>
      <c r="BM1291" s="68"/>
      <c r="BN1291" s="68"/>
      <c r="BO1291" s="68"/>
      <c r="BP1291" s="68"/>
      <c r="BQ1291" s="68"/>
      <c r="BR1291" s="68"/>
      <c r="BS1291" s="68"/>
      <c r="BT1291" s="68"/>
      <c r="BU1291" s="68"/>
      <c r="BV1291" s="68"/>
      <c r="BW1291" s="68"/>
      <c r="BX1291" s="68"/>
      <c r="BY1291" s="68"/>
      <c r="BZ1291" s="68"/>
      <c r="CA1291" s="68"/>
      <c r="CB1291" s="68"/>
      <c r="CC1291" s="68"/>
      <c r="CD1291" s="68"/>
      <c r="CE1291" s="68"/>
      <c r="CF1291" s="68"/>
      <c r="CG1291" s="68"/>
      <c r="CH1291" s="68"/>
      <c r="CI1291" s="68"/>
      <c r="CJ1291" s="68"/>
      <c r="CK1291" s="68"/>
      <c r="CL1291" s="68"/>
      <c r="CM1291" s="68"/>
      <c r="CN1291" s="68"/>
      <c r="CO1291" s="68"/>
      <c r="CP1291" s="68"/>
      <c r="CQ1291" s="68"/>
      <c r="CR1291" s="68"/>
      <c r="CS1291" s="68"/>
      <c r="CT1291" s="68"/>
      <c r="CU1291" s="68"/>
      <c r="CV1291" s="68"/>
      <c r="CW1291" s="68"/>
      <c r="CX1291" s="68"/>
    </row>
    <row r="1292" spans="4:102" s="71" customFormat="1" hidden="1">
      <c r="D1292" s="69"/>
      <c r="E1292" s="68"/>
      <c r="F1292" s="68"/>
      <c r="G1292" s="68"/>
      <c r="H1292" s="68"/>
      <c r="I1292" s="68"/>
      <c r="J1292" s="68"/>
      <c r="K1292" s="73"/>
      <c r="L1292" s="68"/>
      <c r="M1292" s="68"/>
      <c r="N1292" s="68"/>
      <c r="O1292" s="68"/>
      <c r="P1292" s="65"/>
      <c r="Q1292" s="103"/>
      <c r="R1292" s="103"/>
      <c r="S1292" s="103"/>
      <c r="T1292" s="103"/>
      <c r="U1292" s="68"/>
      <c r="V1292" s="69"/>
      <c r="W1292" s="68"/>
      <c r="X1292" s="68"/>
      <c r="Y1292" s="68"/>
      <c r="Z1292" s="68"/>
      <c r="AA1292" s="68"/>
      <c r="AB1292" s="68"/>
      <c r="AC1292" s="68"/>
      <c r="AD1292" s="68"/>
      <c r="AE1292" s="68"/>
      <c r="AF1292" s="68"/>
      <c r="AG1292" s="68"/>
      <c r="AH1292" s="68"/>
      <c r="AI1292" s="68"/>
      <c r="AJ1292" s="68"/>
      <c r="AK1292" s="68"/>
      <c r="AL1292" s="68"/>
      <c r="AM1292" s="68"/>
      <c r="AN1292" s="68"/>
      <c r="AO1292" s="68"/>
      <c r="AP1292" s="68"/>
      <c r="AQ1292" s="68"/>
      <c r="AR1292" s="68"/>
      <c r="AS1292" s="68"/>
      <c r="AT1292" s="68"/>
      <c r="AU1292" s="68"/>
      <c r="AV1292" s="68"/>
      <c r="AW1292" s="68"/>
      <c r="AX1292" s="68"/>
      <c r="AY1292" s="68"/>
      <c r="AZ1292" s="68"/>
      <c r="BA1292" s="68"/>
      <c r="BB1292" s="68"/>
      <c r="BC1292" s="68"/>
      <c r="BD1292" s="68"/>
      <c r="BE1292" s="68"/>
      <c r="BF1292" s="68"/>
      <c r="BG1292" s="68"/>
      <c r="BH1292" s="68"/>
      <c r="BI1292" s="68"/>
      <c r="BJ1292" s="68"/>
      <c r="BK1292" s="68"/>
      <c r="BL1292" s="68"/>
      <c r="BM1292" s="68"/>
      <c r="BN1292" s="68"/>
      <c r="BO1292" s="68"/>
      <c r="BP1292" s="68"/>
      <c r="BQ1292" s="68"/>
      <c r="BR1292" s="68"/>
      <c r="BS1292" s="68"/>
      <c r="BT1292" s="68"/>
      <c r="BU1292" s="68"/>
      <c r="BV1292" s="68"/>
      <c r="BW1292" s="68"/>
      <c r="BX1292" s="68"/>
      <c r="BY1292" s="68"/>
      <c r="BZ1292" s="68"/>
      <c r="CA1292" s="68"/>
      <c r="CB1292" s="68"/>
      <c r="CC1292" s="68"/>
      <c r="CD1292" s="68"/>
      <c r="CE1292" s="68"/>
      <c r="CF1292" s="68"/>
      <c r="CG1292" s="68"/>
      <c r="CH1292" s="68"/>
      <c r="CI1292" s="68"/>
      <c r="CJ1292" s="68"/>
      <c r="CK1292" s="68"/>
      <c r="CL1292" s="68"/>
      <c r="CM1292" s="68"/>
      <c r="CN1292" s="68"/>
      <c r="CO1292" s="68"/>
      <c r="CP1292" s="68"/>
      <c r="CQ1292" s="68"/>
      <c r="CR1292" s="68"/>
      <c r="CS1292" s="68"/>
      <c r="CT1292" s="68"/>
      <c r="CU1292" s="68"/>
      <c r="CV1292" s="68"/>
      <c r="CW1292" s="68"/>
      <c r="CX1292" s="68"/>
    </row>
    <row r="1293" spans="4:102" s="71" customFormat="1" hidden="1">
      <c r="D1293" s="69"/>
      <c r="E1293" s="68"/>
      <c r="F1293" s="68"/>
      <c r="G1293" s="68"/>
      <c r="H1293" s="68"/>
      <c r="I1293" s="68"/>
      <c r="J1293" s="68"/>
      <c r="K1293" s="73"/>
      <c r="L1293" s="68"/>
      <c r="M1293" s="68"/>
      <c r="N1293" s="68"/>
      <c r="O1293" s="68"/>
      <c r="P1293" s="65"/>
      <c r="Q1293" s="103"/>
      <c r="R1293" s="103"/>
      <c r="S1293" s="103"/>
      <c r="T1293" s="103"/>
      <c r="U1293" s="68"/>
      <c r="V1293" s="69"/>
      <c r="W1293" s="68"/>
      <c r="X1293" s="68"/>
      <c r="Y1293" s="68"/>
      <c r="Z1293" s="68"/>
      <c r="AA1293" s="68"/>
      <c r="AB1293" s="68"/>
      <c r="AC1293" s="68"/>
      <c r="AD1293" s="68"/>
      <c r="AE1293" s="68"/>
      <c r="AF1293" s="68"/>
      <c r="AG1293" s="68"/>
      <c r="AH1293" s="68"/>
      <c r="AI1293" s="68"/>
      <c r="AJ1293" s="68"/>
      <c r="AK1293" s="68"/>
      <c r="AL1293" s="68"/>
      <c r="AM1293" s="68"/>
      <c r="AN1293" s="68"/>
      <c r="AO1293" s="68"/>
      <c r="AP1293" s="68"/>
      <c r="AQ1293" s="68"/>
      <c r="AR1293" s="68"/>
      <c r="AS1293" s="68"/>
      <c r="AT1293" s="68"/>
      <c r="AU1293" s="68"/>
      <c r="AV1293" s="68"/>
      <c r="AW1293" s="68"/>
      <c r="AX1293" s="68"/>
      <c r="AY1293" s="68"/>
      <c r="AZ1293" s="68"/>
      <c r="BA1293" s="68"/>
      <c r="BB1293" s="68"/>
      <c r="BC1293" s="68"/>
      <c r="BD1293" s="68"/>
      <c r="BE1293" s="68"/>
      <c r="BF1293" s="68"/>
      <c r="BG1293" s="68"/>
      <c r="BH1293" s="68"/>
      <c r="BI1293" s="68"/>
      <c r="BJ1293" s="68"/>
      <c r="BK1293" s="68"/>
      <c r="BL1293" s="68"/>
      <c r="BM1293" s="68"/>
      <c r="BN1293" s="68"/>
      <c r="BO1293" s="68"/>
      <c r="BP1293" s="68"/>
      <c r="BQ1293" s="68"/>
      <c r="BR1293" s="68"/>
      <c r="BS1293" s="68"/>
      <c r="BT1293" s="68"/>
      <c r="BU1293" s="68"/>
      <c r="BV1293" s="68"/>
      <c r="BW1293" s="68"/>
      <c r="BX1293" s="68"/>
      <c r="BY1293" s="68"/>
      <c r="BZ1293" s="68"/>
      <c r="CA1293" s="68"/>
      <c r="CB1293" s="68"/>
      <c r="CC1293" s="68"/>
      <c r="CD1293" s="68"/>
      <c r="CE1293" s="68"/>
      <c r="CF1293" s="68"/>
      <c r="CG1293" s="68"/>
      <c r="CH1293" s="68"/>
      <c r="CI1293" s="68"/>
      <c r="CJ1293" s="68"/>
      <c r="CK1293" s="68"/>
      <c r="CL1293" s="68"/>
      <c r="CM1293" s="68"/>
      <c r="CN1293" s="68"/>
      <c r="CO1293" s="68"/>
      <c r="CP1293" s="68"/>
      <c r="CQ1293" s="68"/>
      <c r="CR1293" s="68"/>
      <c r="CS1293" s="68"/>
      <c r="CT1293" s="68"/>
      <c r="CU1293" s="68"/>
      <c r="CV1293" s="68"/>
      <c r="CW1293" s="68"/>
      <c r="CX1293" s="68"/>
    </row>
    <row r="1294" spans="4:102" s="71" customFormat="1" hidden="1">
      <c r="D1294" s="69"/>
      <c r="E1294" s="68"/>
      <c r="F1294" s="68"/>
      <c r="G1294" s="68"/>
      <c r="H1294" s="68"/>
      <c r="I1294" s="68"/>
      <c r="J1294" s="68"/>
      <c r="K1294" s="73"/>
      <c r="L1294" s="68"/>
      <c r="M1294" s="68"/>
      <c r="N1294" s="68"/>
      <c r="O1294" s="68"/>
      <c r="P1294" s="65"/>
      <c r="Q1294" s="103"/>
      <c r="R1294" s="103"/>
      <c r="S1294" s="103"/>
      <c r="T1294" s="103"/>
      <c r="U1294" s="68"/>
      <c r="V1294" s="69"/>
      <c r="W1294" s="68"/>
      <c r="X1294" s="68"/>
      <c r="Y1294" s="68"/>
      <c r="Z1294" s="68"/>
      <c r="AA1294" s="68"/>
      <c r="AB1294" s="68"/>
      <c r="AC1294" s="68"/>
      <c r="AD1294" s="68"/>
      <c r="AE1294" s="68"/>
      <c r="AF1294" s="68"/>
      <c r="AG1294" s="68"/>
      <c r="AH1294" s="68"/>
      <c r="AI1294" s="68"/>
      <c r="AJ1294" s="68"/>
      <c r="AK1294" s="68"/>
      <c r="AL1294" s="68"/>
      <c r="AM1294" s="68"/>
      <c r="AN1294" s="68"/>
      <c r="AO1294" s="68"/>
      <c r="AP1294" s="68"/>
      <c r="AQ1294" s="68"/>
      <c r="AR1294" s="68"/>
      <c r="AS1294" s="68"/>
      <c r="AT1294" s="68"/>
      <c r="AU1294" s="68"/>
      <c r="AV1294" s="68"/>
      <c r="AW1294" s="68"/>
      <c r="AX1294" s="68"/>
      <c r="AY1294" s="68"/>
      <c r="AZ1294" s="68"/>
      <c r="BA1294" s="68"/>
      <c r="BB1294" s="68"/>
      <c r="BC1294" s="68"/>
      <c r="BD1294" s="68"/>
      <c r="BE1294" s="68"/>
      <c r="BF1294" s="68"/>
      <c r="BG1294" s="68"/>
      <c r="BH1294" s="68"/>
      <c r="BI1294" s="68"/>
      <c r="BJ1294" s="68"/>
      <c r="BK1294" s="68"/>
      <c r="BL1294" s="68"/>
      <c r="BM1294" s="68"/>
      <c r="BN1294" s="68"/>
      <c r="BO1294" s="68"/>
      <c r="BP1294" s="68"/>
      <c r="BQ1294" s="68"/>
      <c r="BR1294" s="68"/>
      <c r="BS1294" s="68"/>
      <c r="BT1294" s="68"/>
      <c r="BU1294" s="68"/>
      <c r="BV1294" s="68"/>
      <c r="BW1294" s="68"/>
      <c r="BX1294" s="68"/>
      <c r="BY1294" s="68"/>
      <c r="BZ1294" s="68"/>
      <c r="CA1294" s="68"/>
      <c r="CB1294" s="68"/>
      <c r="CC1294" s="68"/>
      <c r="CD1294" s="68"/>
      <c r="CE1294" s="68"/>
      <c r="CF1294" s="68"/>
      <c r="CG1294" s="68"/>
      <c r="CH1294" s="68"/>
      <c r="CI1294" s="68"/>
      <c r="CJ1294" s="68"/>
      <c r="CK1294" s="68"/>
      <c r="CL1294" s="68"/>
      <c r="CM1294" s="68"/>
      <c r="CN1294" s="68"/>
      <c r="CO1294" s="68"/>
      <c r="CP1294" s="68"/>
      <c r="CQ1294" s="68"/>
      <c r="CR1294" s="68"/>
      <c r="CS1294" s="68"/>
      <c r="CT1294" s="68"/>
      <c r="CU1294" s="68"/>
      <c r="CV1294" s="68"/>
      <c r="CW1294" s="68"/>
      <c r="CX1294" s="68"/>
    </row>
    <row r="1295" spans="4:102" s="71" customFormat="1" hidden="1">
      <c r="D1295" s="69"/>
      <c r="E1295" s="68"/>
      <c r="F1295" s="68"/>
      <c r="G1295" s="68"/>
      <c r="H1295" s="68"/>
      <c r="I1295" s="68"/>
      <c r="J1295" s="68"/>
      <c r="K1295" s="73"/>
      <c r="L1295" s="68"/>
      <c r="M1295" s="68"/>
      <c r="N1295" s="68"/>
      <c r="O1295" s="68"/>
      <c r="P1295" s="65"/>
      <c r="Q1295" s="103"/>
      <c r="R1295" s="103"/>
      <c r="S1295" s="103"/>
      <c r="T1295" s="103"/>
      <c r="U1295" s="68"/>
      <c r="V1295" s="69"/>
      <c r="W1295" s="68"/>
      <c r="X1295" s="68"/>
      <c r="Y1295" s="68"/>
      <c r="Z1295" s="68"/>
      <c r="AA1295" s="68"/>
      <c r="AB1295" s="68"/>
      <c r="AC1295" s="68"/>
      <c r="AD1295" s="68"/>
      <c r="AE1295" s="68"/>
      <c r="AF1295" s="68"/>
      <c r="AG1295" s="68"/>
      <c r="AH1295" s="68"/>
      <c r="AI1295" s="68"/>
      <c r="AJ1295" s="68"/>
      <c r="AK1295" s="68"/>
      <c r="AL1295" s="68"/>
      <c r="AM1295" s="68"/>
      <c r="AN1295" s="68"/>
      <c r="AO1295" s="68"/>
      <c r="AP1295" s="68"/>
      <c r="AQ1295" s="68"/>
      <c r="AR1295" s="68"/>
      <c r="AS1295" s="68"/>
      <c r="AT1295" s="68"/>
      <c r="AU1295" s="68"/>
      <c r="AV1295" s="68"/>
      <c r="AW1295" s="68"/>
      <c r="AX1295" s="68"/>
      <c r="AY1295" s="68"/>
      <c r="AZ1295" s="68"/>
      <c r="BA1295" s="68"/>
      <c r="BB1295" s="68"/>
      <c r="BC1295" s="68"/>
      <c r="BD1295" s="68"/>
      <c r="BE1295" s="68"/>
      <c r="BF1295" s="68"/>
      <c r="BG1295" s="68"/>
      <c r="BH1295" s="68"/>
      <c r="BI1295" s="68"/>
      <c r="BJ1295" s="68"/>
      <c r="BK1295" s="68"/>
      <c r="BL1295" s="68"/>
      <c r="BM1295" s="68"/>
      <c r="BN1295" s="68"/>
      <c r="BO1295" s="68"/>
      <c r="BP1295" s="68"/>
      <c r="BQ1295" s="68"/>
      <c r="BR1295" s="68"/>
      <c r="BS1295" s="68"/>
      <c r="BT1295" s="68"/>
      <c r="BU1295" s="68"/>
      <c r="BV1295" s="68"/>
      <c r="BW1295" s="68"/>
      <c r="BX1295" s="68"/>
      <c r="BY1295" s="68"/>
      <c r="BZ1295" s="68"/>
      <c r="CA1295" s="68"/>
      <c r="CB1295" s="68"/>
      <c r="CC1295" s="68"/>
      <c r="CD1295" s="68"/>
      <c r="CE1295" s="68"/>
      <c r="CF1295" s="68"/>
      <c r="CG1295" s="68"/>
      <c r="CH1295" s="68"/>
      <c r="CI1295" s="68"/>
      <c r="CJ1295" s="68"/>
      <c r="CK1295" s="68"/>
      <c r="CL1295" s="68"/>
      <c r="CM1295" s="68"/>
      <c r="CN1295" s="68"/>
      <c r="CO1295" s="68"/>
      <c r="CP1295" s="68"/>
      <c r="CQ1295" s="68"/>
      <c r="CR1295" s="68"/>
      <c r="CS1295" s="68"/>
      <c r="CT1295" s="68"/>
      <c r="CU1295" s="68"/>
      <c r="CV1295" s="68"/>
      <c r="CW1295" s="68"/>
      <c r="CX1295" s="68"/>
    </row>
    <row r="1296" spans="4:102" s="71" customFormat="1" hidden="1">
      <c r="D1296" s="69"/>
      <c r="E1296" s="68"/>
      <c r="F1296" s="68"/>
      <c r="G1296" s="68"/>
      <c r="H1296" s="68"/>
      <c r="I1296" s="68"/>
      <c r="J1296" s="68"/>
      <c r="K1296" s="73"/>
      <c r="L1296" s="68"/>
      <c r="M1296" s="68"/>
      <c r="N1296" s="68"/>
      <c r="O1296" s="68"/>
      <c r="P1296" s="65"/>
      <c r="Q1296" s="103"/>
      <c r="R1296" s="103"/>
      <c r="S1296" s="103"/>
      <c r="T1296" s="103"/>
      <c r="U1296" s="68"/>
      <c r="V1296" s="69"/>
      <c r="W1296" s="68"/>
      <c r="X1296" s="68"/>
      <c r="Y1296" s="68"/>
      <c r="Z1296" s="68"/>
      <c r="AA1296" s="68"/>
      <c r="AB1296" s="68"/>
      <c r="AC1296" s="68"/>
      <c r="AD1296" s="68"/>
      <c r="AE1296" s="68"/>
      <c r="AF1296" s="68"/>
      <c r="AG1296" s="68"/>
      <c r="AH1296" s="68"/>
      <c r="AI1296" s="68"/>
      <c r="AJ1296" s="68"/>
      <c r="AK1296" s="68"/>
      <c r="AL1296" s="68"/>
      <c r="AM1296" s="68"/>
      <c r="AN1296" s="68"/>
      <c r="AO1296" s="68"/>
      <c r="AP1296" s="68"/>
      <c r="AQ1296" s="68"/>
      <c r="AR1296" s="68"/>
      <c r="AS1296" s="68"/>
      <c r="AT1296" s="68"/>
      <c r="AU1296" s="68"/>
      <c r="AV1296" s="68"/>
      <c r="AW1296" s="68"/>
      <c r="AX1296" s="68"/>
      <c r="AY1296" s="68"/>
      <c r="AZ1296" s="68"/>
      <c r="BA1296" s="68"/>
      <c r="BB1296" s="68"/>
      <c r="BC1296" s="68"/>
      <c r="BD1296" s="68"/>
      <c r="BE1296" s="68"/>
      <c r="BF1296" s="68"/>
      <c r="BG1296" s="68"/>
      <c r="BH1296" s="68"/>
      <c r="BI1296" s="68"/>
      <c r="BJ1296" s="68"/>
      <c r="BK1296" s="68"/>
      <c r="BL1296" s="68"/>
      <c r="BM1296" s="68"/>
      <c r="BN1296" s="68"/>
      <c r="BO1296" s="68"/>
      <c r="BP1296" s="68"/>
      <c r="BQ1296" s="68"/>
      <c r="BR1296" s="68"/>
      <c r="BS1296" s="68"/>
      <c r="BT1296" s="68"/>
      <c r="BU1296" s="68"/>
      <c r="BV1296" s="68"/>
      <c r="BW1296" s="68"/>
      <c r="BX1296" s="68"/>
      <c r="BY1296" s="68"/>
      <c r="BZ1296" s="68"/>
      <c r="CA1296" s="68"/>
      <c r="CB1296" s="68"/>
      <c r="CC1296" s="68"/>
      <c r="CD1296" s="68"/>
      <c r="CE1296" s="68"/>
      <c r="CF1296" s="68"/>
      <c r="CG1296" s="68"/>
      <c r="CH1296" s="68"/>
      <c r="CI1296" s="68"/>
      <c r="CJ1296" s="68"/>
      <c r="CK1296" s="68"/>
      <c r="CL1296" s="68"/>
      <c r="CM1296" s="68"/>
      <c r="CN1296" s="68"/>
      <c r="CO1296" s="68"/>
      <c r="CP1296" s="68"/>
      <c r="CQ1296" s="68"/>
      <c r="CR1296" s="68"/>
      <c r="CS1296" s="68"/>
      <c r="CT1296" s="68"/>
      <c r="CU1296" s="68"/>
      <c r="CV1296" s="68"/>
      <c r="CW1296" s="68"/>
      <c r="CX1296" s="68"/>
    </row>
    <row r="1297" spans="4:102" s="71" customFormat="1" hidden="1">
      <c r="D1297" s="69"/>
      <c r="E1297" s="68"/>
      <c r="F1297" s="68"/>
      <c r="G1297" s="68"/>
      <c r="H1297" s="68"/>
      <c r="I1297" s="68"/>
      <c r="J1297" s="68"/>
      <c r="K1297" s="73"/>
      <c r="L1297" s="68"/>
      <c r="M1297" s="68"/>
      <c r="N1297" s="68"/>
      <c r="O1297" s="68"/>
      <c r="P1297" s="65"/>
      <c r="Q1297" s="103"/>
      <c r="R1297" s="103"/>
      <c r="S1297" s="103"/>
      <c r="T1297" s="103"/>
      <c r="U1297" s="68"/>
      <c r="V1297" s="69"/>
      <c r="W1297" s="68"/>
      <c r="X1297" s="68"/>
      <c r="Y1297" s="68"/>
      <c r="Z1297" s="68"/>
      <c r="AA1297" s="68"/>
      <c r="AB1297" s="68"/>
      <c r="AC1297" s="68"/>
      <c r="AD1297" s="68"/>
      <c r="AE1297" s="68"/>
      <c r="AF1297" s="68"/>
      <c r="AG1297" s="68"/>
      <c r="AH1297" s="68"/>
      <c r="AI1297" s="68"/>
      <c r="AJ1297" s="68"/>
      <c r="AK1297" s="68"/>
      <c r="AL1297" s="68"/>
      <c r="AM1297" s="68"/>
      <c r="AN1297" s="68"/>
      <c r="AO1297" s="68"/>
      <c r="AP1297" s="68"/>
      <c r="AQ1297" s="68"/>
      <c r="AR1297" s="68"/>
      <c r="AS1297" s="68"/>
      <c r="AT1297" s="68"/>
      <c r="AU1297" s="68"/>
      <c r="AV1297" s="68"/>
      <c r="AW1297" s="68"/>
      <c r="AX1297" s="68"/>
      <c r="AY1297" s="68"/>
      <c r="AZ1297" s="68"/>
      <c r="BA1297" s="68"/>
      <c r="BB1297" s="68"/>
      <c r="BC1297" s="68"/>
      <c r="BD1297" s="68"/>
      <c r="BE1297" s="68"/>
      <c r="BF1297" s="68"/>
      <c r="BG1297" s="68"/>
      <c r="BH1297" s="68"/>
      <c r="BI1297" s="68"/>
      <c r="BJ1297" s="68"/>
      <c r="BK1297" s="68"/>
      <c r="BL1297" s="68"/>
      <c r="BM1297" s="68"/>
      <c r="BN1297" s="68"/>
      <c r="BO1297" s="68"/>
      <c r="BP1297" s="68"/>
      <c r="BQ1297" s="68"/>
      <c r="BR1297" s="68"/>
      <c r="BS1297" s="68"/>
      <c r="BT1297" s="68"/>
      <c r="BU1297" s="68"/>
      <c r="BV1297" s="68"/>
      <c r="BW1297" s="68"/>
      <c r="BX1297" s="68"/>
      <c r="BY1297" s="68"/>
      <c r="BZ1297" s="68"/>
      <c r="CA1297" s="68"/>
      <c r="CB1297" s="68"/>
      <c r="CC1297" s="68"/>
      <c r="CD1297" s="68"/>
      <c r="CE1297" s="68"/>
      <c r="CF1297" s="68"/>
      <c r="CG1297" s="68"/>
      <c r="CH1297" s="68"/>
      <c r="CI1297" s="68"/>
      <c r="CJ1297" s="68"/>
      <c r="CK1297" s="68"/>
      <c r="CL1297" s="68"/>
      <c r="CM1297" s="68"/>
      <c r="CN1297" s="68"/>
      <c r="CO1297" s="68"/>
      <c r="CP1297" s="68"/>
      <c r="CQ1297" s="68"/>
      <c r="CR1297" s="68"/>
      <c r="CS1297" s="68"/>
      <c r="CT1297" s="68"/>
      <c r="CU1297" s="68"/>
      <c r="CV1297" s="68"/>
      <c r="CW1297" s="68"/>
      <c r="CX1297" s="68"/>
    </row>
    <row r="1298" spans="4:102" s="71" customFormat="1" hidden="1">
      <c r="D1298" s="69"/>
      <c r="E1298" s="68"/>
      <c r="F1298" s="68"/>
      <c r="G1298" s="68"/>
      <c r="H1298" s="68"/>
      <c r="I1298" s="68"/>
      <c r="J1298" s="68"/>
      <c r="K1298" s="73"/>
      <c r="L1298" s="68"/>
      <c r="M1298" s="68"/>
      <c r="N1298" s="68"/>
      <c r="O1298" s="68"/>
      <c r="P1298" s="65"/>
      <c r="Q1298" s="103"/>
      <c r="R1298" s="103"/>
      <c r="S1298" s="103"/>
      <c r="T1298" s="103"/>
      <c r="U1298" s="68"/>
      <c r="V1298" s="69"/>
      <c r="W1298" s="68"/>
      <c r="X1298" s="68"/>
      <c r="Y1298" s="68"/>
      <c r="Z1298" s="68"/>
      <c r="AA1298" s="68"/>
      <c r="AB1298" s="68"/>
      <c r="AC1298" s="68"/>
      <c r="AD1298" s="68"/>
      <c r="AE1298" s="68"/>
      <c r="AF1298" s="68"/>
      <c r="AG1298" s="68"/>
      <c r="AH1298" s="68"/>
      <c r="AI1298" s="68"/>
      <c r="AJ1298" s="68"/>
      <c r="AK1298" s="68"/>
      <c r="AL1298" s="68"/>
      <c r="AM1298" s="68"/>
      <c r="AN1298" s="68"/>
      <c r="AO1298" s="68"/>
      <c r="AP1298" s="68"/>
      <c r="AQ1298" s="68"/>
      <c r="AR1298" s="68"/>
      <c r="AS1298" s="68"/>
      <c r="AT1298" s="68"/>
      <c r="AU1298" s="68"/>
      <c r="AV1298" s="68"/>
      <c r="AW1298" s="68"/>
      <c r="AX1298" s="68"/>
      <c r="AY1298" s="68"/>
      <c r="AZ1298" s="68"/>
      <c r="BA1298" s="68"/>
      <c r="BB1298" s="68"/>
      <c r="BC1298" s="68"/>
      <c r="BD1298" s="68"/>
      <c r="BE1298" s="68"/>
      <c r="BF1298" s="68"/>
      <c r="BG1298" s="68"/>
      <c r="BH1298" s="68"/>
      <c r="BI1298" s="68"/>
      <c r="BJ1298" s="68"/>
      <c r="BK1298" s="68"/>
      <c r="BL1298" s="68"/>
      <c r="BM1298" s="68"/>
      <c r="BN1298" s="68"/>
      <c r="BO1298" s="68"/>
      <c r="BP1298" s="68"/>
      <c r="BQ1298" s="68"/>
      <c r="BR1298" s="68"/>
      <c r="BS1298" s="68"/>
      <c r="BT1298" s="68"/>
      <c r="BU1298" s="68"/>
      <c r="BV1298" s="68"/>
      <c r="BW1298" s="68"/>
      <c r="BX1298" s="68"/>
      <c r="BY1298" s="68"/>
      <c r="BZ1298" s="68"/>
      <c r="CA1298" s="68"/>
      <c r="CB1298" s="68"/>
      <c r="CC1298" s="68"/>
      <c r="CD1298" s="68"/>
      <c r="CE1298" s="68"/>
      <c r="CF1298" s="68"/>
      <c r="CG1298" s="68"/>
      <c r="CH1298" s="68"/>
      <c r="CI1298" s="68"/>
      <c r="CJ1298" s="68"/>
      <c r="CK1298" s="68"/>
      <c r="CL1298" s="68"/>
      <c r="CM1298" s="68"/>
      <c r="CN1298" s="68"/>
      <c r="CO1298" s="68"/>
      <c r="CP1298" s="68"/>
      <c r="CQ1298" s="68"/>
      <c r="CR1298" s="68"/>
      <c r="CS1298" s="68"/>
      <c r="CT1298" s="68"/>
      <c r="CU1298" s="68"/>
      <c r="CV1298" s="68"/>
      <c r="CW1298" s="68"/>
      <c r="CX1298" s="68"/>
    </row>
    <row r="1299" spans="4:102" s="71" customFormat="1" hidden="1">
      <c r="D1299" s="69"/>
      <c r="E1299" s="68"/>
      <c r="F1299" s="68"/>
      <c r="G1299" s="68"/>
      <c r="H1299" s="68"/>
      <c r="I1299" s="68"/>
      <c r="J1299" s="68"/>
      <c r="K1299" s="73"/>
      <c r="L1299" s="68"/>
      <c r="M1299" s="68"/>
      <c r="N1299" s="68"/>
      <c r="O1299" s="68"/>
      <c r="P1299" s="65"/>
      <c r="Q1299" s="103"/>
      <c r="R1299" s="103"/>
      <c r="S1299" s="103"/>
      <c r="T1299" s="103"/>
      <c r="U1299" s="68"/>
      <c r="V1299" s="69"/>
      <c r="W1299" s="68"/>
      <c r="X1299" s="68"/>
      <c r="Y1299" s="68"/>
      <c r="Z1299" s="68"/>
      <c r="AA1299" s="68"/>
      <c r="AB1299" s="68"/>
      <c r="AC1299" s="68"/>
      <c r="AD1299" s="68"/>
      <c r="AE1299" s="68"/>
      <c r="AF1299" s="68"/>
      <c r="AG1299" s="68"/>
      <c r="AH1299" s="68"/>
      <c r="AI1299" s="68"/>
      <c r="AJ1299" s="68"/>
      <c r="AK1299" s="68"/>
      <c r="AL1299" s="68"/>
      <c r="AM1299" s="68"/>
      <c r="AN1299" s="68"/>
      <c r="AO1299" s="68"/>
      <c r="AP1299" s="68"/>
      <c r="AQ1299" s="68"/>
      <c r="AR1299" s="68"/>
      <c r="AS1299" s="68"/>
      <c r="AT1299" s="68"/>
      <c r="AU1299" s="68"/>
      <c r="AV1299" s="68"/>
      <c r="AW1299" s="68"/>
      <c r="AX1299" s="68"/>
      <c r="AY1299" s="68"/>
      <c r="AZ1299" s="68"/>
      <c r="BA1299" s="68"/>
      <c r="BB1299" s="68"/>
      <c r="BC1299" s="68"/>
      <c r="BD1299" s="68"/>
      <c r="BE1299" s="68"/>
      <c r="BF1299" s="68"/>
      <c r="BG1299" s="68"/>
      <c r="BH1299" s="68"/>
      <c r="BI1299" s="68"/>
      <c r="BJ1299" s="68"/>
      <c r="BK1299" s="68"/>
      <c r="BL1299" s="68"/>
      <c r="BM1299" s="68"/>
      <c r="BN1299" s="68"/>
      <c r="BO1299" s="68"/>
      <c r="BP1299" s="68"/>
      <c r="BQ1299" s="68"/>
      <c r="BR1299" s="68"/>
      <c r="BS1299" s="68"/>
      <c r="BT1299" s="68"/>
      <c r="BU1299" s="68"/>
      <c r="BV1299" s="68"/>
      <c r="BW1299" s="68"/>
      <c r="BX1299" s="68"/>
      <c r="BY1299" s="68"/>
      <c r="BZ1299" s="68"/>
      <c r="CA1299" s="68"/>
      <c r="CB1299" s="68"/>
      <c r="CC1299" s="68"/>
      <c r="CD1299" s="68"/>
      <c r="CE1299" s="68"/>
      <c r="CF1299" s="68"/>
      <c r="CG1299" s="68"/>
      <c r="CH1299" s="68"/>
      <c r="CI1299" s="68"/>
      <c r="CJ1299" s="68"/>
      <c r="CK1299" s="68"/>
      <c r="CL1299" s="68"/>
      <c r="CM1299" s="68"/>
      <c r="CN1299" s="68"/>
      <c r="CO1299" s="68"/>
      <c r="CP1299" s="68"/>
      <c r="CQ1299" s="68"/>
      <c r="CR1299" s="68"/>
      <c r="CS1299" s="68"/>
      <c r="CT1299" s="68"/>
      <c r="CU1299" s="68"/>
      <c r="CV1299" s="68"/>
      <c r="CW1299" s="68"/>
      <c r="CX1299" s="68"/>
    </row>
    <row r="1300" spans="4:102" s="71" customFormat="1" hidden="1">
      <c r="D1300" s="69"/>
      <c r="E1300" s="68"/>
      <c r="F1300" s="68"/>
      <c r="G1300" s="68"/>
      <c r="H1300" s="68"/>
      <c r="I1300" s="68"/>
      <c r="J1300" s="68"/>
      <c r="K1300" s="73"/>
      <c r="L1300" s="68"/>
      <c r="M1300" s="68"/>
      <c r="N1300" s="68"/>
      <c r="O1300" s="68"/>
      <c r="P1300" s="65"/>
      <c r="Q1300" s="103"/>
      <c r="R1300" s="103"/>
      <c r="S1300" s="103"/>
      <c r="T1300" s="103"/>
      <c r="U1300" s="68"/>
      <c r="V1300" s="69"/>
      <c r="W1300" s="68"/>
      <c r="X1300" s="68"/>
      <c r="Y1300" s="68"/>
      <c r="Z1300" s="68"/>
      <c r="AA1300" s="68"/>
      <c r="AB1300" s="68"/>
      <c r="AC1300" s="68"/>
      <c r="AD1300" s="68"/>
      <c r="AE1300" s="68"/>
      <c r="AF1300" s="68"/>
      <c r="AG1300" s="68"/>
      <c r="AH1300" s="68"/>
      <c r="AI1300" s="68"/>
      <c r="AJ1300" s="68"/>
      <c r="AK1300" s="68"/>
      <c r="AL1300" s="68"/>
      <c r="AM1300" s="68"/>
      <c r="AN1300" s="68"/>
      <c r="AO1300" s="68"/>
      <c r="AP1300" s="68"/>
      <c r="AQ1300" s="68"/>
      <c r="AR1300" s="68"/>
      <c r="AS1300" s="68"/>
      <c r="AT1300" s="68"/>
      <c r="AU1300" s="68"/>
      <c r="AV1300" s="68"/>
      <c r="AW1300" s="68"/>
      <c r="AX1300" s="68"/>
      <c r="AY1300" s="68"/>
      <c r="AZ1300" s="68"/>
      <c r="BA1300" s="68"/>
      <c r="BB1300" s="68"/>
      <c r="BC1300" s="68"/>
      <c r="BD1300" s="68"/>
      <c r="BE1300" s="68"/>
      <c r="BF1300" s="68"/>
      <c r="BG1300" s="68"/>
      <c r="BH1300" s="68"/>
      <c r="BI1300" s="68"/>
      <c r="BJ1300" s="68"/>
      <c r="BK1300" s="68"/>
      <c r="BL1300" s="68"/>
      <c r="BM1300" s="68"/>
      <c r="BN1300" s="68"/>
      <c r="BO1300" s="68"/>
      <c r="BP1300" s="68"/>
      <c r="BQ1300" s="68"/>
      <c r="BR1300" s="68"/>
      <c r="BS1300" s="68"/>
      <c r="BT1300" s="68"/>
      <c r="BU1300" s="68"/>
      <c r="BV1300" s="68"/>
      <c r="BW1300" s="68"/>
      <c r="BX1300" s="68"/>
      <c r="BY1300" s="68"/>
      <c r="BZ1300" s="68"/>
      <c r="CA1300" s="68"/>
      <c r="CB1300" s="68"/>
      <c r="CC1300" s="68"/>
      <c r="CD1300" s="68"/>
      <c r="CE1300" s="68"/>
      <c r="CF1300" s="68"/>
      <c r="CG1300" s="68"/>
      <c r="CH1300" s="68"/>
      <c r="CI1300" s="68"/>
      <c r="CJ1300" s="68"/>
      <c r="CK1300" s="68"/>
      <c r="CL1300" s="68"/>
      <c r="CM1300" s="68"/>
      <c r="CN1300" s="68"/>
      <c r="CO1300" s="68"/>
      <c r="CP1300" s="68"/>
      <c r="CQ1300" s="68"/>
      <c r="CR1300" s="68"/>
      <c r="CS1300" s="68"/>
      <c r="CT1300" s="68"/>
      <c r="CU1300" s="68"/>
      <c r="CV1300" s="68"/>
      <c r="CW1300" s="68"/>
      <c r="CX1300" s="68"/>
    </row>
    <row r="1301" spans="4:102" s="71" customFormat="1" hidden="1">
      <c r="D1301" s="69"/>
      <c r="E1301" s="68"/>
      <c r="F1301" s="68"/>
      <c r="G1301" s="68"/>
      <c r="H1301" s="68"/>
      <c r="I1301" s="68"/>
      <c r="J1301" s="68"/>
      <c r="K1301" s="73"/>
      <c r="L1301" s="68"/>
      <c r="M1301" s="68"/>
      <c r="N1301" s="68"/>
      <c r="O1301" s="68"/>
      <c r="P1301" s="65"/>
      <c r="Q1301" s="103"/>
      <c r="R1301" s="103"/>
      <c r="S1301" s="103"/>
      <c r="T1301" s="103"/>
      <c r="U1301" s="68"/>
      <c r="V1301" s="69"/>
      <c r="W1301" s="68"/>
      <c r="X1301" s="68"/>
      <c r="Y1301" s="68"/>
      <c r="Z1301" s="68"/>
      <c r="AA1301" s="68"/>
      <c r="AB1301" s="68"/>
      <c r="AC1301" s="68"/>
      <c r="AD1301" s="68"/>
      <c r="AE1301" s="68"/>
      <c r="AF1301" s="68"/>
      <c r="AG1301" s="68"/>
      <c r="AH1301" s="68"/>
      <c r="AI1301" s="68"/>
      <c r="AJ1301" s="68"/>
      <c r="AK1301" s="68"/>
      <c r="AL1301" s="68"/>
      <c r="AM1301" s="68"/>
      <c r="AN1301" s="68"/>
      <c r="AO1301" s="68"/>
      <c r="AP1301" s="68"/>
      <c r="AQ1301" s="68"/>
      <c r="AR1301" s="68"/>
      <c r="AS1301" s="68"/>
      <c r="AT1301" s="68"/>
      <c r="AU1301" s="68"/>
      <c r="AV1301" s="68"/>
      <c r="AW1301" s="68"/>
      <c r="AX1301" s="68"/>
      <c r="AY1301" s="68"/>
      <c r="AZ1301" s="68"/>
      <c r="BA1301" s="68"/>
      <c r="BB1301" s="68"/>
      <c r="BC1301" s="68"/>
      <c r="BD1301" s="68"/>
      <c r="BE1301" s="68"/>
      <c r="BF1301" s="68"/>
      <c r="BG1301" s="68"/>
      <c r="BH1301" s="68"/>
      <c r="BI1301" s="68"/>
      <c r="BJ1301" s="68"/>
      <c r="BK1301" s="68"/>
      <c r="BL1301" s="68"/>
      <c r="BM1301" s="68"/>
      <c r="BN1301" s="68"/>
      <c r="BO1301" s="68"/>
      <c r="BP1301" s="68"/>
      <c r="BQ1301" s="68"/>
      <c r="BR1301" s="68"/>
      <c r="BS1301" s="68"/>
      <c r="BT1301" s="68"/>
      <c r="BU1301" s="68"/>
      <c r="BV1301" s="68"/>
      <c r="BW1301" s="68"/>
      <c r="BX1301" s="68"/>
      <c r="BY1301" s="68"/>
      <c r="BZ1301" s="68"/>
      <c r="CA1301" s="68"/>
      <c r="CB1301" s="68"/>
      <c r="CC1301" s="68"/>
      <c r="CD1301" s="68"/>
      <c r="CE1301" s="68"/>
      <c r="CF1301" s="68"/>
      <c r="CG1301" s="68"/>
      <c r="CH1301" s="68"/>
      <c r="CI1301" s="68"/>
      <c r="CJ1301" s="68"/>
      <c r="CK1301" s="68"/>
      <c r="CL1301" s="68"/>
      <c r="CM1301" s="68"/>
      <c r="CN1301" s="68"/>
      <c r="CO1301" s="68"/>
      <c r="CP1301" s="68"/>
      <c r="CQ1301" s="68"/>
      <c r="CR1301" s="68"/>
      <c r="CS1301" s="68"/>
      <c r="CT1301" s="68"/>
      <c r="CU1301" s="68"/>
      <c r="CV1301" s="68"/>
      <c r="CW1301" s="68"/>
      <c r="CX1301" s="68"/>
    </row>
    <row r="1302" spans="4:102" s="71" customFormat="1" hidden="1">
      <c r="D1302" s="69"/>
      <c r="E1302" s="68"/>
      <c r="F1302" s="68"/>
      <c r="G1302" s="68"/>
      <c r="H1302" s="68"/>
      <c r="I1302" s="68"/>
      <c r="J1302" s="68"/>
      <c r="K1302" s="73"/>
      <c r="L1302" s="68"/>
      <c r="M1302" s="68"/>
      <c r="N1302" s="68"/>
      <c r="O1302" s="68"/>
      <c r="P1302" s="65"/>
      <c r="Q1302" s="103"/>
      <c r="R1302" s="103"/>
      <c r="S1302" s="103"/>
      <c r="T1302" s="103"/>
      <c r="U1302" s="68"/>
      <c r="V1302" s="69"/>
      <c r="W1302" s="68"/>
      <c r="X1302" s="68"/>
      <c r="Y1302" s="68"/>
      <c r="Z1302" s="68"/>
      <c r="AA1302" s="68"/>
      <c r="AB1302" s="68"/>
      <c r="AC1302" s="68"/>
      <c r="AD1302" s="68"/>
      <c r="AE1302" s="68"/>
      <c r="AF1302" s="68"/>
      <c r="AG1302" s="68"/>
      <c r="AH1302" s="68"/>
      <c r="AI1302" s="68"/>
      <c r="AJ1302" s="68"/>
      <c r="AK1302" s="68"/>
      <c r="AL1302" s="68"/>
      <c r="AM1302" s="68"/>
      <c r="AN1302" s="68"/>
      <c r="AO1302" s="68"/>
      <c r="AP1302" s="68"/>
      <c r="AQ1302" s="68"/>
      <c r="AR1302" s="68"/>
      <c r="AS1302" s="68"/>
      <c r="AT1302" s="68"/>
      <c r="AU1302" s="68"/>
      <c r="AV1302" s="68"/>
      <c r="AW1302" s="68"/>
      <c r="AX1302" s="68"/>
      <c r="AY1302" s="68"/>
      <c r="AZ1302" s="68"/>
      <c r="BA1302" s="68"/>
      <c r="BB1302" s="68"/>
      <c r="BC1302" s="68"/>
      <c r="BD1302" s="68"/>
      <c r="BE1302" s="68"/>
      <c r="BF1302" s="68"/>
      <c r="BG1302" s="68"/>
      <c r="BH1302" s="68"/>
      <c r="BI1302" s="68"/>
      <c r="BJ1302" s="68"/>
      <c r="BK1302" s="68"/>
      <c r="BL1302" s="68"/>
      <c r="BM1302" s="68"/>
      <c r="BN1302" s="68"/>
      <c r="BO1302" s="68"/>
      <c r="BP1302" s="68"/>
      <c r="BQ1302" s="68"/>
      <c r="BR1302" s="68"/>
      <c r="BS1302" s="68"/>
      <c r="BT1302" s="68"/>
      <c r="BU1302" s="68"/>
      <c r="BV1302" s="68"/>
      <c r="BW1302" s="68"/>
      <c r="BX1302" s="68"/>
      <c r="BY1302" s="68"/>
      <c r="BZ1302" s="68"/>
      <c r="CA1302" s="68"/>
      <c r="CB1302" s="68"/>
      <c r="CC1302" s="68"/>
      <c r="CD1302" s="68"/>
      <c r="CE1302" s="68"/>
      <c r="CF1302" s="68"/>
      <c r="CG1302" s="68"/>
      <c r="CH1302" s="68"/>
      <c r="CI1302" s="68"/>
      <c r="CJ1302" s="68"/>
      <c r="CK1302" s="68"/>
      <c r="CL1302" s="68"/>
      <c r="CM1302" s="68"/>
      <c r="CN1302" s="68"/>
      <c r="CO1302" s="68"/>
      <c r="CP1302" s="68"/>
      <c r="CQ1302" s="68"/>
      <c r="CR1302" s="68"/>
      <c r="CS1302" s="68"/>
      <c r="CT1302" s="68"/>
      <c r="CU1302" s="68"/>
      <c r="CV1302" s="68"/>
      <c r="CW1302" s="68"/>
      <c r="CX1302" s="68"/>
    </row>
    <row r="1303" spans="4:102" s="71" customFormat="1" hidden="1">
      <c r="D1303" s="69"/>
      <c r="E1303" s="68"/>
      <c r="F1303" s="68"/>
      <c r="G1303" s="68"/>
      <c r="H1303" s="68"/>
      <c r="I1303" s="68"/>
      <c r="J1303" s="68"/>
      <c r="K1303" s="73"/>
      <c r="L1303" s="68"/>
      <c r="M1303" s="68"/>
      <c r="N1303" s="68"/>
      <c r="O1303" s="68"/>
      <c r="P1303" s="65"/>
      <c r="Q1303" s="103"/>
      <c r="R1303" s="103"/>
      <c r="S1303" s="103"/>
      <c r="T1303" s="103"/>
      <c r="U1303" s="68"/>
      <c r="V1303" s="69"/>
      <c r="W1303" s="68"/>
      <c r="X1303" s="68"/>
      <c r="Y1303" s="68"/>
      <c r="Z1303" s="68"/>
      <c r="AA1303" s="68"/>
      <c r="AB1303" s="68"/>
      <c r="AC1303" s="68"/>
      <c r="AD1303" s="68"/>
      <c r="AE1303" s="68"/>
      <c r="AF1303" s="68"/>
      <c r="AG1303" s="68"/>
      <c r="AH1303" s="68"/>
      <c r="AI1303" s="68"/>
      <c r="AJ1303" s="68"/>
      <c r="AK1303" s="68"/>
      <c r="AL1303" s="68"/>
      <c r="AM1303" s="68"/>
      <c r="AN1303" s="68"/>
      <c r="AO1303" s="68"/>
      <c r="AP1303" s="68"/>
      <c r="AQ1303" s="68"/>
      <c r="AR1303" s="68"/>
      <c r="AS1303" s="68"/>
      <c r="AT1303" s="68"/>
      <c r="AU1303" s="68"/>
      <c r="AV1303" s="68"/>
      <c r="AW1303" s="68"/>
      <c r="AX1303" s="68"/>
      <c r="AY1303" s="68"/>
      <c r="AZ1303" s="68"/>
      <c r="BA1303" s="68"/>
      <c r="BB1303" s="68"/>
      <c r="BC1303" s="68"/>
      <c r="BD1303" s="68"/>
      <c r="BE1303" s="68"/>
      <c r="BF1303" s="68"/>
      <c r="BG1303" s="68"/>
      <c r="BH1303" s="68"/>
      <c r="BI1303" s="68"/>
      <c r="BJ1303" s="68"/>
      <c r="BK1303" s="68"/>
      <c r="BL1303" s="68"/>
      <c r="BM1303" s="68"/>
      <c r="BN1303" s="68"/>
      <c r="BO1303" s="68"/>
      <c r="BP1303" s="68"/>
      <c r="BQ1303" s="68"/>
      <c r="BR1303" s="68"/>
      <c r="BS1303" s="68"/>
      <c r="BT1303" s="68"/>
      <c r="BU1303" s="68"/>
      <c r="BV1303" s="68"/>
      <c r="BW1303" s="68"/>
      <c r="BX1303" s="68"/>
      <c r="BY1303" s="68"/>
      <c r="BZ1303" s="68"/>
      <c r="CA1303" s="68"/>
      <c r="CB1303" s="68"/>
      <c r="CC1303" s="68"/>
      <c r="CD1303" s="68"/>
      <c r="CE1303" s="68"/>
      <c r="CF1303" s="68"/>
      <c r="CG1303" s="68"/>
      <c r="CH1303" s="68"/>
      <c r="CI1303" s="68"/>
      <c r="CJ1303" s="68"/>
      <c r="CK1303" s="68"/>
      <c r="CL1303" s="68"/>
      <c r="CM1303" s="68"/>
      <c r="CN1303" s="68"/>
      <c r="CO1303" s="68"/>
      <c r="CP1303" s="68"/>
      <c r="CQ1303" s="68"/>
      <c r="CR1303" s="68"/>
      <c r="CS1303" s="68"/>
      <c r="CT1303" s="68"/>
      <c r="CU1303" s="68"/>
      <c r="CV1303" s="68"/>
      <c r="CW1303" s="68"/>
      <c r="CX1303" s="68"/>
    </row>
    <row r="1304" spans="4:102" s="71" customFormat="1" hidden="1">
      <c r="D1304" s="69"/>
      <c r="E1304" s="68"/>
      <c r="F1304" s="68"/>
      <c r="G1304" s="68"/>
      <c r="H1304" s="68"/>
      <c r="I1304" s="68"/>
      <c r="J1304" s="68"/>
      <c r="K1304" s="73"/>
      <c r="L1304" s="68"/>
      <c r="M1304" s="68"/>
      <c r="N1304" s="68"/>
      <c r="O1304" s="68"/>
      <c r="P1304" s="65"/>
      <c r="Q1304" s="103"/>
      <c r="R1304" s="103"/>
      <c r="S1304" s="103"/>
      <c r="T1304" s="103"/>
      <c r="U1304" s="68"/>
      <c r="V1304" s="69"/>
      <c r="W1304" s="68"/>
      <c r="X1304" s="68"/>
      <c r="Y1304" s="68"/>
      <c r="Z1304" s="68"/>
      <c r="AA1304" s="68"/>
      <c r="AB1304" s="68"/>
      <c r="AC1304" s="68"/>
      <c r="AD1304" s="68"/>
      <c r="AE1304" s="68"/>
      <c r="AF1304" s="68"/>
      <c r="AG1304" s="68"/>
      <c r="AH1304" s="68"/>
      <c r="AI1304" s="68"/>
      <c r="AJ1304" s="68"/>
      <c r="AK1304" s="68"/>
      <c r="AL1304" s="68"/>
      <c r="AM1304" s="68"/>
      <c r="AN1304" s="68"/>
      <c r="AO1304" s="68"/>
      <c r="AP1304" s="68"/>
      <c r="AQ1304" s="68"/>
      <c r="AR1304" s="68"/>
      <c r="AS1304" s="68"/>
      <c r="AT1304" s="68"/>
      <c r="AU1304" s="68"/>
      <c r="AV1304" s="68"/>
      <c r="AW1304" s="68"/>
      <c r="AX1304" s="68"/>
      <c r="AY1304" s="68"/>
      <c r="AZ1304" s="68"/>
      <c r="BA1304" s="68"/>
      <c r="BB1304" s="68"/>
      <c r="BC1304" s="68"/>
      <c r="BD1304" s="68"/>
      <c r="BE1304" s="68"/>
      <c r="BF1304" s="68"/>
      <c r="BG1304" s="68"/>
      <c r="BH1304" s="68"/>
      <c r="BI1304" s="68"/>
      <c r="BJ1304" s="68"/>
      <c r="BK1304" s="68"/>
      <c r="BL1304" s="68"/>
      <c r="BM1304" s="68"/>
      <c r="BN1304" s="68"/>
      <c r="BO1304" s="68"/>
      <c r="BP1304" s="68"/>
      <c r="BQ1304" s="68"/>
      <c r="BR1304" s="68"/>
      <c r="BS1304" s="68"/>
      <c r="BT1304" s="68"/>
      <c r="BU1304" s="68"/>
      <c r="BV1304" s="68"/>
      <c r="BW1304" s="68"/>
      <c r="BX1304" s="68"/>
      <c r="BY1304" s="68"/>
      <c r="BZ1304" s="68"/>
      <c r="CA1304" s="68"/>
      <c r="CB1304" s="68"/>
      <c r="CC1304" s="68"/>
      <c r="CD1304" s="68"/>
      <c r="CE1304" s="68"/>
      <c r="CF1304" s="68"/>
      <c r="CG1304" s="68"/>
      <c r="CH1304" s="68"/>
      <c r="CI1304" s="68"/>
      <c r="CJ1304" s="68"/>
      <c r="CK1304" s="68"/>
      <c r="CL1304" s="68"/>
      <c r="CM1304" s="68"/>
      <c r="CN1304" s="68"/>
      <c r="CO1304" s="68"/>
      <c r="CP1304" s="68"/>
      <c r="CQ1304" s="68"/>
      <c r="CR1304" s="68"/>
      <c r="CS1304" s="68"/>
      <c r="CT1304" s="68"/>
      <c r="CU1304" s="68"/>
      <c r="CV1304" s="68"/>
      <c r="CW1304" s="68"/>
      <c r="CX1304" s="68"/>
    </row>
    <row r="1305" spans="4:102" s="71" customFormat="1" hidden="1">
      <c r="D1305" s="69"/>
      <c r="E1305" s="68"/>
      <c r="F1305" s="68"/>
      <c r="G1305" s="68"/>
      <c r="H1305" s="68"/>
      <c r="I1305" s="68"/>
      <c r="J1305" s="68"/>
      <c r="K1305" s="73"/>
      <c r="L1305" s="68"/>
      <c r="M1305" s="68"/>
      <c r="N1305" s="68"/>
      <c r="O1305" s="68"/>
      <c r="P1305" s="65"/>
      <c r="Q1305" s="103"/>
      <c r="R1305" s="103"/>
      <c r="S1305" s="103"/>
      <c r="T1305" s="103"/>
      <c r="U1305" s="68"/>
      <c r="V1305" s="69"/>
      <c r="W1305" s="68"/>
      <c r="X1305" s="68"/>
      <c r="Y1305" s="68"/>
      <c r="Z1305" s="68"/>
      <c r="AA1305" s="68"/>
      <c r="AB1305" s="68"/>
      <c r="AC1305" s="68"/>
      <c r="AD1305" s="68"/>
      <c r="AE1305" s="68"/>
      <c r="AF1305" s="68"/>
      <c r="AG1305" s="68"/>
      <c r="AH1305" s="68"/>
      <c r="AI1305" s="68"/>
      <c r="AJ1305" s="68"/>
      <c r="AK1305" s="68"/>
      <c r="AL1305" s="68"/>
      <c r="AM1305" s="68"/>
      <c r="AN1305" s="68"/>
      <c r="AO1305" s="68"/>
      <c r="AP1305" s="68"/>
      <c r="AQ1305" s="68"/>
      <c r="AR1305" s="68"/>
      <c r="AS1305" s="68"/>
      <c r="AT1305" s="68"/>
      <c r="AU1305" s="68"/>
      <c r="AV1305" s="68"/>
      <c r="AW1305" s="68"/>
      <c r="AX1305" s="68"/>
      <c r="AY1305" s="68"/>
      <c r="AZ1305" s="68"/>
      <c r="BA1305" s="68"/>
      <c r="BB1305" s="68"/>
      <c r="BC1305" s="68"/>
      <c r="BD1305" s="68"/>
      <c r="BE1305" s="68"/>
      <c r="BF1305" s="68"/>
      <c r="BG1305" s="68"/>
      <c r="BH1305" s="68"/>
      <c r="BI1305" s="68"/>
      <c r="BJ1305" s="68"/>
      <c r="BK1305" s="68"/>
      <c r="BL1305" s="68"/>
      <c r="BM1305" s="68"/>
      <c r="BN1305" s="68"/>
      <c r="BO1305" s="68"/>
      <c r="BP1305" s="68"/>
      <c r="BQ1305" s="68"/>
      <c r="BR1305" s="68"/>
      <c r="BS1305" s="68"/>
      <c r="BT1305" s="68"/>
      <c r="BU1305" s="68"/>
      <c r="BV1305" s="68"/>
      <c r="BW1305" s="68"/>
      <c r="BX1305" s="68"/>
      <c r="BY1305" s="68"/>
      <c r="BZ1305" s="68"/>
      <c r="CA1305" s="68"/>
      <c r="CB1305" s="68"/>
      <c r="CC1305" s="68"/>
      <c r="CD1305" s="68"/>
      <c r="CE1305" s="68"/>
      <c r="CF1305" s="68"/>
      <c r="CG1305" s="68"/>
      <c r="CH1305" s="68"/>
      <c r="CI1305" s="68"/>
      <c r="CJ1305" s="68"/>
      <c r="CK1305" s="68"/>
      <c r="CL1305" s="68"/>
      <c r="CM1305" s="68"/>
      <c r="CN1305" s="68"/>
      <c r="CO1305" s="68"/>
      <c r="CP1305" s="68"/>
      <c r="CQ1305" s="68"/>
      <c r="CR1305" s="68"/>
      <c r="CS1305" s="68"/>
      <c r="CT1305" s="68"/>
      <c r="CU1305" s="68"/>
      <c r="CV1305" s="68"/>
      <c r="CW1305" s="68"/>
      <c r="CX1305" s="68"/>
    </row>
    <row r="1306" spans="4:102" s="71" customFormat="1" hidden="1">
      <c r="D1306" s="69"/>
      <c r="E1306" s="68"/>
      <c r="F1306" s="68"/>
      <c r="G1306" s="68"/>
      <c r="H1306" s="68"/>
      <c r="I1306" s="68"/>
      <c r="J1306" s="68"/>
      <c r="K1306" s="73"/>
      <c r="L1306" s="68"/>
      <c r="M1306" s="68"/>
      <c r="N1306" s="68"/>
      <c r="O1306" s="68"/>
      <c r="P1306" s="65"/>
      <c r="Q1306" s="103"/>
      <c r="R1306" s="103"/>
      <c r="S1306" s="103"/>
      <c r="T1306" s="103"/>
      <c r="U1306" s="68"/>
      <c r="V1306" s="69"/>
      <c r="W1306" s="68"/>
      <c r="X1306" s="68"/>
      <c r="Y1306" s="68"/>
      <c r="Z1306" s="68"/>
      <c r="AA1306" s="68"/>
      <c r="AB1306" s="68"/>
      <c r="AC1306" s="68"/>
      <c r="AD1306" s="68"/>
      <c r="AE1306" s="68"/>
      <c r="AF1306" s="68"/>
      <c r="AG1306" s="68"/>
      <c r="AH1306" s="68"/>
      <c r="AI1306" s="68"/>
      <c r="AJ1306" s="68"/>
      <c r="AK1306" s="68"/>
      <c r="AL1306" s="68"/>
      <c r="AM1306" s="68"/>
      <c r="AN1306" s="68"/>
      <c r="AO1306" s="68"/>
      <c r="AP1306" s="68"/>
      <c r="AQ1306" s="68"/>
      <c r="AR1306" s="68"/>
      <c r="AS1306" s="68"/>
      <c r="AT1306" s="68"/>
      <c r="AU1306" s="68"/>
      <c r="AV1306" s="68"/>
      <c r="AW1306" s="68"/>
      <c r="AX1306" s="68"/>
      <c r="AY1306" s="68"/>
      <c r="AZ1306" s="68"/>
      <c r="BA1306" s="68"/>
      <c r="BB1306" s="68"/>
      <c r="BC1306" s="68"/>
      <c r="BD1306" s="68"/>
      <c r="BE1306" s="68"/>
      <c r="BF1306" s="68"/>
      <c r="BG1306" s="68"/>
      <c r="BH1306" s="68"/>
      <c r="BI1306" s="68"/>
      <c r="BJ1306" s="68"/>
      <c r="BK1306" s="68"/>
      <c r="BL1306" s="68"/>
      <c r="BM1306" s="68"/>
      <c r="BN1306" s="68"/>
      <c r="BO1306" s="68"/>
      <c r="BP1306" s="68"/>
      <c r="BQ1306" s="68"/>
      <c r="BR1306" s="68"/>
      <c r="BS1306" s="68"/>
      <c r="BT1306" s="68"/>
      <c r="BU1306" s="68"/>
      <c r="BV1306" s="68"/>
      <c r="BW1306" s="68"/>
      <c r="BX1306" s="68"/>
      <c r="BY1306" s="68"/>
      <c r="BZ1306" s="68"/>
      <c r="CA1306" s="68"/>
      <c r="CB1306" s="68"/>
      <c r="CC1306" s="68"/>
      <c r="CD1306" s="68"/>
      <c r="CE1306" s="68"/>
      <c r="CF1306" s="68"/>
      <c r="CG1306" s="68"/>
      <c r="CH1306" s="68"/>
      <c r="CI1306" s="68"/>
      <c r="CJ1306" s="68"/>
      <c r="CK1306" s="68"/>
      <c r="CL1306" s="68"/>
      <c r="CM1306" s="68"/>
      <c r="CN1306" s="68"/>
      <c r="CO1306" s="68"/>
      <c r="CP1306" s="68"/>
      <c r="CQ1306" s="68"/>
      <c r="CR1306" s="68"/>
      <c r="CS1306" s="68"/>
      <c r="CT1306" s="68"/>
      <c r="CU1306" s="68"/>
      <c r="CV1306" s="68"/>
      <c r="CW1306" s="68"/>
      <c r="CX1306" s="68"/>
    </row>
    <row r="1307" spans="4:102" s="71" customFormat="1" hidden="1">
      <c r="D1307" s="69"/>
      <c r="E1307" s="68"/>
      <c r="F1307" s="68"/>
      <c r="G1307" s="68"/>
      <c r="H1307" s="68"/>
      <c r="I1307" s="68"/>
      <c r="J1307" s="68"/>
      <c r="K1307" s="73"/>
      <c r="L1307" s="68"/>
      <c r="M1307" s="68"/>
      <c r="N1307" s="68"/>
      <c r="O1307" s="68"/>
      <c r="P1307" s="65"/>
      <c r="Q1307" s="103"/>
      <c r="R1307" s="103"/>
      <c r="S1307" s="103"/>
      <c r="T1307" s="103"/>
      <c r="U1307" s="68"/>
      <c r="V1307" s="69"/>
      <c r="W1307" s="68"/>
      <c r="X1307" s="68"/>
      <c r="Y1307" s="68"/>
      <c r="Z1307" s="68"/>
      <c r="AA1307" s="68"/>
      <c r="AB1307" s="68"/>
      <c r="AC1307" s="68"/>
      <c r="AD1307" s="68"/>
      <c r="AE1307" s="68"/>
      <c r="AF1307" s="68"/>
      <c r="AG1307" s="68"/>
      <c r="AH1307" s="68"/>
      <c r="AI1307" s="68"/>
      <c r="AJ1307" s="68"/>
      <c r="AK1307" s="68"/>
      <c r="AL1307" s="68"/>
      <c r="AM1307" s="68"/>
      <c r="AN1307" s="68"/>
      <c r="AO1307" s="68"/>
      <c r="AP1307" s="68"/>
      <c r="AQ1307" s="68"/>
      <c r="AR1307" s="68"/>
      <c r="AS1307" s="68"/>
      <c r="AT1307" s="68"/>
      <c r="AU1307" s="68"/>
      <c r="AV1307" s="68"/>
      <c r="AW1307" s="68"/>
      <c r="AX1307" s="68"/>
      <c r="AY1307" s="68"/>
      <c r="AZ1307" s="68"/>
      <c r="BA1307" s="68"/>
      <c r="BB1307" s="68"/>
      <c r="BC1307" s="68"/>
      <c r="BD1307" s="68"/>
      <c r="BE1307" s="68"/>
      <c r="BF1307" s="68"/>
      <c r="BG1307" s="68"/>
      <c r="BH1307" s="68"/>
      <c r="BI1307" s="68"/>
      <c r="BJ1307" s="68"/>
      <c r="BK1307" s="68"/>
      <c r="BL1307" s="68"/>
      <c r="BM1307" s="68"/>
      <c r="BN1307" s="68"/>
      <c r="BO1307" s="68"/>
      <c r="BP1307" s="68"/>
      <c r="BQ1307" s="68"/>
      <c r="BR1307" s="68"/>
      <c r="BS1307" s="68"/>
      <c r="BT1307" s="68"/>
      <c r="BU1307" s="68"/>
      <c r="BV1307" s="68"/>
      <c r="BW1307" s="68"/>
      <c r="BX1307" s="68"/>
      <c r="BY1307" s="68"/>
      <c r="BZ1307" s="68"/>
      <c r="CA1307" s="68"/>
      <c r="CB1307" s="68"/>
      <c r="CC1307" s="68"/>
      <c r="CD1307" s="68"/>
      <c r="CE1307" s="68"/>
      <c r="CF1307" s="68"/>
      <c r="CG1307" s="68"/>
      <c r="CH1307" s="68"/>
      <c r="CI1307" s="68"/>
      <c r="CJ1307" s="68"/>
      <c r="CK1307" s="68"/>
      <c r="CL1307" s="68"/>
      <c r="CM1307" s="68"/>
      <c r="CN1307" s="68"/>
      <c r="CO1307" s="68"/>
      <c r="CP1307" s="68"/>
      <c r="CQ1307" s="68"/>
      <c r="CR1307" s="68"/>
      <c r="CS1307" s="68"/>
      <c r="CT1307" s="68"/>
      <c r="CU1307" s="68"/>
      <c r="CV1307" s="68"/>
      <c r="CW1307" s="68"/>
      <c r="CX1307" s="68"/>
    </row>
    <row r="1308" spans="4:102" s="71" customFormat="1" hidden="1">
      <c r="D1308" s="69"/>
      <c r="E1308" s="68"/>
      <c r="F1308" s="68"/>
      <c r="G1308" s="68"/>
      <c r="H1308" s="68"/>
      <c r="I1308" s="68"/>
      <c r="J1308" s="68"/>
      <c r="K1308" s="73"/>
      <c r="L1308" s="68"/>
      <c r="M1308" s="68"/>
      <c r="N1308" s="68"/>
      <c r="O1308" s="68"/>
      <c r="P1308" s="65"/>
      <c r="Q1308" s="103"/>
      <c r="R1308" s="103"/>
      <c r="S1308" s="103"/>
      <c r="T1308" s="103"/>
      <c r="U1308" s="68"/>
      <c r="V1308" s="69"/>
      <c r="W1308" s="68"/>
      <c r="X1308" s="68"/>
      <c r="Y1308" s="68"/>
      <c r="Z1308" s="68"/>
      <c r="AA1308" s="68"/>
      <c r="AB1308" s="68"/>
      <c r="AC1308" s="68"/>
      <c r="AD1308" s="68"/>
      <c r="AE1308" s="68"/>
      <c r="AF1308" s="68"/>
      <c r="AG1308" s="68"/>
      <c r="AH1308" s="68"/>
      <c r="AI1308" s="68"/>
      <c r="AJ1308" s="68"/>
      <c r="AK1308" s="68"/>
      <c r="AL1308" s="68"/>
      <c r="AM1308" s="68"/>
      <c r="AN1308" s="68"/>
      <c r="AO1308" s="68"/>
      <c r="AP1308" s="68"/>
      <c r="AQ1308" s="68"/>
      <c r="AR1308" s="68"/>
      <c r="AS1308" s="68"/>
      <c r="AT1308" s="68"/>
      <c r="AU1308" s="68"/>
      <c r="AV1308" s="68"/>
      <c r="AW1308" s="68"/>
      <c r="AX1308" s="68"/>
      <c r="AY1308" s="68"/>
      <c r="AZ1308" s="68"/>
      <c r="BA1308" s="68"/>
      <c r="BB1308" s="68"/>
      <c r="BC1308" s="68"/>
      <c r="BD1308" s="68"/>
      <c r="BE1308" s="68"/>
      <c r="BF1308" s="68"/>
      <c r="BG1308" s="68"/>
      <c r="BH1308" s="68"/>
      <c r="BI1308" s="68"/>
      <c r="BJ1308" s="68"/>
      <c r="BK1308" s="68"/>
      <c r="BL1308" s="68"/>
      <c r="BM1308" s="68"/>
      <c r="BN1308" s="68"/>
      <c r="BO1308" s="68"/>
      <c r="BP1308" s="68"/>
      <c r="BQ1308" s="68"/>
      <c r="BR1308" s="68"/>
      <c r="BS1308" s="68"/>
      <c r="BT1308" s="68"/>
      <c r="BU1308" s="68"/>
      <c r="BV1308" s="68"/>
      <c r="BW1308" s="68"/>
      <c r="BX1308" s="68"/>
      <c r="BY1308" s="68"/>
      <c r="BZ1308" s="68"/>
      <c r="CA1308" s="68"/>
      <c r="CB1308" s="68"/>
      <c r="CC1308" s="68"/>
      <c r="CD1308" s="68"/>
      <c r="CE1308" s="68"/>
      <c r="CF1308" s="68"/>
      <c r="CG1308" s="68"/>
      <c r="CH1308" s="68"/>
      <c r="CI1308" s="68"/>
      <c r="CJ1308" s="68"/>
      <c r="CK1308" s="68"/>
      <c r="CL1308" s="68"/>
      <c r="CM1308" s="68"/>
      <c r="CN1308" s="68"/>
      <c r="CO1308" s="68"/>
      <c r="CP1308" s="68"/>
      <c r="CQ1308" s="68"/>
      <c r="CR1308" s="68"/>
      <c r="CS1308" s="68"/>
      <c r="CT1308" s="68"/>
      <c r="CU1308" s="68"/>
      <c r="CV1308" s="68"/>
      <c r="CW1308" s="68"/>
      <c r="CX1308" s="68"/>
    </row>
    <row r="1309" spans="4:102" s="71" customFormat="1" hidden="1">
      <c r="D1309" s="69"/>
      <c r="E1309" s="68"/>
      <c r="F1309" s="68"/>
      <c r="G1309" s="68"/>
      <c r="H1309" s="68"/>
      <c r="I1309" s="68"/>
      <c r="J1309" s="68"/>
      <c r="K1309" s="73"/>
      <c r="L1309" s="68"/>
      <c r="M1309" s="68"/>
      <c r="N1309" s="68"/>
      <c r="O1309" s="68"/>
      <c r="P1309" s="65"/>
      <c r="Q1309" s="103"/>
      <c r="R1309" s="103"/>
      <c r="S1309" s="103"/>
      <c r="T1309" s="103"/>
      <c r="U1309" s="68"/>
      <c r="V1309" s="69"/>
      <c r="W1309" s="68"/>
      <c r="X1309" s="68"/>
      <c r="Y1309" s="68"/>
      <c r="Z1309" s="68"/>
      <c r="AA1309" s="68"/>
      <c r="AB1309" s="68"/>
      <c r="AC1309" s="68"/>
      <c r="AD1309" s="68"/>
      <c r="AE1309" s="68"/>
      <c r="AF1309" s="68"/>
      <c r="AG1309" s="68"/>
      <c r="AH1309" s="68"/>
      <c r="AI1309" s="68"/>
      <c r="AJ1309" s="68"/>
      <c r="AK1309" s="68"/>
      <c r="AL1309" s="68"/>
      <c r="AM1309" s="68"/>
      <c r="AN1309" s="68"/>
      <c r="AO1309" s="68"/>
      <c r="AP1309" s="68"/>
      <c r="AQ1309" s="68"/>
      <c r="AR1309" s="68"/>
      <c r="AS1309" s="68"/>
      <c r="AT1309" s="68"/>
      <c r="AU1309" s="68"/>
      <c r="AV1309" s="68"/>
      <c r="AW1309" s="68"/>
      <c r="AX1309" s="68"/>
      <c r="AY1309" s="68"/>
      <c r="AZ1309" s="68"/>
      <c r="BA1309" s="68"/>
      <c r="BB1309" s="68"/>
      <c r="BC1309" s="68"/>
      <c r="BD1309" s="68"/>
      <c r="BE1309" s="68"/>
      <c r="BF1309" s="68"/>
      <c r="BG1309" s="68"/>
      <c r="BH1309" s="68"/>
      <c r="BI1309" s="68"/>
      <c r="BJ1309" s="68"/>
      <c r="BK1309" s="68"/>
      <c r="BL1309" s="68"/>
      <c r="BM1309" s="68"/>
      <c r="BN1309" s="68"/>
      <c r="BO1309" s="68"/>
      <c r="BP1309" s="68"/>
      <c r="BQ1309" s="68"/>
      <c r="BR1309" s="68"/>
      <c r="BS1309" s="68"/>
      <c r="BT1309" s="68"/>
      <c r="BU1309" s="68"/>
      <c r="BV1309" s="68"/>
      <c r="BW1309" s="68"/>
      <c r="BX1309" s="68"/>
      <c r="BY1309" s="68"/>
      <c r="BZ1309" s="68"/>
      <c r="CA1309" s="68"/>
      <c r="CB1309" s="68"/>
      <c r="CC1309" s="68"/>
      <c r="CD1309" s="68"/>
      <c r="CE1309" s="68"/>
      <c r="CF1309" s="68"/>
      <c r="CG1309" s="68"/>
      <c r="CH1309" s="68"/>
      <c r="CI1309" s="68"/>
      <c r="CJ1309" s="68"/>
      <c r="CK1309" s="68"/>
      <c r="CL1309" s="68"/>
      <c r="CM1309" s="68"/>
      <c r="CN1309" s="68"/>
      <c r="CO1309" s="68"/>
      <c r="CP1309" s="68"/>
      <c r="CQ1309" s="68"/>
      <c r="CR1309" s="68"/>
      <c r="CS1309" s="68"/>
      <c r="CT1309" s="68"/>
      <c r="CU1309" s="68"/>
      <c r="CV1309" s="68"/>
      <c r="CW1309" s="68"/>
      <c r="CX1309" s="68"/>
    </row>
    <row r="1310" spans="4:102" s="71" customFormat="1" hidden="1">
      <c r="D1310" s="69"/>
      <c r="E1310" s="68"/>
      <c r="F1310" s="68"/>
      <c r="G1310" s="68"/>
      <c r="H1310" s="68"/>
      <c r="I1310" s="68"/>
      <c r="J1310" s="68"/>
      <c r="K1310" s="73"/>
      <c r="L1310" s="68"/>
      <c r="M1310" s="68"/>
      <c r="N1310" s="68"/>
      <c r="O1310" s="68"/>
      <c r="P1310" s="65"/>
      <c r="Q1310" s="103"/>
      <c r="R1310" s="103"/>
      <c r="S1310" s="103"/>
      <c r="T1310" s="103"/>
      <c r="U1310" s="68"/>
      <c r="V1310" s="69"/>
      <c r="W1310" s="68"/>
      <c r="X1310" s="68"/>
      <c r="Y1310" s="68"/>
      <c r="Z1310" s="68"/>
      <c r="AA1310" s="68"/>
      <c r="AB1310" s="68"/>
      <c r="AC1310" s="68"/>
      <c r="AD1310" s="68"/>
      <c r="AE1310" s="68"/>
      <c r="AF1310" s="68"/>
      <c r="AG1310" s="68"/>
      <c r="AH1310" s="68"/>
      <c r="AI1310" s="68"/>
      <c r="AJ1310" s="68"/>
      <c r="AK1310" s="68"/>
      <c r="AL1310" s="68"/>
      <c r="AM1310" s="68"/>
      <c r="AN1310" s="68"/>
      <c r="AO1310" s="68"/>
      <c r="AP1310" s="68"/>
      <c r="AQ1310" s="68"/>
      <c r="AR1310" s="68"/>
      <c r="AS1310" s="68"/>
      <c r="AT1310" s="68"/>
      <c r="AU1310" s="68"/>
      <c r="AV1310" s="68"/>
      <c r="AW1310" s="68"/>
      <c r="AX1310" s="68"/>
      <c r="AY1310" s="68"/>
      <c r="AZ1310" s="68"/>
      <c r="BA1310" s="68"/>
      <c r="BB1310" s="68"/>
      <c r="BC1310" s="68"/>
      <c r="BD1310" s="68"/>
      <c r="BE1310" s="68"/>
      <c r="BF1310" s="68"/>
      <c r="BG1310" s="68"/>
      <c r="BH1310" s="68"/>
      <c r="BI1310" s="68"/>
      <c r="BJ1310" s="68"/>
      <c r="BK1310" s="68"/>
      <c r="BL1310" s="68"/>
      <c r="BM1310" s="68"/>
      <c r="BN1310" s="68"/>
      <c r="BO1310" s="68"/>
      <c r="BP1310" s="68"/>
      <c r="BQ1310" s="68"/>
      <c r="BR1310" s="68"/>
      <c r="BS1310" s="68"/>
      <c r="BT1310" s="68"/>
      <c r="BU1310" s="68"/>
      <c r="BV1310" s="68"/>
      <c r="BW1310" s="68"/>
      <c r="BX1310" s="68"/>
      <c r="BY1310" s="68"/>
      <c r="BZ1310" s="68"/>
      <c r="CA1310" s="68"/>
      <c r="CB1310" s="68"/>
      <c r="CC1310" s="68"/>
      <c r="CD1310" s="68"/>
      <c r="CE1310" s="68"/>
      <c r="CF1310" s="68"/>
      <c r="CG1310" s="68"/>
      <c r="CH1310" s="68"/>
      <c r="CI1310" s="68"/>
      <c r="CJ1310" s="68"/>
      <c r="CK1310" s="68"/>
      <c r="CL1310" s="68"/>
      <c r="CM1310" s="68"/>
      <c r="CN1310" s="68"/>
      <c r="CO1310" s="68"/>
      <c r="CP1310" s="68"/>
      <c r="CQ1310" s="68"/>
      <c r="CR1310" s="68"/>
      <c r="CS1310" s="68"/>
      <c r="CT1310" s="68"/>
      <c r="CU1310" s="68"/>
      <c r="CV1310" s="68"/>
      <c r="CW1310" s="68"/>
      <c r="CX1310" s="68"/>
    </row>
    <row r="1311" spans="4:102" s="71" customFormat="1" hidden="1">
      <c r="D1311" s="69"/>
      <c r="E1311" s="68"/>
      <c r="F1311" s="68"/>
      <c r="G1311" s="68"/>
      <c r="H1311" s="68"/>
      <c r="I1311" s="68"/>
      <c r="J1311" s="68"/>
      <c r="K1311" s="73"/>
      <c r="L1311" s="68"/>
      <c r="M1311" s="68"/>
      <c r="N1311" s="68"/>
      <c r="O1311" s="68"/>
      <c r="P1311" s="65"/>
      <c r="Q1311" s="103"/>
      <c r="R1311" s="103"/>
      <c r="S1311" s="103"/>
      <c r="T1311" s="103"/>
      <c r="U1311" s="68"/>
      <c r="V1311" s="69"/>
      <c r="W1311" s="68"/>
      <c r="X1311" s="68"/>
      <c r="Y1311" s="68"/>
      <c r="Z1311" s="68"/>
      <c r="AA1311" s="68"/>
      <c r="AB1311" s="68"/>
      <c r="AC1311" s="68"/>
      <c r="AD1311" s="68"/>
      <c r="AE1311" s="68"/>
      <c r="AF1311" s="68"/>
      <c r="AG1311" s="68"/>
      <c r="AH1311" s="68"/>
      <c r="AI1311" s="68"/>
      <c r="AJ1311" s="68"/>
      <c r="AK1311" s="68"/>
      <c r="AL1311" s="68"/>
      <c r="AM1311" s="68"/>
      <c r="AN1311" s="68"/>
      <c r="AO1311" s="68"/>
      <c r="AP1311" s="68"/>
      <c r="AQ1311" s="68"/>
      <c r="AR1311" s="68"/>
      <c r="AS1311" s="68"/>
      <c r="AT1311" s="68"/>
      <c r="AU1311" s="68"/>
      <c r="AV1311" s="68"/>
      <c r="AW1311" s="68"/>
      <c r="AX1311" s="68"/>
      <c r="AY1311" s="68"/>
      <c r="AZ1311" s="68"/>
      <c r="BA1311" s="68"/>
      <c r="BB1311" s="68"/>
      <c r="BC1311" s="68"/>
      <c r="BD1311" s="68"/>
      <c r="BE1311" s="68"/>
      <c r="BF1311" s="68"/>
      <c r="BG1311" s="68"/>
      <c r="BH1311" s="68"/>
      <c r="BI1311" s="68"/>
      <c r="BJ1311" s="68"/>
      <c r="BK1311" s="68"/>
      <c r="BL1311" s="68"/>
      <c r="BM1311" s="68"/>
      <c r="BN1311" s="68"/>
      <c r="BO1311" s="68"/>
      <c r="BP1311" s="68"/>
      <c r="BQ1311" s="68"/>
      <c r="BR1311" s="68"/>
      <c r="BS1311" s="68"/>
      <c r="BT1311" s="68"/>
      <c r="BU1311" s="68"/>
      <c r="BV1311" s="68"/>
      <c r="BW1311" s="68"/>
      <c r="BX1311" s="68"/>
      <c r="BY1311" s="68"/>
      <c r="BZ1311" s="68"/>
      <c r="CA1311" s="68"/>
      <c r="CB1311" s="68"/>
      <c r="CC1311" s="68"/>
      <c r="CD1311" s="68"/>
      <c r="CE1311" s="68"/>
      <c r="CF1311" s="68"/>
      <c r="CG1311" s="68"/>
      <c r="CH1311" s="68"/>
      <c r="CI1311" s="68"/>
      <c r="CJ1311" s="68"/>
      <c r="CK1311" s="68"/>
      <c r="CL1311" s="68"/>
      <c r="CM1311" s="68"/>
      <c r="CN1311" s="68"/>
      <c r="CO1311" s="68"/>
      <c r="CP1311" s="68"/>
      <c r="CQ1311" s="68"/>
      <c r="CR1311" s="68"/>
      <c r="CS1311" s="68"/>
      <c r="CT1311" s="68"/>
      <c r="CU1311" s="68"/>
      <c r="CV1311" s="68"/>
      <c r="CW1311" s="68"/>
      <c r="CX1311" s="68"/>
    </row>
    <row r="1312" spans="4:102" s="71" customFormat="1" hidden="1">
      <c r="D1312" s="69"/>
      <c r="E1312" s="68"/>
      <c r="F1312" s="68"/>
      <c r="G1312" s="68"/>
      <c r="H1312" s="68"/>
      <c r="I1312" s="68"/>
      <c r="J1312" s="68"/>
      <c r="K1312" s="73"/>
      <c r="L1312" s="68"/>
      <c r="M1312" s="68"/>
      <c r="N1312" s="68"/>
      <c r="O1312" s="68"/>
      <c r="P1312" s="65"/>
      <c r="Q1312" s="103"/>
      <c r="R1312" s="103"/>
      <c r="S1312" s="103"/>
      <c r="T1312" s="103"/>
      <c r="U1312" s="68"/>
      <c r="V1312" s="69"/>
      <c r="W1312" s="68"/>
      <c r="X1312" s="68"/>
      <c r="Y1312" s="68"/>
      <c r="Z1312" s="68"/>
      <c r="AA1312" s="68"/>
      <c r="AB1312" s="68"/>
      <c r="AC1312" s="68"/>
      <c r="AD1312" s="68"/>
      <c r="AE1312" s="68"/>
      <c r="AF1312" s="68"/>
      <c r="AG1312" s="68"/>
      <c r="AH1312" s="68"/>
      <c r="AI1312" s="68"/>
      <c r="AJ1312" s="68"/>
      <c r="AK1312" s="68"/>
      <c r="AL1312" s="68"/>
      <c r="AM1312" s="68"/>
      <c r="AN1312" s="68"/>
      <c r="AO1312" s="68"/>
      <c r="AP1312" s="68"/>
      <c r="AQ1312" s="68"/>
      <c r="AR1312" s="68"/>
      <c r="AS1312" s="68"/>
      <c r="AT1312" s="68"/>
      <c r="AU1312" s="68"/>
      <c r="AV1312" s="68"/>
      <c r="AW1312" s="68"/>
      <c r="AX1312" s="68"/>
      <c r="AY1312" s="68"/>
      <c r="AZ1312" s="68"/>
      <c r="BA1312" s="68"/>
      <c r="BB1312" s="68"/>
      <c r="BC1312" s="68"/>
      <c r="BD1312" s="68"/>
      <c r="BE1312" s="68"/>
      <c r="BF1312" s="68"/>
      <c r="BG1312" s="68"/>
      <c r="BH1312" s="68"/>
      <c r="BI1312" s="68"/>
      <c r="BJ1312" s="68"/>
      <c r="BK1312" s="68"/>
      <c r="BL1312" s="68"/>
      <c r="BM1312" s="68"/>
      <c r="BN1312" s="68"/>
      <c r="BO1312" s="68"/>
      <c r="BP1312" s="68"/>
      <c r="BQ1312" s="68"/>
      <c r="BR1312" s="68"/>
      <c r="BS1312" s="68"/>
      <c r="BT1312" s="68"/>
      <c r="BU1312" s="68"/>
      <c r="BV1312" s="68"/>
      <c r="BW1312" s="68"/>
      <c r="BX1312" s="68"/>
      <c r="BY1312" s="68"/>
      <c r="BZ1312" s="68"/>
      <c r="CA1312" s="68"/>
      <c r="CB1312" s="68"/>
      <c r="CC1312" s="68"/>
      <c r="CD1312" s="68"/>
      <c r="CE1312" s="68"/>
      <c r="CF1312" s="68"/>
      <c r="CG1312" s="68"/>
      <c r="CH1312" s="68"/>
      <c r="CI1312" s="68"/>
      <c r="CJ1312" s="68"/>
      <c r="CK1312" s="68"/>
      <c r="CL1312" s="68"/>
      <c r="CM1312" s="68"/>
      <c r="CN1312" s="68"/>
      <c r="CO1312" s="68"/>
      <c r="CP1312" s="68"/>
      <c r="CQ1312" s="68"/>
      <c r="CR1312" s="68"/>
      <c r="CS1312" s="68"/>
      <c r="CT1312" s="68"/>
      <c r="CU1312" s="68"/>
      <c r="CV1312" s="68"/>
      <c r="CW1312" s="68"/>
      <c r="CX1312" s="68"/>
    </row>
    <row r="1313" spans="4:102" s="71" customFormat="1" hidden="1">
      <c r="D1313" s="69"/>
      <c r="E1313" s="68"/>
      <c r="F1313" s="68"/>
      <c r="G1313" s="68"/>
      <c r="H1313" s="68"/>
      <c r="I1313" s="68"/>
      <c r="J1313" s="68"/>
      <c r="K1313" s="73"/>
      <c r="L1313" s="68"/>
      <c r="M1313" s="68"/>
      <c r="N1313" s="68"/>
      <c r="O1313" s="68"/>
      <c r="P1313" s="65"/>
      <c r="Q1313" s="103"/>
      <c r="R1313" s="103"/>
      <c r="S1313" s="103"/>
      <c r="T1313" s="103"/>
      <c r="U1313" s="68"/>
      <c r="V1313" s="69"/>
      <c r="W1313" s="68"/>
      <c r="X1313" s="68"/>
      <c r="Y1313" s="68"/>
      <c r="Z1313" s="68"/>
      <c r="AA1313" s="68"/>
      <c r="AB1313" s="68"/>
      <c r="AC1313" s="68"/>
      <c r="AD1313" s="68"/>
      <c r="AE1313" s="68"/>
      <c r="AF1313" s="68"/>
      <c r="AG1313" s="68"/>
      <c r="AH1313" s="68"/>
      <c r="AI1313" s="68"/>
      <c r="AJ1313" s="68"/>
      <c r="AK1313" s="68"/>
      <c r="AL1313" s="68"/>
      <c r="AM1313" s="68"/>
      <c r="AN1313" s="68"/>
      <c r="AO1313" s="68"/>
      <c r="AP1313" s="68"/>
      <c r="AQ1313" s="68"/>
      <c r="AR1313" s="68"/>
      <c r="AS1313" s="68"/>
      <c r="AT1313" s="68"/>
      <c r="AU1313" s="68"/>
      <c r="AV1313" s="68"/>
      <c r="AW1313" s="68"/>
      <c r="AX1313" s="68"/>
      <c r="AY1313" s="68"/>
      <c r="AZ1313" s="68"/>
      <c r="BA1313" s="68"/>
      <c r="BB1313" s="68"/>
      <c r="BC1313" s="68"/>
      <c r="BD1313" s="68"/>
      <c r="BE1313" s="68"/>
      <c r="BF1313" s="68"/>
      <c r="BG1313" s="68"/>
      <c r="BH1313" s="68"/>
      <c r="BI1313" s="68"/>
      <c r="BJ1313" s="68"/>
      <c r="BK1313" s="68"/>
      <c r="BL1313" s="68"/>
      <c r="BM1313" s="68"/>
      <c r="BN1313" s="68"/>
      <c r="BO1313" s="68"/>
      <c r="BP1313" s="68"/>
      <c r="BQ1313" s="68"/>
      <c r="BR1313" s="68"/>
      <c r="BS1313" s="68"/>
      <c r="BT1313" s="68"/>
      <c r="BU1313" s="68"/>
      <c r="BV1313" s="68"/>
      <c r="BW1313" s="68"/>
      <c r="BX1313" s="68"/>
      <c r="BY1313" s="68"/>
      <c r="BZ1313" s="68"/>
      <c r="CA1313" s="68"/>
      <c r="CB1313" s="68"/>
      <c r="CC1313" s="68"/>
      <c r="CD1313" s="68"/>
      <c r="CE1313" s="68"/>
      <c r="CF1313" s="68"/>
      <c r="CG1313" s="68"/>
      <c r="CH1313" s="68"/>
      <c r="CI1313" s="68"/>
      <c r="CJ1313" s="68"/>
      <c r="CK1313" s="68"/>
      <c r="CL1313" s="68"/>
      <c r="CM1313" s="68"/>
      <c r="CN1313" s="68"/>
      <c r="CO1313" s="68"/>
      <c r="CP1313" s="68"/>
      <c r="CQ1313" s="68"/>
      <c r="CR1313" s="68"/>
      <c r="CS1313" s="68"/>
      <c r="CT1313" s="68"/>
      <c r="CU1313" s="68"/>
      <c r="CV1313" s="68"/>
      <c r="CW1313" s="68"/>
      <c r="CX1313" s="68"/>
    </row>
    <row r="1314" spans="4:102" s="71" customFormat="1" hidden="1">
      <c r="D1314" s="69"/>
      <c r="E1314" s="68"/>
      <c r="F1314" s="68"/>
      <c r="G1314" s="68"/>
      <c r="H1314" s="68"/>
      <c r="I1314" s="68"/>
      <c r="J1314" s="68"/>
      <c r="K1314" s="73"/>
      <c r="L1314" s="68"/>
      <c r="M1314" s="68"/>
      <c r="N1314" s="68"/>
      <c r="O1314" s="68"/>
      <c r="P1314" s="65"/>
      <c r="Q1314" s="103"/>
      <c r="R1314" s="103"/>
      <c r="S1314" s="103"/>
      <c r="T1314" s="103"/>
      <c r="U1314" s="68"/>
      <c r="V1314" s="69"/>
      <c r="W1314" s="68"/>
      <c r="X1314" s="68"/>
      <c r="Y1314" s="68"/>
      <c r="Z1314" s="68"/>
      <c r="AA1314" s="68"/>
      <c r="AB1314" s="68"/>
      <c r="AC1314" s="68"/>
      <c r="AD1314" s="68"/>
      <c r="AE1314" s="68"/>
      <c r="AF1314" s="68"/>
      <c r="AG1314" s="68"/>
      <c r="AH1314" s="68"/>
      <c r="AI1314" s="68"/>
      <c r="AJ1314" s="68"/>
      <c r="AK1314" s="68"/>
      <c r="AL1314" s="68"/>
      <c r="AM1314" s="68"/>
      <c r="AN1314" s="68"/>
      <c r="AO1314" s="68"/>
      <c r="AP1314" s="68"/>
      <c r="AQ1314" s="68"/>
      <c r="AR1314" s="68"/>
      <c r="AS1314" s="68"/>
      <c r="AT1314" s="68"/>
      <c r="AU1314" s="68"/>
      <c r="AV1314" s="68"/>
      <c r="AW1314" s="68"/>
      <c r="AX1314" s="68"/>
      <c r="AY1314" s="68"/>
      <c r="AZ1314" s="68"/>
      <c r="BA1314" s="68"/>
      <c r="BB1314" s="68"/>
      <c r="BC1314" s="68"/>
      <c r="BD1314" s="68"/>
      <c r="BE1314" s="68"/>
      <c r="BF1314" s="68"/>
      <c r="BG1314" s="68"/>
      <c r="BH1314" s="68"/>
      <c r="BI1314" s="68"/>
      <c r="BJ1314" s="68"/>
      <c r="BK1314" s="68"/>
      <c r="BL1314" s="68"/>
      <c r="BM1314" s="68"/>
      <c r="BN1314" s="68"/>
      <c r="BO1314" s="68"/>
      <c r="BP1314" s="68"/>
      <c r="BQ1314" s="68"/>
      <c r="BR1314" s="68"/>
      <c r="BS1314" s="68"/>
      <c r="BT1314" s="68"/>
      <c r="BU1314" s="68"/>
      <c r="BV1314" s="68"/>
      <c r="BW1314" s="68"/>
      <c r="BX1314" s="68"/>
      <c r="BY1314" s="68"/>
      <c r="BZ1314" s="68"/>
      <c r="CA1314" s="68"/>
      <c r="CB1314" s="68"/>
      <c r="CC1314" s="68"/>
      <c r="CD1314" s="68"/>
      <c r="CE1314" s="68"/>
      <c r="CF1314" s="68"/>
      <c r="CG1314" s="68"/>
      <c r="CH1314" s="68"/>
      <c r="CI1314" s="68"/>
      <c r="CJ1314" s="68"/>
      <c r="CK1314" s="68"/>
      <c r="CL1314" s="68"/>
      <c r="CM1314" s="68"/>
      <c r="CN1314" s="68"/>
      <c r="CO1314" s="68"/>
      <c r="CP1314" s="68"/>
      <c r="CQ1314" s="68"/>
      <c r="CR1314" s="68"/>
      <c r="CS1314" s="68"/>
      <c r="CT1314" s="68"/>
      <c r="CU1314" s="68"/>
      <c r="CV1314" s="68"/>
      <c r="CW1314" s="68"/>
      <c r="CX1314" s="68"/>
    </row>
    <row r="1315" spans="4:102" s="71" customFormat="1" hidden="1">
      <c r="D1315" s="69"/>
      <c r="E1315" s="68"/>
      <c r="F1315" s="68"/>
      <c r="G1315" s="68"/>
      <c r="H1315" s="68"/>
      <c r="I1315" s="68"/>
      <c r="J1315" s="68"/>
      <c r="K1315" s="73"/>
      <c r="L1315" s="68"/>
      <c r="M1315" s="68"/>
      <c r="N1315" s="68"/>
      <c r="O1315" s="68"/>
      <c r="P1315" s="65"/>
      <c r="Q1315" s="103"/>
      <c r="R1315" s="103"/>
      <c r="S1315" s="103"/>
      <c r="T1315" s="103"/>
      <c r="U1315" s="68"/>
      <c r="V1315" s="69"/>
      <c r="W1315" s="68"/>
      <c r="X1315" s="68"/>
      <c r="Y1315" s="68"/>
      <c r="Z1315" s="68"/>
      <c r="AA1315" s="68"/>
      <c r="AB1315" s="68"/>
      <c r="AC1315" s="68"/>
      <c r="AD1315" s="68"/>
      <c r="AE1315" s="68"/>
      <c r="AF1315" s="68"/>
      <c r="AG1315" s="68"/>
      <c r="AH1315" s="68"/>
      <c r="AI1315" s="68"/>
      <c r="AJ1315" s="68"/>
      <c r="AK1315" s="68"/>
      <c r="AL1315" s="68"/>
      <c r="AM1315" s="68"/>
      <c r="AN1315" s="68"/>
      <c r="AO1315" s="68"/>
      <c r="AP1315" s="68"/>
      <c r="AQ1315" s="68"/>
      <c r="AR1315" s="68"/>
      <c r="AS1315" s="68"/>
      <c r="AT1315" s="68"/>
      <c r="AU1315" s="68"/>
      <c r="AV1315" s="68"/>
      <c r="AW1315" s="68"/>
      <c r="AX1315" s="68"/>
      <c r="AY1315" s="68"/>
      <c r="AZ1315" s="68"/>
      <c r="BA1315" s="68"/>
      <c r="BB1315" s="68"/>
      <c r="BC1315" s="68"/>
      <c r="BD1315" s="68"/>
      <c r="BE1315" s="68"/>
      <c r="BF1315" s="68"/>
      <c r="BG1315" s="68"/>
      <c r="BH1315" s="68"/>
      <c r="BI1315" s="68"/>
      <c r="BJ1315" s="68"/>
      <c r="BK1315" s="68"/>
      <c r="BL1315" s="68"/>
      <c r="BM1315" s="68"/>
      <c r="BN1315" s="68"/>
      <c r="BO1315" s="68"/>
      <c r="BP1315" s="68"/>
      <c r="BQ1315" s="68"/>
      <c r="BR1315" s="68"/>
      <c r="BS1315" s="68"/>
      <c r="BT1315" s="68"/>
      <c r="BU1315" s="68"/>
      <c r="BV1315" s="68"/>
      <c r="BW1315" s="68"/>
      <c r="BX1315" s="68"/>
      <c r="BY1315" s="68"/>
      <c r="BZ1315" s="68"/>
      <c r="CA1315" s="68"/>
      <c r="CB1315" s="68"/>
      <c r="CC1315" s="68"/>
      <c r="CD1315" s="68"/>
      <c r="CE1315" s="68"/>
      <c r="CF1315" s="68"/>
      <c r="CG1315" s="68"/>
      <c r="CH1315" s="68"/>
      <c r="CI1315" s="68"/>
      <c r="CJ1315" s="68"/>
      <c r="CK1315" s="68"/>
      <c r="CL1315" s="68"/>
      <c r="CM1315" s="68"/>
      <c r="CN1315" s="68"/>
      <c r="CO1315" s="68"/>
      <c r="CP1315" s="68"/>
      <c r="CQ1315" s="68"/>
      <c r="CR1315" s="68"/>
      <c r="CS1315" s="68"/>
      <c r="CT1315" s="68"/>
      <c r="CU1315" s="68"/>
      <c r="CV1315" s="68"/>
      <c r="CW1315" s="68"/>
      <c r="CX1315" s="68"/>
    </row>
    <row r="1316" spans="4:102" s="71" customFormat="1" hidden="1">
      <c r="D1316" s="69"/>
      <c r="E1316" s="68"/>
      <c r="F1316" s="68"/>
      <c r="G1316" s="68"/>
      <c r="H1316" s="68"/>
      <c r="I1316" s="68"/>
      <c r="J1316" s="68"/>
      <c r="K1316" s="73"/>
      <c r="L1316" s="68"/>
      <c r="M1316" s="68"/>
      <c r="N1316" s="68"/>
      <c r="O1316" s="68"/>
      <c r="P1316" s="65"/>
      <c r="Q1316" s="103"/>
      <c r="R1316" s="103"/>
      <c r="S1316" s="103"/>
      <c r="T1316" s="103"/>
      <c r="U1316" s="68"/>
      <c r="V1316" s="69"/>
      <c r="W1316" s="68"/>
      <c r="X1316" s="68"/>
      <c r="Y1316" s="68"/>
      <c r="Z1316" s="68"/>
      <c r="AA1316" s="68"/>
      <c r="AB1316" s="68"/>
      <c r="AC1316" s="68"/>
      <c r="AD1316" s="68"/>
      <c r="AE1316" s="68"/>
      <c r="AF1316" s="68"/>
      <c r="AG1316" s="68"/>
      <c r="AH1316" s="68"/>
      <c r="AI1316" s="68"/>
      <c r="AJ1316" s="68"/>
      <c r="AK1316" s="68"/>
      <c r="AL1316" s="68"/>
      <c r="AM1316" s="68"/>
      <c r="AN1316" s="68"/>
      <c r="AO1316" s="68"/>
      <c r="AP1316" s="68"/>
      <c r="AQ1316" s="68"/>
      <c r="AR1316" s="68"/>
      <c r="AS1316" s="68"/>
      <c r="AT1316" s="68"/>
      <c r="AU1316" s="68"/>
      <c r="AV1316" s="68"/>
      <c r="AW1316" s="68"/>
      <c r="AX1316" s="68"/>
      <c r="AY1316" s="68"/>
      <c r="AZ1316" s="68"/>
      <c r="BA1316" s="68"/>
      <c r="BB1316" s="68"/>
      <c r="BC1316" s="68"/>
      <c r="BD1316" s="68"/>
      <c r="BE1316" s="68"/>
      <c r="BF1316" s="68"/>
      <c r="BG1316" s="68"/>
      <c r="BH1316" s="68"/>
      <c r="BI1316" s="68"/>
      <c r="BJ1316" s="68"/>
      <c r="BK1316" s="68"/>
      <c r="BL1316" s="68"/>
      <c r="BM1316" s="68"/>
      <c r="BN1316" s="68"/>
      <c r="BO1316" s="68"/>
      <c r="BP1316" s="68"/>
      <c r="BQ1316" s="68"/>
      <c r="BR1316" s="68"/>
      <c r="BS1316" s="68"/>
      <c r="BT1316" s="68"/>
      <c r="BU1316" s="68"/>
      <c r="BV1316" s="68"/>
      <c r="BW1316" s="68"/>
      <c r="BX1316" s="68"/>
      <c r="BY1316" s="68"/>
      <c r="BZ1316" s="68"/>
      <c r="CA1316" s="68"/>
      <c r="CB1316" s="68"/>
      <c r="CC1316" s="68"/>
      <c r="CD1316" s="68"/>
      <c r="CE1316" s="68"/>
      <c r="CF1316" s="68"/>
      <c r="CG1316" s="68"/>
      <c r="CH1316" s="68"/>
      <c r="CI1316" s="68"/>
      <c r="CJ1316" s="68"/>
      <c r="CK1316" s="68"/>
      <c r="CL1316" s="68"/>
      <c r="CM1316" s="68"/>
      <c r="CN1316" s="68"/>
      <c r="CO1316" s="68"/>
      <c r="CP1316" s="68"/>
      <c r="CQ1316" s="68"/>
      <c r="CR1316" s="68"/>
      <c r="CS1316" s="68"/>
      <c r="CT1316" s="68"/>
      <c r="CU1316" s="68"/>
      <c r="CV1316" s="68"/>
      <c r="CW1316" s="68"/>
      <c r="CX1316" s="68"/>
    </row>
    <row r="1317" spans="4:102" s="71" customFormat="1" hidden="1">
      <c r="D1317" s="69"/>
      <c r="E1317" s="68"/>
      <c r="F1317" s="68"/>
      <c r="G1317" s="68"/>
      <c r="H1317" s="68"/>
      <c r="I1317" s="68"/>
      <c r="J1317" s="68"/>
      <c r="K1317" s="73"/>
      <c r="L1317" s="68"/>
      <c r="M1317" s="68"/>
      <c r="N1317" s="68"/>
      <c r="O1317" s="68"/>
      <c r="P1317" s="65"/>
      <c r="Q1317" s="103"/>
      <c r="R1317" s="103"/>
      <c r="S1317" s="103"/>
      <c r="T1317" s="103"/>
      <c r="U1317" s="68"/>
      <c r="V1317" s="69"/>
      <c r="W1317" s="68"/>
      <c r="X1317" s="68"/>
      <c r="Y1317" s="68"/>
      <c r="Z1317" s="68"/>
      <c r="AA1317" s="68"/>
      <c r="AB1317" s="68"/>
      <c r="AC1317" s="68"/>
      <c r="AD1317" s="68"/>
      <c r="AE1317" s="68"/>
      <c r="AF1317" s="68"/>
      <c r="AG1317" s="68"/>
      <c r="AH1317" s="68"/>
      <c r="AI1317" s="68"/>
      <c r="AJ1317" s="68"/>
      <c r="AK1317" s="68"/>
      <c r="AL1317" s="68"/>
      <c r="AM1317" s="68"/>
      <c r="AN1317" s="68"/>
      <c r="AO1317" s="68"/>
      <c r="AP1317" s="68"/>
      <c r="AQ1317" s="68"/>
      <c r="AR1317" s="68"/>
      <c r="AS1317" s="68"/>
      <c r="AT1317" s="68"/>
      <c r="AU1317" s="68"/>
      <c r="AV1317" s="68"/>
      <c r="AW1317" s="68"/>
      <c r="AX1317" s="68"/>
      <c r="AY1317" s="68"/>
      <c r="AZ1317" s="68"/>
      <c r="BA1317" s="68"/>
      <c r="BB1317" s="68"/>
      <c r="BC1317" s="68"/>
      <c r="BD1317" s="68"/>
      <c r="BE1317" s="68"/>
      <c r="BF1317" s="68"/>
      <c r="BG1317" s="68"/>
      <c r="BH1317" s="68"/>
      <c r="BI1317" s="68"/>
      <c r="BJ1317" s="68"/>
      <c r="BK1317" s="68"/>
      <c r="BL1317" s="68"/>
      <c r="BM1317" s="68"/>
      <c r="BN1317" s="68"/>
      <c r="BO1317" s="68"/>
      <c r="BP1317" s="68"/>
      <c r="BQ1317" s="68"/>
      <c r="BR1317" s="68"/>
      <c r="BS1317" s="68"/>
      <c r="BT1317" s="68"/>
      <c r="BU1317" s="68"/>
      <c r="BV1317" s="68"/>
      <c r="BW1317" s="68"/>
      <c r="BX1317" s="68"/>
      <c r="BY1317" s="68"/>
      <c r="BZ1317" s="68"/>
      <c r="CA1317" s="68"/>
      <c r="CB1317" s="68"/>
      <c r="CC1317" s="68"/>
      <c r="CD1317" s="68"/>
      <c r="CE1317" s="68"/>
      <c r="CF1317" s="68"/>
      <c r="CG1317" s="68"/>
      <c r="CH1317" s="68"/>
      <c r="CI1317" s="68"/>
      <c r="CJ1317" s="68"/>
      <c r="CK1317" s="68"/>
      <c r="CL1317" s="68"/>
      <c r="CM1317" s="68"/>
      <c r="CN1317" s="68"/>
      <c r="CO1317" s="68"/>
      <c r="CP1317" s="68"/>
      <c r="CQ1317" s="68"/>
      <c r="CR1317" s="68"/>
      <c r="CS1317" s="68"/>
      <c r="CT1317" s="68"/>
      <c r="CU1317" s="68"/>
      <c r="CV1317" s="68"/>
      <c r="CW1317" s="68"/>
      <c r="CX1317" s="68"/>
    </row>
    <row r="1318" spans="4:102" s="71" customFormat="1" hidden="1">
      <c r="D1318" s="69"/>
      <c r="E1318" s="68"/>
      <c r="F1318" s="68"/>
      <c r="G1318" s="68"/>
      <c r="H1318" s="68"/>
      <c r="I1318" s="68"/>
      <c r="J1318" s="68"/>
      <c r="K1318" s="73"/>
      <c r="L1318" s="68"/>
      <c r="M1318" s="68"/>
      <c r="N1318" s="68"/>
      <c r="O1318" s="68"/>
      <c r="P1318" s="65"/>
      <c r="Q1318" s="103"/>
      <c r="R1318" s="103"/>
      <c r="S1318" s="103"/>
      <c r="T1318" s="103"/>
      <c r="U1318" s="68"/>
      <c r="V1318" s="69"/>
      <c r="W1318" s="68"/>
      <c r="X1318" s="68"/>
      <c r="Y1318" s="68"/>
      <c r="Z1318" s="68"/>
      <c r="AA1318" s="68"/>
      <c r="AB1318" s="68"/>
      <c r="AC1318" s="68"/>
      <c r="AD1318" s="68"/>
      <c r="AE1318" s="68"/>
      <c r="AF1318" s="68"/>
      <c r="AG1318" s="68"/>
      <c r="AH1318" s="68"/>
      <c r="AI1318" s="68"/>
      <c r="AJ1318" s="68"/>
      <c r="AK1318" s="68"/>
      <c r="AL1318" s="68"/>
      <c r="AM1318" s="68"/>
      <c r="AN1318" s="68"/>
      <c r="AO1318" s="68"/>
      <c r="AP1318" s="68"/>
      <c r="AQ1318" s="68"/>
      <c r="AR1318" s="68"/>
      <c r="AS1318" s="68"/>
      <c r="AT1318" s="68"/>
      <c r="AU1318" s="68"/>
      <c r="AV1318" s="68"/>
      <c r="AW1318" s="68"/>
      <c r="AX1318" s="68"/>
      <c r="AY1318" s="68"/>
      <c r="AZ1318" s="68"/>
      <c r="BA1318" s="68"/>
      <c r="BB1318" s="68"/>
      <c r="BC1318" s="68"/>
      <c r="BD1318" s="68"/>
      <c r="BE1318" s="68"/>
      <c r="BF1318" s="68"/>
      <c r="BG1318" s="68"/>
      <c r="BH1318" s="68"/>
      <c r="BI1318" s="68"/>
      <c r="BJ1318" s="68"/>
      <c r="BK1318" s="68"/>
      <c r="BL1318" s="68"/>
      <c r="BM1318" s="68"/>
      <c r="BN1318" s="68"/>
      <c r="BO1318" s="68"/>
      <c r="BP1318" s="68"/>
      <c r="BQ1318" s="68"/>
      <c r="BR1318" s="68"/>
      <c r="BS1318" s="68"/>
      <c r="BT1318" s="68"/>
      <c r="BU1318" s="68"/>
      <c r="BV1318" s="68"/>
      <c r="BW1318" s="68"/>
      <c r="BX1318" s="68"/>
      <c r="BY1318" s="68"/>
      <c r="BZ1318" s="68"/>
      <c r="CA1318" s="68"/>
      <c r="CB1318" s="68"/>
      <c r="CC1318" s="68"/>
      <c r="CD1318" s="68"/>
      <c r="CE1318" s="68"/>
      <c r="CF1318" s="68"/>
      <c r="CG1318" s="68"/>
      <c r="CH1318" s="68"/>
      <c r="CI1318" s="68"/>
      <c r="CJ1318" s="68"/>
      <c r="CK1318" s="68"/>
      <c r="CL1318" s="68"/>
      <c r="CM1318" s="68"/>
      <c r="CN1318" s="68"/>
      <c r="CO1318" s="68"/>
      <c r="CP1318" s="68"/>
      <c r="CQ1318" s="68"/>
      <c r="CR1318" s="68"/>
      <c r="CS1318" s="68"/>
      <c r="CT1318" s="68"/>
      <c r="CU1318" s="68"/>
      <c r="CV1318" s="68"/>
      <c r="CW1318" s="68"/>
      <c r="CX1318" s="68"/>
    </row>
    <row r="1319" spans="4:102" s="71" customFormat="1" hidden="1">
      <c r="D1319" s="69"/>
      <c r="E1319" s="68"/>
      <c r="F1319" s="68"/>
      <c r="G1319" s="68"/>
      <c r="H1319" s="68"/>
      <c r="I1319" s="68"/>
      <c r="J1319" s="68"/>
      <c r="K1319" s="73"/>
      <c r="L1319" s="68"/>
      <c r="M1319" s="68"/>
      <c r="N1319" s="68"/>
      <c r="O1319" s="68"/>
      <c r="P1319" s="65"/>
      <c r="Q1319" s="103"/>
      <c r="R1319" s="103"/>
      <c r="S1319" s="103"/>
      <c r="T1319" s="103"/>
      <c r="U1319" s="68"/>
      <c r="V1319" s="69"/>
      <c r="W1319" s="68"/>
      <c r="X1319" s="68"/>
      <c r="Y1319" s="68"/>
      <c r="Z1319" s="68"/>
      <c r="AA1319" s="68"/>
      <c r="AB1319" s="68"/>
      <c r="AC1319" s="68"/>
      <c r="AD1319" s="68"/>
      <c r="AE1319" s="68"/>
      <c r="AF1319" s="68"/>
      <c r="AG1319" s="68"/>
      <c r="AH1319" s="68"/>
      <c r="AI1319" s="68"/>
      <c r="AJ1319" s="68"/>
      <c r="AK1319" s="68"/>
      <c r="AL1319" s="68"/>
      <c r="AM1319" s="68"/>
      <c r="AN1319" s="68"/>
      <c r="AO1319" s="68"/>
      <c r="AP1319" s="68"/>
      <c r="AQ1319" s="68"/>
      <c r="AR1319" s="68"/>
      <c r="AS1319" s="68"/>
      <c r="AT1319" s="68"/>
      <c r="AU1319" s="68"/>
      <c r="AV1319" s="68"/>
      <c r="AW1319" s="68"/>
      <c r="AX1319" s="68"/>
      <c r="AY1319" s="68"/>
      <c r="AZ1319" s="68"/>
      <c r="BA1319" s="68"/>
      <c r="BB1319" s="68"/>
      <c r="BC1319" s="68"/>
      <c r="BD1319" s="68"/>
      <c r="BE1319" s="68"/>
      <c r="BF1319" s="68"/>
      <c r="BG1319" s="68"/>
      <c r="BH1319" s="68"/>
      <c r="BI1319" s="68"/>
      <c r="BJ1319" s="68"/>
      <c r="BK1319" s="68"/>
      <c r="BL1319" s="68"/>
      <c r="BM1319" s="68"/>
      <c r="BN1319" s="68"/>
      <c r="BO1319" s="68"/>
      <c r="BP1319" s="68"/>
      <c r="BQ1319" s="68"/>
      <c r="BR1319" s="68"/>
      <c r="BS1319" s="68"/>
      <c r="BT1319" s="68"/>
      <c r="BU1319" s="68"/>
      <c r="BV1319" s="68"/>
      <c r="BW1319" s="68"/>
      <c r="BX1319" s="68"/>
      <c r="BY1319" s="68"/>
      <c r="BZ1319" s="68"/>
      <c r="CA1319" s="68"/>
      <c r="CB1319" s="68"/>
      <c r="CC1319" s="68"/>
      <c r="CD1319" s="68"/>
      <c r="CE1319" s="68"/>
      <c r="CF1319" s="68"/>
      <c r="CG1319" s="68"/>
      <c r="CH1319" s="68"/>
      <c r="CI1319" s="68"/>
      <c r="CJ1319" s="68"/>
      <c r="CK1319" s="68"/>
      <c r="CL1319" s="68"/>
      <c r="CM1319" s="68"/>
      <c r="CN1319" s="68"/>
      <c r="CO1319" s="68"/>
      <c r="CP1319" s="68"/>
      <c r="CQ1319" s="68"/>
      <c r="CR1319" s="68"/>
      <c r="CS1319" s="68"/>
      <c r="CT1319" s="68"/>
      <c r="CU1319" s="68"/>
      <c r="CV1319" s="68"/>
      <c r="CW1319" s="68"/>
      <c r="CX1319" s="68"/>
    </row>
    <row r="1320" spans="4:102" s="71" customFormat="1" hidden="1">
      <c r="D1320" s="69"/>
      <c r="E1320" s="68"/>
      <c r="F1320" s="68"/>
      <c r="G1320" s="68"/>
      <c r="H1320" s="68"/>
      <c r="I1320" s="68"/>
      <c r="J1320" s="68"/>
      <c r="K1320" s="73"/>
      <c r="L1320" s="68"/>
      <c r="M1320" s="68"/>
      <c r="N1320" s="68"/>
      <c r="O1320" s="68"/>
      <c r="P1320" s="65"/>
      <c r="Q1320" s="103"/>
      <c r="R1320" s="103"/>
      <c r="S1320" s="103"/>
      <c r="T1320" s="103"/>
      <c r="U1320" s="68"/>
      <c r="V1320" s="69"/>
      <c r="W1320" s="68"/>
      <c r="X1320" s="68"/>
      <c r="Y1320" s="68"/>
      <c r="Z1320" s="68"/>
      <c r="AA1320" s="68"/>
      <c r="AB1320" s="68"/>
      <c r="AC1320" s="68"/>
      <c r="AD1320" s="68"/>
      <c r="AE1320" s="68"/>
      <c r="AF1320" s="68"/>
      <c r="AG1320" s="68"/>
      <c r="AH1320" s="68"/>
      <c r="AI1320" s="68"/>
      <c r="AJ1320" s="68"/>
      <c r="AK1320" s="68"/>
      <c r="AL1320" s="68"/>
      <c r="AM1320" s="68"/>
      <c r="AN1320" s="68"/>
      <c r="AO1320" s="68"/>
      <c r="AP1320" s="68"/>
      <c r="AQ1320" s="68"/>
      <c r="AR1320" s="68"/>
      <c r="AS1320" s="68"/>
      <c r="AT1320" s="68"/>
      <c r="AU1320" s="68"/>
      <c r="AV1320" s="68"/>
      <c r="AW1320" s="68"/>
      <c r="AX1320" s="68"/>
      <c r="AY1320" s="68"/>
      <c r="AZ1320" s="68"/>
      <c r="BA1320" s="68"/>
      <c r="BB1320" s="68"/>
      <c r="BC1320" s="68"/>
      <c r="BD1320" s="68"/>
      <c r="BE1320" s="68"/>
      <c r="BF1320" s="68"/>
      <c r="BG1320" s="68"/>
      <c r="BH1320" s="68"/>
      <c r="BI1320" s="68"/>
      <c r="BJ1320" s="68"/>
      <c r="BK1320" s="68"/>
      <c r="BL1320" s="68"/>
      <c r="BM1320" s="68"/>
      <c r="BN1320" s="68"/>
      <c r="BO1320" s="68"/>
      <c r="BP1320" s="68"/>
      <c r="BQ1320" s="68"/>
      <c r="BR1320" s="68"/>
      <c r="BS1320" s="68"/>
      <c r="BT1320" s="68"/>
      <c r="BU1320" s="68"/>
      <c r="BV1320" s="68"/>
      <c r="BW1320" s="68"/>
      <c r="BX1320" s="68"/>
      <c r="BY1320" s="68"/>
      <c r="BZ1320" s="68"/>
      <c r="CA1320" s="68"/>
      <c r="CB1320" s="68"/>
      <c r="CC1320" s="68"/>
      <c r="CD1320" s="68"/>
      <c r="CE1320" s="68"/>
      <c r="CF1320" s="68"/>
      <c r="CG1320" s="68"/>
      <c r="CH1320" s="68"/>
      <c r="CI1320" s="68"/>
      <c r="CJ1320" s="68"/>
      <c r="CK1320" s="68"/>
      <c r="CL1320" s="68"/>
      <c r="CM1320" s="68"/>
      <c r="CN1320" s="68"/>
      <c r="CO1320" s="68"/>
      <c r="CP1320" s="68"/>
      <c r="CQ1320" s="68"/>
      <c r="CR1320" s="68"/>
      <c r="CS1320" s="68"/>
      <c r="CT1320" s="68"/>
      <c r="CU1320" s="68"/>
      <c r="CV1320" s="68"/>
      <c r="CW1320" s="68"/>
      <c r="CX1320" s="68"/>
    </row>
    <row r="1321" spans="4:102" s="71" customFormat="1" hidden="1">
      <c r="D1321" s="69"/>
      <c r="E1321" s="68"/>
      <c r="F1321" s="68"/>
      <c r="G1321" s="68"/>
      <c r="H1321" s="68"/>
      <c r="I1321" s="68"/>
      <c r="J1321" s="68"/>
      <c r="K1321" s="73"/>
      <c r="L1321" s="68"/>
      <c r="M1321" s="68"/>
      <c r="N1321" s="68"/>
      <c r="O1321" s="68"/>
      <c r="P1321" s="65"/>
      <c r="Q1321" s="103"/>
      <c r="R1321" s="103"/>
      <c r="S1321" s="103"/>
      <c r="T1321" s="103"/>
      <c r="U1321" s="68"/>
      <c r="V1321" s="69"/>
      <c r="W1321" s="68"/>
      <c r="X1321" s="68"/>
      <c r="Y1321" s="68"/>
      <c r="Z1321" s="68"/>
      <c r="AA1321" s="68"/>
      <c r="AB1321" s="68"/>
      <c r="AC1321" s="68"/>
      <c r="AD1321" s="68"/>
      <c r="AE1321" s="68"/>
      <c r="AF1321" s="68"/>
      <c r="AG1321" s="68"/>
      <c r="AH1321" s="68"/>
      <c r="AI1321" s="68"/>
      <c r="AJ1321" s="68"/>
      <c r="AK1321" s="68"/>
      <c r="AL1321" s="68"/>
      <c r="AM1321" s="68"/>
      <c r="AN1321" s="68"/>
      <c r="AO1321" s="68"/>
      <c r="AP1321" s="68"/>
      <c r="AQ1321" s="68"/>
      <c r="AR1321" s="68"/>
      <c r="AS1321" s="68"/>
      <c r="AT1321" s="68"/>
      <c r="AU1321" s="68"/>
      <c r="AV1321" s="68"/>
      <c r="AW1321" s="68"/>
      <c r="AX1321" s="68"/>
      <c r="AY1321" s="68"/>
      <c r="AZ1321" s="68"/>
      <c r="BA1321" s="68"/>
      <c r="BB1321" s="68"/>
      <c r="BC1321" s="68"/>
      <c r="BD1321" s="68"/>
      <c r="BE1321" s="68"/>
      <c r="BF1321" s="68"/>
      <c r="BG1321" s="68"/>
      <c r="BH1321" s="68"/>
      <c r="BI1321" s="68"/>
      <c r="BJ1321" s="68"/>
      <c r="BK1321" s="68"/>
      <c r="BL1321" s="68"/>
      <c r="BM1321" s="68"/>
      <c r="BN1321" s="68"/>
      <c r="BO1321" s="68"/>
      <c r="BP1321" s="68"/>
      <c r="BQ1321" s="68"/>
      <c r="BR1321" s="68"/>
      <c r="BS1321" s="68"/>
      <c r="BT1321" s="68"/>
      <c r="BU1321" s="68"/>
      <c r="BV1321" s="68"/>
      <c r="BW1321" s="68"/>
      <c r="BX1321" s="68"/>
      <c r="BY1321" s="68"/>
      <c r="BZ1321" s="68"/>
      <c r="CA1321" s="68"/>
      <c r="CB1321" s="68"/>
      <c r="CC1321" s="68"/>
      <c r="CD1321" s="68"/>
      <c r="CE1321" s="68"/>
      <c r="CF1321" s="68"/>
      <c r="CG1321" s="68"/>
      <c r="CH1321" s="68"/>
      <c r="CI1321" s="68"/>
      <c r="CJ1321" s="68"/>
      <c r="CK1321" s="68"/>
      <c r="CL1321" s="68"/>
      <c r="CM1321" s="68"/>
      <c r="CN1321" s="68"/>
      <c r="CO1321" s="68"/>
      <c r="CP1321" s="68"/>
      <c r="CQ1321" s="68"/>
      <c r="CR1321" s="68"/>
      <c r="CS1321" s="68"/>
      <c r="CT1321" s="68"/>
      <c r="CU1321" s="68"/>
      <c r="CV1321" s="68"/>
      <c r="CW1321" s="68"/>
      <c r="CX1321" s="68"/>
    </row>
    <row r="1322" spans="4:102" s="71" customFormat="1" hidden="1">
      <c r="D1322" s="69"/>
      <c r="E1322" s="68"/>
      <c r="F1322" s="68"/>
      <c r="G1322" s="68"/>
      <c r="H1322" s="68"/>
      <c r="I1322" s="68"/>
      <c r="J1322" s="68"/>
      <c r="K1322" s="73"/>
      <c r="L1322" s="68"/>
      <c r="M1322" s="68"/>
      <c r="N1322" s="68"/>
      <c r="O1322" s="68"/>
      <c r="P1322" s="65"/>
      <c r="Q1322" s="103"/>
      <c r="R1322" s="103"/>
      <c r="S1322" s="103"/>
      <c r="T1322" s="103"/>
      <c r="U1322" s="68"/>
      <c r="V1322" s="69"/>
      <c r="W1322" s="68"/>
      <c r="X1322" s="68"/>
      <c r="Y1322" s="68"/>
      <c r="Z1322" s="68"/>
      <c r="AA1322" s="68"/>
      <c r="AB1322" s="68"/>
      <c r="AC1322" s="68"/>
      <c r="AD1322" s="68"/>
      <c r="AE1322" s="68"/>
      <c r="AF1322" s="68"/>
      <c r="AG1322" s="68"/>
      <c r="AH1322" s="68"/>
      <c r="AI1322" s="68"/>
      <c r="AJ1322" s="68"/>
      <c r="AK1322" s="68"/>
      <c r="AL1322" s="68"/>
      <c r="AM1322" s="68"/>
      <c r="AN1322" s="68"/>
      <c r="AO1322" s="68"/>
      <c r="AP1322" s="68"/>
      <c r="AQ1322" s="68"/>
      <c r="AR1322" s="68"/>
      <c r="AS1322" s="68"/>
      <c r="AT1322" s="68"/>
      <c r="AU1322" s="68"/>
      <c r="AV1322" s="68"/>
      <c r="AW1322" s="68"/>
      <c r="AX1322" s="68"/>
      <c r="AY1322" s="68"/>
      <c r="AZ1322" s="68"/>
      <c r="BA1322" s="68"/>
      <c r="BB1322" s="68"/>
      <c r="BC1322" s="68"/>
      <c r="BD1322" s="68"/>
      <c r="BE1322" s="68"/>
      <c r="BF1322" s="68"/>
      <c r="BG1322" s="68"/>
      <c r="BH1322" s="68"/>
      <c r="BI1322" s="68"/>
      <c r="BJ1322" s="68"/>
      <c r="BK1322" s="68"/>
      <c r="BL1322" s="68"/>
      <c r="BM1322" s="68"/>
      <c r="BN1322" s="68"/>
      <c r="BO1322" s="68"/>
      <c r="BP1322" s="68"/>
      <c r="BQ1322" s="68"/>
      <c r="BR1322" s="68"/>
      <c r="BS1322" s="68"/>
      <c r="BT1322" s="68"/>
      <c r="BU1322" s="68"/>
      <c r="BV1322" s="68"/>
      <c r="BW1322" s="68"/>
      <c r="BX1322" s="68"/>
      <c r="BY1322" s="68"/>
      <c r="BZ1322" s="68"/>
      <c r="CA1322" s="68"/>
      <c r="CB1322" s="68"/>
      <c r="CC1322" s="68"/>
      <c r="CD1322" s="68"/>
      <c r="CE1322" s="68"/>
      <c r="CF1322" s="68"/>
      <c r="CG1322" s="68"/>
      <c r="CH1322" s="68"/>
      <c r="CI1322" s="68"/>
      <c r="CJ1322" s="68"/>
      <c r="CK1322" s="68"/>
      <c r="CL1322" s="68"/>
      <c r="CM1322" s="68"/>
      <c r="CN1322" s="68"/>
      <c r="CO1322" s="68"/>
      <c r="CP1322" s="68"/>
      <c r="CQ1322" s="68"/>
      <c r="CR1322" s="68"/>
      <c r="CS1322" s="68"/>
      <c r="CT1322" s="68"/>
      <c r="CU1322" s="68"/>
      <c r="CV1322" s="68"/>
      <c r="CW1322" s="68"/>
      <c r="CX1322" s="68"/>
    </row>
    <row r="1323" spans="4:102" s="71" customFormat="1" hidden="1">
      <c r="D1323" s="69"/>
      <c r="E1323" s="68"/>
      <c r="F1323" s="68"/>
      <c r="G1323" s="68"/>
      <c r="H1323" s="68"/>
      <c r="I1323" s="68"/>
      <c r="J1323" s="68"/>
      <c r="K1323" s="73"/>
      <c r="L1323" s="68"/>
      <c r="M1323" s="68"/>
      <c r="N1323" s="68"/>
      <c r="O1323" s="68"/>
      <c r="P1323" s="65"/>
      <c r="Q1323" s="103"/>
      <c r="R1323" s="103"/>
      <c r="S1323" s="103"/>
      <c r="T1323" s="103"/>
      <c r="U1323" s="68"/>
      <c r="V1323" s="69"/>
      <c r="W1323" s="68"/>
      <c r="X1323" s="68"/>
      <c r="Y1323" s="68"/>
      <c r="Z1323" s="68"/>
      <c r="AA1323" s="68"/>
      <c r="AB1323" s="68"/>
      <c r="AC1323" s="68"/>
      <c r="AD1323" s="68"/>
      <c r="AE1323" s="68"/>
      <c r="AF1323" s="68"/>
      <c r="AG1323" s="68"/>
      <c r="AH1323" s="68"/>
      <c r="AI1323" s="68"/>
      <c r="AJ1323" s="68"/>
      <c r="AK1323" s="68"/>
      <c r="AL1323" s="68"/>
      <c r="AM1323" s="68"/>
      <c r="AN1323" s="68"/>
      <c r="AO1323" s="68"/>
      <c r="AP1323" s="68"/>
      <c r="AQ1323" s="68"/>
      <c r="AR1323" s="68"/>
      <c r="AS1323" s="68"/>
      <c r="AT1323" s="68"/>
      <c r="AU1323" s="68"/>
      <c r="AV1323" s="68"/>
      <c r="AW1323" s="68"/>
      <c r="AX1323" s="68"/>
      <c r="AY1323" s="68"/>
      <c r="AZ1323" s="68"/>
      <c r="BA1323" s="68"/>
      <c r="BB1323" s="68"/>
      <c r="BC1323" s="68"/>
      <c r="BD1323" s="68"/>
      <c r="BE1323" s="68"/>
      <c r="BF1323" s="68"/>
      <c r="BG1323" s="68"/>
      <c r="BH1323" s="68"/>
      <c r="BI1323" s="68"/>
      <c r="BJ1323" s="68"/>
      <c r="BK1323" s="68"/>
      <c r="BL1323" s="68"/>
      <c r="BM1323" s="68"/>
      <c r="BN1323" s="68"/>
      <c r="BO1323" s="68"/>
      <c r="BP1323" s="68"/>
      <c r="BQ1323" s="68"/>
      <c r="BR1323" s="68"/>
      <c r="BS1323" s="68"/>
      <c r="BT1323" s="68"/>
      <c r="BU1323" s="68"/>
      <c r="BV1323" s="68"/>
      <c r="BW1323" s="68"/>
      <c r="BX1323" s="68"/>
      <c r="BY1323" s="68"/>
      <c r="BZ1323" s="68"/>
      <c r="CA1323" s="68"/>
      <c r="CB1323" s="68"/>
      <c r="CC1323" s="68"/>
      <c r="CD1323" s="68"/>
      <c r="CE1323" s="68"/>
      <c r="CF1323" s="68"/>
      <c r="CG1323" s="68"/>
      <c r="CH1323" s="68"/>
      <c r="CI1323" s="68"/>
      <c r="CJ1323" s="68"/>
      <c r="CK1323" s="68"/>
      <c r="CL1323" s="68"/>
      <c r="CM1323" s="68"/>
      <c r="CN1323" s="68"/>
      <c r="CO1323" s="68"/>
      <c r="CP1323" s="68"/>
      <c r="CQ1323" s="68"/>
      <c r="CR1323" s="68"/>
      <c r="CS1323" s="68"/>
      <c r="CT1323" s="68"/>
      <c r="CU1323" s="68"/>
      <c r="CV1323" s="68"/>
      <c r="CW1323" s="68"/>
      <c r="CX1323" s="68"/>
    </row>
    <row r="1324" spans="4:102" s="71" customFormat="1" hidden="1">
      <c r="D1324" s="69"/>
      <c r="E1324" s="68"/>
      <c r="F1324" s="68"/>
      <c r="G1324" s="68"/>
      <c r="H1324" s="68"/>
      <c r="I1324" s="68"/>
      <c r="J1324" s="68"/>
      <c r="K1324" s="73"/>
      <c r="L1324" s="68"/>
      <c r="M1324" s="68"/>
      <c r="N1324" s="68"/>
      <c r="O1324" s="68"/>
      <c r="P1324" s="65"/>
      <c r="Q1324" s="103"/>
      <c r="R1324" s="103"/>
      <c r="S1324" s="103"/>
      <c r="T1324" s="103"/>
      <c r="U1324" s="68"/>
      <c r="V1324" s="69"/>
      <c r="W1324" s="68"/>
      <c r="X1324" s="68"/>
      <c r="Y1324" s="68"/>
      <c r="Z1324" s="68"/>
      <c r="AA1324" s="68"/>
      <c r="AB1324" s="68"/>
      <c r="AC1324" s="68"/>
      <c r="AD1324" s="68"/>
      <c r="AE1324" s="68"/>
      <c r="AF1324" s="68"/>
      <c r="AG1324" s="68"/>
      <c r="AH1324" s="68"/>
      <c r="AI1324" s="68"/>
      <c r="AJ1324" s="68"/>
      <c r="AK1324" s="68"/>
      <c r="AL1324" s="68"/>
      <c r="AM1324" s="68"/>
      <c r="AN1324" s="68"/>
      <c r="AO1324" s="68"/>
      <c r="AP1324" s="68"/>
      <c r="AQ1324" s="68"/>
      <c r="AR1324" s="68"/>
      <c r="AS1324" s="68"/>
      <c r="AT1324" s="68"/>
      <c r="AU1324" s="68"/>
      <c r="AV1324" s="68"/>
      <c r="AW1324" s="68"/>
      <c r="AX1324" s="68"/>
      <c r="AY1324" s="68"/>
      <c r="AZ1324" s="68"/>
      <c r="BA1324" s="68"/>
      <c r="BB1324" s="68"/>
      <c r="BC1324" s="68"/>
      <c r="BD1324" s="68"/>
      <c r="BE1324" s="68"/>
      <c r="BF1324" s="68"/>
      <c r="BG1324" s="68"/>
      <c r="BH1324" s="68"/>
      <c r="BI1324" s="68"/>
      <c r="BJ1324" s="68"/>
      <c r="BK1324" s="68"/>
      <c r="BL1324" s="68"/>
      <c r="BM1324" s="68"/>
      <c r="BN1324" s="68"/>
      <c r="BO1324" s="68"/>
      <c r="BP1324" s="68"/>
      <c r="BQ1324" s="68"/>
      <c r="BR1324" s="68"/>
      <c r="BS1324" s="68"/>
      <c r="BT1324" s="68"/>
      <c r="BU1324" s="68"/>
      <c r="BV1324" s="68"/>
      <c r="BW1324" s="68"/>
      <c r="BX1324" s="68"/>
      <c r="BY1324" s="68"/>
      <c r="BZ1324" s="68"/>
      <c r="CA1324" s="68"/>
      <c r="CB1324" s="68"/>
      <c r="CC1324" s="68"/>
      <c r="CD1324" s="68"/>
      <c r="CE1324" s="68"/>
      <c r="CF1324" s="68"/>
      <c r="CG1324" s="68"/>
      <c r="CH1324" s="68"/>
      <c r="CI1324" s="68"/>
      <c r="CJ1324" s="68"/>
      <c r="CK1324" s="68"/>
      <c r="CL1324" s="68"/>
      <c r="CM1324" s="68"/>
      <c r="CN1324" s="68"/>
      <c r="CO1324" s="68"/>
      <c r="CP1324" s="68"/>
      <c r="CQ1324" s="68"/>
      <c r="CR1324" s="68"/>
      <c r="CS1324" s="68"/>
      <c r="CT1324" s="68"/>
      <c r="CU1324" s="68"/>
      <c r="CV1324" s="68"/>
      <c r="CW1324" s="68"/>
      <c r="CX1324" s="68"/>
    </row>
    <row r="1325" spans="4:102" s="71" customFormat="1" hidden="1">
      <c r="D1325" s="69"/>
      <c r="E1325" s="68"/>
      <c r="F1325" s="68"/>
      <c r="G1325" s="68"/>
      <c r="H1325" s="68"/>
      <c r="I1325" s="68"/>
      <c r="J1325" s="68"/>
      <c r="K1325" s="73"/>
      <c r="L1325" s="68"/>
      <c r="M1325" s="68"/>
      <c r="N1325" s="68"/>
      <c r="O1325" s="68"/>
      <c r="P1325" s="65"/>
      <c r="Q1325" s="103"/>
      <c r="R1325" s="103"/>
      <c r="S1325" s="103"/>
      <c r="T1325" s="103"/>
      <c r="U1325" s="68"/>
      <c r="V1325" s="69"/>
      <c r="W1325" s="68"/>
      <c r="X1325" s="68"/>
      <c r="Y1325" s="68"/>
      <c r="Z1325" s="68"/>
      <c r="AA1325" s="68"/>
      <c r="AB1325" s="68"/>
      <c r="AC1325" s="68"/>
      <c r="AD1325" s="68"/>
      <c r="AE1325" s="68"/>
      <c r="AF1325" s="68"/>
      <c r="AG1325" s="68"/>
      <c r="AH1325" s="68"/>
      <c r="AI1325" s="68"/>
      <c r="AJ1325" s="68"/>
      <c r="AK1325" s="68"/>
      <c r="AL1325" s="68"/>
      <c r="AM1325" s="68"/>
      <c r="AN1325" s="68"/>
      <c r="AO1325" s="68"/>
      <c r="AP1325" s="68"/>
      <c r="AQ1325" s="68"/>
      <c r="AR1325" s="68"/>
      <c r="AS1325" s="68"/>
      <c r="AT1325" s="68"/>
      <c r="AU1325" s="68"/>
      <c r="AV1325" s="68"/>
      <c r="AW1325" s="68"/>
      <c r="AX1325" s="68"/>
      <c r="AY1325" s="68"/>
      <c r="AZ1325" s="68"/>
      <c r="BA1325" s="68"/>
      <c r="BB1325" s="68"/>
      <c r="BC1325" s="68"/>
      <c r="BD1325" s="68"/>
      <c r="BE1325" s="68"/>
      <c r="BF1325" s="68"/>
      <c r="BG1325" s="68"/>
      <c r="BH1325" s="68"/>
      <c r="BI1325" s="68"/>
      <c r="BJ1325" s="68"/>
      <c r="BK1325" s="68"/>
      <c r="BL1325" s="68"/>
      <c r="BM1325" s="68"/>
      <c r="BN1325" s="68"/>
      <c r="BO1325" s="68"/>
      <c r="BP1325" s="68"/>
      <c r="BQ1325" s="68"/>
      <c r="BR1325" s="68"/>
      <c r="BS1325" s="68"/>
      <c r="BT1325" s="68"/>
      <c r="BU1325" s="68"/>
      <c r="BV1325" s="68"/>
      <c r="BW1325" s="68"/>
      <c r="BX1325" s="68"/>
      <c r="BY1325" s="68"/>
      <c r="BZ1325" s="68"/>
      <c r="CA1325" s="68"/>
      <c r="CB1325" s="68"/>
      <c r="CC1325" s="68"/>
      <c r="CD1325" s="68"/>
      <c r="CE1325" s="68"/>
      <c r="CF1325" s="68"/>
      <c r="CG1325" s="68"/>
      <c r="CH1325" s="68"/>
      <c r="CI1325" s="68"/>
      <c r="CJ1325" s="68"/>
      <c r="CK1325" s="68"/>
      <c r="CL1325" s="68"/>
      <c r="CM1325" s="68"/>
      <c r="CN1325" s="68"/>
      <c r="CO1325" s="68"/>
      <c r="CP1325" s="68"/>
      <c r="CQ1325" s="68"/>
      <c r="CR1325" s="68"/>
      <c r="CS1325" s="68"/>
      <c r="CT1325" s="68"/>
      <c r="CU1325" s="68"/>
      <c r="CV1325" s="68"/>
      <c r="CW1325" s="68"/>
      <c r="CX1325" s="68"/>
    </row>
    <row r="1326" spans="4:102" s="71" customFormat="1" hidden="1">
      <c r="D1326" s="69"/>
      <c r="E1326" s="68"/>
      <c r="F1326" s="68"/>
      <c r="G1326" s="68"/>
      <c r="H1326" s="68"/>
      <c r="I1326" s="68"/>
      <c r="J1326" s="68"/>
      <c r="K1326" s="73"/>
      <c r="L1326" s="68"/>
      <c r="M1326" s="68"/>
      <c r="N1326" s="68"/>
      <c r="O1326" s="68"/>
      <c r="P1326" s="65"/>
      <c r="Q1326" s="103"/>
      <c r="R1326" s="103"/>
      <c r="S1326" s="103"/>
      <c r="T1326" s="103"/>
      <c r="U1326" s="68"/>
      <c r="V1326" s="69"/>
      <c r="W1326" s="68"/>
      <c r="X1326" s="68"/>
      <c r="Y1326" s="68"/>
      <c r="Z1326" s="68"/>
      <c r="AA1326" s="68"/>
      <c r="AB1326" s="68"/>
      <c r="AC1326" s="68"/>
      <c r="AD1326" s="68"/>
      <c r="AE1326" s="68"/>
      <c r="AF1326" s="68"/>
      <c r="AG1326" s="68"/>
      <c r="AH1326" s="68"/>
      <c r="AI1326" s="68"/>
      <c r="AJ1326" s="68"/>
      <c r="AK1326" s="68"/>
      <c r="AL1326" s="68"/>
      <c r="AM1326" s="68"/>
      <c r="AN1326" s="68"/>
      <c r="AO1326" s="68"/>
      <c r="AP1326" s="68"/>
      <c r="AQ1326" s="68"/>
      <c r="AR1326" s="68"/>
      <c r="AS1326" s="68"/>
      <c r="AT1326" s="68"/>
      <c r="AU1326" s="68"/>
      <c r="AV1326" s="68"/>
      <c r="AW1326" s="68"/>
      <c r="AX1326" s="68"/>
      <c r="AY1326" s="68"/>
      <c r="AZ1326" s="68"/>
      <c r="BA1326" s="68"/>
      <c r="BB1326" s="68"/>
      <c r="BC1326" s="68"/>
      <c r="BD1326" s="68"/>
      <c r="BE1326" s="68"/>
      <c r="BF1326" s="68"/>
      <c r="BG1326" s="68"/>
      <c r="BH1326" s="68"/>
      <c r="BI1326" s="68"/>
      <c r="BJ1326" s="68"/>
      <c r="BK1326" s="68"/>
      <c r="BL1326" s="68"/>
      <c r="BM1326" s="68"/>
      <c r="BN1326" s="68"/>
      <c r="BO1326" s="68"/>
      <c r="BP1326" s="68"/>
      <c r="BQ1326" s="68"/>
      <c r="BR1326" s="68"/>
      <c r="BS1326" s="68"/>
      <c r="BT1326" s="68"/>
      <c r="BU1326" s="68"/>
      <c r="BV1326" s="68"/>
      <c r="BW1326" s="68"/>
      <c r="BX1326" s="68"/>
      <c r="BY1326" s="68"/>
      <c r="BZ1326" s="68"/>
      <c r="CA1326" s="68"/>
      <c r="CB1326" s="68"/>
      <c r="CC1326" s="68"/>
      <c r="CD1326" s="68"/>
      <c r="CE1326" s="68"/>
      <c r="CF1326" s="68"/>
      <c r="CG1326" s="68"/>
      <c r="CH1326" s="68"/>
      <c r="CI1326" s="68"/>
      <c r="CJ1326" s="68"/>
      <c r="CK1326" s="68"/>
      <c r="CL1326" s="68"/>
      <c r="CM1326" s="68"/>
      <c r="CN1326" s="68"/>
      <c r="CO1326" s="68"/>
      <c r="CP1326" s="68"/>
      <c r="CQ1326" s="68"/>
      <c r="CR1326" s="68"/>
      <c r="CS1326" s="68"/>
      <c r="CT1326" s="68"/>
      <c r="CU1326" s="68"/>
      <c r="CV1326" s="68"/>
      <c r="CW1326" s="68"/>
      <c r="CX1326" s="68"/>
    </row>
    <row r="1327" spans="4:102" s="71" customFormat="1" hidden="1">
      <c r="D1327" s="69"/>
      <c r="E1327" s="68"/>
      <c r="F1327" s="68"/>
      <c r="G1327" s="68"/>
      <c r="H1327" s="68"/>
      <c r="I1327" s="68"/>
      <c r="J1327" s="68"/>
      <c r="K1327" s="73"/>
      <c r="L1327" s="68"/>
      <c r="M1327" s="68"/>
      <c r="N1327" s="68"/>
      <c r="O1327" s="68"/>
      <c r="P1327" s="65"/>
      <c r="Q1327" s="103"/>
      <c r="R1327" s="103"/>
      <c r="S1327" s="103"/>
      <c r="T1327" s="103"/>
      <c r="U1327" s="68"/>
      <c r="V1327" s="69"/>
      <c r="W1327" s="68"/>
      <c r="X1327" s="68"/>
      <c r="Y1327" s="68"/>
      <c r="Z1327" s="68"/>
      <c r="AA1327" s="68"/>
      <c r="AB1327" s="68"/>
      <c r="AC1327" s="68"/>
      <c r="AD1327" s="68"/>
      <c r="AE1327" s="68"/>
      <c r="AF1327" s="68"/>
      <c r="AG1327" s="68"/>
      <c r="AH1327" s="68"/>
      <c r="AI1327" s="68"/>
      <c r="AJ1327" s="68"/>
      <c r="AK1327" s="68"/>
      <c r="AL1327" s="68"/>
      <c r="AM1327" s="68"/>
      <c r="AN1327" s="68"/>
      <c r="AO1327" s="68"/>
      <c r="AP1327" s="68"/>
      <c r="AQ1327" s="68"/>
      <c r="AR1327" s="68"/>
      <c r="AS1327" s="68"/>
      <c r="AT1327" s="68"/>
      <c r="AU1327" s="68"/>
      <c r="AV1327" s="68"/>
      <c r="AW1327" s="68"/>
      <c r="AX1327" s="68"/>
      <c r="AY1327" s="68"/>
      <c r="AZ1327" s="68"/>
      <c r="BA1327" s="68"/>
      <c r="BB1327" s="68"/>
      <c r="BC1327" s="68"/>
      <c r="BD1327" s="68"/>
      <c r="BE1327" s="68"/>
      <c r="BF1327" s="68"/>
      <c r="BG1327" s="68"/>
      <c r="BH1327" s="68"/>
      <c r="BI1327" s="68"/>
      <c r="BJ1327" s="68"/>
      <c r="BK1327" s="68"/>
      <c r="BL1327" s="68"/>
      <c r="BM1327" s="68"/>
      <c r="BN1327" s="68"/>
      <c r="BO1327" s="68"/>
      <c r="BP1327" s="68"/>
      <c r="BQ1327" s="68"/>
      <c r="BR1327" s="68"/>
      <c r="BS1327" s="68"/>
      <c r="BT1327" s="68"/>
      <c r="BU1327" s="68"/>
      <c r="BV1327" s="68"/>
      <c r="BW1327" s="68"/>
      <c r="BX1327" s="68"/>
      <c r="BY1327" s="68"/>
      <c r="BZ1327" s="68"/>
      <c r="CA1327" s="68"/>
      <c r="CB1327" s="68"/>
      <c r="CC1327" s="68"/>
      <c r="CD1327" s="68"/>
      <c r="CE1327" s="68"/>
      <c r="CF1327" s="68"/>
      <c r="CG1327" s="68"/>
      <c r="CH1327" s="68"/>
      <c r="CI1327" s="68"/>
      <c r="CJ1327" s="68"/>
      <c r="CK1327" s="68"/>
      <c r="CL1327" s="68"/>
      <c r="CM1327" s="68"/>
      <c r="CN1327" s="68"/>
      <c r="CO1327" s="68"/>
      <c r="CP1327" s="68"/>
      <c r="CQ1327" s="68"/>
      <c r="CR1327" s="68"/>
      <c r="CS1327" s="68"/>
      <c r="CT1327" s="68"/>
      <c r="CU1327" s="68"/>
      <c r="CV1327" s="68"/>
      <c r="CW1327" s="68"/>
      <c r="CX1327" s="68"/>
    </row>
    <row r="1328" spans="4:102" s="71" customFormat="1" hidden="1">
      <c r="D1328" s="69"/>
      <c r="E1328" s="68"/>
      <c r="F1328" s="68"/>
      <c r="G1328" s="68"/>
      <c r="H1328" s="68"/>
      <c r="I1328" s="68"/>
      <c r="J1328" s="68"/>
      <c r="K1328" s="73"/>
      <c r="L1328" s="68"/>
      <c r="M1328" s="68"/>
      <c r="N1328" s="68"/>
      <c r="O1328" s="68"/>
      <c r="P1328" s="65"/>
      <c r="Q1328" s="103"/>
      <c r="R1328" s="103"/>
      <c r="S1328" s="103"/>
      <c r="T1328" s="103"/>
      <c r="U1328" s="68"/>
      <c r="V1328" s="69"/>
      <c r="W1328" s="68"/>
      <c r="X1328" s="68"/>
      <c r="Y1328" s="68"/>
      <c r="Z1328" s="68"/>
      <c r="AA1328" s="68"/>
      <c r="AB1328" s="68"/>
      <c r="AC1328" s="68"/>
      <c r="AD1328" s="68"/>
      <c r="AE1328" s="68"/>
      <c r="AF1328" s="68"/>
      <c r="AG1328" s="68"/>
      <c r="AH1328" s="68"/>
      <c r="AI1328" s="68"/>
      <c r="AJ1328" s="68"/>
      <c r="AK1328" s="68"/>
      <c r="AL1328" s="68"/>
      <c r="AM1328" s="68"/>
      <c r="AN1328" s="68"/>
      <c r="AO1328" s="68"/>
      <c r="AP1328" s="68"/>
      <c r="AQ1328" s="68"/>
      <c r="AR1328" s="68"/>
      <c r="AS1328" s="68"/>
      <c r="AT1328" s="68"/>
      <c r="AU1328" s="68"/>
      <c r="AV1328" s="68"/>
      <c r="AW1328" s="68"/>
      <c r="AX1328" s="68"/>
      <c r="AY1328" s="68"/>
      <c r="AZ1328" s="68"/>
      <c r="BA1328" s="68"/>
      <c r="BB1328" s="68"/>
      <c r="BC1328" s="68"/>
      <c r="BD1328" s="68"/>
      <c r="BE1328" s="68"/>
      <c r="BF1328" s="68"/>
      <c r="BG1328" s="68"/>
      <c r="BH1328" s="68"/>
      <c r="BI1328" s="68"/>
      <c r="BJ1328" s="68"/>
      <c r="BK1328" s="68"/>
      <c r="BL1328" s="68"/>
      <c r="BM1328" s="68"/>
      <c r="BN1328" s="68"/>
      <c r="BO1328" s="68"/>
      <c r="BP1328" s="68"/>
      <c r="BQ1328" s="68"/>
      <c r="BR1328" s="68"/>
      <c r="BS1328" s="68"/>
      <c r="BT1328" s="68"/>
      <c r="BU1328" s="68"/>
      <c r="BV1328" s="68"/>
      <c r="BW1328" s="68"/>
      <c r="BX1328" s="68"/>
      <c r="BY1328" s="68"/>
      <c r="BZ1328" s="68"/>
      <c r="CA1328" s="68"/>
      <c r="CB1328" s="68"/>
      <c r="CC1328" s="68"/>
      <c r="CD1328" s="68"/>
      <c r="CE1328" s="68"/>
      <c r="CF1328" s="68"/>
      <c r="CG1328" s="68"/>
      <c r="CH1328" s="68"/>
      <c r="CI1328" s="68"/>
      <c r="CJ1328" s="68"/>
      <c r="CK1328" s="68"/>
      <c r="CL1328" s="68"/>
      <c r="CM1328" s="68"/>
      <c r="CN1328" s="68"/>
      <c r="CO1328" s="68"/>
      <c r="CP1328" s="68"/>
      <c r="CQ1328" s="68"/>
      <c r="CR1328" s="68"/>
      <c r="CS1328" s="68"/>
      <c r="CT1328" s="68"/>
      <c r="CU1328" s="68"/>
      <c r="CV1328" s="68"/>
      <c r="CW1328" s="68"/>
      <c r="CX1328" s="68"/>
    </row>
    <row r="1329" spans="4:102" s="71" customFormat="1" hidden="1">
      <c r="D1329" s="69"/>
      <c r="E1329" s="68"/>
      <c r="F1329" s="68"/>
      <c r="G1329" s="68"/>
      <c r="H1329" s="68"/>
      <c r="I1329" s="68"/>
      <c r="J1329" s="68"/>
      <c r="K1329" s="73"/>
      <c r="L1329" s="68"/>
      <c r="M1329" s="68"/>
      <c r="N1329" s="68"/>
      <c r="O1329" s="68"/>
      <c r="P1329" s="65"/>
      <c r="Q1329" s="103"/>
      <c r="R1329" s="103"/>
      <c r="S1329" s="103"/>
      <c r="T1329" s="103"/>
      <c r="U1329" s="68"/>
      <c r="V1329" s="69"/>
      <c r="W1329" s="68"/>
      <c r="X1329" s="68"/>
      <c r="Y1329" s="68"/>
      <c r="Z1329" s="68"/>
      <c r="AA1329" s="68"/>
      <c r="AB1329" s="68"/>
      <c r="AC1329" s="68"/>
      <c r="AD1329" s="68"/>
      <c r="AE1329" s="68"/>
      <c r="AF1329" s="68"/>
      <c r="AG1329" s="68"/>
      <c r="AH1329" s="68"/>
      <c r="AI1329" s="68"/>
      <c r="AJ1329" s="68"/>
      <c r="AK1329" s="68"/>
      <c r="AL1329" s="68"/>
      <c r="AM1329" s="68"/>
      <c r="AN1329" s="68"/>
      <c r="AO1329" s="68"/>
      <c r="AP1329" s="68"/>
      <c r="AQ1329" s="68"/>
      <c r="AR1329" s="68"/>
      <c r="AS1329" s="68"/>
      <c r="AT1329" s="68"/>
      <c r="AU1329" s="68"/>
      <c r="AV1329" s="68"/>
      <c r="AW1329" s="68"/>
      <c r="AX1329" s="68"/>
      <c r="AY1329" s="68"/>
      <c r="AZ1329" s="68"/>
      <c r="BA1329" s="68"/>
      <c r="BB1329" s="68"/>
      <c r="BC1329" s="68"/>
      <c r="BD1329" s="68"/>
      <c r="BE1329" s="68"/>
      <c r="BF1329" s="68"/>
      <c r="BG1329" s="68"/>
      <c r="BH1329" s="68"/>
      <c r="BI1329" s="68"/>
      <c r="BJ1329" s="68"/>
      <c r="BK1329" s="68"/>
      <c r="BL1329" s="68"/>
      <c r="BM1329" s="68"/>
      <c r="BN1329" s="68"/>
      <c r="BO1329" s="68"/>
      <c r="BP1329" s="68"/>
      <c r="BQ1329" s="68"/>
      <c r="BR1329" s="68"/>
      <c r="BS1329" s="68"/>
      <c r="BT1329" s="68"/>
      <c r="BU1329" s="68"/>
      <c r="BV1329" s="68"/>
      <c r="BW1329" s="68"/>
      <c r="BX1329" s="68"/>
      <c r="BY1329" s="68"/>
      <c r="BZ1329" s="68"/>
      <c r="CA1329" s="68"/>
      <c r="CB1329" s="68"/>
      <c r="CC1329" s="68"/>
      <c r="CD1329" s="68"/>
      <c r="CE1329" s="68"/>
      <c r="CF1329" s="68"/>
      <c r="CG1329" s="68"/>
      <c r="CH1329" s="68"/>
      <c r="CI1329" s="68"/>
      <c r="CJ1329" s="68"/>
      <c r="CK1329" s="68"/>
      <c r="CL1329" s="68"/>
      <c r="CM1329" s="68"/>
      <c r="CN1329" s="68"/>
      <c r="CO1329" s="68"/>
      <c r="CP1329" s="68"/>
      <c r="CQ1329" s="68"/>
      <c r="CR1329" s="68"/>
      <c r="CS1329" s="68"/>
      <c r="CT1329" s="68"/>
      <c r="CU1329" s="68"/>
      <c r="CV1329" s="68"/>
      <c r="CW1329" s="68"/>
      <c r="CX1329" s="68"/>
    </row>
    <row r="1330" spans="4:102" s="71" customFormat="1" hidden="1">
      <c r="D1330" s="69"/>
      <c r="E1330" s="68"/>
      <c r="F1330" s="68"/>
      <c r="G1330" s="68"/>
      <c r="H1330" s="68"/>
      <c r="I1330" s="68"/>
      <c r="J1330" s="68"/>
      <c r="K1330" s="73"/>
      <c r="L1330" s="68"/>
      <c r="M1330" s="68"/>
      <c r="N1330" s="68"/>
      <c r="O1330" s="68"/>
      <c r="P1330" s="65"/>
      <c r="Q1330" s="103"/>
      <c r="R1330" s="103"/>
      <c r="S1330" s="103"/>
      <c r="T1330" s="103"/>
      <c r="U1330" s="68"/>
      <c r="V1330" s="69"/>
      <c r="W1330" s="68"/>
      <c r="X1330" s="68"/>
      <c r="Y1330" s="68"/>
      <c r="Z1330" s="68"/>
      <c r="AA1330" s="68"/>
      <c r="AB1330" s="68"/>
      <c r="AC1330" s="68"/>
      <c r="AD1330" s="68"/>
      <c r="AE1330" s="68"/>
      <c r="AF1330" s="68"/>
      <c r="AG1330" s="68"/>
      <c r="AH1330" s="68"/>
      <c r="AI1330" s="68"/>
      <c r="AJ1330" s="68"/>
      <c r="AK1330" s="68"/>
      <c r="AL1330" s="68"/>
      <c r="AM1330" s="68"/>
      <c r="AN1330" s="68"/>
      <c r="AO1330" s="68"/>
      <c r="AP1330" s="68"/>
      <c r="AQ1330" s="68"/>
      <c r="AR1330" s="68"/>
      <c r="AS1330" s="68"/>
      <c r="AT1330" s="68"/>
      <c r="AU1330" s="68"/>
      <c r="AV1330" s="68"/>
      <c r="AW1330" s="68"/>
      <c r="AX1330" s="68"/>
      <c r="AY1330" s="68"/>
      <c r="AZ1330" s="68"/>
      <c r="BA1330" s="68"/>
      <c r="BB1330" s="68"/>
      <c r="BC1330" s="68"/>
      <c r="BD1330" s="68"/>
      <c r="BE1330" s="68"/>
      <c r="BF1330" s="68"/>
      <c r="BG1330" s="68"/>
      <c r="BH1330" s="68"/>
      <c r="BI1330" s="68"/>
      <c r="BJ1330" s="68"/>
      <c r="BK1330" s="68"/>
      <c r="BL1330" s="68"/>
      <c r="BM1330" s="68"/>
      <c r="BN1330" s="68"/>
      <c r="BO1330" s="68"/>
      <c r="BP1330" s="68"/>
      <c r="BQ1330" s="68"/>
      <c r="BR1330" s="68"/>
      <c r="BS1330" s="68"/>
      <c r="BT1330" s="68"/>
      <c r="BU1330" s="68"/>
      <c r="BV1330" s="68"/>
      <c r="BW1330" s="68"/>
      <c r="BX1330" s="68"/>
      <c r="BY1330" s="68"/>
      <c r="BZ1330" s="68"/>
      <c r="CA1330" s="68"/>
      <c r="CB1330" s="68"/>
      <c r="CC1330" s="68"/>
      <c r="CD1330" s="68"/>
      <c r="CE1330" s="68"/>
      <c r="CF1330" s="68"/>
      <c r="CG1330" s="68"/>
      <c r="CH1330" s="68"/>
      <c r="CI1330" s="68"/>
      <c r="CJ1330" s="68"/>
      <c r="CK1330" s="68"/>
      <c r="CL1330" s="68"/>
      <c r="CM1330" s="68"/>
      <c r="CN1330" s="68"/>
      <c r="CO1330" s="68"/>
      <c r="CP1330" s="68"/>
      <c r="CQ1330" s="68"/>
      <c r="CR1330" s="68"/>
      <c r="CS1330" s="68"/>
      <c r="CT1330" s="68"/>
      <c r="CU1330" s="68"/>
      <c r="CV1330" s="68"/>
      <c r="CW1330" s="68"/>
      <c r="CX1330" s="68"/>
    </row>
    <row r="1331" spans="4:102" s="71" customFormat="1" hidden="1">
      <c r="D1331" s="69"/>
      <c r="E1331" s="68"/>
      <c r="F1331" s="68"/>
      <c r="G1331" s="68"/>
      <c r="H1331" s="68"/>
      <c r="I1331" s="68"/>
      <c r="J1331" s="68"/>
      <c r="K1331" s="73"/>
      <c r="L1331" s="68"/>
      <c r="M1331" s="68"/>
      <c r="N1331" s="68"/>
      <c r="O1331" s="68"/>
      <c r="P1331" s="65"/>
      <c r="Q1331" s="103"/>
      <c r="R1331" s="103"/>
      <c r="S1331" s="103"/>
      <c r="T1331" s="103"/>
      <c r="U1331" s="68"/>
      <c r="V1331" s="69"/>
      <c r="W1331" s="68"/>
      <c r="X1331" s="68"/>
      <c r="Y1331" s="68"/>
      <c r="Z1331" s="68"/>
      <c r="AA1331" s="68"/>
      <c r="AB1331" s="68"/>
      <c r="AC1331" s="68"/>
      <c r="AD1331" s="68"/>
      <c r="AE1331" s="68"/>
      <c r="AF1331" s="68"/>
      <c r="AG1331" s="68"/>
      <c r="AH1331" s="68"/>
      <c r="AI1331" s="68"/>
      <c r="AJ1331" s="68"/>
      <c r="AK1331" s="68"/>
      <c r="AL1331" s="68"/>
      <c r="AM1331" s="68"/>
      <c r="AN1331" s="68"/>
      <c r="AO1331" s="68"/>
      <c r="AP1331" s="68"/>
      <c r="AQ1331" s="68"/>
      <c r="AR1331" s="68"/>
      <c r="AS1331" s="68"/>
      <c r="AT1331" s="68"/>
      <c r="AU1331" s="68"/>
      <c r="AV1331" s="68"/>
      <c r="AW1331" s="68"/>
      <c r="AX1331" s="68"/>
      <c r="AY1331" s="68"/>
      <c r="AZ1331" s="68"/>
      <c r="BA1331" s="68"/>
      <c r="BB1331" s="68"/>
      <c r="BC1331" s="68"/>
      <c r="BD1331" s="68"/>
      <c r="BE1331" s="68"/>
      <c r="BF1331" s="68"/>
      <c r="BG1331" s="68"/>
      <c r="BH1331" s="68"/>
      <c r="BI1331" s="68"/>
      <c r="BJ1331" s="68"/>
      <c r="BK1331" s="68"/>
      <c r="BL1331" s="68"/>
      <c r="BM1331" s="68"/>
      <c r="BN1331" s="68"/>
      <c r="BO1331" s="68"/>
      <c r="BP1331" s="68"/>
      <c r="BQ1331" s="68"/>
      <c r="BR1331" s="68"/>
      <c r="BS1331" s="68"/>
      <c r="BT1331" s="68"/>
      <c r="BU1331" s="68"/>
      <c r="BV1331" s="68"/>
      <c r="BW1331" s="68"/>
      <c r="BX1331" s="68"/>
      <c r="BY1331" s="68"/>
      <c r="BZ1331" s="68"/>
      <c r="CA1331" s="68"/>
      <c r="CB1331" s="68"/>
      <c r="CC1331" s="68"/>
      <c r="CD1331" s="68"/>
      <c r="CE1331" s="68"/>
      <c r="CF1331" s="68"/>
      <c r="CG1331" s="68"/>
      <c r="CH1331" s="68"/>
      <c r="CI1331" s="68"/>
      <c r="CJ1331" s="68"/>
      <c r="CK1331" s="68"/>
      <c r="CL1331" s="68"/>
      <c r="CM1331" s="68"/>
      <c r="CN1331" s="68"/>
      <c r="CO1331" s="68"/>
      <c r="CP1331" s="68"/>
      <c r="CQ1331" s="68"/>
      <c r="CR1331" s="68"/>
      <c r="CS1331" s="68"/>
      <c r="CT1331" s="68"/>
      <c r="CU1331" s="68"/>
      <c r="CV1331" s="68"/>
      <c r="CW1331" s="68"/>
      <c r="CX1331" s="68"/>
    </row>
    <row r="1332" spans="4:102" s="71" customFormat="1" hidden="1">
      <c r="D1332" s="69"/>
      <c r="E1332" s="68"/>
      <c r="F1332" s="68"/>
      <c r="G1332" s="68"/>
      <c r="H1332" s="68"/>
      <c r="I1332" s="68"/>
      <c r="J1332" s="68"/>
      <c r="K1332" s="73"/>
      <c r="L1332" s="68"/>
      <c r="M1332" s="68"/>
      <c r="N1332" s="68"/>
      <c r="O1332" s="68"/>
      <c r="P1332" s="65"/>
      <c r="Q1332" s="103"/>
      <c r="R1332" s="103"/>
      <c r="S1332" s="103"/>
      <c r="T1332" s="103"/>
      <c r="U1332" s="68"/>
      <c r="V1332" s="69"/>
      <c r="W1332" s="68"/>
      <c r="X1332" s="68"/>
      <c r="Y1332" s="68"/>
      <c r="Z1332" s="68"/>
      <c r="AA1332" s="68"/>
      <c r="AB1332" s="68"/>
      <c r="AC1332" s="68"/>
      <c r="AD1332" s="68"/>
      <c r="AE1332" s="68"/>
      <c r="AF1332" s="68"/>
      <c r="AG1332" s="68"/>
      <c r="AH1332" s="68"/>
      <c r="AI1332" s="68"/>
      <c r="AJ1332" s="68"/>
      <c r="AK1332" s="68"/>
      <c r="AL1332" s="68"/>
      <c r="AM1332" s="68"/>
      <c r="AN1332" s="68"/>
      <c r="AO1332" s="68"/>
      <c r="AP1332" s="68"/>
      <c r="AQ1332" s="68"/>
      <c r="AR1332" s="68"/>
      <c r="AS1332" s="68"/>
      <c r="AT1332" s="68"/>
      <c r="AU1332" s="68"/>
      <c r="AV1332" s="68"/>
      <c r="AW1332" s="68"/>
      <c r="AX1332" s="68"/>
      <c r="AY1332" s="68"/>
      <c r="AZ1332" s="68"/>
      <c r="BA1332" s="68"/>
      <c r="BB1332" s="68"/>
      <c r="BC1332" s="68"/>
      <c r="BD1332" s="68"/>
      <c r="BE1332" s="68"/>
      <c r="BF1332" s="68"/>
      <c r="BG1332" s="68"/>
      <c r="BH1332" s="68"/>
      <c r="BI1332" s="68"/>
      <c r="BJ1332" s="68"/>
      <c r="BK1332" s="68"/>
      <c r="BL1332" s="68"/>
      <c r="BM1332" s="68"/>
      <c r="BN1332" s="68"/>
      <c r="BO1332" s="68"/>
      <c r="BP1332" s="68"/>
      <c r="BQ1332" s="68"/>
      <c r="BR1332" s="68"/>
      <c r="BS1332" s="68"/>
      <c r="BT1332" s="68"/>
      <c r="BU1332" s="68"/>
      <c r="BV1332" s="68"/>
      <c r="BW1332" s="68"/>
      <c r="BX1332" s="68"/>
      <c r="BY1332" s="68"/>
      <c r="BZ1332" s="68"/>
      <c r="CA1332" s="68"/>
      <c r="CB1332" s="68"/>
      <c r="CC1332" s="68"/>
      <c r="CD1332" s="68"/>
      <c r="CE1332" s="68"/>
      <c r="CF1332" s="68"/>
      <c r="CG1332" s="68"/>
      <c r="CH1332" s="68"/>
      <c r="CI1332" s="68"/>
      <c r="CJ1332" s="68"/>
      <c r="CK1332" s="68"/>
      <c r="CL1332" s="68"/>
      <c r="CM1332" s="68"/>
      <c r="CN1332" s="68"/>
      <c r="CO1332" s="68"/>
      <c r="CP1332" s="68"/>
      <c r="CQ1332" s="68"/>
      <c r="CR1332" s="68"/>
      <c r="CS1332" s="68"/>
      <c r="CT1332" s="68"/>
      <c r="CU1332" s="68"/>
      <c r="CV1332" s="68"/>
      <c r="CW1332" s="68"/>
      <c r="CX1332" s="68"/>
    </row>
    <row r="1333" spans="4:102" s="71" customFormat="1" hidden="1">
      <c r="D1333" s="69"/>
      <c r="E1333" s="68"/>
      <c r="F1333" s="68"/>
      <c r="G1333" s="68"/>
      <c r="H1333" s="68"/>
      <c r="I1333" s="68"/>
      <c r="J1333" s="68"/>
      <c r="K1333" s="73"/>
      <c r="L1333" s="68"/>
      <c r="M1333" s="68"/>
      <c r="N1333" s="68"/>
      <c r="O1333" s="68"/>
      <c r="P1333" s="65"/>
      <c r="Q1333" s="103"/>
      <c r="R1333" s="103"/>
      <c r="S1333" s="103"/>
      <c r="T1333" s="103"/>
      <c r="U1333" s="68"/>
      <c r="V1333" s="69"/>
      <c r="W1333" s="68"/>
      <c r="X1333" s="68"/>
      <c r="Y1333" s="68"/>
      <c r="Z1333" s="68"/>
      <c r="AA1333" s="68"/>
      <c r="AB1333" s="68"/>
      <c r="AC1333" s="68"/>
      <c r="AD1333" s="68"/>
      <c r="AE1333" s="68"/>
      <c r="AF1333" s="68"/>
      <c r="AG1333" s="68"/>
      <c r="AH1333" s="68"/>
      <c r="AI1333" s="68"/>
      <c r="AJ1333" s="68"/>
      <c r="AK1333" s="68"/>
      <c r="AL1333" s="68"/>
      <c r="AM1333" s="68"/>
      <c r="AN1333" s="68"/>
      <c r="AO1333" s="68"/>
      <c r="AP1333" s="68"/>
      <c r="AQ1333" s="68"/>
      <c r="AR1333" s="68"/>
      <c r="AS1333" s="68"/>
      <c r="AT1333" s="68"/>
      <c r="AU1333" s="68"/>
      <c r="AV1333" s="68"/>
      <c r="AW1333" s="68"/>
      <c r="AX1333" s="68"/>
      <c r="AY1333" s="68"/>
      <c r="AZ1333" s="68"/>
      <c r="BA1333" s="68"/>
      <c r="BB1333" s="68"/>
      <c r="BC1333" s="68"/>
      <c r="BD1333" s="68"/>
      <c r="BE1333" s="68"/>
      <c r="BF1333" s="68"/>
      <c r="BG1333" s="68"/>
      <c r="BH1333" s="68"/>
      <c r="BI1333" s="68"/>
      <c r="BJ1333" s="68"/>
      <c r="BK1333" s="68"/>
      <c r="BL1333" s="68"/>
      <c r="BM1333" s="68"/>
      <c r="BN1333" s="68"/>
      <c r="BO1333" s="68"/>
      <c r="BP1333" s="68"/>
      <c r="BQ1333" s="68"/>
      <c r="BR1333" s="68"/>
      <c r="BS1333" s="68"/>
      <c r="BT1333" s="68"/>
      <c r="BU1333" s="68"/>
      <c r="BV1333" s="68"/>
      <c r="BW1333" s="68"/>
      <c r="BX1333" s="68"/>
      <c r="BY1333" s="68"/>
      <c r="BZ1333" s="68"/>
      <c r="CA1333" s="68"/>
      <c r="CB1333" s="68"/>
      <c r="CC1333" s="68"/>
      <c r="CD1333" s="68"/>
      <c r="CE1333" s="68"/>
      <c r="CF1333" s="68"/>
      <c r="CG1333" s="68"/>
      <c r="CH1333" s="68"/>
      <c r="CI1333" s="68"/>
      <c r="CJ1333" s="68"/>
      <c r="CK1333" s="68"/>
      <c r="CL1333" s="68"/>
      <c r="CM1333" s="68"/>
      <c r="CN1333" s="68"/>
      <c r="CO1333" s="68"/>
      <c r="CP1333" s="68"/>
      <c r="CQ1333" s="68"/>
      <c r="CR1333" s="68"/>
      <c r="CS1333" s="68"/>
      <c r="CT1333" s="68"/>
      <c r="CU1333" s="68"/>
      <c r="CV1333" s="68"/>
      <c r="CW1333" s="68"/>
      <c r="CX1333" s="68"/>
    </row>
    <row r="1334" spans="4:102" s="71" customFormat="1" hidden="1">
      <c r="D1334" s="69"/>
      <c r="E1334" s="68"/>
      <c r="F1334" s="68"/>
      <c r="G1334" s="68"/>
      <c r="H1334" s="68"/>
      <c r="I1334" s="68"/>
      <c r="J1334" s="68"/>
      <c r="K1334" s="73"/>
      <c r="L1334" s="68"/>
      <c r="M1334" s="68"/>
      <c r="N1334" s="68"/>
      <c r="O1334" s="68"/>
      <c r="P1334" s="65"/>
      <c r="Q1334" s="103"/>
      <c r="R1334" s="103"/>
      <c r="S1334" s="103"/>
      <c r="T1334" s="103"/>
      <c r="U1334" s="68"/>
      <c r="V1334" s="69"/>
      <c r="W1334" s="68"/>
      <c r="X1334" s="68"/>
      <c r="Y1334" s="68"/>
      <c r="Z1334" s="68"/>
      <c r="AA1334" s="68"/>
      <c r="AB1334" s="68"/>
      <c r="AC1334" s="68"/>
      <c r="AD1334" s="68"/>
      <c r="AE1334" s="68"/>
      <c r="AF1334" s="68"/>
      <c r="AG1334" s="68"/>
      <c r="AH1334" s="68"/>
      <c r="AI1334" s="68"/>
      <c r="AJ1334" s="68"/>
      <c r="AK1334" s="68"/>
      <c r="AL1334" s="68"/>
      <c r="AM1334" s="68"/>
      <c r="AN1334" s="68"/>
      <c r="AO1334" s="68"/>
      <c r="AP1334" s="68"/>
      <c r="AQ1334" s="68"/>
      <c r="AR1334" s="68"/>
      <c r="AS1334" s="68"/>
      <c r="AT1334" s="68"/>
      <c r="AU1334" s="68"/>
      <c r="AV1334" s="68"/>
      <c r="AW1334" s="68"/>
      <c r="AX1334" s="68"/>
      <c r="AY1334" s="68"/>
      <c r="AZ1334" s="68"/>
      <c r="BA1334" s="68"/>
      <c r="BB1334" s="68"/>
      <c r="BC1334" s="68"/>
      <c r="BD1334" s="68"/>
      <c r="BE1334" s="68"/>
      <c r="BF1334" s="68"/>
      <c r="BG1334" s="68"/>
      <c r="BH1334" s="68"/>
      <c r="BI1334" s="68"/>
      <c r="BJ1334" s="68"/>
      <c r="BK1334" s="68"/>
      <c r="BL1334" s="68"/>
      <c r="BM1334" s="68"/>
      <c r="BN1334" s="68"/>
      <c r="BO1334" s="68"/>
      <c r="BP1334" s="68"/>
      <c r="BQ1334" s="68"/>
      <c r="BR1334" s="68"/>
      <c r="BS1334" s="68"/>
      <c r="BT1334" s="68"/>
      <c r="BU1334" s="68"/>
      <c r="BV1334" s="68"/>
      <c r="BW1334" s="68"/>
      <c r="BX1334" s="68"/>
      <c r="BY1334" s="68"/>
      <c r="BZ1334" s="68"/>
      <c r="CA1334" s="68"/>
      <c r="CB1334" s="68"/>
      <c r="CC1334" s="68"/>
      <c r="CD1334" s="68"/>
      <c r="CE1334" s="68"/>
      <c r="CF1334" s="68"/>
      <c r="CG1334" s="68"/>
      <c r="CH1334" s="68"/>
      <c r="CI1334" s="68"/>
      <c r="CJ1334" s="68"/>
      <c r="CK1334" s="68"/>
      <c r="CL1334" s="68"/>
      <c r="CM1334" s="68"/>
      <c r="CN1334" s="68"/>
      <c r="CO1334" s="68"/>
      <c r="CP1334" s="68"/>
      <c r="CQ1334" s="68"/>
      <c r="CR1334" s="68"/>
      <c r="CS1334" s="68"/>
      <c r="CT1334" s="68"/>
      <c r="CU1334" s="68"/>
      <c r="CV1334" s="68"/>
      <c r="CW1334" s="68"/>
      <c r="CX1334" s="68"/>
    </row>
    <row r="1335" spans="4:102" s="71" customFormat="1" hidden="1">
      <c r="D1335" s="69"/>
      <c r="E1335" s="68"/>
      <c r="F1335" s="68"/>
      <c r="G1335" s="68"/>
      <c r="H1335" s="68"/>
      <c r="I1335" s="68"/>
      <c r="J1335" s="68"/>
      <c r="K1335" s="73"/>
      <c r="L1335" s="68"/>
      <c r="M1335" s="68"/>
      <c r="N1335" s="68"/>
      <c r="O1335" s="68"/>
      <c r="P1335" s="65"/>
      <c r="Q1335" s="103"/>
      <c r="R1335" s="103"/>
      <c r="S1335" s="103"/>
      <c r="T1335" s="103"/>
      <c r="U1335" s="68"/>
      <c r="V1335" s="69"/>
      <c r="W1335" s="68"/>
      <c r="X1335" s="68"/>
      <c r="Y1335" s="68"/>
      <c r="Z1335" s="68"/>
      <c r="AA1335" s="68"/>
      <c r="AB1335" s="68"/>
      <c r="AC1335" s="68"/>
      <c r="AD1335" s="68"/>
      <c r="AE1335" s="68"/>
      <c r="AF1335" s="68"/>
      <c r="AG1335" s="68"/>
      <c r="AH1335" s="68"/>
      <c r="AI1335" s="68"/>
      <c r="AJ1335" s="68"/>
      <c r="AK1335" s="68"/>
      <c r="AL1335" s="68"/>
      <c r="AM1335" s="68"/>
      <c r="AN1335" s="68"/>
      <c r="AO1335" s="68"/>
      <c r="AP1335" s="68"/>
      <c r="AQ1335" s="68"/>
      <c r="AR1335" s="68"/>
      <c r="AS1335" s="68"/>
      <c r="AT1335" s="68"/>
      <c r="AU1335" s="68"/>
      <c r="AV1335" s="68"/>
      <c r="AW1335" s="68"/>
      <c r="AX1335" s="68"/>
      <c r="AY1335" s="68"/>
      <c r="AZ1335" s="68"/>
      <c r="BA1335" s="68"/>
      <c r="BB1335" s="68"/>
      <c r="BC1335" s="68"/>
      <c r="BD1335" s="68"/>
      <c r="BE1335" s="68"/>
      <c r="BF1335" s="68"/>
      <c r="BG1335" s="68"/>
      <c r="BH1335" s="68"/>
      <c r="BI1335" s="68"/>
      <c r="BJ1335" s="68"/>
      <c r="BK1335" s="68"/>
      <c r="BL1335" s="68"/>
      <c r="BM1335" s="68"/>
      <c r="BN1335" s="68"/>
      <c r="BO1335" s="68"/>
      <c r="BP1335" s="68"/>
      <c r="BQ1335" s="68"/>
      <c r="BR1335" s="68"/>
      <c r="BS1335" s="68"/>
      <c r="BT1335" s="68"/>
      <c r="BU1335" s="68"/>
      <c r="BV1335" s="68"/>
      <c r="BW1335" s="68"/>
      <c r="BX1335" s="68"/>
      <c r="BY1335" s="68"/>
      <c r="BZ1335" s="68"/>
      <c r="CA1335" s="68"/>
      <c r="CB1335" s="68"/>
      <c r="CC1335" s="68"/>
      <c r="CD1335" s="68"/>
      <c r="CE1335" s="68"/>
      <c r="CF1335" s="68"/>
      <c r="CG1335" s="68"/>
      <c r="CH1335" s="68"/>
      <c r="CI1335" s="68"/>
      <c r="CJ1335" s="68"/>
      <c r="CK1335" s="68"/>
      <c r="CL1335" s="68"/>
      <c r="CM1335" s="68"/>
      <c r="CN1335" s="68"/>
      <c r="CO1335" s="68"/>
      <c r="CP1335" s="68"/>
      <c r="CQ1335" s="68"/>
      <c r="CR1335" s="68"/>
      <c r="CS1335" s="68"/>
      <c r="CT1335" s="68"/>
      <c r="CU1335" s="68"/>
      <c r="CV1335" s="68"/>
      <c r="CW1335" s="68"/>
      <c r="CX1335" s="68"/>
    </row>
    <row r="1336" spans="4:102" s="71" customFormat="1" hidden="1">
      <c r="D1336" s="69"/>
      <c r="E1336" s="68"/>
      <c r="F1336" s="68"/>
      <c r="G1336" s="68"/>
      <c r="H1336" s="68"/>
      <c r="I1336" s="68"/>
      <c r="J1336" s="68"/>
      <c r="K1336" s="73"/>
      <c r="L1336" s="68"/>
      <c r="M1336" s="68"/>
      <c r="N1336" s="68"/>
      <c r="O1336" s="68"/>
      <c r="P1336" s="65"/>
      <c r="Q1336" s="103"/>
      <c r="R1336" s="103"/>
      <c r="S1336" s="103"/>
      <c r="T1336" s="103"/>
      <c r="U1336" s="68"/>
      <c r="V1336" s="69"/>
      <c r="W1336" s="68"/>
      <c r="X1336" s="68"/>
      <c r="Y1336" s="68"/>
      <c r="Z1336" s="68"/>
      <c r="AA1336" s="68"/>
      <c r="AB1336" s="68"/>
      <c r="AC1336" s="68"/>
      <c r="AD1336" s="68"/>
      <c r="AE1336" s="68"/>
      <c r="AF1336" s="68"/>
      <c r="AG1336" s="68"/>
      <c r="AH1336" s="68"/>
      <c r="AI1336" s="68"/>
      <c r="AJ1336" s="68"/>
      <c r="AK1336" s="68"/>
      <c r="AL1336" s="68"/>
      <c r="AM1336" s="68"/>
      <c r="AN1336" s="68"/>
      <c r="AO1336" s="68"/>
      <c r="AP1336" s="68"/>
      <c r="AQ1336" s="68"/>
      <c r="AR1336" s="68"/>
      <c r="AS1336" s="68"/>
      <c r="AT1336" s="68"/>
      <c r="AU1336" s="68"/>
      <c r="AV1336" s="68"/>
      <c r="AW1336" s="68"/>
      <c r="AX1336" s="68"/>
      <c r="AY1336" s="68"/>
      <c r="AZ1336" s="68"/>
      <c r="BA1336" s="68"/>
      <c r="BB1336" s="68"/>
      <c r="BC1336" s="68"/>
      <c r="BD1336" s="68"/>
      <c r="BE1336" s="68"/>
      <c r="BF1336" s="68"/>
      <c r="BG1336" s="68"/>
      <c r="BH1336" s="68"/>
      <c r="BI1336" s="68"/>
      <c r="BJ1336" s="68"/>
      <c r="BK1336" s="68"/>
      <c r="BL1336" s="68"/>
      <c r="BM1336" s="68"/>
      <c r="BN1336" s="68"/>
      <c r="BO1336" s="68"/>
      <c r="BP1336" s="68"/>
      <c r="BQ1336" s="68"/>
      <c r="BR1336" s="68"/>
      <c r="BS1336" s="68"/>
      <c r="BT1336" s="68"/>
      <c r="BU1336" s="68"/>
      <c r="BV1336" s="68"/>
      <c r="BW1336" s="68"/>
      <c r="BX1336" s="68"/>
      <c r="BY1336" s="68"/>
      <c r="BZ1336" s="68"/>
      <c r="CA1336" s="68"/>
      <c r="CB1336" s="68"/>
      <c r="CC1336" s="68"/>
      <c r="CD1336" s="68"/>
      <c r="CE1336" s="68"/>
      <c r="CF1336" s="68"/>
      <c r="CG1336" s="68"/>
      <c r="CH1336" s="68"/>
      <c r="CI1336" s="68"/>
      <c r="CJ1336" s="68"/>
      <c r="CK1336" s="68"/>
      <c r="CL1336" s="68"/>
      <c r="CM1336" s="68"/>
      <c r="CN1336" s="68"/>
      <c r="CO1336" s="68"/>
      <c r="CP1336" s="68"/>
      <c r="CQ1336" s="68"/>
      <c r="CR1336" s="68"/>
      <c r="CS1336" s="68"/>
      <c r="CT1336" s="68"/>
      <c r="CU1336" s="68"/>
      <c r="CV1336" s="68"/>
      <c r="CW1336" s="68"/>
      <c r="CX1336" s="68"/>
    </row>
    <row r="1337" spans="4:102" s="71" customFormat="1" hidden="1">
      <c r="D1337" s="69"/>
      <c r="E1337" s="68"/>
      <c r="F1337" s="68"/>
      <c r="G1337" s="68"/>
      <c r="H1337" s="68"/>
      <c r="I1337" s="68"/>
      <c r="J1337" s="68"/>
      <c r="K1337" s="73"/>
      <c r="L1337" s="68"/>
      <c r="M1337" s="68"/>
      <c r="N1337" s="68"/>
      <c r="O1337" s="68"/>
      <c r="P1337" s="65"/>
      <c r="Q1337" s="103"/>
      <c r="R1337" s="103"/>
      <c r="S1337" s="103"/>
      <c r="T1337" s="103"/>
      <c r="U1337" s="68"/>
      <c r="V1337" s="69"/>
      <c r="W1337" s="68"/>
      <c r="X1337" s="68"/>
      <c r="Y1337" s="68"/>
      <c r="Z1337" s="68"/>
      <c r="AA1337" s="68"/>
      <c r="AB1337" s="68"/>
      <c r="AC1337" s="68"/>
      <c r="AD1337" s="68"/>
      <c r="AE1337" s="68"/>
      <c r="AF1337" s="68"/>
      <c r="AG1337" s="68"/>
      <c r="AH1337" s="68"/>
      <c r="AI1337" s="68"/>
      <c r="AJ1337" s="68"/>
      <c r="AK1337" s="68"/>
      <c r="AL1337" s="68"/>
      <c r="AM1337" s="68"/>
      <c r="AN1337" s="68"/>
      <c r="AO1337" s="68"/>
      <c r="AP1337" s="68"/>
      <c r="AQ1337" s="68"/>
      <c r="AR1337" s="68"/>
      <c r="AS1337" s="68"/>
      <c r="AT1337" s="68"/>
      <c r="AU1337" s="68"/>
      <c r="AV1337" s="68"/>
      <c r="AW1337" s="68"/>
      <c r="AX1337" s="68"/>
      <c r="AY1337" s="68"/>
      <c r="AZ1337" s="68"/>
      <c r="BA1337" s="68"/>
      <c r="BB1337" s="68"/>
      <c r="BC1337" s="68"/>
      <c r="BD1337" s="68"/>
      <c r="BE1337" s="68"/>
      <c r="BF1337" s="68"/>
      <c r="BG1337" s="68"/>
      <c r="BH1337" s="68"/>
      <c r="BI1337" s="68"/>
      <c r="BJ1337" s="68"/>
      <c r="BK1337" s="68"/>
      <c r="BL1337" s="68"/>
      <c r="BM1337" s="68"/>
      <c r="BN1337" s="68"/>
      <c r="BO1337" s="68"/>
      <c r="BP1337" s="68"/>
      <c r="BQ1337" s="68"/>
      <c r="BR1337" s="68"/>
      <c r="BS1337" s="68"/>
      <c r="BT1337" s="68"/>
      <c r="BU1337" s="68"/>
      <c r="BV1337" s="68"/>
      <c r="BW1337" s="68"/>
      <c r="BX1337" s="68"/>
      <c r="BY1337" s="68"/>
      <c r="BZ1337" s="68"/>
      <c r="CA1337" s="68"/>
      <c r="CB1337" s="68"/>
      <c r="CC1337" s="68"/>
      <c r="CD1337" s="68"/>
      <c r="CE1337" s="68"/>
      <c r="CF1337" s="68"/>
      <c r="CG1337" s="68"/>
      <c r="CH1337" s="68"/>
      <c r="CI1337" s="68"/>
      <c r="CJ1337" s="68"/>
      <c r="CK1337" s="68"/>
      <c r="CL1337" s="68"/>
      <c r="CM1337" s="68"/>
      <c r="CN1337" s="68"/>
      <c r="CO1337" s="68"/>
      <c r="CP1337" s="68"/>
      <c r="CQ1337" s="68"/>
      <c r="CR1337" s="68"/>
      <c r="CS1337" s="68"/>
      <c r="CT1337" s="68"/>
      <c r="CU1337" s="68"/>
      <c r="CV1337" s="68"/>
      <c r="CW1337" s="68"/>
      <c r="CX1337" s="68"/>
    </row>
    <row r="1338" spans="4:102" s="71" customFormat="1" hidden="1">
      <c r="D1338" s="69"/>
      <c r="E1338" s="68"/>
      <c r="F1338" s="68"/>
      <c r="G1338" s="68"/>
      <c r="H1338" s="68"/>
      <c r="I1338" s="68"/>
      <c r="J1338" s="68"/>
      <c r="K1338" s="73"/>
      <c r="L1338" s="68"/>
      <c r="M1338" s="68"/>
      <c r="N1338" s="68"/>
      <c r="O1338" s="68"/>
      <c r="P1338" s="65"/>
      <c r="Q1338" s="103"/>
      <c r="R1338" s="103"/>
      <c r="S1338" s="103"/>
      <c r="T1338" s="103"/>
      <c r="U1338" s="68"/>
      <c r="V1338" s="69"/>
      <c r="W1338" s="68"/>
      <c r="X1338" s="68"/>
      <c r="Y1338" s="68"/>
      <c r="Z1338" s="68"/>
      <c r="AA1338" s="68"/>
      <c r="AB1338" s="68"/>
      <c r="AC1338" s="68"/>
      <c r="AD1338" s="68"/>
      <c r="AE1338" s="68"/>
      <c r="AF1338" s="68"/>
      <c r="AG1338" s="68"/>
      <c r="AH1338" s="68"/>
      <c r="AI1338" s="68"/>
      <c r="AJ1338" s="68"/>
      <c r="AK1338" s="68"/>
      <c r="AL1338" s="68"/>
      <c r="AM1338" s="68"/>
      <c r="AN1338" s="68"/>
      <c r="AO1338" s="68"/>
      <c r="AP1338" s="68"/>
      <c r="AQ1338" s="68"/>
      <c r="AR1338" s="68"/>
      <c r="AS1338" s="68"/>
      <c r="AT1338" s="68"/>
      <c r="AU1338" s="68"/>
      <c r="AV1338" s="68"/>
      <c r="AW1338" s="68"/>
      <c r="AX1338" s="68"/>
      <c r="AY1338" s="68"/>
      <c r="AZ1338" s="68"/>
      <c r="BA1338" s="68"/>
      <c r="BB1338" s="68"/>
      <c r="BC1338" s="68"/>
      <c r="BD1338" s="68"/>
      <c r="BE1338" s="68"/>
      <c r="BF1338" s="68"/>
      <c r="BG1338" s="68"/>
      <c r="BH1338" s="68"/>
      <c r="BI1338" s="68"/>
      <c r="BJ1338" s="68"/>
      <c r="BK1338" s="68"/>
      <c r="BL1338" s="68"/>
      <c r="BM1338" s="68"/>
      <c r="BN1338" s="68"/>
      <c r="BO1338" s="68"/>
      <c r="BP1338" s="68"/>
      <c r="BQ1338" s="68"/>
      <c r="BR1338" s="68"/>
      <c r="BS1338" s="68"/>
      <c r="BT1338" s="68"/>
      <c r="BU1338" s="68"/>
      <c r="BV1338" s="68"/>
      <c r="BW1338" s="68"/>
      <c r="BX1338" s="68"/>
      <c r="BY1338" s="68"/>
      <c r="BZ1338" s="68"/>
      <c r="CA1338" s="68"/>
      <c r="CB1338" s="68"/>
      <c r="CC1338" s="68"/>
      <c r="CD1338" s="68"/>
      <c r="CE1338" s="68"/>
      <c r="CF1338" s="68"/>
      <c r="CG1338" s="68"/>
      <c r="CH1338" s="68"/>
      <c r="CI1338" s="68"/>
      <c r="CJ1338" s="68"/>
      <c r="CK1338" s="68"/>
      <c r="CL1338" s="68"/>
      <c r="CM1338" s="68"/>
      <c r="CN1338" s="68"/>
      <c r="CO1338" s="68"/>
      <c r="CP1338" s="68"/>
      <c r="CQ1338" s="68"/>
      <c r="CR1338" s="68"/>
      <c r="CS1338" s="68"/>
      <c r="CT1338" s="68"/>
      <c r="CU1338" s="68"/>
      <c r="CV1338" s="68"/>
      <c r="CW1338" s="68"/>
      <c r="CX1338" s="68"/>
    </row>
    <row r="1339" spans="4:102" s="71" customFormat="1" hidden="1">
      <c r="D1339" s="69"/>
      <c r="E1339" s="68"/>
      <c r="F1339" s="68"/>
      <c r="G1339" s="68"/>
      <c r="H1339" s="68"/>
      <c r="I1339" s="68"/>
      <c r="J1339" s="68"/>
      <c r="K1339" s="73"/>
      <c r="L1339" s="68"/>
      <c r="M1339" s="68"/>
      <c r="N1339" s="68"/>
      <c r="O1339" s="68"/>
      <c r="P1339" s="65"/>
      <c r="Q1339" s="103"/>
      <c r="R1339" s="103"/>
      <c r="S1339" s="103"/>
      <c r="T1339" s="103"/>
      <c r="U1339" s="68"/>
      <c r="V1339" s="69"/>
      <c r="W1339" s="68"/>
      <c r="X1339" s="68"/>
      <c r="Y1339" s="68"/>
      <c r="Z1339" s="68"/>
      <c r="AA1339" s="68"/>
      <c r="AB1339" s="68"/>
      <c r="AC1339" s="68"/>
      <c r="AD1339" s="68"/>
      <c r="AE1339" s="68"/>
      <c r="AF1339" s="68"/>
      <c r="AG1339" s="68"/>
      <c r="AH1339" s="68"/>
      <c r="AI1339" s="68"/>
      <c r="AJ1339" s="68"/>
      <c r="AK1339" s="68"/>
      <c r="AL1339" s="68"/>
      <c r="AM1339" s="68"/>
      <c r="AN1339" s="68"/>
      <c r="AO1339" s="68"/>
      <c r="AP1339" s="68"/>
      <c r="AQ1339" s="68"/>
      <c r="AR1339" s="68"/>
      <c r="AS1339" s="68"/>
      <c r="AT1339" s="68"/>
      <c r="AU1339" s="68"/>
      <c r="AV1339" s="68"/>
      <c r="AW1339" s="68"/>
      <c r="AX1339" s="68"/>
      <c r="AY1339" s="68"/>
      <c r="AZ1339" s="68"/>
      <c r="BA1339" s="68"/>
      <c r="BB1339" s="68"/>
      <c r="BC1339" s="68"/>
      <c r="BD1339" s="68"/>
      <c r="BE1339" s="68"/>
      <c r="BF1339" s="68"/>
      <c r="BG1339" s="68"/>
      <c r="BH1339" s="68"/>
      <c r="BI1339" s="68"/>
      <c r="BJ1339" s="68"/>
      <c r="BK1339" s="68"/>
      <c r="BL1339" s="68"/>
      <c r="BM1339" s="68"/>
      <c r="BN1339" s="68"/>
      <c r="BO1339" s="68"/>
      <c r="BP1339" s="68"/>
      <c r="BQ1339" s="68"/>
      <c r="BR1339" s="68"/>
      <c r="BS1339" s="68"/>
      <c r="BT1339" s="68"/>
      <c r="BU1339" s="68"/>
      <c r="BV1339" s="68"/>
      <c r="BW1339" s="68"/>
      <c r="BX1339" s="68"/>
      <c r="BY1339" s="68"/>
      <c r="BZ1339" s="68"/>
      <c r="CA1339" s="68"/>
      <c r="CB1339" s="68"/>
      <c r="CC1339" s="68"/>
      <c r="CD1339" s="68"/>
      <c r="CE1339" s="68"/>
      <c r="CF1339" s="68"/>
      <c r="CG1339" s="68"/>
      <c r="CH1339" s="68"/>
      <c r="CI1339" s="68"/>
      <c r="CJ1339" s="68"/>
      <c r="CK1339" s="68"/>
      <c r="CL1339" s="68"/>
      <c r="CM1339" s="68"/>
      <c r="CN1339" s="68"/>
      <c r="CO1339" s="68"/>
      <c r="CP1339" s="68"/>
      <c r="CQ1339" s="68"/>
      <c r="CR1339" s="68"/>
      <c r="CS1339" s="68"/>
      <c r="CT1339" s="68"/>
      <c r="CU1339" s="68"/>
      <c r="CV1339" s="68"/>
      <c r="CW1339" s="68"/>
      <c r="CX1339" s="68"/>
    </row>
    <row r="1340" spans="4:102" s="71" customFormat="1" hidden="1">
      <c r="D1340" s="69"/>
      <c r="E1340" s="68"/>
      <c r="F1340" s="68"/>
      <c r="G1340" s="68"/>
      <c r="H1340" s="68"/>
      <c r="I1340" s="68"/>
      <c r="J1340" s="68"/>
      <c r="K1340" s="73"/>
      <c r="L1340" s="68"/>
      <c r="M1340" s="68"/>
      <c r="N1340" s="68"/>
      <c r="O1340" s="68"/>
      <c r="P1340" s="65"/>
      <c r="Q1340" s="103"/>
      <c r="R1340" s="103"/>
      <c r="S1340" s="103"/>
      <c r="T1340" s="103"/>
      <c r="U1340" s="68"/>
      <c r="V1340" s="69"/>
      <c r="W1340" s="68"/>
      <c r="X1340" s="68"/>
      <c r="Y1340" s="68"/>
      <c r="Z1340" s="68"/>
      <c r="AA1340" s="68"/>
      <c r="AB1340" s="68"/>
      <c r="AC1340" s="68"/>
      <c r="AD1340" s="68"/>
      <c r="AE1340" s="68"/>
      <c r="AF1340" s="68"/>
      <c r="AG1340" s="68"/>
      <c r="AH1340" s="68"/>
      <c r="AI1340" s="68"/>
      <c r="AJ1340" s="68"/>
      <c r="AK1340" s="68"/>
      <c r="AL1340" s="68"/>
      <c r="AM1340" s="68"/>
      <c r="AN1340" s="68"/>
      <c r="AO1340" s="68"/>
      <c r="AP1340" s="68"/>
      <c r="AQ1340" s="68"/>
      <c r="AR1340" s="68"/>
      <c r="AS1340" s="68"/>
      <c r="AT1340" s="68"/>
      <c r="AU1340" s="68"/>
      <c r="AV1340" s="68"/>
      <c r="AW1340" s="68"/>
      <c r="AX1340" s="68"/>
      <c r="AY1340" s="68"/>
      <c r="AZ1340" s="68"/>
      <c r="BA1340" s="68"/>
      <c r="BB1340" s="68"/>
      <c r="BC1340" s="68"/>
      <c r="BD1340" s="68"/>
      <c r="BE1340" s="68"/>
      <c r="BF1340" s="68"/>
      <c r="BG1340" s="68"/>
      <c r="BH1340" s="68"/>
      <c r="BI1340" s="68"/>
      <c r="BJ1340" s="68"/>
      <c r="BK1340" s="68"/>
      <c r="BL1340" s="68"/>
      <c r="BM1340" s="68"/>
      <c r="BN1340" s="68"/>
      <c r="BO1340" s="68"/>
      <c r="BP1340" s="68"/>
      <c r="BQ1340" s="68"/>
      <c r="BR1340" s="68"/>
      <c r="BS1340" s="68"/>
      <c r="BT1340" s="68"/>
      <c r="BU1340" s="68"/>
      <c r="BV1340" s="68"/>
      <c r="BW1340" s="68"/>
      <c r="BX1340" s="68"/>
      <c r="BY1340" s="68"/>
      <c r="BZ1340" s="68"/>
      <c r="CA1340" s="68"/>
      <c r="CB1340" s="68"/>
      <c r="CC1340" s="68"/>
      <c r="CD1340" s="68"/>
      <c r="CE1340" s="68"/>
      <c r="CF1340" s="68"/>
      <c r="CG1340" s="68"/>
      <c r="CH1340" s="68"/>
      <c r="CI1340" s="68"/>
      <c r="CJ1340" s="68"/>
      <c r="CK1340" s="68"/>
      <c r="CL1340" s="68"/>
      <c r="CM1340" s="68"/>
      <c r="CN1340" s="68"/>
      <c r="CO1340" s="68"/>
      <c r="CP1340" s="68"/>
      <c r="CQ1340" s="68"/>
      <c r="CR1340" s="68"/>
      <c r="CS1340" s="68"/>
      <c r="CT1340" s="68"/>
      <c r="CU1340" s="68"/>
      <c r="CV1340" s="68"/>
      <c r="CW1340" s="68"/>
      <c r="CX1340" s="68"/>
    </row>
    <row r="1341" spans="4:102" s="71" customFormat="1" hidden="1">
      <c r="D1341" s="69"/>
      <c r="E1341" s="68"/>
      <c r="F1341" s="68"/>
      <c r="G1341" s="68"/>
      <c r="H1341" s="68"/>
      <c r="I1341" s="68"/>
      <c r="J1341" s="68"/>
      <c r="K1341" s="73"/>
      <c r="L1341" s="68"/>
      <c r="M1341" s="68"/>
      <c r="N1341" s="68"/>
      <c r="O1341" s="68"/>
      <c r="P1341" s="65"/>
      <c r="Q1341" s="103"/>
      <c r="R1341" s="103"/>
      <c r="S1341" s="103"/>
      <c r="T1341" s="103"/>
      <c r="U1341" s="68"/>
      <c r="V1341" s="69"/>
      <c r="W1341" s="68"/>
      <c r="X1341" s="68"/>
      <c r="Y1341" s="68"/>
      <c r="Z1341" s="68"/>
      <c r="AA1341" s="68"/>
      <c r="AB1341" s="68"/>
      <c r="AC1341" s="68"/>
      <c r="AD1341" s="68"/>
      <c r="AE1341" s="68"/>
      <c r="AF1341" s="68"/>
      <c r="AG1341" s="68"/>
      <c r="AH1341" s="68"/>
      <c r="AI1341" s="68"/>
      <c r="AJ1341" s="68"/>
      <c r="AK1341" s="68"/>
      <c r="AL1341" s="68"/>
      <c r="AM1341" s="68"/>
      <c r="AN1341" s="68"/>
      <c r="AO1341" s="68"/>
      <c r="AP1341" s="68"/>
      <c r="AQ1341" s="68"/>
      <c r="AR1341" s="68"/>
      <c r="AS1341" s="68"/>
      <c r="AT1341" s="68"/>
      <c r="AU1341" s="68"/>
      <c r="AV1341" s="68"/>
      <c r="AW1341" s="68"/>
      <c r="AX1341" s="68"/>
      <c r="AY1341" s="68"/>
      <c r="AZ1341" s="68"/>
      <c r="BA1341" s="68"/>
      <c r="BB1341" s="68"/>
      <c r="BC1341" s="68"/>
      <c r="BD1341" s="68"/>
      <c r="BE1341" s="68"/>
      <c r="BF1341" s="68"/>
      <c r="BG1341" s="68"/>
      <c r="BH1341" s="68"/>
      <c r="BI1341" s="68"/>
      <c r="BJ1341" s="68"/>
      <c r="BK1341" s="68"/>
      <c r="BL1341" s="68"/>
      <c r="BM1341" s="68"/>
      <c r="BN1341" s="68"/>
      <c r="BO1341" s="68"/>
      <c r="BP1341" s="68"/>
      <c r="BQ1341" s="68"/>
      <c r="BR1341" s="68"/>
      <c r="BS1341" s="68"/>
      <c r="BT1341" s="68"/>
      <c r="BU1341" s="68"/>
      <c r="BV1341" s="68"/>
      <c r="BW1341" s="68"/>
      <c r="BX1341" s="68"/>
      <c r="BY1341" s="68"/>
      <c r="BZ1341" s="68"/>
      <c r="CA1341" s="68"/>
      <c r="CB1341" s="68"/>
      <c r="CC1341" s="68"/>
      <c r="CD1341" s="68"/>
      <c r="CE1341" s="68"/>
      <c r="CF1341" s="68"/>
      <c r="CG1341" s="68"/>
      <c r="CH1341" s="68"/>
      <c r="CI1341" s="68"/>
      <c r="CJ1341" s="68"/>
      <c r="CK1341" s="68"/>
      <c r="CL1341" s="68"/>
      <c r="CM1341" s="68"/>
      <c r="CN1341" s="68"/>
      <c r="CO1341" s="68"/>
      <c r="CP1341" s="68"/>
      <c r="CQ1341" s="68"/>
      <c r="CR1341" s="68"/>
      <c r="CS1341" s="68"/>
      <c r="CT1341" s="68"/>
      <c r="CU1341" s="68"/>
      <c r="CV1341" s="68"/>
      <c r="CW1341" s="68"/>
      <c r="CX1341" s="68"/>
    </row>
    <row r="1342" spans="4:102" s="71" customFormat="1" hidden="1">
      <c r="D1342" s="69"/>
      <c r="E1342" s="68"/>
      <c r="F1342" s="68"/>
      <c r="G1342" s="68"/>
      <c r="H1342" s="68"/>
      <c r="I1342" s="68"/>
      <c r="J1342" s="68"/>
      <c r="K1342" s="73"/>
      <c r="L1342" s="68"/>
      <c r="M1342" s="68"/>
      <c r="N1342" s="68"/>
      <c r="O1342" s="68"/>
      <c r="P1342" s="65"/>
      <c r="Q1342" s="103"/>
      <c r="R1342" s="103"/>
      <c r="S1342" s="103"/>
      <c r="T1342" s="103"/>
      <c r="U1342" s="68"/>
      <c r="V1342" s="69"/>
      <c r="W1342" s="68"/>
      <c r="X1342" s="68"/>
      <c r="Y1342" s="68"/>
      <c r="Z1342" s="68"/>
      <c r="AA1342" s="68"/>
      <c r="AB1342" s="68"/>
      <c r="AC1342" s="68"/>
      <c r="AD1342" s="68"/>
      <c r="AE1342" s="68"/>
      <c r="AF1342" s="68"/>
      <c r="AG1342" s="68"/>
      <c r="AH1342" s="68"/>
      <c r="AI1342" s="68"/>
      <c r="AJ1342" s="68"/>
      <c r="AK1342" s="68"/>
      <c r="AL1342" s="68"/>
      <c r="AM1342" s="68"/>
      <c r="AN1342" s="68"/>
      <c r="AO1342" s="68"/>
      <c r="AP1342" s="68"/>
      <c r="AQ1342" s="68"/>
      <c r="AR1342" s="68"/>
      <c r="AS1342" s="68"/>
      <c r="AT1342" s="68"/>
      <c r="AU1342" s="68"/>
      <c r="AV1342" s="68"/>
      <c r="AW1342" s="68"/>
      <c r="AX1342" s="68"/>
      <c r="AY1342" s="68"/>
      <c r="AZ1342" s="68"/>
      <c r="BA1342" s="68"/>
      <c r="BB1342" s="68"/>
      <c r="BC1342" s="68"/>
      <c r="BD1342" s="68"/>
      <c r="BE1342" s="68"/>
      <c r="BF1342" s="68"/>
      <c r="BG1342" s="68"/>
      <c r="BH1342" s="68"/>
      <c r="BI1342" s="68"/>
      <c r="BJ1342" s="68"/>
      <c r="BK1342" s="68"/>
      <c r="BL1342" s="68"/>
      <c r="BM1342" s="68"/>
      <c r="BN1342" s="68"/>
      <c r="BO1342" s="68"/>
      <c r="BP1342" s="68"/>
      <c r="BQ1342" s="68"/>
      <c r="BR1342" s="68"/>
      <c r="BS1342" s="68"/>
      <c r="BT1342" s="68"/>
      <c r="BU1342" s="68"/>
      <c r="BV1342" s="68"/>
      <c r="BW1342" s="68"/>
      <c r="BX1342" s="68"/>
      <c r="BY1342" s="68"/>
      <c r="BZ1342" s="68"/>
      <c r="CA1342" s="68"/>
      <c r="CB1342" s="68"/>
      <c r="CC1342" s="68"/>
      <c r="CD1342" s="68"/>
      <c r="CE1342" s="68"/>
      <c r="CF1342" s="68"/>
      <c r="CG1342" s="68"/>
      <c r="CH1342" s="68"/>
      <c r="CI1342" s="68"/>
      <c r="CJ1342" s="68"/>
      <c r="CK1342" s="68"/>
      <c r="CL1342" s="68"/>
      <c r="CM1342" s="68"/>
      <c r="CN1342" s="68"/>
      <c r="CO1342" s="68"/>
      <c r="CP1342" s="68"/>
      <c r="CQ1342" s="68"/>
      <c r="CR1342" s="68"/>
      <c r="CS1342" s="68"/>
      <c r="CT1342" s="68"/>
      <c r="CU1342" s="68"/>
      <c r="CV1342" s="68"/>
      <c r="CW1342" s="68"/>
      <c r="CX1342" s="68"/>
    </row>
    <row r="1343" spans="4:102" s="71" customFormat="1" hidden="1">
      <c r="D1343" s="69"/>
      <c r="E1343" s="68"/>
      <c r="F1343" s="68"/>
      <c r="G1343" s="68"/>
      <c r="H1343" s="68"/>
      <c r="I1343" s="68"/>
      <c r="J1343" s="68"/>
      <c r="K1343" s="73"/>
      <c r="L1343" s="68"/>
      <c r="M1343" s="68"/>
      <c r="N1343" s="68"/>
      <c r="O1343" s="68"/>
      <c r="P1343" s="65"/>
      <c r="Q1343" s="103"/>
      <c r="R1343" s="103"/>
      <c r="S1343" s="103"/>
      <c r="T1343" s="103"/>
      <c r="U1343" s="68"/>
      <c r="V1343" s="69"/>
      <c r="W1343" s="68"/>
      <c r="X1343" s="68"/>
      <c r="Y1343" s="68"/>
      <c r="Z1343" s="68"/>
      <c r="AA1343" s="68"/>
      <c r="AB1343" s="68"/>
      <c r="AC1343" s="68"/>
      <c r="AD1343" s="68"/>
      <c r="AE1343" s="68"/>
      <c r="AF1343" s="68"/>
      <c r="AG1343" s="68"/>
      <c r="AH1343" s="68"/>
      <c r="AI1343" s="68"/>
      <c r="AJ1343" s="68"/>
      <c r="AK1343" s="68"/>
      <c r="AL1343" s="68"/>
      <c r="AM1343" s="68"/>
      <c r="AN1343" s="68"/>
      <c r="AO1343" s="68"/>
      <c r="AP1343" s="68"/>
      <c r="AQ1343" s="68"/>
      <c r="AR1343" s="68"/>
      <c r="AS1343" s="68"/>
      <c r="AT1343" s="68"/>
      <c r="AU1343" s="68"/>
      <c r="AV1343" s="68"/>
      <c r="AW1343" s="68"/>
      <c r="AX1343" s="68"/>
      <c r="AY1343" s="68"/>
      <c r="AZ1343" s="68"/>
      <c r="BA1343" s="68"/>
      <c r="BB1343" s="68"/>
      <c r="BC1343" s="68"/>
      <c r="BD1343" s="68"/>
      <c r="BE1343" s="68"/>
      <c r="BF1343" s="68"/>
      <c r="BG1343" s="68"/>
      <c r="BH1343" s="68"/>
      <c r="BI1343" s="68"/>
      <c r="BJ1343" s="68"/>
      <c r="BK1343" s="68"/>
      <c r="BL1343" s="68"/>
      <c r="BM1343" s="68"/>
      <c r="BN1343" s="68"/>
      <c r="BO1343" s="68"/>
      <c r="BP1343" s="68"/>
      <c r="BQ1343" s="68"/>
      <c r="BR1343" s="68"/>
      <c r="BS1343" s="68"/>
      <c r="BT1343" s="68"/>
      <c r="BU1343" s="68"/>
      <c r="BV1343" s="68"/>
      <c r="BW1343" s="68"/>
      <c r="BX1343" s="68"/>
      <c r="BY1343" s="68"/>
      <c r="BZ1343" s="68"/>
      <c r="CA1343" s="68"/>
      <c r="CB1343" s="68"/>
      <c r="CC1343" s="68"/>
      <c r="CD1343" s="68"/>
      <c r="CE1343" s="68"/>
      <c r="CF1343" s="68"/>
      <c r="CG1343" s="68"/>
      <c r="CH1343" s="68"/>
      <c r="CI1343" s="68"/>
      <c r="CJ1343" s="68"/>
      <c r="CK1343" s="68"/>
      <c r="CL1343" s="68"/>
      <c r="CM1343" s="68"/>
      <c r="CN1343" s="68"/>
      <c r="CO1343" s="68"/>
      <c r="CP1343" s="68"/>
      <c r="CQ1343" s="68"/>
      <c r="CR1343" s="68"/>
      <c r="CS1343" s="68"/>
      <c r="CT1343" s="68"/>
      <c r="CU1343" s="68"/>
      <c r="CV1343" s="68"/>
      <c r="CW1343" s="68"/>
      <c r="CX1343" s="68"/>
    </row>
    <row r="1344" spans="4:102" s="71" customFormat="1" hidden="1">
      <c r="D1344" s="69"/>
      <c r="E1344" s="68"/>
      <c r="F1344" s="68"/>
      <c r="G1344" s="68"/>
      <c r="H1344" s="68"/>
      <c r="I1344" s="68"/>
      <c r="J1344" s="68"/>
      <c r="K1344" s="73"/>
      <c r="L1344" s="68"/>
      <c r="M1344" s="68"/>
      <c r="N1344" s="68"/>
      <c r="O1344" s="68"/>
      <c r="P1344" s="65"/>
      <c r="Q1344" s="103"/>
      <c r="R1344" s="103"/>
      <c r="S1344" s="103"/>
      <c r="T1344" s="103"/>
      <c r="U1344" s="68"/>
      <c r="V1344" s="69"/>
      <c r="W1344" s="68"/>
      <c r="X1344" s="68"/>
      <c r="Y1344" s="68"/>
      <c r="Z1344" s="68"/>
      <c r="AA1344" s="68"/>
      <c r="AB1344" s="68"/>
      <c r="AC1344" s="68"/>
      <c r="AD1344" s="68"/>
      <c r="AE1344" s="68"/>
      <c r="AF1344" s="68"/>
      <c r="AG1344" s="68"/>
      <c r="AH1344" s="68"/>
      <c r="AI1344" s="68"/>
      <c r="AJ1344" s="68"/>
      <c r="AK1344" s="68"/>
      <c r="AL1344" s="68"/>
      <c r="AM1344" s="68"/>
      <c r="AN1344" s="68"/>
      <c r="AO1344" s="68"/>
      <c r="AP1344" s="68"/>
      <c r="AQ1344" s="68"/>
      <c r="AR1344" s="68"/>
      <c r="AS1344" s="68"/>
      <c r="AT1344" s="68"/>
      <c r="AU1344" s="68"/>
      <c r="AV1344" s="68"/>
      <c r="AW1344" s="68"/>
      <c r="AX1344" s="68"/>
      <c r="AY1344" s="68"/>
      <c r="AZ1344" s="68"/>
      <c r="BA1344" s="68"/>
      <c r="BB1344" s="68"/>
      <c r="BC1344" s="68"/>
      <c r="BD1344" s="68"/>
      <c r="BE1344" s="68"/>
      <c r="BF1344" s="68"/>
      <c r="BG1344" s="68"/>
      <c r="BH1344" s="68"/>
      <c r="BI1344" s="68"/>
      <c r="BJ1344" s="68"/>
      <c r="BK1344" s="68"/>
      <c r="BL1344" s="68"/>
      <c r="BM1344" s="68"/>
      <c r="BN1344" s="68"/>
      <c r="BO1344" s="68"/>
      <c r="BP1344" s="68"/>
      <c r="BQ1344" s="68"/>
      <c r="BR1344" s="68"/>
      <c r="BS1344" s="68"/>
      <c r="BT1344" s="68"/>
      <c r="BU1344" s="68"/>
      <c r="BV1344" s="68"/>
      <c r="BW1344" s="68"/>
      <c r="BX1344" s="68"/>
      <c r="BY1344" s="68"/>
      <c r="BZ1344" s="68"/>
      <c r="CA1344" s="68"/>
      <c r="CB1344" s="68"/>
      <c r="CC1344" s="68"/>
      <c r="CD1344" s="68"/>
      <c r="CE1344" s="68"/>
      <c r="CF1344" s="68"/>
      <c r="CG1344" s="68"/>
      <c r="CH1344" s="68"/>
      <c r="CI1344" s="68"/>
      <c r="CJ1344" s="68"/>
      <c r="CK1344" s="68"/>
      <c r="CL1344" s="68"/>
      <c r="CM1344" s="68"/>
      <c r="CN1344" s="68"/>
      <c r="CO1344" s="68"/>
      <c r="CP1344" s="68"/>
      <c r="CQ1344" s="68"/>
      <c r="CR1344" s="68"/>
      <c r="CS1344" s="68"/>
      <c r="CT1344" s="68"/>
      <c r="CU1344" s="68"/>
      <c r="CV1344" s="68"/>
      <c r="CW1344" s="68"/>
      <c r="CX1344" s="68"/>
    </row>
    <row r="1345" spans="4:102" s="71" customFormat="1" hidden="1">
      <c r="D1345" s="69"/>
      <c r="E1345" s="68"/>
      <c r="F1345" s="68"/>
      <c r="G1345" s="68"/>
      <c r="H1345" s="68"/>
      <c r="I1345" s="68"/>
      <c r="J1345" s="68"/>
      <c r="K1345" s="73"/>
      <c r="L1345" s="68"/>
      <c r="M1345" s="68"/>
      <c r="N1345" s="68"/>
      <c r="O1345" s="68"/>
      <c r="P1345" s="65"/>
      <c r="Q1345" s="103"/>
      <c r="R1345" s="103"/>
      <c r="S1345" s="103"/>
      <c r="T1345" s="103"/>
      <c r="U1345" s="68"/>
      <c r="V1345" s="69"/>
      <c r="W1345" s="68"/>
      <c r="X1345" s="68"/>
      <c r="Y1345" s="68"/>
      <c r="Z1345" s="68"/>
      <c r="AA1345" s="68"/>
      <c r="AB1345" s="68"/>
      <c r="AC1345" s="68"/>
      <c r="AD1345" s="68"/>
      <c r="AE1345" s="68"/>
      <c r="AF1345" s="68"/>
      <c r="AG1345" s="68"/>
      <c r="AH1345" s="68"/>
      <c r="AI1345" s="68"/>
      <c r="AJ1345" s="68"/>
      <c r="AK1345" s="68"/>
      <c r="AL1345" s="68"/>
      <c r="AM1345" s="68"/>
      <c r="AN1345" s="68"/>
      <c r="AO1345" s="68"/>
      <c r="AP1345" s="68"/>
      <c r="AQ1345" s="68"/>
      <c r="AR1345" s="68"/>
      <c r="AS1345" s="68"/>
      <c r="AT1345" s="68"/>
      <c r="AU1345" s="68"/>
      <c r="AV1345" s="68"/>
      <c r="AW1345" s="68"/>
      <c r="AX1345" s="68"/>
      <c r="AY1345" s="68"/>
      <c r="AZ1345" s="68"/>
      <c r="BA1345" s="68"/>
      <c r="BB1345" s="68"/>
      <c r="BC1345" s="68"/>
      <c r="BD1345" s="68"/>
      <c r="BE1345" s="68"/>
      <c r="BF1345" s="68"/>
      <c r="BG1345" s="68"/>
      <c r="BH1345" s="68"/>
      <c r="BI1345" s="68"/>
      <c r="BJ1345" s="68"/>
      <c r="BK1345" s="68"/>
      <c r="BL1345" s="68"/>
      <c r="BM1345" s="68"/>
      <c r="BN1345" s="68"/>
      <c r="BO1345" s="68"/>
      <c r="BP1345" s="68"/>
      <c r="BQ1345" s="68"/>
      <c r="BR1345" s="68"/>
      <c r="BS1345" s="68"/>
      <c r="BT1345" s="68"/>
      <c r="BU1345" s="68"/>
      <c r="BV1345" s="68"/>
      <c r="BW1345" s="68"/>
      <c r="BX1345" s="68"/>
      <c r="BY1345" s="68"/>
      <c r="BZ1345" s="68"/>
      <c r="CA1345" s="68"/>
      <c r="CB1345" s="68"/>
      <c r="CC1345" s="68"/>
      <c r="CD1345" s="68"/>
      <c r="CE1345" s="68"/>
      <c r="CF1345" s="68"/>
      <c r="CG1345" s="68"/>
      <c r="CH1345" s="68"/>
      <c r="CI1345" s="68"/>
      <c r="CJ1345" s="68"/>
      <c r="CK1345" s="68"/>
      <c r="CL1345" s="68"/>
      <c r="CM1345" s="68"/>
      <c r="CN1345" s="68"/>
      <c r="CO1345" s="68"/>
      <c r="CP1345" s="68"/>
      <c r="CQ1345" s="68"/>
      <c r="CR1345" s="68"/>
      <c r="CS1345" s="68"/>
      <c r="CT1345" s="68"/>
      <c r="CU1345" s="68"/>
      <c r="CV1345" s="68"/>
      <c r="CW1345" s="68"/>
      <c r="CX1345" s="68"/>
    </row>
    <row r="1346" spans="4:102" s="71" customFormat="1" hidden="1">
      <c r="D1346" s="69"/>
      <c r="E1346" s="68"/>
      <c r="F1346" s="68"/>
      <c r="G1346" s="68"/>
      <c r="H1346" s="68"/>
      <c r="I1346" s="68"/>
      <c r="J1346" s="68"/>
      <c r="K1346" s="73"/>
      <c r="L1346" s="68"/>
      <c r="M1346" s="68"/>
      <c r="N1346" s="68"/>
      <c r="O1346" s="68"/>
      <c r="P1346" s="65"/>
      <c r="Q1346" s="103"/>
      <c r="R1346" s="103"/>
      <c r="S1346" s="103"/>
      <c r="T1346" s="103"/>
      <c r="U1346" s="68"/>
      <c r="V1346" s="69"/>
      <c r="W1346" s="68"/>
      <c r="X1346" s="68"/>
      <c r="Y1346" s="68"/>
      <c r="Z1346" s="68"/>
      <c r="AA1346" s="68"/>
      <c r="AB1346" s="68"/>
      <c r="AC1346" s="68"/>
      <c r="AD1346" s="68"/>
      <c r="AE1346" s="68"/>
      <c r="AF1346" s="68"/>
      <c r="AG1346" s="68"/>
      <c r="AH1346" s="68"/>
      <c r="AI1346" s="68"/>
      <c r="AJ1346" s="68"/>
      <c r="AK1346" s="68"/>
      <c r="AL1346" s="68"/>
      <c r="AM1346" s="68"/>
      <c r="AN1346" s="68"/>
      <c r="AO1346" s="68"/>
      <c r="AP1346" s="68"/>
      <c r="AQ1346" s="68"/>
      <c r="AR1346" s="68"/>
      <c r="AS1346" s="68"/>
      <c r="AT1346" s="68"/>
      <c r="AU1346" s="68"/>
      <c r="AV1346" s="68"/>
      <c r="AW1346" s="68"/>
      <c r="AX1346" s="68"/>
      <c r="AY1346" s="68"/>
      <c r="AZ1346" s="68"/>
      <c r="BA1346" s="68"/>
      <c r="BB1346" s="68"/>
      <c r="BC1346" s="68"/>
      <c r="BD1346" s="68"/>
      <c r="BE1346" s="68"/>
      <c r="BF1346" s="68"/>
      <c r="BG1346" s="68"/>
      <c r="BH1346" s="68"/>
      <c r="BI1346" s="68"/>
      <c r="BJ1346" s="68"/>
      <c r="BK1346" s="68"/>
      <c r="BL1346" s="68"/>
      <c r="BM1346" s="68"/>
      <c r="BN1346" s="68"/>
      <c r="BO1346" s="68"/>
      <c r="BP1346" s="68"/>
      <c r="BQ1346" s="68"/>
      <c r="BR1346" s="68"/>
      <c r="BS1346" s="68"/>
      <c r="BT1346" s="68"/>
      <c r="BU1346" s="68"/>
      <c r="BV1346" s="68"/>
      <c r="BW1346" s="68"/>
      <c r="BX1346" s="68"/>
      <c r="BY1346" s="68"/>
      <c r="BZ1346" s="68"/>
      <c r="CA1346" s="68"/>
      <c r="CB1346" s="68"/>
      <c r="CC1346" s="68"/>
      <c r="CD1346" s="68"/>
      <c r="CE1346" s="68"/>
      <c r="CF1346" s="68"/>
      <c r="CG1346" s="68"/>
      <c r="CH1346" s="68"/>
      <c r="CI1346" s="68"/>
      <c r="CJ1346" s="68"/>
      <c r="CK1346" s="68"/>
      <c r="CL1346" s="68"/>
      <c r="CM1346" s="68"/>
      <c r="CN1346" s="68"/>
      <c r="CO1346" s="68"/>
      <c r="CP1346" s="68"/>
      <c r="CQ1346" s="68"/>
      <c r="CR1346" s="68"/>
      <c r="CS1346" s="68"/>
      <c r="CT1346" s="68"/>
      <c r="CU1346" s="68"/>
      <c r="CV1346" s="68"/>
      <c r="CW1346" s="68"/>
      <c r="CX1346" s="68"/>
    </row>
    <row r="1347" spans="4:102" s="71" customFormat="1" hidden="1">
      <c r="D1347" s="69"/>
      <c r="E1347" s="68"/>
      <c r="F1347" s="68"/>
      <c r="G1347" s="68"/>
      <c r="H1347" s="68"/>
      <c r="I1347" s="68"/>
      <c r="J1347" s="68"/>
      <c r="K1347" s="73"/>
      <c r="L1347" s="68"/>
      <c r="M1347" s="68"/>
      <c r="N1347" s="68"/>
      <c r="O1347" s="68"/>
      <c r="P1347" s="65"/>
      <c r="Q1347" s="103"/>
      <c r="R1347" s="103"/>
      <c r="S1347" s="103"/>
      <c r="T1347" s="103"/>
      <c r="U1347" s="68"/>
      <c r="V1347" s="69"/>
      <c r="W1347" s="68"/>
      <c r="X1347" s="68"/>
      <c r="Y1347" s="68"/>
      <c r="Z1347" s="68"/>
      <c r="AA1347" s="68"/>
      <c r="AB1347" s="68"/>
      <c r="AC1347" s="68"/>
      <c r="AD1347" s="68"/>
      <c r="AE1347" s="68"/>
      <c r="AF1347" s="68"/>
      <c r="AG1347" s="68"/>
      <c r="AH1347" s="68"/>
      <c r="AI1347" s="68"/>
      <c r="AJ1347" s="68"/>
      <c r="AK1347" s="68"/>
      <c r="AL1347" s="68"/>
      <c r="AM1347" s="68"/>
      <c r="AN1347" s="68"/>
      <c r="AO1347" s="68"/>
      <c r="AP1347" s="68"/>
      <c r="AQ1347" s="68"/>
      <c r="AR1347" s="68"/>
      <c r="AS1347" s="68"/>
      <c r="AT1347" s="68"/>
      <c r="AU1347" s="68"/>
      <c r="AV1347" s="68"/>
      <c r="AW1347" s="68"/>
      <c r="AX1347" s="68"/>
      <c r="AY1347" s="68"/>
      <c r="AZ1347" s="68"/>
      <c r="BA1347" s="68"/>
      <c r="BB1347" s="68"/>
      <c r="BC1347" s="68"/>
      <c r="BD1347" s="68"/>
      <c r="BE1347" s="68"/>
      <c r="BF1347" s="68"/>
      <c r="BG1347" s="68"/>
      <c r="BH1347" s="68"/>
      <c r="BI1347" s="68"/>
      <c r="BJ1347" s="68"/>
      <c r="BK1347" s="68"/>
      <c r="BL1347" s="68"/>
      <c r="BM1347" s="68"/>
      <c r="BN1347" s="68"/>
      <c r="BO1347" s="68"/>
      <c r="BP1347" s="68"/>
      <c r="BQ1347" s="68"/>
      <c r="BR1347" s="68"/>
      <c r="BS1347" s="68"/>
      <c r="BT1347" s="68"/>
      <c r="BU1347" s="68"/>
      <c r="BV1347" s="68"/>
      <c r="BW1347" s="68"/>
      <c r="BX1347" s="68"/>
      <c r="BY1347" s="68"/>
      <c r="BZ1347" s="68"/>
      <c r="CA1347" s="68"/>
      <c r="CB1347" s="68"/>
      <c r="CC1347" s="68"/>
      <c r="CD1347" s="68"/>
      <c r="CE1347" s="68"/>
      <c r="CF1347" s="68"/>
      <c r="CG1347" s="68"/>
      <c r="CH1347" s="68"/>
      <c r="CI1347" s="68"/>
      <c r="CJ1347" s="68"/>
      <c r="CK1347" s="68"/>
      <c r="CL1347" s="68"/>
      <c r="CM1347" s="68"/>
      <c r="CN1347" s="68"/>
      <c r="CO1347" s="68"/>
      <c r="CP1347" s="68"/>
      <c r="CQ1347" s="68"/>
      <c r="CR1347" s="68"/>
      <c r="CS1347" s="68"/>
      <c r="CT1347" s="68"/>
      <c r="CU1347" s="68"/>
      <c r="CV1347" s="68"/>
      <c r="CW1347" s="68"/>
      <c r="CX1347" s="68"/>
    </row>
    <row r="1348" spans="4:102" s="71" customFormat="1" hidden="1">
      <c r="D1348" s="69"/>
      <c r="E1348" s="68"/>
      <c r="F1348" s="68"/>
      <c r="G1348" s="68"/>
      <c r="H1348" s="68"/>
      <c r="I1348" s="68"/>
      <c r="J1348" s="68"/>
      <c r="K1348" s="73"/>
      <c r="L1348" s="68"/>
      <c r="M1348" s="68"/>
      <c r="N1348" s="68"/>
      <c r="O1348" s="68"/>
      <c r="P1348" s="65"/>
      <c r="Q1348" s="103"/>
      <c r="R1348" s="103"/>
      <c r="S1348" s="103"/>
      <c r="T1348" s="103"/>
      <c r="U1348" s="68"/>
      <c r="V1348" s="69"/>
      <c r="W1348" s="68"/>
      <c r="X1348" s="68"/>
      <c r="Y1348" s="68"/>
      <c r="Z1348" s="68"/>
      <c r="AA1348" s="68"/>
      <c r="AB1348" s="68"/>
      <c r="AC1348" s="68"/>
      <c r="AD1348" s="68"/>
      <c r="AE1348" s="68"/>
      <c r="AF1348" s="68"/>
      <c r="AG1348" s="68"/>
      <c r="AH1348" s="68"/>
      <c r="AI1348" s="68"/>
      <c r="AJ1348" s="68"/>
      <c r="AK1348" s="68"/>
      <c r="AL1348" s="68"/>
      <c r="AM1348" s="68"/>
      <c r="AN1348" s="68"/>
      <c r="AO1348" s="68"/>
      <c r="AP1348" s="68"/>
      <c r="AQ1348" s="68"/>
      <c r="AR1348" s="68"/>
      <c r="AS1348" s="68"/>
      <c r="AT1348" s="68"/>
      <c r="AU1348" s="68"/>
      <c r="AV1348" s="68"/>
      <c r="AW1348" s="68"/>
      <c r="AX1348" s="68"/>
      <c r="AY1348" s="68"/>
      <c r="AZ1348" s="68"/>
      <c r="BA1348" s="68"/>
      <c r="BB1348" s="68"/>
      <c r="BC1348" s="68"/>
      <c r="BD1348" s="68"/>
      <c r="BE1348" s="68"/>
      <c r="BF1348" s="68"/>
      <c r="BG1348" s="68"/>
      <c r="BH1348" s="68"/>
      <c r="BI1348" s="68"/>
      <c r="BJ1348" s="68"/>
      <c r="BK1348" s="68"/>
      <c r="BL1348" s="68"/>
      <c r="BM1348" s="68"/>
      <c r="BN1348" s="68"/>
      <c r="BO1348" s="68"/>
      <c r="BP1348" s="68"/>
      <c r="BQ1348" s="68"/>
      <c r="BR1348" s="68"/>
      <c r="BS1348" s="68"/>
      <c r="BT1348" s="68"/>
      <c r="BU1348" s="68"/>
      <c r="BV1348" s="68"/>
      <c r="BW1348" s="68"/>
      <c r="BX1348" s="68"/>
      <c r="BY1348" s="68"/>
      <c r="BZ1348" s="68"/>
      <c r="CA1348" s="68"/>
      <c r="CB1348" s="68"/>
      <c r="CC1348" s="68"/>
      <c r="CD1348" s="68"/>
      <c r="CE1348" s="68"/>
      <c r="CF1348" s="68"/>
      <c r="CG1348" s="68"/>
      <c r="CH1348" s="68"/>
      <c r="CI1348" s="68"/>
      <c r="CJ1348" s="68"/>
      <c r="CK1348" s="68"/>
      <c r="CL1348" s="68"/>
      <c r="CM1348" s="68"/>
      <c r="CN1348" s="68"/>
      <c r="CO1348" s="68"/>
      <c r="CP1348" s="68"/>
      <c r="CQ1348" s="68"/>
      <c r="CR1348" s="68"/>
      <c r="CS1348" s="68"/>
      <c r="CT1348" s="68"/>
      <c r="CU1348" s="68"/>
      <c r="CV1348" s="68"/>
      <c r="CW1348" s="68"/>
      <c r="CX1348" s="68"/>
    </row>
    <row r="1349" spans="4:102" s="71" customFormat="1" hidden="1">
      <c r="D1349" s="69"/>
      <c r="E1349" s="68"/>
      <c r="F1349" s="68"/>
      <c r="G1349" s="68"/>
      <c r="H1349" s="68"/>
      <c r="I1349" s="68"/>
      <c r="J1349" s="68"/>
      <c r="K1349" s="73"/>
      <c r="L1349" s="68"/>
      <c r="M1349" s="68"/>
      <c r="N1349" s="68"/>
      <c r="O1349" s="68"/>
      <c r="P1349" s="65"/>
      <c r="Q1349" s="103"/>
      <c r="R1349" s="103"/>
      <c r="S1349" s="103"/>
      <c r="T1349" s="103"/>
      <c r="U1349" s="68"/>
      <c r="V1349" s="69"/>
      <c r="W1349" s="68"/>
      <c r="X1349" s="68"/>
      <c r="Y1349" s="68"/>
      <c r="Z1349" s="68"/>
      <c r="AA1349" s="68"/>
      <c r="AB1349" s="68"/>
      <c r="AC1349" s="68"/>
      <c r="AD1349" s="68"/>
      <c r="AE1349" s="68"/>
      <c r="AF1349" s="68"/>
      <c r="AG1349" s="68"/>
      <c r="AH1349" s="68"/>
      <c r="AI1349" s="68"/>
      <c r="AJ1349" s="68"/>
      <c r="AK1349" s="68"/>
      <c r="AL1349" s="68"/>
      <c r="AM1349" s="68"/>
      <c r="AN1349" s="68"/>
      <c r="AO1349" s="68"/>
      <c r="AP1349" s="68"/>
      <c r="AQ1349" s="68"/>
      <c r="AR1349" s="68"/>
      <c r="AS1349" s="68"/>
      <c r="AT1349" s="68"/>
      <c r="AU1349" s="68"/>
      <c r="AV1349" s="68"/>
      <c r="AW1349" s="68"/>
      <c r="AX1349" s="68"/>
      <c r="AY1349" s="68"/>
      <c r="AZ1349" s="68"/>
      <c r="BA1349" s="68"/>
      <c r="BB1349" s="68"/>
      <c r="BC1349" s="68"/>
      <c r="BD1349" s="68"/>
      <c r="BE1349" s="68"/>
      <c r="BF1349" s="68"/>
      <c r="BG1349" s="68"/>
      <c r="BH1349" s="68"/>
      <c r="BI1349" s="68"/>
      <c r="BJ1349" s="68"/>
      <c r="BK1349" s="68"/>
      <c r="BL1349" s="68"/>
      <c r="BM1349" s="68"/>
      <c r="BN1349" s="68"/>
      <c r="BO1349" s="68"/>
      <c r="BP1349" s="68"/>
      <c r="BQ1349" s="68"/>
      <c r="BR1349" s="68"/>
      <c r="BS1349" s="68"/>
      <c r="BT1349" s="68"/>
      <c r="BU1349" s="68"/>
      <c r="BV1349" s="68"/>
      <c r="BW1349" s="68"/>
      <c r="BX1349" s="68"/>
      <c r="BY1349" s="68"/>
      <c r="BZ1349" s="68"/>
      <c r="CA1349" s="68"/>
      <c r="CB1349" s="68"/>
      <c r="CC1349" s="68"/>
      <c r="CD1349" s="68"/>
      <c r="CE1349" s="68"/>
      <c r="CF1349" s="68"/>
      <c r="CG1349" s="68"/>
      <c r="CH1349" s="68"/>
      <c r="CI1349" s="68"/>
      <c r="CJ1349" s="68"/>
      <c r="CK1349" s="68"/>
      <c r="CL1349" s="68"/>
      <c r="CM1349" s="68"/>
      <c r="CN1349" s="68"/>
      <c r="CO1349" s="68"/>
      <c r="CP1349" s="68"/>
      <c r="CQ1349" s="68"/>
      <c r="CR1349" s="68"/>
      <c r="CS1349" s="68"/>
      <c r="CT1349" s="68"/>
      <c r="CU1349" s="68"/>
      <c r="CV1349" s="68"/>
      <c r="CW1349" s="68"/>
      <c r="CX1349" s="68"/>
    </row>
    <row r="1350" spans="4:102" s="71" customFormat="1" hidden="1">
      <c r="D1350" s="69"/>
      <c r="E1350" s="68"/>
      <c r="F1350" s="68"/>
      <c r="G1350" s="68"/>
      <c r="H1350" s="68"/>
      <c r="I1350" s="68"/>
      <c r="J1350" s="68"/>
      <c r="K1350" s="73"/>
      <c r="L1350" s="68"/>
      <c r="M1350" s="68"/>
      <c r="N1350" s="68"/>
      <c r="O1350" s="68"/>
      <c r="P1350" s="65"/>
      <c r="Q1350" s="103"/>
      <c r="R1350" s="103"/>
      <c r="S1350" s="103"/>
      <c r="T1350" s="103"/>
      <c r="U1350" s="68"/>
      <c r="V1350" s="69"/>
      <c r="W1350" s="68"/>
      <c r="X1350" s="68"/>
      <c r="Y1350" s="68"/>
      <c r="Z1350" s="68"/>
      <c r="AA1350" s="68"/>
      <c r="AB1350" s="68"/>
      <c r="AC1350" s="68"/>
      <c r="AD1350" s="68"/>
      <c r="AE1350" s="68"/>
      <c r="AF1350" s="68"/>
      <c r="AG1350" s="68"/>
      <c r="AH1350" s="68"/>
      <c r="AI1350" s="68"/>
      <c r="AJ1350" s="68"/>
      <c r="AK1350" s="68"/>
      <c r="AL1350" s="68"/>
      <c r="AM1350" s="68"/>
      <c r="AN1350" s="68"/>
      <c r="AO1350" s="68"/>
      <c r="AP1350" s="68"/>
      <c r="AQ1350" s="68"/>
      <c r="AR1350" s="68"/>
      <c r="AS1350" s="68"/>
      <c r="AT1350" s="68"/>
      <c r="AU1350" s="68"/>
      <c r="AV1350" s="68"/>
      <c r="AW1350" s="68"/>
      <c r="AX1350" s="68"/>
      <c r="AY1350" s="68"/>
      <c r="AZ1350" s="68"/>
      <c r="BA1350" s="68"/>
      <c r="BB1350" s="68"/>
      <c r="BC1350" s="68"/>
      <c r="BD1350" s="68"/>
      <c r="BE1350" s="68"/>
      <c r="BF1350" s="68"/>
      <c r="BG1350" s="68"/>
      <c r="BH1350" s="68"/>
      <c r="BI1350" s="68"/>
      <c r="BJ1350" s="68"/>
      <c r="BK1350" s="68"/>
      <c r="BL1350" s="68"/>
      <c r="BM1350" s="68"/>
      <c r="BN1350" s="68"/>
      <c r="BO1350" s="68"/>
      <c r="BP1350" s="68"/>
      <c r="BQ1350" s="68"/>
      <c r="BR1350" s="68"/>
      <c r="BS1350" s="68"/>
      <c r="BT1350" s="68"/>
      <c r="BU1350" s="68"/>
      <c r="BV1350" s="68"/>
      <c r="BW1350" s="68"/>
      <c r="BX1350" s="68"/>
      <c r="BY1350" s="68"/>
      <c r="BZ1350" s="68"/>
      <c r="CA1350" s="68"/>
      <c r="CB1350" s="68"/>
      <c r="CC1350" s="68"/>
      <c r="CD1350" s="68"/>
      <c r="CE1350" s="68"/>
      <c r="CF1350" s="68"/>
      <c r="CG1350" s="68"/>
      <c r="CH1350" s="68"/>
      <c r="CI1350" s="68"/>
      <c r="CJ1350" s="68"/>
      <c r="CK1350" s="68"/>
      <c r="CL1350" s="68"/>
      <c r="CM1350" s="68"/>
      <c r="CN1350" s="68"/>
      <c r="CO1350" s="68"/>
      <c r="CP1350" s="68"/>
      <c r="CQ1350" s="68"/>
      <c r="CR1350" s="68"/>
      <c r="CS1350" s="68"/>
      <c r="CT1350" s="68"/>
      <c r="CU1350" s="68"/>
      <c r="CV1350" s="68"/>
      <c r="CW1350" s="68"/>
      <c r="CX1350" s="68"/>
    </row>
    <row r="1351" spans="4:102" s="71" customFormat="1" hidden="1">
      <c r="D1351" s="69"/>
      <c r="E1351" s="68"/>
      <c r="F1351" s="68"/>
      <c r="G1351" s="68"/>
      <c r="H1351" s="68"/>
      <c r="I1351" s="68"/>
      <c r="J1351" s="68"/>
      <c r="K1351" s="73"/>
      <c r="L1351" s="68"/>
      <c r="M1351" s="68"/>
      <c r="N1351" s="68"/>
      <c r="O1351" s="68"/>
      <c r="P1351" s="65"/>
      <c r="Q1351" s="103"/>
      <c r="R1351" s="103"/>
      <c r="S1351" s="103"/>
      <c r="T1351" s="103"/>
      <c r="U1351" s="68"/>
      <c r="V1351" s="69"/>
      <c r="W1351" s="68"/>
      <c r="X1351" s="68"/>
      <c r="Y1351" s="68"/>
      <c r="Z1351" s="68"/>
      <c r="AA1351" s="68"/>
      <c r="AB1351" s="68"/>
      <c r="AC1351" s="68"/>
      <c r="AD1351" s="68"/>
      <c r="AE1351" s="68"/>
      <c r="AF1351" s="68"/>
      <c r="AG1351" s="68"/>
      <c r="AH1351" s="68"/>
      <c r="AI1351" s="68"/>
      <c r="AJ1351" s="68"/>
      <c r="AK1351" s="68"/>
      <c r="AL1351" s="68"/>
      <c r="AM1351" s="68"/>
      <c r="AN1351" s="68"/>
      <c r="AO1351" s="68"/>
      <c r="AP1351" s="68"/>
      <c r="AQ1351" s="68"/>
      <c r="AR1351" s="68"/>
      <c r="AS1351" s="68"/>
      <c r="AT1351" s="68"/>
      <c r="AU1351" s="68"/>
      <c r="AV1351" s="68"/>
      <c r="AW1351" s="68"/>
      <c r="AX1351" s="68"/>
      <c r="AY1351" s="68"/>
      <c r="AZ1351" s="68"/>
      <c r="BA1351" s="68"/>
      <c r="BB1351" s="68"/>
      <c r="BC1351" s="68"/>
      <c r="BD1351" s="68"/>
      <c r="BE1351" s="68"/>
      <c r="BF1351" s="68"/>
      <c r="BG1351" s="68"/>
      <c r="BH1351" s="68"/>
      <c r="BI1351" s="68"/>
      <c r="BJ1351" s="68"/>
      <c r="BK1351" s="68"/>
      <c r="BL1351" s="68"/>
      <c r="BM1351" s="68"/>
      <c r="BN1351" s="68"/>
      <c r="BO1351" s="68"/>
      <c r="BP1351" s="68"/>
      <c r="BQ1351" s="68"/>
      <c r="BR1351" s="68"/>
      <c r="BS1351" s="68"/>
      <c r="BT1351" s="68"/>
      <c r="BU1351" s="68"/>
      <c r="BV1351" s="68"/>
      <c r="BW1351" s="68"/>
      <c r="BX1351" s="68"/>
      <c r="BY1351" s="68"/>
      <c r="BZ1351" s="68"/>
      <c r="CA1351" s="68"/>
      <c r="CB1351" s="68"/>
      <c r="CC1351" s="68"/>
      <c r="CD1351" s="68"/>
      <c r="CE1351" s="68"/>
      <c r="CF1351" s="68"/>
      <c r="CG1351" s="68"/>
      <c r="CH1351" s="68"/>
      <c r="CI1351" s="68"/>
      <c r="CJ1351" s="68"/>
      <c r="CK1351" s="68"/>
      <c r="CL1351" s="68"/>
      <c r="CM1351" s="68"/>
      <c r="CN1351" s="68"/>
      <c r="CO1351" s="68"/>
      <c r="CP1351" s="68"/>
      <c r="CQ1351" s="68"/>
      <c r="CR1351" s="68"/>
      <c r="CS1351" s="68"/>
      <c r="CT1351" s="68"/>
      <c r="CU1351" s="68"/>
      <c r="CV1351" s="68"/>
      <c r="CW1351" s="68"/>
      <c r="CX1351" s="68"/>
    </row>
    <row r="1352" spans="4:102" s="71" customFormat="1" hidden="1">
      <c r="D1352" s="69"/>
      <c r="E1352" s="68"/>
      <c r="F1352" s="68"/>
      <c r="G1352" s="68"/>
      <c r="H1352" s="68"/>
      <c r="I1352" s="68"/>
      <c r="J1352" s="68"/>
      <c r="K1352" s="73"/>
      <c r="L1352" s="68"/>
      <c r="M1352" s="68"/>
      <c r="N1352" s="68"/>
      <c r="O1352" s="68"/>
      <c r="P1352" s="65"/>
      <c r="Q1352" s="103"/>
      <c r="R1352" s="103"/>
      <c r="S1352" s="103"/>
      <c r="T1352" s="103"/>
      <c r="U1352" s="68"/>
      <c r="V1352" s="69"/>
      <c r="W1352" s="68"/>
      <c r="X1352" s="68"/>
      <c r="Y1352" s="68"/>
      <c r="Z1352" s="68"/>
      <c r="AA1352" s="68"/>
      <c r="AB1352" s="68"/>
      <c r="AC1352" s="68"/>
      <c r="AD1352" s="68"/>
      <c r="AE1352" s="68"/>
      <c r="AF1352" s="68"/>
      <c r="AG1352" s="68"/>
      <c r="AH1352" s="68"/>
      <c r="AI1352" s="68"/>
      <c r="AJ1352" s="68"/>
      <c r="AK1352" s="68"/>
      <c r="AL1352" s="68"/>
      <c r="AM1352" s="68"/>
      <c r="AN1352" s="68"/>
      <c r="AO1352" s="68"/>
      <c r="AP1352" s="68"/>
      <c r="AQ1352" s="68"/>
      <c r="AR1352" s="68"/>
      <c r="AS1352" s="68"/>
      <c r="AT1352" s="68"/>
      <c r="AU1352" s="68"/>
      <c r="AV1352" s="68"/>
      <c r="AW1352" s="68"/>
      <c r="AX1352" s="68"/>
      <c r="AY1352" s="68"/>
      <c r="AZ1352" s="68"/>
      <c r="BA1352" s="68"/>
      <c r="BB1352" s="68"/>
      <c r="BC1352" s="68"/>
      <c r="BD1352" s="68"/>
      <c r="BE1352" s="68"/>
      <c r="BF1352" s="68"/>
      <c r="BG1352" s="68"/>
      <c r="BH1352" s="68"/>
      <c r="BI1352" s="68"/>
      <c r="BJ1352" s="68"/>
      <c r="BK1352" s="68"/>
      <c r="BL1352" s="68"/>
      <c r="BM1352" s="68"/>
      <c r="BN1352" s="68"/>
      <c r="BO1352" s="68"/>
      <c r="BP1352" s="68"/>
      <c r="BQ1352" s="68"/>
      <c r="BR1352" s="68"/>
      <c r="BS1352" s="68"/>
      <c r="BT1352" s="68"/>
      <c r="BU1352" s="68"/>
      <c r="BV1352" s="68"/>
      <c r="BW1352" s="68"/>
      <c r="BX1352" s="68"/>
      <c r="BY1352" s="68"/>
      <c r="BZ1352" s="68"/>
      <c r="CA1352" s="68"/>
      <c r="CB1352" s="68"/>
      <c r="CC1352" s="68"/>
      <c r="CD1352" s="68"/>
      <c r="CE1352" s="68"/>
      <c r="CF1352" s="68"/>
      <c r="CG1352" s="68"/>
      <c r="CH1352" s="68"/>
      <c r="CI1352" s="68"/>
      <c r="CJ1352" s="68"/>
      <c r="CK1352" s="68"/>
      <c r="CL1352" s="68"/>
      <c r="CM1352" s="68"/>
      <c r="CN1352" s="68"/>
      <c r="CO1352" s="68"/>
      <c r="CP1352" s="68"/>
      <c r="CQ1352" s="68"/>
      <c r="CR1352" s="68"/>
      <c r="CS1352" s="68"/>
      <c r="CT1352" s="68"/>
      <c r="CU1352" s="68"/>
      <c r="CV1352" s="68"/>
      <c r="CW1352" s="68"/>
      <c r="CX1352" s="68"/>
    </row>
    <row r="1353" spans="4:102" s="71" customFormat="1" hidden="1">
      <c r="D1353" s="69"/>
      <c r="E1353" s="68"/>
      <c r="F1353" s="68"/>
      <c r="G1353" s="68"/>
      <c r="H1353" s="68"/>
      <c r="I1353" s="68"/>
      <c r="J1353" s="68"/>
      <c r="K1353" s="73"/>
      <c r="L1353" s="68"/>
      <c r="M1353" s="68"/>
      <c r="N1353" s="68"/>
      <c r="O1353" s="68"/>
      <c r="P1353" s="65"/>
      <c r="Q1353" s="103"/>
      <c r="R1353" s="103"/>
      <c r="S1353" s="103"/>
      <c r="T1353" s="103"/>
      <c r="U1353" s="68"/>
      <c r="V1353" s="69"/>
      <c r="W1353" s="68"/>
      <c r="X1353" s="68"/>
      <c r="Y1353" s="68"/>
      <c r="Z1353" s="68"/>
      <c r="AA1353" s="68"/>
      <c r="AB1353" s="68"/>
      <c r="AC1353" s="68"/>
      <c r="AD1353" s="68"/>
      <c r="AE1353" s="68"/>
      <c r="AF1353" s="68"/>
      <c r="AG1353" s="68"/>
      <c r="AH1353" s="68"/>
      <c r="AI1353" s="68"/>
      <c r="AJ1353" s="68"/>
      <c r="AK1353" s="68"/>
      <c r="AL1353" s="68"/>
      <c r="AM1353" s="68"/>
      <c r="AN1353" s="68"/>
      <c r="AO1353" s="68"/>
      <c r="AP1353" s="68"/>
      <c r="AQ1353" s="68"/>
      <c r="AR1353" s="68"/>
      <c r="AS1353" s="68"/>
      <c r="AT1353" s="68"/>
      <c r="AU1353" s="68"/>
      <c r="AV1353" s="68"/>
      <c r="AW1353" s="68"/>
      <c r="AX1353" s="68"/>
      <c r="AY1353" s="68"/>
      <c r="AZ1353" s="68"/>
      <c r="BA1353" s="68"/>
      <c r="BB1353" s="68"/>
      <c r="BC1353" s="68"/>
      <c r="BD1353" s="68"/>
      <c r="BE1353" s="68"/>
      <c r="BF1353" s="68"/>
      <c r="BG1353" s="68"/>
      <c r="BH1353" s="68"/>
      <c r="BI1353" s="68"/>
      <c r="BJ1353" s="68"/>
      <c r="BK1353" s="68"/>
      <c r="BL1353" s="68"/>
      <c r="BM1353" s="68"/>
      <c r="BN1353" s="68"/>
      <c r="BO1353" s="68"/>
      <c r="BP1353" s="68"/>
      <c r="BQ1353" s="68"/>
      <c r="BR1353" s="68"/>
      <c r="BS1353" s="68"/>
      <c r="BT1353" s="68"/>
      <c r="BU1353" s="68"/>
      <c r="BV1353" s="68"/>
      <c r="BW1353" s="68"/>
      <c r="BX1353" s="68"/>
      <c r="BY1353" s="68"/>
      <c r="BZ1353" s="68"/>
      <c r="CA1353" s="68"/>
      <c r="CB1353" s="68"/>
      <c r="CC1353" s="68"/>
      <c r="CD1353" s="68"/>
      <c r="CE1353" s="68"/>
      <c r="CF1353" s="68"/>
      <c r="CG1353" s="68"/>
      <c r="CH1353" s="68"/>
      <c r="CI1353" s="68"/>
      <c r="CJ1353" s="68"/>
      <c r="CK1353" s="68"/>
      <c r="CL1353" s="68"/>
      <c r="CM1353" s="68"/>
      <c r="CN1353" s="68"/>
      <c r="CO1353" s="68"/>
      <c r="CP1353" s="68"/>
      <c r="CQ1353" s="68"/>
      <c r="CR1353" s="68"/>
      <c r="CS1353" s="68"/>
      <c r="CT1353" s="68"/>
      <c r="CU1353" s="68"/>
      <c r="CV1353" s="68"/>
      <c r="CW1353" s="68"/>
      <c r="CX1353" s="68"/>
    </row>
    <row r="1354" spans="4:102" s="71" customFormat="1" hidden="1">
      <c r="D1354" s="69"/>
      <c r="E1354" s="68"/>
      <c r="F1354" s="68"/>
      <c r="G1354" s="68"/>
      <c r="H1354" s="68"/>
      <c r="I1354" s="68"/>
      <c r="J1354" s="68"/>
      <c r="K1354" s="73"/>
      <c r="L1354" s="68"/>
      <c r="M1354" s="68"/>
      <c r="N1354" s="68"/>
      <c r="O1354" s="68"/>
      <c r="P1354" s="65"/>
      <c r="Q1354" s="103"/>
      <c r="R1354" s="103"/>
      <c r="S1354" s="103"/>
      <c r="T1354" s="103"/>
      <c r="U1354" s="68"/>
      <c r="V1354" s="69"/>
      <c r="W1354" s="68"/>
      <c r="X1354" s="68"/>
      <c r="Y1354" s="68"/>
      <c r="Z1354" s="68"/>
      <c r="AA1354" s="68"/>
      <c r="AB1354" s="68"/>
      <c r="AC1354" s="68"/>
      <c r="AD1354" s="68"/>
      <c r="AE1354" s="68"/>
      <c r="AF1354" s="68"/>
      <c r="AG1354" s="68"/>
      <c r="AH1354" s="68"/>
      <c r="AI1354" s="68"/>
      <c r="AJ1354" s="68"/>
      <c r="AK1354" s="68"/>
      <c r="AL1354" s="68"/>
      <c r="AM1354" s="68"/>
      <c r="AN1354" s="68"/>
      <c r="AO1354" s="68"/>
      <c r="AP1354" s="68"/>
      <c r="AQ1354" s="68"/>
      <c r="AR1354" s="68"/>
      <c r="AS1354" s="68"/>
      <c r="AT1354" s="68"/>
      <c r="AU1354" s="68"/>
      <c r="AV1354" s="68"/>
      <c r="AW1354" s="68"/>
      <c r="AX1354" s="68"/>
      <c r="AY1354" s="68"/>
      <c r="AZ1354" s="68"/>
      <c r="BA1354" s="68"/>
      <c r="BB1354" s="68"/>
      <c r="BC1354" s="68"/>
      <c r="BD1354" s="68"/>
      <c r="BE1354" s="68"/>
      <c r="BF1354" s="68"/>
      <c r="BG1354" s="68"/>
      <c r="BH1354" s="68"/>
      <c r="BI1354" s="68"/>
      <c r="BJ1354" s="68"/>
      <c r="BK1354" s="68"/>
      <c r="BL1354" s="68"/>
      <c r="BM1354" s="68"/>
      <c r="BN1354" s="68"/>
      <c r="BO1354" s="68"/>
      <c r="BP1354" s="68"/>
      <c r="BQ1354" s="68"/>
      <c r="BR1354" s="68"/>
      <c r="BS1354" s="68"/>
      <c r="BT1354" s="68"/>
      <c r="BU1354" s="68"/>
      <c r="BV1354" s="68"/>
      <c r="BW1354" s="68"/>
      <c r="BX1354" s="68"/>
      <c r="BY1354" s="68"/>
      <c r="BZ1354" s="68"/>
      <c r="CA1354" s="68"/>
      <c r="CB1354" s="68"/>
      <c r="CC1354" s="68"/>
      <c r="CD1354" s="68"/>
      <c r="CE1354" s="68"/>
      <c r="CF1354" s="68"/>
      <c r="CG1354" s="68"/>
      <c r="CH1354" s="68"/>
      <c r="CI1354" s="68"/>
      <c r="CJ1354" s="68"/>
      <c r="CK1354" s="68"/>
      <c r="CL1354" s="68"/>
      <c r="CM1354" s="68"/>
      <c r="CN1354" s="68"/>
      <c r="CO1354" s="68"/>
      <c r="CP1354" s="68"/>
      <c r="CQ1354" s="68"/>
      <c r="CR1354" s="68"/>
      <c r="CS1354" s="68"/>
      <c r="CT1354" s="68"/>
      <c r="CU1354" s="68"/>
      <c r="CV1354" s="68"/>
      <c r="CW1354" s="68"/>
      <c r="CX1354" s="68"/>
    </row>
    <row r="1355" spans="4:102" s="71" customFormat="1" hidden="1">
      <c r="D1355" s="69"/>
      <c r="E1355" s="68"/>
      <c r="F1355" s="68"/>
      <c r="G1355" s="68"/>
      <c r="H1355" s="68"/>
      <c r="I1355" s="68"/>
      <c r="J1355" s="68"/>
      <c r="K1355" s="73"/>
      <c r="L1355" s="68"/>
      <c r="M1355" s="68"/>
      <c r="N1355" s="68"/>
      <c r="O1355" s="68"/>
      <c r="P1355" s="65"/>
      <c r="Q1355" s="103"/>
      <c r="R1355" s="103"/>
      <c r="S1355" s="103"/>
      <c r="T1355" s="103"/>
      <c r="U1355" s="68"/>
      <c r="V1355" s="69"/>
      <c r="W1355" s="68"/>
      <c r="X1355" s="68"/>
      <c r="Y1355" s="68"/>
      <c r="Z1355" s="68"/>
      <c r="AA1355" s="68"/>
      <c r="AB1355" s="68"/>
      <c r="AC1355" s="68"/>
      <c r="AD1355" s="68"/>
      <c r="AE1355" s="68"/>
      <c r="AF1355" s="68"/>
      <c r="AG1355" s="68"/>
      <c r="AH1355" s="68"/>
      <c r="AI1355" s="68"/>
      <c r="AJ1355" s="68"/>
      <c r="AK1355" s="68"/>
      <c r="AL1355" s="68"/>
      <c r="AM1355" s="68"/>
      <c r="AN1355" s="68"/>
      <c r="AO1355" s="68"/>
      <c r="AP1355" s="68"/>
      <c r="AQ1355" s="68"/>
      <c r="AR1355" s="68"/>
      <c r="AS1355" s="68"/>
      <c r="AT1355" s="68"/>
      <c r="AU1355" s="68"/>
      <c r="AV1355" s="68"/>
      <c r="AW1355" s="68"/>
      <c r="AX1355" s="68"/>
      <c r="AY1355" s="68"/>
      <c r="AZ1355" s="68"/>
      <c r="BA1355" s="68"/>
      <c r="BB1355" s="68"/>
      <c r="BC1355" s="68"/>
      <c r="BD1355" s="68"/>
      <c r="BE1355" s="68"/>
      <c r="BF1355" s="68"/>
      <c r="BG1355" s="68"/>
      <c r="BH1355" s="68"/>
      <c r="BI1355" s="68"/>
      <c r="BJ1355" s="68"/>
      <c r="BK1355" s="68"/>
      <c r="BL1355" s="68"/>
      <c r="BM1355" s="68"/>
      <c r="BN1355" s="68"/>
      <c r="BO1355" s="68"/>
      <c r="BP1355" s="68"/>
      <c r="BQ1355" s="68"/>
      <c r="BR1355" s="68"/>
      <c r="BS1355" s="68"/>
      <c r="BT1355" s="68"/>
      <c r="BU1355" s="68"/>
      <c r="BV1355" s="68"/>
      <c r="BW1355" s="68"/>
      <c r="BX1355" s="68"/>
      <c r="BY1355" s="68"/>
      <c r="BZ1355" s="68"/>
      <c r="CA1355" s="68"/>
      <c r="CB1355" s="68"/>
      <c r="CC1355" s="68"/>
      <c r="CD1355" s="68"/>
      <c r="CE1355" s="68"/>
      <c r="CF1355" s="68"/>
      <c r="CG1355" s="68"/>
      <c r="CH1355" s="68"/>
      <c r="CI1355" s="68"/>
      <c r="CJ1355" s="68"/>
      <c r="CK1355" s="68"/>
      <c r="CL1355" s="68"/>
      <c r="CM1355" s="68"/>
      <c r="CN1355" s="68"/>
      <c r="CO1355" s="68"/>
      <c r="CP1355" s="68"/>
      <c r="CQ1355" s="68"/>
      <c r="CR1355" s="68"/>
      <c r="CS1355" s="68"/>
      <c r="CT1355" s="68"/>
      <c r="CU1355" s="68"/>
      <c r="CV1355" s="68"/>
      <c r="CW1355" s="68"/>
      <c r="CX1355" s="68"/>
    </row>
    <row r="1356" spans="4:102" s="71" customFormat="1" hidden="1">
      <c r="D1356" s="69"/>
      <c r="E1356" s="68"/>
      <c r="F1356" s="68"/>
      <c r="G1356" s="68"/>
      <c r="H1356" s="68"/>
      <c r="I1356" s="68"/>
      <c r="J1356" s="68"/>
      <c r="K1356" s="73"/>
      <c r="L1356" s="68"/>
      <c r="M1356" s="68"/>
      <c r="N1356" s="68"/>
      <c r="O1356" s="68"/>
      <c r="P1356" s="65"/>
      <c r="Q1356" s="103"/>
      <c r="R1356" s="103"/>
      <c r="S1356" s="103"/>
      <c r="T1356" s="103"/>
      <c r="U1356" s="68"/>
      <c r="V1356" s="69"/>
      <c r="W1356" s="68"/>
      <c r="X1356" s="68"/>
      <c r="Y1356" s="68"/>
      <c r="Z1356" s="68"/>
      <c r="AA1356" s="68"/>
      <c r="AB1356" s="68"/>
      <c r="AC1356" s="68"/>
      <c r="AD1356" s="68"/>
      <c r="AE1356" s="68"/>
      <c r="AF1356" s="68"/>
      <c r="AG1356" s="68"/>
      <c r="AH1356" s="68"/>
      <c r="AI1356" s="68"/>
      <c r="AJ1356" s="68"/>
      <c r="AK1356" s="68"/>
      <c r="AL1356" s="68"/>
      <c r="AM1356" s="68"/>
      <c r="AN1356" s="68"/>
      <c r="AO1356" s="68"/>
      <c r="AP1356" s="68"/>
      <c r="AQ1356" s="68"/>
      <c r="AR1356" s="68"/>
      <c r="AS1356" s="68"/>
      <c r="AT1356" s="68"/>
      <c r="AU1356" s="68"/>
      <c r="AV1356" s="68"/>
      <c r="AW1356" s="68"/>
      <c r="AX1356" s="68"/>
      <c r="AY1356" s="68"/>
      <c r="AZ1356" s="68"/>
      <c r="BA1356" s="68"/>
      <c r="BB1356" s="68"/>
      <c r="BC1356" s="68"/>
      <c r="BD1356" s="68"/>
      <c r="BE1356" s="68"/>
      <c r="BF1356" s="68"/>
      <c r="BG1356" s="68"/>
      <c r="BH1356" s="68"/>
      <c r="BI1356" s="68"/>
      <c r="BJ1356" s="68"/>
      <c r="BK1356" s="68"/>
      <c r="BL1356" s="68"/>
      <c r="BM1356" s="68"/>
      <c r="BN1356" s="68"/>
      <c r="BO1356" s="68"/>
      <c r="BP1356" s="68"/>
      <c r="BQ1356" s="68"/>
      <c r="BR1356" s="68"/>
      <c r="BS1356" s="68"/>
      <c r="BT1356" s="68"/>
      <c r="BU1356" s="68"/>
      <c r="BV1356" s="68"/>
      <c r="BW1356" s="68"/>
      <c r="BX1356" s="68"/>
      <c r="BY1356" s="68"/>
      <c r="BZ1356" s="68"/>
      <c r="CA1356" s="68"/>
      <c r="CB1356" s="68"/>
      <c r="CC1356" s="68"/>
      <c r="CD1356" s="68"/>
      <c r="CE1356" s="68"/>
      <c r="CF1356" s="68"/>
      <c r="CG1356" s="68"/>
      <c r="CH1356" s="68"/>
      <c r="CI1356" s="68"/>
      <c r="CJ1356" s="68"/>
      <c r="CK1356" s="68"/>
      <c r="CL1356" s="68"/>
      <c r="CM1356" s="68"/>
      <c r="CN1356" s="68"/>
      <c r="CO1356" s="68"/>
      <c r="CP1356" s="68"/>
      <c r="CQ1356" s="68"/>
      <c r="CR1356" s="68"/>
      <c r="CS1356" s="68"/>
      <c r="CT1356" s="68"/>
      <c r="CU1356" s="68"/>
      <c r="CV1356" s="68"/>
      <c r="CW1356" s="68"/>
      <c r="CX1356" s="68"/>
    </row>
    <row r="1357" spans="4:102" s="71" customFormat="1" hidden="1">
      <c r="D1357" s="69"/>
      <c r="E1357" s="68"/>
      <c r="F1357" s="68"/>
      <c r="G1357" s="68"/>
      <c r="H1357" s="68"/>
      <c r="I1357" s="68"/>
      <c r="J1357" s="68"/>
      <c r="K1357" s="73"/>
      <c r="L1357" s="68"/>
      <c r="M1357" s="68"/>
      <c r="N1357" s="68"/>
      <c r="O1357" s="68"/>
      <c r="P1357" s="65"/>
      <c r="Q1357" s="103"/>
      <c r="R1357" s="103"/>
      <c r="S1357" s="103"/>
      <c r="T1357" s="103"/>
      <c r="U1357" s="68"/>
      <c r="V1357" s="69"/>
      <c r="W1357" s="68"/>
      <c r="X1357" s="68"/>
      <c r="Y1357" s="68"/>
      <c r="Z1357" s="68"/>
      <c r="AA1357" s="68"/>
      <c r="AB1357" s="68"/>
      <c r="AC1357" s="68"/>
      <c r="AD1357" s="68"/>
      <c r="AE1357" s="68"/>
      <c r="AF1357" s="68"/>
      <c r="AG1357" s="68"/>
      <c r="AH1357" s="68"/>
      <c r="AI1357" s="68"/>
      <c r="AJ1357" s="68"/>
      <c r="AK1357" s="68"/>
      <c r="AL1357" s="68"/>
      <c r="AM1357" s="68"/>
      <c r="AN1357" s="68"/>
      <c r="AO1357" s="68"/>
      <c r="AP1357" s="68"/>
      <c r="AQ1357" s="68"/>
      <c r="AR1357" s="68"/>
      <c r="AS1357" s="68"/>
      <c r="AT1357" s="68"/>
      <c r="AU1357" s="68"/>
      <c r="AV1357" s="68"/>
      <c r="AW1357" s="68"/>
      <c r="AX1357" s="68"/>
      <c r="AY1357" s="68"/>
      <c r="AZ1357" s="68"/>
      <c r="BA1357" s="68"/>
      <c r="BB1357" s="68"/>
      <c r="BC1357" s="68"/>
      <c r="BD1357" s="68"/>
      <c r="BE1357" s="68"/>
      <c r="BF1357" s="68"/>
      <c r="BG1357" s="68"/>
      <c r="BH1357" s="68"/>
      <c r="BI1357" s="68"/>
      <c r="BJ1357" s="68"/>
      <c r="BK1357" s="68"/>
      <c r="BL1357" s="68"/>
      <c r="BM1357" s="68"/>
      <c r="BN1357" s="68"/>
      <c r="BO1357" s="68"/>
      <c r="BP1357" s="68"/>
      <c r="BQ1357" s="68"/>
      <c r="BR1357" s="68"/>
      <c r="BS1357" s="68"/>
      <c r="BT1357" s="68"/>
      <c r="BU1357" s="68"/>
      <c r="BV1357" s="68"/>
      <c r="BW1357" s="68"/>
      <c r="BX1357" s="68"/>
      <c r="BY1357" s="68"/>
      <c r="BZ1357" s="68"/>
      <c r="CA1357" s="68"/>
      <c r="CB1357" s="68"/>
      <c r="CC1357" s="68"/>
      <c r="CD1357" s="68"/>
      <c r="CE1357" s="68"/>
      <c r="CF1357" s="68"/>
      <c r="CG1357" s="68"/>
      <c r="CH1357" s="68"/>
      <c r="CI1357" s="68"/>
      <c r="CJ1357" s="68"/>
      <c r="CK1357" s="68"/>
      <c r="CL1357" s="68"/>
      <c r="CM1357" s="68"/>
      <c r="CN1357" s="68"/>
      <c r="CO1357" s="68"/>
      <c r="CP1357" s="68"/>
      <c r="CQ1357" s="68"/>
      <c r="CR1357" s="68"/>
      <c r="CS1357" s="68"/>
      <c r="CT1357" s="68"/>
      <c r="CU1357" s="68"/>
      <c r="CV1357" s="68"/>
      <c r="CW1357" s="68"/>
      <c r="CX1357" s="68"/>
    </row>
    <row r="1358" spans="4:102" s="71" customFormat="1" hidden="1">
      <c r="D1358" s="69"/>
      <c r="E1358" s="68"/>
      <c r="F1358" s="68"/>
      <c r="G1358" s="68"/>
      <c r="H1358" s="68"/>
      <c r="I1358" s="68"/>
      <c r="J1358" s="68"/>
      <c r="K1358" s="73"/>
      <c r="L1358" s="68"/>
      <c r="M1358" s="68"/>
      <c r="N1358" s="68"/>
      <c r="O1358" s="68"/>
      <c r="P1358" s="65"/>
      <c r="Q1358" s="103"/>
      <c r="R1358" s="103"/>
      <c r="S1358" s="103"/>
      <c r="T1358" s="103"/>
      <c r="U1358" s="68"/>
      <c r="V1358" s="69"/>
      <c r="W1358" s="68"/>
      <c r="X1358" s="68"/>
      <c r="Y1358" s="68"/>
      <c r="Z1358" s="68"/>
      <c r="AA1358" s="68"/>
      <c r="AB1358" s="68"/>
      <c r="AC1358" s="68"/>
      <c r="AD1358" s="68"/>
      <c r="AE1358" s="68"/>
      <c r="AF1358" s="68"/>
      <c r="AG1358" s="68"/>
      <c r="AH1358" s="68"/>
      <c r="AI1358" s="68"/>
      <c r="AJ1358" s="68"/>
      <c r="AK1358" s="68"/>
      <c r="AL1358" s="68"/>
      <c r="AM1358" s="68"/>
      <c r="AN1358" s="68"/>
      <c r="AO1358" s="68"/>
      <c r="AP1358" s="68"/>
      <c r="AQ1358" s="68"/>
      <c r="AR1358" s="68"/>
      <c r="AS1358" s="68"/>
      <c r="AT1358" s="68"/>
      <c r="AU1358" s="68"/>
      <c r="AV1358" s="68"/>
      <c r="AW1358" s="68"/>
      <c r="AX1358" s="68"/>
      <c r="AY1358" s="68"/>
      <c r="AZ1358" s="68"/>
      <c r="BA1358" s="68"/>
      <c r="BB1358" s="68"/>
      <c r="BC1358" s="68"/>
      <c r="BD1358" s="68"/>
      <c r="BE1358" s="68"/>
      <c r="BF1358" s="68"/>
      <c r="BG1358" s="68"/>
      <c r="BH1358" s="68"/>
      <c r="BI1358" s="68"/>
      <c r="BJ1358" s="68"/>
      <c r="BK1358" s="68"/>
      <c r="BL1358" s="68"/>
      <c r="BM1358" s="68"/>
      <c r="BN1358" s="68"/>
      <c r="BO1358" s="68"/>
      <c r="BP1358" s="68"/>
      <c r="BQ1358" s="68"/>
      <c r="BR1358" s="68"/>
      <c r="BS1358" s="68"/>
      <c r="BT1358" s="68"/>
      <c r="BU1358" s="68"/>
      <c r="BV1358" s="68"/>
      <c r="BW1358" s="68"/>
      <c r="BX1358" s="68"/>
      <c r="BY1358" s="68"/>
      <c r="BZ1358" s="68"/>
      <c r="CA1358" s="68"/>
      <c r="CB1358" s="68"/>
      <c r="CC1358" s="68"/>
      <c r="CD1358" s="68"/>
      <c r="CE1358" s="68"/>
      <c r="CF1358" s="68"/>
      <c r="CG1358" s="68"/>
      <c r="CH1358" s="68"/>
      <c r="CI1358" s="68"/>
      <c r="CJ1358" s="68"/>
      <c r="CK1358" s="68"/>
      <c r="CL1358" s="68"/>
      <c r="CM1358" s="68"/>
      <c r="CN1358" s="68"/>
      <c r="CO1358" s="68"/>
      <c r="CP1358" s="68"/>
      <c r="CQ1358" s="68"/>
      <c r="CR1358" s="68"/>
      <c r="CS1358" s="68"/>
      <c r="CT1358" s="68"/>
      <c r="CU1358" s="68"/>
      <c r="CV1358" s="68"/>
      <c r="CW1358" s="68"/>
      <c r="CX1358" s="68"/>
    </row>
    <row r="1359" spans="4:102" s="71" customFormat="1" hidden="1">
      <c r="D1359" s="69"/>
      <c r="E1359" s="68"/>
      <c r="F1359" s="68"/>
      <c r="G1359" s="68"/>
      <c r="H1359" s="68"/>
      <c r="I1359" s="68"/>
      <c r="J1359" s="68"/>
      <c r="K1359" s="73"/>
      <c r="L1359" s="68"/>
      <c r="M1359" s="68"/>
      <c r="N1359" s="68"/>
      <c r="O1359" s="68"/>
      <c r="P1359" s="65"/>
      <c r="Q1359" s="103"/>
      <c r="R1359" s="103"/>
      <c r="S1359" s="103"/>
      <c r="T1359" s="103"/>
      <c r="U1359" s="68"/>
      <c r="V1359" s="69"/>
      <c r="W1359" s="68"/>
      <c r="X1359" s="68"/>
      <c r="Y1359" s="68"/>
      <c r="Z1359" s="68"/>
      <c r="AA1359" s="68"/>
      <c r="AB1359" s="68"/>
      <c r="AC1359" s="68"/>
      <c r="AD1359" s="68"/>
      <c r="AE1359" s="68"/>
      <c r="AF1359" s="68"/>
      <c r="AG1359" s="68"/>
      <c r="AH1359" s="68"/>
      <c r="AI1359" s="68"/>
      <c r="AJ1359" s="68"/>
      <c r="AK1359" s="68"/>
      <c r="AL1359" s="68"/>
      <c r="AM1359" s="68"/>
      <c r="AN1359" s="68"/>
      <c r="AO1359" s="68"/>
      <c r="AP1359" s="68"/>
      <c r="AQ1359" s="68"/>
      <c r="AR1359" s="68"/>
      <c r="AS1359" s="68"/>
      <c r="AT1359" s="68"/>
      <c r="AU1359" s="68"/>
      <c r="AV1359" s="68"/>
      <c r="AW1359" s="68"/>
      <c r="AX1359" s="68"/>
      <c r="AY1359" s="68"/>
      <c r="AZ1359" s="68"/>
      <c r="BA1359" s="68"/>
      <c r="BB1359" s="68"/>
      <c r="BC1359" s="68"/>
      <c r="BD1359" s="68"/>
      <c r="BE1359" s="68"/>
      <c r="BF1359" s="68"/>
      <c r="BG1359" s="68"/>
      <c r="BH1359" s="68"/>
      <c r="BI1359" s="68"/>
      <c r="BJ1359" s="68"/>
      <c r="BK1359" s="68"/>
      <c r="BL1359" s="68"/>
      <c r="BM1359" s="68"/>
      <c r="BN1359" s="68"/>
      <c r="BO1359" s="68"/>
      <c r="BP1359" s="68"/>
      <c r="BQ1359" s="68"/>
      <c r="BR1359" s="68"/>
      <c r="BS1359" s="68"/>
      <c r="BT1359" s="68"/>
      <c r="BU1359" s="68"/>
      <c r="BV1359" s="68"/>
      <c r="BW1359" s="68"/>
      <c r="BX1359" s="68"/>
      <c r="BY1359" s="68"/>
      <c r="BZ1359" s="68"/>
      <c r="CA1359" s="68"/>
      <c r="CB1359" s="68"/>
      <c r="CC1359" s="68"/>
      <c r="CD1359" s="68"/>
      <c r="CE1359" s="68"/>
      <c r="CF1359" s="68"/>
      <c r="CG1359" s="68"/>
      <c r="CH1359" s="68"/>
      <c r="CI1359" s="68"/>
      <c r="CJ1359" s="68"/>
      <c r="CK1359" s="68"/>
      <c r="CL1359" s="68"/>
      <c r="CM1359" s="68"/>
      <c r="CN1359" s="68"/>
      <c r="CO1359" s="68"/>
      <c r="CP1359" s="68"/>
      <c r="CQ1359" s="68"/>
      <c r="CR1359" s="68"/>
      <c r="CS1359" s="68"/>
      <c r="CT1359" s="68"/>
      <c r="CU1359" s="68"/>
      <c r="CV1359" s="68"/>
      <c r="CW1359" s="68"/>
      <c r="CX1359" s="68"/>
    </row>
    <row r="1360" spans="4:102" s="71" customFormat="1" hidden="1">
      <c r="D1360" s="69"/>
      <c r="E1360" s="68"/>
      <c r="F1360" s="68"/>
      <c r="G1360" s="68"/>
      <c r="H1360" s="68"/>
      <c r="I1360" s="68"/>
      <c r="J1360" s="68"/>
      <c r="K1360" s="73"/>
      <c r="L1360" s="68"/>
      <c r="M1360" s="68"/>
      <c r="N1360" s="68"/>
      <c r="O1360" s="68"/>
      <c r="P1360" s="65"/>
      <c r="Q1360" s="103"/>
      <c r="R1360" s="103"/>
      <c r="S1360" s="103"/>
      <c r="T1360" s="103"/>
      <c r="U1360" s="68"/>
      <c r="V1360" s="69"/>
      <c r="W1360" s="68"/>
      <c r="X1360" s="68"/>
      <c r="Y1360" s="68"/>
      <c r="Z1360" s="68"/>
      <c r="AA1360" s="68"/>
      <c r="AB1360" s="68"/>
      <c r="AC1360" s="68"/>
      <c r="AD1360" s="68"/>
      <c r="AE1360" s="68"/>
      <c r="AF1360" s="68"/>
      <c r="AG1360" s="68"/>
      <c r="AH1360" s="68"/>
      <c r="AI1360" s="68"/>
      <c r="AJ1360" s="68"/>
      <c r="AK1360" s="68"/>
      <c r="AL1360" s="68"/>
      <c r="AM1360" s="68"/>
      <c r="AN1360" s="68"/>
      <c r="AO1360" s="68"/>
      <c r="AP1360" s="68"/>
      <c r="AQ1360" s="68"/>
      <c r="AR1360" s="68"/>
      <c r="AS1360" s="68"/>
      <c r="AT1360" s="68"/>
      <c r="AU1360" s="68"/>
      <c r="AV1360" s="68"/>
      <c r="AW1360" s="68"/>
      <c r="AX1360" s="68"/>
      <c r="AY1360" s="68"/>
      <c r="AZ1360" s="68"/>
      <c r="BA1360" s="68"/>
      <c r="BB1360" s="68"/>
      <c r="BC1360" s="68"/>
      <c r="BD1360" s="68"/>
      <c r="BE1360" s="68"/>
      <c r="BF1360" s="68"/>
      <c r="BG1360" s="68"/>
      <c r="BH1360" s="68"/>
      <c r="BI1360" s="68"/>
      <c r="BJ1360" s="68"/>
      <c r="BK1360" s="68"/>
      <c r="BL1360" s="68"/>
      <c r="BM1360" s="68"/>
      <c r="BN1360" s="68"/>
      <c r="BO1360" s="68"/>
      <c r="BP1360" s="68"/>
      <c r="BQ1360" s="68"/>
      <c r="BR1360" s="68"/>
      <c r="BS1360" s="68"/>
      <c r="BT1360" s="68"/>
      <c r="BU1360" s="68"/>
      <c r="BV1360" s="68"/>
      <c r="BW1360" s="68"/>
      <c r="BX1360" s="68"/>
      <c r="BY1360" s="68"/>
      <c r="BZ1360" s="68"/>
      <c r="CA1360" s="68"/>
      <c r="CB1360" s="68"/>
      <c r="CC1360" s="68"/>
      <c r="CD1360" s="68"/>
      <c r="CE1360" s="68"/>
      <c r="CF1360" s="68"/>
      <c r="CG1360" s="68"/>
      <c r="CH1360" s="68"/>
      <c r="CI1360" s="68"/>
      <c r="CJ1360" s="68"/>
      <c r="CK1360" s="68"/>
      <c r="CL1360" s="68"/>
      <c r="CM1360" s="68"/>
      <c r="CN1360" s="68"/>
      <c r="CO1360" s="68"/>
      <c r="CP1360" s="68"/>
      <c r="CQ1360" s="68"/>
      <c r="CR1360" s="68"/>
      <c r="CS1360" s="68"/>
      <c r="CT1360" s="68"/>
      <c r="CU1360" s="68"/>
      <c r="CV1360" s="68"/>
      <c r="CW1360" s="68"/>
      <c r="CX1360" s="68"/>
    </row>
    <row r="1361" spans="4:102" s="71" customFormat="1" hidden="1">
      <c r="D1361" s="69"/>
      <c r="E1361" s="68"/>
      <c r="F1361" s="68"/>
      <c r="G1361" s="68"/>
      <c r="H1361" s="68"/>
      <c r="I1361" s="68"/>
      <c r="J1361" s="68"/>
      <c r="K1361" s="73"/>
      <c r="L1361" s="68"/>
      <c r="M1361" s="68"/>
      <c r="N1361" s="68"/>
      <c r="O1361" s="68"/>
      <c r="P1361" s="65"/>
      <c r="Q1361" s="103"/>
      <c r="R1361" s="103"/>
      <c r="S1361" s="103"/>
      <c r="T1361" s="103"/>
      <c r="U1361" s="68"/>
      <c r="V1361" s="69"/>
      <c r="W1361" s="68"/>
      <c r="X1361" s="68"/>
      <c r="Y1361" s="68"/>
      <c r="Z1361" s="68"/>
      <c r="AA1361" s="68"/>
      <c r="AB1361" s="68"/>
      <c r="AC1361" s="68"/>
      <c r="AD1361" s="68"/>
      <c r="AE1361" s="68"/>
      <c r="AF1361" s="68"/>
      <c r="AG1361" s="68"/>
      <c r="AH1361" s="68"/>
      <c r="AI1361" s="68"/>
      <c r="AJ1361" s="68"/>
      <c r="AK1361" s="68"/>
      <c r="AL1361" s="68"/>
      <c r="AM1361" s="68"/>
      <c r="AN1361" s="68"/>
      <c r="AO1361" s="68"/>
      <c r="AP1361" s="68"/>
      <c r="AQ1361" s="68"/>
      <c r="AR1361" s="68"/>
      <c r="AS1361" s="68"/>
      <c r="AT1361" s="68"/>
      <c r="AU1361" s="68"/>
      <c r="AV1361" s="68"/>
      <c r="AW1361" s="68"/>
      <c r="AX1361" s="68"/>
      <c r="AY1361" s="68"/>
      <c r="AZ1361" s="68"/>
      <c r="BA1361" s="68"/>
      <c r="BB1361" s="68"/>
      <c r="BC1361" s="68"/>
      <c r="BD1361" s="68"/>
      <c r="BE1361" s="68"/>
      <c r="BF1361" s="68"/>
      <c r="BG1361" s="68"/>
      <c r="BH1361" s="68"/>
      <c r="BI1361" s="68"/>
      <c r="BJ1361" s="68"/>
      <c r="BK1361" s="68"/>
      <c r="BL1361" s="68"/>
      <c r="BM1361" s="68"/>
      <c r="BN1361" s="68"/>
      <c r="BO1361" s="68"/>
      <c r="BP1361" s="68"/>
      <c r="BQ1361" s="68"/>
      <c r="BR1361" s="68"/>
      <c r="BS1361" s="68"/>
      <c r="BT1361" s="68"/>
      <c r="BU1361" s="68"/>
      <c r="BV1361" s="68"/>
      <c r="BW1361" s="68"/>
      <c r="BX1361" s="68"/>
      <c r="BY1361" s="68"/>
      <c r="BZ1361" s="68"/>
      <c r="CA1361" s="68"/>
      <c r="CB1361" s="68"/>
      <c r="CC1361" s="68"/>
      <c r="CD1361" s="68"/>
      <c r="CE1361" s="68"/>
      <c r="CF1361" s="68"/>
      <c r="CG1361" s="68"/>
      <c r="CH1361" s="68"/>
      <c r="CI1361" s="68"/>
      <c r="CJ1361" s="68"/>
      <c r="CK1361" s="68"/>
      <c r="CL1361" s="68"/>
      <c r="CM1361" s="68"/>
      <c r="CN1361" s="68"/>
      <c r="CO1361" s="68"/>
      <c r="CP1361" s="68"/>
      <c r="CQ1361" s="68"/>
      <c r="CR1361" s="68"/>
      <c r="CS1361" s="68"/>
      <c r="CT1361" s="68"/>
      <c r="CU1361" s="68"/>
      <c r="CV1361" s="68"/>
      <c r="CW1361" s="68"/>
      <c r="CX1361" s="68"/>
    </row>
    <row r="1362" spans="4:102" s="71" customFormat="1" hidden="1">
      <c r="D1362" s="69"/>
      <c r="E1362" s="68"/>
      <c r="F1362" s="68"/>
      <c r="G1362" s="68"/>
      <c r="H1362" s="68"/>
      <c r="I1362" s="68"/>
      <c r="J1362" s="68"/>
      <c r="K1362" s="73"/>
      <c r="L1362" s="68"/>
      <c r="M1362" s="68"/>
      <c r="N1362" s="68"/>
      <c r="O1362" s="68"/>
      <c r="P1362" s="65"/>
      <c r="Q1362" s="103"/>
      <c r="R1362" s="103"/>
      <c r="S1362" s="103"/>
      <c r="T1362" s="103"/>
      <c r="U1362" s="68"/>
      <c r="V1362" s="69"/>
      <c r="W1362" s="68"/>
      <c r="X1362" s="68"/>
      <c r="Y1362" s="68"/>
      <c r="Z1362" s="68"/>
      <c r="AA1362" s="68"/>
      <c r="AB1362" s="68"/>
      <c r="AC1362" s="68"/>
      <c r="AD1362" s="68"/>
      <c r="AE1362" s="68"/>
      <c r="AF1362" s="68"/>
      <c r="AG1362" s="68"/>
      <c r="AH1362" s="68"/>
      <c r="AI1362" s="68"/>
      <c r="AJ1362" s="68"/>
      <c r="AK1362" s="68"/>
      <c r="AL1362" s="68"/>
      <c r="AM1362" s="68"/>
      <c r="AN1362" s="68"/>
      <c r="AO1362" s="68"/>
      <c r="AP1362" s="68"/>
      <c r="AQ1362" s="68"/>
      <c r="AR1362" s="68"/>
      <c r="AS1362" s="68"/>
      <c r="AT1362" s="68"/>
      <c r="AU1362" s="68"/>
      <c r="AV1362" s="68"/>
      <c r="AW1362" s="68"/>
      <c r="AX1362" s="68"/>
      <c r="AY1362" s="68"/>
      <c r="AZ1362" s="68"/>
      <c r="BA1362" s="68"/>
      <c r="BB1362" s="68"/>
      <c r="BC1362" s="68"/>
      <c r="BD1362" s="68"/>
      <c r="BE1362" s="68"/>
      <c r="BF1362" s="68"/>
      <c r="BG1362" s="68"/>
      <c r="BH1362" s="68"/>
      <c r="BI1362" s="68"/>
      <c r="BJ1362" s="68"/>
      <c r="BK1362" s="68"/>
      <c r="BL1362" s="68"/>
      <c r="BM1362" s="68"/>
      <c r="BN1362" s="68"/>
      <c r="BO1362" s="68"/>
      <c r="BP1362" s="68"/>
      <c r="BQ1362" s="68"/>
      <c r="BR1362" s="68"/>
      <c r="BS1362" s="68"/>
      <c r="BT1362" s="68"/>
      <c r="BU1362" s="68"/>
      <c r="BV1362" s="68"/>
      <c r="BW1362" s="68"/>
      <c r="BX1362" s="68"/>
      <c r="BY1362" s="68"/>
      <c r="BZ1362" s="68"/>
      <c r="CA1362" s="68"/>
      <c r="CB1362" s="68"/>
      <c r="CC1362" s="68"/>
      <c r="CD1362" s="68"/>
      <c r="CE1362" s="68"/>
      <c r="CF1362" s="68"/>
      <c r="CG1362" s="68"/>
      <c r="CH1362" s="68"/>
      <c r="CI1362" s="68"/>
      <c r="CJ1362" s="68"/>
      <c r="CK1362" s="68"/>
      <c r="CL1362" s="68"/>
      <c r="CM1362" s="68"/>
      <c r="CN1362" s="68"/>
      <c r="CO1362" s="68"/>
      <c r="CP1362" s="68"/>
      <c r="CQ1362" s="68"/>
      <c r="CR1362" s="68"/>
      <c r="CS1362" s="68"/>
      <c r="CT1362" s="68"/>
      <c r="CU1362" s="68"/>
      <c r="CV1362" s="68"/>
      <c r="CW1362" s="68"/>
      <c r="CX1362" s="68"/>
    </row>
    <row r="1363" spans="4:102" s="71" customFormat="1" hidden="1">
      <c r="D1363" s="69"/>
      <c r="E1363" s="68"/>
      <c r="F1363" s="68"/>
      <c r="G1363" s="68"/>
      <c r="H1363" s="68"/>
      <c r="I1363" s="68"/>
      <c r="J1363" s="68"/>
      <c r="K1363" s="73"/>
      <c r="L1363" s="68"/>
      <c r="M1363" s="68"/>
      <c r="N1363" s="68"/>
      <c r="O1363" s="68"/>
      <c r="P1363" s="65"/>
      <c r="Q1363" s="103"/>
      <c r="R1363" s="103"/>
      <c r="S1363" s="103"/>
      <c r="T1363" s="103"/>
      <c r="U1363" s="68"/>
      <c r="V1363" s="69"/>
      <c r="W1363" s="68"/>
      <c r="X1363" s="68"/>
      <c r="Y1363" s="68"/>
      <c r="Z1363" s="68"/>
      <c r="AA1363" s="68"/>
      <c r="AB1363" s="68"/>
      <c r="AC1363" s="68"/>
      <c r="AD1363" s="68"/>
      <c r="AE1363" s="68"/>
      <c r="AF1363" s="68"/>
      <c r="AG1363" s="68"/>
      <c r="AH1363" s="68"/>
      <c r="AI1363" s="68"/>
      <c r="AJ1363" s="68"/>
      <c r="AK1363" s="68"/>
      <c r="AL1363" s="68"/>
      <c r="AM1363" s="68"/>
      <c r="AN1363" s="68"/>
      <c r="AO1363" s="68"/>
      <c r="AP1363" s="68"/>
      <c r="AQ1363" s="68"/>
      <c r="AR1363" s="68"/>
      <c r="AS1363" s="68"/>
      <c r="AT1363" s="68"/>
      <c r="AU1363" s="68"/>
      <c r="AV1363" s="68"/>
      <c r="AW1363" s="68"/>
      <c r="AX1363" s="68"/>
      <c r="AY1363" s="68"/>
      <c r="AZ1363" s="68"/>
      <c r="BA1363" s="68"/>
      <c r="BB1363" s="68"/>
      <c r="BC1363" s="68"/>
      <c r="BD1363" s="68"/>
      <c r="BE1363" s="68"/>
      <c r="BF1363" s="68"/>
      <c r="BG1363" s="68"/>
      <c r="BH1363" s="68"/>
      <c r="BI1363" s="68"/>
      <c r="BJ1363" s="68"/>
      <c r="BK1363" s="68"/>
      <c r="BL1363" s="68"/>
      <c r="BM1363" s="68"/>
      <c r="BN1363" s="68"/>
      <c r="BO1363" s="68"/>
      <c r="BP1363" s="68"/>
      <c r="BQ1363" s="68"/>
      <c r="BR1363" s="68"/>
      <c r="BS1363" s="68"/>
      <c r="BT1363" s="68"/>
      <c r="BU1363" s="68"/>
      <c r="BV1363" s="68"/>
      <c r="BW1363" s="68"/>
      <c r="BX1363" s="68"/>
      <c r="BY1363" s="68"/>
      <c r="BZ1363" s="68"/>
      <c r="CA1363" s="68"/>
      <c r="CB1363" s="68"/>
      <c r="CC1363" s="68"/>
      <c r="CD1363" s="68"/>
      <c r="CE1363" s="68"/>
      <c r="CF1363" s="68"/>
      <c r="CG1363" s="68"/>
      <c r="CH1363" s="68"/>
      <c r="CI1363" s="68"/>
      <c r="CJ1363" s="68"/>
      <c r="CK1363" s="68"/>
      <c r="CL1363" s="68"/>
      <c r="CM1363" s="68"/>
      <c r="CN1363" s="68"/>
      <c r="CO1363" s="68"/>
      <c r="CP1363" s="68"/>
      <c r="CQ1363" s="68"/>
      <c r="CR1363" s="68"/>
      <c r="CS1363" s="68"/>
      <c r="CT1363" s="68"/>
      <c r="CU1363" s="68"/>
      <c r="CV1363" s="68"/>
      <c r="CW1363" s="68"/>
      <c r="CX1363" s="68"/>
    </row>
    <row r="1364" spans="4:102" s="71" customFormat="1" hidden="1">
      <c r="D1364" s="69"/>
      <c r="E1364" s="68"/>
      <c r="F1364" s="68"/>
      <c r="G1364" s="68"/>
      <c r="H1364" s="68"/>
      <c r="I1364" s="68"/>
      <c r="J1364" s="68"/>
      <c r="K1364" s="73"/>
      <c r="L1364" s="68"/>
      <c r="M1364" s="68"/>
      <c r="N1364" s="68"/>
      <c r="O1364" s="68"/>
      <c r="P1364" s="65"/>
      <c r="Q1364" s="103"/>
      <c r="R1364" s="103"/>
      <c r="S1364" s="103"/>
      <c r="T1364" s="103"/>
      <c r="U1364" s="68"/>
      <c r="V1364" s="69"/>
      <c r="W1364" s="68"/>
      <c r="X1364" s="68"/>
      <c r="Y1364" s="68"/>
      <c r="Z1364" s="68"/>
      <c r="AA1364" s="68"/>
      <c r="AB1364" s="68"/>
      <c r="AC1364" s="68"/>
      <c r="AD1364" s="68"/>
      <c r="AE1364" s="68"/>
      <c r="AF1364" s="68"/>
      <c r="AG1364" s="68"/>
      <c r="AH1364" s="68"/>
      <c r="AI1364" s="68"/>
      <c r="AJ1364" s="68"/>
      <c r="AK1364" s="68"/>
      <c r="AL1364" s="68"/>
      <c r="AM1364" s="68"/>
      <c r="AN1364" s="68"/>
      <c r="AO1364" s="68"/>
      <c r="AP1364" s="68"/>
      <c r="AQ1364" s="68"/>
      <c r="AR1364" s="68"/>
      <c r="AS1364" s="68"/>
      <c r="AT1364" s="68"/>
      <c r="AU1364" s="68"/>
      <c r="AV1364" s="68"/>
      <c r="AW1364" s="68"/>
      <c r="AX1364" s="68"/>
      <c r="AY1364" s="68"/>
      <c r="AZ1364" s="68"/>
      <c r="BA1364" s="68"/>
      <c r="BB1364" s="68"/>
      <c r="BC1364" s="68"/>
      <c r="BD1364" s="68"/>
      <c r="BE1364" s="68"/>
      <c r="BF1364" s="68"/>
      <c r="BG1364" s="68"/>
      <c r="BH1364" s="68"/>
      <c r="BI1364" s="68"/>
      <c r="BJ1364" s="68"/>
      <c r="BK1364" s="68"/>
      <c r="BL1364" s="68"/>
      <c r="BM1364" s="68"/>
      <c r="BN1364" s="68"/>
      <c r="BO1364" s="68"/>
      <c r="BP1364" s="68"/>
      <c r="BQ1364" s="68"/>
      <c r="BR1364" s="68"/>
      <c r="BS1364" s="68"/>
      <c r="BT1364" s="68"/>
      <c r="BU1364" s="68"/>
      <c r="BV1364" s="68"/>
      <c r="BW1364" s="68"/>
      <c r="BX1364" s="68"/>
      <c r="BY1364" s="68"/>
      <c r="BZ1364" s="68"/>
      <c r="CA1364" s="68"/>
      <c r="CB1364" s="68"/>
      <c r="CC1364" s="68"/>
      <c r="CD1364" s="68"/>
      <c r="CE1364" s="68"/>
      <c r="CF1364" s="68"/>
      <c r="CG1364" s="68"/>
      <c r="CH1364" s="68"/>
      <c r="CI1364" s="68"/>
      <c r="CJ1364" s="68"/>
      <c r="CK1364" s="68"/>
      <c r="CL1364" s="68"/>
      <c r="CM1364" s="68"/>
      <c r="CN1364" s="68"/>
      <c r="CO1364" s="68"/>
      <c r="CP1364" s="68"/>
      <c r="CQ1364" s="68"/>
      <c r="CR1364" s="68"/>
      <c r="CS1364" s="68"/>
      <c r="CT1364" s="68"/>
      <c r="CU1364" s="68"/>
      <c r="CV1364" s="68"/>
      <c r="CW1364" s="68"/>
      <c r="CX1364" s="68"/>
    </row>
    <row r="1365" spans="4:102" s="71" customFormat="1" hidden="1">
      <c r="D1365" s="69"/>
      <c r="E1365" s="68"/>
      <c r="F1365" s="68"/>
      <c r="G1365" s="68"/>
      <c r="H1365" s="68"/>
      <c r="I1365" s="68"/>
      <c r="J1365" s="68"/>
      <c r="K1365" s="73"/>
      <c r="L1365" s="68"/>
      <c r="M1365" s="68"/>
      <c r="N1365" s="68"/>
      <c r="O1365" s="68"/>
      <c r="P1365" s="65"/>
      <c r="Q1365" s="103"/>
      <c r="R1365" s="103"/>
      <c r="S1365" s="103"/>
      <c r="T1365" s="103"/>
      <c r="U1365" s="68"/>
      <c r="V1365" s="69"/>
      <c r="W1365" s="68"/>
      <c r="X1365" s="68"/>
      <c r="Y1365" s="68"/>
      <c r="Z1365" s="68"/>
      <c r="AA1365" s="68"/>
      <c r="AB1365" s="68"/>
      <c r="AC1365" s="68"/>
      <c r="AD1365" s="68"/>
      <c r="AE1365" s="68"/>
      <c r="AF1365" s="68"/>
      <c r="AG1365" s="68"/>
      <c r="AH1365" s="68"/>
      <c r="AI1365" s="68"/>
      <c r="AJ1365" s="68"/>
      <c r="AK1365" s="68"/>
      <c r="AL1365" s="68"/>
      <c r="AM1365" s="68"/>
      <c r="AN1365" s="68"/>
      <c r="AO1365" s="68"/>
      <c r="AP1365" s="68"/>
      <c r="AQ1365" s="68"/>
      <c r="AR1365" s="68"/>
      <c r="AS1365" s="68"/>
      <c r="AT1365" s="68"/>
      <c r="AU1365" s="68"/>
      <c r="AV1365" s="68"/>
      <c r="AW1365" s="68"/>
      <c r="AX1365" s="68"/>
      <c r="AY1365" s="68"/>
      <c r="AZ1365" s="68"/>
      <c r="BA1365" s="68"/>
      <c r="BB1365" s="68"/>
      <c r="BC1365" s="68"/>
      <c r="BD1365" s="68"/>
      <c r="BE1365" s="68"/>
      <c r="BF1365" s="68"/>
      <c r="BG1365" s="68"/>
      <c r="BH1365" s="68"/>
      <c r="BI1365" s="68"/>
      <c r="BJ1365" s="68"/>
      <c r="BK1365" s="68"/>
      <c r="BL1365" s="68"/>
      <c r="BM1365" s="68"/>
      <c r="BN1365" s="68"/>
      <c r="BO1365" s="68"/>
      <c r="BP1365" s="68"/>
      <c r="BQ1365" s="68"/>
      <c r="BR1365" s="68"/>
      <c r="BS1365" s="68"/>
      <c r="BT1365" s="68"/>
      <c r="BU1365" s="68"/>
      <c r="BV1365" s="68"/>
      <c r="BW1365" s="68"/>
      <c r="BX1365" s="68"/>
      <c r="BY1365" s="68"/>
      <c r="BZ1365" s="68"/>
      <c r="CA1365" s="68"/>
      <c r="CB1365" s="68"/>
      <c r="CC1365" s="68"/>
      <c r="CD1365" s="68"/>
      <c r="CE1365" s="68"/>
      <c r="CF1365" s="68"/>
      <c r="CG1365" s="68"/>
      <c r="CH1365" s="68"/>
      <c r="CI1365" s="68"/>
      <c r="CJ1365" s="68"/>
      <c r="CK1365" s="68"/>
      <c r="CL1365" s="68"/>
      <c r="CM1365" s="68"/>
      <c r="CN1365" s="68"/>
      <c r="CO1365" s="68"/>
      <c r="CP1365" s="68"/>
      <c r="CQ1365" s="68"/>
      <c r="CR1365" s="68"/>
      <c r="CS1365" s="68"/>
      <c r="CT1365" s="68"/>
      <c r="CU1365" s="68"/>
      <c r="CV1365" s="68"/>
      <c r="CW1365" s="68"/>
      <c r="CX1365" s="68"/>
    </row>
    <row r="1366" spans="4:102" s="71" customFormat="1" hidden="1">
      <c r="D1366" s="69"/>
      <c r="E1366" s="68"/>
      <c r="F1366" s="68"/>
      <c r="G1366" s="68"/>
      <c r="H1366" s="68"/>
      <c r="I1366" s="68"/>
      <c r="J1366" s="68"/>
      <c r="K1366" s="73"/>
      <c r="L1366" s="68"/>
      <c r="M1366" s="68"/>
      <c r="N1366" s="68"/>
      <c r="O1366" s="68"/>
      <c r="P1366" s="65"/>
      <c r="Q1366" s="103"/>
      <c r="R1366" s="103"/>
      <c r="S1366" s="103"/>
      <c r="T1366" s="103"/>
      <c r="U1366" s="68"/>
      <c r="V1366" s="69"/>
      <c r="W1366" s="68"/>
      <c r="X1366" s="68"/>
      <c r="Y1366" s="68"/>
      <c r="Z1366" s="68"/>
      <c r="AA1366" s="68"/>
      <c r="AB1366" s="68"/>
      <c r="AC1366" s="68"/>
      <c r="AD1366" s="68"/>
      <c r="AE1366" s="68"/>
      <c r="AF1366" s="68"/>
      <c r="AG1366" s="68"/>
      <c r="AH1366" s="68"/>
      <c r="AI1366" s="68"/>
      <c r="AJ1366" s="68"/>
      <c r="AK1366" s="68"/>
      <c r="AL1366" s="68"/>
      <c r="AM1366" s="68"/>
      <c r="AN1366" s="68"/>
      <c r="AO1366" s="68"/>
      <c r="AP1366" s="68"/>
      <c r="AQ1366" s="68"/>
      <c r="AR1366" s="68"/>
      <c r="AS1366" s="68"/>
      <c r="AT1366" s="68"/>
      <c r="AU1366" s="68"/>
      <c r="AV1366" s="68"/>
      <c r="AW1366" s="68"/>
      <c r="AX1366" s="68"/>
      <c r="AY1366" s="68"/>
      <c r="AZ1366" s="68"/>
      <c r="BA1366" s="68"/>
      <c r="BB1366" s="68"/>
      <c r="BC1366" s="68"/>
      <c r="BD1366" s="68"/>
      <c r="BE1366" s="68"/>
      <c r="BF1366" s="68"/>
      <c r="BG1366" s="68"/>
      <c r="BH1366" s="68"/>
      <c r="BI1366" s="68"/>
      <c r="BJ1366" s="68"/>
      <c r="BK1366" s="68"/>
      <c r="BL1366" s="68"/>
      <c r="BM1366" s="68"/>
      <c r="BN1366" s="68"/>
      <c r="BO1366" s="68"/>
      <c r="BP1366" s="68"/>
      <c r="BQ1366" s="68"/>
      <c r="BR1366" s="68"/>
      <c r="BS1366" s="68"/>
      <c r="BT1366" s="68"/>
      <c r="BU1366" s="68"/>
      <c r="BV1366" s="68"/>
      <c r="BW1366" s="68"/>
      <c r="BX1366" s="68"/>
      <c r="BY1366" s="68"/>
      <c r="BZ1366" s="68"/>
      <c r="CA1366" s="68"/>
      <c r="CB1366" s="68"/>
      <c r="CC1366" s="68"/>
      <c r="CD1366" s="68"/>
      <c r="CE1366" s="68"/>
      <c r="CF1366" s="68"/>
      <c r="CG1366" s="68"/>
      <c r="CH1366" s="68"/>
      <c r="CI1366" s="68"/>
      <c r="CJ1366" s="68"/>
      <c r="CK1366" s="68"/>
      <c r="CL1366" s="68"/>
      <c r="CM1366" s="68"/>
      <c r="CN1366" s="68"/>
      <c r="CO1366" s="68"/>
      <c r="CP1366" s="68"/>
      <c r="CQ1366" s="68"/>
      <c r="CR1366" s="68"/>
      <c r="CS1366" s="68"/>
      <c r="CT1366" s="68"/>
      <c r="CU1366" s="68"/>
      <c r="CV1366" s="68"/>
      <c r="CW1366" s="68"/>
      <c r="CX1366" s="68"/>
    </row>
    <row r="1367" spans="4:102" s="71" customFormat="1" hidden="1">
      <c r="D1367" s="69"/>
      <c r="E1367" s="68"/>
      <c r="F1367" s="68"/>
      <c r="G1367" s="68"/>
      <c r="H1367" s="68"/>
      <c r="I1367" s="68"/>
      <c r="J1367" s="68"/>
      <c r="K1367" s="73"/>
      <c r="L1367" s="68"/>
      <c r="M1367" s="68"/>
      <c r="N1367" s="68"/>
      <c r="O1367" s="68"/>
      <c r="P1367" s="65"/>
      <c r="Q1367" s="103"/>
      <c r="R1367" s="103"/>
      <c r="S1367" s="103"/>
      <c r="T1367" s="103"/>
      <c r="U1367" s="68"/>
      <c r="V1367" s="69"/>
      <c r="W1367" s="68"/>
      <c r="X1367" s="68"/>
      <c r="Y1367" s="68"/>
      <c r="Z1367" s="68"/>
      <c r="AA1367" s="68"/>
      <c r="AB1367" s="68"/>
      <c r="AC1367" s="68"/>
      <c r="AD1367" s="68"/>
      <c r="AE1367" s="68"/>
      <c r="AF1367" s="68"/>
      <c r="AG1367" s="68"/>
      <c r="AH1367" s="68"/>
      <c r="AI1367" s="68"/>
      <c r="AJ1367" s="68"/>
      <c r="AK1367" s="68"/>
      <c r="AL1367" s="68"/>
      <c r="AM1367" s="68"/>
      <c r="AN1367" s="68"/>
      <c r="AO1367" s="68"/>
      <c r="AP1367" s="68"/>
      <c r="AQ1367" s="68"/>
      <c r="AR1367" s="68"/>
      <c r="AS1367" s="68"/>
      <c r="AT1367" s="68"/>
      <c r="AU1367" s="68"/>
      <c r="AV1367" s="68"/>
      <c r="AW1367" s="68"/>
      <c r="AX1367" s="68"/>
      <c r="AY1367" s="68"/>
      <c r="AZ1367" s="68"/>
      <c r="BA1367" s="68"/>
      <c r="BB1367" s="68"/>
      <c r="BC1367" s="68"/>
      <c r="BD1367" s="68"/>
      <c r="BE1367" s="68"/>
      <c r="BF1367" s="68"/>
      <c r="BG1367" s="68"/>
      <c r="BH1367" s="68"/>
      <c r="BI1367" s="68"/>
      <c r="BJ1367" s="68"/>
      <c r="BK1367" s="68"/>
      <c r="BL1367" s="68"/>
      <c r="BM1367" s="68"/>
      <c r="BN1367" s="68"/>
      <c r="BO1367" s="68"/>
      <c r="BP1367" s="68"/>
      <c r="BQ1367" s="68"/>
      <c r="BR1367" s="68"/>
      <c r="BS1367" s="68"/>
      <c r="BT1367" s="68"/>
      <c r="BU1367" s="68"/>
      <c r="BV1367" s="68"/>
      <c r="BW1367" s="68"/>
      <c r="BX1367" s="68"/>
      <c r="BY1367" s="68"/>
      <c r="BZ1367" s="68"/>
      <c r="CA1367" s="68"/>
      <c r="CB1367" s="68"/>
      <c r="CC1367" s="68"/>
      <c r="CD1367" s="68"/>
      <c r="CE1367" s="68"/>
      <c r="CF1367" s="68"/>
      <c r="CG1367" s="68"/>
      <c r="CH1367" s="68"/>
      <c r="CI1367" s="68"/>
      <c r="CJ1367" s="68"/>
      <c r="CK1367" s="68"/>
      <c r="CL1367" s="68"/>
      <c r="CM1367" s="68"/>
      <c r="CN1367" s="68"/>
      <c r="CO1367" s="68"/>
      <c r="CP1367" s="68"/>
      <c r="CQ1367" s="68"/>
      <c r="CR1367" s="68"/>
      <c r="CS1367" s="68"/>
      <c r="CT1367" s="68"/>
      <c r="CU1367" s="68"/>
      <c r="CV1367" s="68"/>
      <c r="CW1367" s="68"/>
      <c r="CX1367" s="68"/>
    </row>
    <row r="1368" spans="4:102" s="71" customFormat="1" hidden="1">
      <c r="D1368" s="69"/>
      <c r="E1368" s="68"/>
      <c r="F1368" s="68"/>
      <c r="G1368" s="68"/>
      <c r="H1368" s="68"/>
      <c r="I1368" s="68"/>
      <c r="J1368" s="68"/>
      <c r="K1368" s="73"/>
      <c r="L1368" s="68"/>
      <c r="M1368" s="68"/>
      <c r="N1368" s="68"/>
      <c r="O1368" s="68"/>
      <c r="P1368" s="65"/>
      <c r="Q1368" s="103"/>
      <c r="R1368" s="103"/>
      <c r="S1368" s="103"/>
      <c r="T1368" s="103"/>
      <c r="U1368" s="68"/>
      <c r="V1368" s="69"/>
      <c r="W1368" s="68"/>
      <c r="X1368" s="68"/>
      <c r="Y1368" s="68"/>
      <c r="Z1368" s="68"/>
      <c r="AA1368" s="68"/>
      <c r="AB1368" s="68"/>
      <c r="AC1368" s="68"/>
      <c r="AD1368" s="68"/>
      <c r="AE1368" s="68"/>
      <c r="AF1368" s="68"/>
      <c r="AG1368" s="68"/>
      <c r="AH1368" s="68"/>
      <c r="AI1368" s="68"/>
      <c r="AJ1368" s="68"/>
      <c r="AK1368" s="68"/>
      <c r="AL1368" s="68"/>
      <c r="AM1368" s="68"/>
      <c r="AN1368" s="68"/>
      <c r="AO1368" s="68"/>
      <c r="AP1368" s="68"/>
      <c r="AQ1368" s="68"/>
      <c r="AR1368" s="68"/>
      <c r="AS1368" s="68"/>
      <c r="AT1368" s="68"/>
      <c r="AU1368" s="68"/>
      <c r="AV1368" s="68"/>
      <c r="AW1368" s="68"/>
      <c r="AX1368" s="68"/>
      <c r="AY1368" s="68"/>
      <c r="AZ1368" s="68"/>
      <c r="BA1368" s="68"/>
      <c r="BB1368" s="68"/>
      <c r="BC1368" s="68"/>
      <c r="BD1368" s="68"/>
      <c r="BE1368" s="68"/>
      <c r="BF1368" s="68"/>
      <c r="BG1368" s="68"/>
      <c r="BH1368" s="68"/>
      <c r="BI1368" s="68"/>
      <c r="BJ1368" s="68"/>
      <c r="BK1368" s="68"/>
      <c r="BL1368" s="68"/>
      <c r="BM1368" s="68"/>
      <c r="BN1368" s="68"/>
      <c r="BO1368" s="68"/>
      <c r="BP1368" s="68"/>
      <c r="BQ1368" s="68"/>
      <c r="BR1368" s="68"/>
      <c r="BS1368" s="68"/>
      <c r="BT1368" s="68"/>
      <c r="BU1368" s="68"/>
      <c r="BV1368" s="68"/>
      <c r="BW1368" s="68"/>
      <c r="BX1368" s="68"/>
      <c r="BY1368" s="68"/>
      <c r="BZ1368" s="68"/>
      <c r="CA1368" s="68"/>
      <c r="CB1368" s="68"/>
      <c r="CC1368" s="68"/>
      <c r="CD1368" s="68"/>
      <c r="CE1368" s="68"/>
      <c r="CF1368" s="68"/>
      <c r="CG1368" s="68"/>
      <c r="CH1368" s="68"/>
      <c r="CI1368" s="68"/>
      <c r="CJ1368" s="68"/>
      <c r="CK1368" s="68"/>
      <c r="CL1368" s="68"/>
      <c r="CM1368" s="68"/>
      <c r="CN1368" s="68"/>
      <c r="CO1368" s="68"/>
      <c r="CP1368" s="68"/>
      <c r="CQ1368" s="68"/>
      <c r="CR1368" s="68"/>
      <c r="CS1368" s="68"/>
      <c r="CT1368" s="68"/>
      <c r="CU1368" s="68"/>
      <c r="CV1368" s="68"/>
      <c r="CW1368" s="68"/>
      <c r="CX1368" s="68"/>
    </row>
    <row r="1369" spans="4:102" s="71" customFormat="1" hidden="1">
      <c r="D1369" s="69"/>
      <c r="E1369" s="68"/>
      <c r="F1369" s="68"/>
      <c r="G1369" s="68"/>
      <c r="H1369" s="68"/>
      <c r="I1369" s="68"/>
      <c r="J1369" s="68"/>
      <c r="K1369" s="73"/>
      <c r="L1369" s="68"/>
      <c r="M1369" s="68"/>
      <c r="N1369" s="68"/>
      <c r="O1369" s="68"/>
      <c r="P1369" s="65"/>
      <c r="Q1369" s="103"/>
      <c r="R1369" s="103"/>
      <c r="S1369" s="103"/>
      <c r="T1369" s="103"/>
      <c r="U1369" s="68"/>
      <c r="V1369" s="69"/>
      <c r="W1369" s="68"/>
      <c r="X1369" s="68"/>
      <c r="Y1369" s="68"/>
      <c r="Z1369" s="68"/>
      <c r="AA1369" s="68"/>
      <c r="AB1369" s="68"/>
      <c r="AC1369" s="68"/>
      <c r="AD1369" s="68"/>
      <c r="AE1369" s="68"/>
      <c r="AF1369" s="68"/>
      <c r="AG1369" s="68"/>
      <c r="AH1369" s="68"/>
      <c r="AI1369" s="68"/>
      <c r="AJ1369" s="68"/>
      <c r="AK1369" s="68"/>
      <c r="AL1369" s="68"/>
      <c r="AM1369" s="68"/>
      <c r="AN1369" s="68"/>
      <c r="AO1369" s="68"/>
      <c r="AP1369" s="68"/>
      <c r="AQ1369" s="68"/>
      <c r="AR1369" s="68"/>
      <c r="AS1369" s="68"/>
      <c r="AT1369" s="68"/>
      <c r="AU1369" s="68"/>
      <c r="AV1369" s="68"/>
      <c r="AW1369" s="68"/>
      <c r="AX1369" s="68"/>
      <c r="AY1369" s="68"/>
      <c r="AZ1369" s="68"/>
      <c r="BA1369" s="68"/>
      <c r="BB1369" s="68"/>
      <c r="BC1369" s="68"/>
      <c r="BD1369" s="68"/>
      <c r="BE1369" s="68"/>
      <c r="BF1369" s="68"/>
      <c r="BG1369" s="68"/>
      <c r="BH1369" s="68"/>
      <c r="BI1369" s="68"/>
      <c r="BJ1369" s="68"/>
      <c r="BK1369" s="68"/>
      <c r="BL1369" s="68"/>
      <c r="BM1369" s="68"/>
      <c r="BN1369" s="68"/>
      <c r="BO1369" s="68"/>
      <c r="BP1369" s="68"/>
      <c r="BQ1369" s="68"/>
      <c r="BR1369" s="68"/>
      <c r="BS1369" s="68"/>
      <c r="BT1369" s="68"/>
      <c r="BU1369" s="68"/>
      <c r="BV1369" s="68"/>
      <c r="BW1369" s="68"/>
      <c r="BX1369" s="68"/>
      <c r="BY1369" s="68"/>
      <c r="BZ1369" s="68"/>
      <c r="CA1369" s="68"/>
      <c r="CB1369" s="68"/>
      <c r="CC1369" s="68"/>
      <c r="CD1369" s="68"/>
      <c r="CE1369" s="68"/>
      <c r="CF1369" s="68"/>
      <c r="CG1369" s="68"/>
      <c r="CH1369" s="68"/>
      <c r="CI1369" s="68"/>
      <c r="CJ1369" s="68"/>
      <c r="CK1369" s="68"/>
      <c r="CL1369" s="68"/>
      <c r="CM1369" s="68"/>
      <c r="CN1369" s="68"/>
      <c r="CO1369" s="68"/>
      <c r="CP1369" s="68"/>
      <c r="CQ1369" s="68"/>
      <c r="CR1369" s="68"/>
      <c r="CS1369" s="68"/>
      <c r="CT1369" s="68"/>
      <c r="CU1369" s="68"/>
      <c r="CV1369" s="68"/>
      <c r="CW1369" s="68"/>
      <c r="CX1369" s="68"/>
    </row>
    <row r="1370" spans="4:102" s="71" customFormat="1" hidden="1">
      <c r="D1370" s="69"/>
      <c r="E1370" s="68"/>
      <c r="F1370" s="68"/>
      <c r="G1370" s="68"/>
      <c r="H1370" s="68"/>
      <c r="I1370" s="68"/>
      <c r="J1370" s="68"/>
      <c r="K1370" s="73"/>
      <c r="L1370" s="68"/>
      <c r="M1370" s="68"/>
      <c r="N1370" s="68"/>
      <c r="O1370" s="68"/>
      <c r="P1370" s="65"/>
      <c r="Q1370" s="103"/>
      <c r="R1370" s="103"/>
      <c r="S1370" s="103"/>
      <c r="T1370" s="103"/>
      <c r="U1370" s="68"/>
      <c r="V1370" s="69"/>
      <c r="W1370" s="68"/>
      <c r="X1370" s="68"/>
      <c r="Y1370" s="68"/>
      <c r="Z1370" s="68"/>
      <c r="AA1370" s="68"/>
      <c r="AB1370" s="68"/>
      <c r="AC1370" s="68"/>
      <c r="AD1370" s="68"/>
      <c r="AE1370" s="68"/>
      <c r="AF1370" s="68"/>
      <c r="AG1370" s="68"/>
      <c r="AH1370" s="68"/>
      <c r="AI1370" s="68"/>
      <c r="AJ1370" s="68"/>
      <c r="AK1370" s="68"/>
      <c r="AL1370" s="68"/>
      <c r="AM1370" s="68"/>
      <c r="AN1370" s="68"/>
      <c r="AO1370" s="68"/>
      <c r="AP1370" s="68"/>
      <c r="AQ1370" s="68"/>
      <c r="AR1370" s="68"/>
      <c r="AS1370" s="68"/>
      <c r="AT1370" s="68"/>
      <c r="AU1370" s="68"/>
      <c r="AV1370" s="68"/>
      <c r="AW1370" s="68"/>
      <c r="AX1370" s="68"/>
      <c r="AY1370" s="68"/>
      <c r="AZ1370" s="68"/>
      <c r="BA1370" s="68"/>
      <c r="BB1370" s="68"/>
      <c r="BC1370" s="68"/>
      <c r="BD1370" s="68"/>
      <c r="BE1370" s="68"/>
      <c r="BF1370" s="68"/>
      <c r="BG1370" s="68"/>
      <c r="BH1370" s="68"/>
      <c r="BI1370" s="68"/>
      <c r="BJ1370" s="68"/>
      <c r="BK1370" s="68"/>
      <c r="BL1370" s="68"/>
      <c r="BM1370" s="68"/>
      <c r="BN1370" s="68"/>
      <c r="BO1370" s="68"/>
      <c r="BP1370" s="68"/>
      <c r="BQ1370" s="68"/>
      <c r="BR1370" s="68"/>
      <c r="BS1370" s="68"/>
      <c r="BT1370" s="68"/>
      <c r="BU1370" s="68"/>
      <c r="BV1370" s="68"/>
      <c r="BW1370" s="68"/>
      <c r="BX1370" s="68"/>
      <c r="BY1370" s="68"/>
      <c r="BZ1370" s="68"/>
      <c r="CA1370" s="68"/>
      <c r="CB1370" s="68"/>
      <c r="CC1370" s="68"/>
      <c r="CD1370" s="68"/>
      <c r="CE1370" s="68"/>
      <c r="CF1370" s="68"/>
      <c r="CG1370" s="68"/>
      <c r="CH1370" s="68"/>
      <c r="CI1370" s="68"/>
      <c r="CJ1370" s="68"/>
      <c r="CK1370" s="68"/>
      <c r="CL1370" s="68"/>
      <c r="CM1370" s="68"/>
      <c r="CN1370" s="68"/>
      <c r="CO1370" s="68"/>
      <c r="CP1370" s="68"/>
      <c r="CQ1370" s="68"/>
      <c r="CR1370" s="68"/>
      <c r="CS1370" s="68"/>
      <c r="CT1370" s="68"/>
      <c r="CU1370" s="68"/>
      <c r="CV1370" s="68"/>
      <c r="CW1370" s="68"/>
      <c r="CX1370" s="68"/>
    </row>
    <row r="1371" spans="4:102" s="71" customFormat="1" hidden="1">
      <c r="D1371" s="69"/>
      <c r="E1371" s="68"/>
      <c r="F1371" s="68"/>
      <c r="G1371" s="68"/>
      <c r="H1371" s="68"/>
      <c r="I1371" s="68"/>
      <c r="J1371" s="68"/>
      <c r="K1371" s="73"/>
      <c r="L1371" s="68"/>
      <c r="M1371" s="68"/>
      <c r="N1371" s="68"/>
      <c r="O1371" s="68"/>
      <c r="P1371" s="65"/>
      <c r="Q1371" s="103"/>
      <c r="R1371" s="103"/>
      <c r="S1371" s="103"/>
      <c r="T1371" s="103"/>
      <c r="U1371" s="68"/>
      <c r="V1371" s="69"/>
      <c r="W1371" s="68"/>
      <c r="X1371" s="68"/>
      <c r="Y1371" s="68"/>
      <c r="Z1371" s="68"/>
      <c r="AA1371" s="68"/>
      <c r="AB1371" s="68"/>
      <c r="AC1371" s="68"/>
      <c r="AD1371" s="68"/>
      <c r="AE1371" s="68"/>
      <c r="AF1371" s="68"/>
      <c r="AG1371" s="68"/>
      <c r="AH1371" s="68"/>
      <c r="AI1371" s="68"/>
      <c r="AJ1371" s="68"/>
      <c r="AK1371" s="68"/>
      <c r="AL1371" s="68"/>
      <c r="AM1371" s="68"/>
      <c r="AN1371" s="68"/>
      <c r="AO1371" s="68"/>
      <c r="AP1371" s="68"/>
      <c r="AQ1371" s="68"/>
      <c r="AR1371" s="68"/>
      <c r="AS1371" s="68"/>
      <c r="AT1371" s="68"/>
      <c r="AU1371" s="68"/>
      <c r="AV1371" s="68"/>
      <c r="AW1371" s="68"/>
      <c r="AX1371" s="68"/>
      <c r="AY1371" s="68"/>
      <c r="AZ1371" s="68"/>
      <c r="BA1371" s="68"/>
      <c r="BB1371" s="68"/>
      <c r="BC1371" s="68"/>
      <c r="BD1371" s="68"/>
      <c r="BE1371" s="68"/>
      <c r="BF1371" s="68"/>
      <c r="BG1371" s="68"/>
      <c r="BH1371" s="68"/>
      <c r="BI1371" s="68"/>
      <c r="BJ1371" s="68"/>
      <c r="BK1371" s="68"/>
      <c r="BL1371" s="68"/>
      <c r="BM1371" s="68"/>
      <c r="BN1371" s="68"/>
      <c r="BO1371" s="68"/>
      <c r="BP1371" s="68"/>
      <c r="BQ1371" s="68"/>
      <c r="BR1371" s="68"/>
      <c r="BS1371" s="68"/>
      <c r="BT1371" s="68"/>
      <c r="BU1371" s="68"/>
      <c r="BV1371" s="68"/>
      <c r="BW1371" s="68"/>
      <c r="BX1371" s="68"/>
      <c r="BY1371" s="68"/>
      <c r="BZ1371" s="68"/>
      <c r="CA1371" s="68"/>
      <c r="CB1371" s="68"/>
      <c r="CC1371" s="68"/>
      <c r="CD1371" s="68"/>
      <c r="CE1371" s="68"/>
      <c r="CF1371" s="68"/>
      <c r="CG1371" s="68"/>
      <c r="CH1371" s="68"/>
      <c r="CI1371" s="68"/>
      <c r="CJ1371" s="68"/>
      <c r="CK1371" s="68"/>
      <c r="CL1371" s="68"/>
      <c r="CM1371" s="68"/>
      <c r="CN1371" s="68"/>
      <c r="CO1371" s="68"/>
      <c r="CP1371" s="68"/>
      <c r="CQ1371" s="68"/>
      <c r="CR1371" s="68"/>
      <c r="CS1371" s="68"/>
      <c r="CT1371" s="68"/>
      <c r="CU1371" s="68"/>
      <c r="CV1371" s="68"/>
      <c r="CW1371" s="68"/>
      <c r="CX1371" s="68"/>
    </row>
    <row r="1372" spans="4:102" s="71" customFormat="1" hidden="1">
      <c r="D1372" s="69"/>
      <c r="E1372" s="68"/>
      <c r="F1372" s="68"/>
      <c r="G1372" s="68"/>
      <c r="H1372" s="68"/>
      <c r="I1372" s="68"/>
      <c r="J1372" s="68"/>
      <c r="K1372" s="73"/>
      <c r="L1372" s="68"/>
      <c r="M1372" s="68"/>
      <c r="N1372" s="68"/>
      <c r="O1372" s="68"/>
      <c r="P1372" s="65"/>
      <c r="Q1372" s="103"/>
      <c r="R1372" s="103"/>
      <c r="S1372" s="103"/>
      <c r="T1372" s="103"/>
      <c r="U1372" s="68"/>
      <c r="V1372" s="69"/>
      <c r="W1372" s="68"/>
      <c r="X1372" s="68"/>
      <c r="Y1372" s="68"/>
      <c r="Z1372" s="68"/>
      <c r="AA1372" s="68"/>
      <c r="AB1372" s="68"/>
      <c r="AC1372" s="68"/>
      <c r="AD1372" s="68"/>
      <c r="AE1372" s="68"/>
      <c r="AF1372" s="68"/>
      <c r="AG1372" s="68"/>
      <c r="AH1372" s="68"/>
      <c r="AI1372" s="68"/>
      <c r="AJ1372" s="68"/>
      <c r="AK1372" s="68"/>
      <c r="AL1372" s="68"/>
      <c r="AM1372" s="68"/>
      <c r="AN1372" s="68"/>
      <c r="AO1372" s="68"/>
      <c r="AP1372" s="68"/>
      <c r="AQ1372" s="68"/>
      <c r="AR1372" s="68"/>
      <c r="AS1372" s="68"/>
      <c r="AT1372" s="68"/>
      <c r="AU1372" s="68"/>
      <c r="AV1372" s="68"/>
      <c r="AW1372" s="68"/>
      <c r="AX1372" s="68"/>
      <c r="AY1372" s="68"/>
      <c r="AZ1372" s="68"/>
      <c r="BA1372" s="68"/>
      <c r="BB1372" s="68"/>
      <c r="BC1372" s="68"/>
      <c r="BD1372" s="68"/>
      <c r="BE1372" s="68"/>
      <c r="BF1372" s="68"/>
      <c r="BG1372" s="68"/>
      <c r="BH1372" s="68"/>
      <c r="BI1372" s="68"/>
      <c r="BJ1372" s="68"/>
      <c r="BK1372" s="68"/>
      <c r="BL1372" s="68"/>
      <c r="BM1372" s="68"/>
      <c r="BN1372" s="68"/>
      <c r="BO1372" s="68"/>
      <c r="BP1372" s="68"/>
      <c r="BQ1372" s="68"/>
      <c r="BR1372" s="68"/>
      <c r="BS1372" s="68"/>
      <c r="BT1372" s="68"/>
      <c r="BU1372" s="68"/>
      <c r="BV1372" s="68"/>
      <c r="BW1372" s="68"/>
      <c r="BX1372" s="68"/>
      <c r="BY1372" s="68"/>
      <c r="BZ1372" s="68"/>
      <c r="CA1372" s="68"/>
      <c r="CB1372" s="68"/>
      <c r="CC1372" s="68"/>
      <c r="CD1372" s="68"/>
      <c r="CE1372" s="68"/>
      <c r="CF1372" s="68"/>
      <c r="CG1372" s="68"/>
      <c r="CH1372" s="68"/>
      <c r="CI1372" s="68"/>
      <c r="CJ1372" s="68"/>
      <c r="CK1372" s="68"/>
      <c r="CL1372" s="68"/>
      <c r="CM1372" s="68"/>
      <c r="CN1372" s="68"/>
      <c r="CO1372" s="68"/>
      <c r="CP1372" s="68"/>
      <c r="CQ1372" s="68"/>
      <c r="CR1372" s="68"/>
      <c r="CS1372" s="68"/>
      <c r="CT1372" s="68"/>
      <c r="CU1372" s="68"/>
      <c r="CV1372" s="68"/>
      <c r="CW1372" s="68"/>
      <c r="CX1372" s="68"/>
    </row>
    <row r="1373" spans="4:102" s="71" customFormat="1" hidden="1">
      <c r="D1373" s="69"/>
      <c r="E1373" s="68"/>
      <c r="F1373" s="68"/>
      <c r="G1373" s="68"/>
      <c r="H1373" s="68"/>
      <c r="I1373" s="68"/>
      <c r="J1373" s="68"/>
      <c r="K1373" s="73"/>
      <c r="L1373" s="68"/>
      <c r="M1373" s="68"/>
      <c r="N1373" s="68"/>
      <c r="O1373" s="68"/>
      <c r="P1373" s="65"/>
      <c r="Q1373" s="103"/>
      <c r="R1373" s="103"/>
      <c r="S1373" s="103"/>
      <c r="T1373" s="103"/>
      <c r="U1373" s="68"/>
      <c r="V1373" s="69"/>
      <c r="W1373" s="68"/>
      <c r="X1373" s="68"/>
      <c r="Y1373" s="68"/>
      <c r="Z1373" s="68"/>
      <c r="AA1373" s="68"/>
      <c r="AB1373" s="68"/>
      <c r="AC1373" s="68"/>
      <c r="AD1373" s="68"/>
      <c r="AE1373" s="68"/>
      <c r="AF1373" s="68"/>
      <c r="AG1373" s="68"/>
      <c r="AH1373" s="68"/>
      <c r="AI1373" s="68"/>
      <c r="AJ1373" s="68"/>
      <c r="AK1373" s="68"/>
      <c r="AL1373" s="68"/>
      <c r="AM1373" s="68"/>
      <c r="AN1373" s="68"/>
      <c r="AO1373" s="68"/>
      <c r="AP1373" s="68"/>
      <c r="AQ1373" s="68"/>
      <c r="AR1373" s="68"/>
      <c r="AS1373" s="68"/>
      <c r="AT1373" s="68"/>
      <c r="AU1373" s="68"/>
      <c r="AV1373" s="68"/>
      <c r="AW1373" s="68"/>
      <c r="AX1373" s="68"/>
      <c r="AY1373" s="68"/>
      <c r="AZ1373" s="68"/>
      <c r="BA1373" s="68"/>
      <c r="BB1373" s="68"/>
      <c r="BC1373" s="68"/>
      <c r="BD1373" s="68"/>
      <c r="BE1373" s="68"/>
      <c r="BF1373" s="68"/>
      <c r="BG1373" s="68"/>
      <c r="BH1373" s="68"/>
      <c r="BI1373" s="68"/>
      <c r="BJ1373" s="68"/>
      <c r="BK1373" s="68"/>
      <c r="BL1373" s="68"/>
      <c r="BM1373" s="68"/>
      <c r="BN1373" s="68"/>
      <c r="BO1373" s="68"/>
      <c r="BP1373" s="68"/>
      <c r="BQ1373" s="68"/>
      <c r="BR1373" s="68"/>
      <c r="BS1373" s="68"/>
      <c r="BT1373" s="68"/>
      <c r="BU1373" s="68"/>
      <c r="BV1373" s="68"/>
      <c r="BW1373" s="68"/>
      <c r="BX1373" s="68"/>
      <c r="BY1373" s="68"/>
      <c r="BZ1373" s="68"/>
      <c r="CA1373" s="68"/>
      <c r="CB1373" s="68"/>
      <c r="CC1373" s="68"/>
      <c r="CD1373" s="68"/>
      <c r="CE1373" s="68"/>
      <c r="CF1373" s="68"/>
      <c r="CG1373" s="68"/>
      <c r="CH1373" s="68"/>
      <c r="CI1373" s="68"/>
      <c r="CJ1373" s="68"/>
      <c r="CK1373" s="68"/>
      <c r="CL1373" s="68"/>
      <c r="CM1373" s="68"/>
      <c r="CN1373" s="68"/>
      <c r="CO1373" s="68"/>
      <c r="CP1373" s="68"/>
      <c r="CQ1373" s="68"/>
      <c r="CR1373" s="68"/>
      <c r="CS1373" s="68"/>
      <c r="CT1373" s="68"/>
      <c r="CU1373" s="68"/>
      <c r="CV1373" s="68"/>
      <c r="CW1373" s="68"/>
      <c r="CX1373" s="68"/>
    </row>
    <row r="1374" spans="4:102" s="71" customFormat="1" hidden="1">
      <c r="D1374" s="69"/>
      <c r="E1374" s="68"/>
      <c r="F1374" s="68"/>
      <c r="G1374" s="68"/>
      <c r="H1374" s="68"/>
      <c r="I1374" s="68"/>
      <c r="J1374" s="68"/>
      <c r="K1374" s="73"/>
      <c r="L1374" s="68"/>
      <c r="M1374" s="68"/>
      <c r="N1374" s="68"/>
      <c r="O1374" s="68"/>
      <c r="P1374" s="65"/>
      <c r="Q1374" s="103"/>
      <c r="R1374" s="103"/>
      <c r="S1374" s="103"/>
      <c r="T1374" s="103"/>
      <c r="U1374" s="68"/>
      <c r="V1374" s="69"/>
      <c r="W1374" s="68"/>
      <c r="X1374" s="68"/>
      <c r="Y1374" s="68"/>
      <c r="Z1374" s="68"/>
      <c r="AA1374" s="68"/>
      <c r="AB1374" s="68"/>
      <c r="AC1374" s="68"/>
      <c r="AD1374" s="68"/>
      <c r="AE1374" s="68"/>
      <c r="AF1374" s="68"/>
      <c r="AG1374" s="68"/>
      <c r="AH1374" s="68"/>
      <c r="AI1374" s="68"/>
      <c r="AJ1374" s="68"/>
      <c r="AK1374" s="68"/>
      <c r="AL1374" s="68"/>
      <c r="AM1374" s="68"/>
      <c r="AN1374" s="68"/>
      <c r="AO1374" s="68"/>
      <c r="AP1374" s="68"/>
      <c r="AQ1374" s="68"/>
      <c r="AR1374" s="68"/>
      <c r="AS1374" s="68"/>
      <c r="AT1374" s="68"/>
      <c r="AU1374" s="68"/>
      <c r="AV1374" s="68"/>
      <c r="AW1374" s="68"/>
      <c r="AX1374" s="68"/>
      <c r="AY1374" s="68"/>
      <c r="AZ1374" s="68"/>
      <c r="BA1374" s="68"/>
      <c r="BB1374" s="68"/>
      <c r="BC1374" s="68"/>
      <c r="BD1374" s="68"/>
      <c r="BE1374" s="68"/>
      <c r="BF1374" s="68"/>
      <c r="BG1374" s="68"/>
      <c r="BH1374" s="68"/>
      <c r="BI1374" s="68"/>
      <c r="BJ1374" s="68"/>
      <c r="BK1374" s="68"/>
      <c r="BL1374" s="68"/>
      <c r="BM1374" s="68"/>
      <c r="BN1374" s="68"/>
      <c r="BO1374" s="68"/>
      <c r="BP1374" s="68"/>
      <c r="BQ1374" s="68"/>
      <c r="BR1374" s="68"/>
      <c r="BS1374" s="68"/>
      <c r="BT1374" s="68"/>
      <c r="BU1374" s="68"/>
      <c r="BV1374" s="68"/>
      <c r="BW1374" s="68"/>
      <c r="BX1374" s="68"/>
      <c r="BY1374" s="68"/>
      <c r="BZ1374" s="68"/>
      <c r="CA1374" s="68"/>
      <c r="CB1374" s="68"/>
      <c r="CC1374" s="68"/>
      <c r="CD1374" s="68"/>
      <c r="CE1374" s="68"/>
      <c r="CF1374" s="68"/>
      <c r="CG1374" s="68"/>
      <c r="CH1374" s="68"/>
      <c r="CI1374" s="68"/>
      <c r="CJ1374" s="68"/>
      <c r="CK1374" s="68"/>
      <c r="CL1374" s="68"/>
      <c r="CM1374" s="68"/>
      <c r="CN1374" s="68"/>
      <c r="CO1374" s="68"/>
      <c r="CP1374" s="68"/>
      <c r="CQ1374" s="68"/>
      <c r="CR1374" s="68"/>
      <c r="CS1374" s="68"/>
      <c r="CT1374" s="68"/>
      <c r="CU1374" s="68"/>
      <c r="CV1374" s="68"/>
      <c r="CW1374" s="68"/>
      <c r="CX1374" s="68"/>
    </row>
    <row r="1375" spans="4:102" s="71" customFormat="1" hidden="1">
      <c r="D1375" s="69"/>
      <c r="E1375" s="68"/>
      <c r="F1375" s="68"/>
      <c r="G1375" s="68"/>
      <c r="H1375" s="68"/>
      <c r="I1375" s="68"/>
      <c r="J1375" s="68"/>
      <c r="K1375" s="73"/>
      <c r="L1375" s="68"/>
      <c r="M1375" s="68"/>
      <c r="N1375" s="68"/>
      <c r="O1375" s="68"/>
      <c r="P1375" s="65"/>
      <c r="Q1375" s="103"/>
      <c r="R1375" s="103"/>
      <c r="S1375" s="103"/>
      <c r="T1375" s="103"/>
      <c r="U1375" s="68"/>
      <c r="V1375" s="69"/>
      <c r="W1375" s="68"/>
      <c r="X1375" s="68"/>
      <c r="Y1375" s="68"/>
      <c r="Z1375" s="68"/>
      <c r="AA1375" s="68"/>
      <c r="AB1375" s="68"/>
      <c r="AC1375" s="68"/>
      <c r="AD1375" s="68"/>
      <c r="AE1375" s="68"/>
      <c r="AF1375" s="68"/>
      <c r="AG1375" s="68"/>
      <c r="AH1375" s="68"/>
      <c r="AI1375" s="68"/>
      <c r="AJ1375" s="68"/>
      <c r="AK1375" s="68"/>
      <c r="AL1375" s="68"/>
      <c r="AM1375" s="68"/>
      <c r="AN1375" s="68"/>
      <c r="AO1375" s="68"/>
      <c r="AP1375" s="68"/>
      <c r="AQ1375" s="68"/>
      <c r="AR1375" s="68"/>
      <c r="AS1375" s="68"/>
      <c r="AT1375" s="68"/>
      <c r="AU1375" s="68"/>
      <c r="AV1375" s="68"/>
      <c r="AW1375" s="68"/>
      <c r="AX1375" s="68"/>
      <c r="AY1375" s="68"/>
      <c r="AZ1375" s="68"/>
      <c r="BA1375" s="68"/>
      <c r="BB1375" s="68"/>
      <c r="BC1375" s="68"/>
      <c r="BD1375" s="68"/>
      <c r="BE1375" s="68"/>
      <c r="BF1375" s="68"/>
      <c r="BG1375" s="68"/>
      <c r="BH1375" s="68"/>
      <c r="BI1375" s="68"/>
      <c r="BJ1375" s="68"/>
      <c r="BK1375" s="68"/>
      <c r="BL1375" s="68"/>
      <c r="BM1375" s="68"/>
      <c r="BN1375" s="68"/>
      <c r="BO1375" s="68"/>
      <c r="BP1375" s="68"/>
      <c r="BQ1375" s="68"/>
      <c r="BR1375" s="68"/>
      <c r="BS1375" s="68"/>
      <c r="BT1375" s="68"/>
      <c r="BU1375" s="68"/>
      <c r="BV1375" s="68"/>
      <c r="BW1375" s="68"/>
      <c r="BX1375" s="68"/>
      <c r="BY1375" s="68"/>
      <c r="BZ1375" s="68"/>
      <c r="CA1375" s="68"/>
      <c r="CB1375" s="68"/>
      <c r="CC1375" s="68"/>
      <c r="CD1375" s="68"/>
      <c r="CE1375" s="68"/>
      <c r="CF1375" s="68"/>
      <c r="CG1375" s="68"/>
      <c r="CH1375" s="68"/>
      <c r="CI1375" s="68"/>
      <c r="CJ1375" s="68"/>
      <c r="CK1375" s="68"/>
      <c r="CL1375" s="68"/>
      <c r="CM1375" s="68"/>
      <c r="CN1375" s="68"/>
      <c r="CO1375" s="68"/>
      <c r="CP1375" s="68"/>
      <c r="CQ1375" s="68"/>
      <c r="CR1375" s="68"/>
      <c r="CS1375" s="68"/>
      <c r="CT1375" s="68"/>
      <c r="CU1375" s="68"/>
      <c r="CV1375" s="68"/>
      <c r="CW1375" s="68"/>
      <c r="CX1375" s="68"/>
    </row>
    <row r="1376" spans="4:102" s="71" customFormat="1" hidden="1">
      <c r="D1376" s="69"/>
      <c r="E1376" s="68"/>
      <c r="F1376" s="68"/>
      <c r="G1376" s="68"/>
      <c r="H1376" s="68"/>
      <c r="I1376" s="68"/>
      <c r="J1376" s="68"/>
      <c r="K1376" s="73"/>
      <c r="L1376" s="68"/>
      <c r="M1376" s="68"/>
      <c r="N1376" s="68"/>
      <c r="O1376" s="68"/>
      <c r="P1376" s="65"/>
      <c r="Q1376" s="103"/>
      <c r="R1376" s="103"/>
      <c r="S1376" s="103"/>
      <c r="T1376" s="103"/>
      <c r="U1376" s="68"/>
      <c r="V1376" s="69"/>
      <c r="W1376" s="68"/>
      <c r="X1376" s="68"/>
      <c r="Y1376" s="68"/>
      <c r="Z1376" s="68"/>
      <c r="AA1376" s="68"/>
      <c r="AB1376" s="68"/>
      <c r="AC1376" s="68"/>
      <c r="AD1376" s="68"/>
      <c r="AE1376" s="68"/>
      <c r="AF1376" s="68"/>
      <c r="AG1376" s="68"/>
      <c r="AH1376" s="68"/>
      <c r="AI1376" s="68"/>
      <c r="AJ1376" s="68"/>
      <c r="AK1376" s="68"/>
      <c r="AL1376" s="68"/>
      <c r="AM1376" s="68"/>
      <c r="AN1376" s="68"/>
      <c r="AO1376" s="68"/>
      <c r="AP1376" s="68"/>
      <c r="AQ1376" s="68"/>
      <c r="AR1376" s="68"/>
      <c r="AS1376" s="68"/>
      <c r="AT1376" s="68"/>
      <c r="AU1376" s="68"/>
      <c r="AV1376" s="68"/>
      <c r="AW1376" s="68"/>
      <c r="AX1376" s="68"/>
      <c r="AY1376" s="68"/>
      <c r="AZ1376" s="68"/>
      <c r="BA1376" s="68"/>
      <c r="BB1376" s="68"/>
      <c r="BC1376" s="68"/>
      <c r="BD1376" s="68"/>
      <c r="BE1376" s="68"/>
      <c r="BF1376" s="68"/>
      <c r="BG1376" s="68"/>
      <c r="BH1376" s="68"/>
      <c r="BI1376" s="68"/>
      <c r="BJ1376" s="68"/>
      <c r="BK1376" s="68"/>
      <c r="BL1376" s="68"/>
      <c r="BM1376" s="68"/>
      <c r="BN1376" s="68"/>
      <c r="BO1376" s="68"/>
      <c r="BP1376" s="68"/>
      <c r="BQ1376" s="68"/>
      <c r="BR1376" s="68"/>
      <c r="BS1376" s="68"/>
      <c r="BT1376" s="68"/>
      <c r="BU1376" s="68"/>
      <c r="BV1376" s="68"/>
      <c r="BW1376" s="68"/>
      <c r="BX1376" s="68"/>
      <c r="BY1376" s="68"/>
      <c r="BZ1376" s="68"/>
      <c r="CA1376" s="68"/>
      <c r="CB1376" s="68"/>
      <c r="CC1376" s="68"/>
      <c r="CD1376" s="68"/>
      <c r="CE1376" s="68"/>
      <c r="CF1376" s="68"/>
      <c r="CG1376" s="68"/>
      <c r="CH1376" s="68"/>
      <c r="CI1376" s="68"/>
      <c r="CJ1376" s="68"/>
      <c r="CK1376" s="68"/>
      <c r="CL1376" s="68"/>
      <c r="CM1376" s="68"/>
      <c r="CN1376" s="68"/>
      <c r="CO1376" s="68"/>
      <c r="CP1376" s="68"/>
      <c r="CQ1376" s="68"/>
      <c r="CR1376" s="68"/>
      <c r="CS1376" s="68"/>
      <c r="CT1376" s="68"/>
      <c r="CU1376" s="68"/>
      <c r="CV1376" s="68"/>
      <c r="CW1376" s="68"/>
      <c r="CX1376" s="68"/>
    </row>
    <row r="1377" spans="4:102" s="71" customFormat="1" hidden="1">
      <c r="D1377" s="69"/>
      <c r="E1377" s="68"/>
      <c r="F1377" s="68"/>
      <c r="G1377" s="68"/>
      <c r="H1377" s="68"/>
      <c r="I1377" s="68"/>
      <c r="J1377" s="68"/>
      <c r="K1377" s="73"/>
      <c r="L1377" s="68"/>
      <c r="M1377" s="68"/>
      <c r="N1377" s="68"/>
      <c r="O1377" s="68"/>
      <c r="P1377" s="65"/>
      <c r="Q1377" s="103"/>
      <c r="R1377" s="103"/>
      <c r="S1377" s="103"/>
      <c r="T1377" s="103"/>
      <c r="U1377" s="68"/>
      <c r="V1377" s="69"/>
      <c r="W1377" s="68"/>
      <c r="X1377" s="68"/>
      <c r="Y1377" s="68"/>
      <c r="Z1377" s="68"/>
      <c r="AA1377" s="68"/>
      <c r="AB1377" s="68"/>
      <c r="AC1377" s="68"/>
      <c r="AD1377" s="68"/>
      <c r="AE1377" s="68"/>
      <c r="AF1377" s="68"/>
      <c r="AG1377" s="68"/>
      <c r="AH1377" s="68"/>
      <c r="AI1377" s="68"/>
      <c r="AJ1377" s="68"/>
      <c r="AK1377" s="68"/>
      <c r="AL1377" s="68"/>
      <c r="AM1377" s="68"/>
      <c r="AN1377" s="68"/>
      <c r="AO1377" s="68"/>
      <c r="AP1377" s="68"/>
      <c r="AQ1377" s="68"/>
      <c r="AR1377" s="68"/>
      <c r="AS1377" s="68"/>
      <c r="AT1377" s="68"/>
      <c r="AU1377" s="68"/>
      <c r="AV1377" s="68"/>
      <c r="AW1377" s="68"/>
      <c r="AX1377" s="68"/>
      <c r="AY1377" s="68"/>
      <c r="AZ1377" s="68"/>
      <c r="BA1377" s="68"/>
      <c r="BB1377" s="68"/>
      <c r="BC1377" s="68"/>
      <c r="BD1377" s="68"/>
      <c r="BE1377" s="68"/>
      <c r="BF1377" s="68"/>
      <c r="BG1377" s="68"/>
      <c r="BH1377" s="68"/>
      <c r="BI1377" s="68"/>
      <c r="BJ1377" s="68"/>
      <c r="BK1377" s="68"/>
      <c r="BL1377" s="68"/>
      <c r="BM1377" s="68"/>
      <c r="BN1377" s="68"/>
      <c r="BO1377" s="68"/>
      <c r="BP1377" s="68"/>
      <c r="BQ1377" s="68"/>
      <c r="BR1377" s="68"/>
      <c r="BS1377" s="68"/>
      <c r="BT1377" s="68"/>
      <c r="BU1377" s="68"/>
      <c r="BV1377" s="68"/>
      <c r="BW1377" s="68"/>
      <c r="BX1377" s="68"/>
      <c r="BY1377" s="68"/>
      <c r="BZ1377" s="68"/>
      <c r="CA1377" s="68"/>
      <c r="CB1377" s="68"/>
      <c r="CC1377" s="68"/>
      <c r="CD1377" s="68"/>
      <c r="CE1377" s="68"/>
      <c r="CF1377" s="68"/>
      <c r="CG1377" s="68"/>
      <c r="CH1377" s="68"/>
      <c r="CI1377" s="68"/>
      <c r="CJ1377" s="68"/>
      <c r="CK1377" s="68"/>
      <c r="CL1377" s="68"/>
      <c r="CM1377" s="68"/>
      <c r="CN1377" s="68"/>
      <c r="CO1377" s="68"/>
      <c r="CP1377" s="68"/>
      <c r="CQ1377" s="68"/>
      <c r="CR1377" s="68"/>
      <c r="CS1377" s="68"/>
      <c r="CT1377" s="68"/>
      <c r="CU1377" s="68"/>
      <c r="CV1377" s="68"/>
      <c r="CW1377" s="68"/>
      <c r="CX1377" s="68"/>
    </row>
    <row r="1378" spans="4:102" s="71" customFormat="1" hidden="1">
      <c r="D1378" s="69"/>
      <c r="E1378" s="68"/>
      <c r="F1378" s="68"/>
      <c r="G1378" s="68"/>
      <c r="H1378" s="68"/>
      <c r="I1378" s="68"/>
      <c r="J1378" s="68"/>
      <c r="K1378" s="73"/>
      <c r="L1378" s="68"/>
      <c r="M1378" s="68"/>
      <c r="N1378" s="68"/>
      <c r="O1378" s="68"/>
      <c r="P1378" s="65"/>
      <c r="Q1378" s="103"/>
      <c r="R1378" s="103"/>
      <c r="S1378" s="103"/>
      <c r="T1378" s="103"/>
      <c r="U1378" s="68"/>
      <c r="V1378" s="69"/>
      <c r="W1378" s="68"/>
      <c r="X1378" s="68"/>
      <c r="Y1378" s="68"/>
      <c r="Z1378" s="68"/>
      <c r="AA1378" s="68"/>
      <c r="AB1378" s="68"/>
      <c r="AC1378" s="68"/>
      <c r="AD1378" s="68"/>
      <c r="AE1378" s="68"/>
      <c r="AF1378" s="68"/>
      <c r="AG1378" s="68"/>
      <c r="AH1378" s="68"/>
      <c r="AI1378" s="68"/>
      <c r="AJ1378" s="68"/>
      <c r="AK1378" s="68"/>
      <c r="AL1378" s="68"/>
      <c r="AM1378" s="68"/>
      <c r="AN1378" s="68"/>
      <c r="AO1378" s="68"/>
      <c r="AP1378" s="68"/>
      <c r="AQ1378" s="68"/>
      <c r="AR1378" s="68"/>
      <c r="AS1378" s="68"/>
      <c r="AT1378" s="68"/>
      <c r="AU1378" s="68"/>
      <c r="AV1378" s="68"/>
      <c r="AW1378" s="68"/>
      <c r="AX1378" s="68"/>
      <c r="AY1378" s="68"/>
      <c r="AZ1378" s="68"/>
      <c r="BA1378" s="68"/>
      <c r="BB1378" s="68"/>
      <c r="BC1378" s="68"/>
      <c r="BD1378" s="68"/>
      <c r="BE1378" s="68"/>
      <c r="BF1378" s="68"/>
      <c r="BG1378" s="68"/>
      <c r="BH1378" s="68"/>
      <c r="BI1378" s="68"/>
      <c r="BJ1378" s="68"/>
      <c r="BK1378" s="68"/>
      <c r="BL1378" s="68"/>
      <c r="BM1378" s="68"/>
      <c r="BN1378" s="68"/>
      <c r="BO1378" s="68"/>
      <c r="BP1378" s="68"/>
      <c r="BQ1378" s="68"/>
      <c r="BR1378" s="68"/>
      <c r="BS1378" s="68"/>
      <c r="BT1378" s="68"/>
      <c r="BU1378" s="68"/>
      <c r="BV1378" s="68"/>
      <c r="BW1378" s="68"/>
      <c r="BX1378" s="68"/>
      <c r="BY1378" s="68"/>
      <c r="BZ1378" s="68"/>
      <c r="CA1378" s="68"/>
      <c r="CB1378" s="68"/>
      <c r="CC1378" s="68"/>
      <c r="CD1378" s="68"/>
      <c r="CE1378" s="68"/>
      <c r="CF1378" s="68"/>
      <c r="CG1378" s="68"/>
      <c r="CH1378" s="68"/>
      <c r="CI1378" s="68"/>
      <c r="CJ1378" s="68"/>
      <c r="CK1378" s="68"/>
      <c r="CL1378" s="68"/>
      <c r="CM1378" s="68"/>
      <c r="CN1378" s="68"/>
      <c r="CO1378" s="68"/>
      <c r="CP1378" s="68"/>
      <c r="CQ1378" s="68"/>
      <c r="CR1378" s="68"/>
      <c r="CS1378" s="68"/>
      <c r="CT1378" s="68"/>
      <c r="CU1378" s="68"/>
      <c r="CV1378" s="68"/>
      <c r="CW1378" s="68"/>
      <c r="CX1378" s="68"/>
    </row>
    <row r="1379" spans="4:102" s="71" customFormat="1" hidden="1">
      <c r="D1379" s="69"/>
      <c r="E1379" s="68"/>
      <c r="F1379" s="68"/>
      <c r="G1379" s="68"/>
      <c r="H1379" s="68"/>
      <c r="I1379" s="68"/>
      <c r="J1379" s="68"/>
      <c r="K1379" s="73"/>
      <c r="L1379" s="68"/>
      <c r="M1379" s="68"/>
      <c r="N1379" s="68"/>
      <c r="O1379" s="68"/>
      <c r="P1379" s="65"/>
      <c r="Q1379" s="103"/>
      <c r="R1379" s="103"/>
      <c r="S1379" s="103"/>
      <c r="T1379" s="103"/>
      <c r="U1379" s="68"/>
      <c r="V1379" s="69"/>
      <c r="W1379" s="68"/>
      <c r="X1379" s="68"/>
      <c r="Y1379" s="68"/>
      <c r="Z1379" s="68"/>
      <c r="AA1379" s="68"/>
      <c r="AB1379" s="68"/>
      <c r="AC1379" s="68"/>
      <c r="AD1379" s="68"/>
      <c r="AE1379" s="68"/>
      <c r="AF1379" s="68"/>
      <c r="AG1379" s="68"/>
      <c r="AH1379" s="68"/>
      <c r="AI1379" s="68"/>
      <c r="AJ1379" s="68"/>
      <c r="AK1379" s="68"/>
      <c r="AL1379" s="68"/>
      <c r="AM1379" s="68"/>
      <c r="AN1379" s="68"/>
      <c r="AO1379" s="68"/>
      <c r="AP1379" s="68"/>
      <c r="AQ1379" s="68"/>
      <c r="AR1379" s="68"/>
      <c r="AS1379" s="68"/>
      <c r="AT1379" s="68"/>
      <c r="AU1379" s="68"/>
      <c r="AV1379" s="68"/>
      <c r="AW1379" s="68"/>
      <c r="AX1379" s="68"/>
      <c r="AY1379" s="68"/>
      <c r="AZ1379" s="68"/>
      <c r="BA1379" s="68"/>
      <c r="BB1379" s="68"/>
      <c r="BC1379" s="68"/>
      <c r="BD1379" s="68"/>
      <c r="BE1379" s="68"/>
      <c r="BF1379" s="68"/>
      <c r="BG1379" s="68"/>
      <c r="BH1379" s="68"/>
      <c r="BI1379" s="68"/>
      <c r="BJ1379" s="68"/>
      <c r="BK1379" s="68"/>
      <c r="BL1379" s="68"/>
      <c r="BM1379" s="68"/>
      <c r="BN1379" s="68"/>
      <c r="BO1379" s="68"/>
      <c r="BP1379" s="68"/>
      <c r="BQ1379" s="68"/>
      <c r="BR1379" s="68"/>
      <c r="BS1379" s="68"/>
      <c r="BT1379" s="68"/>
      <c r="BU1379" s="68"/>
      <c r="BV1379" s="68"/>
      <c r="BW1379" s="68"/>
      <c r="BX1379" s="68"/>
      <c r="BY1379" s="68"/>
      <c r="BZ1379" s="68"/>
      <c r="CA1379" s="68"/>
      <c r="CB1379" s="68"/>
      <c r="CC1379" s="68"/>
      <c r="CD1379" s="68"/>
      <c r="CE1379" s="68"/>
      <c r="CF1379" s="68"/>
      <c r="CG1379" s="68"/>
      <c r="CH1379" s="68"/>
      <c r="CI1379" s="68"/>
      <c r="CJ1379" s="68"/>
      <c r="CK1379" s="68"/>
      <c r="CL1379" s="68"/>
      <c r="CM1379" s="68"/>
      <c r="CN1379" s="68"/>
      <c r="CO1379" s="68"/>
      <c r="CP1379" s="68"/>
      <c r="CQ1379" s="68"/>
      <c r="CR1379" s="68"/>
      <c r="CS1379" s="68"/>
      <c r="CT1379" s="68"/>
      <c r="CU1379" s="68"/>
      <c r="CV1379" s="68"/>
      <c r="CW1379" s="68"/>
      <c r="CX1379" s="68"/>
    </row>
    <row r="1380" spans="4:102" s="71" customFormat="1" hidden="1">
      <c r="D1380" s="69"/>
      <c r="E1380" s="68"/>
      <c r="F1380" s="68"/>
      <c r="G1380" s="68"/>
      <c r="H1380" s="68"/>
      <c r="I1380" s="68"/>
      <c r="J1380" s="68"/>
      <c r="K1380" s="73"/>
      <c r="L1380" s="68"/>
      <c r="M1380" s="68"/>
      <c r="N1380" s="68"/>
      <c r="O1380" s="68"/>
      <c r="P1380" s="65"/>
      <c r="Q1380" s="103"/>
      <c r="R1380" s="103"/>
      <c r="S1380" s="103"/>
      <c r="T1380" s="103"/>
      <c r="U1380" s="68"/>
      <c r="V1380" s="69"/>
      <c r="W1380" s="68"/>
      <c r="X1380" s="68"/>
      <c r="Y1380" s="68"/>
      <c r="Z1380" s="68"/>
      <c r="AA1380" s="68"/>
      <c r="AB1380" s="68"/>
      <c r="AC1380" s="68"/>
      <c r="AD1380" s="68"/>
      <c r="AE1380" s="68"/>
      <c r="AF1380" s="68"/>
      <c r="AG1380" s="68"/>
      <c r="AH1380" s="68"/>
      <c r="AI1380" s="68"/>
      <c r="AJ1380" s="68"/>
      <c r="AK1380" s="68"/>
      <c r="AL1380" s="68"/>
      <c r="AM1380" s="68"/>
      <c r="AN1380" s="68"/>
      <c r="AO1380" s="68"/>
      <c r="AP1380" s="68"/>
      <c r="AQ1380" s="68"/>
      <c r="AR1380" s="68"/>
      <c r="AS1380" s="68"/>
      <c r="AT1380" s="68"/>
      <c r="AU1380" s="68"/>
      <c r="AV1380" s="68"/>
      <c r="AW1380" s="68"/>
      <c r="AX1380" s="68"/>
      <c r="AY1380" s="68"/>
      <c r="AZ1380" s="68"/>
      <c r="BA1380" s="68"/>
      <c r="BB1380" s="68"/>
      <c r="BC1380" s="68"/>
      <c r="BD1380" s="68"/>
      <c r="BE1380" s="68"/>
      <c r="BF1380" s="68"/>
      <c r="BG1380" s="68"/>
      <c r="BH1380" s="68"/>
      <c r="BI1380" s="68"/>
      <c r="BJ1380" s="68"/>
      <c r="BK1380" s="68"/>
      <c r="BL1380" s="68"/>
      <c r="BM1380" s="68"/>
      <c r="BN1380" s="68"/>
      <c r="BO1380" s="68"/>
      <c r="BP1380" s="68"/>
      <c r="BQ1380" s="68"/>
      <c r="BR1380" s="68"/>
      <c r="BS1380" s="68"/>
      <c r="BT1380" s="68"/>
      <c r="BU1380" s="68"/>
      <c r="BV1380" s="68"/>
      <c r="BW1380" s="68"/>
      <c r="BX1380" s="68"/>
      <c r="BY1380" s="68"/>
      <c r="BZ1380" s="68"/>
      <c r="CA1380" s="68"/>
      <c r="CB1380" s="68"/>
      <c r="CC1380" s="68"/>
      <c r="CD1380" s="68"/>
      <c r="CE1380" s="68"/>
      <c r="CF1380" s="68"/>
      <c r="CG1380" s="68"/>
      <c r="CH1380" s="68"/>
      <c r="CI1380" s="68"/>
      <c r="CJ1380" s="68"/>
      <c r="CK1380" s="68"/>
      <c r="CL1380" s="68"/>
      <c r="CM1380" s="68"/>
      <c r="CN1380" s="68"/>
      <c r="CO1380" s="68"/>
      <c r="CP1380" s="68"/>
      <c r="CQ1380" s="68"/>
      <c r="CR1380" s="68"/>
      <c r="CS1380" s="68"/>
      <c r="CT1380" s="68"/>
      <c r="CU1380" s="68"/>
      <c r="CV1380" s="68"/>
      <c r="CW1380" s="68"/>
      <c r="CX1380" s="68"/>
    </row>
    <row r="1381" spans="4:102" s="71" customFormat="1" hidden="1">
      <c r="D1381" s="69"/>
      <c r="E1381" s="68"/>
      <c r="F1381" s="68"/>
      <c r="G1381" s="68"/>
      <c r="H1381" s="68"/>
      <c r="I1381" s="68"/>
      <c r="J1381" s="68"/>
      <c r="K1381" s="73"/>
      <c r="L1381" s="68"/>
      <c r="M1381" s="68"/>
      <c r="N1381" s="68"/>
      <c r="O1381" s="68"/>
      <c r="P1381" s="65"/>
      <c r="Q1381" s="103"/>
      <c r="R1381" s="103"/>
      <c r="S1381" s="103"/>
      <c r="T1381" s="103"/>
      <c r="U1381" s="68"/>
      <c r="V1381" s="69"/>
      <c r="W1381" s="68"/>
      <c r="X1381" s="68"/>
      <c r="Y1381" s="68"/>
      <c r="Z1381" s="68"/>
      <c r="AA1381" s="68"/>
      <c r="AB1381" s="68"/>
      <c r="AC1381" s="68"/>
      <c r="AD1381" s="68"/>
      <c r="AE1381" s="68"/>
      <c r="AF1381" s="68"/>
      <c r="AG1381" s="68"/>
      <c r="AH1381" s="68"/>
      <c r="AI1381" s="68"/>
      <c r="AJ1381" s="68"/>
      <c r="AK1381" s="68"/>
      <c r="AL1381" s="68"/>
      <c r="AM1381" s="68"/>
      <c r="AN1381" s="68"/>
      <c r="AO1381" s="68"/>
      <c r="AP1381" s="68"/>
      <c r="AQ1381" s="68"/>
      <c r="AR1381" s="68"/>
      <c r="AS1381" s="68"/>
      <c r="AT1381" s="68"/>
      <c r="AU1381" s="68"/>
      <c r="AV1381" s="68"/>
      <c r="AW1381" s="68"/>
      <c r="AX1381" s="68"/>
      <c r="AY1381" s="68"/>
      <c r="AZ1381" s="68"/>
      <c r="BA1381" s="68"/>
      <c r="BB1381" s="68"/>
      <c r="BC1381" s="68"/>
      <c r="BD1381" s="68"/>
      <c r="BE1381" s="68"/>
      <c r="BF1381" s="68"/>
      <c r="BG1381" s="68"/>
      <c r="BH1381" s="68"/>
      <c r="BI1381" s="68"/>
      <c r="BJ1381" s="68"/>
      <c r="BK1381" s="68"/>
      <c r="BL1381" s="68"/>
      <c r="BM1381" s="68"/>
      <c r="BN1381" s="68"/>
      <c r="BO1381" s="68"/>
      <c r="BP1381" s="68"/>
      <c r="BQ1381" s="68"/>
      <c r="BR1381" s="68"/>
      <c r="BS1381" s="68"/>
      <c r="BT1381" s="68"/>
      <c r="BU1381" s="68"/>
      <c r="BV1381" s="68"/>
      <c r="BW1381" s="68"/>
      <c r="BX1381" s="68"/>
      <c r="BY1381" s="68"/>
      <c r="BZ1381" s="68"/>
      <c r="CA1381" s="68"/>
      <c r="CB1381" s="68"/>
      <c r="CC1381" s="68"/>
      <c r="CD1381" s="68"/>
      <c r="CE1381" s="68"/>
      <c r="CF1381" s="68"/>
      <c r="CG1381" s="68"/>
      <c r="CH1381" s="68"/>
      <c r="CI1381" s="68"/>
      <c r="CJ1381" s="68"/>
      <c r="CK1381" s="68"/>
      <c r="CL1381" s="68"/>
      <c r="CM1381" s="68"/>
      <c r="CN1381" s="68"/>
      <c r="CO1381" s="68"/>
      <c r="CP1381" s="68"/>
      <c r="CQ1381" s="68"/>
      <c r="CR1381" s="68"/>
      <c r="CS1381" s="68"/>
      <c r="CT1381" s="68"/>
      <c r="CU1381" s="68"/>
      <c r="CV1381" s="68"/>
      <c r="CW1381" s="68"/>
      <c r="CX1381" s="68"/>
    </row>
    <row r="1382" spans="4:102" s="71" customFormat="1" hidden="1">
      <c r="D1382" s="69"/>
      <c r="E1382" s="68"/>
      <c r="F1382" s="68"/>
      <c r="G1382" s="68"/>
      <c r="H1382" s="68"/>
      <c r="I1382" s="68"/>
      <c r="J1382" s="68"/>
      <c r="K1382" s="73"/>
      <c r="L1382" s="68"/>
      <c r="M1382" s="68"/>
      <c r="N1382" s="68"/>
      <c r="O1382" s="68"/>
      <c r="P1382" s="65"/>
      <c r="Q1382" s="103"/>
      <c r="R1382" s="103"/>
      <c r="S1382" s="103"/>
      <c r="T1382" s="103"/>
      <c r="U1382" s="68"/>
      <c r="V1382" s="69"/>
      <c r="W1382" s="68"/>
      <c r="X1382" s="68"/>
      <c r="Y1382" s="68"/>
      <c r="Z1382" s="68"/>
      <c r="AA1382" s="68"/>
      <c r="AB1382" s="68"/>
      <c r="AC1382" s="68"/>
      <c r="AD1382" s="68"/>
      <c r="AE1382" s="68"/>
      <c r="AF1382" s="68"/>
      <c r="AG1382" s="68"/>
      <c r="AH1382" s="68"/>
      <c r="AI1382" s="68"/>
      <c r="AJ1382" s="68"/>
      <c r="AK1382" s="68"/>
      <c r="AL1382" s="68"/>
      <c r="AM1382" s="68"/>
      <c r="AN1382" s="68"/>
      <c r="AO1382" s="68"/>
      <c r="AP1382" s="68"/>
      <c r="AQ1382" s="68"/>
      <c r="AR1382" s="68"/>
      <c r="AS1382" s="68"/>
      <c r="AT1382" s="68"/>
      <c r="AU1382" s="68"/>
      <c r="AV1382" s="68"/>
      <c r="AW1382" s="68"/>
      <c r="AX1382" s="68"/>
      <c r="AY1382" s="68"/>
      <c r="AZ1382" s="68"/>
      <c r="BA1382" s="68"/>
      <c r="BB1382" s="68"/>
      <c r="BC1382" s="68"/>
      <c r="BD1382" s="68"/>
      <c r="BE1382" s="68"/>
      <c r="BF1382" s="68"/>
      <c r="BG1382" s="68"/>
      <c r="BH1382" s="68"/>
      <c r="BI1382" s="68"/>
      <c r="BJ1382" s="68"/>
      <c r="BK1382" s="68"/>
      <c r="BL1382" s="68"/>
      <c r="BM1382" s="68"/>
      <c r="BN1382" s="68"/>
      <c r="BO1382" s="68"/>
      <c r="BP1382" s="68"/>
      <c r="BQ1382" s="68"/>
      <c r="BR1382" s="68"/>
      <c r="BS1382" s="68"/>
      <c r="BT1382" s="68"/>
      <c r="BU1382" s="68"/>
      <c r="BV1382" s="68"/>
      <c r="BW1382" s="68"/>
      <c r="BX1382" s="68"/>
      <c r="BY1382" s="68"/>
      <c r="BZ1382" s="68"/>
      <c r="CA1382" s="68"/>
      <c r="CB1382" s="68"/>
      <c r="CC1382" s="68"/>
      <c r="CD1382" s="68"/>
      <c r="CE1382" s="68"/>
      <c r="CF1382" s="68"/>
      <c r="CG1382" s="68"/>
      <c r="CH1382" s="68"/>
      <c r="CI1382" s="68"/>
      <c r="CJ1382" s="68"/>
      <c r="CK1382" s="68"/>
      <c r="CL1382" s="68"/>
      <c r="CM1382" s="68"/>
      <c r="CN1382" s="68"/>
      <c r="CO1382" s="68"/>
      <c r="CP1382" s="68"/>
      <c r="CQ1382" s="68"/>
      <c r="CR1382" s="68"/>
      <c r="CS1382" s="68"/>
      <c r="CT1382" s="68"/>
      <c r="CU1382" s="68"/>
      <c r="CV1382" s="68"/>
      <c r="CW1382" s="68"/>
      <c r="CX1382" s="68"/>
    </row>
    <row r="1383" spans="4:102" s="71" customFormat="1" hidden="1">
      <c r="D1383" s="69"/>
      <c r="E1383" s="68"/>
      <c r="F1383" s="68"/>
      <c r="G1383" s="68"/>
      <c r="H1383" s="68"/>
      <c r="I1383" s="68"/>
      <c r="J1383" s="68"/>
      <c r="K1383" s="73"/>
      <c r="L1383" s="68"/>
      <c r="M1383" s="68"/>
      <c r="N1383" s="68"/>
      <c r="O1383" s="68"/>
      <c r="P1383" s="65"/>
      <c r="Q1383" s="103"/>
      <c r="R1383" s="103"/>
      <c r="S1383" s="103"/>
      <c r="T1383" s="103"/>
      <c r="U1383" s="68"/>
      <c r="V1383" s="69"/>
      <c r="W1383" s="68"/>
      <c r="X1383" s="68"/>
      <c r="Y1383" s="68"/>
      <c r="Z1383" s="68"/>
      <c r="AA1383" s="68"/>
      <c r="AB1383" s="68"/>
      <c r="AC1383" s="68"/>
      <c r="AD1383" s="68"/>
      <c r="AE1383" s="68"/>
      <c r="AF1383" s="68"/>
      <c r="AG1383" s="68"/>
      <c r="AH1383" s="68"/>
      <c r="AI1383" s="68"/>
      <c r="AJ1383" s="68"/>
      <c r="AK1383" s="68"/>
      <c r="AL1383" s="68"/>
      <c r="AM1383" s="68"/>
      <c r="AN1383" s="68"/>
      <c r="AO1383" s="68"/>
      <c r="AP1383" s="68"/>
      <c r="AQ1383" s="68"/>
      <c r="AR1383" s="68"/>
      <c r="AS1383" s="68"/>
      <c r="AT1383" s="68"/>
      <c r="AU1383" s="68"/>
      <c r="AV1383" s="68"/>
      <c r="AW1383" s="68"/>
      <c r="AX1383" s="68"/>
      <c r="AY1383" s="68"/>
      <c r="AZ1383" s="68"/>
      <c r="BA1383" s="68"/>
      <c r="BB1383" s="68"/>
      <c r="BC1383" s="68"/>
      <c r="BD1383" s="68"/>
      <c r="BE1383" s="68"/>
      <c r="BF1383" s="68"/>
      <c r="BG1383" s="68"/>
      <c r="BH1383" s="68"/>
      <c r="BI1383" s="68"/>
      <c r="BJ1383" s="68"/>
      <c r="BK1383" s="68"/>
      <c r="BL1383" s="68"/>
      <c r="BM1383" s="68"/>
      <c r="BN1383" s="68"/>
      <c r="BO1383" s="68"/>
      <c r="BP1383" s="68"/>
      <c r="BQ1383" s="68"/>
      <c r="BR1383" s="68"/>
      <c r="BS1383" s="68"/>
      <c r="BT1383" s="68"/>
      <c r="BU1383" s="68"/>
      <c r="BV1383" s="68"/>
      <c r="BW1383" s="68"/>
      <c r="BX1383" s="68"/>
      <c r="BY1383" s="68"/>
      <c r="BZ1383" s="68"/>
      <c r="CA1383" s="68"/>
      <c r="CB1383" s="68"/>
      <c r="CC1383" s="68"/>
      <c r="CD1383" s="68"/>
      <c r="CE1383" s="68"/>
      <c r="CF1383" s="68"/>
      <c r="CG1383" s="68"/>
      <c r="CH1383" s="68"/>
      <c r="CI1383" s="68"/>
      <c r="CJ1383" s="68"/>
      <c r="CK1383" s="68"/>
      <c r="CL1383" s="68"/>
      <c r="CM1383" s="68"/>
      <c r="CN1383" s="68"/>
      <c r="CO1383" s="68"/>
      <c r="CP1383" s="68"/>
      <c r="CQ1383" s="68"/>
      <c r="CR1383" s="68"/>
      <c r="CS1383" s="68"/>
      <c r="CT1383" s="68"/>
      <c r="CU1383" s="68"/>
      <c r="CV1383" s="68"/>
      <c r="CW1383" s="68"/>
      <c r="CX1383" s="68"/>
    </row>
    <row r="1384" spans="4:102" s="71" customFormat="1" hidden="1">
      <c r="D1384" s="69"/>
      <c r="E1384" s="68"/>
      <c r="F1384" s="68"/>
      <c r="G1384" s="68"/>
      <c r="H1384" s="68"/>
      <c r="I1384" s="68"/>
      <c r="J1384" s="68"/>
      <c r="K1384" s="73"/>
      <c r="L1384" s="68"/>
      <c r="M1384" s="68"/>
      <c r="N1384" s="68"/>
      <c r="O1384" s="68"/>
      <c r="P1384" s="65"/>
      <c r="Q1384" s="103"/>
      <c r="R1384" s="103"/>
      <c r="S1384" s="103"/>
      <c r="T1384" s="103"/>
      <c r="U1384" s="68"/>
      <c r="V1384" s="69"/>
      <c r="W1384" s="68"/>
      <c r="X1384" s="68"/>
      <c r="Y1384" s="68"/>
      <c r="Z1384" s="68"/>
      <c r="AA1384" s="68"/>
      <c r="AB1384" s="68"/>
      <c r="AC1384" s="68"/>
      <c r="AD1384" s="68"/>
      <c r="AE1384" s="68"/>
      <c r="AF1384" s="68"/>
      <c r="AG1384" s="68"/>
      <c r="AH1384" s="68"/>
      <c r="AI1384" s="68"/>
      <c r="AJ1384" s="68"/>
      <c r="AK1384" s="68"/>
      <c r="AL1384" s="68"/>
      <c r="AM1384" s="68"/>
      <c r="AN1384" s="68"/>
      <c r="AO1384" s="68"/>
      <c r="AP1384" s="68"/>
      <c r="AQ1384" s="68"/>
      <c r="AR1384" s="68"/>
      <c r="AS1384" s="68"/>
      <c r="AT1384" s="68"/>
      <c r="AU1384" s="68"/>
      <c r="AV1384" s="68"/>
      <c r="AW1384" s="68"/>
      <c r="AX1384" s="68"/>
      <c r="AY1384" s="68"/>
      <c r="AZ1384" s="68"/>
      <c r="BA1384" s="68"/>
      <c r="BB1384" s="68"/>
      <c r="BC1384" s="68"/>
      <c r="BD1384" s="68"/>
      <c r="BE1384" s="68"/>
      <c r="BF1384" s="68"/>
      <c r="BG1384" s="68"/>
      <c r="BH1384" s="68"/>
      <c r="BI1384" s="68"/>
      <c r="BJ1384" s="68"/>
      <c r="BK1384" s="68"/>
      <c r="BL1384" s="68"/>
      <c r="BM1384" s="68"/>
      <c r="BN1384" s="68"/>
      <c r="BO1384" s="68"/>
      <c r="BP1384" s="68"/>
      <c r="BQ1384" s="68"/>
      <c r="BR1384" s="68"/>
      <c r="BS1384" s="68"/>
      <c r="BT1384" s="68"/>
      <c r="BU1384" s="68"/>
      <c r="BV1384" s="68"/>
      <c r="BW1384" s="68"/>
      <c r="BX1384" s="68"/>
      <c r="BY1384" s="68"/>
      <c r="BZ1384" s="68"/>
      <c r="CA1384" s="68"/>
      <c r="CB1384" s="68"/>
      <c r="CC1384" s="68"/>
      <c r="CD1384" s="68"/>
      <c r="CE1384" s="68"/>
      <c r="CF1384" s="68"/>
      <c r="CG1384" s="68"/>
      <c r="CH1384" s="68"/>
      <c r="CI1384" s="68"/>
      <c r="CJ1384" s="68"/>
      <c r="CK1384" s="68"/>
      <c r="CL1384" s="68"/>
      <c r="CM1384" s="68"/>
      <c r="CN1384" s="68"/>
      <c r="CO1384" s="68"/>
      <c r="CP1384" s="68"/>
      <c r="CQ1384" s="68"/>
      <c r="CR1384" s="68"/>
      <c r="CS1384" s="68"/>
      <c r="CT1384" s="68"/>
      <c r="CU1384" s="68"/>
      <c r="CV1384" s="68"/>
      <c r="CW1384" s="68"/>
      <c r="CX1384" s="68"/>
    </row>
    <row r="1385" spans="4:102" s="71" customFormat="1" hidden="1">
      <c r="D1385" s="69"/>
      <c r="E1385" s="68"/>
      <c r="F1385" s="68"/>
      <c r="G1385" s="68"/>
      <c r="H1385" s="68"/>
      <c r="I1385" s="68"/>
      <c r="J1385" s="68"/>
      <c r="K1385" s="73"/>
      <c r="L1385" s="68"/>
      <c r="M1385" s="68"/>
      <c r="N1385" s="68"/>
      <c r="O1385" s="68"/>
      <c r="P1385" s="65"/>
      <c r="Q1385" s="103"/>
      <c r="R1385" s="103"/>
      <c r="S1385" s="103"/>
      <c r="T1385" s="103"/>
      <c r="U1385" s="68"/>
      <c r="V1385" s="69"/>
      <c r="W1385" s="68"/>
      <c r="X1385" s="68"/>
      <c r="Y1385" s="68"/>
      <c r="Z1385" s="68"/>
      <c r="AA1385" s="68"/>
      <c r="AB1385" s="68"/>
      <c r="AC1385" s="68"/>
      <c r="AD1385" s="68"/>
      <c r="AE1385" s="68"/>
      <c r="AF1385" s="68"/>
      <c r="AG1385" s="68"/>
      <c r="AH1385" s="68"/>
      <c r="AI1385" s="68"/>
      <c r="AJ1385" s="68"/>
      <c r="AK1385" s="68"/>
      <c r="AL1385" s="68"/>
      <c r="AM1385" s="68"/>
      <c r="AN1385" s="68"/>
      <c r="AO1385" s="68"/>
      <c r="AP1385" s="68"/>
      <c r="AQ1385" s="68"/>
      <c r="AR1385" s="68"/>
      <c r="AS1385" s="68"/>
      <c r="AT1385" s="68"/>
      <c r="AU1385" s="68"/>
      <c r="AV1385" s="68"/>
      <c r="AW1385" s="68"/>
      <c r="AX1385" s="68"/>
      <c r="AY1385" s="68"/>
      <c r="AZ1385" s="68"/>
      <c r="BA1385" s="68"/>
      <c r="BB1385" s="68"/>
      <c r="BC1385" s="68"/>
      <c r="BD1385" s="68"/>
      <c r="BE1385" s="68"/>
      <c r="BF1385" s="68"/>
      <c r="BG1385" s="68"/>
      <c r="BH1385" s="68"/>
      <c r="BI1385" s="68"/>
      <c r="BJ1385" s="68"/>
      <c r="BK1385" s="68"/>
      <c r="BL1385" s="68"/>
      <c r="BM1385" s="68"/>
      <c r="BN1385" s="68"/>
      <c r="BO1385" s="68"/>
      <c r="BP1385" s="68"/>
      <c r="BQ1385" s="68"/>
      <c r="BR1385" s="68"/>
      <c r="BS1385" s="68"/>
      <c r="BT1385" s="68"/>
      <c r="BU1385" s="68"/>
      <c r="BV1385" s="68"/>
      <c r="BW1385" s="68"/>
      <c r="BX1385" s="68"/>
      <c r="BY1385" s="68"/>
      <c r="BZ1385" s="68"/>
      <c r="CA1385" s="68"/>
      <c r="CB1385" s="68"/>
      <c r="CC1385" s="68"/>
      <c r="CD1385" s="68"/>
      <c r="CE1385" s="68"/>
      <c r="CF1385" s="68"/>
      <c r="CG1385" s="68"/>
      <c r="CH1385" s="68"/>
      <c r="CI1385" s="68"/>
      <c r="CJ1385" s="68"/>
      <c r="CK1385" s="68"/>
      <c r="CL1385" s="68"/>
      <c r="CM1385" s="68"/>
      <c r="CN1385" s="68"/>
      <c r="CO1385" s="68"/>
      <c r="CP1385" s="68"/>
      <c r="CQ1385" s="68"/>
      <c r="CR1385" s="68"/>
      <c r="CS1385" s="68"/>
      <c r="CT1385" s="68"/>
      <c r="CU1385" s="68"/>
      <c r="CV1385" s="68"/>
      <c r="CW1385" s="68"/>
      <c r="CX1385" s="68"/>
    </row>
    <row r="1386" spans="4:102" s="71" customFormat="1" hidden="1">
      <c r="D1386" s="69"/>
      <c r="E1386" s="68"/>
      <c r="F1386" s="68"/>
      <c r="G1386" s="68"/>
      <c r="H1386" s="68"/>
      <c r="I1386" s="68"/>
      <c r="J1386" s="68"/>
      <c r="K1386" s="73"/>
      <c r="L1386" s="68"/>
      <c r="M1386" s="68"/>
      <c r="N1386" s="68"/>
      <c r="O1386" s="68"/>
      <c r="P1386" s="65"/>
      <c r="Q1386" s="103"/>
      <c r="R1386" s="103"/>
      <c r="S1386" s="103"/>
      <c r="T1386" s="103"/>
      <c r="U1386" s="68"/>
      <c r="V1386" s="69"/>
      <c r="W1386" s="68"/>
      <c r="X1386" s="68"/>
      <c r="Y1386" s="68"/>
      <c r="Z1386" s="68"/>
      <c r="AA1386" s="68"/>
      <c r="AB1386" s="68"/>
      <c r="AC1386" s="68"/>
      <c r="AD1386" s="68"/>
      <c r="AE1386" s="68"/>
      <c r="AF1386" s="68"/>
      <c r="AG1386" s="68"/>
      <c r="AH1386" s="68"/>
      <c r="AI1386" s="68"/>
      <c r="AJ1386" s="68"/>
      <c r="AK1386" s="68"/>
      <c r="AL1386" s="68"/>
      <c r="AM1386" s="68"/>
      <c r="AN1386" s="68"/>
      <c r="AO1386" s="68"/>
      <c r="AP1386" s="68"/>
      <c r="AQ1386" s="68"/>
      <c r="AR1386" s="68"/>
      <c r="AS1386" s="68"/>
      <c r="AT1386" s="68"/>
      <c r="AU1386" s="68"/>
      <c r="AV1386" s="68"/>
      <c r="AW1386" s="68"/>
      <c r="AX1386" s="68"/>
      <c r="AY1386" s="68"/>
      <c r="AZ1386" s="68"/>
      <c r="BA1386" s="68"/>
      <c r="BB1386" s="68"/>
      <c r="BC1386" s="68"/>
      <c r="BD1386" s="68"/>
      <c r="BE1386" s="68"/>
      <c r="BF1386" s="68"/>
      <c r="BG1386" s="68"/>
      <c r="BH1386" s="68"/>
      <c r="BI1386" s="68"/>
      <c r="BJ1386" s="68"/>
      <c r="BK1386" s="68"/>
      <c r="BL1386" s="68"/>
      <c r="BM1386" s="68"/>
      <c r="BN1386" s="68"/>
      <c r="BO1386" s="68"/>
      <c r="BP1386" s="68"/>
      <c r="BQ1386" s="68"/>
      <c r="BR1386" s="68"/>
      <c r="BS1386" s="68"/>
      <c r="BT1386" s="68"/>
      <c r="BU1386" s="68"/>
      <c r="BV1386" s="68"/>
      <c r="BW1386" s="68"/>
      <c r="BX1386" s="68"/>
      <c r="BY1386" s="68"/>
      <c r="BZ1386" s="68"/>
      <c r="CA1386" s="68"/>
      <c r="CB1386" s="68"/>
      <c r="CC1386" s="68"/>
      <c r="CD1386" s="68"/>
      <c r="CE1386" s="68"/>
      <c r="CF1386" s="68"/>
      <c r="CG1386" s="68"/>
      <c r="CH1386" s="68"/>
      <c r="CI1386" s="68"/>
      <c r="CJ1386" s="68"/>
      <c r="CK1386" s="68"/>
      <c r="CL1386" s="68"/>
      <c r="CM1386" s="68"/>
      <c r="CN1386" s="68"/>
      <c r="CO1386" s="68"/>
      <c r="CP1386" s="68"/>
      <c r="CQ1386" s="68"/>
      <c r="CR1386" s="68"/>
      <c r="CS1386" s="68"/>
      <c r="CT1386" s="68"/>
      <c r="CU1386" s="68"/>
      <c r="CV1386" s="68"/>
      <c r="CW1386" s="68"/>
      <c r="CX1386" s="68"/>
    </row>
    <row r="1387" spans="4:102" s="71" customFormat="1" hidden="1">
      <c r="D1387" s="69"/>
      <c r="E1387" s="68"/>
      <c r="F1387" s="68"/>
      <c r="G1387" s="68"/>
      <c r="H1387" s="68"/>
      <c r="I1387" s="68"/>
      <c r="J1387" s="68"/>
      <c r="K1387" s="73"/>
      <c r="L1387" s="68"/>
      <c r="M1387" s="68"/>
      <c r="N1387" s="68"/>
      <c r="O1387" s="68"/>
      <c r="P1387" s="65"/>
      <c r="Q1387" s="103"/>
      <c r="R1387" s="103"/>
      <c r="S1387" s="103"/>
      <c r="T1387" s="103"/>
      <c r="U1387" s="68"/>
      <c r="V1387" s="69"/>
      <c r="W1387" s="68"/>
      <c r="X1387" s="68"/>
      <c r="Y1387" s="68"/>
      <c r="Z1387" s="68"/>
      <c r="AA1387" s="68"/>
      <c r="AB1387" s="68"/>
      <c r="AC1387" s="68"/>
      <c r="AD1387" s="68"/>
      <c r="AE1387" s="68"/>
      <c r="AF1387" s="68"/>
      <c r="AG1387" s="68"/>
      <c r="AH1387" s="68"/>
      <c r="AI1387" s="68"/>
      <c r="AJ1387" s="68"/>
      <c r="AK1387" s="68"/>
      <c r="AL1387" s="68"/>
      <c r="AM1387" s="68"/>
      <c r="AN1387" s="68"/>
      <c r="AO1387" s="68"/>
      <c r="AP1387" s="68"/>
      <c r="AQ1387" s="68"/>
      <c r="AR1387" s="68"/>
      <c r="AS1387" s="68"/>
      <c r="AT1387" s="68"/>
      <c r="AU1387" s="68"/>
      <c r="AV1387" s="68"/>
      <c r="AW1387" s="68"/>
      <c r="AX1387" s="68"/>
      <c r="AY1387" s="68"/>
      <c r="AZ1387" s="68"/>
      <c r="BA1387" s="68"/>
      <c r="BB1387" s="68"/>
      <c r="BC1387" s="68"/>
      <c r="BD1387" s="68"/>
      <c r="BE1387" s="68"/>
      <c r="BF1387" s="68"/>
      <c r="BG1387" s="68"/>
      <c r="BH1387" s="68"/>
      <c r="BI1387" s="68"/>
      <c r="BJ1387" s="68"/>
      <c r="BK1387" s="68"/>
      <c r="BL1387" s="68"/>
      <c r="BM1387" s="68"/>
      <c r="BN1387" s="68"/>
      <c r="BO1387" s="68"/>
      <c r="BP1387" s="68"/>
      <c r="BQ1387" s="68"/>
      <c r="BR1387" s="68"/>
      <c r="BS1387" s="68"/>
      <c r="BT1387" s="68"/>
      <c r="BU1387" s="68"/>
      <c r="BV1387" s="68"/>
      <c r="BW1387" s="68"/>
      <c r="BX1387" s="68"/>
      <c r="BY1387" s="68"/>
      <c r="BZ1387" s="68"/>
      <c r="CA1387" s="68"/>
      <c r="CB1387" s="68"/>
      <c r="CC1387" s="68"/>
      <c r="CD1387" s="68"/>
      <c r="CE1387" s="68"/>
      <c r="CF1387" s="68"/>
      <c r="CG1387" s="68"/>
      <c r="CH1387" s="68"/>
      <c r="CI1387" s="68"/>
      <c r="CJ1387" s="68"/>
      <c r="CK1387" s="68"/>
      <c r="CL1387" s="68"/>
      <c r="CM1387" s="68"/>
      <c r="CN1387" s="68"/>
      <c r="CO1387" s="68"/>
      <c r="CP1387" s="68"/>
      <c r="CQ1387" s="68"/>
      <c r="CR1387" s="68"/>
      <c r="CS1387" s="68"/>
      <c r="CT1387" s="68"/>
      <c r="CU1387" s="68"/>
      <c r="CV1387" s="68"/>
      <c r="CW1387" s="68"/>
      <c r="CX1387" s="68"/>
    </row>
    <row r="1388" spans="4:102" s="71" customFormat="1" hidden="1">
      <c r="D1388" s="69"/>
      <c r="E1388" s="68"/>
      <c r="F1388" s="68"/>
      <c r="G1388" s="68"/>
      <c r="H1388" s="68"/>
      <c r="I1388" s="68"/>
      <c r="J1388" s="68"/>
      <c r="K1388" s="73"/>
      <c r="L1388" s="68"/>
      <c r="M1388" s="68"/>
      <c r="N1388" s="68"/>
      <c r="O1388" s="68"/>
      <c r="P1388" s="65"/>
      <c r="Q1388" s="103"/>
      <c r="R1388" s="103"/>
      <c r="S1388" s="103"/>
      <c r="T1388" s="103"/>
      <c r="U1388" s="68"/>
      <c r="V1388" s="69"/>
      <c r="W1388" s="68"/>
      <c r="X1388" s="68"/>
      <c r="Y1388" s="68"/>
      <c r="Z1388" s="68"/>
      <c r="AA1388" s="68"/>
      <c r="AB1388" s="68"/>
      <c r="AC1388" s="68"/>
      <c r="AD1388" s="68"/>
      <c r="AE1388" s="68"/>
      <c r="AF1388" s="68"/>
      <c r="AG1388" s="68"/>
      <c r="AH1388" s="68"/>
      <c r="AI1388" s="68"/>
      <c r="AJ1388" s="68"/>
      <c r="AK1388" s="68"/>
      <c r="AL1388" s="68"/>
      <c r="AM1388" s="68"/>
      <c r="AN1388" s="68"/>
      <c r="AO1388" s="68"/>
      <c r="AP1388" s="68"/>
      <c r="AQ1388" s="68"/>
      <c r="AR1388" s="68"/>
      <c r="AS1388" s="68"/>
      <c r="AT1388" s="68"/>
      <c r="AU1388" s="68"/>
      <c r="AV1388" s="68"/>
      <c r="AW1388" s="68"/>
      <c r="AX1388" s="68"/>
      <c r="AY1388" s="68"/>
      <c r="AZ1388" s="68"/>
      <c r="BA1388" s="68"/>
      <c r="BB1388" s="68"/>
      <c r="BC1388" s="68"/>
      <c r="BD1388" s="68"/>
      <c r="BE1388" s="68"/>
      <c r="BF1388" s="68"/>
      <c r="BG1388" s="68"/>
      <c r="BH1388" s="68"/>
      <c r="BI1388" s="68"/>
      <c r="BJ1388" s="68"/>
      <c r="BK1388" s="68"/>
      <c r="BL1388" s="68"/>
      <c r="BM1388" s="68"/>
      <c r="BN1388" s="68"/>
      <c r="BO1388" s="68"/>
      <c r="BP1388" s="68"/>
      <c r="BQ1388" s="68"/>
      <c r="BR1388" s="68"/>
      <c r="BS1388" s="68"/>
      <c r="BT1388" s="68"/>
      <c r="BU1388" s="68"/>
      <c r="BV1388" s="68"/>
      <c r="BW1388" s="68"/>
      <c r="BX1388" s="68"/>
      <c r="BY1388" s="68"/>
      <c r="BZ1388" s="68"/>
      <c r="CA1388" s="68"/>
      <c r="CB1388" s="68"/>
      <c r="CC1388" s="68"/>
      <c r="CD1388" s="68"/>
      <c r="CE1388" s="68"/>
      <c r="CF1388" s="68"/>
      <c r="CG1388" s="68"/>
      <c r="CH1388" s="68"/>
      <c r="CI1388" s="68"/>
      <c r="CJ1388" s="68"/>
      <c r="CK1388" s="68"/>
      <c r="CL1388" s="68"/>
      <c r="CM1388" s="68"/>
      <c r="CN1388" s="68"/>
      <c r="CO1388" s="68"/>
      <c r="CP1388" s="68"/>
      <c r="CQ1388" s="68"/>
      <c r="CR1388" s="68"/>
      <c r="CS1388" s="68"/>
      <c r="CT1388" s="68"/>
      <c r="CU1388" s="68"/>
      <c r="CV1388" s="68"/>
      <c r="CW1388" s="68"/>
      <c r="CX1388" s="68"/>
    </row>
    <row r="1389" spans="4:102" s="71" customFormat="1" hidden="1">
      <c r="D1389" s="69"/>
      <c r="E1389" s="68"/>
      <c r="F1389" s="68"/>
      <c r="G1389" s="68"/>
      <c r="H1389" s="68"/>
      <c r="I1389" s="68"/>
      <c r="J1389" s="68"/>
      <c r="K1389" s="73"/>
      <c r="L1389" s="68"/>
      <c r="M1389" s="68"/>
      <c r="N1389" s="68"/>
      <c r="O1389" s="68"/>
      <c r="P1389" s="65"/>
      <c r="Q1389" s="103"/>
      <c r="R1389" s="103"/>
      <c r="S1389" s="103"/>
      <c r="T1389" s="103"/>
      <c r="U1389" s="68"/>
      <c r="V1389" s="69"/>
      <c r="W1389" s="68"/>
      <c r="X1389" s="68"/>
      <c r="Y1389" s="68"/>
      <c r="Z1389" s="68"/>
      <c r="AA1389" s="68"/>
      <c r="AB1389" s="68"/>
      <c r="AC1389" s="68"/>
      <c r="AD1389" s="68"/>
      <c r="AE1389" s="68"/>
      <c r="AF1389" s="68"/>
      <c r="AG1389" s="68"/>
      <c r="AH1389" s="68"/>
      <c r="AI1389" s="68"/>
      <c r="AJ1389" s="68"/>
      <c r="AK1389" s="68"/>
      <c r="AL1389" s="68"/>
      <c r="AM1389" s="68"/>
      <c r="AN1389" s="68"/>
      <c r="AO1389" s="68"/>
      <c r="AP1389" s="68"/>
      <c r="AQ1389" s="68"/>
      <c r="AR1389" s="68"/>
      <c r="AS1389" s="68"/>
      <c r="AT1389" s="68"/>
      <c r="AU1389" s="68"/>
      <c r="AV1389" s="68"/>
      <c r="AW1389" s="68"/>
      <c r="AX1389" s="68"/>
      <c r="AY1389" s="68"/>
      <c r="AZ1389" s="68"/>
      <c r="BA1389" s="68"/>
      <c r="BB1389" s="68"/>
      <c r="BC1389" s="68"/>
      <c r="BD1389" s="68"/>
      <c r="BE1389" s="68"/>
      <c r="BF1389" s="68"/>
      <c r="BG1389" s="68"/>
      <c r="BH1389" s="68"/>
      <c r="BI1389" s="68"/>
      <c r="BJ1389" s="68"/>
      <c r="BK1389" s="68"/>
      <c r="BL1389" s="68"/>
      <c r="BM1389" s="68"/>
      <c r="BN1389" s="68"/>
      <c r="BO1389" s="68"/>
      <c r="BP1389" s="68"/>
      <c r="BQ1389" s="68"/>
      <c r="BR1389" s="68"/>
      <c r="BS1389" s="68"/>
      <c r="BT1389" s="68"/>
      <c r="BU1389" s="68"/>
      <c r="BV1389" s="68"/>
      <c r="BW1389" s="68"/>
      <c r="BX1389" s="68"/>
      <c r="BY1389" s="68"/>
      <c r="BZ1389" s="68"/>
      <c r="CA1389" s="68"/>
      <c r="CB1389" s="68"/>
      <c r="CC1389" s="68"/>
      <c r="CD1389" s="68"/>
      <c r="CE1389" s="68"/>
      <c r="CF1389" s="68"/>
      <c r="CG1389" s="68"/>
      <c r="CH1389" s="68"/>
      <c r="CI1389" s="68"/>
      <c r="CJ1389" s="68"/>
      <c r="CK1389" s="68"/>
      <c r="CL1389" s="68"/>
      <c r="CM1389" s="68"/>
      <c r="CN1389" s="68"/>
      <c r="CO1389" s="68"/>
      <c r="CP1389" s="68"/>
      <c r="CQ1389" s="68"/>
      <c r="CR1389" s="68"/>
      <c r="CS1389" s="68"/>
      <c r="CT1389" s="68"/>
      <c r="CU1389" s="68"/>
      <c r="CV1389" s="68"/>
      <c r="CW1389" s="68"/>
      <c r="CX1389" s="68"/>
    </row>
    <row r="1390" spans="4:102" s="71" customFormat="1" hidden="1">
      <c r="D1390" s="69"/>
      <c r="E1390" s="68"/>
      <c r="F1390" s="68"/>
      <c r="G1390" s="68"/>
      <c r="H1390" s="68"/>
      <c r="I1390" s="68"/>
      <c r="J1390" s="68"/>
      <c r="K1390" s="73"/>
      <c r="L1390" s="68"/>
      <c r="M1390" s="68"/>
      <c r="N1390" s="68"/>
      <c r="O1390" s="68"/>
      <c r="P1390" s="65"/>
      <c r="Q1390" s="103"/>
      <c r="R1390" s="103"/>
      <c r="S1390" s="103"/>
      <c r="T1390" s="103"/>
      <c r="U1390" s="68"/>
      <c r="V1390" s="69"/>
      <c r="W1390" s="68"/>
      <c r="X1390" s="68"/>
      <c r="Y1390" s="68"/>
      <c r="Z1390" s="68"/>
      <c r="AA1390" s="68"/>
      <c r="AB1390" s="68"/>
      <c r="AC1390" s="68"/>
      <c r="AD1390" s="68"/>
      <c r="AE1390" s="68"/>
      <c r="AF1390" s="68"/>
      <c r="AG1390" s="68"/>
      <c r="AH1390" s="68"/>
      <c r="AI1390" s="68"/>
      <c r="AJ1390" s="68"/>
      <c r="AK1390" s="68"/>
      <c r="AL1390" s="68"/>
      <c r="AM1390" s="68"/>
      <c r="AN1390" s="68"/>
      <c r="AO1390" s="68"/>
      <c r="AP1390" s="68"/>
      <c r="AQ1390" s="68"/>
      <c r="AR1390" s="68"/>
      <c r="AS1390" s="68"/>
      <c r="AT1390" s="68"/>
      <c r="AU1390" s="68"/>
      <c r="AV1390" s="68"/>
      <c r="AW1390" s="68"/>
      <c r="AX1390" s="68"/>
      <c r="AY1390" s="68"/>
      <c r="AZ1390" s="68"/>
      <c r="BA1390" s="68"/>
      <c r="BB1390" s="68"/>
      <c r="BC1390" s="68"/>
      <c r="BD1390" s="68"/>
      <c r="BE1390" s="68"/>
      <c r="BF1390" s="68"/>
      <c r="BG1390" s="68"/>
      <c r="BH1390" s="68"/>
      <c r="BI1390" s="68"/>
      <c r="BJ1390" s="68"/>
      <c r="BK1390" s="68"/>
      <c r="BL1390" s="68"/>
      <c r="BM1390" s="68"/>
      <c r="BN1390" s="68"/>
      <c r="BO1390" s="68"/>
      <c r="BP1390" s="68"/>
      <c r="BQ1390" s="68"/>
      <c r="BR1390" s="68"/>
      <c r="BS1390" s="68"/>
      <c r="BT1390" s="68"/>
      <c r="BU1390" s="68"/>
      <c r="BV1390" s="68"/>
      <c r="BW1390" s="68"/>
      <c r="BX1390" s="68"/>
      <c r="BY1390" s="68"/>
      <c r="BZ1390" s="68"/>
      <c r="CA1390" s="68"/>
      <c r="CB1390" s="68"/>
      <c r="CC1390" s="68"/>
      <c r="CD1390" s="68"/>
      <c r="CE1390" s="68"/>
      <c r="CF1390" s="68"/>
      <c r="CG1390" s="68"/>
      <c r="CH1390" s="68"/>
      <c r="CI1390" s="68"/>
      <c r="CJ1390" s="68"/>
      <c r="CK1390" s="68"/>
      <c r="CL1390" s="68"/>
      <c r="CM1390" s="68"/>
      <c r="CN1390" s="68"/>
      <c r="CO1390" s="68"/>
      <c r="CP1390" s="68"/>
      <c r="CQ1390" s="68"/>
      <c r="CR1390" s="68"/>
      <c r="CS1390" s="68"/>
      <c r="CT1390" s="68"/>
      <c r="CU1390" s="68"/>
      <c r="CV1390" s="68"/>
      <c r="CW1390" s="68"/>
      <c r="CX1390" s="68"/>
    </row>
    <row r="1391" spans="4:102" s="71" customFormat="1" hidden="1">
      <c r="D1391" s="69"/>
      <c r="E1391" s="68"/>
      <c r="F1391" s="68"/>
      <c r="G1391" s="68"/>
      <c r="H1391" s="68"/>
      <c r="I1391" s="68"/>
      <c r="J1391" s="68"/>
      <c r="K1391" s="73"/>
      <c r="L1391" s="68"/>
      <c r="M1391" s="68"/>
      <c r="N1391" s="68"/>
      <c r="O1391" s="68"/>
      <c r="P1391" s="65"/>
      <c r="Q1391" s="103"/>
      <c r="R1391" s="103"/>
      <c r="S1391" s="103"/>
      <c r="T1391" s="103"/>
      <c r="U1391" s="68"/>
      <c r="V1391" s="69"/>
      <c r="W1391" s="68"/>
      <c r="X1391" s="68"/>
      <c r="Y1391" s="68"/>
      <c r="Z1391" s="68"/>
      <c r="AA1391" s="68"/>
      <c r="AB1391" s="68"/>
      <c r="AC1391" s="68"/>
      <c r="AD1391" s="68"/>
      <c r="AE1391" s="68"/>
      <c r="AF1391" s="68"/>
      <c r="AG1391" s="68"/>
      <c r="AH1391" s="68"/>
      <c r="AI1391" s="68"/>
      <c r="AJ1391" s="68"/>
      <c r="AK1391" s="68"/>
      <c r="AL1391" s="68"/>
      <c r="AM1391" s="68"/>
      <c r="AN1391" s="68"/>
      <c r="AO1391" s="68"/>
      <c r="AP1391" s="68"/>
      <c r="AQ1391" s="68"/>
      <c r="AR1391" s="68"/>
      <c r="AS1391" s="68"/>
      <c r="AT1391" s="68"/>
      <c r="AU1391" s="68"/>
      <c r="AV1391" s="68"/>
      <c r="AW1391" s="68"/>
      <c r="AX1391" s="68"/>
      <c r="AY1391" s="68"/>
      <c r="AZ1391" s="68"/>
      <c r="BA1391" s="68"/>
      <c r="BB1391" s="68"/>
      <c r="BC1391" s="68"/>
      <c r="BD1391" s="68"/>
      <c r="BE1391" s="68"/>
      <c r="BF1391" s="68"/>
      <c r="BG1391" s="68"/>
      <c r="BH1391" s="68"/>
      <c r="BI1391" s="68"/>
      <c r="BJ1391" s="68"/>
      <c r="BK1391" s="68"/>
      <c r="BL1391" s="68"/>
      <c r="BM1391" s="68"/>
      <c r="BN1391" s="68"/>
      <c r="BO1391" s="68"/>
      <c r="BP1391" s="68"/>
      <c r="BQ1391" s="68"/>
      <c r="BR1391" s="68"/>
      <c r="BS1391" s="68"/>
      <c r="BT1391" s="68"/>
      <c r="BU1391" s="68"/>
      <c r="BV1391" s="68"/>
      <c r="BW1391" s="68"/>
      <c r="BX1391" s="68"/>
      <c r="BY1391" s="68"/>
      <c r="BZ1391" s="68"/>
      <c r="CA1391" s="68"/>
      <c r="CB1391" s="68"/>
      <c r="CC1391" s="68"/>
      <c r="CD1391" s="68"/>
      <c r="CE1391" s="68"/>
      <c r="CF1391" s="68"/>
      <c r="CG1391" s="68"/>
      <c r="CH1391" s="68"/>
      <c r="CI1391" s="68"/>
      <c r="CJ1391" s="68"/>
      <c r="CK1391" s="68"/>
      <c r="CL1391" s="68"/>
      <c r="CM1391" s="68"/>
      <c r="CN1391" s="68"/>
      <c r="CO1391" s="68"/>
      <c r="CP1391" s="68"/>
      <c r="CQ1391" s="68"/>
      <c r="CR1391" s="68"/>
      <c r="CS1391" s="68"/>
      <c r="CT1391" s="68"/>
      <c r="CU1391" s="68"/>
      <c r="CV1391" s="68"/>
      <c r="CW1391" s="68"/>
      <c r="CX1391" s="68"/>
    </row>
    <row r="1392" spans="4:102" s="71" customFormat="1" hidden="1">
      <c r="D1392" s="69"/>
      <c r="E1392" s="68"/>
      <c r="F1392" s="68"/>
      <c r="G1392" s="68"/>
      <c r="H1392" s="68"/>
      <c r="I1392" s="68"/>
      <c r="J1392" s="68"/>
      <c r="K1392" s="73"/>
      <c r="L1392" s="68"/>
      <c r="M1392" s="68"/>
      <c r="N1392" s="68"/>
      <c r="O1392" s="68"/>
      <c r="P1392" s="65"/>
      <c r="Q1392" s="103"/>
      <c r="R1392" s="103"/>
      <c r="S1392" s="103"/>
      <c r="T1392" s="103"/>
      <c r="U1392" s="68"/>
      <c r="V1392" s="69"/>
      <c r="W1392" s="68"/>
      <c r="X1392" s="68"/>
      <c r="Y1392" s="68"/>
      <c r="Z1392" s="68"/>
      <c r="AA1392" s="68"/>
      <c r="AB1392" s="68"/>
      <c r="AC1392" s="68"/>
      <c r="AD1392" s="68"/>
      <c r="AE1392" s="68"/>
      <c r="AF1392" s="68"/>
      <c r="AG1392" s="68"/>
      <c r="AH1392" s="68"/>
      <c r="AI1392" s="68"/>
      <c r="AJ1392" s="68"/>
      <c r="AK1392" s="68"/>
      <c r="AL1392" s="68"/>
      <c r="AM1392" s="68"/>
      <c r="AN1392" s="68"/>
      <c r="AO1392" s="68"/>
      <c r="AP1392" s="68"/>
      <c r="AQ1392" s="68"/>
      <c r="AR1392" s="68"/>
      <c r="AS1392" s="68"/>
      <c r="AT1392" s="68"/>
      <c r="AU1392" s="68"/>
      <c r="AV1392" s="68"/>
      <c r="AW1392" s="68"/>
      <c r="AX1392" s="68"/>
      <c r="AY1392" s="68"/>
      <c r="AZ1392" s="68"/>
      <c r="BA1392" s="68"/>
      <c r="BB1392" s="68"/>
      <c r="BC1392" s="68"/>
      <c r="BD1392" s="68"/>
      <c r="BE1392" s="68"/>
      <c r="BF1392" s="68"/>
      <c r="BG1392" s="68"/>
      <c r="BH1392" s="68"/>
      <c r="BI1392" s="68"/>
      <c r="BJ1392" s="68"/>
      <c r="BK1392" s="68"/>
      <c r="BL1392" s="68"/>
      <c r="BM1392" s="68"/>
      <c r="BN1392" s="68"/>
      <c r="BO1392" s="68"/>
      <c r="BP1392" s="68"/>
      <c r="BQ1392" s="68"/>
      <c r="BR1392" s="68"/>
      <c r="BS1392" s="68"/>
      <c r="BT1392" s="68"/>
      <c r="BU1392" s="68"/>
      <c r="BV1392" s="68"/>
      <c r="BW1392" s="68"/>
      <c r="BX1392" s="68"/>
      <c r="BY1392" s="68"/>
      <c r="BZ1392" s="68"/>
      <c r="CA1392" s="68"/>
      <c r="CB1392" s="68"/>
      <c r="CC1392" s="68"/>
      <c r="CD1392" s="68"/>
      <c r="CE1392" s="68"/>
      <c r="CF1392" s="68"/>
      <c r="CG1392" s="68"/>
      <c r="CH1392" s="68"/>
      <c r="CI1392" s="68"/>
      <c r="CJ1392" s="68"/>
      <c r="CK1392" s="68"/>
      <c r="CL1392" s="68"/>
      <c r="CM1392" s="68"/>
      <c r="CN1392" s="68"/>
      <c r="CO1392" s="68"/>
      <c r="CP1392" s="68"/>
      <c r="CQ1392" s="68"/>
      <c r="CR1392" s="68"/>
      <c r="CS1392" s="68"/>
      <c r="CT1392" s="68"/>
      <c r="CU1392" s="68"/>
      <c r="CV1392" s="68"/>
      <c r="CW1392" s="68"/>
      <c r="CX1392" s="68"/>
    </row>
    <row r="1393" spans="4:102" s="71" customFormat="1" hidden="1">
      <c r="D1393" s="69"/>
      <c r="E1393" s="68"/>
      <c r="F1393" s="68"/>
      <c r="G1393" s="68"/>
      <c r="H1393" s="68"/>
      <c r="I1393" s="68"/>
      <c r="J1393" s="68"/>
      <c r="K1393" s="73"/>
      <c r="L1393" s="68"/>
      <c r="M1393" s="68"/>
      <c r="N1393" s="68"/>
      <c r="O1393" s="68"/>
      <c r="P1393" s="65"/>
      <c r="Q1393" s="103"/>
      <c r="R1393" s="103"/>
      <c r="S1393" s="103"/>
      <c r="T1393" s="103"/>
      <c r="U1393" s="68"/>
      <c r="V1393" s="69"/>
      <c r="W1393" s="68"/>
      <c r="X1393" s="68"/>
      <c r="Y1393" s="68"/>
      <c r="Z1393" s="68"/>
      <c r="AA1393" s="68"/>
      <c r="AB1393" s="68"/>
      <c r="AC1393" s="68"/>
      <c r="AD1393" s="68"/>
      <c r="AE1393" s="68"/>
      <c r="AF1393" s="68"/>
      <c r="AG1393" s="68"/>
      <c r="AH1393" s="68"/>
      <c r="AI1393" s="68"/>
      <c r="AJ1393" s="68"/>
      <c r="AK1393" s="68"/>
      <c r="AL1393" s="68"/>
      <c r="AM1393" s="68"/>
      <c r="AN1393" s="68"/>
      <c r="AO1393" s="68"/>
      <c r="AP1393" s="68"/>
      <c r="AQ1393" s="68"/>
      <c r="AR1393" s="68"/>
      <c r="AS1393" s="68"/>
      <c r="AT1393" s="68"/>
      <c r="AU1393" s="68"/>
      <c r="AV1393" s="68"/>
      <c r="AW1393" s="68"/>
      <c r="AX1393" s="68"/>
      <c r="AY1393" s="68"/>
      <c r="AZ1393" s="68"/>
      <c r="BA1393" s="68"/>
      <c r="BB1393" s="68"/>
      <c r="BC1393" s="68"/>
      <c r="BD1393" s="68"/>
      <c r="BE1393" s="68"/>
      <c r="BF1393" s="68"/>
      <c r="BG1393" s="68"/>
      <c r="BH1393" s="68"/>
      <c r="BI1393" s="68"/>
      <c r="BJ1393" s="68"/>
      <c r="BK1393" s="68"/>
      <c r="BL1393" s="68"/>
      <c r="BM1393" s="68"/>
      <c r="BN1393" s="68"/>
      <c r="BO1393" s="68"/>
      <c r="BP1393" s="68"/>
      <c r="BQ1393" s="68"/>
      <c r="BR1393" s="68"/>
      <c r="BS1393" s="68"/>
      <c r="BT1393" s="68"/>
      <c r="BU1393" s="68"/>
      <c r="BV1393" s="68"/>
      <c r="BW1393" s="68"/>
      <c r="BX1393" s="68"/>
      <c r="BY1393" s="68"/>
      <c r="BZ1393" s="68"/>
      <c r="CA1393" s="68"/>
      <c r="CB1393" s="68"/>
      <c r="CC1393" s="68"/>
      <c r="CD1393" s="68"/>
      <c r="CE1393" s="68"/>
      <c r="CF1393" s="68"/>
      <c r="CG1393" s="68"/>
      <c r="CH1393" s="68"/>
      <c r="CI1393" s="68"/>
      <c r="CJ1393" s="68"/>
      <c r="CK1393" s="68"/>
      <c r="CL1393" s="68"/>
      <c r="CM1393" s="68"/>
      <c r="CN1393" s="68"/>
      <c r="CO1393" s="68"/>
      <c r="CP1393" s="68"/>
      <c r="CQ1393" s="68"/>
      <c r="CR1393" s="68"/>
      <c r="CS1393" s="68"/>
      <c r="CT1393" s="68"/>
      <c r="CU1393" s="68"/>
      <c r="CV1393" s="68"/>
      <c r="CW1393" s="68"/>
      <c r="CX1393" s="68"/>
    </row>
    <row r="1394" spans="4:102" s="71" customFormat="1" hidden="1">
      <c r="D1394" s="69"/>
      <c r="E1394" s="68"/>
      <c r="F1394" s="68"/>
      <c r="G1394" s="68"/>
      <c r="H1394" s="68"/>
      <c r="I1394" s="68"/>
      <c r="J1394" s="68"/>
      <c r="K1394" s="73"/>
      <c r="L1394" s="68"/>
      <c r="M1394" s="68"/>
      <c r="N1394" s="68"/>
      <c r="O1394" s="68"/>
      <c r="P1394" s="65"/>
      <c r="Q1394" s="103"/>
      <c r="R1394" s="103"/>
      <c r="S1394" s="103"/>
      <c r="T1394" s="103"/>
      <c r="U1394" s="68"/>
      <c r="V1394" s="69"/>
      <c r="W1394" s="68"/>
      <c r="X1394" s="68"/>
      <c r="Y1394" s="68"/>
      <c r="Z1394" s="68"/>
      <c r="AA1394" s="68"/>
      <c r="AB1394" s="68"/>
      <c r="AC1394" s="68"/>
      <c r="AD1394" s="68"/>
      <c r="AE1394" s="68"/>
      <c r="AF1394" s="68"/>
      <c r="AG1394" s="68"/>
      <c r="AH1394" s="68"/>
      <c r="AI1394" s="68"/>
      <c r="AJ1394" s="68"/>
      <c r="AK1394" s="68"/>
      <c r="AL1394" s="68"/>
      <c r="AM1394" s="68"/>
      <c r="AN1394" s="68"/>
      <c r="AO1394" s="68"/>
      <c r="AP1394" s="68"/>
      <c r="AQ1394" s="68"/>
      <c r="AR1394" s="68"/>
      <c r="AS1394" s="68"/>
      <c r="AT1394" s="68"/>
      <c r="AU1394" s="68"/>
      <c r="AV1394" s="68"/>
      <c r="AW1394" s="68"/>
      <c r="AX1394" s="68"/>
      <c r="AY1394" s="68"/>
      <c r="AZ1394" s="68"/>
      <c r="BA1394" s="68"/>
      <c r="BB1394" s="68"/>
      <c r="BC1394" s="68"/>
      <c r="BD1394" s="68"/>
      <c r="BE1394" s="68"/>
      <c r="BF1394" s="68"/>
      <c r="BG1394" s="68"/>
      <c r="BH1394" s="68"/>
      <c r="BI1394" s="68"/>
      <c r="BJ1394" s="68"/>
      <c r="BK1394" s="68"/>
      <c r="BL1394" s="68"/>
      <c r="BM1394" s="68"/>
      <c r="BN1394" s="68"/>
      <c r="BO1394" s="68"/>
      <c r="BP1394" s="68"/>
      <c r="BQ1394" s="68"/>
      <c r="BR1394" s="68"/>
      <c r="BS1394" s="68"/>
      <c r="BT1394" s="68"/>
      <c r="BU1394" s="68"/>
      <c r="BV1394" s="68"/>
      <c r="BW1394" s="68"/>
      <c r="BX1394" s="68"/>
      <c r="BY1394" s="68"/>
      <c r="BZ1394" s="68"/>
      <c r="CA1394" s="68"/>
      <c r="CB1394" s="68"/>
      <c r="CC1394" s="68"/>
      <c r="CD1394" s="68"/>
      <c r="CE1394" s="68"/>
      <c r="CF1394" s="68"/>
      <c r="CG1394" s="68"/>
      <c r="CH1394" s="68"/>
      <c r="CI1394" s="68"/>
      <c r="CJ1394" s="68"/>
      <c r="CK1394" s="68"/>
      <c r="CL1394" s="68"/>
      <c r="CM1394" s="68"/>
      <c r="CN1394" s="68"/>
      <c r="CO1394" s="68"/>
      <c r="CP1394" s="68"/>
      <c r="CQ1394" s="68"/>
      <c r="CR1394" s="68"/>
      <c r="CS1394" s="68"/>
      <c r="CT1394" s="68"/>
      <c r="CU1394" s="68"/>
      <c r="CV1394" s="68"/>
      <c r="CW1394" s="68"/>
      <c r="CX1394" s="68"/>
    </row>
    <row r="1395" spans="4:102" s="71" customFormat="1" hidden="1">
      <c r="D1395" s="69"/>
      <c r="E1395" s="68"/>
      <c r="F1395" s="68"/>
      <c r="G1395" s="68"/>
      <c r="H1395" s="68"/>
      <c r="I1395" s="68"/>
      <c r="J1395" s="68"/>
      <c r="K1395" s="73"/>
      <c r="L1395" s="68"/>
      <c r="M1395" s="68"/>
      <c r="N1395" s="68"/>
      <c r="O1395" s="68"/>
      <c r="P1395" s="65"/>
      <c r="Q1395" s="103"/>
      <c r="R1395" s="103"/>
      <c r="S1395" s="103"/>
      <c r="T1395" s="103"/>
      <c r="U1395" s="68"/>
      <c r="V1395" s="69"/>
      <c r="W1395" s="68"/>
      <c r="X1395" s="68"/>
      <c r="Y1395" s="68"/>
      <c r="Z1395" s="68"/>
      <c r="AA1395" s="68"/>
      <c r="AB1395" s="68"/>
      <c r="AC1395" s="68"/>
      <c r="AD1395" s="68"/>
      <c r="AE1395" s="68"/>
      <c r="AF1395" s="68"/>
      <c r="AG1395" s="68"/>
      <c r="AH1395" s="68"/>
      <c r="AI1395" s="68"/>
      <c r="AJ1395" s="68"/>
      <c r="AK1395" s="68"/>
      <c r="AL1395" s="68"/>
      <c r="AM1395" s="68"/>
      <c r="AN1395" s="68"/>
      <c r="AO1395" s="68"/>
      <c r="AP1395" s="68"/>
      <c r="AQ1395" s="68"/>
      <c r="AR1395" s="68"/>
      <c r="AS1395" s="68"/>
      <c r="AT1395" s="68"/>
      <c r="AU1395" s="68"/>
      <c r="AV1395" s="68"/>
      <c r="AW1395" s="68"/>
      <c r="AX1395" s="68"/>
      <c r="AY1395" s="68"/>
      <c r="AZ1395" s="68"/>
      <c r="BA1395" s="68"/>
      <c r="BB1395" s="68"/>
      <c r="BC1395" s="68"/>
      <c r="BD1395" s="68"/>
      <c r="BE1395" s="68"/>
      <c r="BF1395" s="68"/>
      <c r="BG1395" s="68"/>
      <c r="BH1395" s="68"/>
      <c r="BI1395" s="68"/>
      <c r="BJ1395" s="68"/>
      <c r="BK1395" s="68"/>
      <c r="BL1395" s="68"/>
      <c r="BM1395" s="68"/>
      <c r="BN1395" s="68"/>
      <c r="BO1395" s="68"/>
      <c r="BP1395" s="68"/>
      <c r="BQ1395" s="68"/>
      <c r="BR1395" s="68"/>
      <c r="BS1395" s="68"/>
      <c r="BT1395" s="68"/>
      <c r="BU1395" s="68"/>
      <c r="BV1395" s="68"/>
      <c r="BW1395" s="68"/>
      <c r="BX1395" s="68"/>
      <c r="BY1395" s="68"/>
      <c r="BZ1395" s="68"/>
      <c r="CA1395" s="68"/>
      <c r="CB1395" s="68"/>
      <c r="CC1395" s="68"/>
      <c r="CD1395" s="68"/>
      <c r="CE1395" s="68"/>
      <c r="CF1395" s="68"/>
      <c r="CG1395" s="68"/>
      <c r="CH1395" s="68"/>
      <c r="CI1395" s="68"/>
      <c r="CJ1395" s="68"/>
      <c r="CK1395" s="68"/>
      <c r="CL1395" s="68"/>
      <c r="CM1395" s="68"/>
      <c r="CN1395" s="68"/>
      <c r="CO1395" s="68"/>
      <c r="CP1395" s="68"/>
      <c r="CQ1395" s="68"/>
      <c r="CR1395" s="68"/>
      <c r="CS1395" s="68"/>
      <c r="CT1395" s="68"/>
      <c r="CU1395" s="68"/>
      <c r="CV1395" s="68"/>
      <c r="CW1395" s="68"/>
      <c r="CX1395" s="68"/>
    </row>
    <row r="1396" spans="4:102" s="71" customFormat="1" hidden="1">
      <c r="D1396" s="69"/>
      <c r="E1396" s="68"/>
      <c r="F1396" s="68"/>
      <c r="G1396" s="68"/>
      <c r="H1396" s="68"/>
      <c r="I1396" s="68"/>
      <c r="J1396" s="68"/>
      <c r="K1396" s="73"/>
      <c r="L1396" s="68"/>
      <c r="M1396" s="68"/>
      <c r="N1396" s="68"/>
      <c r="O1396" s="68"/>
      <c r="P1396" s="65"/>
      <c r="Q1396" s="103"/>
      <c r="R1396" s="103"/>
      <c r="S1396" s="103"/>
      <c r="T1396" s="103"/>
      <c r="U1396" s="68"/>
      <c r="V1396" s="69"/>
      <c r="W1396" s="68"/>
      <c r="X1396" s="68"/>
      <c r="Y1396" s="68"/>
      <c r="Z1396" s="68"/>
      <c r="AA1396" s="68"/>
      <c r="AB1396" s="68"/>
      <c r="AC1396" s="68"/>
      <c r="AD1396" s="68"/>
      <c r="AE1396" s="68"/>
      <c r="AF1396" s="68"/>
      <c r="AG1396" s="68"/>
      <c r="AH1396" s="68"/>
      <c r="AI1396" s="68"/>
      <c r="AJ1396" s="68"/>
      <c r="AK1396" s="68"/>
      <c r="AL1396" s="68"/>
      <c r="AM1396" s="68"/>
      <c r="AN1396" s="68"/>
      <c r="AO1396" s="68"/>
      <c r="AP1396" s="68"/>
      <c r="AQ1396" s="68"/>
      <c r="AR1396" s="68"/>
      <c r="AS1396" s="68"/>
      <c r="AT1396" s="68"/>
      <c r="AU1396" s="68"/>
      <c r="AV1396" s="68"/>
      <c r="AW1396" s="68"/>
      <c r="AX1396" s="68"/>
      <c r="AY1396" s="68"/>
      <c r="AZ1396" s="68"/>
      <c r="BA1396" s="68"/>
      <c r="BB1396" s="68"/>
      <c r="BC1396" s="68"/>
      <c r="BD1396" s="68"/>
      <c r="BE1396" s="68"/>
      <c r="BF1396" s="68"/>
      <c r="BG1396" s="68"/>
      <c r="BH1396" s="68"/>
      <c r="BI1396" s="68"/>
      <c r="BJ1396" s="68"/>
      <c r="BK1396" s="68"/>
      <c r="BL1396" s="68"/>
      <c r="BM1396" s="68"/>
      <c r="BN1396" s="68"/>
      <c r="BO1396" s="68"/>
      <c r="BP1396" s="68"/>
      <c r="BQ1396" s="68"/>
      <c r="BR1396" s="68"/>
      <c r="BS1396" s="68"/>
      <c r="BT1396" s="68"/>
      <c r="BU1396" s="68"/>
      <c r="BV1396" s="68"/>
      <c r="BW1396" s="68"/>
      <c r="BX1396" s="68"/>
      <c r="BY1396" s="68"/>
      <c r="BZ1396" s="68"/>
      <c r="CA1396" s="68"/>
      <c r="CB1396" s="68"/>
      <c r="CC1396" s="68"/>
      <c r="CD1396" s="68"/>
      <c r="CE1396" s="68"/>
      <c r="CF1396" s="68"/>
      <c r="CG1396" s="68"/>
      <c r="CH1396" s="68"/>
      <c r="CI1396" s="68"/>
      <c r="CJ1396" s="68"/>
      <c r="CK1396" s="68"/>
      <c r="CL1396" s="68"/>
      <c r="CM1396" s="68"/>
      <c r="CN1396" s="68"/>
      <c r="CO1396" s="68"/>
      <c r="CP1396" s="68"/>
      <c r="CQ1396" s="68"/>
      <c r="CR1396" s="68"/>
      <c r="CS1396" s="68"/>
      <c r="CT1396" s="68"/>
      <c r="CU1396" s="68"/>
      <c r="CV1396" s="68"/>
      <c r="CW1396" s="68"/>
      <c r="CX1396" s="68"/>
    </row>
    <row r="1397" spans="4:102" s="71" customFormat="1" hidden="1">
      <c r="D1397" s="69"/>
      <c r="E1397" s="68"/>
      <c r="F1397" s="68"/>
      <c r="G1397" s="68"/>
      <c r="H1397" s="68"/>
      <c r="I1397" s="68"/>
      <c r="J1397" s="68"/>
      <c r="K1397" s="73"/>
      <c r="L1397" s="68"/>
      <c r="M1397" s="68"/>
      <c r="N1397" s="68"/>
      <c r="O1397" s="68"/>
      <c r="P1397" s="65"/>
      <c r="Q1397" s="103"/>
      <c r="R1397" s="103"/>
      <c r="S1397" s="103"/>
      <c r="T1397" s="103"/>
      <c r="U1397" s="68"/>
      <c r="V1397" s="69"/>
      <c r="W1397" s="68"/>
      <c r="X1397" s="68"/>
      <c r="Y1397" s="68"/>
      <c r="Z1397" s="68"/>
      <c r="AA1397" s="68"/>
      <c r="AB1397" s="68"/>
      <c r="AC1397" s="68"/>
      <c r="AD1397" s="68"/>
      <c r="AE1397" s="68"/>
      <c r="AF1397" s="68"/>
      <c r="AG1397" s="68"/>
      <c r="AH1397" s="68"/>
      <c r="AI1397" s="68"/>
      <c r="AJ1397" s="68"/>
      <c r="AK1397" s="68"/>
      <c r="AL1397" s="68"/>
      <c r="AM1397" s="68"/>
      <c r="AN1397" s="68"/>
      <c r="AO1397" s="68"/>
      <c r="AP1397" s="68"/>
      <c r="AQ1397" s="68"/>
      <c r="AR1397" s="68"/>
      <c r="AS1397" s="68"/>
      <c r="AT1397" s="68"/>
      <c r="AU1397" s="68"/>
      <c r="AV1397" s="68"/>
      <c r="AW1397" s="68"/>
      <c r="AX1397" s="68"/>
      <c r="AY1397" s="68"/>
      <c r="AZ1397" s="68"/>
      <c r="BA1397" s="68"/>
      <c r="BB1397" s="68"/>
      <c r="BC1397" s="68"/>
      <c r="BD1397" s="68"/>
      <c r="BE1397" s="68"/>
      <c r="BF1397" s="68"/>
      <c r="BG1397" s="68"/>
      <c r="BH1397" s="68"/>
      <c r="BI1397" s="68"/>
      <c r="BJ1397" s="68"/>
      <c r="BK1397" s="68"/>
      <c r="BL1397" s="68"/>
      <c r="BM1397" s="68"/>
      <c r="BN1397" s="68"/>
      <c r="BO1397" s="68"/>
      <c r="BP1397" s="68"/>
      <c r="BQ1397" s="68"/>
      <c r="BR1397" s="68"/>
      <c r="BS1397" s="68"/>
      <c r="BT1397" s="68"/>
      <c r="BU1397" s="68"/>
      <c r="BV1397" s="68"/>
      <c r="BW1397" s="68"/>
      <c r="BX1397" s="68"/>
      <c r="BY1397" s="68"/>
      <c r="BZ1397" s="68"/>
      <c r="CA1397" s="68"/>
      <c r="CB1397" s="68"/>
      <c r="CC1397" s="68"/>
      <c r="CD1397" s="68"/>
      <c r="CE1397" s="68"/>
      <c r="CF1397" s="68"/>
      <c r="CG1397" s="68"/>
      <c r="CH1397" s="68"/>
      <c r="CI1397" s="68"/>
      <c r="CJ1397" s="68"/>
      <c r="CK1397" s="68"/>
      <c r="CL1397" s="68"/>
      <c r="CM1397" s="68"/>
      <c r="CN1397" s="68"/>
      <c r="CO1397" s="68"/>
      <c r="CP1397" s="68"/>
      <c r="CQ1397" s="68"/>
      <c r="CR1397" s="68"/>
      <c r="CS1397" s="68"/>
      <c r="CT1397" s="68"/>
      <c r="CU1397" s="68"/>
      <c r="CV1397" s="68"/>
      <c r="CW1397" s="68"/>
      <c r="CX1397" s="68"/>
    </row>
    <row r="1398" spans="4:102" s="71" customFormat="1" hidden="1">
      <c r="D1398" s="69"/>
      <c r="E1398" s="68"/>
      <c r="F1398" s="68"/>
      <c r="G1398" s="68"/>
      <c r="H1398" s="68"/>
      <c r="I1398" s="68"/>
      <c r="J1398" s="68"/>
      <c r="K1398" s="73"/>
      <c r="L1398" s="68"/>
      <c r="M1398" s="68"/>
      <c r="N1398" s="68"/>
      <c r="O1398" s="68"/>
      <c r="P1398" s="65"/>
      <c r="Q1398" s="103"/>
      <c r="R1398" s="103"/>
      <c r="S1398" s="103"/>
      <c r="T1398" s="103"/>
      <c r="U1398" s="68"/>
      <c r="V1398" s="69"/>
      <c r="W1398" s="68"/>
      <c r="X1398" s="68"/>
      <c r="Y1398" s="68"/>
      <c r="Z1398" s="68"/>
      <c r="AA1398" s="68"/>
      <c r="AB1398" s="68"/>
      <c r="AC1398" s="68"/>
      <c r="AD1398" s="68"/>
      <c r="AE1398" s="68"/>
      <c r="AF1398" s="68"/>
      <c r="AG1398" s="68"/>
      <c r="AH1398" s="68"/>
      <c r="AI1398" s="68"/>
      <c r="AJ1398" s="68"/>
      <c r="AK1398" s="68"/>
      <c r="AL1398" s="68"/>
      <c r="AM1398" s="68"/>
      <c r="AN1398" s="68"/>
      <c r="AO1398" s="68"/>
      <c r="AP1398" s="68"/>
      <c r="AQ1398" s="68"/>
      <c r="AR1398" s="68"/>
      <c r="AS1398" s="68"/>
      <c r="AT1398" s="68"/>
      <c r="AU1398" s="68"/>
      <c r="AV1398" s="68"/>
      <c r="AW1398" s="68"/>
      <c r="AX1398" s="68"/>
      <c r="AY1398" s="68"/>
      <c r="AZ1398" s="68"/>
      <c r="BA1398" s="68"/>
      <c r="BB1398" s="68"/>
      <c r="BC1398" s="68"/>
      <c r="BD1398" s="68"/>
      <c r="BE1398" s="68"/>
      <c r="BF1398" s="68"/>
      <c r="BG1398" s="68"/>
      <c r="BH1398" s="68"/>
      <c r="BI1398" s="68"/>
      <c r="BJ1398" s="68"/>
      <c r="BK1398" s="68"/>
      <c r="BL1398" s="68"/>
      <c r="BM1398" s="68"/>
      <c r="BN1398" s="68"/>
      <c r="BO1398" s="68"/>
      <c r="BP1398" s="68"/>
      <c r="BQ1398" s="68"/>
      <c r="BR1398" s="68"/>
      <c r="BS1398" s="68"/>
      <c r="BT1398" s="68"/>
      <c r="BU1398" s="68"/>
      <c r="BV1398" s="68"/>
      <c r="BW1398" s="68"/>
      <c r="BX1398" s="68"/>
      <c r="BY1398" s="68"/>
      <c r="BZ1398" s="68"/>
      <c r="CA1398" s="68"/>
      <c r="CB1398" s="68"/>
      <c r="CC1398" s="68"/>
      <c r="CD1398" s="68"/>
      <c r="CE1398" s="68"/>
      <c r="CF1398" s="68"/>
      <c r="CG1398" s="68"/>
      <c r="CH1398" s="68"/>
      <c r="CI1398" s="68"/>
      <c r="CJ1398" s="68"/>
      <c r="CK1398" s="68"/>
      <c r="CL1398" s="68"/>
      <c r="CM1398" s="68"/>
      <c r="CN1398" s="68"/>
      <c r="CO1398" s="68"/>
      <c r="CP1398" s="68"/>
      <c r="CQ1398" s="68"/>
      <c r="CR1398" s="68"/>
      <c r="CS1398" s="68"/>
      <c r="CT1398" s="68"/>
      <c r="CU1398" s="68"/>
      <c r="CV1398" s="68"/>
      <c r="CW1398" s="68"/>
      <c r="CX1398" s="68"/>
    </row>
    <row r="1399" spans="4:102" s="71" customFormat="1" hidden="1">
      <c r="D1399" s="69"/>
      <c r="E1399" s="68"/>
      <c r="F1399" s="68"/>
      <c r="G1399" s="68"/>
      <c r="H1399" s="68"/>
      <c r="I1399" s="68"/>
      <c r="J1399" s="68"/>
      <c r="K1399" s="73"/>
      <c r="L1399" s="68"/>
      <c r="M1399" s="68"/>
      <c r="N1399" s="68"/>
      <c r="O1399" s="68"/>
      <c r="P1399" s="65"/>
      <c r="Q1399" s="103"/>
      <c r="R1399" s="103"/>
      <c r="S1399" s="103"/>
      <c r="T1399" s="103"/>
      <c r="U1399" s="68"/>
      <c r="V1399" s="69"/>
      <c r="W1399" s="68"/>
      <c r="X1399" s="68"/>
      <c r="Y1399" s="68"/>
      <c r="Z1399" s="68"/>
      <c r="AA1399" s="68"/>
      <c r="AB1399" s="68"/>
      <c r="AC1399" s="68"/>
      <c r="AD1399" s="68"/>
      <c r="AE1399" s="68"/>
      <c r="AF1399" s="68"/>
      <c r="AG1399" s="68"/>
      <c r="AH1399" s="68"/>
      <c r="AI1399" s="68"/>
      <c r="AJ1399" s="68"/>
      <c r="AK1399" s="68"/>
      <c r="AL1399" s="68"/>
      <c r="AM1399" s="68"/>
      <c r="AN1399" s="68"/>
      <c r="AO1399" s="68"/>
      <c r="AP1399" s="68"/>
      <c r="AQ1399" s="68"/>
      <c r="AR1399" s="68"/>
      <c r="AS1399" s="68"/>
      <c r="AT1399" s="68"/>
      <c r="AU1399" s="68"/>
      <c r="AV1399" s="68"/>
      <c r="AW1399" s="68"/>
      <c r="AX1399" s="68"/>
      <c r="AY1399" s="68"/>
      <c r="AZ1399" s="68"/>
      <c r="BA1399" s="68"/>
      <c r="BB1399" s="68"/>
      <c r="BC1399" s="68"/>
      <c r="BD1399" s="68"/>
      <c r="BE1399" s="68"/>
      <c r="BF1399" s="68"/>
      <c r="BG1399" s="68"/>
      <c r="BH1399" s="68"/>
      <c r="BI1399" s="68"/>
      <c r="BJ1399" s="68"/>
      <c r="BK1399" s="68"/>
      <c r="BL1399" s="68"/>
      <c r="BM1399" s="68"/>
      <c r="BN1399" s="68"/>
      <c r="BO1399" s="68"/>
      <c r="BP1399" s="68"/>
      <c r="BQ1399" s="68"/>
      <c r="BR1399" s="68"/>
      <c r="BS1399" s="68"/>
      <c r="BT1399" s="68"/>
      <c r="BU1399" s="68"/>
      <c r="BV1399" s="68"/>
      <c r="BW1399" s="68"/>
      <c r="BX1399" s="68"/>
      <c r="BY1399" s="68"/>
      <c r="BZ1399" s="68"/>
      <c r="CA1399" s="68"/>
      <c r="CB1399" s="68"/>
      <c r="CC1399" s="68"/>
      <c r="CD1399" s="68"/>
      <c r="CE1399" s="68"/>
      <c r="CF1399" s="68"/>
      <c r="CG1399" s="68"/>
      <c r="CH1399" s="68"/>
      <c r="CI1399" s="68"/>
      <c r="CJ1399" s="68"/>
      <c r="CK1399" s="68"/>
      <c r="CL1399" s="68"/>
      <c r="CM1399" s="68"/>
      <c r="CN1399" s="68"/>
      <c r="CO1399" s="68"/>
      <c r="CP1399" s="68"/>
      <c r="CQ1399" s="68"/>
      <c r="CR1399" s="68"/>
      <c r="CS1399" s="68"/>
      <c r="CT1399" s="68"/>
      <c r="CU1399" s="68"/>
      <c r="CV1399" s="68"/>
      <c r="CW1399" s="68"/>
      <c r="CX1399" s="68"/>
    </row>
    <row r="1400" spans="4:102" s="71" customFormat="1" hidden="1">
      <c r="D1400" s="69"/>
      <c r="E1400" s="68"/>
      <c r="F1400" s="68"/>
      <c r="G1400" s="68"/>
      <c r="H1400" s="68"/>
      <c r="I1400" s="68"/>
      <c r="J1400" s="68"/>
      <c r="K1400" s="73"/>
      <c r="L1400" s="68"/>
      <c r="M1400" s="68"/>
      <c r="N1400" s="68"/>
      <c r="O1400" s="68"/>
      <c r="P1400" s="65"/>
      <c r="Q1400" s="103"/>
      <c r="R1400" s="103"/>
      <c r="S1400" s="103"/>
      <c r="T1400" s="103"/>
      <c r="U1400" s="68"/>
      <c r="V1400" s="69"/>
      <c r="W1400" s="68"/>
      <c r="X1400" s="68"/>
      <c r="Y1400" s="68"/>
      <c r="Z1400" s="68"/>
      <c r="AA1400" s="68"/>
      <c r="AB1400" s="68"/>
      <c r="AC1400" s="68"/>
      <c r="AD1400" s="68"/>
      <c r="AE1400" s="68"/>
      <c r="AF1400" s="68"/>
      <c r="AG1400" s="68"/>
      <c r="AH1400" s="68"/>
      <c r="AI1400" s="68"/>
      <c r="AJ1400" s="68"/>
      <c r="AK1400" s="68"/>
      <c r="AL1400" s="68"/>
      <c r="AM1400" s="68"/>
      <c r="AN1400" s="68"/>
      <c r="AO1400" s="68"/>
      <c r="AP1400" s="68"/>
      <c r="AQ1400" s="68"/>
      <c r="AR1400" s="68"/>
      <c r="AS1400" s="68"/>
      <c r="AT1400" s="68"/>
      <c r="AU1400" s="68"/>
      <c r="AV1400" s="68"/>
      <c r="AW1400" s="68"/>
      <c r="AX1400" s="68"/>
      <c r="AY1400" s="68"/>
      <c r="AZ1400" s="68"/>
      <c r="BA1400" s="68"/>
      <c r="BB1400" s="68"/>
      <c r="BC1400" s="68"/>
      <c r="BD1400" s="68"/>
      <c r="BE1400" s="68"/>
      <c r="BF1400" s="68"/>
      <c r="BG1400" s="68"/>
      <c r="BH1400" s="68"/>
      <c r="BI1400" s="68"/>
      <c r="BJ1400" s="68"/>
      <c r="BK1400" s="68"/>
      <c r="BL1400" s="68"/>
      <c r="BM1400" s="68"/>
      <c r="BN1400" s="68"/>
      <c r="BO1400" s="68"/>
      <c r="BP1400" s="68"/>
      <c r="BQ1400" s="68"/>
      <c r="BR1400" s="68"/>
      <c r="BS1400" s="68"/>
      <c r="BT1400" s="68"/>
      <c r="BU1400" s="68"/>
      <c r="BV1400" s="68"/>
      <c r="BW1400" s="68"/>
      <c r="BX1400" s="68"/>
      <c r="BY1400" s="68"/>
      <c r="BZ1400" s="68"/>
      <c r="CA1400" s="68"/>
      <c r="CB1400" s="68"/>
      <c r="CC1400" s="68"/>
      <c r="CD1400" s="68"/>
      <c r="CE1400" s="68"/>
      <c r="CF1400" s="68"/>
      <c r="CG1400" s="68"/>
      <c r="CH1400" s="68"/>
      <c r="CI1400" s="68"/>
      <c r="CJ1400" s="68"/>
      <c r="CK1400" s="68"/>
      <c r="CL1400" s="68"/>
      <c r="CM1400" s="68"/>
      <c r="CN1400" s="68"/>
      <c r="CO1400" s="68"/>
      <c r="CP1400" s="68"/>
      <c r="CQ1400" s="68"/>
      <c r="CR1400" s="68"/>
      <c r="CS1400" s="68"/>
      <c r="CT1400" s="68"/>
      <c r="CU1400" s="68"/>
      <c r="CV1400" s="68"/>
      <c r="CW1400" s="68"/>
      <c r="CX1400" s="68"/>
    </row>
    <row r="1401" spans="4:102" s="71" customFormat="1" hidden="1">
      <c r="D1401" s="69"/>
      <c r="E1401" s="68"/>
      <c r="F1401" s="68"/>
      <c r="G1401" s="68"/>
      <c r="H1401" s="68"/>
      <c r="I1401" s="68"/>
      <c r="J1401" s="68"/>
      <c r="K1401" s="73"/>
      <c r="L1401" s="68"/>
      <c r="M1401" s="68"/>
      <c r="N1401" s="68"/>
      <c r="O1401" s="68"/>
      <c r="P1401" s="65"/>
      <c r="Q1401" s="103"/>
      <c r="R1401" s="103"/>
      <c r="S1401" s="103"/>
      <c r="T1401" s="103"/>
      <c r="U1401" s="68"/>
      <c r="V1401" s="69"/>
      <c r="W1401" s="68"/>
      <c r="X1401" s="68"/>
      <c r="Y1401" s="68"/>
      <c r="Z1401" s="68"/>
      <c r="AA1401" s="68"/>
      <c r="AB1401" s="68"/>
      <c r="AC1401" s="68"/>
      <c r="AD1401" s="68"/>
      <c r="AE1401" s="68"/>
      <c r="AF1401" s="68"/>
      <c r="AG1401" s="68"/>
      <c r="AH1401" s="68"/>
      <c r="AI1401" s="68"/>
      <c r="AJ1401" s="68"/>
      <c r="AK1401" s="68"/>
      <c r="AL1401" s="68"/>
      <c r="AM1401" s="68"/>
      <c r="AN1401" s="68"/>
      <c r="AO1401" s="68"/>
      <c r="AP1401" s="68"/>
      <c r="AQ1401" s="68"/>
      <c r="AR1401" s="68"/>
      <c r="AS1401" s="68"/>
      <c r="AT1401" s="68"/>
      <c r="AU1401" s="68"/>
      <c r="AV1401" s="68"/>
      <c r="AW1401" s="68"/>
      <c r="AX1401" s="68"/>
      <c r="AY1401" s="68"/>
      <c r="AZ1401" s="68"/>
      <c r="BA1401" s="68"/>
      <c r="BB1401" s="68"/>
      <c r="BC1401" s="68"/>
      <c r="BD1401" s="68"/>
      <c r="BE1401" s="68"/>
      <c r="BF1401" s="68"/>
      <c r="BG1401" s="68"/>
      <c r="BH1401" s="68"/>
      <c r="BI1401" s="68"/>
      <c r="BJ1401" s="68"/>
      <c r="BK1401" s="68"/>
      <c r="BL1401" s="68"/>
      <c r="BM1401" s="68"/>
      <c r="BN1401" s="68"/>
      <c r="BO1401" s="68"/>
      <c r="BP1401" s="68"/>
      <c r="BQ1401" s="68"/>
      <c r="BR1401" s="68"/>
      <c r="BS1401" s="68"/>
      <c r="BT1401" s="68"/>
      <c r="BU1401" s="68"/>
      <c r="BV1401" s="68"/>
      <c r="BW1401" s="68"/>
      <c r="BX1401" s="68"/>
      <c r="BY1401" s="68"/>
      <c r="BZ1401" s="68"/>
      <c r="CA1401" s="68"/>
      <c r="CB1401" s="68"/>
      <c r="CC1401" s="68"/>
      <c r="CD1401" s="68"/>
      <c r="CE1401" s="68"/>
      <c r="CF1401" s="68"/>
      <c r="CG1401" s="68"/>
      <c r="CH1401" s="68"/>
      <c r="CI1401" s="68"/>
      <c r="CJ1401" s="68"/>
      <c r="CK1401" s="68"/>
      <c r="CL1401" s="68"/>
      <c r="CM1401" s="68"/>
      <c r="CN1401" s="68"/>
      <c r="CO1401" s="68"/>
      <c r="CP1401" s="68"/>
      <c r="CQ1401" s="68"/>
      <c r="CR1401" s="68"/>
      <c r="CS1401" s="68"/>
      <c r="CT1401" s="68"/>
      <c r="CU1401" s="68"/>
      <c r="CV1401" s="68"/>
      <c r="CW1401" s="68"/>
      <c r="CX1401" s="68"/>
    </row>
    <row r="1402" spans="4:102" s="71" customFormat="1" hidden="1">
      <c r="D1402" s="69"/>
      <c r="E1402" s="68"/>
      <c r="F1402" s="68"/>
      <c r="G1402" s="68"/>
      <c r="H1402" s="68"/>
      <c r="I1402" s="68"/>
      <c r="J1402" s="68"/>
      <c r="K1402" s="73"/>
      <c r="L1402" s="68"/>
      <c r="M1402" s="68"/>
      <c r="N1402" s="68"/>
      <c r="O1402" s="68"/>
      <c r="P1402" s="65"/>
      <c r="Q1402" s="103"/>
      <c r="R1402" s="103"/>
      <c r="S1402" s="103"/>
      <c r="T1402" s="103"/>
      <c r="U1402" s="68"/>
      <c r="V1402" s="69"/>
      <c r="W1402" s="68"/>
      <c r="X1402" s="68"/>
      <c r="Y1402" s="68"/>
      <c r="Z1402" s="68"/>
      <c r="AA1402" s="68"/>
      <c r="AB1402" s="68"/>
      <c r="AC1402" s="68"/>
      <c r="AD1402" s="68"/>
      <c r="AE1402" s="68"/>
      <c r="AF1402" s="68"/>
      <c r="AG1402" s="68"/>
      <c r="AH1402" s="68"/>
      <c r="AI1402" s="68"/>
      <c r="AJ1402" s="68"/>
      <c r="AK1402" s="68"/>
      <c r="AL1402" s="68"/>
      <c r="AM1402" s="68"/>
      <c r="AN1402" s="68"/>
      <c r="AO1402" s="68"/>
      <c r="AP1402" s="68"/>
      <c r="AQ1402" s="68"/>
      <c r="AR1402" s="68"/>
      <c r="AS1402" s="68"/>
      <c r="AT1402" s="68"/>
      <c r="AU1402" s="68"/>
      <c r="AV1402" s="68"/>
      <c r="AW1402" s="68"/>
      <c r="AX1402" s="68"/>
      <c r="AY1402" s="68"/>
      <c r="AZ1402" s="68"/>
      <c r="BA1402" s="68"/>
      <c r="BB1402" s="68"/>
      <c r="BC1402" s="68"/>
      <c r="BD1402" s="68"/>
      <c r="BE1402" s="68"/>
      <c r="BF1402" s="68"/>
      <c r="BG1402" s="68"/>
      <c r="BH1402" s="68"/>
      <c r="BI1402" s="68"/>
      <c r="BJ1402" s="68"/>
      <c r="BK1402" s="68"/>
      <c r="BL1402" s="68"/>
      <c r="BM1402" s="68"/>
      <c r="BN1402" s="68"/>
      <c r="BO1402" s="68"/>
      <c r="BP1402" s="68"/>
      <c r="BQ1402" s="68"/>
      <c r="BR1402" s="68"/>
      <c r="BS1402" s="68"/>
      <c r="BT1402" s="68"/>
      <c r="BU1402" s="68"/>
      <c r="BV1402" s="68"/>
      <c r="BW1402" s="68"/>
      <c r="BX1402" s="68"/>
      <c r="BY1402" s="68"/>
      <c r="BZ1402" s="68"/>
      <c r="CA1402" s="68"/>
      <c r="CB1402" s="68"/>
      <c r="CC1402" s="68"/>
      <c r="CD1402" s="68"/>
      <c r="CE1402" s="68"/>
      <c r="CF1402" s="68"/>
      <c r="CG1402" s="68"/>
      <c r="CH1402" s="68"/>
      <c r="CI1402" s="68"/>
      <c r="CJ1402" s="68"/>
      <c r="CK1402" s="68"/>
      <c r="CL1402" s="68"/>
      <c r="CM1402" s="68"/>
      <c r="CN1402" s="68"/>
      <c r="CO1402" s="68"/>
      <c r="CP1402" s="68"/>
      <c r="CQ1402" s="68"/>
      <c r="CR1402" s="68"/>
      <c r="CS1402" s="68"/>
      <c r="CT1402" s="68"/>
      <c r="CU1402" s="68"/>
      <c r="CV1402" s="68"/>
      <c r="CW1402" s="68"/>
      <c r="CX1402" s="68"/>
    </row>
    <row r="1403" spans="4:102" s="71" customFormat="1" hidden="1">
      <c r="D1403" s="69"/>
      <c r="E1403" s="68"/>
      <c r="F1403" s="68"/>
      <c r="G1403" s="68"/>
      <c r="H1403" s="68"/>
      <c r="I1403" s="68"/>
      <c r="J1403" s="68"/>
      <c r="K1403" s="73"/>
      <c r="L1403" s="68"/>
      <c r="M1403" s="68"/>
      <c r="N1403" s="68"/>
      <c r="O1403" s="68"/>
      <c r="P1403" s="65"/>
      <c r="Q1403" s="103"/>
      <c r="R1403" s="103"/>
      <c r="S1403" s="103"/>
      <c r="T1403" s="103"/>
      <c r="U1403" s="68"/>
      <c r="V1403" s="69"/>
      <c r="W1403" s="68"/>
      <c r="X1403" s="68"/>
      <c r="Y1403" s="68"/>
      <c r="Z1403" s="68"/>
      <c r="AA1403" s="68"/>
      <c r="AB1403" s="68"/>
      <c r="AC1403" s="68"/>
      <c r="AD1403" s="68"/>
      <c r="AE1403" s="68"/>
      <c r="AF1403" s="68"/>
      <c r="AG1403" s="68"/>
      <c r="AH1403" s="68"/>
      <c r="AI1403" s="68"/>
      <c r="AJ1403" s="68"/>
      <c r="AK1403" s="68"/>
      <c r="AL1403" s="68"/>
      <c r="AM1403" s="68"/>
      <c r="AN1403" s="68"/>
      <c r="AO1403" s="68"/>
      <c r="AP1403" s="68"/>
      <c r="AQ1403" s="68"/>
      <c r="AR1403" s="68"/>
      <c r="AS1403" s="68"/>
      <c r="AT1403" s="68"/>
      <c r="AU1403" s="68"/>
      <c r="AV1403" s="68"/>
      <c r="AW1403" s="68"/>
      <c r="AX1403" s="68"/>
      <c r="AY1403" s="68"/>
      <c r="AZ1403" s="68"/>
      <c r="BA1403" s="68"/>
      <c r="BB1403" s="68"/>
      <c r="BC1403" s="68"/>
      <c r="BD1403" s="68"/>
      <c r="BE1403" s="68"/>
      <c r="BF1403" s="68"/>
      <c r="BG1403" s="68"/>
      <c r="BH1403" s="68"/>
      <c r="BI1403" s="68"/>
      <c r="BJ1403" s="68"/>
      <c r="BK1403" s="68"/>
      <c r="BL1403" s="68"/>
      <c r="BM1403" s="68"/>
      <c r="BN1403" s="68"/>
      <c r="BO1403" s="68"/>
      <c r="BP1403" s="68"/>
      <c r="BQ1403" s="68"/>
      <c r="BR1403" s="68"/>
      <c r="BS1403" s="68"/>
      <c r="BT1403" s="68"/>
      <c r="BU1403" s="68"/>
      <c r="BV1403" s="68"/>
      <c r="BW1403" s="68"/>
      <c r="BX1403" s="68"/>
      <c r="BY1403" s="68"/>
      <c r="BZ1403" s="68"/>
      <c r="CA1403" s="68"/>
      <c r="CB1403" s="68"/>
      <c r="CC1403" s="68"/>
      <c r="CD1403" s="68"/>
      <c r="CE1403" s="68"/>
      <c r="CF1403" s="68"/>
      <c r="CG1403" s="68"/>
      <c r="CH1403" s="68"/>
      <c r="CI1403" s="68"/>
      <c r="CJ1403" s="68"/>
      <c r="CK1403" s="68"/>
      <c r="CL1403" s="68"/>
      <c r="CM1403" s="68"/>
      <c r="CN1403" s="68"/>
      <c r="CO1403" s="68"/>
      <c r="CP1403" s="68"/>
      <c r="CQ1403" s="68"/>
      <c r="CR1403" s="68"/>
      <c r="CS1403" s="68"/>
      <c r="CT1403" s="68"/>
      <c r="CU1403" s="68"/>
      <c r="CV1403" s="68"/>
      <c r="CW1403" s="68"/>
      <c r="CX1403" s="68"/>
    </row>
    <row r="1404" spans="4:102" s="71" customFormat="1" hidden="1">
      <c r="D1404" s="69"/>
      <c r="E1404" s="68"/>
      <c r="F1404" s="68"/>
      <c r="G1404" s="68"/>
      <c r="H1404" s="68"/>
      <c r="I1404" s="68"/>
      <c r="J1404" s="68"/>
      <c r="K1404" s="73"/>
      <c r="L1404" s="68"/>
      <c r="M1404" s="68"/>
      <c r="N1404" s="68"/>
      <c r="O1404" s="68"/>
      <c r="P1404" s="65"/>
      <c r="Q1404" s="103"/>
      <c r="R1404" s="103"/>
      <c r="S1404" s="103"/>
      <c r="T1404" s="103"/>
      <c r="U1404" s="68"/>
      <c r="V1404" s="69"/>
      <c r="W1404" s="68"/>
      <c r="X1404" s="68"/>
      <c r="Y1404" s="68"/>
      <c r="Z1404" s="68"/>
      <c r="AA1404" s="68"/>
      <c r="AB1404" s="68"/>
      <c r="AC1404" s="68"/>
      <c r="AD1404" s="68"/>
      <c r="AE1404" s="68"/>
      <c r="AF1404" s="68"/>
      <c r="AG1404" s="68"/>
      <c r="AH1404" s="68"/>
      <c r="AI1404" s="68"/>
      <c r="AJ1404" s="68"/>
      <c r="AK1404" s="68"/>
      <c r="AL1404" s="68"/>
      <c r="AM1404" s="68"/>
      <c r="AN1404" s="68"/>
      <c r="AO1404" s="68"/>
      <c r="AP1404" s="68"/>
      <c r="AQ1404" s="68"/>
      <c r="AR1404" s="68"/>
      <c r="AS1404" s="68"/>
      <c r="AT1404" s="68"/>
      <c r="AU1404" s="68"/>
      <c r="AV1404" s="68"/>
      <c r="AW1404" s="68"/>
      <c r="AX1404" s="68"/>
      <c r="AY1404" s="68"/>
      <c r="AZ1404" s="68"/>
      <c r="BA1404" s="68"/>
      <c r="BB1404" s="68"/>
      <c r="BC1404" s="68"/>
      <c r="BD1404" s="68"/>
      <c r="BE1404" s="68"/>
      <c r="BF1404" s="68"/>
      <c r="BG1404" s="68"/>
      <c r="BH1404" s="68"/>
      <c r="BI1404" s="68"/>
      <c r="BJ1404" s="68"/>
      <c r="BK1404" s="68"/>
      <c r="BL1404" s="68"/>
      <c r="BM1404" s="68"/>
      <c r="BN1404" s="68"/>
      <c r="BO1404" s="68"/>
      <c r="BP1404" s="68"/>
      <c r="BQ1404" s="68"/>
      <c r="BR1404" s="68"/>
      <c r="BS1404" s="68"/>
      <c r="BT1404" s="68"/>
      <c r="BU1404" s="68"/>
      <c r="BV1404" s="68"/>
      <c r="BW1404" s="68"/>
      <c r="BX1404" s="68"/>
      <c r="BY1404" s="68"/>
      <c r="BZ1404" s="68"/>
      <c r="CA1404" s="68"/>
      <c r="CB1404" s="68"/>
      <c r="CC1404" s="68"/>
      <c r="CD1404" s="68"/>
      <c r="CE1404" s="68"/>
      <c r="CF1404" s="68"/>
      <c r="CG1404" s="68"/>
      <c r="CH1404" s="68"/>
      <c r="CI1404" s="68"/>
      <c r="CJ1404" s="68"/>
      <c r="CK1404" s="68"/>
      <c r="CL1404" s="68"/>
      <c r="CM1404" s="68"/>
      <c r="CN1404" s="68"/>
      <c r="CO1404" s="68"/>
      <c r="CP1404" s="68"/>
      <c r="CQ1404" s="68"/>
      <c r="CR1404" s="68"/>
      <c r="CS1404" s="68"/>
      <c r="CT1404" s="68"/>
      <c r="CU1404" s="68"/>
      <c r="CV1404" s="68"/>
      <c r="CW1404" s="68"/>
      <c r="CX1404" s="68"/>
    </row>
    <row r="1405" spans="4:102" s="71" customFormat="1" hidden="1">
      <c r="D1405" s="69"/>
      <c r="E1405" s="68"/>
      <c r="F1405" s="68"/>
      <c r="G1405" s="68"/>
      <c r="H1405" s="68"/>
      <c r="I1405" s="68"/>
      <c r="J1405" s="68"/>
      <c r="K1405" s="73"/>
      <c r="L1405" s="68"/>
      <c r="M1405" s="68"/>
      <c r="N1405" s="68"/>
      <c r="O1405" s="68"/>
      <c r="P1405" s="65"/>
      <c r="Q1405" s="103"/>
      <c r="R1405" s="103"/>
      <c r="S1405" s="103"/>
      <c r="T1405" s="103"/>
      <c r="U1405" s="68"/>
      <c r="V1405" s="69"/>
      <c r="W1405" s="68"/>
      <c r="X1405" s="68"/>
      <c r="Y1405" s="68"/>
      <c r="Z1405" s="68"/>
      <c r="AA1405" s="68"/>
      <c r="AB1405" s="68"/>
      <c r="AC1405" s="68"/>
      <c r="AD1405" s="68"/>
      <c r="AE1405" s="68"/>
      <c r="AF1405" s="68"/>
      <c r="AG1405" s="68"/>
      <c r="AH1405" s="68"/>
      <c r="AI1405" s="68"/>
      <c r="AJ1405" s="68"/>
      <c r="AK1405" s="68"/>
      <c r="AL1405" s="68"/>
      <c r="AM1405" s="68"/>
      <c r="AN1405" s="68"/>
      <c r="AO1405" s="68"/>
      <c r="AP1405" s="68"/>
      <c r="AQ1405" s="68"/>
      <c r="AR1405" s="68"/>
      <c r="AS1405" s="68"/>
      <c r="AT1405" s="68"/>
      <c r="AU1405" s="68"/>
      <c r="AV1405" s="68"/>
      <c r="AW1405" s="68"/>
      <c r="AX1405" s="68"/>
      <c r="AY1405" s="68"/>
      <c r="AZ1405" s="68"/>
      <c r="BA1405" s="68"/>
      <c r="BB1405" s="68"/>
      <c r="BC1405" s="68"/>
      <c r="BD1405" s="68"/>
      <c r="BE1405" s="68"/>
      <c r="BF1405" s="68"/>
      <c r="BG1405" s="68"/>
      <c r="BH1405" s="68"/>
      <c r="BI1405" s="68"/>
      <c r="BJ1405" s="68"/>
      <c r="BK1405" s="68"/>
      <c r="BL1405" s="68"/>
      <c r="BM1405" s="68"/>
      <c r="BN1405" s="68"/>
      <c r="BO1405" s="68"/>
      <c r="BP1405" s="68"/>
      <c r="BQ1405" s="68"/>
      <c r="BR1405" s="68"/>
      <c r="BS1405" s="68"/>
      <c r="BT1405" s="68"/>
      <c r="BU1405" s="68"/>
      <c r="BV1405" s="68"/>
      <c r="BW1405" s="68"/>
      <c r="BX1405" s="68"/>
      <c r="BY1405" s="68"/>
      <c r="BZ1405" s="68"/>
      <c r="CA1405" s="68"/>
      <c r="CB1405" s="68"/>
      <c r="CC1405" s="68"/>
      <c r="CD1405" s="68"/>
      <c r="CE1405" s="68"/>
      <c r="CF1405" s="68"/>
      <c r="CG1405" s="68"/>
      <c r="CH1405" s="68"/>
      <c r="CI1405" s="68"/>
      <c r="CJ1405" s="68"/>
      <c r="CK1405" s="68"/>
      <c r="CL1405" s="68"/>
      <c r="CM1405" s="68"/>
      <c r="CN1405" s="68"/>
      <c r="CO1405" s="68"/>
      <c r="CP1405" s="68"/>
      <c r="CQ1405" s="68"/>
      <c r="CR1405" s="68"/>
      <c r="CS1405" s="68"/>
      <c r="CT1405" s="68"/>
      <c r="CU1405" s="68"/>
      <c r="CV1405" s="68"/>
      <c r="CW1405" s="68"/>
      <c r="CX1405" s="68"/>
    </row>
    <row r="1406" spans="4:102" s="71" customFormat="1" hidden="1">
      <c r="D1406" s="69"/>
      <c r="E1406" s="68"/>
      <c r="F1406" s="68"/>
      <c r="G1406" s="68"/>
      <c r="H1406" s="68"/>
      <c r="I1406" s="68"/>
      <c r="J1406" s="68"/>
      <c r="K1406" s="73"/>
      <c r="L1406" s="68"/>
      <c r="M1406" s="68"/>
      <c r="N1406" s="68"/>
      <c r="O1406" s="68"/>
      <c r="P1406" s="65"/>
      <c r="Q1406" s="103"/>
      <c r="R1406" s="103"/>
      <c r="S1406" s="103"/>
      <c r="T1406" s="103"/>
      <c r="U1406" s="68"/>
      <c r="V1406" s="69"/>
      <c r="W1406" s="68"/>
      <c r="X1406" s="68"/>
      <c r="Y1406" s="68"/>
      <c r="Z1406" s="68"/>
      <c r="AA1406" s="68"/>
      <c r="AB1406" s="68"/>
      <c r="AC1406" s="68"/>
      <c r="AD1406" s="68"/>
      <c r="AE1406" s="68"/>
      <c r="AF1406" s="68"/>
      <c r="AG1406" s="68"/>
      <c r="AH1406" s="68"/>
      <c r="AI1406" s="68"/>
      <c r="AJ1406" s="68"/>
      <c r="AK1406" s="68"/>
      <c r="AL1406" s="68"/>
      <c r="AM1406" s="68"/>
      <c r="AN1406" s="68"/>
      <c r="AO1406" s="68"/>
      <c r="AP1406" s="68"/>
      <c r="AQ1406" s="68"/>
      <c r="AR1406" s="68"/>
      <c r="AS1406" s="68"/>
      <c r="AT1406" s="68"/>
      <c r="AU1406" s="68"/>
      <c r="AV1406" s="68"/>
      <c r="AW1406" s="68"/>
      <c r="AX1406" s="68"/>
      <c r="AY1406" s="68"/>
      <c r="AZ1406" s="68"/>
      <c r="BA1406" s="68"/>
      <c r="BB1406" s="68"/>
      <c r="BC1406" s="68"/>
      <c r="BD1406" s="68"/>
      <c r="BE1406" s="68"/>
      <c r="BF1406" s="68"/>
      <c r="BG1406" s="68"/>
      <c r="BH1406" s="68"/>
      <c r="BI1406" s="68"/>
      <c r="BJ1406" s="68"/>
      <c r="BK1406" s="68"/>
      <c r="BL1406" s="68"/>
      <c r="BM1406" s="68"/>
      <c r="BN1406" s="68"/>
      <c r="BO1406" s="68"/>
      <c r="BP1406" s="68"/>
      <c r="BQ1406" s="68"/>
      <c r="BR1406" s="68"/>
      <c r="BS1406" s="68"/>
      <c r="BT1406" s="68"/>
      <c r="BU1406" s="68"/>
      <c r="BV1406" s="68"/>
      <c r="BW1406" s="68"/>
      <c r="BX1406" s="68"/>
      <c r="BY1406" s="68"/>
      <c r="BZ1406" s="68"/>
      <c r="CA1406" s="68"/>
      <c r="CB1406" s="68"/>
      <c r="CC1406" s="68"/>
      <c r="CD1406" s="68"/>
      <c r="CE1406" s="68"/>
      <c r="CF1406" s="68"/>
      <c r="CG1406" s="68"/>
      <c r="CH1406" s="68"/>
      <c r="CI1406" s="68"/>
      <c r="CJ1406" s="68"/>
      <c r="CK1406" s="68"/>
      <c r="CL1406" s="68"/>
      <c r="CM1406" s="68"/>
      <c r="CN1406" s="68"/>
      <c r="CO1406" s="68"/>
      <c r="CP1406" s="68"/>
      <c r="CQ1406" s="68"/>
      <c r="CR1406" s="68"/>
      <c r="CS1406" s="68"/>
      <c r="CT1406" s="68"/>
      <c r="CU1406" s="68"/>
      <c r="CV1406" s="68"/>
      <c r="CW1406" s="68"/>
      <c r="CX1406" s="68"/>
    </row>
    <row r="1407" spans="4:102" s="71" customFormat="1" hidden="1">
      <c r="D1407" s="69"/>
      <c r="E1407" s="68"/>
      <c r="F1407" s="68"/>
      <c r="G1407" s="68"/>
      <c r="H1407" s="68"/>
      <c r="I1407" s="68"/>
      <c r="J1407" s="68"/>
      <c r="K1407" s="73"/>
      <c r="L1407" s="68"/>
      <c r="M1407" s="68"/>
      <c r="N1407" s="68"/>
      <c r="O1407" s="68"/>
      <c r="P1407" s="65"/>
      <c r="Q1407" s="103"/>
      <c r="R1407" s="103"/>
      <c r="S1407" s="103"/>
      <c r="T1407" s="103"/>
      <c r="U1407" s="68"/>
      <c r="V1407" s="69"/>
      <c r="W1407" s="68"/>
      <c r="X1407" s="68"/>
      <c r="Y1407" s="68"/>
      <c r="Z1407" s="68"/>
      <c r="AA1407" s="68"/>
      <c r="AB1407" s="68"/>
      <c r="AC1407" s="68"/>
      <c r="AD1407" s="68"/>
      <c r="AE1407" s="68"/>
      <c r="AF1407" s="68"/>
      <c r="AG1407" s="68"/>
      <c r="AH1407" s="68"/>
      <c r="AI1407" s="68"/>
      <c r="AJ1407" s="68"/>
      <c r="AK1407" s="68"/>
      <c r="AL1407" s="68"/>
      <c r="AM1407" s="68"/>
      <c r="AN1407" s="68"/>
      <c r="AO1407" s="68"/>
      <c r="AP1407" s="68"/>
      <c r="AQ1407" s="68"/>
      <c r="AR1407" s="68"/>
      <c r="AS1407" s="68"/>
      <c r="AT1407" s="68"/>
      <c r="AU1407" s="68"/>
      <c r="AV1407" s="68"/>
      <c r="AW1407" s="68"/>
      <c r="AX1407" s="68"/>
      <c r="AY1407" s="68"/>
      <c r="AZ1407" s="68"/>
      <c r="BA1407" s="68"/>
      <c r="BB1407" s="68"/>
      <c r="BC1407" s="68"/>
      <c r="BD1407" s="68"/>
      <c r="BE1407" s="68"/>
      <c r="BF1407" s="68"/>
      <c r="BG1407" s="68"/>
      <c r="BH1407" s="68"/>
      <c r="BI1407" s="68"/>
      <c r="BJ1407" s="68"/>
      <c r="BK1407" s="68"/>
      <c r="BL1407" s="68"/>
      <c r="BM1407" s="68"/>
      <c r="BN1407" s="68"/>
      <c r="BO1407" s="68"/>
      <c r="BP1407" s="68"/>
      <c r="BQ1407" s="68"/>
      <c r="BR1407" s="68"/>
      <c r="BS1407" s="68"/>
      <c r="BT1407" s="68"/>
      <c r="BU1407" s="68"/>
      <c r="BV1407" s="68"/>
      <c r="BW1407" s="68"/>
      <c r="BX1407" s="68"/>
      <c r="BY1407" s="68"/>
      <c r="BZ1407" s="68"/>
      <c r="CA1407" s="68"/>
      <c r="CB1407" s="68"/>
      <c r="CC1407" s="68"/>
      <c r="CD1407" s="68"/>
      <c r="CE1407" s="68"/>
      <c r="CF1407" s="68"/>
      <c r="CG1407" s="68"/>
      <c r="CH1407" s="68"/>
      <c r="CI1407" s="68"/>
      <c r="CJ1407" s="68"/>
      <c r="CK1407" s="68"/>
      <c r="CL1407" s="68"/>
      <c r="CM1407" s="68"/>
      <c r="CN1407" s="68"/>
      <c r="CO1407" s="68"/>
      <c r="CP1407" s="68"/>
      <c r="CQ1407" s="68"/>
      <c r="CR1407" s="68"/>
      <c r="CS1407" s="68"/>
      <c r="CT1407" s="68"/>
      <c r="CU1407" s="68"/>
      <c r="CV1407" s="68"/>
      <c r="CW1407" s="68"/>
      <c r="CX1407" s="68"/>
    </row>
    <row r="1408" spans="4:102" s="71" customFormat="1" hidden="1">
      <c r="D1408" s="69"/>
      <c r="E1408" s="68"/>
      <c r="F1408" s="68"/>
      <c r="G1408" s="68"/>
      <c r="H1408" s="68"/>
      <c r="I1408" s="68"/>
      <c r="J1408" s="68"/>
      <c r="K1408" s="73"/>
      <c r="L1408" s="68"/>
      <c r="M1408" s="68"/>
      <c r="N1408" s="68"/>
      <c r="O1408" s="68"/>
      <c r="P1408" s="65"/>
      <c r="Q1408" s="103"/>
      <c r="R1408" s="103"/>
      <c r="S1408" s="103"/>
      <c r="T1408" s="103"/>
      <c r="U1408" s="68"/>
      <c r="V1408" s="69"/>
      <c r="W1408" s="68"/>
      <c r="X1408" s="68"/>
      <c r="Y1408" s="68"/>
      <c r="Z1408" s="68"/>
      <c r="AA1408" s="68"/>
      <c r="AB1408" s="68"/>
      <c r="AC1408" s="68"/>
      <c r="AD1408" s="68"/>
      <c r="AE1408" s="68"/>
      <c r="AF1408" s="68"/>
      <c r="AG1408" s="68"/>
      <c r="AH1408" s="68"/>
      <c r="AI1408" s="68"/>
      <c r="AJ1408" s="68"/>
      <c r="AK1408" s="68"/>
      <c r="AL1408" s="68"/>
      <c r="AM1408" s="68"/>
      <c r="AN1408" s="68"/>
      <c r="AO1408" s="68"/>
      <c r="AP1408" s="68"/>
      <c r="AQ1408" s="68"/>
      <c r="AR1408" s="68"/>
      <c r="AS1408" s="68"/>
      <c r="AT1408" s="68"/>
      <c r="AU1408" s="68"/>
      <c r="AV1408" s="68"/>
      <c r="AW1408" s="68"/>
      <c r="AX1408" s="68"/>
      <c r="AY1408" s="68"/>
      <c r="AZ1408" s="68"/>
      <c r="BA1408" s="68"/>
      <c r="BB1408" s="68"/>
      <c r="BC1408" s="68"/>
      <c r="BD1408" s="68"/>
      <c r="BE1408" s="68"/>
      <c r="BF1408" s="68"/>
      <c r="BG1408" s="68"/>
      <c r="BH1408" s="68"/>
      <c r="BI1408" s="68"/>
      <c r="BJ1408" s="68"/>
      <c r="BK1408" s="68"/>
      <c r="BL1408" s="68"/>
      <c r="BM1408" s="68"/>
      <c r="BN1408" s="68"/>
      <c r="BO1408" s="68"/>
      <c r="BP1408" s="68"/>
      <c r="BQ1408" s="68"/>
      <c r="BR1408" s="68"/>
      <c r="BS1408" s="68"/>
      <c r="BT1408" s="68"/>
      <c r="BU1408" s="68"/>
      <c r="BV1408" s="68"/>
      <c r="BW1408" s="68"/>
      <c r="BX1408" s="68"/>
      <c r="BY1408" s="68"/>
      <c r="BZ1408" s="68"/>
      <c r="CA1408" s="68"/>
      <c r="CB1408" s="68"/>
      <c r="CC1408" s="68"/>
      <c r="CD1408" s="68"/>
      <c r="CE1408" s="68"/>
      <c r="CF1408" s="68"/>
      <c r="CG1408" s="68"/>
      <c r="CH1408" s="68"/>
      <c r="CI1408" s="68"/>
      <c r="CJ1408" s="68"/>
      <c r="CK1408" s="68"/>
      <c r="CL1408" s="68"/>
      <c r="CM1408" s="68"/>
      <c r="CN1408" s="68"/>
      <c r="CO1408" s="68"/>
      <c r="CP1408" s="68"/>
      <c r="CQ1408" s="68"/>
      <c r="CR1408" s="68"/>
      <c r="CS1408" s="68"/>
      <c r="CT1408" s="68"/>
      <c r="CU1408" s="68"/>
      <c r="CV1408" s="68"/>
      <c r="CW1408" s="68"/>
      <c r="CX1408" s="68"/>
    </row>
    <row r="1409" spans="4:102" s="71" customFormat="1" hidden="1">
      <c r="D1409" s="69"/>
      <c r="E1409" s="68"/>
      <c r="F1409" s="68"/>
      <c r="G1409" s="68"/>
      <c r="H1409" s="68"/>
      <c r="I1409" s="68"/>
      <c r="J1409" s="68"/>
      <c r="K1409" s="73"/>
      <c r="L1409" s="68"/>
      <c r="M1409" s="68"/>
      <c r="N1409" s="68"/>
      <c r="O1409" s="68"/>
      <c r="P1409" s="65"/>
      <c r="Q1409" s="103"/>
      <c r="R1409" s="103"/>
      <c r="S1409" s="103"/>
      <c r="T1409" s="103"/>
      <c r="U1409" s="68"/>
      <c r="V1409" s="69"/>
      <c r="W1409" s="68"/>
      <c r="X1409" s="68"/>
      <c r="Y1409" s="68"/>
      <c r="Z1409" s="68"/>
      <c r="AA1409" s="68"/>
      <c r="AB1409" s="68"/>
      <c r="AC1409" s="68"/>
      <c r="AD1409" s="68"/>
      <c r="AE1409" s="68"/>
      <c r="AF1409" s="68"/>
      <c r="AG1409" s="68"/>
      <c r="AH1409" s="68"/>
      <c r="AI1409" s="68"/>
      <c r="AJ1409" s="68"/>
      <c r="AK1409" s="68"/>
      <c r="AL1409" s="68"/>
      <c r="AM1409" s="68"/>
      <c r="AN1409" s="68"/>
      <c r="AO1409" s="68"/>
      <c r="AP1409" s="68"/>
      <c r="AQ1409" s="68"/>
      <c r="AR1409" s="68"/>
      <c r="AS1409" s="68"/>
      <c r="AT1409" s="68"/>
      <c r="AU1409" s="68"/>
      <c r="AV1409" s="68"/>
      <c r="AW1409" s="68"/>
      <c r="AX1409" s="68"/>
      <c r="AY1409" s="68"/>
      <c r="AZ1409" s="68"/>
      <c r="BA1409" s="68"/>
      <c r="BB1409" s="68"/>
      <c r="BC1409" s="68"/>
      <c r="BD1409" s="68"/>
      <c r="BE1409" s="68"/>
      <c r="BF1409" s="68"/>
      <c r="BG1409" s="68"/>
      <c r="BH1409" s="68"/>
      <c r="BI1409" s="68"/>
      <c r="BJ1409" s="68"/>
      <c r="BK1409" s="68"/>
      <c r="BL1409" s="68"/>
      <c r="BM1409" s="68"/>
      <c r="BN1409" s="68"/>
      <c r="BO1409" s="68"/>
      <c r="BP1409" s="68"/>
      <c r="BQ1409" s="68"/>
      <c r="BR1409" s="68"/>
      <c r="BS1409" s="68"/>
      <c r="BT1409" s="68"/>
      <c r="BU1409" s="68"/>
      <c r="BV1409" s="68"/>
      <c r="BW1409" s="68"/>
      <c r="BX1409" s="68"/>
      <c r="BY1409" s="68"/>
      <c r="BZ1409" s="68"/>
      <c r="CA1409" s="68"/>
      <c r="CB1409" s="68"/>
      <c r="CC1409" s="68"/>
      <c r="CD1409" s="68"/>
      <c r="CE1409" s="68"/>
      <c r="CF1409" s="68"/>
      <c r="CG1409" s="68"/>
      <c r="CH1409" s="68"/>
      <c r="CI1409" s="68"/>
      <c r="CJ1409" s="68"/>
      <c r="CK1409" s="68"/>
      <c r="CL1409" s="68"/>
      <c r="CM1409" s="68"/>
      <c r="CN1409" s="68"/>
      <c r="CO1409" s="68"/>
      <c r="CP1409" s="68"/>
      <c r="CQ1409" s="68"/>
      <c r="CR1409" s="68"/>
      <c r="CS1409" s="68"/>
      <c r="CT1409" s="68"/>
      <c r="CU1409" s="68"/>
      <c r="CV1409" s="68"/>
      <c r="CW1409" s="68"/>
      <c r="CX1409" s="68"/>
    </row>
    <row r="1410" spans="4:102" s="71" customFormat="1" hidden="1">
      <c r="D1410" s="69"/>
      <c r="E1410" s="68"/>
      <c r="F1410" s="68"/>
      <c r="G1410" s="68"/>
      <c r="H1410" s="68"/>
      <c r="I1410" s="68"/>
      <c r="J1410" s="68"/>
      <c r="K1410" s="73"/>
      <c r="L1410" s="68"/>
      <c r="M1410" s="68"/>
      <c r="N1410" s="68"/>
      <c r="O1410" s="68"/>
      <c r="P1410" s="65"/>
      <c r="Q1410" s="103"/>
      <c r="R1410" s="103"/>
      <c r="S1410" s="103"/>
      <c r="T1410" s="103"/>
      <c r="U1410" s="68"/>
      <c r="V1410" s="69"/>
      <c r="W1410" s="68"/>
      <c r="X1410" s="68"/>
      <c r="Y1410" s="68"/>
      <c r="Z1410" s="68"/>
      <c r="AA1410" s="68"/>
      <c r="AB1410" s="68"/>
      <c r="AC1410" s="68"/>
      <c r="AD1410" s="68"/>
      <c r="AE1410" s="68"/>
      <c r="AF1410" s="68"/>
      <c r="AG1410" s="68"/>
      <c r="AH1410" s="68"/>
      <c r="AI1410" s="68"/>
      <c r="AJ1410" s="68"/>
      <c r="AK1410" s="68"/>
      <c r="AL1410" s="68"/>
      <c r="AM1410" s="68"/>
      <c r="AN1410" s="68"/>
      <c r="AO1410" s="68"/>
      <c r="AP1410" s="68"/>
      <c r="AQ1410" s="68"/>
      <c r="AR1410" s="68"/>
      <c r="AS1410" s="68"/>
      <c r="AT1410" s="68"/>
      <c r="AU1410" s="68"/>
      <c r="AV1410" s="68"/>
      <c r="AW1410" s="68"/>
      <c r="AX1410" s="68"/>
      <c r="AY1410" s="68"/>
      <c r="AZ1410" s="68"/>
      <c r="BA1410" s="68"/>
      <c r="BB1410" s="68"/>
      <c r="BC1410" s="68"/>
      <c r="BD1410" s="68"/>
      <c r="BE1410" s="68"/>
      <c r="BF1410" s="68"/>
      <c r="BG1410" s="68"/>
      <c r="BH1410" s="68"/>
      <c r="BI1410" s="68"/>
      <c r="BJ1410" s="68"/>
      <c r="BK1410" s="68"/>
      <c r="BL1410" s="68"/>
      <c r="BM1410" s="68"/>
      <c r="BN1410" s="68"/>
      <c r="BO1410" s="68"/>
      <c r="BP1410" s="68"/>
      <c r="BQ1410" s="68"/>
      <c r="BR1410" s="68"/>
      <c r="BS1410" s="68"/>
      <c r="BT1410" s="68"/>
      <c r="BU1410" s="68"/>
      <c r="BV1410" s="68"/>
      <c r="BW1410" s="68"/>
      <c r="BX1410" s="68"/>
      <c r="BY1410" s="68"/>
      <c r="BZ1410" s="68"/>
      <c r="CA1410" s="68"/>
      <c r="CB1410" s="68"/>
      <c r="CC1410" s="68"/>
      <c r="CD1410" s="68"/>
      <c r="CE1410" s="68"/>
      <c r="CF1410" s="68"/>
      <c r="CG1410" s="68"/>
      <c r="CH1410" s="68"/>
      <c r="CI1410" s="68"/>
      <c r="CJ1410" s="68"/>
      <c r="CK1410" s="68"/>
      <c r="CL1410" s="68"/>
      <c r="CM1410" s="68"/>
      <c r="CN1410" s="68"/>
      <c r="CO1410" s="68"/>
      <c r="CP1410" s="68"/>
      <c r="CQ1410" s="68"/>
      <c r="CR1410" s="68"/>
      <c r="CS1410" s="68"/>
      <c r="CT1410" s="68"/>
      <c r="CU1410" s="68"/>
      <c r="CV1410" s="68"/>
      <c r="CW1410" s="68"/>
      <c r="CX1410" s="68"/>
    </row>
    <row r="1411" spans="4:102" s="71" customFormat="1" hidden="1">
      <c r="D1411" s="69"/>
      <c r="E1411" s="68"/>
      <c r="F1411" s="68"/>
      <c r="G1411" s="68"/>
      <c r="H1411" s="68"/>
      <c r="I1411" s="68"/>
      <c r="J1411" s="68"/>
      <c r="K1411" s="73"/>
      <c r="L1411" s="68"/>
      <c r="M1411" s="68"/>
      <c r="N1411" s="68"/>
      <c r="O1411" s="68"/>
      <c r="P1411" s="65"/>
      <c r="Q1411" s="103"/>
      <c r="R1411" s="103"/>
      <c r="S1411" s="103"/>
      <c r="T1411" s="103"/>
      <c r="U1411" s="68"/>
      <c r="V1411" s="69"/>
      <c r="W1411" s="68"/>
      <c r="X1411" s="68"/>
      <c r="Y1411" s="68"/>
      <c r="Z1411" s="68"/>
      <c r="AA1411" s="68"/>
      <c r="AB1411" s="68"/>
      <c r="AC1411" s="68"/>
      <c r="AD1411" s="68"/>
      <c r="AE1411" s="68"/>
      <c r="AF1411" s="68"/>
      <c r="AG1411" s="68"/>
      <c r="AH1411" s="68"/>
      <c r="AI1411" s="68"/>
      <c r="AJ1411" s="68"/>
      <c r="AK1411" s="68"/>
      <c r="AL1411" s="68"/>
      <c r="AM1411" s="68"/>
      <c r="AN1411" s="68"/>
      <c r="AO1411" s="68"/>
      <c r="AP1411" s="68"/>
      <c r="AQ1411" s="68"/>
      <c r="AR1411" s="68"/>
      <c r="AS1411" s="68"/>
      <c r="AT1411" s="68"/>
      <c r="AU1411" s="68"/>
      <c r="AV1411" s="68"/>
      <c r="AW1411" s="68"/>
      <c r="AX1411" s="68"/>
      <c r="AY1411" s="68"/>
      <c r="AZ1411" s="68"/>
      <c r="BA1411" s="68"/>
      <c r="BB1411" s="68"/>
      <c r="BC1411" s="68"/>
      <c r="BD1411" s="68"/>
      <c r="BE1411" s="68"/>
      <c r="BF1411" s="68"/>
      <c r="BG1411" s="68"/>
      <c r="BH1411" s="68"/>
      <c r="BI1411" s="68"/>
      <c r="BJ1411" s="68"/>
      <c r="BK1411" s="68"/>
      <c r="BL1411" s="68"/>
      <c r="BM1411" s="68"/>
      <c r="BN1411" s="68"/>
      <c r="BO1411" s="68"/>
      <c r="BP1411" s="68"/>
      <c r="BQ1411" s="68"/>
      <c r="BR1411" s="68"/>
      <c r="BS1411" s="68"/>
      <c r="BT1411" s="68"/>
      <c r="BU1411" s="68"/>
      <c r="BV1411" s="68"/>
      <c r="BW1411" s="68"/>
      <c r="BX1411" s="68"/>
      <c r="BY1411" s="68"/>
      <c r="BZ1411" s="68"/>
      <c r="CA1411" s="68"/>
      <c r="CB1411" s="68"/>
      <c r="CC1411" s="68"/>
      <c r="CD1411" s="68"/>
      <c r="CE1411" s="68"/>
      <c r="CF1411" s="68"/>
      <c r="CG1411" s="68"/>
      <c r="CH1411" s="68"/>
      <c r="CI1411" s="68"/>
      <c r="CJ1411" s="68"/>
      <c r="CK1411" s="68"/>
      <c r="CL1411" s="68"/>
      <c r="CM1411" s="68"/>
      <c r="CN1411" s="68"/>
      <c r="CO1411" s="68"/>
      <c r="CP1411" s="68"/>
      <c r="CQ1411" s="68"/>
      <c r="CR1411" s="68"/>
      <c r="CS1411" s="68"/>
      <c r="CT1411" s="68"/>
      <c r="CU1411" s="68"/>
      <c r="CV1411" s="68"/>
      <c r="CW1411" s="68"/>
      <c r="CX1411" s="68"/>
    </row>
    <row r="1412" spans="4:102" s="71" customFormat="1" hidden="1">
      <c r="D1412" s="69"/>
      <c r="E1412" s="68"/>
      <c r="F1412" s="68"/>
      <c r="G1412" s="68"/>
      <c r="H1412" s="68"/>
      <c r="I1412" s="68"/>
      <c r="J1412" s="68"/>
      <c r="K1412" s="73"/>
      <c r="L1412" s="68"/>
      <c r="M1412" s="68"/>
      <c r="N1412" s="68"/>
      <c r="O1412" s="68"/>
      <c r="P1412" s="65"/>
      <c r="Q1412" s="103"/>
      <c r="R1412" s="103"/>
      <c r="S1412" s="103"/>
      <c r="T1412" s="103"/>
      <c r="U1412" s="68"/>
      <c r="V1412" s="69"/>
      <c r="W1412" s="68"/>
      <c r="X1412" s="68"/>
      <c r="Y1412" s="68"/>
      <c r="Z1412" s="68"/>
      <c r="AA1412" s="68"/>
      <c r="AB1412" s="68"/>
      <c r="AC1412" s="68"/>
      <c r="AD1412" s="68"/>
      <c r="AE1412" s="68"/>
      <c r="AF1412" s="68"/>
      <c r="AG1412" s="68"/>
      <c r="AH1412" s="68"/>
      <c r="AI1412" s="68"/>
      <c r="AJ1412" s="68"/>
      <c r="AK1412" s="68"/>
      <c r="AL1412" s="68"/>
      <c r="AM1412" s="68"/>
      <c r="AN1412" s="68"/>
      <c r="AO1412" s="68"/>
      <c r="AP1412" s="68"/>
      <c r="AQ1412" s="68"/>
      <c r="AR1412" s="68"/>
      <c r="AS1412" s="68"/>
      <c r="AT1412" s="68"/>
      <c r="AU1412" s="68"/>
      <c r="AV1412" s="68"/>
      <c r="AW1412" s="68"/>
      <c r="AX1412" s="68"/>
      <c r="AY1412" s="68"/>
      <c r="AZ1412" s="68"/>
      <c r="BA1412" s="68"/>
      <c r="BB1412" s="68"/>
      <c r="BC1412" s="68"/>
      <c r="BD1412" s="68"/>
      <c r="BE1412" s="68"/>
      <c r="BF1412" s="68"/>
      <c r="BG1412" s="68"/>
      <c r="BH1412" s="68"/>
      <c r="BI1412" s="68"/>
      <c r="BJ1412" s="68"/>
      <c r="BK1412" s="68"/>
      <c r="BL1412" s="68"/>
      <c r="BM1412" s="68"/>
      <c r="BN1412" s="68"/>
      <c r="BO1412" s="68"/>
      <c r="BP1412" s="68"/>
      <c r="BQ1412" s="68"/>
      <c r="BR1412" s="68"/>
      <c r="BS1412" s="68"/>
      <c r="BT1412" s="68"/>
      <c r="BU1412" s="68"/>
      <c r="BV1412" s="68"/>
      <c r="BW1412" s="68"/>
      <c r="BX1412" s="68"/>
      <c r="BY1412" s="68"/>
      <c r="BZ1412" s="68"/>
      <c r="CA1412" s="68"/>
      <c r="CB1412" s="68"/>
      <c r="CC1412" s="68"/>
      <c r="CD1412" s="68"/>
      <c r="CE1412" s="68"/>
      <c r="CF1412" s="68"/>
      <c r="CG1412" s="68"/>
      <c r="CH1412" s="68"/>
      <c r="CI1412" s="68"/>
      <c r="CJ1412" s="68"/>
      <c r="CK1412" s="68"/>
      <c r="CL1412" s="68"/>
      <c r="CM1412" s="68"/>
      <c r="CN1412" s="68"/>
      <c r="CO1412" s="68"/>
      <c r="CP1412" s="68"/>
      <c r="CQ1412" s="68"/>
      <c r="CR1412" s="68"/>
      <c r="CS1412" s="68"/>
      <c r="CT1412" s="68"/>
      <c r="CU1412" s="68"/>
      <c r="CV1412" s="68"/>
      <c r="CW1412" s="68"/>
      <c r="CX1412" s="68"/>
    </row>
    <row r="1413" spans="4:102" s="71" customFormat="1" hidden="1">
      <c r="D1413" s="69"/>
      <c r="E1413" s="68"/>
      <c r="F1413" s="68"/>
      <c r="G1413" s="68"/>
      <c r="H1413" s="68"/>
      <c r="I1413" s="68"/>
      <c r="J1413" s="68"/>
      <c r="K1413" s="73"/>
      <c r="L1413" s="68"/>
      <c r="M1413" s="68"/>
      <c r="N1413" s="68"/>
      <c r="O1413" s="68"/>
      <c r="P1413" s="65"/>
      <c r="Q1413" s="103"/>
      <c r="R1413" s="103"/>
      <c r="S1413" s="103"/>
      <c r="T1413" s="103"/>
      <c r="U1413" s="68"/>
      <c r="V1413" s="69"/>
      <c r="W1413" s="68"/>
      <c r="X1413" s="68"/>
      <c r="Y1413" s="68"/>
      <c r="Z1413" s="68"/>
      <c r="AA1413" s="68"/>
      <c r="AB1413" s="68"/>
      <c r="AC1413" s="68"/>
      <c r="AD1413" s="68"/>
      <c r="AE1413" s="68"/>
      <c r="AF1413" s="68"/>
      <c r="AG1413" s="68"/>
      <c r="AH1413" s="68"/>
      <c r="AI1413" s="68"/>
      <c r="AJ1413" s="68"/>
      <c r="AK1413" s="68"/>
      <c r="AL1413" s="68"/>
      <c r="AM1413" s="68"/>
      <c r="AN1413" s="68"/>
      <c r="AO1413" s="68"/>
      <c r="AP1413" s="68"/>
      <c r="AQ1413" s="68"/>
      <c r="AR1413" s="68"/>
      <c r="AS1413" s="68"/>
      <c r="AT1413" s="68"/>
      <c r="AU1413" s="68"/>
      <c r="AV1413" s="68"/>
      <c r="AW1413" s="68"/>
      <c r="AX1413" s="68"/>
      <c r="AY1413" s="68"/>
      <c r="AZ1413" s="68"/>
      <c r="BA1413" s="68"/>
      <c r="BB1413" s="68"/>
      <c r="BC1413" s="68"/>
      <c r="BD1413" s="68"/>
      <c r="BE1413" s="68"/>
      <c r="BF1413" s="68"/>
      <c r="BG1413" s="68"/>
      <c r="BH1413" s="68"/>
      <c r="BI1413" s="68"/>
      <c r="BJ1413" s="68"/>
      <c r="BK1413" s="68"/>
      <c r="BL1413" s="68"/>
      <c r="BM1413" s="68"/>
      <c r="BN1413" s="68"/>
      <c r="BO1413" s="68"/>
      <c r="BP1413" s="68"/>
      <c r="BQ1413" s="68"/>
      <c r="BR1413" s="68"/>
      <c r="BS1413" s="68"/>
      <c r="BT1413" s="68"/>
      <c r="BU1413" s="68"/>
      <c r="BV1413" s="68"/>
      <c r="BW1413" s="68"/>
      <c r="BX1413" s="68"/>
      <c r="BY1413" s="68"/>
      <c r="BZ1413" s="68"/>
      <c r="CA1413" s="68"/>
      <c r="CB1413" s="68"/>
      <c r="CC1413" s="68"/>
      <c r="CD1413" s="68"/>
      <c r="CE1413" s="68"/>
      <c r="CF1413" s="68"/>
      <c r="CG1413" s="68"/>
      <c r="CH1413" s="68"/>
      <c r="CI1413" s="68"/>
      <c r="CJ1413" s="68"/>
      <c r="CK1413" s="68"/>
      <c r="CL1413" s="68"/>
      <c r="CM1413" s="68"/>
      <c r="CN1413" s="68"/>
      <c r="CO1413" s="68"/>
      <c r="CP1413" s="68"/>
      <c r="CQ1413" s="68"/>
      <c r="CR1413" s="68"/>
      <c r="CS1413" s="68"/>
      <c r="CT1413" s="68"/>
      <c r="CU1413" s="68"/>
      <c r="CV1413" s="68"/>
      <c r="CW1413" s="68"/>
      <c r="CX1413" s="68"/>
    </row>
    <row r="1414" spans="4:102" s="71" customFormat="1" hidden="1">
      <c r="D1414" s="69"/>
      <c r="E1414" s="68"/>
      <c r="F1414" s="68"/>
      <c r="G1414" s="68"/>
      <c r="H1414" s="68"/>
      <c r="I1414" s="68"/>
      <c r="J1414" s="68"/>
      <c r="K1414" s="73"/>
      <c r="L1414" s="68"/>
      <c r="M1414" s="68"/>
      <c r="N1414" s="68"/>
      <c r="O1414" s="68"/>
      <c r="P1414" s="65"/>
      <c r="Q1414" s="103"/>
      <c r="R1414" s="103"/>
      <c r="S1414" s="103"/>
      <c r="T1414" s="103"/>
      <c r="U1414" s="68"/>
      <c r="V1414" s="69"/>
      <c r="W1414" s="68"/>
      <c r="X1414" s="68"/>
      <c r="Y1414" s="68"/>
      <c r="Z1414" s="68"/>
      <c r="AA1414" s="68"/>
      <c r="AB1414" s="68"/>
      <c r="AC1414" s="68"/>
      <c r="AD1414" s="68"/>
      <c r="AE1414" s="68"/>
      <c r="AF1414" s="68"/>
      <c r="AG1414" s="68"/>
      <c r="AH1414" s="68"/>
      <c r="AI1414" s="68"/>
      <c r="AJ1414" s="68"/>
      <c r="AK1414" s="68"/>
      <c r="AL1414" s="68"/>
      <c r="AM1414" s="68"/>
      <c r="AN1414" s="68"/>
      <c r="AO1414" s="68"/>
      <c r="AP1414" s="68"/>
      <c r="AQ1414" s="68"/>
      <c r="AR1414" s="68"/>
      <c r="AS1414" s="68"/>
      <c r="AT1414" s="68"/>
      <c r="AU1414" s="68"/>
      <c r="AV1414" s="68"/>
      <c r="AW1414" s="68"/>
      <c r="AX1414" s="68"/>
      <c r="AY1414" s="68"/>
      <c r="AZ1414" s="68"/>
      <c r="BA1414" s="68"/>
      <c r="BB1414" s="68"/>
      <c r="BC1414" s="68"/>
      <c r="BD1414" s="68"/>
      <c r="BE1414" s="68"/>
      <c r="BF1414" s="68"/>
      <c r="BG1414" s="68"/>
      <c r="BH1414" s="68"/>
      <c r="BI1414" s="68"/>
      <c r="BJ1414" s="68"/>
      <c r="BK1414" s="68"/>
      <c r="BL1414" s="68"/>
      <c r="BM1414" s="68"/>
      <c r="BN1414" s="68"/>
      <c r="BO1414" s="68"/>
      <c r="BP1414" s="68"/>
      <c r="BQ1414" s="68"/>
      <c r="BR1414" s="68"/>
      <c r="BS1414" s="68"/>
      <c r="BT1414" s="68"/>
      <c r="BU1414" s="68"/>
      <c r="BV1414" s="68"/>
      <c r="BW1414" s="68"/>
      <c r="BX1414" s="68"/>
      <c r="BY1414" s="68"/>
      <c r="BZ1414" s="68"/>
      <c r="CA1414" s="68"/>
      <c r="CB1414" s="68"/>
      <c r="CC1414" s="68"/>
      <c r="CD1414" s="68"/>
      <c r="CE1414" s="68"/>
      <c r="CF1414" s="68"/>
      <c r="CG1414" s="68"/>
      <c r="CH1414" s="68"/>
      <c r="CI1414" s="68"/>
      <c r="CJ1414" s="68"/>
      <c r="CK1414" s="68"/>
      <c r="CL1414" s="68"/>
      <c r="CM1414" s="68"/>
      <c r="CN1414" s="68"/>
      <c r="CO1414" s="68"/>
      <c r="CP1414" s="68"/>
      <c r="CQ1414" s="68"/>
      <c r="CR1414" s="68"/>
      <c r="CS1414" s="68"/>
      <c r="CT1414" s="68"/>
      <c r="CU1414" s="68"/>
      <c r="CV1414" s="68"/>
      <c r="CW1414" s="68"/>
      <c r="CX1414" s="68"/>
    </row>
    <row r="1415" spans="4:102" s="71" customFormat="1" hidden="1">
      <c r="D1415" s="69"/>
      <c r="E1415" s="68"/>
      <c r="F1415" s="68"/>
      <c r="G1415" s="68"/>
      <c r="H1415" s="68"/>
      <c r="I1415" s="68"/>
      <c r="J1415" s="68"/>
      <c r="K1415" s="73"/>
      <c r="L1415" s="68"/>
      <c r="M1415" s="68"/>
      <c r="N1415" s="68"/>
      <c r="O1415" s="68"/>
      <c r="P1415" s="65"/>
      <c r="Q1415" s="103"/>
      <c r="R1415" s="103"/>
      <c r="S1415" s="103"/>
      <c r="T1415" s="103"/>
      <c r="U1415" s="68"/>
      <c r="V1415" s="69"/>
      <c r="W1415" s="68"/>
      <c r="X1415" s="68"/>
      <c r="Y1415" s="68"/>
      <c r="Z1415" s="68"/>
      <c r="AA1415" s="68"/>
      <c r="AB1415" s="68"/>
      <c r="AC1415" s="68"/>
      <c r="AD1415" s="68"/>
      <c r="AE1415" s="68"/>
      <c r="AF1415" s="68"/>
      <c r="AG1415" s="68"/>
      <c r="AH1415" s="68"/>
      <c r="AI1415" s="68"/>
      <c r="AJ1415" s="68"/>
      <c r="AK1415" s="68"/>
      <c r="AL1415" s="68"/>
      <c r="AM1415" s="68"/>
      <c r="AN1415" s="68"/>
      <c r="AO1415" s="68"/>
      <c r="AP1415" s="68"/>
      <c r="AQ1415" s="68"/>
      <c r="AR1415" s="68"/>
      <c r="AS1415" s="68"/>
      <c r="AT1415" s="68"/>
      <c r="AU1415" s="68"/>
      <c r="AV1415" s="68"/>
      <c r="AW1415" s="68"/>
      <c r="AX1415" s="68"/>
      <c r="AY1415" s="68"/>
      <c r="AZ1415" s="68"/>
      <c r="BA1415" s="68"/>
      <c r="BB1415" s="68"/>
      <c r="BC1415" s="68"/>
      <c r="BD1415" s="68"/>
      <c r="BE1415" s="68"/>
      <c r="BF1415" s="68"/>
      <c r="BG1415" s="68"/>
      <c r="BH1415" s="68"/>
      <c r="BI1415" s="68"/>
      <c r="BJ1415" s="68"/>
      <c r="BK1415" s="68"/>
      <c r="BL1415" s="68"/>
      <c r="BM1415" s="68"/>
      <c r="BN1415" s="68"/>
      <c r="BO1415" s="68"/>
      <c r="BP1415" s="68"/>
      <c r="BQ1415" s="68"/>
      <c r="BR1415" s="68"/>
      <c r="BS1415" s="68"/>
      <c r="BT1415" s="68"/>
      <c r="BU1415" s="68"/>
      <c r="BV1415" s="68"/>
      <c r="BW1415" s="68"/>
      <c r="BX1415" s="68"/>
      <c r="BY1415" s="68"/>
      <c r="BZ1415" s="68"/>
      <c r="CA1415" s="68"/>
      <c r="CB1415" s="68"/>
      <c r="CC1415" s="68"/>
      <c r="CD1415" s="68"/>
      <c r="CE1415" s="68"/>
      <c r="CF1415" s="68"/>
      <c r="CG1415" s="68"/>
      <c r="CH1415" s="68"/>
      <c r="CI1415" s="68"/>
      <c r="CJ1415" s="68"/>
      <c r="CK1415" s="68"/>
      <c r="CL1415" s="68"/>
      <c r="CM1415" s="68"/>
      <c r="CN1415" s="68"/>
      <c r="CO1415" s="68"/>
      <c r="CP1415" s="68"/>
      <c r="CQ1415" s="68"/>
      <c r="CR1415" s="68"/>
      <c r="CS1415" s="68"/>
      <c r="CT1415" s="68"/>
      <c r="CU1415" s="68"/>
      <c r="CV1415" s="68"/>
      <c r="CW1415" s="68"/>
      <c r="CX1415" s="68"/>
    </row>
    <row r="1416" spans="4:102" s="71" customFormat="1" hidden="1">
      <c r="D1416" s="69"/>
      <c r="E1416" s="68"/>
      <c r="F1416" s="68"/>
      <c r="G1416" s="68"/>
      <c r="H1416" s="68"/>
      <c r="I1416" s="68"/>
      <c r="J1416" s="68"/>
      <c r="K1416" s="73"/>
      <c r="L1416" s="68"/>
      <c r="M1416" s="68"/>
      <c r="N1416" s="68"/>
      <c r="O1416" s="68"/>
      <c r="P1416" s="65"/>
      <c r="Q1416" s="103"/>
      <c r="R1416" s="103"/>
      <c r="S1416" s="103"/>
      <c r="T1416" s="103"/>
      <c r="U1416" s="68"/>
      <c r="V1416" s="69"/>
      <c r="W1416" s="68"/>
      <c r="X1416" s="68"/>
      <c r="Y1416" s="68"/>
      <c r="Z1416" s="68"/>
      <c r="AA1416" s="68"/>
      <c r="AB1416" s="68"/>
      <c r="AC1416" s="68"/>
      <c r="AD1416" s="68"/>
      <c r="AE1416" s="68"/>
      <c r="AF1416" s="68"/>
      <c r="AG1416" s="68"/>
      <c r="AH1416" s="68"/>
      <c r="AI1416" s="68"/>
      <c r="AJ1416" s="68"/>
      <c r="AK1416" s="68"/>
      <c r="AL1416" s="68"/>
      <c r="AM1416" s="68"/>
      <c r="AN1416" s="68"/>
      <c r="AO1416" s="68"/>
      <c r="AP1416" s="68"/>
      <c r="AQ1416" s="68"/>
      <c r="AR1416" s="68"/>
      <c r="AS1416" s="68"/>
      <c r="AT1416" s="68"/>
      <c r="AU1416" s="68"/>
      <c r="AV1416" s="68"/>
      <c r="AW1416" s="68"/>
      <c r="AX1416" s="68"/>
      <c r="AY1416" s="68"/>
      <c r="AZ1416" s="68"/>
      <c r="BA1416" s="68"/>
      <c r="BB1416" s="68"/>
      <c r="BC1416" s="68"/>
      <c r="BD1416" s="68"/>
      <c r="BE1416" s="68"/>
      <c r="BF1416" s="68"/>
      <c r="BG1416" s="68"/>
      <c r="BH1416" s="68"/>
      <c r="BI1416" s="68"/>
      <c r="BJ1416" s="68"/>
      <c r="BK1416" s="68"/>
      <c r="BL1416" s="68"/>
      <c r="BM1416" s="68"/>
      <c r="BN1416" s="68"/>
      <c r="BO1416" s="68"/>
      <c r="BP1416" s="68"/>
      <c r="BQ1416" s="68"/>
      <c r="BR1416" s="68"/>
      <c r="BS1416" s="68"/>
      <c r="BT1416" s="68"/>
      <c r="BU1416" s="68"/>
      <c r="BV1416" s="68"/>
      <c r="BW1416" s="68"/>
      <c r="BX1416" s="68"/>
      <c r="BY1416" s="68"/>
      <c r="BZ1416" s="68"/>
      <c r="CA1416" s="68"/>
      <c r="CB1416" s="68"/>
      <c r="CC1416" s="68"/>
      <c r="CD1416" s="68"/>
      <c r="CE1416" s="68"/>
      <c r="CF1416" s="68"/>
      <c r="CG1416" s="68"/>
      <c r="CH1416" s="68"/>
      <c r="CI1416" s="68"/>
      <c r="CJ1416" s="68"/>
      <c r="CK1416" s="68"/>
      <c r="CL1416" s="68"/>
      <c r="CM1416" s="68"/>
      <c r="CN1416" s="68"/>
      <c r="CO1416" s="68"/>
      <c r="CP1416" s="68"/>
      <c r="CQ1416" s="68"/>
      <c r="CR1416" s="68"/>
      <c r="CS1416" s="68"/>
      <c r="CT1416" s="68"/>
      <c r="CU1416" s="68"/>
      <c r="CV1416" s="68"/>
      <c r="CW1416" s="68"/>
      <c r="CX1416" s="68"/>
    </row>
    <row r="1417" spans="4:102" s="71" customFormat="1" hidden="1">
      <c r="D1417" s="69"/>
      <c r="E1417" s="68"/>
      <c r="F1417" s="68"/>
      <c r="G1417" s="68"/>
      <c r="H1417" s="68"/>
      <c r="I1417" s="68"/>
      <c r="J1417" s="68"/>
      <c r="K1417" s="73"/>
      <c r="L1417" s="68"/>
      <c r="M1417" s="68"/>
      <c r="N1417" s="68"/>
      <c r="O1417" s="68"/>
      <c r="P1417" s="65"/>
      <c r="Q1417" s="103"/>
      <c r="R1417" s="103"/>
      <c r="S1417" s="103"/>
      <c r="T1417" s="103"/>
      <c r="U1417" s="68"/>
      <c r="V1417" s="69"/>
      <c r="W1417" s="68"/>
      <c r="X1417" s="68"/>
      <c r="Y1417" s="68"/>
      <c r="Z1417" s="68"/>
      <c r="AA1417" s="68"/>
      <c r="AB1417" s="68"/>
      <c r="AC1417" s="68"/>
      <c r="AD1417" s="68"/>
      <c r="AE1417" s="68"/>
      <c r="AF1417" s="68"/>
      <c r="AG1417" s="68"/>
      <c r="AH1417" s="68"/>
      <c r="AI1417" s="68"/>
      <c r="AJ1417" s="68"/>
      <c r="AK1417" s="68"/>
      <c r="AL1417" s="68"/>
      <c r="AM1417" s="68"/>
      <c r="AN1417" s="68"/>
      <c r="AO1417" s="68"/>
      <c r="AP1417" s="68"/>
      <c r="AQ1417" s="68"/>
      <c r="AR1417" s="68"/>
      <c r="AS1417" s="68"/>
      <c r="AT1417" s="68"/>
      <c r="AU1417" s="68"/>
      <c r="AV1417" s="68"/>
      <c r="AW1417" s="68"/>
      <c r="AX1417" s="68"/>
      <c r="AY1417" s="68"/>
      <c r="AZ1417" s="68"/>
      <c r="BA1417" s="68"/>
      <c r="BB1417" s="68"/>
      <c r="BC1417" s="68"/>
      <c r="BD1417" s="68"/>
      <c r="BE1417" s="68"/>
      <c r="BF1417" s="68"/>
      <c r="BG1417" s="68"/>
      <c r="BH1417" s="68"/>
      <c r="BI1417" s="68"/>
      <c r="BJ1417" s="68"/>
      <c r="BK1417" s="68"/>
      <c r="BL1417" s="68"/>
      <c r="BM1417" s="68"/>
      <c r="BN1417" s="68"/>
      <c r="BO1417" s="68"/>
      <c r="BP1417" s="68"/>
      <c r="BQ1417" s="68"/>
      <c r="BR1417" s="68"/>
      <c r="BS1417" s="68"/>
      <c r="BT1417" s="68"/>
      <c r="BU1417" s="68"/>
      <c r="BV1417" s="68"/>
      <c r="BW1417" s="68"/>
      <c r="BX1417" s="68"/>
      <c r="BY1417" s="68"/>
      <c r="BZ1417" s="68"/>
      <c r="CA1417" s="68"/>
      <c r="CB1417" s="68"/>
      <c r="CC1417" s="68"/>
      <c r="CD1417" s="68"/>
      <c r="CE1417" s="68"/>
      <c r="CF1417" s="68"/>
      <c r="CG1417" s="68"/>
      <c r="CH1417" s="68"/>
      <c r="CI1417" s="68"/>
      <c r="CJ1417" s="68"/>
      <c r="CK1417" s="68"/>
      <c r="CL1417" s="68"/>
      <c r="CM1417" s="68"/>
      <c r="CN1417" s="68"/>
      <c r="CO1417" s="68"/>
      <c r="CP1417" s="68"/>
      <c r="CQ1417" s="68"/>
      <c r="CR1417" s="68"/>
      <c r="CS1417" s="68"/>
      <c r="CT1417" s="68"/>
      <c r="CU1417" s="68"/>
      <c r="CV1417" s="68"/>
      <c r="CW1417" s="68"/>
      <c r="CX1417" s="68"/>
    </row>
    <row r="1418" spans="4:102" s="71" customFormat="1" hidden="1">
      <c r="D1418" s="69"/>
      <c r="E1418" s="68"/>
      <c r="F1418" s="68"/>
      <c r="G1418" s="68"/>
      <c r="H1418" s="68"/>
      <c r="I1418" s="68"/>
      <c r="J1418" s="68"/>
      <c r="K1418" s="73"/>
      <c r="L1418" s="68"/>
      <c r="M1418" s="68"/>
      <c r="N1418" s="68"/>
      <c r="O1418" s="68"/>
      <c r="P1418" s="65"/>
      <c r="Q1418" s="103"/>
      <c r="R1418" s="103"/>
      <c r="S1418" s="103"/>
      <c r="T1418" s="103"/>
      <c r="U1418" s="68"/>
      <c r="V1418" s="69"/>
      <c r="W1418" s="68"/>
      <c r="X1418" s="68"/>
      <c r="Y1418" s="68"/>
      <c r="Z1418" s="68"/>
      <c r="AA1418" s="68"/>
      <c r="AB1418" s="68"/>
      <c r="AC1418" s="68"/>
      <c r="AD1418" s="68"/>
      <c r="AE1418" s="68"/>
      <c r="AF1418" s="68"/>
      <c r="AG1418" s="68"/>
      <c r="AH1418" s="68"/>
      <c r="AI1418" s="68"/>
      <c r="AJ1418" s="68"/>
      <c r="AK1418" s="68"/>
      <c r="AL1418" s="68"/>
      <c r="AM1418" s="68"/>
      <c r="AN1418" s="68"/>
      <c r="AO1418" s="68"/>
      <c r="AP1418" s="68"/>
      <c r="AQ1418" s="68"/>
      <c r="AR1418" s="68"/>
      <c r="AS1418" s="68"/>
      <c r="AT1418" s="68"/>
      <c r="AU1418" s="68"/>
      <c r="AV1418" s="68"/>
      <c r="AW1418" s="68"/>
      <c r="AX1418" s="68"/>
      <c r="AY1418" s="68"/>
      <c r="AZ1418" s="68"/>
      <c r="BA1418" s="68"/>
      <c r="BB1418" s="68"/>
      <c r="BC1418" s="68"/>
      <c r="BD1418" s="68"/>
      <c r="BE1418" s="68"/>
      <c r="BF1418" s="68"/>
      <c r="BG1418" s="68"/>
      <c r="BH1418" s="68"/>
      <c r="BI1418" s="68"/>
      <c r="BJ1418" s="68"/>
      <c r="BK1418" s="68"/>
      <c r="BL1418" s="68"/>
      <c r="BM1418" s="68"/>
      <c r="BN1418" s="68"/>
      <c r="BO1418" s="68"/>
      <c r="BP1418" s="68"/>
      <c r="BQ1418" s="68"/>
      <c r="BR1418" s="68"/>
      <c r="BS1418" s="68"/>
      <c r="BT1418" s="68"/>
      <c r="BU1418" s="68"/>
      <c r="BV1418" s="68"/>
      <c r="BW1418" s="68"/>
      <c r="BX1418" s="68"/>
      <c r="BY1418" s="68"/>
      <c r="BZ1418" s="68"/>
      <c r="CA1418" s="68"/>
      <c r="CB1418" s="68"/>
      <c r="CC1418" s="68"/>
      <c r="CD1418" s="68"/>
      <c r="CE1418" s="68"/>
      <c r="CF1418" s="68"/>
      <c r="CG1418" s="68"/>
      <c r="CH1418" s="68"/>
      <c r="CI1418" s="68"/>
      <c r="CJ1418" s="68"/>
      <c r="CK1418" s="68"/>
      <c r="CL1418" s="68"/>
      <c r="CM1418" s="68"/>
      <c r="CN1418" s="68"/>
      <c r="CO1418" s="68"/>
      <c r="CP1418" s="68"/>
      <c r="CQ1418" s="68"/>
      <c r="CR1418" s="68"/>
      <c r="CS1418" s="68"/>
      <c r="CT1418" s="68"/>
      <c r="CU1418" s="68"/>
      <c r="CV1418" s="68"/>
      <c r="CW1418" s="68"/>
      <c r="CX1418" s="68"/>
    </row>
    <row r="1419" spans="4:102" s="71" customFormat="1" hidden="1">
      <c r="D1419" s="69"/>
      <c r="E1419" s="68"/>
      <c r="F1419" s="68"/>
      <c r="G1419" s="68"/>
      <c r="H1419" s="68"/>
      <c r="I1419" s="68"/>
      <c r="J1419" s="68"/>
      <c r="K1419" s="73"/>
      <c r="L1419" s="68"/>
      <c r="M1419" s="68"/>
      <c r="N1419" s="68"/>
      <c r="O1419" s="68"/>
      <c r="P1419" s="65"/>
      <c r="Q1419" s="103"/>
      <c r="R1419" s="103"/>
      <c r="S1419" s="103"/>
      <c r="T1419" s="103"/>
      <c r="U1419" s="68"/>
      <c r="V1419" s="69"/>
      <c r="W1419" s="68"/>
      <c r="X1419" s="68"/>
      <c r="Y1419" s="68"/>
      <c r="Z1419" s="68"/>
      <c r="AA1419" s="68"/>
      <c r="AB1419" s="68"/>
      <c r="AC1419" s="68"/>
      <c r="AD1419" s="68"/>
      <c r="AE1419" s="68"/>
      <c r="AF1419" s="68"/>
      <c r="AG1419" s="68"/>
      <c r="AH1419" s="68"/>
      <c r="AI1419" s="68"/>
      <c r="AJ1419" s="68"/>
      <c r="AK1419" s="68"/>
      <c r="AL1419" s="68"/>
      <c r="AM1419" s="68"/>
      <c r="AN1419" s="68"/>
      <c r="AO1419" s="68"/>
      <c r="AP1419" s="68"/>
      <c r="AQ1419" s="68"/>
      <c r="AR1419" s="68"/>
      <c r="AS1419" s="68"/>
      <c r="AT1419" s="68"/>
      <c r="AU1419" s="68"/>
      <c r="AV1419" s="68"/>
      <c r="AW1419" s="68"/>
      <c r="AX1419" s="68"/>
      <c r="AY1419" s="68"/>
      <c r="AZ1419" s="68"/>
      <c r="BA1419" s="68"/>
      <c r="BB1419" s="68"/>
      <c r="BC1419" s="68"/>
      <c r="BD1419" s="68"/>
      <c r="BE1419" s="68"/>
      <c r="BF1419" s="68"/>
      <c r="BG1419" s="68"/>
      <c r="BH1419" s="68"/>
      <c r="BI1419" s="68"/>
      <c r="BJ1419" s="68"/>
      <c r="BK1419" s="68"/>
      <c r="BL1419" s="68"/>
      <c r="BM1419" s="68"/>
      <c r="BN1419" s="68"/>
      <c r="BO1419" s="68"/>
      <c r="BP1419" s="68"/>
      <c r="BQ1419" s="68"/>
      <c r="BR1419" s="68"/>
      <c r="BS1419" s="68"/>
      <c r="BT1419" s="68"/>
      <c r="BU1419" s="68"/>
      <c r="BV1419" s="68"/>
      <c r="BW1419" s="68"/>
      <c r="BX1419" s="68"/>
      <c r="BY1419" s="68"/>
      <c r="BZ1419" s="68"/>
      <c r="CA1419" s="68"/>
      <c r="CB1419" s="68"/>
      <c r="CC1419" s="68"/>
      <c r="CD1419" s="68"/>
      <c r="CE1419" s="68"/>
      <c r="CF1419" s="68"/>
      <c r="CG1419" s="68"/>
      <c r="CH1419" s="68"/>
      <c r="CI1419" s="68"/>
      <c r="CJ1419" s="68"/>
      <c r="CK1419" s="68"/>
      <c r="CL1419" s="68"/>
      <c r="CM1419" s="68"/>
      <c r="CN1419" s="68"/>
      <c r="CO1419" s="68"/>
      <c r="CP1419" s="68"/>
      <c r="CQ1419" s="68"/>
      <c r="CR1419" s="68"/>
      <c r="CS1419" s="68"/>
      <c r="CT1419" s="68"/>
      <c r="CU1419" s="68"/>
      <c r="CV1419" s="68"/>
      <c r="CW1419" s="68"/>
      <c r="CX1419" s="68"/>
    </row>
    <row r="1420" spans="4:102" s="71" customFormat="1" hidden="1">
      <c r="D1420" s="69"/>
      <c r="E1420" s="68"/>
      <c r="F1420" s="68"/>
      <c r="G1420" s="68"/>
      <c r="H1420" s="68"/>
      <c r="I1420" s="68"/>
      <c r="J1420" s="68"/>
      <c r="K1420" s="73"/>
      <c r="L1420" s="68"/>
      <c r="M1420" s="68"/>
      <c r="N1420" s="68"/>
      <c r="O1420" s="68"/>
      <c r="P1420" s="65"/>
      <c r="Q1420" s="103"/>
      <c r="R1420" s="103"/>
      <c r="S1420" s="103"/>
      <c r="T1420" s="103"/>
      <c r="U1420" s="68"/>
      <c r="V1420" s="69"/>
      <c r="W1420" s="68"/>
      <c r="X1420" s="68"/>
      <c r="Y1420" s="68"/>
      <c r="Z1420" s="68"/>
      <c r="AA1420" s="68"/>
      <c r="AB1420" s="68"/>
      <c r="AC1420" s="68"/>
      <c r="AD1420" s="68"/>
      <c r="AE1420" s="68"/>
      <c r="AF1420" s="68"/>
      <c r="AG1420" s="68"/>
      <c r="AH1420" s="68"/>
      <c r="AI1420" s="68"/>
      <c r="AJ1420" s="68"/>
      <c r="AK1420" s="68"/>
      <c r="AL1420" s="68"/>
      <c r="AM1420" s="68"/>
      <c r="AN1420" s="68"/>
      <c r="AO1420" s="68"/>
      <c r="AP1420" s="68"/>
      <c r="AQ1420" s="68"/>
      <c r="AR1420" s="68"/>
      <c r="AS1420" s="68"/>
      <c r="AT1420" s="68"/>
      <c r="AU1420" s="68"/>
      <c r="AV1420" s="68"/>
      <c r="AW1420" s="68"/>
      <c r="AX1420" s="68"/>
      <c r="AY1420" s="68"/>
      <c r="AZ1420" s="68"/>
      <c r="BA1420" s="68"/>
      <c r="BB1420" s="68"/>
      <c r="BC1420" s="68"/>
      <c r="BD1420" s="68"/>
      <c r="BE1420" s="68"/>
      <c r="BF1420" s="68"/>
      <c r="BG1420" s="68"/>
      <c r="BH1420" s="68"/>
      <c r="BI1420" s="68"/>
      <c r="BJ1420" s="68"/>
      <c r="BK1420" s="68"/>
      <c r="BL1420" s="68"/>
      <c r="BM1420" s="68"/>
      <c r="BN1420" s="68"/>
      <c r="BO1420" s="68"/>
      <c r="BP1420" s="68"/>
      <c r="BQ1420" s="68"/>
      <c r="BR1420" s="68"/>
      <c r="BS1420" s="68"/>
      <c r="BT1420" s="68"/>
      <c r="BU1420" s="68"/>
      <c r="BV1420" s="68"/>
      <c r="BW1420" s="68"/>
      <c r="BX1420" s="68"/>
      <c r="BY1420" s="68"/>
      <c r="BZ1420" s="68"/>
      <c r="CA1420" s="68"/>
      <c r="CB1420" s="68"/>
      <c r="CC1420" s="68"/>
      <c r="CD1420" s="68"/>
      <c r="CE1420" s="68"/>
      <c r="CF1420" s="68"/>
      <c r="CG1420" s="68"/>
      <c r="CH1420" s="68"/>
      <c r="CI1420" s="68"/>
      <c r="CJ1420" s="68"/>
      <c r="CK1420" s="68"/>
      <c r="CL1420" s="68"/>
      <c r="CM1420" s="68"/>
      <c r="CN1420" s="68"/>
      <c r="CO1420" s="68"/>
      <c r="CP1420" s="68"/>
      <c r="CQ1420" s="68"/>
      <c r="CR1420" s="68"/>
      <c r="CS1420" s="68"/>
      <c r="CT1420" s="68"/>
      <c r="CU1420" s="68"/>
      <c r="CV1420" s="68"/>
      <c r="CW1420" s="68"/>
      <c r="CX1420" s="68"/>
    </row>
    <row r="1421" spans="4:102" s="71" customFormat="1" hidden="1">
      <c r="D1421" s="69"/>
      <c r="E1421" s="68"/>
      <c r="F1421" s="68"/>
      <c r="G1421" s="68"/>
      <c r="H1421" s="68"/>
      <c r="I1421" s="68"/>
      <c r="J1421" s="68"/>
      <c r="K1421" s="73"/>
      <c r="L1421" s="68"/>
      <c r="M1421" s="68"/>
      <c r="N1421" s="68"/>
      <c r="O1421" s="68"/>
      <c r="P1421" s="65"/>
      <c r="Q1421" s="103"/>
      <c r="R1421" s="103"/>
      <c r="S1421" s="103"/>
      <c r="T1421" s="103"/>
      <c r="U1421" s="68"/>
      <c r="V1421" s="69"/>
      <c r="W1421" s="68"/>
      <c r="X1421" s="68"/>
      <c r="Y1421" s="68"/>
      <c r="Z1421" s="68"/>
      <c r="AA1421" s="68"/>
      <c r="AB1421" s="68"/>
      <c r="AC1421" s="68"/>
      <c r="AD1421" s="68"/>
      <c r="AE1421" s="68"/>
      <c r="AF1421" s="68"/>
      <c r="AG1421" s="68"/>
      <c r="AH1421" s="68"/>
      <c r="AI1421" s="68"/>
      <c r="AJ1421" s="68"/>
      <c r="AK1421" s="68"/>
      <c r="AL1421" s="68"/>
      <c r="AM1421" s="68"/>
      <c r="AN1421" s="68"/>
      <c r="AO1421" s="68"/>
      <c r="AP1421" s="68"/>
      <c r="AQ1421" s="68"/>
      <c r="AR1421" s="68"/>
      <c r="AS1421" s="68"/>
      <c r="AT1421" s="68"/>
      <c r="AU1421" s="68"/>
      <c r="AV1421" s="68"/>
      <c r="AW1421" s="68"/>
      <c r="AX1421" s="68"/>
      <c r="AY1421" s="68"/>
      <c r="AZ1421" s="68"/>
      <c r="BA1421" s="68"/>
      <c r="BB1421" s="68"/>
      <c r="BC1421" s="68"/>
      <c r="BD1421" s="68"/>
      <c r="BE1421" s="68"/>
      <c r="BF1421" s="68"/>
      <c r="BG1421" s="68"/>
      <c r="BH1421" s="68"/>
      <c r="BI1421" s="68"/>
      <c r="BJ1421" s="68"/>
      <c r="BK1421" s="68"/>
      <c r="BL1421" s="68"/>
      <c r="BM1421" s="68"/>
      <c r="BN1421" s="68"/>
      <c r="BO1421" s="68"/>
      <c r="BP1421" s="68"/>
      <c r="BQ1421" s="68"/>
      <c r="BR1421" s="68"/>
      <c r="BS1421" s="68"/>
      <c r="BT1421" s="68"/>
      <c r="BU1421" s="68"/>
      <c r="BV1421" s="68"/>
      <c r="BW1421" s="68"/>
      <c r="BX1421" s="68"/>
      <c r="BY1421" s="68"/>
      <c r="BZ1421" s="68"/>
      <c r="CA1421" s="68"/>
      <c r="CB1421" s="68"/>
      <c r="CC1421" s="68"/>
      <c r="CD1421" s="68"/>
      <c r="CE1421" s="68"/>
      <c r="CF1421" s="68"/>
      <c r="CG1421" s="68"/>
      <c r="CH1421" s="68"/>
      <c r="CI1421" s="68"/>
      <c r="CJ1421" s="68"/>
      <c r="CK1421" s="68"/>
      <c r="CL1421" s="68"/>
      <c r="CM1421" s="68"/>
      <c r="CN1421" s="68"/>
      <c r="CO1421" s="68"/>
      <c r="CP1421" s="68"/>
      <c r="CQ1421" s="68"/>
      <c r="CR1421" s="68"/>
      <c r="CS1421" s="68"/>
      <c r="CT1421" s="68"/>
      <c r="CU1421" s="68"/>
      <c r="CV1421" s="68"/>
      <c r="CW1421" s="68"/>
      <c r="CX1421" s="68"/>
    </row>
    <row r="1422" spans="4:102" s="71" customFormat="1" hidden="1">
      <c r="D1422" s="69"/>
      <c r="E1422" s="68"/>
      <c r="F1422" s="68"/>
      <c r="G1422" s="68"/>
      <c r="H1422" s="68"/>
      <c r="I1422" s="68"/>
      <c r="J1422" s="68"/>
      <c r="K1422" s="73"/>
      <c r="L1422" s="68"/>
      <c r="M1422" s="68"/>
      <c r="N1422" s="68"/>
      <c r="O1422" s="68"/>
      <c r="P1422" s="65"/>
      <c r="Q1422" s="103"/>
      <c r="R1422" s="103"/>
      <c r="S1422" s="103"/>
      <c r="T1422" s="103"/>
      <c r="U1422" s="68"/>
      <c r="V1422" s="69"/>
      <c r="W1422" s="68"/>
      <c r="X1422" s="68"/>
      <c r="Y1422" s="68"/>
      <c r="Z1422" s="68"/>
      <c r="AA1422" s="68"/>
      <c r="AB1422" s="68"/>
      <c r="AC1422" s="68"/>
      <c r="AD1422" s="68"/>
      <c r="AE1422" s="68"/>
      <c r="AF1422" s="68"/>
      <c r="AG1422" s="68"/>
      <c r="AH1422" s="68"/>
      <c r="AI1422" s="68"/>
      <c r="AJ1422" s="68"/>
      <c r="AK1422" s="68"/>
      <c r="AL1422" s="68"/>
      <c r="AM1422" s="68"/>
      <c r="AN1422" s="68"/>
      <c r="AO1422" s="68"/>
      <c r="AP1422" s="68"/>
      <c r="AQ1422" s="68"/>
      <c r="AR1422" s="68"/>
      <c r="AS1422" s="68"/>
      <c r="AT1422" s="68"/>
      <c r="AU1422" s="68"/>
      <c r="AV1422" s="68"/>
      <c r="AW1422" s="68"/>
      <c r="AX1422" s="68"/>
      <c r="AY1422" s="68"/>
      <c r="AZ1422" s="68"/>
      <c r="BA1422" s="68"/>
      <c r="BB1422" s="68"/>
      <c r="BC1422" s="68"/>
      <c r="BD1422" s="68"/>
      <c r="BE1422" s="68"/>
      <c r="BF1422" s="68"/>
      <c r="BG1422" s="68"/>
      <c r="BH1422" s="68"/>
      <c r="BI1422" s="68"/>
      <c r="BJ1422" s="68"/>
      <c r="BK1422" s="68"/>
      <c r="BL1422" s="68"/>
      <c r="BM1422" s="68"/>
      <c r="BN1422" s="68"/>
      <c r="BO1422" s="68"/>
      <c r="BP1422" s="68"/>
      <c r="BQ1422" s="68"/>
      <c r="BR1422" s="68"/>
      <c r="BS1422" s="68"/>
      <c r="BT1422" s="68"/>
      <c r="BU1422" s="68"/>
      <c r="BV1422" s="68"/>
      <c r="BW1422" s="68"/>
      <c r="BX1422" s="68"/>
      <c r="BY1422" s="68"/>
      <c r="BZ1422" s="68"/>
      <c r="CA1422" s="68"/>
      <c r="CB1422" s="68"/>
      <c r="CC1422" s="68"/>
      <c r="CD1422" s="68"/>
      <c r="CE1422" s="68"/>
      <c r="CF1422" s="68"/>
      <c r="CG1422" s="68"/>
      <c r="CH1422" s="68"/>
      <c r="CI1422" s="68"/>
      <c r="CJ1422" s="68"/>
      <c r="CK1422" s="68"/>
      <c r="CL1422" s="68"/>
      <c r="CM1422" s="68"/>
      <c r="CN1422" s="68"/>
      <c r="CO1422" s="68"/>
      <c r="CP1422" s="68"/>
      <c r="CQ1422" s="68"/>
      <c r="CR1422" s="68"/>
      <c r="CS1422" s="68"/>
      <c r="CT1422" s="68"/>
      <c r="CU1422" s="68"/>
      <c r="CV1422" s="68"/>
      <c r="CW1422" s="68"/>
      <c r="CX1422" s="68"/>
    </row>
    <row r="1423" spans="4:102" s="71" customFormat="1" hidden="1">
      <c r="D1423" s="69"/>
      <c r="E1423" s="68"/>
      <c r="F1423" s="68"/>
      <c r="G1423" s="68"/>
      <c r="H1423" s="68"/>
      <c r="I1423" s="68"/>
      <c r="J1423" s="68"/>
      <c r="K1423" s="73"/>
      <c r="L1423" s="68"/>
      <c r="M1423" s="68"/>
      <c r="N1423" s="68"/>
      <c r="O1423" s="68"/>
      <c r="P1423" s="65"/>
      <c r="Q1423" s="103"/>
      <c r="R1423" s="103"/>
      <c r="S1423" s="103"/>
      <c r="T1423" s="103"/>
      <c r="U1423" s="68"/>
      <c r="V1423" s="69"/>
      <c r="W1423" s="68"/>
      <c r="X1423" s="68"/>
      <c r="Y1423" s="68"/>
      <c r="Z1423" s="68"/>
      <c r="AA1423" s="68"/>
      <c r="AB1423" s="68"/>
      <c r="AC1423" s="68"/>
      <c r="AD1423" s="68"/>
      <c r="AE1423" s="68"/>
      <c r="AF1423" s="68"/>
      <c r="AG1423" s="68"/>
      <c r="AH1423" s="68"/>
      <c r="AI1423" s="68"/>
      <c r="AJ1423" s="68"/>
      <c r="AK1423" s="68"/>
      <c r="AL1423" s="68"/>
      <c r="AM1423" s="68"/>
      <c r="AN1423" s="68"/>
      <c r="AO1423" s="68"/>
      <c r="AP1423" s="68"/>
      <c r="AQ1423" s="68"/>
      <c r="AR1423" s="68"/>
      <c r="AS1423" s="68"/>
      <c r="AT1423" s="68"/>
      <c r="AU1423" s="68"/>
      <c r="AV1423" s="68"/>
      <c r="AW1423" s="68"/>
      <c r="AX1423" s="68"/>
      <c r="AY1423" s="68"/>
      <c r="AZ1423" s="68"/>
      <c r="BA1423" s="68"/>
      <c r="BB1423" s="68"/>
      <c r="BC1423" s="68"/>
      <c r="BD1423" s="68"/>
      <c r="BE1423" s="68"/>
      <c r="BF1423" s="68"/>
      <c r="BG1423" s="68"/>
      <c r="BH1423" s="68"/>
      <c r="BI1423" s="68"/>
      <c r="BJ1423" s="68"/>
      <c r="BK1423" s="68"/>
      <c r="BL1423" s="68"/>
      <c r="BM1423" s="68"/>
      <c r="BN1423" s="68"/>
      <c r="BO1423" s="68"/>
      <c r="BP1423" s="68"/>
      <c r="BQ1423" s="68"/>
      <c r="BR1423" s="68"/>
      <c r="BS1423" s="68"/>
      <c r="BT1423" s="68"/>
      <c r="BU1423" s="68"/>
      <c r="BV1423" s="68"/>
      <c r="BW1423" s="68"/>
      <c r="BX1423" s="68"/>
      <c r="BY1423" s="68"/>
      <c r="BZ1423" s="68"/>
      <c r="CA1423" s="68"/>
      <c r="CB1423" s="68"/>
      <c r="CC1423" s="68"/>
      <c r="CD1423" s="68"/>
      <c r="CE1423" s="68"/>
      <c r="CF1423" s="68"/>
      <c r="CG1423" s="68"/>
      <c r="CH1423" s="68"/>
      <c r="CI1423" s="68"/>
      <c r="CJ1423" s="68"/>
      <c r="CK1423" s="68"/>
      <c r="CL1423" s="68"/>
      <c r="CM1423" s="68"/>
      <c r="CN1423" s="68"/>
      <c r="CO1423" s="68"/>
      <c r="CP1423" s="68"/>
      <c r="CQ1423" s="68"/>
      <c r="CR1423" s="68"/>
      <c r="CS1423" s="68"/>
      <c r="CT1423" s="68"/>
      <c r="CU1423" s="68"/>
      <c r="CV1423" s="68"/>
      <c r="CW1423" s="68"/>
      <c r="CX1423" s="68"/>
    </row>
    <row r="1424" spans="4:102" s="71" customFormat="1" hidden="1">
      <c r="D1424" s="69"/>
      <c r="E1424" s="68"/>
      <c r="F1424" s="68"/>
      <c r="G1424" s="68"/>
      <c r="H1424" s="68"/>
      <c r="I1424" s="68"/>
      <c r="J1424" s="68"/>
      <c r="K1424" s="73"/>
      <c r="L1424" s="68"/>
      <c r="M1424" s="68"/>
      <c r="N1424" s="68"/>
      <c r="O1424" s="68"/>
      <c r="P1424" s="65"/>
      <c r="Q1424" s="103"/>
      <c r="R1424" s="103"/>
      <c r="S1424" s="103"/>
      <c r="T1424" s="103"/>
      <c r="U1424" s="68"/>
      <c r="V1424" s="69"/>
      <c r="W1424" s="68"/>
      <c r="X1424" s="68"/>
      <c r="Y1424" s="68"/>
      <c r="Z1424" s="68"/>
      <c r="AA1424" s="68"/>
      <c r="AB1424" s="68"/>
      <c r="AC1424" s="68"/>
      <c r="AD1424" s="68"/>
      <c r="AE1424" s="68"/>
      <c r="AF1424" s="68"/>
      <c r="AG1424" s="68"/>
      <c r="AH1424" s="68"/>
      <c r="AI1424" s="68"/>
      <c r="AJ1424" s="68"/>
      <c r="AK1424" s="68"/>
      <c r="AL1424" s="68"/>
      <c r="AM1424" s="68"/>
      <c r="AN1424" s="68"/>
      <c r="AO1424" s="68"/>
      <c r="AP1424" s="68"/>
      <c r="AQ1424" s="68"/>
      <c r="AR1424" s="68"/>
      <c r="AS1424" s="68"/>
      <c r="AT1424" s="68"/>
      <c r="AU1424" s="68"/>
      <c r="AV1424" s="68"/>
      <c r="AW1424" s="68"/>
      <c r="AX1424" s="68"/>
      <c r="AY1424" s="68"/>
      <c r="AZ1424" s="68"/>
      <c r="BA1424" s="68"/>
      <c r="BB1424" s="68"/>
      <c r="BC1424" s="68"/>
      <c r="BD1424" s="68"/>
      <c r="BE1424" s="68"/>
      <c r="BF1424" s="68"/>
      <c r="BG1424" s="68"/>
      <c r="BH1424" s="68"/>
      <c r="BI1424" s="68"/>
      <c r="BJ1424" s="68"/>
      <c r="BK1424" s="68"/>
      <c r="BL1424" s="68"/>
      <c r="BM1424" s="68"/>
      <c r="BN1424" s="68"/>
      <c r="BO1424" s="68"/>
      <c r="BP1424" s="68"/>
      <c r="BQ1424" s="68"/>
      <c r="BR1424" s="68"/>
      <c r="BS1424" s="68"/>
      <c r="BT1424" s="68"/>
      <c r="BU1424" s="68"/>
      <c r="BV1424" s="68"/>
      <c r="BW1424" s="68"/>
      <c r="BX1424" s="68"/>
      <c r="BY1424" s="68"/>
      <c r="BZ1424" s="68"/>
      <c r="CA1424" s="68"/>
      <c r="CB1424" s="68"/>
      <c r="CC1424" s="68"/>
      <c r="CD1424" s="68"/>
      <c r="CE1424" s="68"/>
      <c r="CF1424" s="68"/>
      <c r="CG1424" s="68"/>
      <c r="CH1424" s="68"/>
      <c r="CI1424" s="68"/>
      <c r="CJ1424" s="68"/>
      <c r="CK1424" s="68"/>
      <c r="CL1424" s="68"/>
      <c r="CM1424" s="68"/>
      <c r="CN1424" s="68"/>
      <c r="CO1424" s="68"/>
      <c r="CP1424" s="68"/>
      <c r="CQ1424" s="68"/>
      <c r="CR1424" s="68"/>
      <c r="CS1424" s="68"/>
      <c r="CT1424" s="68"/>
      <c r="CU1424" s="68"/>
      <c r="CV1424" s="68"/>
      <c r="CW1424" s="68"/>
      <c r="CX1424" s="68"/>
    </row>
    <row r="1425" spans="4:102" s="71" customFormat="1" hidden="1">
      <c r="D1425" s="69"/>
      <c r="E1425" s="68"/>
      <c r="F1425" s="68"/>
      <c r="G1425" s="68"/>
      <c r="H1425" s="68"/>
      <c r="I1425" s="68"/>
      <c r="J1425" s="68"/>
      <c r="K1425" s="73"/>
      <c r="L1425" s="68"/>
      <c r="M1425" s="68"/>
      <c r="N1425" s="68"/>
      <c r="O1425" s="68"/>
      <c r="P1425" s="65"/>
      <c r="Q1425" s="103"/>
      <c r="R1425" s="103"/>
      <c r="S1425" s="103"/>
      <c r="T1425" s="103"/>
      <c r="U1425" s="68"/>
      <c r="V1425" s="69"/>
      <c r="W1425" s="68"/>
      <c r="X1425" s="68"/>
      <c r="Y1425" s="68"/>
      <c r="Z1425" s="68"/>
      <c r="AA1425" s="68"/>
      <c r="AB1425" s="68"/>
      <c r="AC1425" s="68"/>
      <c r="AD1425" s="68"/>
      <c r="AE1425" s="68"/>
      <c r="AF1425" s="68"/>
      <c r="AG1425" s="68"/>
      <c r="AH1425" s="68"/>
      <c r="AI1425" s="68"/>
      <c r="AJ1425" s="68"/>
      <c r="AK1425" s="68"/>
      <c r="AL1425" s="68"/>
      <c r="AM1425" s="68"/>
      <c r="AN1425" s="68"/>
      <c r="AO1425" s="68"/>
      <c r="AP1425" s="68"/>
      <c r="AQ1425" s="68"/>
      <c r="AR1425" s="68"/>
      <c r="AS1425" s="68"/>
      <c r="AT1425" s="68"/>
      <c r="AU1425" s="68"/>
      <c r="AV1425" s="68"/>
      <c r="AW1425" s="68"/>
      <c r="AX1425" s="68"/>
      <c r="AY1425" s="68"/>
      <c r="AZ1425" s="68"/>
      <c r="BA1425" s="68"/>
      <c r="BB1425" s="68"/>
      <c r="BC1425" s="68"/>
      <c r="BD1425" s="68"/>
      <c r="BE1425" s="68"/>
      <c r="BF1425" s="68"/>
      <c r="BG1425" s="68"/>
      <c r="BH1425" s="68"/>
      <c r="BI1425" s="68"/>
      <c r="BJ1425" s="68"/>
      <c r="BK1425" s="68"/>
      <c r="BL1425" s="68"/>
      <c r="BM1425" s="68"/>
      <c r="BN1425" s="68"/>
      <c r="BO1425" s="68"/>
      <c r="BP1425" s="68"/>
      <c r="BQ1425" s="68"/>
      <c r="BR1425" s="68"/>
      <c r="BS1425" s="68"/>
      <c r="BT1425" s="68"/>
      <c r="BU1425" s="68"/>
      <c r="BV1425" s="68"/>
      <c r="BW1425" s="68"/>
      <c r="BX1425" s="68"/>
      <c r="BY1425" s="68"/>
      <c r="BZ1425" s="68"/>
      <c r="CA1425" s="68"/>
      <c r="CB1425" s="68"/>
      <c r="CC1425" s="68"/>
      <c r="CD1425" s="68"/>
      <c r="CE1425" s="68"/>
      <c r="CF1425" s="68"/>
      <c r="CG1425" s="68"/>
      <c r="CH1425" s="68"/>
      <c r="CI1425" s="68"/>
      <c r="CJ1425" s="68"/>
      <c r="CK1425" s="68"/>
      <c r="CL1425" s="68"/>
      <c r="CM1425" s="68"/>
      <c r="CN1425" s="68"/>
      <c r="CO1425" s="68"/>
      <c r="CP1425" s="68"/>
      <c r="CQ1425" s="68"/>
      <c r="CR1425" s="68"/>
      <c r="CS1425" s="68"/>
      <c r="CT1425" s="68"/>
      <c r="CU1425" s="68"/>
      <c r="CV1425" s="68"/>
      <c r="CW1425" s="68"/>
      <c r="CX1425" s="68"/>
    </row>
    <row r="1426" spans="4:102" s="71" customFormat="1" hidden="1">
      <c r="D1426" s="69"/>
      <c r="E1426" s="68"/>
      <c r="F1426" s="68"/>
      <c r="G1426" s="68"/>
      <c r="H1426" s="68"/>
      <c r="I1426" s="68"/>
      <c r="J1426" s="68"/>
      <c r="K1426" s="73"/>
      <c r="L1426" s="68"/>
      <c r="M1426" s="68"/>
      <c r="N1426" s="68"/>
      <c r="O1426" s="68"/>
      <c r="P1426" s="65"/>
      <c r="Q1426" s="103"/>
      <c r="R1426" s="103"/>
      <c r="S1426" s="103"/>
      <c r="T1426" s="103"/>
      <c r="U1426" s="68"/>
      <c r="V1426" s="69"/>
      <c r="W1426" s="68"/>
      <c r="X1426" s="68"/>
      <c r="Y1426" s="68"/>
      <c r="Z1426" s="68"/>
      <c r="AA1426" s="68"/>
      <c r="AB1426" s="68"/>
      <c r="AC1426" s="68"/>
      <c r="AD1426" s="68"/>
      <c r="AE1426" s="68"/>
      <c r="AF1426" s="68"/>
      <c r="AG1426" s="68"/>
      <c r="AH1426" s="68"/>
      <c r="AI1426" s="68"/>
      <c r="AJ1426" s="68"/>
      <c r="AK1426" s="68"/>
      <c r="AL1426" s="68"/>
      <c r="AM1426" s="68"/>
      <c r="AN1426" s="68"/>
      <c r="AO1426" s="68"/>
      <c r="AP1426" s="68"/>
      <c r="AQ1426" s="68"/>
      <c r="AR1426" s="68"/>
      <c r="AS1426" s="68"/>
      <c r="AT1426" s="68"/>
      <c r="AU1426" s="68"/>
      <c r="AV1426" s="68"/>
      <c r="AW1426" s="68"/>
      <c r="AX1426" s="68"/>
      <c r="AY1426" s="68"/>
      <c r="AZ1426" s="68"/>
      <c r="BA1426" s="68"/>
      <c r="BB1426" s="68"/>
      <c r="BC1426" s="68"/>
      <c r="BD1426" s="68"/>
      <c r="BE1426" s="68"/>
      <c r="BF1426" s="68"/>
      <c r="BG1426" s="68"/>
      <c r="BH1426" s="68"/>
      <c r="BI1426" s="68"/>
      <c r="BJ1426" s="68"/>
      <c r="BK1426" s="68"/>
      <c r="BL1426" s="68"/>
      <c r="BM1426" s="68"/>
      <c r="BN1426" s="68"/>
      <c r="BO1426" s="68"/>
      <c r="BP1426" s="68"/>
      <c r="BQ1426" s="68"/>
      <c r="BR1426" s="68"/>
      <c r="BS1426" s="68"/>
      <c r="BT1426" s="68"/>
      <c r="BU1426" s="68"/>
      <c r="BV1426" s="68"/>
      <c r="BW1426" s="68"/>
      <c r="BX1426" s="68"/>
      <c r="BY1426" s="68"/>
      <c r="BZ1426" s="68"/>
      <c r="CA1426" s="68"/>
      <c r="CB1426" s="68"/>
      <c r="CC1426" s="68"/>
      <c r="CD1426" s="68"/>
      <c r="CE1426" s="68"/>
      <c r="CF1426" s="68"/>
      <c r="CG1426" s="68"/>
      <c r="CH1426" s="68"/>
      <c r="CI1426" s="68"/>
      <c r="CJ1426" s="68"/>
      <c r="CK1426" s="68"/>
      <c r="CL1426" s="68"/>
      <c r="CM1426" s="68"/>
      <c r="CN1426" s="68"/>
      <c r="CO1426" s="68"/>
      <c r="CP1426" s="68"/>
      <c r="CQ1426" s="68"/>
      <c r="CR1426" s="68"/>
      <c r="CS1426" s="68"/>
      <c r="CT1426" s="68"/>
      <c r="CU1426" s="68"/>
      <c r="CV1426" s="68"/>
      <c r="CW1426" s="68"/>
      <c r="CX1426" s="68"/>
    </row>
    <row r="1427" spans="4:102" s="71" customFormat="1" hidden="1">
      <c r="D1427" s="69"/>
      <c r="E1427" s="68"/>
      <c r="F1427" s="68"/>
      <c r="G1427" s="68"/>
      <c r="H1427" s="68"/>
      <c r="I1427" s="68"/>
      <c r="J1427" s="68"/>
      <c r="K1427" s="73"/>
      <c r="L1427" s="68"/>
      <c r="M1427" s="68"/>
      <c r="N1427" s="68"/>
      <c r="O1427" s="68"/>
      <c r="P1427" s="65"/>
      <c r="Q1427" s="103"/>
      <c r="R1427" s="103"/>
      <c r="S1427" s="103"/>
      <c r="T1427" s="103"/>
      <c r="U1427" s="68"/>
      <c r="V1427" s="69"/>
      <c r="W1427" s="68"/>
      <c r="X1427" s="68"/>
      <c r="Y1427" s="68"/>
      <c r="Z1427" s="68"/>
      <c r="AA1427" s="68"/>
      <c r="AB1427" s="68"/>
      <c r="AC1427" s="68"/>
      <c r="AD1427" s="68"/>
      <c r="AE1427" s="68"/>
      <c r="AF1427" s="68"/>
      <c r="AG1427" s="68"/>
      <c r="AH1427" s="68"/>
      <c r="AI1427" s="68"/>
      <c r="AJ1427" s="68"/>
      <c r="AK1427" s="68"/>
      <c r="AL1427" s="68"/>
      <c r="AM1427" s="68"/>
      <c r="AN1427" s="68"/>
      <c r="AO1427" s="68"/>
      <c r="AP1427" s="68"/>
      <c r="AQ1427" s="68"/>
      <c r="AR1427" s="68"/>
      <c r="AS1427" s="68"/>
      <c r="AT1427" s="68"/>
      <c r="AU1427" s="68"/>
      <c r="AV1427" s="68"/>
      <c r="AW1427" s="68"/>
      <c r="AX1427" s="68"/>
      <c r="AY1427" s="68"/>
      <c r="AZ1427" s="68"/>
      <c r="BA1427" s="68"/>
      <c r="BB1427" s="68"/>
      <c r="BC1427" s="68"/>
      <c r="BD1427" s="68"/>
      <c r="BE1427" s="68"/>
      <c r="BF1427" s="68"/>
      <c r="BG1427" s="68"/>
      <c r="BH1427" s="68"/>
      <c r="BI1427" s="68"/>
      <c r="BJ1427" s="68"/>
      <c r="BK1427" s="68"/>
      <c r="BL1427" s="68"/>
      <c r="BM1427" s="68"/>
      <c r="BN1427" s="68"/>
      <c r="BO1427" s="68"/>
      <c r="BP1427" s="68"/>
      <c r="BQ1427" s="68"/>
      <c r="BR1427" s="68"/>
      <c r="BS1427" s="68"/>
      <c r="BT1427" s="68"/>
      <c r="BU1427" s="68"/>
      <c r="BV1427" s="68"/>
      <c r="BW1427" s="68"/>
      <c r="BX1427" s="68"/>
      <c r="BY1427" s="68"/>
      <c r="BZ1427" s="68"/>
      <c r="CA1427" s="68"/>
      <c r="CB1427" s="68"/>
      <c r="CC1427" s="68"/>
      <c r="CD1427" s="68"/>
      <c r="CE1427" s="68"/>
      <c r="CF1427" s="68"/>
      <c r="CG1427" s="68"/>
      <c r="CH1427" s="68"/>
      <c r="CI1427" s="68"/>
      <c r="CJ1427" s="68"/>
      <c r="CK1427" s="68"/>
      <c r="CL1427" s="68"/>
      <c r="CM1427" s="68"/>
      <c r="CN1427" s="68"/>
      <c r="CO1427" s="68"/>
      <c r="CP1427" s="68"/>
      <c r="CQ1427" s="68"/>
      <c r="CR1427" s="68"/>
      <c r="CS1427" s="68"/>
      <c r="CT1427" s="68"/>
      <c r="CU1427" s="68"/>
      <c r="CV1427" s="68"/>
      <c r="CW1427" s="68"/>
      <c r="CX1427" s="68"/>
    </row>
    <row r="1428" spans="4:102" s="71" customFormat="1" hidden="1">
      <c r="D1428" s="69"/>
      <c r="E1428" s="68"/>
      <c r="F1428" s="68"/>
      <c r="G1428" s="68"/>
      <c r="H1428" s="68"/>
      <c r="I1428" s="68"/>
      <c r="J1428" s="68"/>
      <c r="K1428" s="73"/>
      <c r="L1428" s="68"/>
      <c r="M1428" s="68"/>
      <c r="N1428" s="68"/>
      <c r="O1428" s="68"/>
      <c r="P1428" s="65"/>
      <c r="Q1428" s="103"/>
      <c r="R1428" s="103"/>
      <c r="S1428" s="103"/>
      <c r="T1428" s="103"/>
      <c r="U1428" s="68"/>
      <c r="V1428" s="69"/>
      <c r="W1428" s="68"/>
      <c r="X1428" s="68"/>
      <c r="Y1428" s="68"/>
      <c r="Z1428" s="68"/>
      <c r="AA1428" s="68"/>
      <c r="AB1428" s="68"/>
      <c r="AC1428" s="68"/>
      <c r="AD1428" s="68"/>
      <c r="AE1428" s="68"/>
      <c r="AF1428" s="68"/>
      <c r="AG1428" s="68"/>
      <c r="AH1428" s="68"/>
      <c r="AI1428" s="68"/>
      <c r="AJ1428" s="68"/>
      <c r="AK1428" s="68"/>
      <c r="AL1428" s="68"/>
      <c r="AM1428" s="68"/>
      <c r="AN1428" s="68"/>
      <c r="AO1428" s="68"/>
      <c r="AP1428" s="68"/>
      <c r="AQ1428" s="68"/>
      <c r="AR1428" s="68"/>
      <c r="AS1428" s="68"/>
      <c r="AT1428" s="68"/>
      <c r="AU1428" s="68"/>
      <c r="AV1428" s="68"/>
      <c r="AW1428" s="68"/>
      <c r="AX1428" s="68"/>
      <c r="AY1428" s="68"/>
      <c r="AZ1428" s="68"/>
      <c r="BA1428" s="68"/>
      <c r="BB1428" s="68"/>
      <c r="BC1428" s="68"/>
      <c r="BD1428" s="68"/>
      <c r="BE1428" s="68"/>
      <c r="BF1428" s="68"/>
      <c r="BG1428" s="68"/>
      <c r="BH1428" s="68"/>
      <c r="BI1428" s="68"/>
      <c r="BJ1428" s="68"/>
      <c r="BK1428" s="68"/>
      <c r="BL1428" s="68"/>
      <c r="BM1428" s="68"/>
      <c r="BN1428" s="68"/>
      <c r="BO1428" s="68"/>
      <c r="BP1428" s="68"/>
      <c r="BQ1428" s="68"/>
      <c r="BR1428" s="68"/>
      <c r="BS1428" s="68"/>
      <c r="BT1428" s="68"/>
      <c r="BU1428" s="68"/>
      <c r="BV1428" s="68"/>
      <c r="BW1428" s="68"/>
      <c r="BX1428" s="68"/>
      <c r="BY1428" s="68"/>
      <c r="BZ1428" s="68"/>
      <c r="CA1428" s="68"/>
      <c r="CB1428" s="68"/>
      <c r="CC1428" s="68"/>
      <c r="CD1428" s="68"/>
      <c r="CE1428" s="68"/>
      <c r="CF1428" s="68"/>
      <c r="CG1428" s="68"/>
      <c r="CH1428" s="68"/>
      <c r="CI1428" s="68"/>
      <c r="CJ1428" s="68"/>
      <c r="CK1428" s="68"/>
      <c r="CL1428" s="68"/>
      <c r="CM1428" s="68"/>
      <c r="CN1428" s="68"/>
      <c r="CO1428" s="68"/>
      <c r="CP1428" s="68"/>
      <c r="CQ1428" s="68"/>
      <c r="CR1428" s="68"/>
      <c r="CS1428" s="68"/>
      <c r="CT1428" s="68"/>
      <c r="CU1428" s="68"/>
      <c r="CV1428" s="68"/>
      <c r="CW1428" s="68"/>
      <c r="CX1428" s="68"/>
    </row>
    <row r="1429" spans="4:102" s="71" customFormat="1" hidden="1">
      <c r="D1429" s="69"/>
      <c r="E1429" s="68"/>
      <c r="F1429" s="68"/>
      <c r="G1429" s="68"/>
      <c r="H1429" s="68"/>
      <c r="I1429" s="68"/>
      <c r="J1429" s="68"/>
      <c r="K1429" s="73"/>
      <c r="L1429" s="68"/>
      <c r="M1429" s="68"/>
      <c r="N1429" s="68"/>
      <c r="O1429" s="68"/>
      <c r="P1429" s="65"/>
      <c r="Q1429" s="103"/>
      <c r="R1429" s="103"/>
      <c r="S1429" s="103"/>
      <c r="T1429" s="103"/>
      <c r="U1429" s="68"/>
      <c r="V1429" s="69"/>
      <c r="W1429" s="68"/>
      <c r="X1429" s="68"/>
      <c r="Y1429" s="68"/>
      <c r="Z1429" s="68"/>
      <c r="AA1429" s="68"/>
      <c r="AB1429" s="68"/>
      <c r="AC1429" s="68"/>
      <c r="AD1429" s="68"/>
      <c r="AE1429" s="68"/>
      <c r="AF1429" s="68"/>
      <c r="AG1429" s="68"/>
      <c r="AH1429" s="68"/>
      <c r="AI1429" s="68"/>
      <c r="AJ1429" s="68"/>
      <c r="AK1429" s="68"/>
      <c r="AL1429" s="68"/>
      <c r="AM1429" s="68"/>
      <c r="AN1429" s="68"/>
      <c r="AO1429" s="68"/>
      <c r="AP1429" s="68"/>
      <c r="AQ1429" s="68"/>
      <c r="AR1429" s="68"/>
      <c r="AS1429" s="68"/>
      <c r="AT1429" s="68"/>
      <c r="AU1429" s="68"/>
      <c r="AV1429" s="68"/>
      <c r="AW1429" s="68"/>
      <c r="AX1429" s="68"/>
      <c r="AY1429" s="68"/>
      <c r="AZ1429" s="68"/>
      <c r="BA1429" s="68"/>
      <c r="BB1429" s="68"/>
      <c r="BC1429" s="68"/>
      <c r="BD1429" s="68"/>
      <c r="BE1429" s="68"/>
      <c r="BF1429" s="68"/>
      <c r="BG1429" s="68"/>
      <c r="BH1429" s="68"/>
      <c r="BI1429" s="68"/>
      <c r="BJ1429" s="68"/>
      <c r="BK1429" s="68"/>
      <c r="BL1429" s="68"/>
      <c r="BM1429" s="68"/>
      <c r="BN1429" s="68"/>
      <c r="BO1429" s="68"/>
      <c r="BP1429" s="68"/>
      <c r="BQ1429" s="68"/>
      <c r="BR1429" s="68"/>
      <c r="BS1429" s="68"/>
      <c r="BT1429" s="68"/>
      <c r="BU1429" s="68"/>
      <c r="BV1429" s="68"/>
      <c r="BW1429" s="68"/>
      <c r="BX1429" s="68"/>
      <c r="BY1429" s="68"/>
      <c r="BZ1429" s="68"/>
      <c r="CA1429" s="68"/>
      <c r="CB1429" s="68"/>
      <c r="CC1429" s="68"/>
      <c r="CD1429" s="68"/>
      <c r="CE1429" s="68"/>
      <c r="CF1429" s="68"/>
      <c r="CG1429" s="68"/>
      <c r="CH1429" s="68"/>
      <c r="CI1429" s="68"/>
      <c r="CJ1429" s="68"/>
      <c r="CK1429" s="68"/>
      <c r="CL1429" s="68"/>
      <c r="CM1429" s="68"/>
      <c r="CN1429" s="68"/>
      <c r="CO1429" s="68"/>
      <c r="CP1429" s="68"/>
      <c r="CQ1429" s="68"/>
      <c r="CR1429" s="68"/>
      <c r="CS1429" s="68"/>
      <c r="CT1429" s="68"/>
      <c r="CU1429" s="68"/>
      <c r="CV1429" s="68"/>
      <c r="CW1429" s="68"/>
      <c r="CX1429" s="68"/>
    </row>
    <row r="1430" spans="4:102" s="71" customFormat="1" hidden="1">
      <c r="D1430" s="69"/>
      <c r="E1430" s="68"/>
      <c r="F1430" s="68"/>
      <c r="G1430" s="68"/>
      <c r="H1430" s="68"/>
      <c r="I1430" s="68"/>
      <c r="J1430" s="68"/>
      <c r="K1430" s="73"/>
      <c r="L1430" s="68"/>
      <c r="M1430" s="68"/>
      <c r="N1430" s="68"/>
      <c r="O1430" s="68"/>
      <c r="P1430" s="65"/>
      <c r="Q1430" s="103"/>
      <c r="R1430" s="103"/>
      <c r="S1430" s="103"/>
      <c r="T1430" s="103"/>
      <c r="U1430" s="68"/>
      <c r="V1430" s="69"/>
      <c r="W1430" s="68"/>
      <c r="X1430" s="68"/>
      <c r="Y1430" s="68"/>
      <c r="Z1430" s="68"/>
      <c r="AA1430" s="68"/>
      <c r="AB1430" s="68"/>
      <c r="AC1430" s="68"/>
      <c r="AD1430" s="68"/>
      <c r="AE1430" s="68"/>
      <c r="AF1430" s="68"/>
      <c r="AG1430" s="68"/>
      <c r="AH1430" s="68"/>
      <c r="AI1430" s="68"/>
      <c r="AJ1430" s="68"/>
      <c r="AK1430" s="68"/>
      <c r="AL1430" s="68"/>
      <c r="AM1430" s="68"/>
      <c r="AN1430" s="68"/>
      <c r="AO1430" s="68"/>
      <c r="AP1430" s="68"/>
      <c r="AQ1430" s="68"/>
      <c r="AR1430" s="68"/>
      <c r="AS1430" s="68"/>
      <c r="AT1430" s="68"/>
      <c r="AU1430" s="68"/>
      <c r="AV1430" s="68"/>
      <c r="AW1430" s="68"/>
      <c r="AX1430" s="68"/>
      <c r="AY1430" s="68"/>
      <c r="AZ1430" s="68"/>
      <c r="BA1430" s="68"/>
      <c r="BB1430" s="68"/>
      <c r="BC1430" s="68"/>
      <c r="BD1430" s="68"/>
      <c r="BE1430" s="68"/>
      <c r="BF1430" s="68"/>
      <c r="BG1430" s="68"/>
      <c r="BH1430" s="68"/>
      <c r="BI1430" s="68"/>
      <c r="BJ1430" s="68"/>
      <c r="BK1430" s="68"/>
      <c r="BL1430" s="68"/>
      <c r="BM1430" s="68"/>
      <c r="BN1430" s="68"/>
      <c r="BO1430" s="68"/>
      <c r="BP1430" s="68"/>
      <c r="BQ1430" s="68"/>
      <c r="BR1430" s="68"/>
      <c r="BS1430" s="68"/>
      <c r="BT1430" s="68"/>
      <c r="BU1430" s="68"/>
      <c r="BV1430" s="68"/>
      <c r="BW1430" s="68"/>
      <c r="BX1430" s="68"/>
      <c r="BY1430" s="68"/>
      <c r="BZ1430" s="68"/>
      <c r="CA1430" s="68"/>
      <c r="CB1430" s="68"/>
      <c r="CC1430" s="68"/>
      <c r="CD1430" s="68"/>
      <c r="CE1430" s="68"/>
      <c r="CF1430" s="68"/>
      <c r="CG1430" s="68"/>
      <c r="CH1430" s="68"/>
      <c r="CI1430" s="68"/>
      <c r="CJ1430" s="68"/>
      <c r="CK1430" s="68"/>
      <c r="CL1430" s="68"/>
      <c r="CM1430" s="68"/>
      <c r="CN1430" s="68"/>
      <c r="CO1430" s="68"/>
      <c r="CP1430" s="68"/>
      <c r="CQ1430" s="68"/>
      <c r="CR1430" s="68"/>
      <c r="CS1430" s="68"/>
      <c r="CT1430" s="68"/>
      <c r="CU1430" s="68"/>
      <c r="CV1430" s="68"/>
      <c r="CW1430" s="68"/>
      <c r="CX1430" s="68"/>
    </row>
    <row r="1431" spans="4:102" s="71" customFormat="1" hidden="1">
      <c r="D1431" s="69"/>
      <c r="E1431" s="68"/>
      <c r="F1431" s="68"/>
      <c r="G1431" s="68"/>
      <c r="H1431" s="68"/>
      <c r="I1431" s="68"/>
      <c r="J1431" s="68"/>
      <c r="K1431" s="73"/>
      <c r="L1431" s="68"/>
      <c r="M1431" s="68"/>
      <c r="N1431" s="68"/>
      <c r="O1431" s="68"/>
      <c r="P1431" s="65"/>
      <c r="Q1431" s="103"/>
      <c r="R1431" s="103"/>
      <c r="S1431" s="103"/>
      <c r="T1431" s="103"/>
      <c r="U1431" s="68"/>
      <c r="V1431" s="69"/>
      <c r="W1431" s="68"/>
      <c r="X1431" s="68"/>
      <c r="Y1431" s="68"/>
      <c r="Z1431" s="68"/>
      <c r="AA1431" s="68"/>
      <c r="AB1431" s="68"/>
      <c r="AC1431" s="68"/>
      <c r="AD1431" s="68"/>
      <c r="AE1431" s="68"/>
      <c r="AF1431" s="68"/>
      <c r="AG1431" s="68"/>
      <c r="AH1431" s="68"/>
      <c r="AI1431" s="68"/>
      <c r="AJ1431" s="68"/>
      <c r="AK1431" s="68"/>
      <c r="AL1431" s="68"/>
      <c r="AM1431" s="68"/>
      <c r="AN1431" s="68"/>
      <c r="AO1431" s="68"/>
      <c r="AP1431" s="68"/>
      <c r="AQ1431" s="68"/>
      <c r="AR1431" s="68"/>
      <c r="AS1431" s="68"/>
      <c r="AT1431" s="68"/>
      <c r="AU1431" s="68"/>
      <c r="AV1431" s="68"/>
      <c r="AW1431" s="68"/>
      <c r="AX1431" s="68"/>
      <c r="AY1431" s="68"/>
      <c r="AZ1431" s="68"/>
      <c r="BA1431" s="68"/>
      <c r="BB1431" s="68"/>
      <c r="BC1431" s="68"/>
      <c r="BD1431" s="68"/>
      <c r="BE1431" s="68"/>
      <c r="BF1431" s="68"/>
      <c r="BG1431" s="68"/>
      <c r="BH1431" s="68"/>
      <c r="BI1431" s="68"/>
      <c r="BJ1431" s="68"/>
      <c r="BK1431" s="68"/>
      <c r="BL1431" s="68"/>
      <c r="BM1431" s="68"/>
      <c r="BN1431" s="68"/>
      <c r="BO1431" s="68"/>
      <c r="BP1431" s="68"/>
      <c r="BQ1431" s="68"/>
      <c r="BR1431" s="68"/>
      <c r="BS1431" s="68"/>
      <c r="BT1431" s="68"/>
      <c r="BU1431" s="68"/>
      <c r="BV1431" s="68"/>
      <c r="BW1431" s="68"/>
      <c r="BX1431" s="68"/>
      <c r="BY1431" s="68"/>
      <c r="BZ1431" s="68"/>
      <c r="CA1431" s="68"/>
      <c r="CB1431" s="68"/>
      <c r="CC1431" s="68"/>
      <c r="CD1431" s="68"/>
      <c r="CE1431" s="68"/>
      <c r="CF1431" s="68"/>
      <c r="CG1431" s="68"/>
      <c r="CH1431" s="68"/>
      <c r="CI1431" s="68"/>
      <c r="CJ1431" s="68"/>
      <c r="CK1431" s="68"/>
      <c r="CL1431" s="68"/>
      <c r="CM1431" s="68"/>
      <c r="CN1431" s="68"/>
      <c r="CO1431" s="68"/>
      <c r="CP1431" s="68"/>
      <c r="CQ1431" s="68"/>
      <c r="CR1431" s="68"/>
      <c r="CS1431" s="68"/>
      <c r="CT1431" s="68"/>
      <c r="CU1431" s="68"/>
      <c r="CV1431" s="68"/>
      <c r="CW1431" s="68"/>
      <c r="CX1431" s="68"/>
    </row>
    <row r="1432" spans="4:102" s="71" customFormat="1" hidden="1">
      <c r="D1432" s="69"/>
      <c r="E1432" s="68"/>
      <c r="F1432" s="68"/>
      <c r="G1432" s="68"/>
      <c r="H1432" s="68"/>
      <c r="I1432" s="68"/>
      <c r="J1432" s="68"/>
      <c r="K1432" s="73"/>
      <c r="L1432" s="68"/>
      <c r="M1432" s="68"/>
      <c r="N1432" s="68"/>
      <c r="O1432" s="68"/>
      <c r="P1432" s="65"/>
      <c r="Q1432" s="103"/>
      <c r="R1432" s="103"/>
      <c r="S1432" s="103"/>
      <c r="T1432" s="103"/>
      <c r="U1432" s="68"/>
      <c r="V1432" s="69"/>
      <c r="W1432" s="68"/>
      <c r="X1432" s="68"/>
      <c r="Y1432" s="68"/>
      <c r="Z1432" s="68"/>
      <c r="AA1432" s="68"/>
      <c r="AB1432" s="68"/>
      <c r="AC1432" s="68"/>
      <c r="AD1432" s="68"/>
      <c r="AE1432" s="68"/>
      <c r="AF1432" s="68"/>
      <c r="AG1432" s="68"/>
      <c r="AH1432" s="68"/>
      <c r="AI1432" s="68"/>
      <c r="AJ1432" s="68"/>
      <c r="AK1432" s="68"/>
      <c r="AL1432" s="68"/>
      <c r="AM1432" s="68"/>
      <c r="AN1432" s="68"/>
      <c r="AO1432" s="68"/>
      <c r="AP1432" s="68"/>
      <c r="AQ1432" s="68"/>
      <c r="AR1432" s="68"/>
      <c r="AS1432" s="68"/>
      <c r="AT1432" s="68"/>
      <c r="AU1432" s="68"/>
      <c r="AV1432" s="68"/>
      <c r="AW1432" s="68"/>
      <c r="AX1432" s="68"/>
      <c r="AY1432" s="68"/>
      <c r="AZ1432" s="68"/>
      <c r="BA1432" s="68"/>
      <c r="BB1432" s="68"/>
      <c r="BC1432" s="68"/>
      <c r="BD1432" s="68"/>
      <c r="BE1432" s="68"/>
      <c r="BF1432" s="68"/>
      <c r="BG1432" s="68"/>
      <c r="BH1432" s="68"/>
      <c r="BI1432" s="68"/>
      <c r="BJ1432" s="68"/>
      <c r="BK1432" s="68"/>
      <c r="BL1432" s="68"/>
      <c r="BM1432" s="68"/>
      <c r="BN1432" s="68"/>
      <c r="BO1432" s="68"/>
      <c r="BP1432" s="68"/>
      <c r="BQ1432" s="68"/>
      <c r="BR1432" s="68"/>
      <c r="BS1432" s="68"/>
      <c r="BT1432" s="68"/>
      <c r="BU1432" s="68"/>
      <c r="BV1432" s="68"/>
      <c r="BW1432" s="68"/>
      <c r="BX1432" s="68"/>
      <c r="BY1432" s="68"/>
      <c r="BZ1432" s="68"/>
      <c r="CA1432" s="68"/>
      <c r="CB1432" s="68"/>
      <c r="CC1432" s="68"/>
      <c r="CD1432" s="68"/>
      <c r="CE1432" s="68"/>
      <c r="CF1432" s="68"/>
      <c r="CG1432" s="68"/>
      <c r="CH1432" s="68"/>
      <c r="CI1432" s="68"/>
      <c r="CJ1432" s="68"/>
      <c r="CK1432" s="68"/>
      <c r="CL1432" s="68"/>
      <c r="CM1432" s="68"/>
      <c r="CN1432" s="68"/>
      <c r="CO1432" s="68"/>
      <c r="CP1432" s="68"/>
      <c r="CQ1432" s="68"/>
      <c r="CR1432" s="68"/>
      <c r="CS1432" s="68"/>
      <c r="CT1432" s="68"/>
      <c r="CU1432" s="68"/>
      <c r="CV1432" s="68"/>
      <c r="CW1432" s="68"/>
      <c r="CX1432" s="68"/>
    </row>
    <row r="1433" spans="4:102" s="71" customFormat="1" hidden="1">
      <c r="D1433" s="69"/>
      <c r="E1433" s="68"/>
      <c r="F1433" s="68"/>
      <c r="G1433" s="68"/>
      <c r="H1433" s="68"/>
      <c r="I1433" s="68"/>
      <c r="J1433" s="68"/>
      <c r="K1433" s="73"/>
      <c r="L1433" s="68"/>
      <c r="M1433" s="68"/>
      <c r="N1433" s="68"/>
      <c r="O1433" s="68"/>
      <c r="P1433" s="65"/>
      <c r="Q1433" s="103"/>
      <c r="R1433" s="103"/>
      <c r="S1433" s="103"/>
      <c r="T1433" s="103"/>
      <c r="U1433" s="68"/>
      <c r="V1433" s="69"/>
      <c r="W1433" s="68"/>
      <c r="X1433" s="68"/>
      <c r="Y1433" s="68"/>
      <c r="Z1433" s="68"/>
      <c r="AA1433" s="68"/>
      <c r="AB1433" s="68"/>
      <c r="AC1433" s="68"/>
      <c r="AD1433" s="68"/>
      <c r="AE1433" s="68"/>
      <c r="AF1433" s="68"/>
      <c r="AG1433" s="68"/>
      <c r="AH1433" s="68"/>
      <c r="AI1433" s="68"/>
      <c r="AJ1433" s="68"/>
      <c r="AK1433" s="68"/>
      <c r="AL1433" s="68"/>
      <c r="AM1433" s="68"/>
      <c r="AN1433" s="68"/>
      <c r="AO1433" s="68"/>
      <c r="AP1433" s="68"/>
      <c r="AQ1433" s="68"/>
      <c r="AR1433" s="68"/>
      <c r="AS1433" s="68"/>
      <c r="AT1433" s="68"/>
      <c r="AU1433" s="68"/>
      <c r="AV1433" s="68"/>
      <c r="AW1433" s="68"/>
      <c r="AX1433" s="68"/>
      <c r="AY1433" s="68"/>
      <c r="AZ1433" s="68"/>
      <c r="BA1433" s="68"/>
      <c r="BB1433" s="68"/>
      <c r="BC1433" s="68"/>
      <c r="BD1433" s="68"/>
      <c r="BE1433" s="68"/>
      <c r="BF1433" s="68"/>
      <c r="BG1433" s="68"/>
      <c r="BH1433" s="68"/>
      <c r="BI1433" s="68"/>
      <c r="BJ1433" s="68"/>
      <c r="BK1433" s="68"/>
      <c r="BL1433" s="68"/>
      <c r="BM1433" s="68"/>
      <c r="BN1433" s="68"/>
      <c r="BO1433" s="68"/>
      <c r="BP1433" s="68"/>
      <c r="BQ1433" s="68"/>
      <c r="BR1433" s="68"/>
      <c r="BS1433" s="68"/>
      <c r="BT1433" s="68"/>
      <c r="BU1433" s="68"/>
      <c r="BV1433" s="68"/>
      <c r="BW1433" s="68"/>
      <c r="BX1433" s="68"/>
      <c r="BY1433" s="68"/>
      <c r="BZ1433" s="68"/>
      <c r="CA1433" s="68"/>
      <c r="CB1433" s="68"/>
      <c r="CC1433" s="68"/>
      <c r="CD1433" s="68"/>
      <c r="CE1433" s="68"/>
      <c r="CF1433" s="68"/>
      <c r="CG1433" s="68"/>
      <c r="CH1433" s="68"/>
      <c r="CI1433" s="68"/>
      <c r="CJ1433" s="68"/>
      <c r="CK1433" s="68"/>
      <c r="CL1433" s="68"/>
      <c r="CM1433" s="68"/>
      <c r="CN1433" s="68"/>
      <c r="CO1433" s="68"/>
      <c r="CP1433" s="68"/>
      <c r="CQ1433" s="68"/>
      <c r="CR1433" s="68"/>
      <c r="CS1433" s="68"/>
      <c r="CT1433" s="68"/>
      <c r="CU1433" s="68"/>
      <c r="CV1433" s="68"/>
      <c r="CW1433" s="68"/>
      <c r="CX1433" s="68"/>
    </row>
    <row r="1434" spans="4:102" s="71" customFormat="1" hidden="1">
      <c r="D1434" s="69"/>
      <c r="E1434" s="68"/>
      <c r="F1434" s="68"/>
      <c r="G1434" s="68"/>
      <c r="H1434" s="68"/>
      <c r="I1434" s="68"/>
      <c r="J1434" s="68"/>
      <c r="K1434" s="73"/>
      <c r="L1434" s="68"/>
      <c r="M1434" s="68"/>
      <c r="N1434" s="68"/>
      <c r="O1434" s="68"/>
      <c r="P1434" s="65"/>
      <c r="Q1434" s="103"/>
      <c r="R1434" s="103"/>
      <c r="S1434" s="103"/>
      <c r="T1434" s="103"/>
      <c r="U1434" s="68"/>
      <c r="V1434" s="69"/>
      <c r="W1434" s="68"/>
      <c r="X1434" s="68"/>
      <c r="Y1434" s="68"/>
      <c r="Z1434" s="68"/>
      <c r="AA1434" s="68"/>
      <c r="AB1434" s="68"/>
      <c r="AC1434" s="68"/>
      <c r="AD1434" s="68"/>
      <c r="AE1434" s="68"/>
      <c r="AF1434" s="68"/>
      <c r="AG1434" s="68"/>
      <c r="AH1434" s="68"/>
      <c r="AI1434" s="68"/>
      <c r="AJ1434" s="68"/>
      <c r="AK1434" s="68"/>
      <c r="AL1434" s="68"/>
      <c r="AM1434" s="68"/>
      <c r="AN1434" s="68"/>
      <c r="AO1434" s="68"/>
      <c r="AP1434" s="68"/>
      <c r="AQ1434" s="68"/>
      <c r="AR1434" s="68"/>
      <c r="AS1434" s="68"/>
      <c r="AT1434" s="68"/>
      <c r="AU1434" s="68"/>
      <c r="AV1434" s="68"/>
      <c r="AW1434" s="68"/>
      <c r="AX1434" s="68"/>
      <c r="AY1434" s="68"/>
      <c r="AZ1434" s="68"/>
      <c r="BA1434" s="68"/>
      <c r="BB1434" s="68"/>
      <c r="BC1434" s="68"/>
      <c r="BD1434" s="68"/>
      <c r="BE1434" s="68"/>
      <c r="BF1434" s="68"/>
      <c r="BG1434" s="68"/>
      <c r="BH1434" s="68"/>
      <c r="BI1434" s="68"/>
      <c r="BJ1434" s="68"/>
      <c r="BK1434" s="68"/>
      <c r="BL1434" s="68"/>
      <c r="BM1434" s="68"/>
      <c r="BN1434" s="68"/>
      <c r="BO1434" s="68"/>
      <c r="BP1434" s="68"/>
      <c r="BQ1434" s="68"/>
      <c r="BR1434" s="68"/>
      <c r="BS1434" s="68"/>
      <c r="BT1434" s="68"/>
      <c r="BU1434" s="68"/>
      <c r="BV1434" s="68"/>
      <c r="BW1434" s="68"/>
      <c r="BX1434" s="68"/>
      <c r="BY1434" s="68"/>
      <c r="BZ1434" s="68"/>
      <c r="CA1434" s="68"/>
      <c r="CB1434" s="68"/>
      <c r="CC1434" s="68"/>
      <c r="CD1434" s="68"/>
      <c r="CE1434" s="68"/>
      <c r="CF1434" s="68"/>
      <c r="CG1434" s="68"/>
      <c r="CH1434" s="68"/>
      <c r="CI1434" s="68"/>
      <c r="CJ1434" s="68"/>
      <c r="CK1434" s="68"/>
      <c r="CL1434" s="68"/>
      <c r="CM1434" s="68"/>
      <c r="CN1434" s="68"/>
      <c r="CO1434" s="68"/>
      <c r="CP1434" s="68"/>
      <c r="CQ1434" s="68"/>
      <c r="CR1434" s="68"/>
      <c r="CS1434" s="68"/>
      <c r="CT1434" s="68"/>
      <c r="CU1434" s="68"/>
      <c r="CV1434" s="68"/>
      <c r="CW1434" s="68"/>
      <c r="CX1434" s="68"/>
    </row>
    <row r="1435" spans="4:102" s="71" customFormat="1" hidden="1">
      <c r="D1435" s="69"/>
      <c r="E1435" s="68"/>
      <c r="F1435" s="68"/>
      <c r="G1435" s="68"/>
      <c r="H1435" s="68"/>
      <c r="I1435" s="68"/>
      <c r="J1435" s="68"/>
      <c r="K1435" s="73"/>
      <c r="L1435" s="68"/>
      <c r="M1435" s="68"/>
      <c r="N1435" s="68"/>
      <c r="O1435" s="68"/>
      <c r="P1435" s="65"/>
      <c r="Q1435" s="103"/>
      <c r="R1435" s="103"/>
      <c r="S1435" s="103"/>
      <c r="T1435" s="103"/>
      <c r="U1435" s="68"/>
      <c r="V1435" s="69"/>
      <c r="W1435" s="68"/>
      <c r="X1435" s="68"/>
      <c r="Y1435" s="68"/>
      <c r="Z1435" s="68"/>
      <c r="AA1435" s="68"/>
      <c r="AB1435" s="68"/>
      <c r="AC1435" s="68"/>
      <c r="AD1435" s="68"/>
      <c r="AE1435" s="68"/>
      <c r="AF1435" s="68"/>
      <c r="AG1435" s="68"/>
      <c r="AH1435" s="68"/>
      <c r="AI1435" s="68"/>
      <c r="AJ1435" s="68"/>
      <c r="AK1435" s="68"/>
      <c r="AL1435" s="68"/>
      <c r="AM1435" s="68"/>
      <c r="AN1435" s="68"/>
      <c r="AO1435" s="68"/>
      <c r="AP1435" s="68"/>
      <c r="AQ1435" s="68"/>
      <c r="AR1435" s="68"/>
      <c r="AS1435" s="68"/>
      <c r="AT1435" s="68"/>
      <c r="AU1435" s="68"/>
      <c r="AV1435" s="68"/>
      <c r="AW1435" s="68"/>
      <c r="AX1435" s="68"/>
      <c r="AY1435" s="68"/>
      <c r="AZ1435" s="68"/>
      <c r="BA1435" s="68"/>
      <c r="BB1435" s="68"/>
      <c r="BC1435" s="68"/>
      <c r="BD1435" s="68"/>
      <c r="BE1435" s="68"/>
      <c r="BF1435" s="68"/>
      <c r="BG1435" s="68"/>
      <c r="BH1435" s="68"/>
      <c r="BI1435" s="68"/>
      <c r="BJ1435" s="68"/>
      <c r="BK1435" s="68"/>
      <c r="BL1435" s="68"/>
      <c r="BM1435" s="68"/>
      <c r="BN1435" s="68"/>
      <c r="BO1435" s="68"/>
      <c r="BP1435" s="68"/>
      <c r="BQ1435" s="68"/>
      <c r="BR1435" s="68"/>
      <c r="BS1435" s="68"/>
      <c r="BT1435" s="68"/>
      <c r="BU1435" s="68"/>
      <c r="BV1435" s="68"/>
      <c r="BW1435" s="68"/>
      <c r="BX1435" s="68"/>
      <c r="BY1435" s="68"/>
      <c r="BZ1435" s="68"/>
      <c r="CA1435" s="68"/>
      <c r="CB1435" s="68"/>
      <c r="CC1435" s="68"/>
      <c r="CD1435" s="68"/>
      <c r="CE1435" s="68"/>
      <c r="CF1435" s="68"/>
      <c r="CG1435" s="68"/>
      <c r="CH1435" s="68"/>
      <c r="CI1435" s="68"/>
      <c r="CJ1435" s="68"/>
      <c r="CK1435" s="68"/>
      <c r="CL1435" s="68"/>
      <c r="CM1435" s="68"/>
      <c r="CN1435" s="68"/>
      <c r="CO1435" s="68"/>
      <c r="CP1435" s="68"/>
      <c r="CQ1435" s="68"/>
      <c r="CR1435" s="68"/>
      <c r="CS1435" s="68"/>
      <c r="CT1435" s="68"/>
      <c r="CU1435" s="68"/>
      <c r="CV1435" s="68"/>
      <c r="CW1435" s="68"/>
      <c r="CX1435" s="68"/>
    </row>
    <row r="1436" spans="4:102" s="71" customFormat="1" hidden="1">
      <c r="D1436" s="69"/>
      <c r="E1436" s="68"/>
      <c r="F1436" s="68"/>
      <c r="G1436" s="68"/>
      <c r="H1436" s="68"/>
      <c r="I1436" s="68"/>
      <c r="J1436" s="68"/>
      <c r="K1436" s="73"/>
      <c r="L1436" s="68"/>
      <c r="M1436" s="68"/>
      <c r="N1436" s="68"/>
      <c r="O1436" s="68"/>
      <c r="P1436" s="65"/>
      <c r="Q1436" s="103"/>
      <c r="R1436" s="103"/>
      <c r="S1436" s="103"/>
      <c r="T1436" s="103"/>
      <c r="U1436" s="68"/>
      <c r="V1436" s="69"/>
      <c r="W1436" s="68"/>
      <c r="X1436" s="68"/>
      <c r="Y1436" s="68"/>
      <c r="Z1436" s="68"/>
      <c r="AA1436" s="68"/>
      <c r="AB1436" s="68"/>
      <c r="AC1436" s="68"/>
      <c r="AD1436" s="68"/>
      <c r="AE1436" s="68"/>
      <c r="AF1436" s="68"/>
      <c r="AG1436" s="68"/>
      <c r="AH1436" s="68"/>
      <c r="AI1436" s="68"/>
      <c r="AJ1436" s="68"/>
      <c r="AK1436" s="68"/>
      <c r="AL1436" s="68"/>
      <c r="AM1436" s="68"/>
      <c r="AN1436" s="68"/>
      <c r="AO1436" s="68"/>
      <c r="AP1436" s="68"/>
      <c r="AQ1436" s="68"/>
      <c r="AR1436" s="68"/>
      <c r="AS1436" s="68"/>
      <c r="AT1436" s="68"/>
      <c r="AU1436" s="68"/>
      <c r="AV1436" s="68"/>
      <c r="AW1436" s="68"/>
      <c r="AX1436" s="68"/>
      <c r="AY1436" s="68"/>
      <c r="AZ1436" s="68"/>
      <c r="BA1436" s="68"/>
      <c r="BB1436" s="68"/>
      <c r="BC1436" s="68"/>
      <c r="BD1436" s="68"/>
      <c r="BE1436" s="68"/>
      <c r="BF1436" s="68"/>
      <c r="BG1436" s="68"/>
      <c r="BH1436" s="68"/>
      <c r="BI1436" s="68"/>
      <c r="BJ1436" s="68"/>
      <c r="BK1436" s="68"/>
      <c r="BL1436" s="68"/>
      <c r="BM1436" s="68"/>
      <c r="BN1436" s="68"/>
      <c r="BO1436" s="68"/>
      <c r="BP1436" s="68"/>
      <c r="BQ1436" s="68"/>
      <c r="BR1436" s="68"/>
      <c r="BS1436" s="68"/>
      <c r="BT1436" s="68"/>
      <c r="BU1436" s="68"/>
      <c r="BV1436" s="68"/>
      <c r="BW1436" s="68"/>
      <c r="BX1436" s="68"/>
      <c r="BY1436" s="68"/>
      <c r="BZ1436" s="68"/>
      <c r="CA1436" s="68"/>
      <c r="CB1436" s="68"/>
      <c r="CC1436" s="68"/>
      <c r="CD1436" s="68"/>
      <c r="CE1436" s="68"/>
      <c r="CF1436" s="68"/>
      <c r="CG1436" s="68"/>
      <c r="CH1436" s="68"/>
      <c r="CI1436" s="68"/>
      <c r="CJ1436" s="68"/>
      <c r="CK1436" s="68"/>
      <c r="CL1436" s="68"/>
      <c r="CM1436" s="68"/>
      <c r="CN1436" s="68"/>
      <c r="CO1436" s="68"/>
      <c r="CP1436" s="68"/>
      <c r="CQ1436" s="68"/>
      <c r="CR1436" s="68"/>
      <c r="CS1436" s="68"/>
      <c r="CT1436" s="68"/>
      <c r="CU1436" s="68"/>
      <c r="CV1436" s="68"/>
      <c r="CW1436" s="68"/>
      <c r="CX1436" s="68"/>
    </row>
    <row r="1437" spans="4:102" s="71" customFormat="1" hidden="1">
      <c r="D1437" s="69"/>
      <c r="E1437" s="68"/>
      <c r="F1437" s="68"/>
      <c r="G1437" s="68"/>
      <c r="H1437" s="68"/>
      <c r="I1437" s="68"/>
      <c r="J1437" s="68"/>
      <c r="K1437" s="73"/>
      <c r="L1437" s="68"/>
      <c r="M1437" s="68"/>
      <c r="N1437" s="68"/>
      <c r="O1437" s="68"/>
      <c r="P1437" s="65"/>
      <c r="Q1437" s="103"/>
      <c r="R1437" s="103"/>
      <c r="S1437" s="103"/>
      <c r="T1437" s="103"/>
      <c r="U1437" s="68"/>
      <c r="V1437" s="69"/>
      <c r="W1437" s="68"/>
      <c r="X1437" s="68"/>
      <c r="Y1437" s="68"/>
      <c r="Z1437" s="68"/>
      <c r="AA1437" s="68"/>
      <c r="AB1437" s="68"/>
      <c r="AC1437" s="68"/>
      <c r="AD1437" s="68"/>
      <c r="AE1437" s="68"/>
      <c r="AF1437" s="68"/>
      <c r="AG1437" s="68"/>
      <c r="AH1437" s="68"/>
      <c r="AI1437" s="68"/>
      <c r="AJ1437" s="68"/>
      <c r="AK1437" s="68"/>
      <c r="AL1437" s="68"/>
      <c r="AM1437" s="68"/>
      <c r="AN1437" s="68"/>
      <c r="AO1437" s="68"/>
      <c r="AP1437" s="68"/>
      <c r="AQ1437" s="68"/>
      <c r="AR1437" s="68"/>
      <c r="AS1437" s="68"/>
      <c r="AT1437" s="68"/>
      <c r="AU1437" s="68"/>
      <c r="AV1437" s="68"/>
      <c r="AW1437" s="68"/>
      <c r="AX1437" s="68"/>
      <c r="AY1437" s="68"/>
      <c r="AZ1437" s="68"/>
      <c r="BA1437" s="68"/>
      <c r="BB1437" s="68"/>
      <c r="BC1437" s="68"/>
      <c r="BD1437" s="68"/>
      <c r="BE1437" s="68"/>
      <c r="BF1437" s="68"/>
      <c r="BG1437" s="68"/>
      <c r="BH1437" s="68"/>
      <c r="BI1437" s="68"/>
      <c r="BJ1437" s="68"/>
      <c r="BK1437" s="68"/>
      <c r="BL1437" s="68"/>
      <c r="BM1437" s="68"/>
      <c r="BN1437" s="68"/>
      <c r="BO1437" s="68"/>
      <c r="BP1437" s="68"/>
      <c r="BQ1437" s="68"/>
      <c r="BR1437" s="68"/>
      <c r="BS1437" s="68"/>
      <c r="BT1437" s="68"/>
      <c r="BU1437" s="68"/>
      <c r="BV1437" s="68"/>
      <c r="BW1437" s="68"/>
      <c r="BX1437" s="68"/>
      <c r="BY1437" s="68"/>
      <c r="BZ1437" s="68"/>
      <c r="CA1437" s="68"/>
      <c r="CB1437" s="68"/>
      <c r="CC1437" s="68"/>
      <c r="CD1437" s="68"/>
      <c r="CE1437" s="68"/>
      <c r="CF1437" s="68"/>
      <c r="CG1437" s="68"/>
      <c r="CH1437" s="68"/>
      <c r="CI1437" s="68"/>
      <c r="CJ1437" s="68"/>
      <c r="CK1437" s="68"/>
      <c r="CL1437" s="68"/>
      <c r="CM1437" s="68"/>
      <c r="CN1437" s="68"/>
      <c r="CO1437" s="68"/>
      <c r="CP1437" s="68"/>
      <c r="CQ1437" s="68"/>
      <c r="CR1437" s="68"/>
      <c r="CS1437" s="68"/>
      <c r="CT1437" s="68"/>
      <c r="CU1437" s="68"/>
      <c r="CV1437" s="68"/>
      <c r="CW1437" s="68"/>
      <c r="CX1437" s="68"/>
    </row>
    <row r="1438" spans="4:102" s="71" customFormat="1" hidden="1">
      <c r="D1438" s="69"/>
      <c r="E1438" s="68"/>
      <c r="F1438" s="68"/>
      <c r="G1438" s="68"/>
      <c r="H1438" s="68"/>
      <c r="I1438" s="68"/>
      <c r="J1438" s="68"/>
      <c r="K1438" s="73"/>
      <c r="L1438" s="68"/>
      <c r="M1438" s="68"/>
      <c r="N1438" s="68"/>
      <c r="O1438" s="68"/>
      <c r="P1438" s="65"/>
      <c r="Q1438" s="103"/>
      <c r="R1438" s="103"/>
      <c r="S1438" s="103"/>
      <c r="T1438" s="103"/>
      <c r="U1438" s="68"/>
      <c r="V1438" s="69"/>
      <c r="W1438" s="68"/>
      <c r="X1438" s="68"/>
      <c r="Y1438" s="68"/>
      <c r="Z1438" s="68"/>
      <c r="AA1438" s="68"/>
      <c r="AB1438" s="68"/>
      <c r="AC1438" s="68"/>
      <c r="AD1438" s="68"/>
      <c r="AE1438" s="68"/>
      <c r="AF1438" s="68"/>
      <c r="AG1438" s="68"/>
      <c r="AH1438" s="68"/>
      <c r="AI1438" s="68"/>
      <c r="AJ1438" s="68"/>
      <c r="AK1438" s="68"/>
      <c r="AL1438" s="68"/>
      <c r="AM1438" s="68"/>
      <c r="AN1438" s="68"/>
      <c r="AO1438" s="68"/>
      <c r="AP1438" s="68"/>
      <c r="AQ1438" s="68"/>
      <c r="AR1438" s="68"/>
      <c r="AS1438" s="68"/>
      <c r="AT1438" s="68"/>
      <c r="AU1438" s="68"/>
      <c r="AV1438" s="68"/>
      <c r="AW1438" s="68"/>
      <c r="AX1438" s="68"/>
      <c r="AY1438" s="68"/>
      <c r="AZ1438" s="68"/>
      <c r="BA1438" s="68"/>
      <c r="BB1438" s="68"/>
      <c r="BC1438" s="68"/>
      <c r="BD1438" s="68"/>
      <c r="BE1438" s="68"/>
      <c r="BF1438" s="68"/>
      <c r="BG1438" s="68"/>
      <c r="BH1438" s="68"/>
      <c r="BI1438" s="68"/>
      <c r="BJ1438" s="68"/>
      <c r="BK1438" s="68"/>
      <c r="BL1438" s="68"/>
      <c r="BM1438" s="68"/>
      <c r="BN1438" s="68"/>
      <c r="BO1438" s="68"/>
      <c r="BP1438" s="68"/>
      <c r="BQ1438" s="68"/>
      <c r="BR1438" s="68"/>
      <c r="BS1438" s="68"/>
      <c r="BT1438" s="68"/>
      <c r="BU1438" s="68"/>
      <c r="BV1438" s="68"/>
      <c r="BW1438" s="68"/>
      <c r="BX1438" s="68"/>
      <c r="BY1438" s="68"/>
      <c r="BZ1438" s="68"/>
      <c r="CA1438" s="68"/>
      <c r="CB1438" s="68"/>
      <c r="CC1438" s="68"/>
      <c r="CD1438" s="68"/>
      <c r="CE1438" s="68"/>
      <c r="CF1438" s="68"/>
      <c r="CG1438" s="68"/>
      <c r="CH1438" s="68"/>
      <c r="CI1438" s="68"/>
      <c r="CJ1438" s="68"/>
      <c r="CK1438" s="68"/>
      <c r="CL1438" s="68"/>
      <c r="CM1438" s="68"/>
      <c r="CN1438" s="68"/>
      <c r="CO1438" s="68"/>
      <c r="CP1438" s="68"/>
      <c r="CQ1438" s="68"/>
      <c r="CR1438" s="68"/>
      <c r="CS1438" s="68"/>
      <c r="CT1438" s="68"/>
      <c r="CU1438" s="68"/>
      <c r="CV1438" s="68"/>
      <c r="CW1438" s="68"/>
      <c r="CX1438" s="68"/>
    </row>
    <row r="1439" spans="4:102" s="71" customFormat="1" hidden="1">
      <c r="D1439" s="69"/>
      <c r="E1439" s="68"/>
      <c r="F1439" s="68"/>
      <c r="G1439" s="68"/>
      <c r="H1439" s="68"/>
      <c r="I1439" s="68"/>
      <c r="J1439" s="68"/>
      <c r="K1439" s="73"/>
      <c r="L1439" s="68"/>
      <c r="M1439" s="68"/>
      <c r="N1439" s="68"/>
      <c r="O1439" s="68"/>
      <c r="P1439" s="65"/>
      <c r="Q1439" s="103"/>
      <c r="R1439" s="103"/>
      <c r="S1439" s="103"/>
      <c r="T1439" s="103"/>
      <c r="U1439" s="68"/>
      <c r="V1439" s="69"/>
      <c r="W1439" s="68"/>
      <c r="X1439" s="68"/>
      <c r="Y1439" s="68"/>
      <c r="Z1439" s="68"/>
      <c r="AA1439" s="68"/>
      <c r="AB1439" s="68"/>
      <c r="AC1439" s="68"/>
      <c r="AD1439" s="68"/>
      <c r="AE1439" s="68"/>
      <c r="AF1439" s="68"/>
      <c r="AG1439" s="68"/>
      <c r="AH1439" s="68"/>
      <c r="AI1439" s="68"/>
      <c r="AJ1439" s="68"/>
      <c r="AK1439" s="68"/>
      <c r="AL1439" s="68"/>
      <c r="AM1439" s="68"/>
      <c r="AN1439" s="68"/>
      <c r="AO1439" s="68"/>
      <c r="AP1439" s="68"/>
      <c r="AQ1439" s="68"/>
      <c r="AR1439" s="68"/>
      <c r="AS1439" s="68"/>
      <c r="AT1439" s="68"/>
      <c r="AU1439" s="68"/>
      <c r="AV1439" s="68"/>
      <c r="AW1439" s="68"/>
      <c r="AX1439" s="68"/>
      <c r="AY1439" s="68"/>
      <c r="AZ1439" s="68"/>
      <c r="BA1439" s="68"/>
      <c r="BB1439" s="68"/>
      <c r="BC1439" s="68"/>
      <c r="BD1439" s="68"/>
      <c r="BE1439" s="68"/>
      <c r="BF1439" s="68"/>
      <c r="BG1439" s="68"/>
      <c r="BH1439" s="68"/>
      <c r="BI1439" s="68"/>
      <c r="BJ1439" s="68"/>
      <c r="BK1439" s="68"/>
      <c r="BL1439" s="68"/>
      <c r="BM1439" s="68"/>
      <c r="BN1439" s="68"/>
      <c r="BO1439" s="68"/>
      <c r="BP1439" s="68"/>
      <c r="BQ1439" s="68"/>
      <c r="BR1439" s="68"/>
      <c r="BS1439" s="68"/>
      <c r="BT1439" s="68"/>
      <c r="BU1439" s="68"/>
      <c r="BV1439" s="68"/>
      <c r="BW1439" s="68"/>
      <c r="BX1439" s="68"/>
      <c r="BY1439" s="68"/>
      <c r="BZ1439" s="68"/>
      <c r="CA1439" s="68"/>
      <c r="CB1439" s="68"/>
      <c r="CC1439" s="68"/>
      <c r="CD1439" s="68"/>
      <c r="CE1439" s="68"/>
      <c r="CF1439" s="68"/>
      <c r="CG1439" s="68"/>
      <c r="CH1439" s="68"/>
      <c r="CI1439" s="68"/>
      <c r="CJ1439" s="68"/>
      <c r="CK1439" s="68"/>
      <c r="CL1439" s="68"/>
      <c r="CM1439" s="68"/>
      <c r="CN1439" s="68"/>
      <c r="CO1439" s="68"/>
      <c r="CP1439" s="68"/>
      <c r="CQ1439" s="68"/>
      <c r="CR1439" s="68"/>
      <c r="CS1439" s="68"/>
      <c r="CT1439" s="68"/>
      <c r="CU1439" s="68"/>
      <c r="CV1439" s="68"/>
      <c r="CW1439" s="68"/>
      <c r="CX1439" s="68"/>
    </row>
    <row r="1440" spans="4:102" s="71" customFormat="1" hidden="1">
      <c r="D1440" s="69"/>
      <c r="E1440" s="68"/>
      <c r="F1440" s="68"/>
      <c r="G1440" s="68"/>
      <c r="H1440" s="68"/>
      <c r="I1440" s="68"/>
      <c r="J1440" s="68"/>
      <c r="K1440" s="73"/>
      <c r="L1440" s="68"/>
      <c r="M1440" s="68"/>
      <c r="N1440" s="68"/>
      <c r="O1440" s="68"/>
      <c r="P1440" s="65"/>
      <c r="Q1440" s="103"/>
      <c r="R1440" s="103"/>
      <c r="S1440" s="103"/>
      <c r="T1440" s="103"/>
      <c r="U1440" s="68"/>
      <c r="V1440" s="69"/>
      <c r="W1440" s="68"/>
      <c r="X1440" s="68"/>
      <c r="Y1440" s="68"/>
      <c r="Z1440" s="68"/>
      <c r="AA1440" s="68"/>
      <c r="AB1440" s="68"/>
      <c r="AC1440" s="68"/>
      <c r="AD1440" s="68"/>
      <c r="AE1440" s="68"/>
      <c r="AF1440" s="68"/>
      <c r="AG1440" s="68"/>
      <c r="AH1440" s="68"/>
      <c r="AI1440" s="68"/>
      <c r="AJ1440" s="68"/>
      <c r="AK1440" s="68"/>
      <c r="AL1440" s="68"/>
      <c r="AM1440" s="68"/>
      <c r="AN1440" s="68"/>
      <c r="AO1440" s="68"/>
      <c r="AP1440" s="68"/>
      <c r="AQ1440" s="68"/>
      <c r="AR1440" s="68"/>
      <c r="AS1440" s="68"/>
      <c r="AT1440" s="68"/>
      <c r="AU1440" s="68"/>
      <c r="AV1440" s="68"/>
      <c r="AW1440" s="68"/>
      <c r="AX1440" s="68"/>
      <c r="AY1440" s="68"/>
      <c r="AZ1440" s="68"/>
      <c r="BA1440" s="68"/>
      <c r="BB1440" s="68"/>
      <c r="BC1440" s="68"/>
      <c r="BD1440" s="68"/>
      <c r="BE1440" s="68"/>
      <c r="BF1440" s="68"/>
      <c r="BG1440" s="68"/>
      <c r="BH1440" s="68"/>
      <c r="BI1440" s="68"/>
      <c r="BJ1440" s="68"/>
      <c r="BK1440" s="68"/>
      <c r="BL1440" s="68"/>
      <c r="BM1440" s="68"/>
      <c r="BN1440" s="68"/>
      <c r="BO1440" s="68"/>
      <c r="BP1440" s="68"/>
      <c r="BQ1440" s="68"/>
      <c r="BR1440" s="68"/>
      <c r="BS1440" s="68"/>
      <c r="BT1440" s="68"/>
      <c r="BU1440" s="68"/>
      <c r="BV1440" s="68"/>
      <c r="BW1440" s="68"/>
      <c r="BX1440" s="68"/>
      <c r="BY1440" s="68"/>
      <c r="BZ1440" s="68"/>
      <c r="CA1440" s="68"/>
      <c r="CB1440" s="68"/>
      <c r="CC1440" s="68"/>
      <c r="CD1440" s="68"/>
      <c r="CE1440" s="68"/>
      <c r="CF1440" s="68"/>
      <c r="CG1440" s="68"/>
      <c r="CH1440" s="68"/>
      <c r="CI1440" s="68"/>
      <c r="CJ1440" s="68"/>
      <c r="CK1440" s="68"/>
      <c r="CL1440" s="68"/>
      <c r="CM1440" s="68"/>
      <c r="CN1440" s="68"/>
      <c r="CO1440" s="68"/>
      <c r="CP1440" s="68"/>
      <c r="CQ1440" s="68"/>
      <c r="CR1440" s="68"/>
      <c r="CS1440" s="68"/>
      <c r="CT1440" s="68"/>
      <c r="CU1440" s="68"/>
      <c r="CV1440" s="68"/>
      <c r="CW1440" s="68"/>
      <c r="CX1440" s="68"/>
    </row>
    <row r="1441" spans="4:102" s="71" customFormat="1" hidden="1">
      <c r="D1441" s="69"/>
      <c r="E1441" s="68"/>
      <c r="F1441" s="68"/>
      <c r="G1441" s="68"/>
      <c r="H1441" s="68"/>
      <c r="I1441" s="68"/>
      <c r="J1441" s="68"/>
      <c r="K1441" s="73"/>
      <c r="L1441" s="68"/>
      <c r="M1441" s="68"/>
      <c r="N1441" s="68"/>
      <c r="O1441" s="68"/>
      <c r="P1441" s="65"/>
      <c r="Q1441" s="103"/>
      <c r="R1441" s="103"/>
      <c r="S1441" s="103"/>
      <c r="T1441" s="103"/>
      <c r="U1441" s="68"/>
      <c r="V1441" s="69"/>
      <c r="W1441" s="68"/>
      <c r="X1441" s="68"/>
      <c r="Y1441" s="68"/>
      <c r="Z1441" s="68"/>
      <c r="AA1441" s="68"/>
      <c r="AB1441" s="68"/>
      <c r="AC1441" s="68"/>
      <c r="AD1441" s="68"/>
      <c r="AE1441" s="68"/>
      <c r="AF1441" s="68"/>
      <c r="AG1441" s="68"/>
      <c r="AH1441" s="68"/>
      <c r="AI1441" s="68"/>
      <c r="AJ1441" s="68"/>
      <c r="AK1441" s="68"/>
      <c r="AL1441" s="68"/>
      <c r="AM1441" s="68"/>
      <c r="AN1441" s="68"/>
      <c r="AO1441" s="68"/>
      <c r="AP1441" s="68"/>
      <c r="AQ1441" s="68"/>
      <c r="AR1441" s="68"/>
      <c r="AS1441" s="68"/>
      <c r="AT1441" s="68"/>
      <c r="AU1441" s="68"/>
      <c r="AV1441" s="68"/>
      <c r="AW1441" s="68"/>
      <c r="AX1441" s="68"/>
      <c r="AY1441" s="68"/>
      <c r="AZ1441" s="68"/>
      <c r="BA1441" s="68"/>
      <c r="BB1441" s="68"/>
      <c r="BC1441" s="68"/>
      <c r="BD1441" s="68"/>
      <c r="BE1441" s="68"/>
      <c r="BF1441" s="68"/>
      <c r="BG1441" s="68"/>
      <c r="BH1441" s="68"/>
      <c r="BI1441" s="68"/>
      <c r="BJ1441" s="68"/>
      <c r="BK1441" s="68"/>
      <c r="BL1441" s="68"/>
      <c r="BM1441" s="68"/>
      <c r="BN1441" s="68"/>
      <c r="BO1441" s="68"/>
      <c r="BP1441" s="68"/>
      <c r="BQ1441" s="68"/>
      <c r="BR1441" s="68"/>
      <c r="BS1441" s="68"/>
      <c r="BT1441" s="68"/>
      <c r="BU1441" s="68"/>
      <c r="BV1441" s="68"/>
      <c r="BW1441" s="68"/>
      <c r="BX1441" s="68"/>
      <c r="BY1441" s="68"/>
      <c r="BZ1441" s="68"/>
      <c r="CA1441" s="68"/>
      <c r="CB1441" s="68"/>
      <c r="CC1441" s="68"/>
      <c r="CD1441" s="68"/>
      <c r="CE1441" s="68"/>
      <c r="CF1441" s="68"/>
      <c r="CG1441" s="68"/>
      <c r="CH1441" s="68"/>
      <c r="CI1441" s="68"/>
      <c r="CJ1441" s="68"/>
      <c r="CK1441" s="68"/>
      <c r="CL1441" s="68"/>
      <c r="CM1441" s="68"/>
      <c r="CN1441" s="68"/>
      <c r="CO1441" s="68"/>
      <c r="CP1441" s="68"/>
      <c r="CQ1441" s="68"/>
      <c r="CR1441" s="68"/>
      <c r="CS1441" s="68"/>
      <c r="CT1441" s="68"/>
      <c r="CU1441" s="68"/>
      <c r="CV1441" s="68"/>
      <c r="CW1441" s="68"/>
      <c r="CX1441" s="68"/>
    </row>
    <row r="1442" spans="4:102" s="71" customFormat="1" hidden="1">
      <c r="D1442" s="69"/>
      <c r="E1442" s="68"/>
      <c r="F1442" s="68"/>
      <c r="G1442" s="68"/>
      <c r="H1442" s="68"/>
      <c r="I1442" s="68"/>
      <c r="J1442" s="68"/>
      <c r="K1442" s="73"/>
      <c r="L1442" s="68"/>
      <c r="M1442" s="68"/>
      <c r="N1442" s="68"/>
      <c r="O1442" s="68"/>
      <c r="P1442" s="65"/>
      <c r="Q1442" s="103"/>
      <c r="R1442" s="103"/>
      <c r="S1442" s="103"/>
      <c r="T1442" s="103"/>
      <c r="U1442" s="68"/>
      <c r="V1442" s="69"/>
      <c r="W1442" s="68"/>
      <c r="X1442" s="68"/>
      <c r="Y1442" s="68"/>
      <c r="Z1442" s="68"/>
      <c r="AA1442" s="68"/>
      <c r="AB1442" s="68"/>
      <c r="AC1442" s="68"/>
      <c r="AD1442" s="68"/>
      <c r="AE1442" s="68"/>
      <c r="AF1442" s="68"/>
      <c r="AG1442" s="68"/>
      <c r="AH1442" s="68"/>
      <c r="AI1442" s="68"/>
      <c r="AJ1442" s="68"/>
      <c r="AK1442" s="68"/>
      <c r="AL1442" s="68"/>
      <c r="AM1442" s="68"/>
      <c r="AN1442" s="68"/>
      <c r="AO1442" s="68"/>
      <c r="AP1442" s="68"/>
      <c r="AQ1442" s="68"/>
      <c r="AR1442" s="68"/>
      <c r="AS1442" s="68"/>
      <c r="AT1442" s="68"/>
      <c r="AU1442" s="68"/>
      <c r="AV1442" s="68"/>
      <c r="AW1442" s="68"/>
      <c r="AX1442" s="68"/>
      <c r="AY1442" s="68"/>
      <c r="AZ1442" s="68"/>
      <c r="BA1442" s="68"/>
      <c r="BB1442" s="68"/>
      <c r="BC1442" s="68"/>
      <c r="BD1442" s="68"/>
      <c r="BE1442" s="68"/>
      <c r="BF1442" s="68"/>
      <c r="BG1442" s="68"/>
      <c r="BH1442" s="68"/>
      <c r="BI1442" s="68"/>
      <c r="BJ1442" s="68"/>
      <c r="BK1442" s="68"/>
      <c r="BL1442" s="68"/>
      <c r="BM1442" s="68"/>
      <c r="BN1442" s="68"/>
      <c r="BO1442" s="68"/>
      <c r="BP1442" s="68"/>
      <c r="BQ1442" s="68"/>
      <c r="BR1442" s="68"/>
      <c r="BS1442" s="68"/>
      <c r="BT1442" s="68"/>
      <c r="BU1442" s="68"/>
      <c r="BV1442" s="68"/>
      <c r="BW1442" s="68"/>
      <c r="BX1442" s="68"/>
      <c r="BY1442" s="68"/>
      <c r="BZ1442" s="68"/>
      <c r="CA1442" s="68"/>
      <c r="CB1442" s="68"/>
      <c r="CC1442" s="68"/>
      <c r="CD1442" s="68"/>
      <c r="CE1442" s="68"/>
      <c r="CF1442" s="68"/>
      <c r="CG1442" s="68"/>
      <c r="CH1442" s="68"/>
      <c r="CI1442" s="68"/>
      <c r="CJ1442" s="68"/>
      <c r="CK1442" s="68"/>
      <c r="CL1442" s="68"/>
      <c r="CM1442" s="68"/>
      <c r="CN1442" s="68"/>
      <c r="CO1442" s="68"/>
      <c r="CP1442" s="68"/>
      <c r="CQ1442" s="68"/>
      <c r="CR1442" s="68"/>
      <c r="CS1442" s="68"/>
      <c r="CT1442" s="68"/>
      <c r="CU1442" s="68"/>
      <c r="CV1442" s="68"/>
      <c r="CW1442" s="68"/>
      <c r="CX1442" s="68"/>
    </row>
    <row r="1443" spans="4:102" s="71" customFormat="1" hidden="1">
      <c r="D1443" s="69"/>
      <c r="E1443" s="68"/>
      <c r="F1443" s="68"/>
      <c r="G1443" s="68"/>
      <c r="H1443" s="68"/>
      <c r="I1443" s="68"/>
      <c r="J1443" s="68"/>
      <c r="K1443" s="73"/>
      <c r="L1443" s="68"/>
      <c r="M1443" s="68"/>
      <c r="N1443" s="68"/>
      <c r="O1443" s="68"/>
      <c r="P1443" s="65"/>
      <c r="Q1443" s="103"/>
      <c r="R1443" s="103"/>
      <c r="S1443" s="103"/>
      <c r="T1443" s="103"/>
      <c r="U1443" s="68"/>
      <c r="V1443" s="69"/>
      <c r="W1443" s="68"/>
      <c r="X1443" s="68"/>
      <c r="Y1443" s="68"/>
      <c r="Z1443" s="68"/>
      <c r="AA1443" s="68"/>
      <c r="AB1443" s="68"/>
      <c r="AC1443" s="68"/>
      <c r="AD1443" s="68"/>
      <c r="AE1443" s="68"/>
      <c r="AF1443" s="68"/>
      <c r="AG1443" s="68"/>
      <c r="AH1443" s="68"/>
      <c r="AI1443" s="68"/>
      <c r="AJ1443" s="68"/>
      <c r="AK1443" s="68"/>
      <c r="AL1443" s="68"/>
      <c r="AM1443" s="68"/>
      <c r="AN1443" s="68"/>
      <c r="AO1443" s="68"/>
      <c r="AP1443" s="68"/>
      <c r="AQ1443" s="68"/>
      <c r="AR1443" s="68"/>
      <c r="AS1443" s="68"/>
      <c r="AT1443" s="68"/>
      <c r="AU1443" s="68"/>
      <c r="AV1443" s="68"/>
      <c r="AW1443" s="68"/>
      <c r="AX1443" s="68"/>
      <c r="AY1443" s="68"/>
      <c r="AZ1443" s="68"/>
      <c r="BA1443" s="68"/>
      <c r="BB1443" s="68"/>
      <c r="BC1443" s="68"/>
      <c r="BD1443" s="68"/>
      <c r="BE1443" s="68"/>
      <c r="BF1443" s="68"/>
      <c r="BG1443" s="68"/>
      <c r="BH1443" s="68"/>
      <c r="BI1443" s="68"/>
      <c r="BJ1443" s="68"/>
      <c r="BK1443" s="68"/>
      <c r="BL1443" s="68"/>
      <c r="BM1443" s="68"/>
      <c r="BN1443" s="68"/>
      <c r="BO1443" s="68"/>
      <c r="BP1443" s="68"/>
      <c r="BQ1443" s="68"/>
      <c r="BR1443" s="68"/>
      <c r="BS1443" s="68"/>
      <c r="BT1443" s="68"/>
      <c r="BU1443" s="68"/>
      <c r="BV1443" s="68"/>
      <c r="BW1443" s="68"/>
      <c r="BX1443" s="68"/>
      <c r="BY1443" s="68"/>
      <c r="BZ1443" s="68"/>
      <c r="CA1443" s="68"/>
      <c r="CB1443" s="68"/>
      <c r="CC1443" s="68"/>
      <c r="CD1443" s="68"/>
      <c r="CE1443" s="68"/>
      <c r="CF1443" s="68"/>
      <c r="CG1443" s="68"/>
      <c r="CH1443" s="68"/>
      <c r="CI1443" s="68"/>
      <c r="CJ1443" s="68"/>
      <c r="CK1443" s="68"/>
      <c r="CL1443" s="68"/>
      <c r="CM1443" s="68"/>
      <c r="CN1443" s="68"/>
      <c r="CO1443" s="68"/>
      <c r="CP1443" s="68"/>
      <c r="CQ1443" s="68"/>
      <c r="CR1443" s="68"/>
      <c r="CS1443" s="68"/>
      <c r="CT1443" s="68"/>
      <c r="CU1443" s="68"/>
      <c r="CV1443" s="68"/>
      <c r="CW1443" s="68"/>
      <c r="CX1443" s="68"/>
    </row>
    <row r="1444" spans="4:102" s="71" customFormat="1" hidden="1">
      <c r="D1444" s="69"/>
      <c r="E1444" s="68"/>
      <c r="F1444" s="68"/>
      <c r="G1444" s="68"/>
      <c r="H1444" s="68"/>
      <c r="I1444" s="68"/>
      <c r="J1444" s="68"/>
      <c r="K1444" s="73"/>
      <c r="L1444" s="68"/>
      <c r="M1444" s="68"/>
      <c r="N1444" s="68"/>
      <c r="O1444" s="68"/>
      <c r="P1444" s="65"/>
      <c r="Q1444" s="103"/>
      <c r="R1444" s="103"/>
      <c r="S1444" s="103"/>
      <c r="T1444" s="103"/>
      <c r="U1444" s="68"/>
      <c r="V1444" s="69"/>
      <c r="W1444" s="68"/>
      <c r="X1444" s="68"/>
      <c r="Y1444" s="68"/>
      <c r="Z1444" s="68"/>
      <c r="AA1444" s="68"/>
      <c r="AB1444" s="68"/>
      <c r="AC1444" s="68"/>
      <c r="AD1444" s="68"/>
      <c r="AE1444" s="68"/>
      <c r="AF1444" s="68"/>
      <c r="AG1444" s="68"/>
      <c r="AH1444" s="68"/>
      <c r="AI1444" s="68"/>
      <c r="AJ1444" s="68"/>
      <c r="AK1444" s="68"/>
      <c r="AL1444" s="68"/>
      <c r="AM1444" s="68"/>
      <c r="AN1444" s="68"/>
      <c r="AO1444" s="68"/>
      <c r="AP1444" s="68"/>
      <c r="AQ1444" s="68"/>
      <c r="AR1444" s="68"/>
      <c r="AS1444" s="68"/>
      <c r="AT1444" s="68"/>
      <c r="AU1444" s="68"/>
      <c r="AV1444" s="68"/>
      <c r="AW1444" s="68"/>
      <c r="AX1444" s="68"/>
      <c r="AY1444" s="68"/>
      <c r="AZ1444" s="68"/>
      <c r="BA1444" s="68"/>
      <c r="BB1444" s="68"/>
      <c r="BC1444" s="68"/>
      <c r="BD1444" s="68"/>
      <c r="BE1444" s="68"/>
      <c r="BF1444" s="68"/>
      <c r="BG1444" s="68"/>
      <c r="BH1444" s="68"/>
      <c r="BI1444" s="68"/>
      <c r="BJ1444" s="68"/>
      <c r="BK1444" s="68"/>
      <c r="BL1444" s="68"/>
      <c r="BM1444" s="68"/>
      <c r="BN1444" s="68"/>
      <c r="BO1444" s="68"/>
      <c r="BP1444" s="68"/>
      <c r="BQ1444" s="68"/>
      <c r="BR1444" s="68"/>
      <c r="BS1444" s="68"/>
      <c r="BT1444" s="68"/>
      <c r="BU1444" s="68"/>
      <c r="BV1444" s="68"/>
      <c r="BW1444" s="68"/>
      <c r="BX1444" s="68"/>
      <c r="BY1444" s="68"/>
      <c r="BZ1444" s="68"/>
      <c r="CA1444" s="68"/>
      <c r="CB1444" s="68"/>
      <c r="CC1444" s="68"/>
      <c r="CD1444" s="68"/>
      <c r="CE1444" s="68"/>
      <c r="CF1444" s="68"/>
      <c r="CG1444" s="68"/>
      <c r="CH1444" s="68"/>
      <c r="CI1444" s="68"/>
      <c r="CJ1444" s="68"/>
      <c r="CK1444" s="68"/>
      <c r="CL1444" s="68"/>
      <c r="CM1444" s="68"/>
      <c r="CN1444" s="68"/>
      <c r="CO1444" s="68"/>
      <c r="CP1444" s="68"/>
      <c r="CQ1444" s="68"/>
      <c r="CR1444" s="68"/>
      <c r="CS1444" s="68"/>
      <c r="CT1444" s="68"/>
      <c r="CU1444" s="68"/>
      <c r="CV1444" s="68"/>
      <c r="CW1444" s="68"/>
      <c r="CX1444" s="68"/>
    </row>
    <row r="1445" spans="4:102" s="71" customFormat="1" hidden="1">
      <c r="D1445" s="69"/>
      <c r="E1445" s="68"/>
      <c r="F1445" s="68"/>
      <c r="G1445" s="68"/>
      <c r="H1445" s="68"/>
      <c r="I1445" s="68"/>
      <c r="J1445" s="68"/>
      <c r="K1445" s="73"/>
      <c r="L1445" s="68"/>
      <c r="M1445" s="68"/>
      <c r="N1445" s="68"/>
      <c r="O1445" s="68"/>
      <c r="P1445" s="65"/>
      <c r="Q1445" s="103"/>
      <c r="R1445" s="103"/>
      <c r="S1445" s="103"/>
      <c r="T1445" s="103"/>
      <c r="U1445" s="68"/>
      <c r="V1445" s="68"/>
      <c r="W1445" s="68"/>
      <c r="X1445" s="68"/>
      <c r="Y1445" s="68"/>
      <c r="Z1445" s="68"/>
      <c r="AA1445" s="68"/>
      <c r="AB1445" s="68"/>
      <c r="AC1445" s="68"/>
      <c r="AD1445" s="68"/>
      <c r="AE1445" s="68"/>
      <c r="AF1445" s="68"/>
      <c r="AG1445" s="68"/>
      <c r="AH1445" s="68"/>
      <c r="AI1445" s="68"/>
      <c r="AJ1445" s="68"/>
      <c r="AK1445" s="68"/>
      <c r="AL1445" s="68"/>
      <c r="AM1445" s="68"/>
      <c r="AN1445" s="68"/>
      <c r="AO1445" s="68"/>
      <c r="AP1445" s="68"/>
      <c r="AQ1445" s="68"/>
      <c r="AR1445" s="68"/>
      <c r="AS1445" s="68"/>
      <c r="AT1445" s="68"/>
      <c r="AU1445" s="68"/>
      <c r="AV1445" s="68"/>
      <c r="AW1445" s="68"/>
      <c r="AX1445" s="68"/>
      <c r="AY1445" s="68"/>
      <c r="AZ1445" s="68"/>
      <c r="BA1445" s="68"/>
      <c r="BB1445" s="68"/>
      <c r="BC1445" s="68"/>
      <c r="BD1445" s="68"/>
      <c r="BE1445" s="68"/>
      <c r="BF1445" s="68"/>
      <c r="BG1445" s="68"/>
      <c r="BH1445" s="68"/>
      <c r="BI1445" s="68"/>
      <c r="BJ1445" s="68"/>
      <c r="BK1445" s="68"/>
      <c r="BL1445" s="68"/>
      <c r="BM1445" s="68"/>
      <c r="BN1445" s="68"/>
      <c r="BO1445" s="68"/>
      <c r="BP1445" s="68"/>
      <c r="BQ1445" s="68"/>
      <c r="BR1445" s="68"/>
      <c r="BS1445" s="68"/>
      <c r="BT1445" s="68"/>
      <c r="BU1445" s="68"/>
      <c r="BV1445" s="68"/>
      <c r="BW1445" s="68"/>
      <c r="BX1445" s="68"/>
      <c r="BY1445" s="68"/>
      <c r="BZ1445" s="68"/>
      <c r="CA1445" s="68"/>
      <c r="CB1445" s="68"/>
      <c r="CC1445" s="68"/>
      <c r="CD1445" s="68"/>
      <c r="CE1445" s="68"/>
      <c r="CF1445" s="68"/>
      <c r="CG1445" s="68"/>
      <c r="CH1445" s="68"/>
      <c r="CI1445" s="68"/>
      <c r="CJ1445" s="68"/>
      <c r="CK1445" s="68"/>
      <c r="CL1445" s="68"/>
      <c r="CM1445" s="68"/>
      <c r="CN1445" s="68"/>
      <c r="CO1445" s="68"/>
      <c r="CP1445" s="68"/>
      <c r="CQ1445" s="68"/>
      <c r="CR1445" s="68"/>
      <c r="CS1445" s="68"/>
      <c r="CT1445" s="68"/>
      <c r="CU1445" s="68"/>
      <c r="CV1445" s="68"/>
      <c r="CW1445" s="68"/>
      <c r="CX1445" s="68"/>
    </row>
    <row r="1446" spans="4:102" s="71" customFormat="1" hidden="1">
      <c r="D1446" s="69"/>
      <c r="E1446" s="68"/>
      <c r="F1446" s="68"/>
      <c r="G1446" s="68"/>
      <c r="H1446" s="68"/>
      <c r="I1446" s="68"/>
      <c r="J1446" s="68"/>
      <c r="K1446" s="73"/>
      <c r="L1446" s="68"/>
      <c r="M1446" s="68"/>
      <c r="N1446" s="68"/>
      <c r="O1446" s="68"/>
      <c r="P1446" s="65"/>
      <c r="Q1446" s="103"/>
      <c r="R1446" s="103"/>
      <c r="S1446" s="103"/>
      <c r="T1446" s="103"/>
      <c r="U1446" s="68"/>
      <c r="V1446" s="68"/>
      <c r="W1446" s="68"/>
      <c r="X1446" s="68"/>
      <c r="Y1446" s="68"/>
      <c r="Z1446" s="68"/>
      <c r="AA1446" s="68"/>
      <c r="AB1446" s="68"/>
      <c r="AC1446" s="68"/>
      <c r="AD1446" s="68"/>
      <c r="AE1446" s="68"/>
      <c r="AF1446" s="68"/>
      <c r="AG1446" s="68"/>
      <c r="AH1446" s="68"/>
      <c r="AI1446" s="68"/>
      <c r="AJ1446" s="68"/>
      <c r="AK1446" s="68"/>
      <c r="AL1446" s="68"/>
      <c r="AM1446" s="68"/>
      <c r="AN1446" s="68"/>
      <c r="AO1446" s="68"/>
      <c r="AP1446" s="68"/>
      <c r="AQ1446" s="68"/>
      <c r="AR1446" s="68"/>
      <c r="AS1446" s="68"/>
      <c r="AT1446" s="68"/>
      <c r="AU1446" s="68"/>
      <c r="AV1446" s="68"/>
      <c r="AW1446" s="68"/>
      <c r="AX1446" s="68"/>
      <c r="AY1446" s="68"/>
      <c r="AZ1446" s="68"/>
      <c r="BA1446" s="68"/>
      <c r="BB1446" s="68"/>
      <c r="BC1446" s="68"/>
      <c r="BD1446" s="68"/>
      <c r="BE1446" s="68"/>
      <c r="BF1446" s="68"/>
      <c r="BG1446" s="68"/>
      <c r="BH1446" s="68"/>
      <c r="BI1446" s="68"/>
      <c r="BJ1446" s="68"/>
      <c r="BK1446" s="68"/>
      <c r="BL1446" s="68"/>
      <c r="BM1446" s="68"/>
      <c r="BN1446" s="68"/>
      <c r="BO1446" s="68"/>
      <c r="BP1446" s="68"/>
      <c r="BQ1446" s="68"/>
      <c r="BR1446" s="68"/>
      <c r="BS1446" s="68"/>
      <c r="BT1446" s="68"/>
      <c r="BU1446" s="68"/>
      <c r="BV1446" s="68"/>
      <c r="BW1446" s="68"/>
      <c r="BX1446" s="68"/>
      <c r="BY1446" s="68"/>
      <c r="BZ1446" s="68"/>
      <c r="CA1446" s="68"/>
      <c r="CB1446" s="68"/>
      <c r="CC1446" s="68"/>
      <c r="CD1446" s="68"/>
      <c r="CE1446" s="68"/>
      <c r="CF1446" s="68"/>
      <c r="CG1446" s="68"/>
      <c r="CH1446" s="68"/>
      <c r="CI1446" s="68"/>
      <c r="CJ1446" s="68"/>
      <c r="CK1446" s="68"/>
      <c r="CL1446" s="68"/>
      <c r="CM1446" s="68"/>
      <c r="CN1446" s="68"/>
      <c r="CO1446" s="68"/>
      <c r="CP1446" s="68"/>
      <c r="CQ1446" s="68"/>
      <c r="CR1446" s="68"/>
      <c r="CS1446" s="68"/>
      <c r="CT1446" s="68"/>
      <c r="CU1446" s="68"/>
      <c r="CV1446" s="68"/>
      <c r="CW1446" s="68"/>
      <c r="CX1446" s="68"/>
    </row>
    <row r="1447" spans="4:102" s="71" customFormat="1" hidden="1">
      <c r="D1447" s="69"/>
      <c r="E1447" s="68"/>
      <c r="F1447" s="68"/>
      <c r="G1447" s="68"/>
      <c r="H1447" s="68"/>
      <c r="I1447" s="68"/>
      <c r="J1447" s="68"/>
      <c r="K1447" s="73"/>
      <c r="L1447" s="68"/>
      <c r="M1447" s="68"/>
      <c r="N1447" s="68"/>
      <c r="O1447" s="68"/>
      <c r="P1447" s="65"/>
      <c r="Q1447" s="103"/>
      <c r="R1447" s="103"/>
      <c r="S1447" s="103"/>
      <c r="T1447" s="103"/>
      <c r="U1447" s="68"/>
      <c r="V1447" s="68"/>
      <c r="W1447" s="68"/>
      <c r="X1447" s="68"/>
      <c r="Y1447" s="68"/>
      <c r="Z1447" s="68"/>
      <c r="AA1447" s="68"/>
      <c r="AB1447" s="68"/>
      <c r="AC1447" s="68"/>
      <c r="AD1447" s="68"/>
      <c r="AE1447" s="68"/>
      <c r="AF1447" s="68"/>
      <c r="AG1447" s="68"/>
      <c r="AH1447" s="68"/>
      <c r="AI1447" s="68"/>
      <c r="AJ1447" s="68"/>
      <c r="AK1447" s="68"/>
      <c r="AL1447" s="68"/>
      <c r="AM1447" s="68"/>
      <c r="AN1447" s="68"/>
      <c r="AO1447" s="68"/>
      <c r="AP1447" s="68"/>
      <c r="AQ1447" s="68"/>
      <c r="AR1447" s="68"/>
      <c r="AS1447" s="68"/>
      <c r="AT1447" s="68"/>
      <c r="AU1447" s="68"/>
      <c r="AV1447" s="68"/>
      <c r="AW1447" s="68"/>
      <c r="AX1447" s="68"/>
      <c r="AY1447" s="68"/>
      <c r="AZ1447" s="68"/>
      <c r="BA1447" s="68"/>
      <c r="BB1447" s="68"/>
      <c r="BC1447" s="68"/>
      <c r="BD1447" s="68"/>
      <c r="BE1447" s="68"/>
      <c r="BF1447" s="68"/>
      <c r="BG1447" s="68"/>
      <c r="BH1447" s="68"/>
      <c r="BI1447" s="68"/>
      <c r="BJ1447" s="68"/>
      <c r="BK1447" s="68"/>
      <c r="BL1447" s="68"/>
      <c r="BM1447" s="68"/>
      <c r="BN1447" s="68"/>
      <c r="BO1447" s="68"/>
      <c r="BP1447" s="68"/>
      <c r="BQ1447" s="68"/>
      <c r="BR1447" s="68"/>
      <c r="BS1447" s="68"/>
      <c r="BT1447" s="68"/>
      <c r="BU1447" s="68"/>
      <c r="BV1447" s="68"/>
      <c r="BW1447" s="68"/>
      <c r="BX1447" s="68"/>
      <c r="BY1447" s="68"/>
      <c r="BZ1447" s="68"/>
      <c r="CA1447" s="68"/>
      <c r="CB1447" s="68"/>
      <c r="CC1447" s="68"/>
      <c r="CD1447" s="68"/>
      <c r="CE1447" s="68"/>
      <c r="CF1447" s="68"/>
      <c r="CG1447" s="68"/>
      <c r="CH1447" s="68"/>
      <c r="CI1447" s="68"/>
      <c r="CJ1447" s="68"/>
      <c r="CK1447" s="68"/>
      <c r="CL1447" s="68"/>
      <c r="CM1447" s="68"/>
      <c r="CN1447" s="68"/>
      <c r="CO1447" s="68"/>
      <c r="CP1447" s="68"/>
      <c r="CQ1447" s="68"/>
      <c r="CR1447" s="68"/>
      <c r="CS1447" s="68"/>
      <c r="CT1447" s="68"/>
      <c r="CU1447" s="68"/>
      <c r="CV1447" s="68"/>
      <c r="CW1447" s="68"/>
      <c r="CX1447" s="68"/>
    </row>
    <row r="1448" spans="4:102" s="71" customFormat="1" hidden="1">
      <c r="D1448" s="69"/>
      <c r="E1448" s="68"/>
      <c r="F1448" s="68"/>
      <c r="G1448" s="68"/>
      <c r="H1448" s="68"/>
      <c r="I1448" s="68"/>
      <c r="J1448" s="68"/>
      <c r="K1448" s="73"/>
      <c r="L1448" s="68"/>
      <c r="M1448" s="68"/>
      <c r="N1448" s="68"/>
      <c r="O1448" s="68"/>
      <c r="P1448" s="65"/>
      <c r="Q1448" s="103"/>
      <c r="R1448" s="103"/>
      <c r="S1448" s="103"/>
      <c r="T1448" s="103"/>
      <c r="U1448" s="68"/>
      <c r="V1448" s="68"/>
      <c r="W1448" s="68"/>
      <c r="X1448" s="68"/>
      <c r="Y1448" s="68"/>
      <c r="Z1448" s="68"/>
      <c r="AA1448" s="68"/>
      <c r="AB1448" s="68"/>
      <c r="AC1448" s="68"/>
      <c r="AD1448" s="68"/>
      <c r="AE1448" s="68"/>
      <c r="AF1448" s="68"/>
      <c r="AG1448" s="68"/>
      <c r="AH1448" s="68"/>
      <c r="AI1448" s="68"/>
      <c r="AJ1448" s="68"/>
      <c r="AK1448" s="68"/>
      <c r="AL1448" s="68"/>
      <c r="AM1448" s="68"/>
      <c r="AN1448" s="68"/>
      <c r="AO1448" s="68"/>
      <c r="AP1448" s="68"/>
      <c r="AQ1448" s="68"/>
      <c r="AR1448" s="68"/>
      <c r="AS1448" s="68"/>
      <c r="AT1448" s="68"/>
      <c r="AU1448" s="68"/>
      <c r="AV1448" s="68"/>
      <c r="AW1448" s="68"/>
      <c r="AX1448" s="68"/>
      <c r="AY1448" s="68"/>
      <c r="AZ1448" s="68"/>
      <c r="BA1448" s="68"/>
      <c r="BB1448" s="68"/>
      <c r="BC1448" s="68"/>
      <c r="BD1448" s="68"/>
      <c r="BE1448" s="68"/>
      <c r="BF1448" s="68"/>
      <c r="BG1448" s="68"/>
      <c r="BH1448" s="68"/>
      <c r="BI1448" s="68"/>
      <c r="BJ1448" s="68"/>
      <c r="BK1448" s="68"/>
      <c r="BL1448" s="68"/>
      <c r="BM1448" s="68"/>
      <c r="BN1448" s="68"/>
      <c r="BO1448" s="68"/>
      <c r="BP1448" s="68"/>
      <c r="BQ1448" s="68"/>
      <c r="BR1448" s="68"/>
      <c r="BS1448" s="68"/>
      <c r="BT1448" s="68"/>
      <c r="BU1448" s="68"/>
      <c r="BV1448" s="68"/>
      <c r="BW1448" s="68"/>
      <c r="BX1448" s="68"/>
      <c r="BY1448" s="68"/>
      <c r="BZ1448" s="68"/>
      <c r="CA1448" s="68"/>
      <c r="CB1448" s="68"/>
      <c r="CC1448" s="68"/>
      <c r="CD1448" s="68"/>
      <c r="CE1448" s="68"/>
      <c r="CF1448" s="68"/>
      <c r="CG1448" s="68"/>
      <c r="CH1448" s="68"/>
      <c r="CI1448" s="68"/>
      <c r="CJ1448" s="68"/>
      <c r="CK1448" s="68"/>
      <c r="CL1448" s="68"/>
      <c r="CM1448" s="68"/>
      <c r="CN1448" s="68"/>
      <c r="CO1448" s="68"/>
      <c r="CP1448" s="68"/>
      <c r="CQ1448" s="68"/>
      <c r="CR1448" s="68"/>
      <c r="CS1448" s="68"/>
      <c r="CT1448" s="68"/>
      <c r="CU1448" s="68"/>
      <c r="CV1448" s="68"/>
      <c r="CW1448" s="68"/>
      <c r="CX1448" s="68"/>
    </row>
    <row r="1449" spans="4:102" s="71" customFormat="1" hidden="1">
      <c r="D1449" s="69"/>
      <c r="E1449" s="68"/>
      <c r="F1449" s="68"/>
      <c r="G1449" s="68"/>
      <c r="H1449" s="68"/>
      <c r="I1449" s="68"/>
      <c r="J1449" s="68"/>
      <c r="K1449" s="73"/>
      <c r="L1449" s="68"/>
      <c r="M1449" s="68"/>
      <c r="N1449" s="68"/>
      <c r="O1449" s="68"/>
      <c r="P1449" s="65"/>
      <c r="Q1449" s="103"/>
      <c r="R1449" s="103"/>
      <c r="S1449" s="103"/>
      <c r="T1449" s="103"/>
      <c r="U1449" s="68"/>
      <c r="V1449" s="68"/>
      <c r="W1449" s="68"/>
      <c r="X1449" s="68"/>
      <c r="Y1449" s="68"/>
      <c r="Z1449" s="68"/>
      <c r="AA1449" s="68"/>
      <c r="AB1449" s="68"/>
      <c r="AC1449" s="68"/>
      <c r="AD1449" s="68"/>
      <c r="AE1449" s="68"/>
      <c r="AF1449" s="68"/>
      <c r="AG1449" s="68"/>
      <c r="AH1449" s="68"/>
      <c r="AI1449" s="68"/>
      <c r="AJ1449" s="68"/>
      <c r="AK1449" s="68"/>
      <c r="AL1449" s="68"/>
      <c r="AM1449" s="68"/>
      <c r="AN1449" s="68"/>
      <c r="AO1449" s="68"/>
      <c r="AP1449" s="68"/>
      <c r="AQ1449" s="68"/>
      <c r="AR1449" s="68"/>
      <c r="AS1449" s="68"/>
      <c r="AT1449" s="68"/>
      <c r="AU1449" s="68"/>
      <c r="AV1449" s="68"/>
      <c r="AW1449" s="68"/>
      <c r="AX1449" s="68"/>
      <c r="AY1449" s="68"/>
      <c r="AZ1449" s="68"/>
      <c r="BA1449" s="68"/>
      <c r="BB1449" s="68"/>
      <c r="BC1449" s="68"/>
      <c r="BD1449" s="68"/>
      <c r="BE1449" s="68"/>
      <c r="BF1449" s="68"/>
      <c r="BG1449" s="68"/>
      <c r="BH1449" s="68"/>
      <c r="BI1449" s="68"/>
      <c r="BJ1449" s="68"/>
      <c r="BK1449" s="68"/>
      <c r="BL1449" s="68"/>
      <c r="BM1449" s="68"/>
      <c r="BN1449" s="68"/>
      <c r="BO1449" s="68"/>
      <c r="BP1449" s="68"/>
      <c r="BQ1449" s="68"/>
      <c r="BR1449" s="68"/>
      <c r="BS1449" s="68"/>
      <c r="BT1449" s="68"/>
      <c r="BU1449" s="68"/>
      <c r="BV1449" s="68"/>
      <c r="BW1449" s="68"/>
      <c r="BX1449" s="68"/>
      <c r="BY1449" s="68"/>
      <c r="BZ1449" s="68"/>
      <c r="CA1449" s="68"/>
      <c r="CB1449" s="68"/>
      <c r="CC1449" s="68"/>
      <c r="CD1449" s="68"/>
      <c r="CE1449" s="68"/>
      <c r="CF1449" s="68"/>
      <c r="CG1449" s="68"/>
      <c r="CH1449" s="68"/>
      <c r="CI1449" s="68"/>
      <c r="CJ1449" s="68"/>
      <c r="CK1449" s="68"/>
      <c r="CL1449" s="68"/>
      <c r="CM1449" s="68"/>
      <c r="CN1449" s="68"/>
      <c r="CO1449" s="68"/>
      <c r="CP1449" s="68"/>
      <c r="CQ1449" s="68"/>
      <c r="CR1449" s="68"/>
      <c r="CS1449" s="68"/>
      <c r="CT1449" s="68"/>
      <c r="CU1449" s="68"/>
      <c r="CV1449" s="68"/>
      <c r="CW1449" s="68"/>
      <c r="CX1449" s="68"/>
    </row>
    <row r="1450" spans="4:102" s="71" customFormat="1" hidden="1">
      <c r="D1450" s="69"/>
      <c r="E1450" s="68"/>
      <c r="F1450" s="68"/>
      <c r="G1450" s="68"/>
      <c r="H1450" s="68"/>
      <c r="I1450" s="68"/>
      <c r="J1450" s="68"/>
      <c r="K1450" s="73"/>
      <c r="L1450" s="68"/>
      <c r="M1450" s="68"/>
      <c r="N1450" s="68"/>
      <c r="O1450" s="68"/>
      <c r="P1450" s="65"/>
      <c r="Q1450" s="103"/>
      <c r="R1450" s="103"/>
      <c r="S1450" s="103"/>
      <c r="T1450" s="103"/>
      <c r="U1450" s="68"/>
      <c r="V1450" s="68"/>
      <c r="W1450" s="68"/>
      <c r="X1450" s="68"/>
      <c r="Y1450" s="68"/>
      <c r="Z1450" s="68"/>
      <c r="AA1450" s="68"/>
      <c r="AB1450" s="68"/>
      <c r="AC1450" s="68"/>
      <c r="AD1450" s="68"/>
      <c r="AE1450" s="68"/>
      <c r="AF1450" s="68"/>
      <c r="AG1450" s="68"/>
      <c r="AH1450" s="68"/>
      <c r="AI1450" s="68"/>
      <c r="AJ1450" s="68"/>
      <c r="AK1450" s="68"/>
      <c r="AL1450" s="68"/>
      <c r="AM1450" s="68"/>
      <c r="AN1450" s="68"/>
      <c r="AO1450" s="68"/>
      <c r="AP1450" s="68"/>
      <c r="AQ1450" s="68"/>
      <c r="AR1450" s="68"/>
      <c r="AS1450" s="68"/>
      <c r="AT1450" s="68"/>
      <c r="AU1450" s="68"/>
      <c r="AV1450" s="68"/>
      <c r="AW1450" s="68"/>
      <c r="AX1450" s="68"/>
      <c r="AY1450" s="68"/>
      <c r="AZ1450" s="68"/>
      <c r="BA1450" s="68"/>
      <c r="BB1450" s="68"/>
      <c r="BC1450" s="68"/>
      <c r="BD1450" s="68"/>
      <c r="BE1450" s="68"/>
      <c r="BF1450" s="68"/>
      <c r="BG1450" s="68"/>
      <c r="BH1450" s="68"/>
      <c r="BI1450" s="68"/>
      <c r="BJ1450" s="68"/>
      <c r="BK1450" s="68"/>
      <c r="BL1450" s="68"/>
      <c r="BM1450" s="68"/>
      <c r="BN1450" s="68"/>
      <c r="BO1450" s="68"/>
      <c r="BP1450" s="68"/>
      <c r="BQ1450" s="68"/>
      <c r="BR1450" s="68"/>
      <c r="BS1450" s="68"/>
      <c r="BT1450" s="68"/>
      <c r="BU1450" s="68"/>
      <c r="BV1450" s="68"/>
      <c r="BW1450" s="68"/>
      <c r="BX1450" s="68"/>
      <c r="BY1450" s="68"/>
      <c r="BZ1450" s="68"/>
      <c r="CA1450" s="68"/>
      <c r="CB1450" s="68"/>
      <c r="CC1450" s="68"/>
      <c r="CD1450" s="68"/>
      <c r="CE1450" s="68"/>
      <c r="CF1450" s="68"/>
      <c r="CG1450" s="68"/>
      <c r="CH1450" s="68"/>
      <c r="CI1450" s="68"/>
      <c r="CJ1450" s="68"/>
      <c r="CK1450" s="68"/>
      <c r="CL1450" s="68"/>
      <c r="CM1450" s="68"/>
      <c r="CN1450" s="68"/>
      <c r="CO1450" s="68"/>
      <c r="CP1450" s="68"/>
      <c r="CQ1450" s="68"/>
      <c r="CR1450" s="68"/>
      <c r="CS1450" s="68"/>
      <c r="CT1450" s="68"/>
      <c r="CU1450" s="68"/>
      <c r="CV1450" s="68"/>
      <c r="CW1450" s="68"/>
      <c r="CX1450" s="68"/>
    </row>
    <row r="1451" spans="4:102" s="71" customFormat="1" hidden="1">
      <c r="D1451" s="69"/>
      <c r="E1451" s="68"/>
      <c r="F1451" s="68"/>
      <c r="G1451" s="68"/>
      <c r="H1451" s="68"/>
      <c r="I1451" s="68"/>
      <c r="J1451" s="68"/>
      <c r="K1451" s="73"/>
      <c r="L1451" s="68"/>
      <c r="M1451" s="68"/>
      <c r="N1451" s="68"/>
      <c r="O1451" s="68"/>
      <c r="P1451" s="65"/>
      <c r="Q1451" s="103"/>
      <c r="R1451" s="103"/>
      <c r="S1451" s="103"/>
      <c r="T1451" s="103"/>
      <c r="U1451" s="68"/>
      <c r="V1451" s="68"/>
      <c r="W1451" s="68"/>
      <c r="X1451" s="68"/>
      <c r="Y1451" s="68"/>
      <c r="Z1451" s="68"/>
      <c r="AA1451" s="68"/>
      <c r="AB1451" s="68"/>
      <c r="AC1451" s="68"/>
      <c r="AD1451" s="68"/>
      <c r="AE1451" s="68"/>
      <c r="AF1451" s="68"/>
      <c r="AG1451" s="68"/>
      <c r="AH1451" s="68"/>
      <c r="AI1451" s="68"/>
      <c r="AJ1451" s="68"/>
      <c r="AK1451" s="68"/>
      <c r="AL1451" s="68"/>
      <c r="AM1451" s="68"/>
      <c r="AN1451" s="68"/>
      <c r="AO1451" s="68"/>
      <c r="AP1451" s="68"/>
      <c r="AQ1451" s="68"/>
      <c r="AR1451" s="68"/>
      <c r="AS1451" s="68"/>
      <c r="AT1451" s="68"/>
      <c r="AU1451" s="68"/>
      <c r="AV1451" s="68"/>
      <c r="AW1451" s="68"/>
      <c r="AX1451" s="68"/>
      <c r="AY1451" s="68"/>
      <c r="AZ1451" s="68"/>
      <c r="BA1451" s="68"/>
      <c r="BB1451" s="68"/>
      <c r="BC1451" s="68"/>
      <c r="BD1451" s="68"/>
      <c r="BE1451" s="68"/>
      <c r="BF1451" s="68"/>
      <c r="BG1451" s="68"/>
      <c r="BH1451" s="68"/>
      <c r="BI1451" s="68"/>
      <c r="BJ1451" s="68"/>
      <c r="BK1451" s="68"/>
      <c r="BL1451" s="68"/>
      <c r="BM1451" s="68"/>
      <c r="BN1451" s="68"/>
      <c r="BO1451" s="68"/>
      <c r="BP1451" s="68"/>
      <c r="BQ1451" s="68"/>
      <c r="BR1451" s="68"/>
      <c r="BS1451" s="68"/>
      <c r="BT1451" s="68"/>
      <c r="BU1451" s="68"/>
      <c r="BV1451" s="68"/>
      <c r="BW1451" s="68"/>
      <c r="BX1451" s="68"/>
      <c r="BY1451" s="68"/>
      <c r="BZ1451" s="68"/>
      <c r="CA1451" s="68"/>
      <c r="CB1451" s="68"/>
      <c r="CC1451" s="68"/>
      <c r="CD1451" s="68"/>
      <c r="CE1451" s="68"/>
      <c r="CF1451" s="68"/>
      <c r="CG1451" s="68"/>
      <c r="CH1451" s="68"/>
      <c r="CI1451" s="68"/>
      <c r="CJ1451" s="68"/>
      <c r="CK1451" s="68"/>
      <c r="CL1451" s="68"/>
      <c r="CM1451" s="68"/>
      <c r="CN1451" s="68"/>
      <c r="CO1451" s="68"/>
      <c r="CP1451" s="68"/>
      <c r="CQ1451" s="68"/>
      <c r="CR1451" s="68"/>
      <c r="CS1451" s="68"/>
      <c r="CT1451" s="68"/>
      <c r="CU1451" s="68"/>
      <c r="CV1451" s="68"/>
      <c r="CW1451" s="68"/>
      <c r="CX1451" s="68"/>
    </row>
    <row r="1452" spans="4:102" s="71" customFormat="1" hidden="1">
      <c r="D1452" s="69"/>
      <c r="E1452" s="68"/>
      <c r="F1452" s="68"/>
      <c r="G1452" s="68"/>
      <c r="H1452" s="68"/>
      <c r="I1452" s="68"/>
      <c r="J1452" s="68"/>
      <c r="K1452" s="73"/>
      <c r="L1452" s="68"/>
      <c r="M1452" s="68"/>
      <c r="N1452" s="68"/>
      <c r="O1452" s="68"/>
      <c r="P1452" s="65"/>
      <c r="Q1452" s="103"/>
      <c r="R1452" s="103"/>
      <c r="S1452" s="103"/>
      <c r="T1452" s="103"/>
      <c r="U1452" s="68"/>
      <c r="V1452" s="68"/>
      <c r="W1452" s="68"/>
      <c r="X1452" s="68"/>
      <c r="Y1452" s="68"/>
      <c r="Z1452" s="68"/>
      <c r="AA1452" s="68"/>
      <c r="AB1452" s="68"/>
      <c r="AC1452" s="68"/>
      <c r="AD1452" s="68"/>
      <c r="AE1452" s="68"/>
      <c r="AF1452" s="68"/>
      <c r="AG1452" s="68"/>
      <c r="AH1452" s="68"/>
      <c r="AI1452" s="68"/>
      <c r="AJ1452" s="68"/>
      <c r="AK1452" s="68"/>
      <c r="AL1452" s="68"/>
      <c r="AM1452" s="68"/>
      <c r="AN1452" s="68"/>
      <c r="AO1452" s="68"/>
      <c r="AP1452" s="68"/>
      <c r="AQ1452" s="68"/>
      <c r="AR1452" s="68"/>
      <c r="AS1452" s="68"/>
      <c r="AT1452" s="68"/>
      <c r="AU1452" s="68"/>
      <c r="AV1452" s="68"/>
      <c r="AW1452" s="68"/>
      <c r="AX1452" s="68"/>
      <c r="AY1452" s="68"/>
      <c r="AZ1452" s="68"/>
      <c r="BA1452" s="68"/>
      <c r="BB1452" s="68"/>
      <c r="BC1452" s="68"/>
      <c r="BD1452" s="68"/>
      <c r="BE1452" s="68"/>
      <c r="BF1452" s="68"/>
      <c r="BG1452" s="68"/>
      <c r="BH1452" s="68"/>
      <c r="BI1452" s="68"/>
      <c r="BJ1452" s="68"/>
      <c r="BK1452" s="68"/>
      <c r="BL1452" s="68"/>
      <c r="BM1452" s="68"/>
      <c r="BN1452" s="68"/>
      <c r="BO1452" s="68"/>
      <c r="BP1452" s="68"/>
      <c r="BQ1452" s="68"/>
      <c r="BR1452" s="68"/>
      <c r="BS1452" s="68"/>
      <c r="BT1452" s="68"/>
      <c r="BU1452" s="68"/>
      <c r="BV1452" s="68"/>
      <c r="BW1452" s="68"/>
      <c r="BX1452" s="68"/>
      <c r="BY1452" s="68"/>
      <c r="BZ1452" s="68"/>
      <c r="CA1452" s="68"/>
      <c r="CB1452" s="68"/>
      <c r="CC1452" s="68"/>
      <c r="CD1452" s="68"/>
      <c r="CE1452" s="68"/>
      <c r="CF1452" s="68"/>
      <c r="CG1452" s="68"/>
      <c r="CH1452" s="68"/>
      <c r="CI1452" s="68"/>
      <c r="CJ1452" s="68"/>
      <c r="CK1452" s="68"/>
      <c r="CL1452" s="68"/>
      <c r="CM1452" s="68"/>
      <c r="CN1452" s="68"/>
      <c r="CO1452" s="68"/>
      <c r="CP1452" s="68"/>
      <c r="CQ1452" s="68"/>
      <c r="CR1452" s="68"/>
      <c r="CS1452" s="68"/>
      <c r="CT1452" s="68"/>
      <c r="CU1452" s="68"/>
      <c r="CV1452" s="68"/>
      <c r="CW1452" s="68"/>
      <c r="CX1452" s="68"/>
    </row>
    <row r="1453" spans="4:102" s="71" customFormat="1" hidden="1">
      <c r="D1453" s="69"/>
      <c r="E1453" s="68"/>
      <c r="F1453" s="68"/>
      <c r="G1453" s="68"/>
      <c r="H1453" s="68"/>
      <c r="I1453" s="68"/>
      <c r="J1453" s="68"/>
      <c r="K1453" s="73"/>
      <c r="L1453" s="68"/>
      <c r="M1453" s="68"/>
      <c r="N1453" s="68"/>
      <c r="O1453" s="68"/>
      <c r="P1453" s="65"/>
      <c r="Q1453" s="103"/>
      <c r="R1453" s="103"/>
      <c r="S1453" s="103"/>
      <c r="T1453" s="103"/>
      <c r="U1453" s="68"/>
      <c r="V1453" s="68"/>
      <c r="W1453" s="68"/>
      <c r="X1453" s="68"/>
      <c r="Y1453" s="68"/>
      <c r="Z1453" s="68"/>
      <c r="AA1453" s="68"/>
      <c r="AB1453" s="68"/>
      <c r="AC1453" s="68"/>
      <c r="AD1453" s="68"/>
      <c r="AE1453" s="68"/>
      <c r="AF1453" s="68"/>
      <c r="AG1453" s="68"/>
      <c r="AH1453" s="68"/>
      <c r="AI1453" s="68"/>
      <c r="AJ1453" s="68"/>
      <c r="AK1453" s="68"/>
      <c r="AL1453" s="68"/>
      <c r="AM1453" s="68"/>
      <c r="AN1453" s="68"/>
      <c r="AO1453" s="68"/>
      <c r="AP1453" s="68"/>
      <c r="AQ1453" s="68"/>
      <c r="AR1453" s="68"/>
      <c r="AS1453" s="68"/>
      <c r="AT1453" s="68"/>
      <c r="AU1453" s="68"/>
      <c r="AV1453" s="68"/>
      <c r="AW1453" s="68"/>
      <c r="AX1453" s="68"/>
      <c r="AY1453" s="68"/>
      <c r="AZ1453" s="68"/>
      <c r="BA1453" s="68"/>
      <c r="BB1453" s="68"/>
      <c r="BC1453" s="68"/>
      <c r="BD1453" s="68"/>
      <c r="BE1453" s="68"/>
      <c r="BF1453" s="68"/>
      <c r="BG1453" s="68"/>
      <c r="BH1453" s="68"/>
      <c r="BI1453" s="68"/>
      <c r="BJ1453" s="68"/>
      <c r="BK1453" s="68"/>
      <c r="BL1453" s="68"/>
      <c r="BM1453" s="68"/>
      <c r="BN1453" s="68"/>
      <c r="BO1453" s="68"/>
      <c r="BP1453" s="68"/>
      <c r="BQ1453" s="68"/>
      <c r="BR1453" s="68"/>
      <c r="BS1453" s="68"/>
      <c r="BT1453" s="68"/>
      <c r="BU1453" s="68"/>
      <c r="BV1453" s="68"/>
      <c r="BW1453" s="68"/>
      <c r="BX1453" s="68"/>
      <c r="BY1453" s="68"/>
      <c r="BZ1453" s="68"/>
      <c r="CA1453" s="68"/>
      <c r="CB1453" s="68"/>
      <c r="CC1453" s="68"/>
      <c r="CD1453" s="68"/>
      <c r="CE1453" s="68"/>
      <c r="CF1453" s="68"/>
      <c r="CG1453" s="68"/>
      <c r="CH1453" s="68"/>
      <c r="CI1453" s="68"/>
      <c r="CJ1453" s="68"/>
      <c r="CK1453" s="68"/>
      <c r="CL1453" s="68"/>
      <c r="CM1453" s="68"/>
      <c r="CN1453" s="68"/>
      <c r="CO1453" s="68"/>
      <c r="CP1453" s="68"/>
      <c r="CQ1453" s="68"/>
      <c r="CR1453" s="68"/>
      <c r="CS1453" s="68"/>
      <c r="CT1453" s="68"/>
      <c r="CU1453" s="68"/>
      <c r="CV1453" s="68"/>
      <c r="CW1453" s="68"/>
      <c r="CX1453" s="68"/>
    </row>
    <row r="1454" spans="4:102" s="71" customFormat="1" hidden="1">
      <c r="D1454" s="69"/>
      <c r="E1454" s="68"/>
      <c r="F1454" s="68"/>
      <c r="G1454" s="68"/>
      <c r="H1454" s="68"/>
      <c r="I1454" s="68"/>
      <c r="J1454" s="68"/>
      <c r="K1454" s="73"/>
      <c r="L1454" s="68"/>
      <c r="M1454" s="68"/>
      <c r="N1454" s="68"/>
      <c r="O1454" s="68"/>
      <c r="P1454" s="65"/>
      <c r="Q1454" s="103"/>
      <c r="R1454" s="103"/>
      <c r="S1454" s="103"/>
      <c r="T1454" s="103"/>
      <c r="U1454" s="68"/>
      <c r="V1454" s="68"/>
      <c r="W1454" s="68"/>
      <c r="X1454" s="68"/>
      <c r="Y1454" s="68"/>
      <c r="Z1454" s="68"/>
      <c r="AA1454" s="68"/>
      <c r="AB1454" s="68"/>
      <c r="AC1454" s="68"/>
      <c r="AD1454" s="68"/>
      <c r="AE1454" s="68"/>
      <c r="AF1454" s="68"/>
      <c r="AG1454" s="68"/>
      <c r="AH1454" s="68"/>
      <c r="AI1454" s="68"/>
      <c r="AJ1454" s="68"/>
      <c r="AK1454" s="68"/>
      <c r="AL1454" s="68"/>
      <c r="AM1454" s="68"/>
      <c r="AN1454" s="68"/>
      <c r="AO1454" s="68"/>
      <c r="AP1454" s="68"/>
      <c r="AQ1454" s="68"/>
      <c r="AR1454" s="68"/>
      <c r="AS1454" s="68"/>
      <c r="AT1454" s="68"/>
      <c r="AU1454" s="68"/>
      <c r="AV1454" s="68"/>
      <c r="AW1454" s="68"/>
      <c r="AX1454" s="68"/>
      <c r="AY1454" s="68"/>
      <c r="AZ1454" s="68"/>
      <c r="BA1454" s="68"/>
      <c r="BB1454" s="68"/>
      <c r="BC1454" s="68"/>
      <c r="BD1454" s="68"/>
      <c r="BE1454" s="68"/>
      <c r="BF1454" s="68"/>
      <c r="BG1454" s="68"/>
      <c r="BH1454" s="68"/>
      <c r="BI1454" s="68"/>
      <c r="BJ1454" s="68"/>
      <c r="BK1454" s="68"/>
      <c r="BL1454" s="68"/>
      <c r="BM1454" s="68"/>
      <c r="BN1454" s="68"/>
      <c r="BO1454" s="68"/>
      <c r="BP1454" s="68"/>
      <c r="BQ1454" s="68"/>
      <c r="BR1454" s="68"/>
      <c r="BS1454" s="68"/>
      <c r="BT1454" s="68"/>
      <c r="BU1454" s="68"/>
      <c r="BV1454" s="68"/>
      <c r="BW1454" s="68"/>
      <c r="BX1454" s="68"/>
      <c r="BY1454" s="68"/>
      <c r="BZ1454" s="68"/>
      <c r="CA1454" s="68"/>
      <c r="CB1454" s="68"/>
      <c r="CC1454" s="68"/>
      <c r="CD1454" s="68"/>
      <c r="CE1454" s="68"/>
      <c r="CF1454" s="68"/>
      <c r="CG1454" s="68"/>
      <c r="CH1454" s="68"/>
      <c r="CI1454" s="68"/>
      <c r="CJ1454" s="68"/>
      <c r="CK1454" s="68"/>
      <c r="CL1454" s="68"/>
      <c r="CM1454" s="68"/>
      <c r="CN1454" s="68"/>
      <c r="CO1454" s="68"/>
      <c r="CP1454" s="68"/>
      <c r="CQ1454" s="68"/>
      <c r="CR1454" s="68"/>
      <c r="CS1454" s="68"/>
      <c r="CT1454" s="68"/>
      <c r="CU1454" s="68"/>
      <c r="CV1454" s="68"/>
      <c r="CW1454" s="68"/>
      <c r="CX1454" s="68"/>
    </row>
    <row r="1455" spans="4:102" s="71" customFormat="1" hidden="1">
      <c r="D1455" s="69"/>
      <c r="E1455" s="68"/>
      <c r="F1455" s="68"/>
      <c r="G1455" s="68"/>
      <c r="H1455" s="68"/>
      <c r="I1455" s="68"/>
      <c r="J1455" s="68"/>
      <c r="K1455" s="73"/>
      <c r="L1455" s="68"/>
      <c r="M1455" s="68"/>
      <c r="N1455" s="68"/>
      <c r="O1455" s="68"/>
      <c r="P1455" s="65"/>
      <c r="Q1455" s="103"/>
      <c r="R1455" s="103"/>
      <c r="S1455" s="103"/>
      <c r="T1455" s="103"/>
      <c r="U1455" s="68"/>
      <c r="V1455" s="68"/>
      <c r="W1455" s="68"/>
      <c r="X1455" s="68"/>
      <c r="Y1455" s="68"/>
      <c r="Z1455" s="68"/>
      <c r="AA1455" s="68"/>
      <c r="AB1455" s="68"/>
      <c r="AC1455" s="68"/>
      <c r="AD1455" s="68"/>
      <c r="AE1455" s="68"/>
      <c r="AF1455" s="68"/>
      <c r="AG1455" s="68"/>
      <c r="AH1455" s="68"/>
      <c r="AI1455" s="68"/>
      <c r="AJ1455" s="68"/>
      <c r="AK1455" s="68"/>
      <c r="AL1455" s="68"/>
      <c r="AM1455" s="68"/>
      <c r="AN1455" s="68"/>
      <c r="AO1455" s="68"/>
      <c r="AP1455" s="68"/>
      <c r="AQ1455" s="68"/>
      <c r="AR1455" s="68"/>
      <c r="AS1455" s="68"/>
      <c r="AT1455" s="68"/>
      <c r="AU1455" s="68"/>
      <c r="AV1455" s="68"/>
      <c r="AW1455" s="68"/>
      <c r="AX1455" s="68"/>
      <c r="AY1455" s="68"/>
      <c r="AZ1455" s="68"/>
      <c r="BA1455" s="68"/>
      <c r="BB1455" s="68"/>
      <c r="BC1455" s="68"/>
      <c r="BD1455" s="68"/>
      <c r="BE1455" s="68"/>
      <c r="BF1455" s="68"/>
      <c r="BG1455" s="68"/>
      <c r="BH1455" s="68"/>
      <c r="BI1455" s="68"/>
      <c r="BJ1455" s="68"/>
      <c r="BK1455" s="68"/>
      <c r="BL1455" s="68"/>
      <c r="BM1455" s="68"/>
      <c r="BN1455" s="68"/>
      <c r="BO1455" s="68"/>
      <c r="BP1455" s="68"/>
      <c r="BQ1455" s="68"/>
      <c r="BR1455" s="68"/>
      <c r="BS1455" s="68"/>
      <c r="BT1455" s="68"/>
      <c r="BU1455" s="68"/>
      <c r="BV1455" s="68"/>
      <c r="BW1455" s="68"/>
      <c r="BX1455" s="68"/>
      <c r="BY1455" s="68"/>
      <c r="BZ1455" s="68"/>
      <c r="CA1455" s="68"/>
      <c r="CB1455" s="68"/>
      <c r="CC1455" s="68"/>
      <c r="CD1455" s="68"/>
      <c r="CE1455" s="68"/>
      <c r="CF1455" s="68"/>
      <c r="CG1455" s="68"/>
      <c r="CH1455" s="68"/>
      <c r="CI1455" s="68"/>
      <c r="CJ1455" s="68"/>
      <c r="CK1455" s="68"/>
      <c r="CL1455" s="68"/>
      <c r="CM1455" s="68"/>
      <c r="CN1455" s="68"/>
      <c r="CO1455" s="68"/>
      <c r="CP1455" s="68"/>
      <c r="CQ1455" s="68"/>
      <c r="CR1455" s="68"/>
      <c r="CS1455" s="68"/>
      <c r="CT1455" s="68"/>
      <c r="CU1455" s="68"/>
      <c r="CV1455" s="68"/>
      <c r="CW1455" s="68"/>
      <c r="CX1455" s="68"/>
    </row>
    <row r="1456" spans="4:102" s="71" customFormat="1" hidden="1">
      <c r="D1456" s="69"/>
      <c r="E1456" s="68"/>
      <c r="F1456" s="68"/>
      <c r="G1456" s="68"/>
      <c r="H1456" s="68"/>
      <c r="I1456" s="68"/>
      <c r="J1456" s="68"/>
      <c r="K1456" s="73"/>
      <c r="L1456" s="68"/>
      <c r="M1456" s="68"/>
      <c r="N1456" s="68"/>
      <c r="O1456" s="68"/>
      <c r="P1456" s="65"/>
      <c r="Q1456" s="103"/>
      <c r="R1456" s="103"/>
      <c r="S1456" s="103"/>
      <c r="T1456" s="103"/>
      <c r="U1456" s="68"/>
      <c r="V1456" s="68"/>
      <c r="W1456" s="68"/>
      <c r="X1456" s="68"/>
      <c r="Y1456" s="68"/>
      <c r="Z1456" s="68"/>
      <c r="AA1456" s="68"/>
      <c r="AB1456" s="68"/>
      <c r="AC1456" s="68"/>
      <c r="AD1456" s="68"/>
      <c r="AE1456" s="68"/>
      <c r="AF1456" s="68"/>
      <c r="AG1456" s="68"/>
      <c r="AH1456" s="68"/>
      <c r="AI1456" s="68"/>
      <c r="AJ1456" s="68"/>
      <c r="AK1456" s="68"/>
      <c r="AL1456" s="68"/>
      <c r="AM1456" s="68"/>
      <c r="AN1456" s="68"/>
      <c r="AO1456" s="68"/>
      <c r="AP1456" s="68"/>
      <c r="AQ1456" s="68"/>
      <c r="AR1456" s="68"/>
      <c r="AS1456" s="68"/>
      <c r="AT1456" s="68"/>
      <c r="AU1456" s="68"/>
      <c r="AV1456" s="68"/>
      <c r="AW1456" s="68"/>
      <c r="AX1456" s="68"/>
      <c r="AY1456" s="68"/>
      <c r="AZ1456" s="68"/>
      <c r="BA1456" s="68"/>
      <c r="BB1456" s="68"/>
      <c r="BC1456" s="68"/>
      <c r="BD1456" s="68"/>
      <c r="BE1456" s="68"/>
      <c r="BF1456" s="68"/>
      <c r="BG1456" s="68"/>
      <c r="BH1456" s="68"/>
      <c r="BI1456" s="68"/>
      <c r="BJ1456" s="68"/>
      <c r="BK1456" s="68"/>
      <c r="BL1456" s="68"/>
      <c r="BM1456" s="68"/>
      <c r="BN1456" s="68"/>
      <c r="BO1456" s="68"/>
      <c r="BP1456" s="68"/>
      <c r="BQ1456" s="68"/>
      <c r="BR1456" s="68"/>
      <c r="BS1456" s="68"/>
      <c r="BT1456" s="68"/>
      <c r="BU1456" s="68"/>
      <c r="BV1456" s="68"/>
      <c r="BW1456" s="68"/>
      <c r="BX1456" s="68"/>
      <c r="BY1456" s="68"/>
      <c r="BZ1456" s="68"/>
      <c r="CA1456" s="68"/>
      <c r="CB1456" s="68"/>
      <c r="CC1456" s="68"/>
      <c r="CD1456" s="68"/>
      <c r="CE1456" s="68"/>
      <c r="CF1456" s="68"/>
      <c r="CG1456" s="68"/>
      <c r="CH1456" s="68"/>
      <c r="CI1456" s="68"/>
      <c r="CJ1456" s="68"/>
      <c r="CK1456" s="68"/>
      <c r="CL1456" s="68"/>
      <c r="CM1456" s="68"/>
      <c r="CN1456" s="68"/>
      <c r="CO1456" s="68"/>
      <c r="CP1456" s="68"/>
      <c r="CQ1456" s="68"/>
      <c r="CR1456" s="68"/>
      <c r="CS1456" s="68"/>
      <c r="CT1456" s="68"/>
      <c r="CU1456" s="68"/>
      <c r="CV1456" s="68"/>
      <c r="CW1456" s="68"/>
      <c r="CX1456" s="68"/>
    </row>
    <row r="1457" spans="4:102" s="71" customFormat="1" hidden="1">
      <c r="D1457" s="69"/>
      <c r="E1457" s="68"/>
      <c r="F1457" s="68"/>
      <c r="G1457" s="68"/>
      <c r="H1457" s="68"/>
      <c r="I1457" s="68"/>
      <c r="J1457" s="68"/>
      <c r="K1457" s="73"/>
      <c r="L1457" s="68"/>
      <c r="M1457" s="68"/>
      <c r="N1457" s="68"/>
      <c r="O1457" s="68"/>
      <c r="P1457" s="65"/>
      <c r="Q1457" s="103"/>
      <c r="R1457" s="103"/>
      <c r="S1457" s="103"/>
      <c r="T1457" s="103"/>
      <c r="U1457" s="68"/>
      <c r="V1457" s="68"/>
      <c r="W1457" s="68"/>
      <c r="X1457" s="68"/>
      <c r="Y1457" s="68"/>
      <c r="Z1457" s="68"/>
      <c r="AA1457" s="68"/>
      <c r="AB1457" s="68"/>
      <c r="AC1457" s="68"/>
      <c r="AD1457" s="68"/>
      <c r="AE1457" s="68"/>
      <c r="AF1457" s="68"/>
      <c r="AG1457" s="68"/>
      <c r="AH1457" s="68"/>
      <c r="AI1457" s="68"/>
      <c r="AJ1457" s="68"/>
      <c r="AK1457" s="68"/>
      <c r="AL1457" s="68"/>
      <c r="AM1457" s="68"/>
      <c r="AN1457" s="68"/>
      <c r="AO1457" s="68"/>
      <c r="AP1457" s="68"/>
      <c r="AQ1457" s="68"/>
      <c r="AR1457" s="68"/>
      <c r="AS1457" s="68"/>
      <c r="AT1457" s="68"/>
      <c r="AU1457" s="68"/>
      <c r="AV1457" s="68"/>
      <c r="AW1457" s="68"/>
      <c r="AX1457" s="68"/>
      <c r="AY1457" s="68"/>
      <c r="AZ1457" s="68"/>
      <c r="BA1457" s="68"/>
      <c r="BB1457" s="68"/>
      <c r="BC1457" s="68"/>
      <c r="BD1457" s="68"/>
      <c r="BE1457" s="68"/>
      <c r="BF1457" s="68"/>
      <c r="BG1457" s="68"/>
      <c r="BH1457" s="68"/>
      <c r="BI1457" s="68"/>
      <c r="BJ1457" s="68"/>
      <c r="BK1457" s="68"/>
      <c r="BL1457" s="68"/>
      <c r="BM1457" s="68"/>
      <c r="BN1457" s="68"/>
      <c r="BO1457" s="68"/>
      <c r="BP1457" s="68"/>
      <c r="BQ1457" s="68"/>
      <c r="BR1457" s="68"/>
      <c r="BS1457" s="68"/>
      <c r="BT1457" s="68"/>
      <c r="BU1457" s="68"/>
      <c r="BV1457" s="68"/>
      <c r="BW1457" s="68"/>
      <c r="BX1457" s="68"/>
      <c r="BY1457" s="68"/>
      <c r="BZ1457" s="68"/>
      <c r="CA1457" s="68"/>
      <c r="CB1457" s="68"/>
      <c r="CC1457" s="68"/>
      <c r="CD1457" s="68"/>
      <c r="CE1457" s="68"/>
      <c r="CF1457" s="68"/>
      <c r="CG1457" s="68"/>
      <c r="CH1457" s="68"/>
      <c r="CI1457" s="68"/>
      <c r="CJ1457" s="68"/>
      <c r="CK1457" s="68"/>
      <c r="CL1457" s="68"/>
      <c r="CM1457" s="68"/>
      <c r="CN1457" s="68"/>
      <c r="CO1457" s="68"/>
      <c r="CP1457" s="68"/>
      <c r="CQ1457" s="68"/>
      <c r="CR1457" s="68"/>
      <c r="CS1457" s="68"/>
      <c r="CT1457" s="68"/>
      <c r="CU1457" s="68"/>
      <c r="CV1457" s="68"/>
      <c r="CW1457" s="68"/>
      <c r="CX1457" s="68"/>
    </row>
    <row r="1458" spans="4:102" s="71" customFormat="1" hidden="1">
      <c r="D1458" s="69"/>
      <c r="E1458" s="68"/>
      <c r="F1458" s="68"/>
      <c r="G1458" s="68"/>
      <c r="H1458" s="68"/>
      <c r="I1458" s="68"/>
      <c r="J1458" s="68"/>
      <c r="K1458" s="73"/>
      <c r="L1458" s="68"/>
      <c r="M1458" s="68"/>
      <c r="N1458" s="68"/>
      <c r="O1458" s="68"/>
      <c r="P1458" s="65"/>
      <c r="Q1458" s="103"/>
      <c r="R1458" s="103"/>
      <c r="S1458" s="103"/>
      <c r="T1458" s="103"/>
      <c r="U1458" s="68"/>
      <c r="V1458" s="68"/>
      <c r="W1458" s="68"/>
      <c r="X1458" s="68"/>
      <c r="Y1458" s="68"/>
      <c r="Z1458" s="68"/>
      <c r="AA1458" s="68"/>
      <c r="AB1458" s="68"/>
      <c r="AC1458" s="68"/>
      <c r="AD1458" s="68"/>
      <c r="AE1458" s="68"/>
      <c r="AF1458" s="68"/>
      <c r="AG1458" s="68"/>
      <c r="AH1458" s="68"/>
      <c r="AI1458" s="68"/>
      <c r="AJ1458" s="68"/>
      <c r="AK1458" s="68"/>
      <c r="AL1458" s="68"/>
      <c r="AM1458" s="68"/>
      <c r="AN1458" s="68"/>
      <c r="AO1458" s="68"/>
      <c r="AP1458" s="68"/>
      <c r="AQ1458" s="68"/>
      <c r="AR1458" s="68"/>
      <c r="AS1458" s="68"/>
      <c r="AT1458" s="68"/>
      <c r="AU1458" s="68"/>
      <c r="AV1458" s="68"/>
      <c r="AW1458" s="68"/>
      <c r="AX1458" s="68"/>
      <c r="AY1458" s="68"/>
      <c r="AZ1458" s="68"/>
      <c r="BA1458" s="68"/>
      <c r="BB1458" s="68"/>
      <c r="BC1458" s="68"/>
      <c r="BD1458" s="68"/>
      <c r="BE1458" s="68"/>
      <c r="BF1458" s="68"/>
      <c r="BG1458" s="68"/>
      <c r="BH1458" s="68"/>
      <c r="BI1458" s="68"/>
      <c r="BJ1458" s="68"/>
      <c r="BK1458" s="68"/>
      <c r="BL1458" s="68"/>
      <c r="BM1458" s="68"/>
      <c r="BN1458" s="68"/>
      <c r="BO1458" s="68"/>
      <c r="BP1458" s="68"/>
      <c r="BQ1458" s="68"/>
      <c r="BR1458" s="68"/>
      <c r="BS1458" s="68"/>
      <c r="BT1458" s="68"/>
      <c r="BU1458" s="68"/>
      <c r="BV1458" s="68"/>
      <c r="BW1458" s="68"/>
      <c r="BX1458" s="68"/>
      <c r="BY1458" s="68"/>
      <c r="BZ1458" s="68"/>
      <c r="CA1458" s="68"/>
      <c r="CB1458" s="68"/>
      <c r="CC1458" s="68"/>
      <c r="CD1458" s="68"/>
      <c r="CE1458" s="68"/>
      <c r="CF1458" s="68"/>
      <c r="CG1458" s="68"/>
      <c r="CH1458" s="68"/>
      <c r="CI1458" s="68"/>
      <c r="CJ1458" s="68"/>
      <c r="CK1458" s="68"/>
      <c r="CL1458" s="68"/>
      <c r="CM1458" s="68"/>
      <c r="CN1458" s="68"/>
      <c r="CO1458" s="68"/>
      <c r="CP1458" s="68"/>
      <c r="CQ1458" s="68"/>
      <c r="CR1458" s="68"/>
      <c r="CS1458" s="68"/>
      <c r="CT1458" s="68"/>
      <c r="CU1458" s="68"/>
      <c r="CV1458" s="68"/>
      <c r="CW1458" s="68"/>
      <c r="CX1458" s="68"/>
    </row>
    <row r="1459" spans="4:102" s="71" customFormat="1" hidden="1">
      <c r="D1459" s="69"/>
      <c r="E1459" s="68"/>
      <c r="F1459" s="68"/>
      <c r="G1459" s="68"/>
      <c r="H1459" s="68"/>
      <c r="I1459" s="68"/>
      <c r="J1459" s="68"/>
      <c r="K1459" s="73"/>
      <c r="L1459" s="68"/>
      <c r="M1459" s="68"/>
      <c r="N1459" s="68"/>
      <c r="O1459" s="68"/>
      <c r="P1459" s="65"/>
      <c r="Q1459" s="103"/>
      <c r="R1459" s="103"/>
      <c r="S1459" s="103"/>
      <c r="T1459" s="103"/>
      <c r="U1459" s="68"/>
      <c r="V1459" s="68"/>
      <c r="W1459" s="68"/>
      <c r="X1459" s="68"/>
      <c r="Y1459" s="68"/>
      <c r="Z1459" s="68"/>
      <c r="AA1459" s="68"/>
      <c r="AB1459" s="68"/>
      <c r="AC1459" s="68"/>
      <c r="AD1459" s="68"/>
      <c r="AE1459" s="68"/>
      <c r="AF1459" s="68"/>
      <c r="AG1459" s="68"/>
      <c r="AH1459" s="68"/>
      <c r="AI1459" s="68"/>
      <c r="AJ1459" s="68"/>
      <c r="AK1459" s="68"/>
      <c r="AL1459" s="68"/>
      <c r="AM1459" s="68"/>
      <c r="AN1459" s="68"/>
      <c r="AO1459" s="68"/>
      <c r="AP1459" s="68"/>
      <c r="AQ1459" s="68"/>
      <c r="AR1459" s="68"/>
      <c r="AS1459" s="68"/>
      <c r="AT1459" s="68"/>
      <c r="AU1459" s="68"/>
      <c r="AV1459" s="68"/>
      <c r="AW1459" s="68"/>
      <c r="AX1459" s="68"/>
      <c r="AY1459" s="68"/>
      <c r="AZ1459" s="68"/>
      <c r="BA1459" s="68"/>
      <c r="BB1459" s="68"/>
      <c r="BC1459" s="68"/>
      <c r="BD1459" s="68"/>
      <c r="BE1459" s="68"/>
      <c r="BF1459" s="68"/>
      <c r="BG1459" s="68"/>
      <c r="BH1459" s="68"/>
      <c r="BI1459" s="68"/>
      <c r="BJ1459" s="68"/>
      <c r="BK1459" s="68"/>
      <c r="BL1459" s="68"/>
      <c r="BM1459" s="68"/>
      <c r="BN1459" s="68"/>
      <c r="BO1459" s="68"/>
      <c r="BP1459" s="68"/>
      <c r="BQ1459" s="68"/>
      <c r="BR1459" s="68"/>
      <c r="BS1459" s="68"/>
      <c r="BT1459" s="68"/>
      <c r="BU1459" s="68"/>
      <c r="BV1459" s="68"/>
      <c r="BW1459" s="68"/>
      <c r="BX1459" s="68"/>
      <c r="BY1459" s="68"/>
      <c r="BZ1459" s="68"/>
      <c r="CA1459" s="68"/>
      <c r="CB1459" s="68"/>
      <c r="CC1459" s="68"/>
      <c r="CD1459" s="68"/>
      <c r="CE1459" s="68"/>
      <c r="CF1459" s="68"/>
      <c r="CG1459" s="68"/>
      <c r="CH1459" s="68"/>
      <c r="CI1459" s="68"/>
      <c r="CJ1459" s="68"/>
      <c r="CK1459" s="68"/>
      <c r="CL1459" s="68"/>
      <c r="CM1459" s="68"/>
      <c r="CN1459" s="68"/>
      <c r="CO1459" s="68"/>
      <c r="CP1459" s="68"/>
      <c r="CQ1459" s="68"/>
      <c r="CR1459" s="68"/>
      <c r="CS1459" s="68"/>
      <c r="CT1459" s="68"/>
      <c r="CU1459" s="68"/>
      <c r="CV1459" s="68"/>
      <c r="CW1459" s="68"/>
      <c r="CX1459" s="68"/>
    </row>
    <row r="1460" spans="4:102" s="71" customFormat="1" hidden="1">
      <c r="D1460" s="69"/>
      <c r="E1460" s="68"/>
      <c r="F1460" s="68"/>
      <c r="G1460" s="68"/>
      <c r="H1460" s="68"/>
      <c r="I1460" s="68"/>
      <c r="J1460" s="68"/>
      <c r="K1460" s="73"/>
      <c r="L1460" s="68"/>
      <c r="M1460" s="68"/>
      <c r="N1460" s="68"/>
      <c r="O1460" s="68"/>
      <c r="P1460" s="65"/>
      <c r="Q1460" s="103"/>
      <c r="R1460" s="103"/>
      <c r="S1460" s="103"/>
      <c r="T1460" s="103"/>
      <c r="U1460" s="68"/>
      <c r="V1460" s="68"/>
      <c r="W1460" s="68"/>
      <c r="X1460" s="68"/>
      <c r="Y1460" s="68"/>
      <c r="Z1460" s="68"/>
      <c r="AA1460" s="68"/>
      <c r="AB1460" s="68"/>
      <c r="AC1460" s="68"/>
      <c r="AD1460" s="68"/>
      <c r="AE1460" s="68"/>
      <c r="AF1460" s="68"/>
      <c r="AG1460" s="68"/>
      <c r="AH1460" s="68"/>
      <c r="AI1460" s="68"/>
      <c r="AJ1460" s="68"/>
      <c r="AK1460" s="68"/>
      <c r="AL1460" s="68"/>
      <c r="AM1460" s="68"/>
      <c r="AN1460" s="68"/>
      <c r="AO1460" s="68"/>
      <c r="AP1460" s="68"/>
      <c r="AQ1460" s="68"/>
      <c r="AR1460" s="68"/>
      <c r="AS1460" s="68"/>
      <c r="AT1460" s="68"/>
      <c r="AU1460" s="68"/>
      <c r="AV1460" s="68"/>
      <c r="AW1460" s="68"/>
      <c r="AX1460" s="68"/>
      <c r="AY1460" s="68"/>
      <c r="AZ1460" s="68"/>
      <c r="BA1460" s="68"/>
      <c r="BB1460" s="68"/>
      <c r="BC1460" s="68"/>
      <c r="BD1460" s="68"/>
      <c r="BE1460" s="68"/>
      <c r="BF1460" s="68"/>
      <c r="BG1460" s="68"/>
      <c r="BH1460" s="68"/>
      <c r="BI1460" s="68"/>
      <c r="BJ1460" s="68"/>
      <c r="BK1460" s="68"/>
      <c r="BL1460" s="68"/>
      <c r="BM1460" s="68"/>
      <c r="BN1460" s="68"/>
      <c r="BO1460" s="68"/>
      <c r="BP1460" s="68"/>
      <c r="BQ1460" s="68"/>
      <c r="BR1460" s="68"/>
      <c r="BS1460" s="68"/>
      <c r="BT1460" s="68"/>
      <c r="BU1460" s="68"/>
      <c r="BV1460" s="68"/>
      <c r="BW1460" s="68"/>
      <c r="BX1460" s="68"/>
      <c r="BY1460" s="68"/>
      <c r="BZ1460" s="68"/>
      <c r="CA1460" s="68"/>
      <c r="CB1460" s="68"/>
      <c r="CC1460" s="68"/>
      <c r="CD1460" s="68"/>
      <c r="CE1460" s="68"/>
      <c r="CF1460" s="68"/>
      <c r="CG1460" s="68"/>
      <c r="CH1460" s="68"/>
      <c r="CI1460" s="68"/>
      <c r="CJ1460" s="68"/>
      <c r="CK1460" s="68"/>
      <c r="CL1460" s="68"/>
      <c r="CM1460" s="68"/>
      <c r="CN1460" s="68"/>
      <c r="CO1460" s="68"/>
      <c r="CP1460" s="68"/>
      <c r="CQ1460" s="68"/>
      <c r="CR1460" s="68"/>
      <c r="CS1460" s="68"/>
      <c r="CT1460" s="68"/>
      <c r="CU1460" s="68"/>
      <c r="CV1460" s="68"/>
      <c r="CW1460" s="68"/>
      <c r="CX1460" s="68"/>
    </row>
    <row r="1461" spans="4:102" s="71" customFormat="1" hidden="1">
      <c r="D1461" s="69"/>
      <c r="E1461" s="68"/>
      <c r="F1461" s="68"/>
      <c r="G1461" s="68"/>
      <c r="H1461" s="68"/>
      <c r="I1461" s="68"/>
      <c r="J1461" s="68"/>
      <c r="K1461" s="73"/>
      <c r="L1461" s="68"/>
      <c r="M1461" s="68"/>
      <c r="N1461" s="68"/>
      <c r="O1461" s="68"/>
      <c r="P1461" s="65"/>
      <c r="Q1461" s="103"/>
      <c r="R1461" s="103"/>
      <c r="S1461" s="103"/>
      <c r="T1461" s="103"/>
      <c r="U1461" s="68"/>
      <c r="V1461" s="68"/>
      <c r="W1461" s="68"/>
      <c r="X1461" s="68"/>
      <c r="Y1461" s="68"/>
      <c r="Z1461" s="68"/>
      <c r="AA1461" s="68"/>
      <c r="AB1461" s="68"/>
      <c r="AC1461" s="68"/>
      <c r="AD1461" s="68"/>
      <c r="AE1461" s="68"/>
      <c r="AF1461" s="68"/>
      <c r="AG1461" s="68"/>
      <c r="AH1461" s="68"/>
      <c r="AI1461" s="68"/>
      <c r="AJ1461" s="68"/>
      <c r="AK1461" s="68"/>
      <c r="AL1461" s="68"/>
      <c r="AM1461" s="68"/>
      <c r="AN1461" s="68"/>
      <c r="AO1461" s="68"/>
      <c r="AP1461" s="68"/>
      <c r="AQ1461" s="68"/>
      <c r="AR1461" s="68"/>
      <c r="AS1461" s="68"/>
      <c r="AT1461" s="68"/>
      <c r="AU1461" s="68"/>
      <c r="AV1461" s="68"/>
      <c r="AW1461" s="68"/>
      <c r="AX1461" s="68"/>
      <c r="AY1461" s="68"/>
      <c r="AZ1461" s="68"/>
      <c r="BA1461" s="68"/>
      <c r="BB1461" s="68"/>
      <c r="BC1461" s="68"/>
      <c r="BD1461" s="68"/>
      <c r="BE1461" s="68"/>
      <c r="BF1461" s="68"/>
      <c r="BG1461" s="68"/>
      <c r="BH1461" s="68"/>
      <c r="BI1461" s="68"/>
      <c r="BJ1461" s="68"/>
      <c r="BK1461" s="68"/>
      <c r="BL1461" s="68"/>
      <c r="BM1461" s="68"/>
      <c r="BN1461" s="68"/>
      <c r="BO1461" s="68"/>
      <c r="BP1461" s="68"/>
      <c r="BQ1461" s="68"/>
      <c r="BR1461" s="68"/>
      <c r="BS1461" s="68"/>
      <c r="BT1461" s="68"/>
      <c r="BU1461" s="68"/>
      <c r="BV1461" s="68"/>
      <c r="BW1461" s="68"/>
      <c r="BX1461" s="68"/>
      <c r="BY1461" s="68"/>
      <c r="BZ1461" s="68"/>
      <c r="CA1461" s="68"/>
      <c r="CB1461" s="68"/>
      <c r="CC1461" s="68"/>
      <c r="CD1461" s="68"/>
      <c r="CE1461" s="68"/>
      <c r="CF1461" s="68"/>
      <c r="CG1461" s="68"/>
      <c r="CH1461" s="68"/>
      <c r="CI1461" s="68"/>
      <c r="CJ1461" s="68"/>
      <c r="CK1461" s="68"/>
      <c r="CL1461" s="68"/>
      <c r="CM1461" s="68"/>
      <c r="CN1461" s="68"/>
      <c r="CO1461" s="68"/>
      <c r="CP1461" s="68"/>
      <c r="CQ1461" s="68"/>
      <c r="CR1461" s="68"/>
      <c r="CS1461" s="68"/>
      <c r="CT1461" s="68"/>
      <c r="CU1461" s="68"/>
      <c r="CV1461" s="68"/>
      <c r="CW1461" s="68"/>
      <c r="CX1461" s="68"/>
    </row>
    <row r="1462" spans="4:102" s="71" customFormat="1" hidden="1">
      <c r="D1462" s="69"/>
      <c r="E1462" s="68"/>
      <c r="F1462" s="68"/>
      <c r="G1462" s="68"/>
      <c r="H1462" s="68"/>
      <c r="I1462" s="68"/>
      <c r="J1462" s="68"/>
      <c r="K1462" s="73"/>
      <c r="L1462" s="68"/>
      <c r="M1462" s="68"/>
      <c r="N1462" s="68"/>
      <c r="O1462" s="68"/>
      <c r="P1462" s="65"/>
      <c r="Q1462" s="103"/>
      <c r="R1462" s="103"/>
      <c r="S1462" s="103"/>
      <c r="T1462" s="103"/>
      <c r="U1462" s="68"/>
      <c r="V1462" s="68"/>
      <c r="W1462" s="68"/>
      <c r="X1462" s="68"/>
      <c r="Y1462" s="68"/>
      <c r="Z1462" s="68"/>
      <c r="AA1462" s="68"/>
      <c r="AB1462" s="68"/>
      <c r="AC1462" s="68"/>
      <c r="AD1462" s="68"/>
      <c r="AE1462" s="68"/>
      <c r="AF1462" s="68"/>
      <c r="AG1462" s="68"/>
      <c r="AH1462" s="68"/>
      <c r="AI1462" s="68"/>
      <c r="AJ1462" s="68"/>
      <c r="AK1462" s="68"/>
      <c r="AL1462" s="68"/>
      <c r="AM1462" s="68"/>
      <c r="AN1462" s="68"/>
      <c r="AO1462" s="68"/>
      <c r="AP1462" s="68"/>
      <c r="AQ1462" s="68"/>
      <c r="AR1462" s="68"/>
      <c r="AS1462" s="68"/>
      <c r="AT1462" s="68"/>
      <c r="AU1462" s="68"/>
      <c r="AV1462" s="68"/>
      <c r="AW1462" s="68"/>
      <c r="AX1462" s="68"/>
      <c r="AY1462" s="68"/>
      <c r="AZ1462" s="68"/>
      <c r="BA1462" s="68"/>
      <c r="BB1462" s="68"/>
      <c r="BC1462" s="68"/>
      <c r="BD1462" s="68"/>
      <c r="BE1462" s="68"/>
      <c r="BF1462" s="68"/>
      <c r="BG1462" s="68"/>
      <c r="BH1462" s="68"/>
      <c r="BI1462" s="68"/>
      <c r="BJ1462" s="68"/>
      <c r="BK1462" s="68"/>
      <c r="BL1462" s="68"/>
      <c r="BM1462" s="68"/>
      <c r="BN1462" s="68"/>
      <c r="BO1462" s="68"/>
      <c r="BP1462" s="68"/>
      <c r="BQ1462" s="68"/>
      <c r="BR1462" s="68"/>
      <c r="BS1462" s="68"/>
      <c r="BT1462" s="68"/>
      <c r="BU1462" s="68"/>
      <c r="BV1462" s="68"/>
      <c r="BW1462" s="68"/>
      <c r="BX1462" s="68"/>
      <c r="BY1462" s="68"/>
      <c r="BZ1462" s="68"/>
      <c r="CA1462" s="68"/>
      <c r="CB1462" s="68"/>
      <c r="CC1462" s="68"/>
      <c r="CD1462" s="68"/>
      <c r="CE1462" s="68"/>
      <c r="CF1462" s="68"/>
      <c r="CG1462" s="68"/>
      <c r="CH1462" s="68"/>
      <c r="CI1462" s="68"/>
      <c r="CJ1462" s="68"/>
      <c r="CK1462" s="68"/>
      <c r="CL1462" s="68"/>
      <c r="CM1462" s="68"/>
      <c r="CN1462" s="68"/>
      <c r="CO1462" s="68"/>
      <c r="CP1462" s="68"/>
      <c r="CQ1462" s="68"/>
      <c r="CR1462" s="68"/>
      <c r="CS1462" s="68"/>
      <c r="CT1462" s="68"/>
      <c r="CU1462" s="68"/>
      <c r="CV1462" s="68"/>
      <c r="CW1462" s="68"/>
      <c r="CX1462" s="68"/>
    </row>
    <row r="1463" spans="4:102" s="71" customFormat="1" hidden="1">
      <c r="D1463" s="69"/>
      <c r="E1463" s="68"/>
      <c r="F1463" s="68"/>
      <c r="G1463" s="68"/>
      <c r="H1463" s="68"/>
      <c r="I1463" s="68"/>
      <c r="J1463" s="68"/>
      <c r="K1463" s="73"/>
      <c r="L1463" s="68"/>
      <c r="M1463" s="68"/>
      <c r="N1463" s="68"/>
      <c r="O1463" s="68"/>
      <c r="P1463" s="65"/>
      <c r="Q1463" s="103"/>
      <c r="R1463" s="103"/>
      <c r="S1463" s="103"/>
      <c r="T1463" s="103"/>
      <c r="U1463" s="68"/>
      <c r="V1463" s="68"/>
      <c r="W1463" s="68"/>
      <c r="X1463" s="68"/>
      <c r="Y1463" s="68"/>
      <c r="Z1463" s="68"/>
      <c r="AA1463" s="68"/>
      <c r="AB1463" s="68"/>
      <c r="AC1463" s="68"/>
      <c r="AD1463" s="68"/>
      <c r="AE1463" s="68"/>
      <c r="AF1463" s="68"/>
      <c r="AG1463" s="68"/>
      <c r="AH1463" s="68"/>
      <c r="AI1463" s="68"/>
      <c r="AJ1463" s="68"/>
      <c r="AK1463" s="68"/>
      <c r="AL1463" s="68"/>
      <c r="AM1463" s="68"/>
      <c r="AN1463" s="68"/>
      <c r="AO1463" s="68"/>
      <c r="AP1463" s="68"/>
      <c r="AQ1463" s="68"/>
      <c r="AR1463" s="68"/>
      <c r="AS1463" s="68"/>
      <c r="AT1463" s="68"/>
      <c r="AU1463" s="68"/>
      <c r="AV1463" s="68"/>
      <c r="AW1463" s="68"/>
      <c r="AX1463" s="68"/>
      <c r="AY1463" s="68"/>
      <c r="AZ1463" s="68"/>
      <c r="BA1463" s="68"/>
      <c r="BB1463" s="68"/>
      <c r="BC1463" s="68"/>
      <c r="BD1463" s="68"/>
      <c r="BE1463" s="68"/>
      <c r="BF1463" s="68"/>
      <c r="BG1463" s="68"/>
      <c r="BH1463" s="68"/>
      <c r="BI1463" s="68"/>
      <c r="BJ1463" s="68"/>
      <c r="BK1463" s="68"/>
      <c r="BL1463" s="68"/>
      <c r="BM1463" s="68"/>
      <c r="BN1463" s="68"/>
      <c r="BO1463" s="68"/>
      <c r="BP1463" s="68"/>
      <c r="BQ1463" s="68"/>
      <c r="BR1463" s="68"/>
      <c r="BS1463" s="68"/>
      <c r="BT1463" s="68"/>
      <c r="BU1463" s="68"/>
      <c r="BV1463" s="68"/>
      <c r="BW1463" s="68"/>
      <c r="BX1463" s="68"/>
      <c r="BY1463" s="68"/>
      <c r="BZ1463" s="68"/>
      <c r="CA1463" s="68"/>
      <c r="CB1463" s="68"/>
      <c r="CC1463" s="68"/>
      <c r="CD1463" s="68"/>
      <c r="CE1463" s="68"/>
      <c r="CF1463" s="68"/>
      <c r="CG1463" s="68"/>
      <c r="CH1463" s="68"/>
      <c r="CI1463" s="68"/>
      <c r="CJ1463" s="68"/>
      <c r="CK1463" s="68"/>
      <c r="CL1463" s="68"/>
      <c r="CM1463" s="68"/>
      <c r="CN1463" s="68"/>
      <c r="CO1463" s="68"/>
      <c r="CP1463" s="68"/>
      <c r="CQ1463" s="68"/>
      <c r="CR1463" s="68"/>
      <c r="CS1463" s="68"/>
      <c r="CT1463" s="68"/>
      <c r="CU1463" s="68"/>
      <c r="CV1463" s="68"/>
      <c r="CW1463" s="68"/>
      <c r="CX1463" s="68"/>
    </row>
    <row r="1464" spans="4:102" s="71" customFormat="1" hidden="1">
      <c r="D1464" s="69"/>
      <c r="E1464" s="68"/>
      <c r="F1464" s="68"/>
      <c r="G1464" s="68"/>
      <c r="H1464" s="68"/>
      <c r="I1464" s="68"/>
      <c r="J1464" s="68"/>
      <c r="K1464" s="73"/>
      <c r="L1464" s="68"/>
      <c r="M1464" s="68"/>
      <c r="N1464" s="68"/>
      <c r="O1464" s="68"/>
      <c r="P1464" s="65"/>
      <c r="Q1464" s="103"/>
      <c r="R1464" s="103"/>
      <c r="S1464" s="103"/>
      <c r="T1464" s="103"/>
      <c r="U1464" s="68"/>
      <c r="V1464" s="68"/>
      <c r="W1464" s="68"/>
      <c r="X1464" s="68"/>
      <c r="Y1464" s="68"/>
      <c r="Z1464" s="68"/>
      <c r="AA1464" s="68"/>
      <c r="AB1464" s="68"/>
      <c r="AC1464" s="68"/>
      <c r="AD1464" s="68"/>
      <c r="AE1464" s="68"/>
      <c r="AF1464" s="68"/>
      <c r="AG1464" s="68"/>
      <c r="AH1464" s="68"/>
      <c r="AI1464" s="68"/>
      <c r="AJ1464" s="68"/>
      <c r="AK1464" s="68"/>
      <c r="AL1464" s="68"/>
      <c r="AM1464" s="68"/>
      <c r="AN1464" s="68"/>
      <c r="AO1464" s="68"/>
      <c r="AP1464" s="68"/>
      <c r="AQ1464" s="68"/>
      <c r="AR1464" s="68"/>
      <c r="AS1464" s="68"/>
      <c r="AT1464" s="68"/>
      <c r="AU1464" s="68"/>
      <c r="AV1464" s="68"/>
      <c r="AW1464" s="68"/>
      <c r="AX1464" s="68"/>
      <c r="AY1464" s="68"/>
      <c r="AZ1464" s="68"/>
      <c r="BA1464" s="68"/>
      <c r="BB1464" s="68"/>
      <c r="BC1464" s="68"/>
      <c r="BD1464" s="68"/>
      <c r="BE1464" s="68"/>
      <c r="BF1464" s="68"/>
      <c r="BG1464" s="68"/>
      <c r="BH1464" s="68"/>
      <c r="BI1464" s="68"/>
      <c r="BJ1464" s="68"/>
      <c r="BK1464" s="68"/>
      <c r="BL1464" s="68"/>
      <c r="BM1464" s="68"/>
      <c r="BN1464" s="68"/>
      <c r="BO1464" s="68"/>
      <c r="BP1464" s="68"/>
      <c r="BQ1464" s="68"/>
      <c r="BR1464" s="68"/>
      <c r="BS1464" s="68"/>
      <c r="BT1464" s="68"/>
      <c r="BU1464" s="68"/>
      <c r="BV1464" s="68"/>
      <c r="BW1464" s="68"/>
      <c r="BX1464" s="68"/>
      <c r="BY1464" s="68"/>
      <c r="BZ1464" s="68"/>
      <c r="CA1464" s="68"/>
      <c r="CB1464" s="68"/>
      <c r="CC1464" s="68"/>
      <c r="CD1464" s="68"/>
      <c r="CE1464" s="68"/>
      <c r="CF1464" s="68"/>
      <c r="CG1464" s="68"/>
      <c r="CH1464" s="68"/>
      <c r="CI1464" s="68"/>
      <c r="CJ1464" s="68"/>
      <c r="CK1464" s="68"/>
      <c r="CL1464" s="68"/>
      <c r="CM1464" s="68"/>
      <c r="CN1464" s="68"/>
      <c r="CO1464" s="68"/>
      <c r="CP1464" s="68"/>
      <c r="CQ1464" s="68"/>
      <c r="CR1464" s="68"/>
      <c r="CS1464" s="68"/>
      <c r="CT1464" s="68"/>
      <c r="CU1464" s="68"/>
      <c r="CV1464" s="68"/>
      <c r="CW1464" s="68"/>
      <c r="CX1464" s="68"/>
    </row>
    <row r="1465" spans="4:102" s="71" customFormat="1" hidden="1">
      <c r="D1465" s="69"/>
      <c r="E1465" s="68"/>
      <c r="F1465" s="68"/>
      <c r="G1465" s="68"/>
      <c r="H1465" s="68"/>
      <c r="I1465" s="68"/>
      <c r="J1465" s="68"/>
      <c r="K1465" s="73"/>
      <c r="L1465" s="68"/>
      <c r="M1465" s="68"/>
      <c r="N1465" s="68"/>
      <c r="O1465" s="68"/>
      <c r="P1465" s="65"/>
      <c r="Q1465" s="103"/>
      <c r="R1465" s="103"/>
      <c r="S1465" s="103"/>
      <c r="T1465" s="103"/>
      <c r="U1465" s="68"/>
      <c r="V1465" s="68"/>
      <c r="W1465" s="68"/>
      <c r="X1465" s="68"/>
      <c r="Y1465" s="68"/>
      <c r="Z1465" s="68"/>
      <c r="AA1465" s="68"/>
      <c r="AB1465" s="68"/>
      <c r="AC1465" s="68"/>
      <c r="AD1465" s="68"/>
      <c r="AE1465" s="68"/>
      <c r="AF1465" s="68"/>
      <c r="AG1465" s="68"/>
      <c r="AH1465" s="68"/>
      <c r="AI1465" s="68"/>
      <c r="AJ1465" s="68"/>
      <c r="AK1465" s="68"/>
      <c r="AL1465" s="68"/>
      <c r="AM1465" s="68"/>
      <c r="AN1465" s="68"/>
      <c r="AO1465" s="68"/>
      <c r="AP1465" s="68"/>
      <c r="AQ1465" s="68"/>
      <c r="AR1465" s="68"/>
      <c r="AS1465" s="68"/>
      <c r="AT1465" s="68"/>
      <c r="AU1465" s="68"/>
      <c r="AV1465" s="68"/>
      <c r="AW1465" s="68"/>
      <c r="AX1465" s="68"/>
      <c r="AY1465" s="68"/>
      <c r="AZ1465" s="68"/>
      <c r="BA1465" s="68"/>
      <c r="BB1465" s="68"/>
      <c r="BC1465" s="68"/>
      <c r="BD1465" s="68"/>
      <c r="BE1465" s="68"/>
      <c r="BF1465" s="68"/>
      <c r="BG1465" s="68"/>
      <c r="BH1465" s="68"/>
      <c r="BI1465" s="68"/>
      <c r="BJ1465" s="68"/>
      <c r="BK1465" s="68"/>
      <c r="BL1465" s="68"/>
      <c r="BM1465" s="68"/>
      <c r="BN1465" s="68"/>
      <c r="BO1465" s="68"/>
      <c r="BP1465" s="68"/>
      <c r="BQ1465" s="68"/>
      <c r="BR1465" s="68"/>
      <c r="BS1465" s="68"/>
      <c r="BT1465" s="68"/>
      <c r="BU1465" s="68"/>
      <c r="BV1465" s="68"/>
      <c r="BW1465" s="68"/>
      <c r="BX1465" s="68"/>
      <c r="BY1465" s="68"/>
      <c r="BZ1465" s="68"/>
      <c r="CA1465" s="68"/>
      <c r="CB1465" s="68"/>
      <c r="CC1465" s="68"/>
      <c r="CD1465" s="68"/>
      <c r="CE1465" s="68"/>
      <c r="CF1465" s="68"/>
      <c r="CG1465" s="68"/>
      <c r="CH1465" s="68"/>
      <c r="CI1465" s="68"/>
      <c r="CJ1465" s="68"/>
      <c r="CK1465" s="68"/>
      <c r="CL1465" s="68"/>
      <c r="CM1465" s="68"/>
      <c r="CN1465" s="68"/>
      <c r="CO1465" s="68"/>
      <c r="CP1465" s="68"/>
      <c r="CQ1465" s="68"/>
      <c r="CR1465" s="68"/>
      <c r="CS1465" s="68"/>
      <c r="CT1465" s="68"/>
      <c r="CU1465" s="68"/>
      <c r="CV1465" s="68"/>
      <c r="CW1465" s="68"/>
      <c r="CX1465" s="68"/>
    </row>
    <row r="1466" spans="4:102" s="71" customFormat="1" hidden="1">
      <c r="D1466" s="69"/>
      <c r="E1466" s="68"/>
      <c r="F1466" s="68"/>
      <c r="G1466" s="68"/>
      <c r="H1466" s="68"/>
      <c r="I1466" s="68"/>
      <c r="J1466" s="68"/>
      <c r="K1466" s="73"/>
      <c r="L1466" s="68"/>
      <c r="M1466" s="68"/>
      <c r="N1466" s="68"/>
      <c r="O1466" s="68"/>
      <c r="P1466" s="65"/>
      <c r="Q1466" s="103"/>
      <c r="R1466" s="103"/>
      <c r="S1466" s="103"/>
      <c r="T1466" s="103"/>
      <c r="U1466" s="68"/>
      <c r="V1466" s="68"/>
      <c r="W1466" s="68"/>
      <c r="X1466" s="68"/>
      <c r="Y1466" s="68"/>
      <c r="Z1466" s="68"/>
      <c r="AA1466" s="68"/>
      <c r="AB1466" s="68"/>
      <c r="AC1466" s="68"/>
      <c r="AD1466" s="68"/>
      <c r="AE1466" s="68"/>
      <c r="AF1466" s="68"/>
      <c r="AG1466" s="68"/>
      <c r="AH1466" s="68"/>
      <c r="AI1466" s="68"/>
      <c r="AJ1466" s="68"/>
      <c r="AK1466" s="68"/>
      <c r="AL1466" s="68"/>
      <c r="AM1466" s="68"/>
      <c r="AN1466" s="68"/>
      <c r="AO1466" s="68"/>
      <c r="AP1466" s="68"/>
      <c r="AQ1466" s="68"/>
      <c r="AR1466" s="68"/>
      <c r="AS1466" s="68"/>
      <c r="AT1466" s="68"/>
      <c r="AU1466" s="68"/>
      <c r="AV1466" s="68"/>
      <c r="AW1466" s="68"/>
      <c r="AX1466" s="68"/>
      <c r="AY1466" s="68"/>
      <c r="AZ1466" s="68"/>
      <c r="BA1466" s="68"/>
      <c r="BB1466" s="68"/>
      <c r="BC1466" s="68"/>
      <c r="BD1466" s="68"/>
      <c r="BE1466" s="68"/>
      <c r="BF1466" s="68"/>
      <c r="BG1466" s="68"/>
      <c r="BH1466" s="68"/>
      <c r="BI1466" s="68"/>
      <c r="BJ1466" s="68"/>
      <c r="BK1466" s="68"/>
      <c r="BL1466" s="68"/>
      <c r="BM1466" s="68"/>
      <c r="BN1466" s="68"/>
      <c r="BO1466" s="68"/>
      <c r="BP1466" s="68"/>
      <c r="BQ1466" s="68"/>
      <c r="BR1466" s="68"/>
      <c r="BS1466" s="68"/>
      <c r="BT1466" s="68"/>
      <c r="BU1466" s="68"/>
      <c r="BV1466" s="68"/>
      <c r="BW1466" s="68"/>
      <c r="BX1466" s="68"/>
      <c r="BY1466" s="68"/>
      <c r="BZ1466" s="68"/>
      <c r="CA1466" s="68"/>
      <c r="CB1466" s="68"/>
      <c r="CC1466" s="68"/>
      <c r="CD1466" s="68"/>
      <c r="CE1466" s="68"/>
      <c r="CF1466" s="68"/>
      <c r="CG1466" s="68"/>
      <c r="CH1466" s="68"/>
      <c r="CI1466" s="68"/>
      <c r="CJ1466" s="68"/>
      <c r="CK1466" s="68"/>
      <c r="CL1466" s="68"/>
      <c r="CM1466" s="68"/>
      <c r="CN1466" s="68"/>
      <c r="CO1466" s="68"/>
      <c r="CP1466" s="68"/>
      <c r="CQ1466" s="68"/>
      <c r="CR1466" s="68"/>
      <c r="CS1466" s="68"/>
      <c r="CT1466" s="68"/>
      <c r="CU1466" s="68"/>
      <c r="CV1466" s="68"/>
      <c r="CW1466" s="68"/>
      <c r="CX1466" s="68"/>
    </row>
    <row r="1467" spans="4:102" s="71" customFormat="1" hidden="1">
      <c r="D1467" s="69"/>
      <c r="E1467" s="68"/>
      <c r="F1467" s="68"/>
      <c r="G1467" s="68"/>
      <c r="H1467" s="68"/>
      <c r="I1467" s="68"/>
      <c r="J1467" s="68"/>
      <c r="K1467" s="73"/>
      <c r="L1467" s="68"/>
      <c r="M1467" s="68"/>
      <c r="N1467" s="68"/>
      <c r="O1467" s="68"/>
      <c r="P1467" s="65"/>
      <c r="Q1467" s="103"/>
      <c r="R1467" s="103"/>
      <c r="S1467" s="103"/>
      <c r="T1467" s="103"/>
      <c r="U1467" s="68"/>
      <c r="V1467" s="68"/>
      <c r="W1467" s="68"/>
      <c r="X1467" s="68"/>
      <c r="Y1467" s="68"/>
      <c r="Z1467" s="68"/>
      <c r="AA1467" s="68"/>
      <c r="AB1467" s="68"/>
      <c r="AC1467" s="68"/>
      <c r="AD1467" s="68"/>
      <c r="AE1467" s="68"/>
      <c r="AF1467" s="68"/>
      <c r="AG1467" s="68"/>
      <c r="AH1467" s="68"/>
      <c r="AI1467" s="68"/>
      <c r="AJ1467" s="68"/>
      <c r="AK1467" s="68"/>
      <c r="AL1467" s="68"/>
      <c r="AM1467" s="68"/>
      <c r="AN1467" s="68"/>
      <c r="AO1467" s="68"/>
      <c r="AP1467" s="68"/>
      <c r="AQ1467" s="68"/>
      <c r="AR1467" s="68"/>
      <c r="AS1467" s="68"/>
      <c r="AT1467" s="68"/>
      <c r="AU1467" s="68"/>
      <c r="AV1467" s="68"/>
      <c r="AW1467" s="68"/>
      <c r="AX1467" s="68"/>
      <c r="AY1467" s="68"/>
      <c r="AZ1467" s="68"/>
      <c r="BA1467" s="68"/>
      <c r="BB1467" s="68"/>
      <c r="BC1467" s="68"/>
      <c r="BD1467" s="68"/>
      <c r="BE1467" s="68"/>
      <c r="BF1467" s="68"/>
      <c r="BG1467" s="68"/>
      <c r="BH1467" s="68"/>
      <c r="BI1467" s="68"/>
      <c r="BJ1467" s="68"/>
      <c r="BK1467" s="68"/>
      <c r="BL1467" s="68"/>
      <c r="BM1467" s="68"/>
      <c r="BN1467" s="68"/>
      <c r="BO1467" s="68"/>
      <c r="BP1467" s="68"/>
      <c r="BQ1467" s="68"/>
      <c r="BR1467" s="68"/>
      <c r="BS1467" s="68"/>
      <c r="BT1467" s="68"/>
      <c r="BU1467" s="68"/>
      <c r="BV1467" s="68"/>
      <c r="BW1467" s="68"/>
      <c r="BX1467" s="68"/>
      <c r="BY1467" s="68"/>
      <c r="BZ1467" s="68"/>
      <c r="CA1467" s="68"/>
      <c r="CB1467" s="68"/>
      <c r="CC1467" s="68"/>
      <c r="CD1467" s="68"/>
      <c r="CE1467" s="68"/>
      <c r="CF1467" s="68"/>
      <c r="CG1467" s="68"/>
      <c r="CH1467" s="68"/>
      <c r="CI1467" s="68"/>
      <c r="CJ1467" s="68"/>
      <c r="CK1467" s="68"/>
      <c r="CL1467" s="68"/>
      <c r="CM1467" s="68"/>
      <c r="CN1467" s="68"/>
      <c r="CO1467" s="68"/>
      <c r="CP1467" s="68"/>
      <c r="CQ1467" s="68"/>
      <c r="CR1467" s="68"/>
      <c r="CS1467" s="68"/>
      <c r="CT1467" s="68"/>
      <c r="CU1467" s="68"/>
      <c r="CV1467" s="68"/>
      <c r="CW1467" s="68"/>
      <c r="CX1467" s="68"/>
    </row>
    <row r="1468" spans="4:102" s="71" customFormat="1" hidden="1">
      <c r="D1468" s="69"/>
      <c r="E1468" s="68"/>
      <c r="F1468" s="68"/>
      <c r="G1468" s="68"/>
      <c r="H1468" s="68"/>
      <c r="I1468" s="68"/>
      <c r="J1468" s="68"/>
      <c r="K1468" s="73"/>
      <c r="L1468" s="68"/>
      <c r="M1468" s="68"/>
      <c r="N1468" s="68"/>
      <c r="O1468" s="68"/>
      <c r="P1468" s="65"/>
      <c r="Q1468" s="103"/>
      <c r="R1468" s="103"/>
      <c r="S1468" s="103"/>
      <c r="T1468" s="103"/>
      <c r="U1468" s="68"/>
      <c r="V1468" s="68"/>
      <c r="W1468" s="68"/>
      <c r="X1468" s="68"/>
      <c r="Y1468" s="68"/>
      <c r="Z1468" s="68"/>
      <c r="AA1468" s="68"/>
      <c r="AB1468" s="68"/>
      <c r="AC1468" s="68"/>
      <c r="AD1468" s="68"/>
      <c r="AE1468" s="68"/>
      <c r="AF1468" s="68"/>
      <c r="AG1468" s="68"/>
      <c r="AH1468" s="68"/>
      <c r="AI1468" s="68"/>
      <c r="AJ1468" s="68"/>
      <c r="AK1468" s="68"/>
      <c r="AL1468" s="68"/>
      <c r="AM1468" s="68"/>
      <c r="AN1468" s="68"/>
      <c r="AO1468" s="68"/>
      <c r="AP1468" s="68"/>
      <c r="AQ1468" s="68"/>
      <c r="AR1468" s="68"/>
      <c r="AS1468" s="68"/>
      <c r="AT1468" s="68"/>
      <c r="AU1468" s="68"/>
      <c r="AV1468" s="68"/>
      <c r="AW1468" s="68"/>
      <c r="AX1468" s="68"/>
      <c r="AY1468" s="68"/>
      <c r="AZ1468" s="68"/>
      <c r="BA1468" s="68"/>
      <c r="BB1468" s="68"/>
      <c r="BC1468" s="68"/>
      <c r="BD1468" s="68"/>
      <c r="BE1468" s="68"/>
      <c r="BF1468" s="68"/>
      <c r="BG1468" s="68"/>
      <c r="BH1468" s="68"/>
      <c r="BI1468" s="68"/>
      <c r="BJ1468" s="68"/>
      <c r="BK1468" s="68"/>
      <c r="BL1468" s="68"/>
      <c r="BM1468" s="68"/>
      <c r="BN1468" s="68"/>
      <c r="BO1468" s="68"/>
      <c r="BP1468" s="68"/>
      <c r="BQ1468" s="68"/>
      <c r="BR1468" s="68"/>
      <c r="BS1468" s="68"/>
      <c r="BT1468" s="68"/>
      <c r="BU1468" s="68"/>
      <c r="BV1468" s="68"/>
      <c r="BW1468" s="68"/>
      <c r="BX1468" s="68"/>
      <c r="BY1468" s="68"/>
      <c r="BZ1468" s="68"/>
      <c r="CA1468" s="68"/>
      <c r="CB1468" s="68"/>
      <c r="CC1468" s="68"/>
      <c r="CD1468" s="68"/>
      <c r="CE1468" s="68"/>
      <c r="CF1468" s="68"/>
      <c r="CG1468" s="68"/>
      <c r="CH1468" s="68"/>
      <c r="CI1468" s="68"/>
      <c r="CJ1468" s="68"/>
      <c r="CK1468" s="68"/>
      <c r="CL1468" s="68"/>
      <c r="CM1468" s="68"/>
      <c r="CN1468" s="68"/>
      <c r="CO1468" s="68"/>
      <c r="CP1468" s="68"/>
      <c r="CQ1468" s="68"/>
      <c r="CR1468" s="68"/>
      <c r="CS1468" s="68"/>
      <c r="CT1468" s="68"/>
      <c r="CU1468" s="68"/>
      <c r="CV1468" s="68"/>
      <c r="CW1468" s="68"/>
      <c r="CX1468" s="68"/>
    </row>
    <row r="1469" spans="4:102" s="71" customFormat="1" hidden="1">
      <c r="D1469" s="69"/>
      <c r="E1469" s="68"/>
      <c r="F1469" s="68"/>
      <c r="G1469" s="68"/>
      <c r="H1469" s="68"/>
      <c r="I1469" s="68"/>
      <c r="J1469" s="68"/>
      <c r="K1469" s="73"/>
      <c r="L1469" s="68"/>
      <c r="M1469" s="68"/>
      <c r="N1469" s="68"/>
      <c r="O1469" s="68"/>
      <c r="P1469" s="65"/>
      <c r="Q1469" s="103"/>
      <c r="R1469" s="103"/>
      <c r="S1469" s="103"/>
      <c r="T1469" s="103"/>
      <c r="U1469" s="68"/>
      <c r="V1469" s="68"/>
      <c r="W1469" s="68"/>
      <c r="X1469" s="68"/>
      <c r="Y1469" s="68"/>
      <c r="Z1469" s="68"/>
      <c r="AA1469" s="68"/>
      <c r="AB1469" s="68"/>
      <c r="AC1469" s="68"/>
      <c r="AD1469" s="68"/>
      <c r="AE1469" s="68"/>
      <c r="AF1469" s="68"/>
      <c r="AG1469" s="68"/>
      <c r="AH1469" s="68"/>
      <c r="AI1469" s="68"/>
      <c r="AJ1469" s="68"/>
      <c r="AK1469" s="68"/>
      <c r="AL1469" s="68"/>
      <c r="AM1469" s="68"/>
      <c r="AN1469" s="68"/>
      <c r="AO1469" s="68"/>
      <c r="AP1469" s="68"/>
      <c r="AQ1469" s="68"/>
      <c r="AR1469" s="68"/>
      <c r="AS1469" s="68"/>
      <c r="AT1469" s="68"/>
      <c r="AU1469" s="68"/>
      <c r="AV1469" s="68"/>
      <c r="AW1469" s="68"/>
      <c r="AX1469" s="68"/>
      <c r="AY1469" s="68"/>
      <c r="AZ1469" s="68"/>
      <c r="BA1469" s="68"/>
      <c r="BB1469" s="68"/>
      <c r="BC1469" s="68"/>
      <c r="BD1469" s="68"/>
      <c r="BE1469" s="68"/>
      <c r="BF1469" s="68"/>
      <c r="BG1469" s="68"/>
      <c r="BH1469" s="68"/>
      <c r="BI1469" s="68"/>
      <c r="BJ1469" s="68"/>
      <c r="BK1469" s="68"/>
      <c r="BL1469" s="68"/>
      <c r="BM1469" s="68"/>
      <c r="BN1469" s="68"/>
      <c r="BO1469" s="68"/>
      <c r="BP1469" s="68"/>
      <c r="BQ1469" s="68"/>
      <c r="BR1469" s="68"/>
      <c r="BS1469" s="68"/>
      <c r="BT1469" s="68"/>
      <c r="BU1469" s="68"/>
      <c r="BV1469" s="68"/>
      <c r="BW1469" s="68"/>
      <c r="BX1469" s="68"/>
      <c r="BY1469" s="68"/>
      <c r="BZ1469" s="68"/>
      <c r="CA1469" s="68"/>
      <c r="CB1469" s="68"/>
      <c r="CC1469" s="68"/>
      <c r="CD1469" s="68"/>
      <c r="CE1469" s="68"/>
      <c r="CF1469" s="68"/>
      <c r="CG1469" s="68"/>
      <c r="CH1469" s="68"/>
      <c r="CI1469" s="68"/>
      <c r="CJ1469" s="68"/>
      <c r="CK1469" s="68"/>
      <c r="CL1469" s="68"/>
      <c r="CM1469" s="68"/>
      <c r="CN1469" s="68"/>
      <c r="CO1469" s="68"/>
      <c r="CP1469" s="68"/>
      <c r="CQ1469" s="68"/>
      <c r="CR1469" s="68"/>
      <c r="CS1469" s="68"/>
      <c r="CT1469" s="68"/>
      <c r="CU1469" s="68"/>
      <c r="CV1469" s="68"/>
      <c r="CW1469" s="68"/>
      <c r="CX1469" s="68"/>
    </row>
    <row r="1470" spans="4:102" s="71" customFormat="1" hidden="1">
      <c r="D1470" s="69"/>
      <c r="E1470" s="68"/>
      <c r="F1470" s="68"/>
      <c r="G1470" s="68"/>
      <c r="H1470" s="68"/>
      <c r="I1470" s="68"/>
      <c r="J1470" s="68"/>
      <c r="K1470" s="73"/>
      <c r="L1470" s="68"/>
      <c r="M1470" s="68"/>
      <c r="N1470" s="68"/>
      <c r="O1470" s="68"/>
      <c r="P1470" s="65"/>
      <c r="Q1470" s="103"/>
      <c r="R1470" s="103"/>
      <c r="S1470" s="103"/>
      <c r="T1470" s="103"/>
      <c r="U1470" s="68"/>
      <c r="V1470" s="68"/>
      <c r="W1470" s="68"/>
      <c r="X1470" s="68"/>
      <c r="Y1470" s="68"/>
      <c r="Z1470" s="68"/>
      <c r="AA1470" s="68"/>
      <c r="AB1470" s="68"/>
      <c r="AC1470" s="68"/>
      <c r="AD1470" s="68"/>
      <c r="AE1470" s="68"/>
      <c r="AF1470" s="68"/>
      <c r="AG1470" s="68"/>
      <c r="AH1470" s="68"/>
      <c r="AI1470" s="68"/>
      <c r="AJ1470" s="68"/>
      <c r="AK1470" s="68"/>
      <c r="AL1470" s="68"/>
      <c r="AM1470" s="68"/>
      <c r="AN1470" s="68"/>
      <c r="AO1470" s="68"/>
      <c r="AP1470" s="68"/>
      <c r="AQ1470" s="68"/>
      <c r="AR1470" s="68"/>
      <c r="AS1470" s="68"/>
      <c r="AT1470" s="68"/>
      <c r="AU1470" s="68"/>
      <c r="AV1470" s="68"/>
      <c r="AW1470" s="68"/>
      <c r="AX1470" s="68"/>
      <c r="AY1470" s="68"/>
      <c r="AZ1470" s="68"/>
      <c r="BA1470" s="68"/>
      <c r="BB1470" s="68"/>
      <c r="BC1470" s="68"/>
      <c r="BD1470" s="68"/>
      <c r="BE1470" s="68"/>
      <c r="BF1470" s="68"/>
      <c r="BG1470" s="68"/>
      <c r="BH1470" s="68"/>
      <c r="BI1470" s="68"/>
      <c r="BJ1470" s="68"/>
      <c r="BK1470" s="68"/>
      <c r="BL1470" s="68"/>
      <c r="BM1470" s="68"/>
      <c r="BN1470" s="68"/>
      <c r="BO1470" s="68"/>
      <c r="BP1470" s="68"/>
      <c r="BQ1470" s="68"/>
      <c r="BR1470" s="68"/>
      <c r="BS1470" s="68"/>
      <c r="BT1470" s="68"/>
      <c r="BU1470" s="68"/>
      <c r="BV1470" s="68"/>
      <c r="BW1470" s="68"/>
      <c r="BX1470" s="68"/>
      <c r="BY1470" s="68"/>
      <c r="BZ1470" s="68"/>
      <c r="CA1470" s="68"/>
      <c r="CB1470" s="68"/>
      <c r="CC1470" s="68"/>
      <c r="CD1470" s="68"/>
      <c r="CE1470" s="68"/>
      <c r="CF1470" s="68"/>
      <c r="CG1470" s="68"/>
      <c r="CH1470" s="68"/>
      <c r="CI1470" s="68"/>
      <c r="CJ1470" s="68"/>
      <c r="CK1470" s="68"/>
      <c r="CL1470" s="68"/>
      <c r="CM1470" s="68"/>
      <c r="CN1470" s="68"/>
      <c r="CO1470" s="68"/>
      <c r="CP1470" s="68"/>
      <c r="CQ1470" s="68"/>
      <c r="CR1470" s="68"/>
      <c r="CS1470" s="68"/>
      <c r="CT1470" s="68"/>
      <c r="CU1470" s="68"/>
      <c r="CV1470" s="68"/>
      <c r="CW1470" s="68"/>
      <c r="CX1470" s="68"/>
    </row>
    <row r="1471" spans="4:102" s="71" customFormat="1" hidden="1">
      <c r="D1471" s="69"/>
      <c r="E1471" s="68"/>
      <c r="F1471" s="68"/>
      <c r="G1471" s="68"/>
      <c r="H1471" s="68"/>
      <c r="I1471" s="68"/>
      <c r="J1471" s="68"/>
      <c r="K1471" s="73"/>
      <c r="L1471" s="68"/>
      <c r="M1471" s="68"/>
      <c r="N1471" s="68"/>
      <c r="O1471" s="68"/>
      <c r="P1471" s="65"/>
      <c r="Q1471" s="103"/>
      <c r="R1471" s="103"/>
      <c r="S1471" s="103"/>
      <c r="T1471" s="103"/>
      <c r="U1471" s="68"/>
      <c r="V1471" s="68"/>
      <c r="W1471" s="68"/>
      <c r="X1471" s="68"/>
      <c r="Y1471" s="68"/>
      <c r="Z1471" s="68"/>
      <c r="AA1471" s="68"/>
      <c r="AB1471" s="68"/>
      <c r="AC1471" s="68"/>
      <c r="AD1471" s="68"/>
      <c r="AE1471" s="68"/>
      <c r="AF1471" s="68"/>
      <c r="AG1471" s="68"/>
      <c r="AH1471" s="68"/>
      <c r="AI1471" s="68"/>
      <c r="AJ1471" s="68"/>
      <c r="AK1471" s="68"/>
      <c r="AL1471" s="68"/>
      <c r="AM1471" s="68"/>
      <c r="AN1471" s="68"/>
      <c r="AO1471" s="68"/>
      <c r="AP1471" s="68"/>
      <c r="AQ1471" s="68"/>
      <c r="AR1471" s="68"/>
      <c r="AS1471" s="68"/>
      <c r="AT1471" s="68"/>
      <c r="AU1471" s="68"/>
      <c r="AV1471" s="68"/>
      <c r="AW1471" s="68"/>
      <c r="AX1471" s="68"/>
      <c r="AY1471" s="68"/>
      <c r="AZ1471" s="68"/>
      <c r="BA1471" s="68"/>
      <c r="BB1471" s="68"/>
      <c r="BC1471" s="68"/>
      <c r="BD1471" s="68"/>
      <c r="BE1471" s="68"/>
      <c r="BF1471" s="68"/>
      <c r="BG1471" s="68"/>
      <c r="BH1471" s="68"/>
      <c r="BI1471" s="68"/>
      <c r="BJ1471" s="68"/>
      <c r="BK1471" s="68"/>
      <c r="BL1471" s="68"/>
      <c r="BM1471" s="68"/>
      <c r="BN1471" s="68"/>
      <c r="BO1471" s="68"/>
      <c r="BP1471" s="68"/>
      <c r="BQ1471" s="68"/>
      <c r="BR1471" s="68"/>
      <c r="BS1471" s="68"/>
      <c r="BT1471" s="68"/>
      <c r="BU1471" s="68"/>
      <c r="BV1471" s="68"/>
      <c r="BW1471" s="68"/>
      <c r="BX1471" s="68"/>
      <c r="BY1471" s="68"/>
      <c r="BZ1471" s="68"/>
      <c r="CA1471" s="68"/>
      <c r="CB1471" s="68"/>
      <c r="CC1471" s="68"/>
      <c r="CD1471" s="68"/>
      <c r="CE1471" s="68"/>
      <c r="CF1471" s="68"/>
      <c r="CG1471" s="68"/>
      <c r="CH1471" s="68"/>
      <c r="CI1471" s="68"/>
      <c r="CJ1471" s="68"/>
      <c r="CK1471" s="68"/>
      <c r="CL1471" s="68"/>
      <c r="CM1471" s="68"/>
      <c r="CN1471" s="68"/>
      <c r="CO1471" s="68"/>
      <c r="CP1471" s="68"/>
      <c r="CQ1471" s="68"/>
      <c r="CR1471" s="68"/>
      <c r="CS1471" s="68"/>
      <c r="CT1471" s="68"/>
      <c r="CU1471" s="68"/>
      <c r="CV1471" s="68"/>
      <c r="CW1471" s="68"/>
      <c r="CX1471" s="68"/>
    </row>
    <row r="1472" spans="4:102" s="71" customFormat="1" hidden="1">
      <c r="D1472" s="69"/>
      <c r="E1472" s="68"/>
      <c r="F1472" s="68"/>
      <c r="G1472" s="68"/>
      <c r="H1472" s="68"/>
      <c r="I1472" s="68"/>
      <c r="J1472" s="68"/>
      <c r="K1472" s="73"/>
      <c r="L1472" s="68"/>
      <c r="M1472" s="68"/>
      <c r="N1472" s="68"/>
      <c r="O1472" s="68"/>
      <c r="P1472" s="65"/>
      <c r="Q1472" s="103"/>
      <c r="R1472" s="103"/>
      <c r="S1472" s="103"/>
      <c r="T1472" s="103"/>
      <c r="U1472" s="68"/>
      <c r="V1472" s="68"/>
      <c r="W1472" s="68"/>
      <c r="X1472" s="68"/>
      <c r="Y1472" s="68"/>
      <c r="Z1472" s="68"/>
      <c r="AA1472" s="68"/>
      <c r="AB1472" s="68"/>
      <c r="AC1472" s="68"/>
      <c r="AD1472" s="68"/>
      <c r="AE1472" s="68"/>
      <c r="AF1472" s="68"/>
      <c r="AG1472" s="68"/>
      <c r="AH1472" s="68"/>
      <c r="AI1472" s="68"/>
      <c r="AJ1472" s="68"/>
      <c r="AK1472" s="68"/>
      <c r="AL1472" s="68"/>
      <c r="AM1472" s="68"/>
      <c r="AN1472" s="68"/>
      <c r="AO1472" s="68"/>
      <c r="AP1472" s="68"/>
      <c r="AQ1472" s="68"/>
      <c r="AR1472" s="68"/>
      <c r="AS1472" s="68"/>
      <c r="AT1472" s="68"/>
      <c r="AU1472" s="68"/>
      <c r="AV1472" s="68"/>
      <c r="AW1472" s="68"/>
      <c r="AX1472" s="68"/>
      <c r="AY1472" s="68"/>
      <c r="AZ1472" s="68"/>
      <c r="BA1472" s="68"/>
      <c r="BB1472" s="68"/>
      <c r="BC1472" s="68"/>
      <c r="BD1472" s="68"/>
      <c r="BE1472" s="68"/>
      <c r="BF1472" s="68"/>
      <c r="BG1472" s="68"/>
      <c r="BH1472" s="68"/>
      <c r="BI1472" s="68"/>
      <c r="BJ1472" s="68"/>
      <c r="BK1472" s="68"/>
      <c r="BL1472" s="68"/>
      <c r="BM1472" s="68"/>
      <c r="BN1472" s="68"/>
      <c r="BO1472" s="68"/>
      <c r="BP1472" s="68"/>
      <c r="BQ1472" s="68"/>
      <c r="BR1472" s="68"/>
      <c r="BS1472" s="68"/>
      <c r="BT1472" s="68"/>
      <c r="BU1472" s="68"/>
      <c r="BV1472" s="68"/>
      <c r="BW1472" s="68"/>
      <c r="BX1472" s="68"/>
      <c r="BY1472" s="68"/>
      <c r="BZ1472" s="68"/>
      <c r="CA1472" s="68"/>
      <c r="CB1472" s="68"/>
      <c r="CC1472" s="68"/>
      <c r="CD1472" s="68"/>
      <c r="CE1472" s="68"/>
      <c r="CF1472" s="68"/>
      <c r="CG1472" s="68"/>
      <c r="CH1472" s="68"/>
      <c r="CI1472" s="68"/>
      <c r="CJ1472" s="68"/>
      <c r="CK1472" s="68"/>
      <c r="CL1472" s="68"/>
      <c r="CM1472" s="68"/>
      <c r="CN1472" s="68"/>
      <c r="CO1472" s="68"/>
      <c r="CP1472" s="68"/>
      <c r="CQ1472" s="68"/>
      <c r="CR1472" s="68"/>
      <c r="CS1472" s="68"/>
      <c r="CT1472" s="68"/>
      <c r="CU1472" s="68"/>
      <c r="CV1472" s="68"/>
      <c r="CW1472" s="68"/>
      <c r="CX1472" s="68"/>
    </row>
    <row r="1473" spans="4:102" s="71" customFormat="1" hidden="1">
      <c r="D1473" s="69"/>
      <c r="E1473" s="68"/>
      <c r="F1473" s="68"/>
      <c r="G1473" s="68"/>
      <c r="H1473" s="68"/>
      <c r="I1473" s="68"/>
      <c r="J1473" s="68"/>
      <c r="K1473" s="73"/>
      <c r="L1473" s="68"/>
      <c r="M1473" s="68"/>
      <c r="N1473" s="68"/>
      <c r="O1473" s="68"/>
      <c r="P1473" s="65"/>
      <c r="Q1473" s="103"/>
      <c r="R1473" s="103"/>
      <c r="S1473" s="103"/>
      <c r="T1473" s="103"/>
      <c r="U1473" s="68"/>
      <c r="V1473" s="68"/>
      <c r="W1473" s="68"/>
      <c r="X1473" s="68"/>
      <c r="Y1473" s="68"/>
      <c r="Z1473" s="68"/>
      <c r="AA1473" s="68"/>
      <c r="AB1473" s="68"/>
      <c r="AC1473" s="68"/>
      <c r="AD1473" s="68"/>
      <c r="AE1473" s="68"/>
      <c r="AF1473" s="68"/>
      <c r="AG1473" s="68"/>
      <c r="AH1473" s="68"/>
      <c r="AI1473" s="68"/>
      <c r="AJ1473" s="68"/>
      <c r="AK1473" s="68"/>
      <c r="AL1473" s="68"/>
      <c r="AM1473" s="68"/>
      <c r="AN1473" s="68"/>
      <c r="AO1473" s="68"/>
      <c r="AP1473" s="68"/>
      <c r="AQ1473" s="68"/>
      <c r="AR1473" s="68"/>
      <c r="AS1473" s="68"/>
      <c r="AT1473" s="68"/>
      <c r="AU1473" s="68"/>
      <c r="AV1473" s="68"/>
      <c r="AW1473" s="68"/>
      <c r="AX1473" s="68"/>
      <c r="AY1473" s="68"/>
      <c r="AZ1473" s="68"/>
      <c r="BA1473" s="68"/>
      <c r="BB1473" s="68"/>
      <c r="BC1473" s="68"/>
      <c r="BD1473" s="68"/>
      <c r="BE1473" s="68"/>
      <c r="BF1473" s="68"/>
      <c r="BG1473" s="68"/>
      <c r="BH1473" s="68"/>
      <c r="BI1473" s="68"/>
      <c r="BJ1473" s="68"/>
      <c r="BK1473" s="68"/>
      <c r="BL1473" s="68"/>
      <c r="BM1473" s="68"/>
      <c r="BN1473" s="68"/>
      <c r="BO1473" s="68"/>
      <c r="BP1473" s="68"/>
      <c r="BQ1473" s="68"/>
      <c r="BR1473" s="68"/>
      <c r="BS1473" s="68"/>
      <c r="BT1473" s="68"/>
      <c r="BU1473" s="68"/>
      <c r="BV1473" s="68"/>
      <c r="BW1473" s="68"/>
      <c r="BX1473" s="68"/>
      <c r="BY1473" s="68"/>
      <c r="BZ1473" s="68"/>
      <c r="CA1473" s="68"/>
      <c r="CB1473" s="68"/>
      <c r="CC1473" s="68"/>
      <c r="CD1473" s="68"/>
      <c r="CE1473" s="68"/>
      <c r="CF1473" s="68"/>
      <c r="CG1473" s="68"/>
      <c r="CH1473" s="68"/>
      <c r="CI1473" s="68"/>
      <c r="CJ1473" s="68"/>
      <c r="CK1473" s="68"/>
      <c r="CL1473" s="68"/>
      <c r="CM1473" s="68"/>
      <c r="CN1473" s="68"/>
      <c r="CO1473" s="68"/>
      <c r="CP1473" s="68"/>
      <c r="CQ1473" s="68"/>
      <c r="CR1473" s="68"/>
      <c r="CS1473" s="68"/>
      <c r="CT1473" s="68"/>
      <c r="CU1473" s="68"/>
      <c r="CV1473" s="68"/>
      <c r="CW1473" s="68"/>
      <c r="CX1473" s="68"/>
    </row>
    <row r="1474" spans="4:102" s="71" customFormat="1" hidden="1">
      <c r="D1474" s="69"/>
      <c r="E1474" s="68"/>
      <c r="F1474" s="68"/>
      <c r="G1474" s="68"/>
      <c r="H1474" s="68"/>
      <c r="I1474" s="68"/>
      <c r="J1474" s="68"/>
      <c r="K1474" s="73"/>
      <c r="L1474" s="68"/>
      <c r="M1474" s="68"/>
      <c r="N1474" s="68"/>
      <c r="O1474" s="68"/>
      <c r="P1474" s="65"/>
      <c r="Q1474" s="103"/>
      <c r="R1474" s="103"/>
      <c r="S1474" s="103"/>
      <c r="T1474" s="103"/>
      <c r="U1474" s="68"/>
      <c r="V1474" s="68"/>
      <c r="W1474" s="68"/>
      <c r="X1474" s="68"/>
      <c r="Y1474" s="68"/>
      <c r="Z1474" s="68"/>
      <c r="AA1474" s="68"/>
      <c r="AB1474" s="68"/>
      <c r="AC1474" s="68"/>
      <c r="AD1474" s="68"/>
      <c r="AE1474" s="68"/>
      <c r="AF1474" s="68"/>
      <c r="AG1474" s="68"/>
      <c r="AH1474" s="68"/>
      <c r="AI1474" s="68"/>
      <c r="AJ1474" s="68"/>
      <c r="AK1474" s="68"/>
      <c r="AL1474" s="68"/>
      <c r="AM1474" s="68"/>
      <c r="AN1474" s="68"/>
      <c r="AO1474" s="68"/>
      <c r="AP1474" s="68"/>
      <c r="AQ1474" s="68"/>
      <c r="AR1474" s="68"/>
      <c r="AS1474" s="68"/>
      <c r="AT1474" s="68"/>
      <c r="AU1474" s="68"/>
      <c r="AV1474" s="68"/>
      <c r="AW1474" s="68"/>
      <c r="AX1474" s="68"/>
      <c r="AY1474" s="68"/>
      <c r="AZ1474" s="68"/>
      <c r="BA1474" s="68"/>
      <c r="BB1474" s="68"/>
      <c r="BC1474" s="68"/>
      <c r="BD1474" s="68"/>
      <c r="BE1474" s="68"/>
      <c r="BF1474" s="68"/>
      <c r="BG1474" s="68"/>
      <c r="BH1474" s="68"/>
      <c r="BI1474" s="68"/>
      <c r="BJ1474" s="68"/>
      <c r="BK1474" s="68"/>
      <c r="BL1474" s="68"/>
      <c r="BM1474" s="68"/>
      <c r="BN1474" s="68"/>
      <c r="BO1474" s="68"/>
      <c r="BP1474" s="68"/>
      <c r="BQ1474" s="68"/>
      <c r="BR1474" s="68"/>
      <c r="BS1474" s="68"/>
      <c r="BT1474" s="68"/>
      <c r="BU1474" s="68"/>
      <c r="BV1474" s="68"/>
      <c r="BW1474" s="68"/>
      <c r="BX1474" s="68"/>
      <c r="BY1474" s="68"/>
      <c r="BZ1474" s="68"/>
      <c r="CA1474" s="68"/>
      <c r="CB1474" s="68"/>
      <c r="CC1474" s="68"/>
      <c r="CD1474" s="68"/>
      <c r="CE1474" s="68"/>
      <c r="CF1474" s="68"/>
      <c r="CG1474" s="68"/>
      <c r="CH1474" s="68"/>
      <c r="CI1474" s="68"/>
      <c r="CJ1474" s="68"/>
      <c r="CK1474" s="68"/>
      <c r="CL1474" s="68"/>
      <c r="CM1474" s="68"/>
      <c r="CN1474" s="68"/>
      <c r="CO1474" s="68"/>
      <c r="CP1474" s="68"/>
      <c r="CQ1474" s="68"/>
      <c r="CR1474" s="68"/>
      <c r="CS1474" s="68"/>
      <c r="CT1474" s="68"/>
      <c r="CU1474" s="68"/>
      <c r="CV1474" s="68"/>
      <c r="CW1474" s="68"/>
      <c r="CX1474" s="68"/>
    </row>
    <row r="1475" spans="4:102" s="71" customFormat="1" hidden="1">
      <c r="D1475" s="69"/>
      <c r="E1475" s="68"/>
      <c r="F1475" s="68"/>
      <c r="G1475" s="68"/>
      <c r="H1475" s="68"/>
      <c r="I1475" s="68"/>
      <c r="J1475" s="68"/>
      <c r="K1475" s="73"/>
      <c r="L1475" s="68"/>
      <c r="M1475" s="68"/>
      <c r="N1475" s="68"/>
      <c r="O1475" s="68"/>
      <c r="P1475" s="65"/>
      <c r="Q1475" s="103"/>
      <c r="R1475" s="103"/>
      <c r="S1475" s="103"/>
      <c r="T1475" s="103"/>
      <c r="U1475" s="68"/>
      <c r="V1475" s="68"/>
      <c r="W1475" s="68"/>
      <c r="X1475" s="68"/>
      <c r="Y1475" s="68"/>
      <c r="Z1475" s="68"/>
      <c r="AA1475" s="68"/>
      <c r="AB1475" s="68"/>
      <c r="AC1475" s="68"/>
      <c r="AD1475" s="68"/>
      <c r="AE1475" s="68"/>
      <c r="AF1475" s="68"/>
      <c r="AG1475" s="68"/>
      <c r="AH1475" s="68"/>
      <c r="AI1475" s="68"/>
      <c r="AJ1475" s="68"/>
      <c r="AK1475" s="68"/>
      <c r="AL1475" s="68"/>
      <c r="AM1475" s="68"/>
      <c r="AN1475" s="68"/>
      <c r="AO1475" s="68"/>
      <c r="AP1475" s="68"/>
      <c r="AQ1475" s="68"/>
      <c r="AR1475" s="68"/>
      <c r="AS1475" s="68"/>
      <c r="AT1475" s="68"/>
      <c r="AU1475" s="68"/>
      <c r="AV1475" s="68"/>
      <c r="AW1475" s="68"/>
      <c r="AX1475" s="68"/>
      <c r="AY1475" s="68"/>
      <c r="AZ1475" s="68"/>
      <c r="BA1475" s="68"/>
      <c r="BB1475" s="68"/>
      <c r="BC1475" s="68"/>
      <c r="BD1475" s="68"/>
      <c r="BE1475" s="68"/>
      <c r="BF1475" s="68"/>
      <c r="BG1475" s="68"/>
      <c r="BH1475" s="68"/>
      <c r="BI1475" s="68"/>
      <c r="BJ1475" s="68"/>
      <c r="BK1475" s="68"/>
      <c r="BL1475" s="68"/>
      <c r="BM1475" s="68"/>
      <c r="BN1475" s="68"/>
      <c r="BO1475" s="68"/>
      <c r="BP1475" s="68"/>
      <c r="BQ1475" s="68"/>
      <c r="BR1475" s="68"/>
      <c r="BS1475" s="68"/>
      <c r="BT1475" s="68"/>
      <c r="BU1475" s="68"/>
      <c r="BV1475" s="68"/>
      <c r="BW1475" s="68"/>
      <c r="BX1475" s="68"/>
      <c r="BY1475" s="68"/>
      <c r="BZ1475" s="68"/>
      <c r="CA1475" s="68"/>
      <c r="CB1475" s="68"/>
      <c r="CC1475" s="68"/>
      <c r="CD1475" s="68"/>
      <c r="CE1475" s="68"/>
      <c r="CF1475" s="68"/>
      <c r="CG1475" s="68"/>
      <c r="CH1475" s="68"/>
      <c r="CI1475" s="68"/>
      <c r="CJ1475" s="68"/>
      <c r="CK1475" s="68"/>
      <c r="CL1475" s="68"/>
      <c r="CM1475" s="68"/>
      <c r="CN1475" s="68"/>
      <c r="CO1475" s="68"/>
      <c r="CP1475" s="68"/>
      <c r="CQ1475" s="68"/>
      <c r="CR1475" s="68"/>
      <c r="CS1475" s="68"/>
      <c r="CT1475" s="68"/>
      <c r="CU1475" s="68"/>
      <c r="CV1475" s="68"/>
      <c r="CW1475" s="68"/>
      <c r="CX1475" s="68"/>
    </row>
    <row r="1476" spans="4:102" s="71" customFormat="1" hidden="1">
      <c r="D1476" s="69"/>
      <c r="E1476" s="68"/>
      <c r="F1476" s="68"/>
      <c r="G1476" s="68"/>
      <c r="H1476" s="68"/>
      <c r="I1476" s="68"/>
      <c r="J1476" s="68"/>
      <c r="K1476" s="73"/>
      <c r="L1476" s="68"/>
      <c r="M1476" s="68"/>
      <c r="N1476" s="68"/>
      <c r="O1476" s="68"/>
      <c r="P1476" s="65"/>
      <c r="Q1476" s="103"/>
      <c r="R1476" s="103"/>
      <c r="S1476" s="103"/>
      <c r="T1476" s="103"/>
      <c r="U1476" s="68"/>
      <c r="V1476" s="68"/>
      <c r="W1476" s="68"/>
      <c r="X1476" s="68"/>
      <c r="Y1476" s="68"/>
      <c r="Z1476" s="68"/>
      <c r="AA1476" s="68"/>
      <c r="AB1476" s="68"/>
      <c r="AC1476" s="68"/>
      <c r="AD1476" s="68"/>
      <c r="AE1476" s="68"/>
      <c r="AF1476" s="68"/>
      <c r="AG1476" s="68"/>
      <c r="AH1476" s="68"/>
      <c r="AI1476" s="68"/>
      <c r="AJ1476" s="68"/>
      <c r="AK1476" s="68"/>
      <c r="AL1476" s="68"/>
      <c r="AM1476" s="68"/>
      <c r="AN1476" s="68"/>
      <c r="AO1476" s="68"/>
      <c r="AP1476" s="68"/>
      <c r="AQ1476" s="68"/>
      <c r="AR1476" s="68"/>
      <c r="AS1476" s="68"/>
      <c r="AT1476" s="68"/>
      <c r="AU1476" s="68"/>
      <c r="AV1476" s="68"/>
      <c r="AW1476" s="68"/>
      <c r="AX1476" s="68"/>
      <c r="AY1476" s="68"/>
      <c r="AZ1476" s="68"/>
      <c r="BA1476" s="68"/>
      <c r="BB1476" s="68"/>
      <c r="BC1476" s="68"/>
      <c r="BD1476" s="68"/>
      <c r="BE1476" s="68"/>
      <c r="BF1476" s="68"/>
      <c r="BG1476" s="68"/>
      <c r="BH1476" s="68"/>
      <c r="BI1476" s="68"/>
      <c r="BJ1476" s="68"/>
      <c r="BK1476" s="68"/>
      <c r="BL1476" s="68"/>
      <c r="BM1476" s="68"/>
      <c r="BN1476" s="68"/>
      <c r="BO1476" s="68"/>
      <c r="BP1476" s="68"/>
      <c r="BQ1476" s="68"/>
      <c r="BR1476" s="68"/>
      <c r="BS1476" s="68"/>
      <c r="BT1476" s="68"/>
      <c r="BU1476" s="68"/>
      <c r="BV1476" s="68"/>
      <c r="BW1476" s="68"/>
      <c r="BX1476" s="68"/>
      <c r="BY1476" s="68"/>
      <c r="BZ1476" s="68"/>
      <c r="CA1476" s="68"/>
      <c r="CB1476" s="68"/>
      <c r="CC1476" s="68"/>
      <c r="CD1476" s="68"/>
      <c r="CE1476" s="68"/>
      <c r="CF1476" s="68"/>
      <c r="CG1476" s="68"/>
      <c r="CH1476" s="68"/>
      <c r="CI1476" s="68"/>
      <c r="CJ1476" s="68"/>
      <c r="CK1476" s="68"/>
      <c r="CL1476" s="68"/>
      <c r="CM1476" s="68"/>
      <c r="CN1476" s="68"/>
      <c r="CO1476" s="68"/>
      <c r="CP1476" s="68"/>
      <c r="CQ1476" s="68"/>
      <c r="CR1476" s="68"/>
      <c r="CS1476" s="68"/>
      <c r="CT1476" s="68"/>
      <c r="CU1476" s="68"/>
      <c r="CV1476" s="68"/>
      <c r="CW1476" s="68"/>
      <c r="CX1476" s="68"/>
    </row>
    <row r="1477" spans="4:102" s="71" customFormat="1" hidden="1">
      <c r="D1477" s="69"/>
      <c r="E1477" s="68"/>
      <c r="F1477" s="68"/>
      <c r="G1477" s="68"/>
      <c r="H1477" s="68"/>
      <c r="I1477" s="68"/>
      <c r="J1477" s="68"/>
      <c r="K1477" s="73"/>
      <c r="L1477" s="68"/>
      <c r="M1477" s="68"/>
      <c r="N1477" s="68"/>
      <c r="O1477" s="68"/>
      <c r="P1477" s="65"/>
      <c r="Q1477" s="103"/>
      <c r="R1477" s="103"/>
      <c r="S1477" s="103"/>
      <c r="T1477" s="103"/>
      <c r="U1477" s="68"/>
      <c r="V1477" s="68"/>
      <c r="W1477" s="68"/>
      <c r="X1477" s="68"/>
      <c r="Y1477" s="68"/>
      <c r="Z1477" s="68"/>
      <c r="AA1477" s="68"/>
      <c r="AB1477" s="68"/>
      <c r="AC1477" s="68"/>
      <c r="AD1477" s="68"/>
      <c r="AE1477" s="68"/>
      <c r="AF1477" s="68"/>
      <c r="AG1477" s="68"/>
      <c r="AH1477" s="68"/>
      <c r="AI1477" s="68"/>
      <c r="AJ1477" s="68"/>
      <c r="AK1477" s="68"/>
      <c r="AL1477" s="68"/>
      <c r="AM1477" s="68"/>
      <c r="AN1477" s="68"/>
      <c r="AO1477" s="68"/>
      <c r="AP1477" s="68"/>
      <c r="AQ1477" s="68"/>
      <c r="AR1477" s="68"/>
      <c r="AS1477" s="68"/>
      <c r="AT1477" s="68"/>
      <c r="AU1477" s="68"/>
      <c r="AV1477" s="68"/>
      <c r="AW1477" s="68"/>
      <c r="AX1477" s="68"/>
      <c r="AY1477" s="68"/>
      <c r="AZ1477" s="68"/>
      <c r="BA1477" s="68"/>
      <c r="BB1477" s="68"/>
      <c r="BC1477" s="68"/>
      <c r="BD1477" s="68"/>
      <c r="BE1477" s="68"/>
      <c r="BF1477" s="68"/>
      <c r="BG1477" s="68"/>
      <c r="BH1477" s="68"/>
      <c r="BI1477" s="68"/>
      <c r="BJ1477" s="68"/>
      <c r="BK1477" s="68"/>
      <c r="BL1477" s="68"/>
      <c r="BM1477" s="68"/>
      <c r="BN1477" s="68"/>
      <c r="BO1477" s="68"/>
      <c r="BP1477" s="68"/>
      <c r="BQ1477" s="68"/>
      <c r="BR1477" s="68"/>
      <c r="BS1477" s="68"/>
      <c r="BT1477" s="68"/>
      <c r="BU1477" s="68"/>
      <c r="BV1477" s="68"/>
      <c r="BW1477" s="68"/>
      <c r="BX1477" s="68"/>
      <c r="BY1477" s="68"/>
      <c r="BZ1477" s="68"/>
      <c r="CA1477" s="68"/>
      <c r="CB1477" s="68"/>
      <c r="CC1477" s="68"/>
      <c r="CD1477" s="68"/>
      <c r="CE1477" s="68"/>
      <c r="CF1477" s="68"/>
      <c r="CG1477" s="68"/>
      <c r="CH1477" s="68"/>
      <c r="CI1477" s="68"/>
      <c r="CJ1477" s="68"/>
      <c r="CK1477" s="68"/>
      <c r="CL1477" s="68"/>
      <c r="CM1477" s="68"/>
      <c r="CN1477" s="68"/>
      <c r="CO1477" s="68"/>
      <c r="CP1477" s="68"/>
      <c r="CQ1477" s="68"/>
      <c r="CR1477" s="68"/>
      <c r="CS1477" s="68"/>
      <c r="CT1477" s="68"/>
      <c r="CU1477" s="68"/>
      <c r="CV1477" s="68"/>
      <c r="CW1477" s="68"/>
      <c r="CX1477" s="68"/>
    </row>
    <row r="1478" spans="4:102" s="71" customFormat="1" hidden="1">
      <c r="D1478" s="69"/>
      <c r="E1478" s="68"/>
      <c r="F1478" s="68"/>
      <c r="G1478" s="68"/>
      <c r="H1478" s="68"/>
      <c r="I1478" s="68"/>
      <c r="J1478" s="68"/>
      <c r="K1478" s="73"/>
      <c r="L1478" s="68"/>
      <c r="M1478" s="68"/>
      <c r="N1478" s="68"/>
      <c r="O1478" s="68"/>
      <c r="P1478" s="65"/>
      <c r="Q1478" s="103"/>
      <c r="R1478" s="103"/>
      <c r="S1478" s="103"/>
      <c r="T1478" s="103"/>
      <c r="U1478" s="68"/>
      <c r="V1478" s="68"/>
      <c r="W1478" s="68"/>
      <c r="X1478" s="68"/>
      <c r="Y1478" s="68"/>
      <c r="Z1478" s="68"/>
      <c r="AA1478" s="68"/>
      <c r="AB1478" s="68"/>
      <c r="AC1478" s="68"/>
      <c r="AD1478" s="68"/>
      <c r="AE1478" s="68"/>
      <c r="AF1478" s="68"/>
      <c r="AG1478" s="68"/>
      <c r="AH1478" s="68"/>
      <c r="AI1478" s="68"/>
      <c r="AJ1478" s="68"/>
      <c r="AK1478" s="68"/>
      <c r="AL1478" s="68"/>
      <c r="AM1478" s="68"/>
      <c r="AN1478" s="68"/>
      <c r="AO1478" s="68"/>
      <c r="AP1478" s="68"/>
      <c r="AQ1478" s="68"/>
      <c r="AR1478" s="68"/>
      <c r="AS1478" s="68"/>
      <c r="AT1478" s="68"/>
      <c r="AU1478" s="68"/>
      <c r="AV1478" s="68"/>
      <c r="AW1478" s="68"/>
      <c r="AX1478" s="68"/>
      <c r="AY1478" s="68"/>
      <c r="AZ1478" s="68"/>
      <c r="BA1478" s="68"/>
      <c r="BB1478" s="68"/>
      <c r="BC1478" s="68"/>
      <c r="BD1478" s="68"/>
      <c r="BE1478" s="68"/>
      <c r="BF1478" s="68"/>
      <c r="BG1478" s="68"/>
      <c r="BH1478" s="68"/>
      <c r="BI1478" s="68"/>
      <c r="BJ1478" s="68"/>
      <c r="BK1478" s="68"/>
      <c r="BL1478" s="68"/>
      <c r="BM1478" s="68"/>
      <c r="BN1478" s="68"/>
      <c r="BO1478" s="68"/>
      <c r="BP1478" s="68"/>
      <c r="BQ1478" s="68"/>
      <c r="BR1478" s="68"/>
      <c r="BS1478" s="68"/>
      <c r="BT1478" s="68"/>
      <c r="BU1478" s="68"/>
      <c r="BV1478" s="68"/>
      <c r="BW1478" s="68"/>
      <c r="BX1478" s="68"/>
      <c r="BY1478" s="68"/>
      <c r="BZ1478" s="68"/>
      <c r="CA1478" s="68"/>
      <c r="CB1478" s="68"/>
      <c r="CC1478" s="68"/>
      <c r="CD1478" s="68"/>
      <c r="CE1478" s="68"/>
      <c r="CF1478" s="68"/>
      <c r="CG1478" s="68"/>
      <c r="CH1478" s="68"/>
      <c r="CI1478" s="68"/>
      <c r="CJ1478" s="68"/>
      <c r="CK1478" s="68"/>
      <c r="CL1478" s="68"/>
      <c r="CM1478" s="68"/>
      <c r="CN1478" s="68"/>
      <c r="CO1478" s="68"/>
      <c r="CP1478" s="68"/>
      <c r="CQ1478" s="68"/>
      <c r="CR1478" s="68"/>
      <c r="CS1478" s="68"/>
      <c r="CT1478" s="68"/>
      <c r="CU1478" s="68"/>
      <c r="CV1478" s="68"/>
      <c r="CW1478" s="68"/>
      <c r="CX1478" s="68"/>
    </row>
    <row r="1479" spans="4:102" s="71" customFormat="1" hidden="1">
      <c r="D1479" s="69"/>
      <c r="E1479" s="68"/>
      <c r="F1479" s="68"/>
      <c r="G1479" s="68"/>
      <c r="H1479" s="68"/>
      <c r="I1479" s="68"/>
      <c r="J1479" s="68"/>
      <c r="K1479" s="73"/>
      <c r="L1479" s="68"/>
      <c r="M1479" s="68"/>
      <c r="N1479" s="68"/>
      <c r="O1479" s="68"/>
      <c r="P1479" s="65"/>
      <c r="Q1479" s="103"/>
      <c r="R1479" s="103"/>
      <c r="S1479" s="103"/>
      <c r="T1479" s="103"/>
      <c r="U1479" s="68"/>
      <c r="V1479" s="68"/>
      <c r="W1479" s="68"/>
      <c r="X1479" s="68"/>
      <c r="Y1479" s="68"/>
      <c r="Z1479" s="68"/>
      <c r="AA1479" s="68"/>
      <c r="AB1479" s="68"/>
      <c r="AC1479" s="68"/>
      <c r="AD1479" s="68"/>
      <c r="AE1479" s="68"/>
      <c r="AF1479" s="68"/>
      <c r="AG1479" s="68"/>
      <c r="AH1479" s="68"/>
      <c r="AI1479" s="68"/>
      <c r="AJ1479" s="68"/>
      <c r="AK1479" s="68"/>
      <c r="AL1479" s="68"/>
      <c r="AM1479" s="68"/>
      <c r="AN1479" s="68"/>
      <c r="AO1479" s="68"/>
      <c r="AP1479" s="68"/>
      <c r="AQ1479" s="68"/>
      <c r="AR1479" s="68"/>
      <c r="AS1479" s="68"/>
      <c r="AT1479" s="68"/>
      <c r="AU1479" s="68"/>
      <c r="AV1479" s="68"/>
      <c r="AW1479" s="68"/>
      <c r="AX1479" s="68"/>
      <c r="AY1479" s="68"/>
      <c r="AZ1479" s="68"/>
      <c r="BA1479" s="68"/>
      <c r="BB1479" s="68"/>
      <c r="BC1479" s="68"/>
      <c r="BD1479" s="68"/>
      <c r="BE1479" s="68"/>
      <c r="BF1479" s="68"/>
      <c r="BG1479" s="68"/>
      <c r="BH1479" s="68"/>
      <c r="BI1479" s="68"/>
      <c r="BJ1479" s="68"/>
      <c r="BK1479" s="68"/>
      <c r="BL1479" s="68"/>
      <c r="BM1479" s="68"/>
      <c r="BN1479" s="68"/>
      <c r="BO1479" s="68"/>
      <c r="BP1479" s="68"/>
      <c r="BQ1479" s="68"/>
      <c r="BR1479" s="68"/>
      <c r="BS1479" s="68"/>
      <c r="BT1479" s="68"/>
      <c r="BU1479" s="68"/>
      <c r="BV1479" s="68"/>
      <c r="BW1479" s="68"/>
      <c r="BX1479" s="68"/>
      <c r="BY1479" s="68"/>
      <c r="BZ1479" s="68"/>
      <c r="CA1479" s="68"/>
      <c r="CB1479" s="68"/>
      <c r="CC1479" s="68"/>
      <c r="CD1479" s="68"/>
      <c r="CE1479" s="68"/>
      <c r="CF1479" s="68"/>
      <c r="CG1479" s="68"/>
      <c r="CH1479" s="68"/>
      <c r="CI1479" s="68"/>
      <c r="CJ1479" s="68"/>
      <c r="CK1479" s="68"/>
      <c r="CL1479" s="68"/>
      <c r="CM1479" s="68"/>
      <c r="CN1479" s="68"/>
      <c r="CO1479" s="68"/>
      <c r="CP1479" s="68"/>
      <c r="CQ1479" s="68"/>
      <c r="CR1479" s="68"/>
      <c r="CS1479" s="68"/>
      <c r="CT1479" s="68"/>
      <c r="CU1479" s="68"/>
      <c r="CV1479" s="68"/>
      <c r="CW1479" s="68"/>
      <c r="CX1479" s="68"/>
    </row>
    <row r="1480" spans="4:102" s="71" customFormat="1" hidden="1">
      <c r="D1480" s="69"/>
      <c r="E1480" s="68"/>
      <c r="F1480" s="68"/>
      <c r="G1480" s="68"/>
      <c r="H1480" s="68"/>
      <c r="I1480" s="68"/>
      <c r="J1480" s="68"/>
      <c r="K1480" s="73"/>
      <c r="L1480" s="68"/>
      <c r="M1480" s="68"/>
      <c r="N1480" s="68"/>
      <c r="O1480" s="68"/>
      <c r="P1480" s="65"/>
      <c r="Q1480" s="103"/>
      <c r="R1480" s="103"/>
      <c r="S1480" s="103"/>
      <c r="T1480" s="103"/>
      <c r="U1480" s="68"/>
      <c r="V1480" s="68"/>
      <c r="W1480" s="68"/>
      <c r="X1480" s="68"/>
      <c r="Y1480" s="68"/>
      <c r="Z1480" s="68"/>
      <c r="AA1480" s="68"/>
      <c r="AB1480" s="68"/>
      <c r="AC1480" s="68"/>
      <c r="AD1480" s="68"/>
      <c r="AE1480" s="68"/>
      <c r="AF1480" s="68"/>
      <c r="AG1480" s="68"/>
      <c r="AH1480" s="68"/>
      <c r="AI1480" s="68"/>
      <c r="AJ1480" s="68"/>
      <c r="AK1480" s="68"/>
      <c r="AL1480" s="68"/>
      <c r="AM1480" s="68"/>
      <c r="AN1480" s="68"/>
      <c r="AO1480" s="68"/>
      <c r="AP1480" s="68"/>
      <c r="AQ1480" s="68"/>
      <c r="AR1480" s="68"/>
      <c r="AS1480" s="68"/>
      <c r="AT1480" s="68"/>
      <c r="AU1480" s="68"/>
      <c r="AV1480" s="68"/>
      <c r="AW1480" s="68"/>
      <c r="AX1480" s="68"/>
      <c r="AY1480" s="68"/>
      <c r="AZ1480" s="68"/>
      <c r="BA1480" s="68"/>
      <c r="BB1480" s="68"/>
      <c r="BC1480" s="68"/>
      <c r="BD1480" s="68"/>
      <c r="BE1480" s="68"/>
      <c r="BF1480" s="68"/>
      <c r="BG1480" s="68"/>
      <c r="BH1480" s="68"/>
      <c r="BI1480" s="68"/>
      <c r="BJ1480" s="68"/>
      <c r="BK1480" s="68"/>
      <c r="BL1480" s="68"/>
      <c r="BM1480" s="68"/>
      <c r="BN1480" s="68"/>
      <c r="BO1480" s="68"/>
      <c r="BP1480" s="68"/>
      <c r="BQ1480" s="68"/>
      <c r="BR1480" s="68"/>
      <c r="BS1480" s="68"/>
      <c r="BT1480" s="68"/>
      <c r="BU1480" s="68"/>
      <c r="BV1480" s="68"/>
      <c r="BW1480" s="68"/>
      <c r="BX1480" s="68"/>
      <c r="BY1480" s="68"/>
      <c r="BZ1480" s="68"/>
      <c r="CA1480" s="68"/>
      <c r="CB1480" s="68"/>
      <c r="CC1480" s="68"/>
      <c r="CD1480" s="68"/>
      <c r="CE1480" s="68"/>
      <c r="CF1480" s="68"/>
      <c r="CG1480" s="68"/>
      <c r="CH1480" s="68"/>
      <c r="CI1480" s="68"/>
      <c r="CJ1480" s="68"/>
      <c r="CK1480" s="68"/>
      <c r="CL1480" s="68"/>
      <c r="CM1480" s="68"/>
      <c r="CN1480" s="68"/>
      <c r="CO1480" s="68"/>
      <c r="CP1480" s="68"/>
      <c r="CQ1480" s="68"/>
      <c r="CR1480" s="68"/>
      <c r="CS1480" s="68"/>
      <c r="CT1480" s="68"/>
      <c r="CU1480" s="68"/>
      <c r="CV1480" s="68"/>
      <c r="CW1480" s="68"/>
      <c r="CX1480" s="68"/>
    </row>
    <row r="1481" spans="4:102" s="71" customFormat="1" hidden="1">
      <c r="D1481" s="69"/>
      <c r="E1481" s="68"/>
      <c r="F1481" s="68"/>
      <c r="G1481" s="68"/>
      <c r="H1481" s="68"/>
      <c r="I1481" s="68"/>
      <c r="J1481" s="68"/>
      <c r="K1481" s="73"/>
      <c r="L1481" s="68"/>
      <c r="M1481" s="68"/>
      <c r="N1481" s="68"/>
      <c r="O1481" s="68"/>
      <c r="P1481" s="65"/>
      <c r="Q1481" s="103"/>
      <c r="R1481" s="103"/>
      <c r="S1481" s="103"/>
      <c r="T1481" s="103"/>
      <c r="U1481" s="68"/>
      <c r="V1481" s="68"/>
      <c r="W1481" s="68"/>
      <c r="X1481" s="68"/>
      <c r="Y1481" s="68"/>
      <c r="Z1481" s="68"/>
      <c r="AA1481" s="68"/>
      <c r="AB1481" s="68"/>
      <c r="AC1481" s="68"/>
      <c r="AD1481" s="68"/>
      <c r="AE1481" s="68"/>
      <c r="AF1481" s="68"/>
      <c r="AG1481" s="68"/>
      <c r="AH1481" s="68"/>
      <c r="AI1481" s="68"/>
      <c r="AJ1481" s="68"/>
      <c r="AK1481" s="68"/>
      <c r="AL1481" s="68"/>
      <c r="AM1481" s="68"/>
      <c r="AN1481" s="68"/>
      <c r="AO1481" s="68"/>
      <c r="AP1481" s="68"/>
      <c r="AQ1481" s="68"/>
      <c r="AR1481" s="68"/>
      <c r="AS1481" s="68"/>
      <c r="AT1481" s="68"/>
      <c r="AU1481" s="68"/>
      <c r="AV1481" s="68"/>
      <c r="AW1481" s="68"/>
      <c r="AX1481" s="68"/>
      <c r="AY1481" s="68"/>
      <c r="AZ1481" s="68"/>
      <c r="BA1481" s="68"/>
      <c r="BB1481" s="68"/>
      <c r="BC1481" s="68"/>
      <c r="BD1481" s="68"/>
      <c r="BE1481" s="68"/>
      <c r="BF1481" s="68"/>
      <c r="BG1481" s="68"/>
      <c r="BH1481" s="68"/>
      <c r="BI1481" s="68"/>
      <c r="BJ1481" s="68"/>
      <c r="BK1481" s="68"/>
      <c r="BL1481" s="68"/>
      <c r="BM1481" s="68"/>
      <c r="BN1481" s="68"/>
      <c r="BO1481" s="68"/>
      <c r="BP1481" s="68"/>
      <c r="BQ1481" s="68"/>
      <c r="BR1481" s="68"/>
      <c r="BS1481" s="68"/>
      <c r="BT1481" s="68"/>
      <c r="BU1481" s="68"/>
      <c r="BV1481" s="68"/>
      <c r="BW1481" s="68"/>
      <c r="BX1481" s="68"/>
      <c r="BY1481" s="68"/>
      <c r="BZ1481" s="68"/>
      <c r="CA1481" s="68"/>
      <c r="CB1481" s="68"/>
      <c r="CC1481" s="68"/>
      <c r="CD1481" s="68"/>
      <c r="CE1481" s="68"/>
      <c r="CF1481" s="68"/>
      <c r="CG1481" s="68"/>
      <c r="CH1481" s="68"/>
      <c r="CI1481" s="68"/>
      <c r="CJ1481" s="68"/>
      <c r="CK1481" s="68"/>
      <c r="CL1481" s="68"/>
      <c r="CM1481" s="68"/>
      <c r="CN1481" s="68"/>
      <c r="CO1481" s="68"/>
      <c r="CP1481" s="68"/>
      <c r="CQ1481" s="68"/>
      <c r="CR1481" s="68"/>
      <c r="CS1481" s="68"/>
      <c r="CT1481" s="68"/>
      <c r="CU1481" s="68"/>
      <c r="CV1481" s="68"/>
      <c r="CW1481" s="68"/>
      <c r="CX1481" s="68"/>
    </row>
    <row r="1482" spans="4:102" s="71" customFormat="1" hidden="1">
      <c r="D1482" s="69"/>
      <c r="E1482" s="68"/>
      <c r="F1482" s="68"/>
      <c r="G1482" s="68"/>
      <c r="H1482" s="68"/>
      <c r="I1482" s="68"/>
      <c r="J1482" s="68"/>
      <c r="K1482" s="73"/>
      <c r="L1482" s="68"/>
      <c r="M1482" s="68"/>
      <c r="N1482" s="68"/>
      <c r="O1482" s="68"/>
      <c r="P1482" s="65"/>
      <c r="Q1482" s="103"/>
      <c r="R1482" s="103"/>
      <c r="S1482" s="103"/>
      <c r="T1482" s="103"/>
      <c r="U1482" s="68"/>
      <c r="V1482" s="68"/>
      <c r="W1482" s="68"/>
      <c r="X1482" s="68"/>
      <c r="Y1482" s="68"/>
      <c r="Z1482" s="68"/>
      <c r="AA1482" s="68"/>
      <c r="AB1482" s="68"/>
      <c r="AC1482" s="68"/>
      <c r="AD1482" s="68"/>
      <c r="AE1482" s="68"/>
      <c r="AF1482" s="68"/>
      <c r="AG1482" s="68"/>
      <c r="AH1482" s="68"/>
      <c r="AI1482" s="68"/>
      <c r="AJ1482" s="68"/>
      <c r="AK1482" s="68"/>
      <c r="AL1482" s="68"/>
      <c r="AM1482" s="68"/>
      <c r="AN1482" s="68"/>
      <c r="AO1482" s="68"/>
      <c r="AP1482" s="68"/>
      <c r="AQ1482" s="68"/>
      <c r="AR1482" s="68"/>
      <c r="AS1482" s="68"/>
      <c r="AT1482" s="68"/>
      <c r="AU1482" s="68"/>
      <c r="AV1482" s="68"/>
      <c r="AW1482" s="68"/>
      <c r="AX1482" s="68"/>
      <c r="AY1482" s="68"/>
      <c r="AZ1482" s="68"/>
      <c r="BA1482" s="68"/>
      <c r="BB1482" s="68"/>
      <c r="BC1482" s="68"/>
      <c r="BD1482" s="68"/>
      <c r="BE1482" s="68"/>
      <c r="BF1482" s="68"/>
      <c r="BG1482" s="68"/>
      <c r="BH1482" s="68"/>
      <c r="BI1482" s="68"/>
      <c r="BJ1482" s="68"/>
      <c r="BK1482" s="68"/>
      <c r="BL1482" s="68"/>
      <c r="BM1482" s="68"/>
      <c r="BN1482" s="68"/>
      <c r="BO1482" s="68"/>
      <c r="BP1482" s="68"/>
      <c r="BQ1482" s="68"/>
      <c r="BR1482" s="68"/>
      <c r="BS1482" s="68"/>
      <c r="BT1482" s="68"/>
      <c r="BU1482" s="68"/>
      <c r="BV1482" s="68"/>
      <c r="BW1482" s="68"/>
      <c r="BX1482" s="68"/>
      <c r="BY1482" s="68"/>
      <c r="BZ1482" s="68"/>
      <c r="CA1482" s="68"/>
      <c r="CB1482" s="68"/>
      <c r="CC1482" s="68"/>
      <c r="CD1482" s="68"/>
      <c r="CE1482" s="68"/>
      <c r="CF1482" s="68"/>
      <c r="CG1482" s="68"/>
      <c r="CH1482" s="68"/>
      <c r="CI1482" s="68"/>
      <c r="CJ1482" s="68"/>
      <c r="CK1482" s="68"/>
      <c r="CL1482" s="68"/>
      <c r="CM1482" s="68"/>
      <c r="CN1482" s="68"/>
      <c r="CO1482" s="68"/>
      <c r="CP1482" s="68"/>
      <c r="CQ1482" s="68"/>
      <c r="CR1482" s="68"/>
      <c r="CS1482" s="68"/>
      <c r="CT1482" s="68"/>
      <c r="CU1482" s="68"/>
      <c r="CV1482" s="68"/>
      <c r="CW1482" s="68"/>
      <c r="CX1482" s="68"/>
    </row>
    <row r="1483" spans="4:102" s="71" customFormat="1" hidden="1">
      <c r="D1483" s="69"/>
      <c r="E1483" s="68"/>
      <c r="F1483" s="68"/>
      <c r="G1483" s="68"/>
      <c r="H1483" s="68"/>
      <c r="I1483" s="68"/>
      <c r="J1483" s="68"/>
      <c r="K1483" s="73"/>
      <c r="L1483" s="68"/>
      <c r="M1483" s="68"/>
      <c r="N1483" s="68"/>
      <c r="O1483" s="68"/>
      <c r="P1483" s="65"/>
      <c r="Q1483" s="103"/>
      <c r="R1483" s="103"/>
      <c r="S1483" s="103"/>
      <c r="T1483" s="103"/>
      <c r="U1483" s="68"/>
      <c r="V1483" s="68"/>
      <c r="W1483" s="68"/>
      <c r="X1483" s="68"/>
      <c r="Y1483" s="68"/>
      <c r="Z1483" s="68"/>
      <c r="AA1483" s="68"/>
      <c r="AB1483" s="68"/>
      <c r="AC1483" s="68"/>
      <c r="AD1483" s="68"/>
      <c r="AE1483" s="68"/>
      <c r="AF1483" s="68"/>
      <c r="AG1483" s="68"/>
      <c r="AH1483" s="68"/>
      <c r="AI1483" s="68"/>
      <c r="AJ1483" s="68"/>
      <c r="AK1483" s="68"/>
      <c r="AL1483" s="68"/>
      <c r="AM1483" s="68"/>
      <c r="AN1483" s="68"/>
      <c r="AO1483" s="68"/>
      <c r="AP1483" s="68"/>
      <c r="AQ1483" s="68"/>
      <c r="AR1483" s="68"/>
      <c r="AS1483" s="68"/>
      <c r="AT1483" s="68"/>
      <c r="AU1483" s="68"/>
      <c r="AV1483" s="68"/>
      <c r="AW1483" s="68"/>
      <c r="AX1483" s="68"/>
      <c r="AY1483" s="68"/>
      <c r="AZ1483" s="68"/>
      <c r="BA1483" s="68"/>
      <c r="BB1483" s="68"/>
      <c r="BC1483" s="68"/>
      <c r="BD1483" s="68"/>
      <c r="BE1483" s="68"/>
      <c r="BF1483" s="68"/>
      <c r="BG1483" s="68"/>
      <c r="BH1483" s="68"/>
      <c r="BI1483" s="68"/>
      <c r="BJ1483" s="68"/>
      <c r="BK1483" s="68"/>
      <c r="BL1483" s="68"/>
      <c r="BM1483" s="68"/>
      <c r="BN1483" s="68"/>
      <c r="BO1483" s="68"/>
      <c r="BP1483" s="68"/>
      <c r="BQ1483" s="68"/>
      <c r="BR1483" s="68"/>
      <c r="BS1483" s="68"/>
      <c r="BT1483" s="68"/>
      <c r="BU1483" s="68"/>
      <c r="BV1483" s="68"/>
      <c r="BW1483" s="68"/>
      <c r="BX1483" s="68"/>
      <c r="BY1483" s="68"/>
      <c r="BZ1483" s="68"/>
      <c r="CA1483" s="68"/>
      <c r="CB1483" s="68"/>
      <c r="CC1483" s="68"/>
      <c r="CD1483" s="68"/>
      <c r="CE1483" s="68"/>
      <c r="CF1483" s="68"/>
      <c r="CG1483" s="68"/>
      <c r="CH1483" s="68"/>
      <c r="CI1483" s="68"/>
      <c r="CJ1483" s="68"/>
      <c r="CK1483" s="68"/>
      <c r="CL1483" s="68"/>
      <c r="CM1483" s="68"/>
      <c r="CN1483" s="68"/>
      <c r="CO1483" s="68"/>
      <c r="CP1483" s="68"/>
      <c r="CQ1483" s="68"/>
      <c r="CR1483" s="68"/>
      <c r="CS1483" s="68"/>
      <c r="CT1483" s="68"/>
      <c r="CU1483" s="68"/>
      <c r="CV1483" s="68"/>
      <c r="CW1483" s="68"/>
      <c r="CX1483" s="68"/>
    </row>
    <row r="1484" spans="4:102" s="71" customFormat="1" hidden="1">
      <c r="D1484" s="69"/>
      <c r="E1484" s="68"/>
      <c r="F1484" s="68"/>
      <c r="G1484" s="68"/>
      <c r="H1484" s="68"/>
      <c r="I1484" s="68"/>
      <c r="J1484" s="68"/>
      <c r="K1484" s="73"/>
      <c r="L1484" s="68"/>
      <c r="M1484" s="68"/>
      <c r="N1484" s="68"/>
      <c r="O1484" s="68"/>
      <c r="P1484" s="65"/>
      <c r="Q1484" s="103"/>
      <c r="R1484" s="103"/>
      <c r="S1484" s="103"/>
      <c r="T1484" s="103"/>
      <c r="U1484" s="68"/>
      <c r="V1484" s="68"/>
      <c r="W1484" s="68"/>
      <c r="X1484" s="68"/>
      <c r="Y1484" s="68"/>
      <c r="Z1484" s="68"/>
      <c r="AA1484" s="68"/>
      <c r="AB1484" s="68"/>
      <c r="AC1484" s="68"/>
      <c r="AD1484" s="68"/>
      <c r="AE1484" s="68"/>
      <c r="AF1484" s="68"/>
      <c r="AG1484" s="68"/>
      <c r="AH1484" s="68"/>
      <c r="AI1484" s="68"/>
      <c r="AJ1484" s="68"/>
      <c r="AK1484" s="68"/>
      <c r="AL1484" s="68"/>
      <c r="AM1484" s="68"/>
      <c r="AN1484" s="68"/>
      <c r="AO1484" s="68"/>
      <c r="AP1484" s="68"/>
      <c r="AQ1484" s="68"/>
      <c r="AR1484" s="68"/>
      <c r="AS1484" s="68"/>
      <c r="AT1484" s="68"/>
      <c r="AU1484" s="68"/>
      <c r="AV1484" s="68"/>
      <c r="AW1484" s="68"/>
      <c r="AX1484" s="68"/>
      <c r="AY1484" s="68"/>
      <c r="AZ1484" s="68"/>
      <c r="BA1484" s="68"/>
      <c r="BB1484" s="68"/>
      <c r="BC1484" s="68"/>
      <c r="BD1484" s="68"/>
      <c r="BE1484" s="68"/>
      <c r="BF1484" s="68"/>
      <c r="BG1484" s="68"/>
      <c r="BH1484" s="68"/>
      <c r="BI1484" s="68"/>
      <c r="BJ1484" s="68"/>
      <c r="BK1484" s="68"/>
      <c r="BL1484" s="68"/>
      <c r="BM1484" s="68"/>
      <c r="BN1484" s="68"/>
      <c r="BO1484" s="68"/>
      <c r="BP1484" s="68"/>
      <c r="BQ1484" s="68"/>
      <c r="BR1484" s="68"/>
      <c r="BS1484" s="68"/>
      <c r="BT1484" s="68"/>
      <c r="BU1484" s="68"/>
      <c r="BV1484" s="68"/>
      <c r="BW1484" s="68"/>
      <c r="BX1484" s="68"/>
      <c r="BY1484" s="68"/>
      <c r="BZ1484" s="68"/>
      <c r="CA1484" s="68"/>
      <c r="CB1484" s="68"/>
      <c r="CC1484" s="68"/>
      <c r="CD1484" s="68"/>
      <c r="CE1484" s="68"/>
      <c r="CF1484" s="68"/>
      <c r="CG1484" s="68"/>
      <c r="CH1484" s="68"/>
      <c r="CI1484" s="68"/>
      <c r="CJ1484" s="68"/>
      <c r="CK1484" s="68"/>
      <c r="CL1484" s="68"/>
      <c r="CM1484" s="68"/>
      <c r="CN1484" s="68"/>
      <c r="CO1484" s="68"/>
      <c r="CP1484" s="68"/>
      <c r="CQ1484" s="68"/>
      <c r="CR1484" s="68"/>
      <c r="CS1484" s="68"/>
      <c r="CT1484" s="68"/>
      <c r="CU1484" s="68"/>
      <c r="CV1484" s="68"/>
      <c r="CW1484" s="68"/>
      <c r="CX1484" s="68"/>
    </row>
    <row r="1485" spans="4:102" s="71" customFormat="1" hidden="1">
      <c r="D1485" s="69"/>
      <c r="E1485" s="68"/>
      <c r="F1485" s="68"/>
      <c r="G1485" s="68"/>
      <c r="H1485" s="68"/>
      <c r="I1485" s="68"/>
      <c r="J1485" s="68"/>
      <c r="K1485" s="73"/>
      <c r="L1485" s="68"/>
      <c r="M1485" s="68"/>
      <c r="N1485" s="68"/>
      <c r="O1485" s="68"/>
      <c r="P1485" s="65"/>
      <c r="Q1485" s="103"/>
      <c r="R1485" s="103"/>
      <c r="S1485" s="103"/>
      <c r="T1485" s="103"/>
      <c r="U1485" s="68"/>
      <c r="V1485" s="68"/>
      <c r="W1485" s="68"/>
      <c r="X1485" s="68"/>
      <c r="Y1485" s="68"/>
      <c r="Z1485" s="68"/>
      <c r="AA1485" s="68"/>
      <c r="AB1485" s="68"/>
      <c r="AC1485" s="68"/>
      <c r="AD1485" s="68"/>
      <c r="AE1485" s="68"/>
      <c r="AF1485" s="68"/>
      <c r="AG1485" s="68"/>
      <c r="AH1485" s="68"/>
      <c r="AI1485" s="68"/>
      <c r="AJ1485" s="68"/>
      <c r="AK1485" s="68"/>
      <c r="AL1485" s="68"/>
      <c r="AM1485" s="68"/>
      <c r="AN1485" s="68"/>
      <c r="AO1485" s="68"/>
      <c r="AP1485" s="68"/>
      <c r="AQ1485" s="68"/>
      <c r="AR1485" s="68"/>
      <c r="AS1485" s="68"/>
      <c r="AT1485" s="68"/>
      <c r="AU1485" s="68"/>
      <c r="AV1485" s="68"/>
      <c r="AW1485" s="68"/>
      <c r="AX1485" s="68"/>
      <c r="AY1485" s="68"/>
      <c r="AZ1485" s="68"/>
      <c r="BA1485" s="68"/>
      <c r="BB1485" s="68"/>
      <c r="BC1485" s="68"/>
      <c r="BD1485" s="68"/>
      <c r="BE1485" s="68"/>
      <c r="BF1485" s="68"/>
      <c r="BG1485" s="68"/>
      <c r="BH1485" s="68"/>
      <c r="BI1485" s="68"/>
      <c r="BJ1485" s="68"/>
      <c r="BK1485" s="68"/>
      <c r="BL1485" s="68"/>
      <c r="BM1485" s="68"/>
      <c r="BN1485" s="68"/>
      <c r="BO1485" s="68"/>
      <c r="BP1485" s="68"/>
      <c r="BQ1485" s="68"/>
      <c r="BR1485" s="68"/>
      <c r="BS1485" s="68"/>
      <c r="BT1485" s="68"/>
      <c r="BU1485" s="68"/>
      <c r="BV1485" s="68"/>
      <c r="BW1485" s="68"/>
      <c r="BX1485" s="68"/>
      <c r="BY1485" s="68"/>
      <c r="BZ1485" s="68"/>
      <c r="CA1485" s="68"/>
      <c r="CB1485" s="68"/>
      <c r="CC1485" s="68"/>
      <c r="CD1485" s="68"/>
      <c r="CE1485" s="68"/>
      <c r="CF1485" s="68"/>
      <c r="CG1485" s="68"/>
      <c r="CH1485" s="68"/>
      <c r="CI1485" s="68"/>
      <c r="CJ1485" s="68"/>
      <c r="CK1485" s="68"/>
      <c r="CL1485" s="68"/>
      <c r="CM1485" s="68"/>
      <c r="CN1485" s="68"/>
      <c r="CO1485" s="68"/>
      <c r="CP1485" s="68"/>
      <c r="CQ1485" s="68"/>
      <c r="CR1485" s="68"/>
      <c r="CS1485" s="68"/>
      <c r="CT1485" s="68"/>
      <c r="CU1485" s="68"/>
      <c r="CV1485" s="68"/>
      <c r="CW1485" s="68"/>
      <c r="CX1485" s="68"/>
    </row>
    <row r="1486" spans="4:102" s="71" customFormat="1" hidden="1">
      <c r="D1486" s="69"/>
      <c r="E1486" s="68"/>
      <c r="F1486" s="68"/>
      <c r="G1486" s="68"/>
      <c r="H1486" s="68"/>
      <c r="I1486" s="68"/>
      <c r="J1486" s="68"/>
      <c r="K1486" s="73"/>
      <c r="L1486" s="68"/>
      <c r="M1486" s="68"/>
      <c r="N1486" s="68"/>
      <c r="O1486" s="68"/>
      <c r="P1486" s="65"/>
      <c r="Q1486" s="103"/>
      <c r="R1486" s="103"/>
      <c r="S1486" s="103"/>
      <c r="T1486" s="103"/>
      <c r="U1486" s="68"/>
      <c r="V1486" s="68"/>
      <c r="W1486" s="68"/>
      <c r="X1486" s="68"/>
      <c r="Y1486" s="68"/>
      <c r="Z1486" s="68"/>
      <c r="AA1486" s="68"/>
      <c r="AB1486" s="68"/>
      <c r="AC1486" s="68"/>
      <c r="AD1486" s="68"/>
      <c r="AE1486" s="68"/>
      <c r="AF1486" s="68"/>
      <c r="AG1486" s="68"/>
      <c r="AH1486" s="68"/>
      <c r="AI1486" s="68"/>
      <c r="AJ1486" s="68"/>
      <c r="AK1486" s="68"/>
      <c r="AL1486" s="68"/>
      <c r="AM1486" s="68"/>
      <c r="AN1486" s="68"/>
      <c r="AO1486" s="68"/>
      <c r="AP1486" s="68"/>
      <c r="AQ1486" s="68"/>
      <c r="AR1486" s="68"/>
      <c r="AS1486" s="68"/>
      <c r="AT1486" s="68"/>
      <c r="AU1486" s="68"/>
      <c r="AV1486" s="68"/>
      <c r="AW1486" s="68"/>
      <c r="AX1486" s="68"/>
      <c r="AY1486" s="68"/>
      <c r="AZ1486" s="68"/>
      <c r="BA1486" s="68"/>
      <c r="BB1486" s="68"/>
      <c r="BC1486" s="68"/>
      <c r="BD1486" s="68"/>
      <c r="BE1486" s="68"/>
      <c r="BF1486" s="68"/>
      <c r="BG1486" s="68"/>
      <c r="BH1486" s="68"/>
      <c r="BI1486" s="68"/>
      <c r="BJ1486" s="68"/>
      <c r="BK1486" s="68"/>
      <c r="BL1486" s="68"/>
      <c r="BM1486" s="68"/>
      <c r="BN1486" s="68"/>
      <c r="BO1486" s="68"/>
      <c r="BP1486" s="68"/>
      <c r="BQ1486" s="68"/>
      <c r="BR1486" s="68"/>
      <c r="BS1486" s="68"/>
      <c r="BT1486" s="68"/>
      <c r="BU1486" s="68"/>
      <c r="BV1486" s="68"/>
      <c r="BW1486" s="68"/>
      <c r="BX1486" s="68"/>
      <c r="BY1486" s="68"/>
      <c r="BZ1486" s="68"/>
      <c r="CA1486" s="68"/>
      <c r="CB1486" s="68"/>
      <c r="CC1486" s="68"/>
      <c r="CD1486" s="68"/>
      <c r="CE1486" s="68"/>
      <c r="CF1486" s="68"/>
      <c r="CG1486" s="68"/>
      <c r="CH1486" s="68"/>
      <c r="CI1486" s="68"/>
      <c r="CJ1486" s="68"/>
      <c r="CK1486" s="68"/>
      <c r="CL1486" s="68"/>
      <c r="CM1486" s="68"/>
      <c r="CN1486" s="68"/>
      <c r="CO1486" s="68"/>
      <c r="CP1486" s="68"/>
      <c r="CQ1486" s="68"/>
      <c r="CR1486" s="68"/>
      <c r="CS1486" s="68"/>
      <c r="CT1486" s="68"/>
      <c r="CU1486" s="68"/>
      <c r="CV1486" s="68"/>
      <c r="CW1486" s="68"/>
      <c r="CX1486" s="68"/>
    </row>
    <row r="1487" spans="4:102" s="71" customFormat="1" hidden="1">
      <c r="D1487" s="69"/>
      <c r="E1487" s="68"/>
      <c r="F1487" s="68"/>
      <c r="G1487" s="68"/>
      <c r="H1487" s="68"/>
      <c r="I1487" s="68"/>
      <c r="J1487" s="68"/>
      <c r="K1487" s="73"/>
      <c r="L1487" s="68"/>
      <c r="M1487" s="68"/>
      <c r="N1487" s="68"/>
      <c r="O1487" s="68"/>
      <c r="P1487" s="65"/>
      <c r="Q1487" s="103"/>
      <c r="R1487" s="103"/>
      <c r="S1487" s="103"/>
      <c r="T1487" s="103"/>
      <c r="U1487" s="68"/>
      <c r="V1487" s="68"/>
      <c r="W1487" s="68"/>
      <c r="X1487" s="68"/>
      <c r="Y1487" s="68"/>
      <c r="Z1487" s="68"/>
      <c r="AA1487" s="68"/>
      <c r="AB1487" s="68"/>
      <c r="AC1487" s="68"/>
      <c r="AD1487" s="68"/>
      <c r="AE1487" s="68"/>
      <c r="AF1487" s="68"/>
      <c r="AG1487" s="68"/>
      <c r="AH1487" s="68"/>
      <c r="AI1487" s="68"/>
      <c r="AJ1487" s="68"/>
      <c r="AK1487" s="68"/>
      <c r="AL1487" s="68"/>
      <c r="AM1487" s="68"/>
      <c r="AN1487" s="68"/>
      <c r="AO1487" s="68"/>
      <c r="AP1487" s="68"/>
      <c r="AQ1487" s="68"/>
      <c r="AR1487" s="68"/>
      <c r="AS1487" s="68"/>
      <c r="AT1487" s="68"/>
      <c r="AU1487" s="68"/>
      <c r="AV1487" s="68"/>
      <c r="AW1487" s="68"/>
      <c r="AX1487" s="68"/>
      <c r="AY1487" s="68"/>
      <c r="AZ1487" s="68"/>
      <c r="BA1487" s="68"/>
      <c r="BB1487" s="68"/>
      <c r="BC1487" s="68"/>
      <c r="BD1487" s="68"/>
      <c r="BE1487" s="68"/>
      <c r="BF1487" s="68"/>
      <c r="BG1487" s="68"/>
      <c r="BH1487" s="68"/>
      <c r="BI1487" s="68"/>
      <c r="BJ1487" s="68"/>
      <c r="BK1487" s="68"/>
      <c r="BL1487" s="68"/>
      <c r="BM1487" s="68"/>
      <c r="BN1487" s="68"/>
      <c r="BO1487" s="68"/>
      <c r="BP1487" s="68"/>
      <c r="BQ1487" s="68"/>
      <c r="BR1487" s="68"/>
      <c r="BS1487" s="68"/>
      <c r="BT1487" s="68"/>
      <c r="BU1487" s="68"/>
      <c r="BV1487" s="68"/>
      <c r="BW1487" s="68"/>
      <c r="BX1487" s="68"/>
      <c r="BY1487" s="68"/>
      <c r="BZ1487" s="68"/>
      <c r="CA1487" s="68"/>
      <c r="CB1487" s="68"/>
      <c r="CC1487" s="68"/>
      <c r="CD1487" s="68"/>
      <c r="CE1487" s="68"/>
      <c r="CF1487" s="68"/>
      <c r="CG1487" s="68"/>
      <c r="CH1487" s="68"/>
      <c r="CI1487" s="68"/>
      <c r="CJ1487" s="68"/>
      <c r="CK1487" s="68"/>
      <c r="CL1487" s="68"/>
      <c r="CM1487" s="68"/>
      <c r="CN1487" s="68"/>
      <c r="CO1487" s="68"/>
      <c r="CP1487" s="68"/>
      <c r="CQ1487" s="68"/>
      <c r="CR1487" s="68"/>
      <c r="CS1487" s="68"/>
      <c r="CT1487" s="68"/>
      <c r="CU1487" s="68"/>
      <c r="CV1487" s="68"/>
      <c r="CW1487" s="68"/>
      <c r="CX1487" s="68"/>
    </row>
    <row r="1488" spans="4:102" s="71" customFormat="1" hidden="1">
      <c r="D1488" s="69"/>
      <c r="E1488" s="68"/>
      <c r="F1488" s="68"/>
      <c r="G1488" s="68"/>
      <c r="H1488" s="68"/>
      <c r="I1488" s="68"/>
      <c r="J1488" s="68"/>
      <c r="K1488" s="73"/>
      <c r="L1488" s="68"/>
      <c r="M1488" s="68"/>
      <c r="N1488" s="68"/>
      <c r="O1488" s="68"/>
      <c r="P1488" s="65"/>
      <c r="Q1488" s="103"/>
      <c r="R1488" s="103"/>
      <c r="S1488" s="103"/>
      <c r="T1488" s="103"/>
      <c r="U1488" s="68"/>
      <c r="V1488" s="68"/>
      <c r="W1488" s="68"/>
      <c r="X1488" s="68"/>
      <c r="Y1488" s="68"/>
      <c r="Z1488" s="68"/>
      <c r="AA1488" s="68"/>
      <c r="AB1488" s="68"/>
      <c r="AC1488" s="68"/>
      <c r="AD1488" s="68"/>
      <c r="AE1488" s="68"/>
      <c r="AF1488" s="68"/>
      <c r="AG1488" s="68"/>
      <c r="AH1488" s="68"/>
      <c r="AI1488" s="68"/>
      <c r="AJ1488" s="68"/>
      <c r="AK1488" s="68"/>
      <c r="AL1488" s="68"/>
      <c r="AM1488" s="68"/>
      <c r="AN1488" s="68"/>
      <c r="AO1488" s="68"/>
      <c r="AP1488" s="68"/>
      <c r="AQ1488" s="68"/>
      <c r="AR1488" s="68"/>
      <c r="AS1488" s="68"/>
      <c r="AT1488" s="68"/>
      <c r="AU1488" s="68"/>
      <c r="AV1488" s="68"/>
      <c r="AW1488" s="68"/>
      <c r="AX1488" s="68"/>
      <c r="AY1488" s="68"/>
      <c r="AZ1488" s="68"/>
      <c r="BA1488" s="68"/>
      <c r="BB1488" s="68"/>
      <c r="BC1488" s="68"/>
      <c r="BD1488" s="68"/>
      <c r="BE1488" s="68"/>
      <c r="BF1488" s="68"/>
      <c r="BG1488" s="68"/>
      <c r="BH1488" s="68"/>
      <c r="BI1488" s="68"/>
      <c r="BJ1488" s="68"/>
      <c r="BK1488" s="68"/>
      <c r="BL1488" s="68"/>
      <c r="BM1488" s="68"/>
      <c r="BN1488" s="68"/>
      <c r="BO1488" s="68"/>
      <c r="BP1488" s="68"/>
      <c r="BQ1488" s="68"/>
      <c r="BR1488" s="68"/>
      <c r="BS1488" s="68"/>
      <c r="BT1488" s="68"/>
      <c r="BU1488" s="68"/>
      <c r="BV1488" s="68"/>
      <c r="BW1488" s="68"/>
      <c r="BX1488" s="68"/>
      <c r="BY1488" s="68"/>
      <c r="BZ1488" s="68"/>
      <c r="CA1488" s="68"/>
      <c r="CB1488" s="68"/>
      <c r="CC1488" s="68"/>
      <c r="CD1488" s="68"/>
      <c r="CE1488" s="68"/>
      <c r="CF1488" s="68"/>
      <c r="CG1488" s="68"/>
      <c r="CH1488" s="68"/>
      <c r="CI1488" s="68"/>
      <c r="CJ1488" s="68"/>
      <c r="CK1488" s="68"/>
      <c r="CL1488" s="68"/>
      <c r="CM1488" s="68"/>
      <c r="CN1488" s="68"/>
      <c r="CO1488" s="68"/>
      <c r="CP1488" s="68"/>
      <c r="CQ1488" s="68"/>
      <c r="CR1488" s="68"/>
      <c r="CS1488" s="68"/>
      <c r="CT1488" s="68"/>
      <c r="CU1488" s="68"/>
      <c r="CV1488" s="68"/>
      <c r="CW1488" s="68"/>
      <c r="CX1488" s="68"/>
    </row>
    <row r="1489" spans="4:102" s="71" customFormat="1" hidden="1">
      <c r="D1489" s="69"/>
      <c r="E1489" s="68"/>
      <c r="F1489" s="68"/>
      <c r="G1489" s="68"/>
      <c r="H1489" s="68"/>
      <c r="I1489" s="68"/>
      <c r="J1489" s="68"/>
      <c r="K1489" s="73"/>
      <c r="L1489" s="68"/>
      <c r="M1489" s="68"/>
      <c r="N1489" s="68"/>
      <c r="O1489" s="68"/>
      <c r="P1489" s="65"/>
      <c r="Q1489" s="103"/>
      <c r="R1489" s="103"/>
      <c r="S1489" s="103"/>
      <c r="T1489" s="103"/>
      <c r="U1489" s="68"/>
      <c r="V1489" s="68"/>
      <c r="W1489" s="68"/>
      <c r="X1489" s="68"/>
      <c r="Y1489" s="68"/>
      <c r="Z1489" s="68"/>
      <c r="AA1489" s="68"/>
      <c r="AB1489" s="68"/>
      <c r="AC1489" s="68"/>
      <c r="AD1489" s="68"/>
      <c r="AE1489" s="68"/>
      <c r="AF1489" s="68"/>
      <c r="AG1489" s="68"/>
      <c r="AH1489" s="68"/>
      <c r="AI1489" s="68"/>
      <c r="AJ1489" s="68"/>
      <c r="AK1489" s="68"/>
      <c r="AL1489" s="68"/>
      <c r="AM1489" s="68"/>
      <c r="AN1489" s="68"/>
      <c r="AO1489" s="68"/>
      <c r="AP1489" s="68"/>
      <c r="AQ1489" s="68"/>
      <c r="AR1489" s="68"/>
      <c r="AS1489" s="68"/>
      <c r="AT1489" s="68"/>
      <c r="AU1489" s="68"/>
      <c r="AV1489" s="68"/>
      <c r="AW1489" s="68"/>
      <c r="AX1489" s="68"/>
      <c r="AY1489" s="68"/>
      <c r="AZ1489" s="68"/>
      <c r="BA1489" s="68"/>
      <c r="BB1489" s="68"/>
      <c r="BC1489" s="68"/>
      <c r="BD1489" s="68"/>
      <c r="BE1489" s="68"/>
      <c r="BF1489" s="68"/>
      <c r="BG1489" s="68"/>
      <c r="BH1489" s="68"/>
      <c r="BI1489" s="68"/>
      <c r="BJ1489" s="68"/>
      <c r="BK1489" s="68"/>
      <c r="BL1489" s="68"/>
      <c r="BM1489" s="68"/>
      <c r="BN1489" s="68"/>
      <c r="BO1489" s="68"/>
      <c r="BP1489" s="68"/>
      <c r="BQ1489" s="68"/>
      <c r="BR1489" s="68"/>
      <c r="BS1489" s="68"/>
      <c r="BT1489" s="68"/>
      <c r="BU1489" s="68"/>
      <c r="BV1489" s="68"/>
      <c r="BW1489" s="68"/>
      <c r="BX1489" s="68"/>
      <c r="BY1489" s="68"/>
      <c r="BZ1489" s="68"/>
      <c r="CA1489" s="68"/>
      <c r="CB1489" s="68"/>
      <c r="CC1489" s="68"/>
      <c r="CD1489" s="68"/>
      <c r="CE1489" s="68"/>
      <c r="CF1489" s="68"/>
      <c r="CG1489" s="68"/>
      <c r="CH1489" s="68"/>
      <c r="CI1489" s="68"/>
      <c r="CJ1489" s="68"/>
      <c r="CK1489" s="68"/>
      <c r="CL1489" s="68"/>
      <c r="CM1489" s="68"/>
      <c r="CN1489" s="68"/>
      <c r="CO1489" s="68"/>
      <c r="CP1489" s="68"/>
      <c r="CQ1489" s="68"/>
      <c r="CR1489" s="68"/>
      <c r="CS1489" s="68"/>
      <c r="CT1489" s="68"/>
      <c r="CU1489" s="68"/>
      <c r="CV1489" s="68"/>
      <c r="CW1489" s="68"/>
      <c r="CX1489" s="68"/>
    </row>
    <row r="1490" spans="4:102" s="71" customFormat="1" hidden="1">
      <c r="D1490" s="69"/>
      <c r="E1490" s="68"/>
      <c r="F1490" s="68"/>
      <c r="G1490" s="68"/>
      <c r="H1490" s="68"/>
      <c r="I1490" s="68"/>
      <c r="J1490" s="68"/>
      <c r="K1490" s="73"/>
      <c r="L1490" s="68"/>
      <c r="M1490" s="68"/>
      <c r="N1490" s="68"/>
      <c r="O1490" s="68"/>
      <c r="P1490" s="65"/>
      <c r="Q1490" s="103"/>
      <c r="R1490" s="103"/>
      <c r="S1490" s="103"/>
      <c r="T1490" s="103"/>
      <c r="U1490" s="68"/>
      <c r="V1490" s="68"/>
      <c r="W1490" s="68"/>
      <c r="X1490" s="68"/>
      <c r="Y1490" s="68"/>
      <c r="Z1490" s="68"/>
      <c r="AA1490" s="68"/>
      <c r="AB1490" s="68"/>
      <c r="AC1490" s="68"/>
      <c r="AD1490" s="68"/>
      <c r="AE1490" s="68"/>
      <c r="AF1490" s="68"/>
      <c r="AG1490" s="68"/>
      <c r="AH1490" s="68"/>
      <c r="AI1490" s="68"/>
      <c r="AJ1490" s="68"/>
      <c r="AK1490" s="68"/>
      <c r="AL1490" s="68"/>
      <c r="AM1490" s="68"/>
      <c r="AN1490" s="68"/>
      <c r="AO1490" s="68"/>
      <c r="AP1490" s="68"/>
      <c r="AQ1490" s="68"/>
      <c r="AR1490" s="68"/>
      <c r="AS1490" s="68"/>
      <c r="AT1490" s="68"/>
      <c r="AU1490" s="68"/>
      <c r="AV1490" s="68"/>
      <c r="AW1490" s="68"/>
      <c r="AX1490" s="68"/>
      <c r="AY1490" s="68"/>
      <c r="AZ1490" s="68"/>
      <c r="BA1490" s="68"/>
      <c r="BB1490" s="68"/>
      <c r="BC1490" s="68"/>
      <c r="BD1490" s="68"/>
      <c r="BE1490" s="68"/>
      <c r="BF1490" s="68"/>
      <c r="BG1490" s="68"/>
      <c r="BH1490" s="68"/>
      <c r="BI1490" s="68"/>
      <c r="BJ1490" s="68"/>
      <c r="BK1490" s="68"/>
      <c r="BL1490" s="68"/>
      <c r="BM1490" s="68"/>
      <c r="BN1490" s="68"/>
      <c r="BO1490" s="68"/>
      <c r="BP1490" s="68"/>
      <c r="BQ1490" s="68"/>
      <c r="BR1490" s="68"/>
      <c r="BS1490" s="68"/>
      <c r="BT1490" s="68"/>
      <c r="BU1490" s="68"/>
      <c r="BV1490" s="68"/>
      <c r="BW1490" s="68"/>
      <c r="BX1490" s="68"/>
      <c r="BY1490" s="68"/>
      <c r="BZ1490" s="68"/>
      <c r="CA1490" s="68"/>
      <c r="CB1490" s="68"/>
      <c r="CC1490" s="68"/>
      <c r="CD1490" s="68"/>
      <c r="CE1490" s="68"/>
      <c r="CF1490" s="68"/>
      <c r="CG1490" s="68"/>
      <c r="CH1490" s="68"/>
      <c r="CI1490" s="68"/>
      <c r="CJ1490" s="68"/>
      <c r="CK1490" s="68"/>
      <c r="CL1490" s="68"/>
      <c r="CM1490" s="68"/>
      <c r="CN1490" s="68"/>
      <c r="CO1490" s="68"/>
      <c r="CP1490" s="68"/>
      <c r="CQ1490" s="68"/>
      <c r="CR1490" s="68"/>
      <c r="CS1490" s="68"/>
      <c r="CT1490" s="68"/>
      <c r="CU1490" s="68"/>
      <c r="CV1490" s="68"/>
      <c r="CW1490" s="68"/>
      <c r="CX1490" s="68"/>
    </row>
    <row r="1491" spans="4:102" s="71" customFormat="1" hidden="1">
      <c r="D1491" s="69"/>
      <c r="E1491" s="68"/>
      <c r="F1491" s="68"/>
      <c r="G1491" s="68"/>
      <c r="H1491" s="68"/>
      <c r="I1491" s="68"/>
      <c r="J1491" s="68"/>
      <c r="K1491" s="73"/>
      <c r="L1491" s="68"/>
      <c r="M1491" s="68"/>
      <c r="N1491" s="68"/>
      <c r="O1491" s="68"/>
      <c r="P1491" s="65"/>
      <c r="Q1491" s="103"/>
      <c r="R1491" s="103"/>
      <c r="S1491" s="103"/>
      <c r="T1491" s="103"/>
      <c r="U1491" s="68"/>
      <c r="V1491" s="68"/>
      <c r="W1491" s="68"/>
      <c r="X1491" s="68"/>
      <c r="Y1491" s="68"/>
      <c r="Z1491" s="68"/>
      <c r="AA1491" s="68"/>
      <c r="AB1491" s="68"/>
      <c r="AC1491" s="68"/>
      <c r="AD1491" s="68"/>
      <c r="AE1491" s="68"/>
      <c r="AF1491" s="68"/>
      <c r="AG1491" s="68"/>
      <c r="AH1491" s="68"/>
      <c r="AI1491" s="68"/>
      <c r="AJ1491" s="68"/>
      <c r="AK1491" s="68"/>
      <c r="AL1491" s="68"/>
      <c r="AM1491" s="68"/>
      <c r="AN1491" s="68"/>
      <c r="AO1491" s="68"/>
      <c r="AP1491" s="68"/>
      <c r="AQ1491" s="68"/>
      <c r="AR1491" s="68"/>
      <c r="AS1491" s="68"/>
      <c r="AT1491" s="68"/>
      <c r="AU1491" s="68"/>
      <c r="AV1491" s="68"/>
      <c r="AW1491" s="68"/>
      <c r="AX1491" s="68"/>
      <c r="AY1491" s="68"/>
      <c r="AZ1491" s="68"/>
      <c r="BA1491" s="68"/>
      <c r="BB1491" s="68"/>
      <c r="BC1491" s="68"/>
      <c r="BD1491" s="68"/>
      <c r="BE1491" s="68"/>
      <c r="BF1491" s="68"/>
      <c r="BG1491" s="68"/>
      <c r="BH1491" s="68"/>
      <c r="BI1491" s="68"/>
      <c r="BJ1491" s="68"/>
      <c r="BK1491" s="68"/>
      <c r="BL1491" s="68"/>
      <c r="BM1491" s="68"/>
      <c r="BN1491" s="68"/>
      <c r="BO1491" s="68"/>
      <c r="BP1491" s="68"/>
      <c r="BQ1491" s="68"/>
      <c r="BR1491" s="68"/>
      <c r="BS1491" s="68"/>
      <c r="BT1491" s="68"/>
      <c r="BU1491" s="68"/>
      <c r="BV1491" s="68"/>
      <c r="BW1491" s="68"/>
      <c r="BX1491" s="68"/>
      <c r="BY1491" s="68"/>
      <c r="BZ1491" s="68"/>
      <c r="CA1491" s="68"/>
      <c r="CB1491" s="68"/>
      <c r="CC1491" s="68"/>
      <c r="CD1491" s="68"/>
      <c r="CE1491" s="68"/>
      <c r="CF1491" s="68"/>
      <c r="CG1491" s="68"/>
      <c r="CH1491" s="68"/>
      <c r="CI1491" s="68"/>
      <c r="CJ1491" s="68"/>
      <c r="CK1491" s="68"/>
      <c r="CL1491" s="68"/>
      <c r="CM1491" s="68"/>
      <c r="CN1491" s="68"/>
      <c r="CO1491" s="68"/>
      <c r="CP1491" s="68"/>
      <c r="CQ1491" s="68"/>
      <c r="CR1491" s="68"/>
      <c r="CS1491" s="68"/>
      <c r="CT1491" s="68"/>
      <c r="CU1491" s="68"/>
      <c r="CV1491" s="68"/>
      <c r="CW1491" s="68"/>
      <c r="CX1491" s="68"/>
    </row>
    <row r="1492" spans="4:102" s="71" customFormat="1" hidden="1">
      <c r="D1492" s="69"/>
      <c r="E1492" s="68"/>
      <c r="F1492" s="68"/>
      <c r="G1492" s="68"/>
      <c r="H1492" s="68"/>
      <c r="I1492" s="68"/>
      <c r="J1492" s="68"/>
      <c r="K1492" s="73"/>
      <c r="L1492" s="68"/>
      <c r="M1492" s="68"/>
      <c r="N1492" s="68"/>
      <c r="O1492" s="68"/>
      <c r="P1492" s="65"/>
      <c r="Q1492" s="103"/>
      <c r="R1492" s="103"/>
      <c r="S1492" s="103"/>
      <c r="T1492" s="103"/>
      <c r="U1492" s="68"/>
      <c r="V1492" s="68"/>
      <c r="W1492" s="68"/>
      <c r="X1492" s="68"/>
      <c r="Y1492" s="68"/>
      <c r="Z1492" s="68"/>
      <c r="AA1492" s="68"/>
      <c r="AB1492" s="68"/>
      <c r="AC1492" s="68"/>
      <c r="AD1492" s="68"/>
      <c r="AE1492" s="68"/>
      <c r="AF1492" s="68"/>
      <c r="AG1492" s="68"/>
      <c r="AH1492" s="68"/>
      <c r="AI1492" s="68"/>
      <c r="AJ1492" s="68"/>
      <c r="AK1492" s="68"/>
      <c r="AL1492" s="68"/>
      <c r="AM1492" s="68"/>
      <c r="AN1492" s="68"/>
      <c r="AO1492" s="68"/>
      <c r="AP1492" s="68"/>
      <c r="AQ1492" s="68"/>
      <c r="AR1492" s="68"/>
      <c r="AS1492" s="68"/>
      <c r="AT1492" s="68"/>
      <c r="AU1492" s="68"/>
      <c r="AV1492" s="68"/>
      <c r="AW1492" s="68"/>
      <c r="AX1492" s="68"/>
      <c r="AY1492" s="68"/>
      <c r="AZ1492" s="68"/>
      <c r="BA1492" s="68"/>
      <c r="BB1492" s="68"/>
      <c r="BC1492" s="68"/>
      <c r="BD1492" s="68"/>
      <c r="BE1492" s="68"/>
      <c r="BF1492" s="68"/>
      <c r="BG1492" s="68"/>
      <c r="BH1492" s="68"/>
      <c r="BI1492" s="68"/>
      <c r="BJ1492" s="68"/>
      <c r="BK1492" s="68"/>
      <c r="BL1492" s="68"/>
      <c r="BM1492" s="68"/>
      <c r="BN1492" s="68"/>
      <c r="BO1492" s="68"/>
      <c r="BP1492" s="68"/>
      <c r="BQ1492" s="68"/>
      <c r="BR1492" s="68"/>
      <c r="BS1492" s="68"/>
      <c r="BT1492" s="68"/>
      <c r="BU1492" s="68"/>
      <c r="BV1492" s="68"/>
      <c r="BW1492" s="68"/>
      <c r="BX1492" s="68"/>
      <c r="BY1492" s="68"/>
      <c r="BZ1492" s="68"/>
      <c r="CA1492" s="68"/>
      <c r="CB1492" s="68"/>
      <c r="CC1492" s="68"/>
      <c r="CD1492" s="68"/>
      <c r="CE1492" s="68"/>
      <c r="CF1492" s="68"/>
      <c r="CG1492" s="68"/>
      <c r="CH1492" s="68"/>
      <c r="CI1492" s="68"/>
      <c r="CJ1492" s="68"/>
      <c r="CK1492" s="68"/>
      <c r="CL1492" s="68"/>
      <c r="CM1492" s="68"/>
      <c r="CN1492" s="68"/>
      <c r="CO1492" s="68"/>
      <c r="CP1492" s="68"/>
      <c r="CQ1492" s="68"/>
      <c r="CR1492" s="68"/>
      <c r="CS1492" s="68"/>
      <c r="CT1492" s="68"/>
      <c r="CU1492" s="68"/>
      <c r="CV1492" s="68"/>
      <c r="CW1492" s="68"/>
      <c r="CX1492" s="68"/>
    </row>
    <row r="1493" spans="4:102" s="71" customFormat="1" hidden="1">
      <c r="D1493" s="69"/>
      <c r="E1493" s="68"/>
      <c r="F1493" s="68"/>
      <c r="G1493" s="68"/>
      <c r="H1493" s="68"/>
      <c r="I1493" s="68"/>
      <c r="J1493" s="68"/>
      <c r="K1493" s="73"/>
      <c r="L1493" s="68"/>
      <c r="M1493" s="68"/>
      <c r="N1493" s="68"/>
      <c r="O1493" s="68"/>
      <c r="P1493" s="65"/>
      <c r="Q1493" s="103"/>
      <c r="R1493" s="103"/>
      <c r="S1493" s="103"/>
      <c r="T1493" s="103"/>
      <c r="U1493" s="68"/>
      <c r="V1493" s="68"/>
      <c r="W1493" s="68"/>
      <c r="X1493" s="68"/>
      <c r="Y1493" s="68"/>
      <c r="Z1493" s="68"/>
      <c r="AA1493" s="68"/>
      <c r="AB1493" s="68"/>
      <c r="AC1493" s="68"/>
      <c r="AD1493" s="68"/>
      <c r="AE1493" s="68"/>
      <c r="AF1493" s="68"/>
      <c r="AG1493" s="68"/>
      <c r="AH1493" s="68"/>
      <c r="AI1493" s="68"/>
      <c r="AJ1493" s="68"/>
      <c r="AK1493" s="68"/>
      <c r="AL1493" s="68"/>
      <c r="AM1493" s="68"/>
      <c r="AN1493" s="68"/>
      <c r="AO1493" s="68"/>
      <c r="AP1493" s="68"/>
      <c r="AQ1493" s="68"/>
      <c r="AR1493" s="68"/>
      <c r="AS1493" s="68"/>
      <c r="AT1493" s="68"/>
      <c r="AU1493" s="68"/>
      <c r="AV1493" s="68"/>
      <c r="AW1493" s="68"/>
      <c r="AX1493" s="68"/>
      <c r="AY1493" s="68"/>
      <c r="AZ1493" s="68"/>
      <c r="BA1493" s="68"/>
      <c r="BB1493" s="68"/>
      <c r="BC1493" s="68"/>
      <c r="BD1493" s="68"/>
      <c r="BE1493" s="68"/>
      <c r="BF1493" s="68"/>
      <c r="BG1493" s="68"/>
      <c r="BH1493" s="68"/>
      <c r="BI1493" s="68"/>
      <c r="BJ1493" s="68"/>
      <c r="BK1493" s="68"/>
      <c r="BL1493" s="68"/>
      <c r="BM1493" s="68"/>
      <c r="BN1493" s="68"/>
      <c r="BO1493" s="68"/>
      <c r="BP1493" s="68"/>
      <c r="BQ1493" s="68"/>
      <c r="BR1493" s="68"/>
      <c r="BS1493" s="68"/>
      <c r="BT1493" s="68"/>
      <c r="BU1493" s="68"/>
      <c r="BV1493" s="68"/>
      <c r="BW1493" s="68"/>
      <c r="BX1493" s="68"/>
      <c r="BY1493" s="68"/>
      <c r="BZ1493" s="68"/>
      <c r="CA1493" s="68"/>
      <c r="CB1493" s="68"/>
      <c r="CC1493" s="68"/>
      <c r="CD1493" s="68"/>
      <c r="CE1493" s="68"/>
      <c r="CF1493" s="68"/>
      <c r="CG1493" s="68"/>
      <c r="CH1493" s="68"/>
      <c r="CI1493" s="68"/>
      <c r="CJ1493" s="68"/>
      <c r="CK1493" s="68"/>
      <c r="CL1493" s="68"/>
      <c r="CM1493" s="68"/>
      <c r="CN1493" s="68"/>
      <c r="CO1493" s="68"/>
      <c r="CP1493" s="68"/>
      <c r="CQ1493" s="68"/>
      <c r="CR1493" s="68"/>
      <c r="CS1493" s="68"/>
      <c r="CT1493" s="68"/>
      <c r="CU1493" s="68"/>
      <c r="CV1493" s="68"/>
      <c r="CW1493" s="68"/>
      <c r="CX1493" s="68"/>
    </row>
    <row r="1494" spans="4:102" s="71" customFormat="1" hidden="1">
      <c r="D1494" s="69"/>
      <c r="E1494" s="68"/>
      <c r="F1494" s="68"/>
      <c r="G1494" s="68"/>
      <c r="H1494" s="68"/>
      <c r="I1494" s="68"/>
      <c r="J1494" s="68"/>
      <c r="K1494" s="73"/>
      <c r="L1494" s="68"/>
      <c r="M1494" s="68"/>
      <c r="N1494" s="68"/>
      <c r="O1494" s="68"/>
      <c r="P1494" s="65"/>
      <c r="Q1494" s="103"/>
      <c r="R1494" s="103"/>
      <c r="S1494" s="103"/>
      <c r="T1494" s="103"/>
      <c r="U1494" s="68"/>
      <c r="V1494" s="68"/>
      <c r="W1494" s="68"/>
      <c r="X1494" s="68"/>
      <c r="Y1494" s="68"/>
      <c r="Z1494" s="68"/>
      <c r="AA1494" s="68"/>
      <c r="AB1494" s="68"/>
      <c r="AC1494" s="68"/>
      <c r="AD1494" s="68"/>
      <c r="AE1494" s="68"/>
      <c r="AF1494" s="68"/>
      <c r="AG1494" s="68"/>
      <c r="AH1494" s="68"/>
      <c r="AI1494" s="68"/>
      <c r="AJ1494" s="68"/>
      <c r="AK1494" s="68"/>
      <c r="AL1494" s="68"/>
      <c r="AM1494" s="68"/>
      <c r="AN1494" s="68"/>
      <c r="AO1494" s="68"/>
      <c r="AP1494" s="68"/>
      <c r="AQ1494" s="68"/>
      <c r="AR1494" s="68"/>
      <c r="AS1494" s="68"/>
      <c r="AT1494" s="68"/>
      <c r="AU1494" s="68"/>
      <c r="AV1494" s="68"/>
      <c r="AW1494" s="68"/>
      <c r="AX1494" s="68"/>
      <c r="AY1494" s="68"/>
      <c r="AZ1494" s="68"/>
      <c r="BA1494" s="68"/>
      <c r="BB1494" s="68"/>
      <c r="BC1494" s="68"/>
      <c r="BD1494" s="68"/>
      <c r="BE1494" s="68"/>
      <c r="BF1494" s="68"/>
      <c r="BG1494" s="68"/>
      <c r="BH1494" s="68"/>
      <c r="BI1494" s="68"/>
      <c r="BJ1494" s="68"/>
      <c r="BK1494" s="68"/>
      <c r="BL1494" s="68"/>
      <c r="BM1494" s="68"/>
      <c r="BN1494" s="68"/>
      <c r="BO1494" s="68"/>
      <c r="BP1494" s="68"/>
      <c r="BQ1494" s="68"/>
      <c r="BR1494" s="68"/>
      <c r="BS1494" s="68"/>
      <c r="BT1494" s="68"/>
      <c r="BU1494" s="68"/>
      <c r="BV1494" s="68"/>
      <c r="BW1494" s="68"/>
      <c r="BX1494" s="68"/>
      <c r="BY1494" s="68"/>
      <c r="BZ1494" s="68"/>
      <c r="CA1494" s="68"/>
      <c r="CB1494" s="68"/>
      <c r="CC1494" s="68"/>
      <c r="CD1494" s="68"/>
      <c r="CE1494" s="68"/>
      <c r="CF1494" s="68"/>
      <c r="CG1494" s="68"/>
      <c r="CH1494" s="68"/>
      <c r="CI1494" s="68"/>
      <c r="CJ1494" s="68"/>
      <c r="CK1494" s="68"/>
      <c r="CL1494" s="68"/>
      <c r="CM1494" s="68"/>
      <c r="CN1494" s="68"/>
      <c r="CO1494" s="68"/>
      <c r="CP1494" s="68"/>
      <c r="CQ1494" s="68"/>
      <c r="CR1494" s="68"/>
      <c r="CS1494" s="68"/>
      <c r="CT1494" s="68"/>
      <c r="CU1494" s="68"/>
      <c r="CV1494" s="68"/>
      <c r="CW1494" s="68"/>
      <c r="CX1494" s="68"/>
    </row>
    <row r="1495" spans="4:102" s="71" customFormat="1" hidden="1">
      <c r="D1495" s="69"/>
      <c r="E1495" s="68"/>
      <c r="F1495" s="68"/>
      <c r="G1495" s="68"/>
      <c r="H1495" s="68"/>
      <c r="I1495" s="68"/>
      <c r="J1495" s="68"/>
      <c r="K1495" s="73"/>
      <c r="L1495" s="68"/>
      <c r="M1495" s="68"/>
      <c r="N1495" s="68"/>
      <c r="O1495" s="68"/>
      <c r="P1495" s="65"/>
      <c r="Q1495" s="103"/>
      <c r="R1495" s="103"/>
      <c r="S1495" s="103"/>
      <c r="T1495" s="103"/>
      <c r="U1495" s="68"/>
      <c r="V1495" s="68"/>
      <c r="W1495" s="68"/>
      <c r="X1495" s="68"/>
      <c r="Y1495" s="68"/>
      <c r="Z1495" s="68"/>
      <c r="AA1495" s="68"/>
      <c r="AB1495" s="68"/>
      <c r="AC1495" s="68"/>
      <c r="AD1495" s="68"/>
      <c r="AE1495" s="68"/>
      <c r="AF1495" s="68"/>
      <c r="AG1495" s="68"/>
      <c r="AH1495" s="68"/>
      <c r="AI1495" s="68"/>
      <c r="AJ1495" s="68"/>
      <c r="AK1495" s="68"/>
      <c r="AL1495" s="68"/>
      <c r="AM1495" s="68"/>
      <c r="AN1495" s="68"/>
      <c r="AO1495" s="68"/>
      <c r="AP1495" s="68"/>
      <c r="AQ1495" s="68"/>
      <c r="AR1495" s="68"/>
      <c r="AS1495" s="68"/>
      <c r="AT1495" s="68"/>
      <c r="AU1495" s="68"/>
      <c r="AV1495" s="68"/>
      <c r="AW1495" s="68"/>
      <c r="AX1495" s="68"/>
      <c r="AY1495" s="68"/>
      <c r="AZ1495" s="68"/>
      <c r="BA1495" s="68"/>
      <c r="BB1495" s="68"/>
      <c r="BC1495" s="68"/>
      <c r="BD1495" s="68"/>
      <c r="BE1495" s="68"/>
      <c r="BF1495" s="68"/>
      <c r="BG1495" s="68"/>
      <c r="BH1495" s="68"/>
      <c r="BI1495" s="68"/>
      <c r="BJ1495" s="68"/>
      <c r="BK1495" s="68"/>
      <c r="BL1495" s="68"/>
      <c r="BM1495" s="68"/>
      <c r="BN1495" s="68"/>
      <c r="BO1495" s="68"/>
      <c r="BP1495" s="68"/>
      <c r="BQ1495" s="68"/>
      <c r="BR1495" s="68"/>
      <c r="BS1495" s="68"/>
      <c r="BT1495" s="68"/>
      <c r="BU1495" s="68"/>
      <c r="BV1495" s="68"/>
      <c r="BW1495" s="68"/>
      <c r="BX1495" s="68"/>
      <c r="BY1495" s="68"/>
      <c r="BZ1495" s="68"/>
      <c r="CA1495" s="68"/>
      <c r="CB1495" s="68"/>
      <c r="CC1495" s="68"/>
      <c r="CD1495" s="68"/>
      <c r="CE1495" s="68"/>
      <c r="CF1495" s="68"/>
      <c r="CG1495" s="68"/>
      <c r="CH1495" s="68"/>
      <c r="CI1495" s="68"/>
      <c r="CJ1495" s="68"/>
      <c r="CK1495" s="68"/>
      <c r="CL1495" s="68"/>
      <c r="CM1495" s="68"/>
      <c r="CN1495" s="68"/>
      <c r="CO1495" s="68"/>
      <c r="CP1495" s="68"/>
      <c r="CQ1495" s="68"/>
      <c r="CR1495" s="68"/>
      <c r="CS1495" s="68"/>
      <c r="CT1495" s="68"/>
      <c r="CU1495" s="68"/>
      <c r="CV1495" s="68"/>
      <c r="CW1495" s="68"/>
      <c r="CX1495" s="68"/>
    </row>
    <row r="1496" spans="4:102" s="71" customFormat="1" hidden="1">
      <c r="D1496" s="69"/>
      <c r="E1496" s="68"/>
      <c r="F1496" s="68"/>
      <c r="G1496" s="68"/>
      <c r="H1496" s="68"/>
      <c r="I1496" s="68"/>
      <c r="J1496" s="68"/>
      <c r="K1496" s="73"/>
      <c r="L1496" s="68"/>
      <c r="M1496" s="68"/>
      <c r="N1496" s="68"/>
      <c r="O1496" s="68"/>
      <c r="P1496" s="65"/>
      <c r="Q1496" s="103"/>
      <c r="R1496" s="103"/>
      <c r="S1496" s="103"/>
      <c r="T1496" s="103"/>
      <c r="U1496" s="68"/>
      <c r="V1496" s="68"/>
      <c r="W1496" s="68"/>
      <c r="X1496" s="68"/>
      <c r="Y1496" s="68"/>
      <c r="Z1496" s="68"/>
      <c r="AA1496" s="68"/>
      <c r="AB1496" s="68"/>
      <c r="AC1496" s="68"/>
      <c r="AD1496" s="68"/>
      <c r="AE1496" s="68"/>
      <c r="AF1496" s="68"/>
      <c r="AG1496" s="68"/>
      <c r="AH1496" s="68"/>
      <c r="AI1496" s="68"/>
      <c r="AJ1496" s="68"/>
      <c r="AK1496" s="68"/>
      <c r="AL1496" s="68"/>
      <c r="AM1496" s="68"/>
      <c r="AN1496" s="68"/>
      <c r="AO1496" s="68"/>
      <c r="AP1496" s="68"/>
      <c r="AQ1496" s="68"/>
      <c r="AR1496" s="68"/>
      <c r="AS1496" s="68"/>
      <c r="AT1496" s="68"/>
      <c r="AU1496" s="68"/>
      <c r="AV1496" s="68"/>
      <c r="AW1496" s="68"/>
      <c r="AX1496" s="68"/>
      <c r="AY1496" s="68"/>
      <c r="AZ1496" s="68"/>
      <c r="BA1496" s="68"/>
      <c r="BB1496" s="68"/>
      <c r="BC1496" s="68"/>
      <c r="BD1496" s="68"/>
      <c r="BE1496" s="68"/>
      <c r="BF1496" s="68"/>
      <c r="BG1496" s="68"/>
      <c r="BH1496" s="68"/>
      <c r="BI1496" s="68"/>
      <c r="BJ1496" s="68"/>
      <c r="BK1496" s="68"/>
      <c r="BL1496" s="68"/>
      <c r="BM1496" s="68"/>
      <c r="BN1496" s="68"/>
      <c r="BO1496" s="68"/>
      <c r="BP1496" s="68"/>
      <c r="BQ1496" s="68"/>
      <c r="BR1496" s="68"/>
      <c r="BS1496" s="68"/>
      <c r="BT1496" s="68"/>
      <c r="BU1496" s="68"/>
      <c r="BV1496" s="68"/>
      <c r="BW1496" s="68"/>
      <c r="BX1496" s="68"/>
      <c r="BY1496" s="68"/>
      <c r="BZ1496" s="68"/>
      <c r="CA1496" s="68"/>
      <c r="CB1496" s="68"/>
      <c r="CC1496" s="68"/>
      <c r="CD1496" s="68"/>
      <c r="CE1496" s="68"/>
      <c r="CF1496" s="68"/>
      <c r="CG1496" s="68"/>
      <c r="CH1496" s="68"/>
      <c r="CI1496" s="68"/>
      <c r="CJ1496" s="68"/>
      <c r="CK1496" s="68"/>
      <c r="CL1496" s="68"/>
      <c r="CM1496" s="68"/>
      <c r="CN1496" s="68"/>
      <c r="CO1496" s="68"/>
      <c r="CP1496" s="68"/>
      <c r="CQ1496" s="68"/>
      <c r="CR1496" s="68"/>
      <c r="CS1496" s="68"/>
      <c r="CT1496" s="68"/>
      <c r="CU1496" s="68"/>
      <c r="CV1496" s="68"/>
      <c r="CW1496" s="68"/>
      <c r="CX1496" s="68"/>
    </row>
    <row r="1497" spans="4:102" s="71" customFormat="1" hidden="1">
      <c r="D1497" s="69"/>
      <c r="E1497" s="68"/>
      <c r="F1497" s="68"/>
      <c r="G1497" s="68"/>
      <c r="H1497" s="68"/>
      <c r="I1497" s="68"/>
      <c r="J1497" s="68"/>
      <c r="K1497" s="73"/>
      <c r="L1497" s="68"/>
      <c r="M1497" s="68"/>
      <c r="N1497" s="68"/>
      <c r="O1497" s="68"/>
      <c r="P1497" s="65"/>
      <c r="Q1497" s="103"/>
      <c r="R1497" s="103"/>
      <c r="S1497" s="103"/>
      <c r="T1497" s="103"/>
      <c r="U1497" s="68"/>
      <c r="V1497" s="68"/>
      <c r="W1497" s="68"/>
      <c r="X1497" s="68"/>
      <c r="Y1497" s="68"/>
      <c r="Z1497" s="68"/>
      <c r="AA1497" s="68"/>
      <c r="AB1497" s="68"/>
      <c r="AC1497" s="68"/>
      <c r="AD1497" s="68"/>
      <c r="AE1497" s="68"/>
      <c r="AF1497" s="68"/>
      <c r="AG1497" s="68"/>
      <c r="AH1497" s="68"/>
      <c r="AI1497" s="68"/>
      <c r="AJ1497" s="68"/>
      <c r="AK1497" s="68"/>
      <c r="AL1497" s="68"/>
      <c r="AM1497" s="68"/>
      <c r="AN1497" s="68"/>
      <c r="AO1497" s="68"/>
      <c r="AP1497" s="68"/>
      <c r="AQ1497" s="68"/>
      <c r="AR1497" s="68"/>
      <c r="AS1497" s="68"/>
      <c r="AT1497" s="68"/>
      <c r="AU1497" s="68"/>
      <c r="AV1497" s="68"/>
      <c r="AW1497" s="68"/>
      <c r="AX1497" s="68"/>
      <c r="AY1497" s="68"/>
      <c r="AZ1497" s="68"/>
      <c r="BA1497" s="68"/>
      <c r="BB1497" s="68"/>
      <c r="BC1497" s="68"/>
      <c r="BD1497" s="68"/>
      <c r="BE1497" s="68"/>
      <c r="BF1497" s="68"/>
      <c r="BG1497" s="68"/>
      <c r="BH1497" s="68"/>
      <c r="BI1497" s="68"/>
      <c r="BJ1497" s="68"/>
      <c r="BK1497" s="68"/>
      <c r="BL1497" s="68"/>
      <c r="BM1497" s="68"/>
      <c r="BN1497" s="68"/>
      <c r="BO1497" s="68"/>
      <c r="BP1497" s="68"/>
      <c r="BQ1497" s="68"/>
      <c r="BR1497" s="68"/>
      <c r="BS1497" s="68"/>
      <c r="BT1497" s="68"/>
      <c r="BU1497" s="68"/>
      <c r="BV1497" s="68"/>
      <c r="BW1497" s="68"/>
      <c r="BX1497" s="68"/>
      <c r="BY1497" s="68"/>
      <c r="BZ1497" s="68"/>
      <c r="CA1497" s="68"/>
      <c r="CB1497" s="68"/>
      <c r="CC1497" s="68"/>
      <c r="CD1497" s="68"/>
      <c r="CE1497" s="68"/>
      <c r="CF1497" s="68"/>
      <c r="CG1497" s="68"/>
      <c r="CH1497" s="68"/>
      <c r="CI1497" s="68"/>
      <c r="CJ1497" s="68"/>
      <c r="CK1497" s="68"/>
      <c r="CL1497" s="68"/>
      <c r="CM1497" s="68"/>
      <c r="CN1497" s="68"/>
      <c r="CO1497" s="68"/>
      <c r="CP1497" s="68"/>
      <c r="CQ1497" s="68"/>
      <c r="CR1497" s="68"/>
      <c r="CS1497" s="68"/>
      <c r="CT1497" s="68"/>
      <c r="CU1497" s="68"/>
      <c r="CV1497" s="68"/>
      <c r="CW1497" s="68"/>
      <c r="CX1497" s="68"/>
    </row>
    <row r="1498" spans="4:102" s="71" customFormat="1" hidden="1">
      <c r="D1498" s="69"/>
      <c r="E1498" s="68"/>
      <c r="F1498" s="68"/>
      <c r="G1498" s="68"/>
      <c r="H1498" s="68"/>
      <c r="I1498" s="68"/>
      <c r="J1498" s="68"/>
      <c r="K1498" s="73"/>
      <c r="L1498" s="68"/>
      <c r="M1498" s="68"/>
      <c r="N1498" s="68"/>
      <c r="O1498" s="68"/>
      <c r="P1498" s="65"/>
      <c r="Q1498" s="103"/>
      <c r="R1498" s="103"/>
      <c r="S1498" s="103"/>
      <c r="T1498" s="103"/>
      <c r="U1498" s="68"/>
      <c r="V1498" s="68"/>
      <c r="W1498" s="68"/>
      <c r="X1498" s="68"/>
      <c r="Y1498" s="68"/>
      <c r="Z1498" s="68"/>
      <c r="AA1498" s="68"/>
      <c r="AB1498" s="68"/>
      <c r="AC1498" s="68"/>
      <c r="AD1498" s="68"/>
      <c r="AE1498" s="68"/>
      <c r="AF1498" s="68"/>
      <c r="AG1498" s="68"/>
      <c r="AH1498" s="68"/>
      <c r="AI1498" s="68"/>
      <c r="AJ1498" s="68"/>
      <c r="AK1498" s="68"/>
      <c r="AL1498" s="68"/>
      <c r="AM1498" s="68"/>
      <c r="AN1498" s="68"/>
      <c r="AO1498" s="68"/>
      <c r="AP1498" s="68"/>
      <c r="AQ1498" s="68"/>
      <c r="AR1498" s="68"/>
      <c r="AS1498" s="68"/>
      <c r="AT1498" s="68"/>
      <c r="AU1498" s="68"/>
      <c r="AV1498" s="68"/>
      <c r="AW1498" s="68"/>
      <c r="AX1498" s="68"/>
      <c r="AY1498" s="68"/>
      <c r="AZ1498" s="68"/>
      <c r="BA1498" s="68"/>
      <c r="BB1498" s="68"/>
      <c r="BC1498" s="68"/>
      <c r="BD1498" s="68"/>
      <c r="BE1498" s="68"/>
      <c r="BF1498" s="68"/>
      <c r="BG1498" s="68"/>
      <c r="BH1498" s="68"/>
      <c r="BI1498" s="68"/>
      <c r="BJ1498" s="68"/>
      <c r="BK1498" s="68"/>
      <c r="BL1498" s="68"/>
      <c r="BM1498" s="68"/>
      <c r="BN1498" s="68"/>
      <c r="BO1498" s="68"/>
      <c r="BP1498" s="68"/>
      <c r="BQ1498" s="68"/>
      <c r="BR1498" s="68"/>
      <c r="BS1498" s="68"/>
      <c r="BT1498" s="68"/>
      <c r="BU1498" s="68"/>
      <c r="BV1498" s="68"/>
      <c r="BW1498" s="68"/>
      <c r="BX1498" s="68"/>
      <c r="BY1498" s="68"/>
      <c r="BZ1498" s="68"/>
      <c r="CA1498" s="68"/>
      <c r="CB1498" s="68"/>
      <c r="CC1498" s="68"/>
      <c r="CD1498" s="68"/>
      <c r="CE1498" s="68"/>
      <c r="CF1498" s="68"/>
      <c r="CG1498" s="68"/>
      <c r="CH1498" s="68"/>
      <c r="CI1498" s="68"/>
      <c r="CJ1498" s="68"/>
      <c r="CK1498" s="68"/>
      <c r="CL1498" s="68"/>
      <c r="CM1498" s="68"/>
      <c r="CN1498" s="68"/>
      <c r="CO1498" s="68"/>
      <c r="CP1498" s="68"/>
      <c r="CQ1498" s="68"/>
      <c r="CR1498" s="68"/>
      <c r="CS1498" s="68"/>
      <c r="CT1498" s="68"/>
      <c r="CU1498" s="68"/>
      <c r="CV1498" s="68"/>
      <c r="CW1498" s="68"/>
      <c r="CX1498" s="68"/>
    </row>
    <row r="1499" spans="4:102" s="71" customFormat="1" hidden="1">
      <c r="D1499" s="69"/>
      <c r="E1499" s="68"/>
      <c r="F1499" s="68"/>
      <c r="G1499" s="68"/>
      <c r="H1499" s="68"/>
      <c r="I1499" s="68"/>
      <c r="J1499" s="68"/>
      <c r="K1499" s="73"/>
      <c r="L1499" s="68"/>
      <c r="M1499" s="68"/>
      <c r="N1499" s="68"/>
      <c r="O1499" s="68"/>
      <c r="P1499" s="65"/>
      <c r="Q1499" s="103"/>
      <c r="R1499" s="103"/>
      <c r="S1499" s="103"/>
      <c r="T1499" s="103"/>
      <c r="U1499" s="68"/>
      <c r="V1499" s="68"/>
      <c r="W1499" s="68"/>
      <c r="X1499" s="68"/>
      <c r="Y1499" s="68"/>
      <c r="Z1499" s="68"/>
      <c r="AA1499" s="68"/>
      <c r="AB1499" s="68"/>
      <c r="AC1499" s="68"/>
      <c r="AD1499" s="68"/>
      <c r="AE1499" s="68"/>
      <c r="AF1499" s="68"/>
      <c r="AG1499" s="68"/>
      <c r="AH1499" s="68"/>
      <c r="AI1499" s="68"/>
      <c r="AJ1499" s="68"/>
      <c r="AK1499" s="68"/>
      <c r="AL1499" s="68"/>
      <c r="AM1499" s="68"/>
      <c r="AN1499" s="68"/>
      <c r="AO1499" s="68"/>
      <c r="AP1499" s="68"/>
      <c r="AQ1499" s="68"/>
      <c r="AR1499" s="68"/>
      <c r="AS1499" s="68"/>
      <c r="AT1499" s="68"/>
      <c r="AU1499" s="68"/>
      <c r="AV1499" s="68"/>
      <c r="AW1499" s="68"/>
      <c r="AX1499" s="68"/>
      <c r="AY1499" s="68"/>
      <c r="AZ1499" s="68"/>
      <c r="BA1499" s="68"/>
      <c r="BB1499" s="68"/>
      <c r="BC1499" s="68"/>
      <c r="BD1499" s="68"/>
      <c r="BE1499" s="68"/>
      <c r="BF1499" s="68"/>
      <c r="BG1499" s="68"/>
      <c r="BH1499" s="68"/>
      <c r="BI1499" s="68"/>
      <c r="BJ1499" s="68"/>
      <c r="BK1499" s="68"/>
      <c r="BL1499" s="68"/>
      <c r="BM1499" s="68"/>
      <c r="BN1499" s="68"/>
      <c r="BO1499" s="68"/>
      <c r="BP1499" s="68"/>
      <c r="BQ1499" s="68"/>
      <c r="BR1499" s="68"/>
      <c r="BS1499" s="68"/>
      <c r="BT1499" s="68"/>
      <c r="BU1499" s="68"/>
      <c r="BV1499" s="68"/>
      <c r="BW1499" s="68"/>
      <c r="BX1499" s="68"/>
      <c r="BY1499" s="68"/>
      <c r="BZ1499" s="68"/>
      <c r="CA1499" s="68"/>
      <c r="CB1499" s="68"/>
      <c r="CC1499" s="68"/>
      <c r="CD1499" s="68"/>
      <c r="CE1499" s="68"/>
      <c r="CF1499" s="68"/>
      <c r="CG1499" s="68"/>
      <c r="CH1499" s="68"/>
      <c r="CI1499" s="68"/>
      <c r="CJ1499" s="68"/>
      <c r="CK1499" s="68"/>
      <c r="CL1499" s="68"/>
      <c r="CM1499" s="68"/>
      <c r="CN1499" s="68"/>
      <c r="CO1499" s="68"/>
      <c r="CP1499" s="68"/>
      <c r="CQ1499" s="68"/>
      <c r="CR1499" s="68"/>
      <c r="CS1499" s="68"/>
      <c r="CT1499" s="68"/>
      <c r="CU1499" s="68"/>
      <c r="CV1499" s="68"/>
      <c r="CW1499" s="68"/>
      <c r="CX1499" s="68"/>
    </row>
    <row r="1500" spans="4:102" s="71" customFormat="1" hidden="1">
      <c r="D1500" s="69"/>
      <c r="E1500" s="68"/>
      <c r="F1500" s="68"/>
      <c r="G1500" s="68"/>
      <c r="H1500" s="68"/>
      <c r="I1500" s="68"/>
      <c r="J1500" s="68"/>
      <c r="K1500" s="73"/>
      <c r="L1500" s="68"/>
      <c r="M1500" s="68"/>
      <c r="N1500" s="68"/>
      <c r="O1500" s="68"/>
      <c r="P1500" s="65"/>
      <c r="Q1500" s="103"/>
      <c r="R1500" s="103"/>
      <c r="S1500" s="103"/>
      <c r="T1500" s="103"/>
      <c r="U1500" s="68"/>
      <c r="V1500" s="68"/>
      <c r="W1500" s="68"/>
      <c r="X1500" s="68"/>
      <c r="Y1500" s="68"/>
      <c r="Z1500" s="68"/>
      <c r="AA1500" s="68"/>
      <c r="AB1500" s="68"/>
      <c r="AC1500" s="68"/>
      <c r="AD1500" s="68"/>
      <c r="AE1500" s="68"/>
      <c r="AF1500" s="68"/>
      <c r="AG1500" s="68"/>
      <c r="AH1500" s="68"/>
      <c r="AI1500" s="68"/>
      <c r="AJ1500" s="68"/>
      <c r="AK1500" s="68"/>
      <c r="AL1500" s="68"/>
      <c r="AM1500" s="68"/>
      <c r="AN1500" s="68"/>
      <c r="AO1500" s="68"/>
      <c r="AP1500" s="68"/>
      <c r="AQ1500" s="68"/>
      <c r="AR1500" s="68"/>
      <c r="AS1500" s="68"/>
      <c r="AT1500" s="68"/>
      <c r="AU1500" s="68"/>
      <c r="AV1500" s="68"/>
      <c r="AW1500" s="68"/>
      <c r="AX1500" s="68"/>
      <c r="AY1500" s="68"/>
      <c r="AZ1500" s="68"/>
      <c r="BA1500" s="68"/>
      <c r="BB1500" s="68"/>
      <c r="BC1500" s="68"/>
      <c r="BD1500" s="68"/>
      <c r="BE1500" s="68"/>
      <c r="BF1500" s="68"/>
      <c r="BG1500" s="68"/>
      <c r="BH1500" s="68"/>
      <c r="BI1500" s="68"/>
      <c r="BJ1500" s="68"/>
      <c r="BK1500" s="68"/>
      <c r="BL1500" s="68"/>
      <c r="BM1500" s="68"/>
      <c r="BN1500" s="68"/>
      <c r="BO1500" s="68"/>
      <c r="BP1500" s="68"/>
      <c r="BQ1500" s="68"/>
      <c r="BR1500" s="68"/>
      <c r="BS1500" s="68"/>
      <c r="BT1500" s="68"/>
      <c r="BU1500" s="68"/>
      <c r="BV1500" s="68"/>
      <c r="BW1500" s="68"/>
      <c r="BX1500" s="68"/>
      <c r="BY1500" s="68"/>
      <c r="BZ1500" s="68"/>
      <c r="CA1500" s="68"/>
      <c r="CB1500" s="68"/>
      <c r="CC1500" s="68"/>
      <c r="CD1500" s="68"/>
      <c r="CE1500" s="68"/>
      <c r="CF1500" s="68"/>
      <c r="CG1500" s="68"/>
      <c r="CH1500" s="68"/>
      <c r="CI1500" s="68"/>
      <c r="CJ1500" s="68"/>
      <c r="CK1500" s="68"/>
      <c r="CL1500" s="68"/>
      <c r="CM1500" s="68"/>
      <c r="CN1500" s="68"/>
      <c r="CO1500" s="68"/>
      <c r="CP1500" s="68"/>
      <c r="CQ1500" s="68"/>
      <c r="CR1500" s="68"/>
      <c r="CS1500" s="68"/>
      <c r="CT1500" s="68"/>
      <c r="CU1500" s="68"/>
      <c r="CV1500" s="68"/>
      <c r="CW1500" s="68"/>
      <c r="CX1500" s="68"/>
    </row>
    <row r="1501" spans="4:102" s="71" customFormat="1" hidden="1">
      <c r="D1501" s="69"/>
      <c r="E1501" s="68"/>
      <c r="F1501" s="68"/>
      <c r="G1501" s="68"/>
      <c r="H1501" s="68"/>
      <c r="I1501" s="68"/>
      <c r="J1501" s="68"/>
      <c r="K1501" s="73"/>
      <c r="L1501" s="68"/>
      <c r="M1501" s="68"/>
      <c r="N1501" s="68"/>
      <c r="O1501" s="68"/>
      <c r="P1501" s="65"/>
      <c r="Q1501" s="103"/>
      <c r="R1501" s="103"/>
      <c r="S1501" s="103"/>
      <c r="T1501" s="103"/>
      <c r="U1501" s="68"/>
      <c r="V1501" s="68"/>
      <c r="W1501" s="68"/>
      <c r="X1501" s="68"/>
      <c r="Y1501" s="68"/>
      <c r="Z1501" s="68"/>
      <c r="AA1501" s="68"/>
      <c r="AB1501" s="68"/>
      <c r="AC1501" s="68"/>
      <c r="AD1501" s="68"/>
      <c r="AE1501" s="68"/>
      <c r="AF1501" s="68"/>
      <c r="AG1501" s="68"/>
      <c r="AH1501" s="68"/>
      <c r="AI1501" s="68"/>
      <c r="AJ1501" s="68"/>
      <c r="AK1501" s="68"/>
      <c r="AL1501" s="68"/>
      <c r="AM1501" s="68"/>
      <c r="AN1501" s="68"/>
      <c r="AO1501" s="68"/>
      <c r="AP1501" s="68"/>
      <c r="AQ1501" s="68"/>
      <c r="AR1501" s="68"/>
      <c r="AS1501" s="68"/>
      <c r="AT1501" s="68"/>
      <c r="AU1501" s="68"/>
      <c r="AV1501" s="68"/>
      <c r="AW1501" s="68"/>
      <c r="AX1501" s="68"/>
      <c r="AY1501" s="68"/>
      <c r="AZ1501" s="68"/>
      <c r="BA1501" s="68"/>
      <c r="BB1501" s="68"/>
      <c r="BC1501" s="68"/>
      <c r="BD1501" s="68"/>
      <c r="BE1501" s="68"/>
      <c r="BF1501" s="68"/>
      <c r="BG1501" s="68"/>
      <c r="BH1501" s="68"/>
      <c r="BI1501" s="68"/>
      <c r="BJ1501" s="68"/>
      <c r="BK1501" s="68"/>
      <c r="BL1501" s="68"/>
      <c r="BM1501" s="68"/>
      <c r="BN1501" s="68"/>
      <c r="BO1501" s="68"/>
      <c r="BP1501" s="68"/>
      <c r="BQ1501" s="68"/>
      <c r="BR1501" s="68"/>
      <c r="BS1501" s="68"/>
      <c r="BT1501" s="68"/>
      <c r="BU1501" s="68"/>
      <c r="BV1501" s="68"/>
      <c r="BW1501" s="68"/>
      <c r="BX1501" s="68"/>
      <c r="BY1501" s="68"/>
      <c r="BZ1501" s="68"/>
      <c r="CA1501" s="68"/>
      <c r="CB1501" s="68"/>
      <c r="CC1501" s="68"/>
      <c r="CD1501" s="68"/>
      <c r="CE1501" s="68"/>
      <c r="CF1501" s="68"/>
      <c r="CG1501" s="68"/>
      <c r="CH1501" s="68"/>
      <c r="CI1501" s="68"/>
      <c r="CJ1501" s="68"/>
      <c r="CK1501" s="68"/>
      <c r="CL1501" s="68"/>
      <c r="CM1501" s="68"/>
      <c r="CN1501" s="68"/>
      <c r="CO1501" s="68"/>
      <c r="CP1501" s="68"/>
      <c r="CQ1501" s="68"/>
      <c r="CR1501" s="68"/>
      <c r="CS1501" s="68"/>
      <c r="CT1501" s="68"/>
      <c r="CU1501" s="68"/>
      <c r="CV1501" s="68"/>
      <c r="CW1501" s="68"/>
      <c r="CX1501" s="68"/>
    </row>
    <row r="1502" spans="4:102" s="71" customFormat="1" hidden="1">
      <c r="D1502" s="69"/>
      <c r="E1502" s="68"/>
      <c r="F1502" s="68"/>
      <c r="G1502" s="68"/>
      <c r="H1502" s="68"/>
      <c r="I1502" s="68"/>
      <c r="J1502" s="68"/>
      <c r="K1502" s="73"/>
      <c r="L1502" s="68"/>
      <c r="M1502" s="68"/>
      <c r="N1502" s="68"/>
      <c r="O1502" s="68"/>
      <c r="P1502" s="65"/>
      <c r="Q1502" s="103"/>
      <c r="R1502" s="103"/>
      <c r="S1502" s="103"/>
      <c r="T1502" s="103"/>
      <c r="U1502" s="68"/>
      <c r="V1502" s="68"/>
      <c r="W1502" s="68"/>
      <c r="X1502" s="68"/>
      <c r="Y1502" s="68"/>
      <c r="Z1502" s="68"/>
      <c r="AA1502" s="68"/>
      <c r="AB1502" s="68"/>
      <c r="AC1502" s="68"/>
      <c r="AD1502" s="68"/>
      <c r="AE1502" s="68"/>
      <c r="AF1502" s="68"/>
      <c r="AG1502" s="68"/>
      <c r="AH1502" s="68"/>
      <c r="AI1502" s="68"/>
      <c r="AJ1502" s="68"/>
      <c r="AK1502" s="68"/>
      <c r="AL1502" s="68"/>
      <c r="AM1502" s="68"/>
      <c r="AN1502" s="68"/>
      <c r="AO1502" s="68"/>
      <c r="AP1502" s="68"/>
      <c r="AQ1502" s="68"/>
      <c r="AR1502" s="68"/>
      <c r="AS1502" s="68"/>
      <c r="AT1502" s="68"/>
      <c r="AU1502" s="68"/>
      <c r="AV1502" s="68"/>
      <c r="AW1502" s="68"/>
      <c r="AX1502" s="68"/>
      <c r="AY1502" s="68"/>
      <c r="AZ1502" s="68"/>
      <c r="BA1502" s="68"/>
      <c r="BB1502" s="68"/>
      <c r="BC1502" s="68"/>
      <c r="BD1502" s="68"/>
      <c r="BE1502" s="68"/>
      <c r="BF1502" s="68"/>
      <c r="BG1502" s="68"/>
      <c r="BH1502" s="68"/>
      <c r="BI1502" s="68"/>
      <c r="BJ1502" s="68"/>
      <c r="BK1502" s="68"/>
      <c r="BL1502" s="68"/>
      <c r="BM1502" s="68"/>
      <c r="BN1502" s="68"/>
      <c r="BO1502" s="68"/>
      <c r="BP1502" s="68"/>
      <c r="BQ1502" s="68"/>
      <c r="BR1502" s="68"/>
      <c r="BS1502" s="68"/>
      <c r="BT1502" s="68"/>
      <c r="BU1502" s="68"/>
      <c r="BV1502" s="68"/>
      <c r="BW1502" s="68"/>
      <c r="BX1502" s="68"/>
      <c r="BY1502" s="68"/>
      <c r="BZ1502" s="68"/>
      <c r="CA1502" s="68"/>
      <c r="CB1502" s="68"/>
      <c r="CC1502" s="68"/>
      <c r="CD1502" s="68"/>
      <c r="CE1502" s="68"/>
      <c r="CF1502" s="68"/>
      <c r="CG1502" s="68"/>
      <c r="CH1502" s="68"/>
      <c r="CI1502" s="68"/>
      <c r="CJ1502" s="68"/>
      <c r="CK1502" s="68"/>
      <c r="CL1502" s="68"/>
      <c r="CM1502" s="68"/>
      <c r="CN1502" s="68"/>
      <c r="CO1502" s="68"/>
      <c r="CP1502" s="68"/>
      <c r="CQ1502" s="68"/>
      <c r="CR1502" s="68"/>
      <c r="CS1502" s="68"/>
      <c r="CT1502" s="68"/>
      <c r="CU1502" s="68"/>
      <c r="CV1502" s="68"/>
      <c r="CW1502" s="68"/>
      <c r="CX1502" s="68"/>
    </row>
    <row r="1503" spans="4:102" s="71" customFormat="1" hidden="1">
      <c r="D1503" s="69"/>
      <c r="E1503" s="68"/>
      <c r="F1503" s="68"/>
      <c r="G1503" s="68"/>
      <c r="H1503" s="68"/>
      <c r="I1503" s="68"/>
      <c r="J1503" s="68"/>
      <c r="K1503" s="73"/>
      <c r="L1503" s="68"/>
      <c r="M1503" s="68"/>
      <c r="N1503" s="68"/>
      <c r="O1503" s="68"/>
      <c r="P1503" s="65"/>
      <c r="Q1503" s="103"/>
      <c r="R1503" s="103"/>
      <c r="S1503" s="103"/>
      <c r="T1503" s="103"/>
      <c r="U1503" s="68"/>
      <c r="V1503" s="68"/>
      <c r="W1503" s="68"/>
      <c r="X1503" s="68"/>
      <c r="Y1503" s="68"/>
      <c r="Z1503" s="68"/>
      <c r="AA1503" s="68"/>
      <c r="AB1503" s="68"/>
      <c r="AC1503" s="68"/>
      <c r="AD1503" s="68"/>
      <c r="AE1503" s="68"/>
      <c r="AF1503" s="68"/>
      <c r="AG1503" s="68"/>
      <c r="AH1503" s="68"/>
      <c r="AI1503" s="68"/>
      <c r="AJ1503" s="68"/>
      <c r="AK1503" s="68"/>
      <c r="AL1503" s="68"/>
      <c r="AM1503" s="68"/>
      <c r="AN1503" s="68"/>
      <c r="AO1503" s="68"/>
      <c r="AP1503" s="68"/>
      <c r="AQ1503" s="68"/>
      <c r="AR1503" s="68"/>
      <c r="AS1503" s="68"/>
      <c r="AT1503" s="68"/>
      <c r="AU1503" s="68"/>
      <c r="AV1503" s="68"/>
      <c r="AW1503" s="68"/>
      <c r="AX1503" s="68"/>
      <c r="AY1503" s="68"/>
      <c r="AZ1503" s="68"/>
      <c r="BA1503" s="68"/>
      <c r="BB1503" s="68"/>
      <c r="BC1503" s="68"/>
      <c r="BD1503" s="68"/>
      <c r="BE1503" s="68"/>
      <c r="BF1503" s="68"/>
      <c r="BG1503" s="68"/>
      <c r="BH1503" s="68"/>
      <c r="BI1503" s="68"/>
      <c r="BJ1503" s="68"/>
      <c r="BK1503" s="68"/>
      <c r="BL1503" s="68"/>
      <c r="BM1503" s="68"/>
      <c r="BN1503" s="68"/>
      <c r="BO1503" s="68"/>
      <c r="BP1503" s="68"/>
      <c r="BQ1503" s="68"/>
      <c r="BR1503" s="68"/>
      <c r="BS1503" s="68"/>
      <c r="BT1503" s="68"/>
      <c r="BU1503" s="68"/>
      <c r="BV1503" s="68"/>
      <c r="BW1503" s="68"/>
      <c r="BX1503" s="68"/>
      <c r="BY1503" s="68"/>
      <c r="BZ1503" s="68"/>
      <c r="CA1503" s="68"/>
      <c r="CB1503" s="68"/>
      <c r="CC1503" s="68"/>
      <c r="CD1503" s="68"/>
      <c r="CE1503" s="68"/>
      <c r="CF1503" s="68"/>
      <c r="CG1503" s="68"/>
      <c r="CH1503" s="68"/>
      <c r="CI1503" s="68"/>
      <c r="CJ1503" s="68"/>
      <c r="CK1503" s="68"/>
      <c r="CL1503" s="68"/>
      <c r="CM1503" s="68"/>
      <c r="CN1503" s="68"/>
      <c r="CO1503" s="68"/>
      <c r="CP1503" s="68"/>
      <c r="CQ1503" s="68"/>
      <c r="CR1503" s="68"/>
      <c r="CS1503" s="68"/>
      <c r="CT1503" s="68"/>
      <c r="CU1503" s="68"/>
      <c r="CV1503" s="68"/>
      <c r="CW1503" s="68"/>
      <c r="CX1503" s="68"/>
    </row>
    <row r="1504" spans="4:102" s="71" customFormat="1" hidden="1">
      <c r="D1504" s="69"/>
      <c r="E1504" s="68"/>
      <c r="F1504" s="68"/>
      <c r="G1504" s="68"/>
      <c r="H1504" s="68"/>
      <c r="I1504" s="68"/>
      <c r="J1504" s="68"/>
      <c r="K1504" s="73"/>
      <c r="L1504" s="68"/>
      <c r="M1504" s="68"/>
      <c r="N1504" s="68"/>
      <c r="O1504" s="68"/>
      <c r="P1504" s="65"/>
      <c r="Q1504" s="103"/>
      <c r="R1504" s="103"/>
      <c r="S1504" s="103"/>
      <c r="T1504" s="103"/>
      <c r="U1504" s="68"/>
      <c r="V1504" s="68"/>
      <c r="W1504" s="68"/>
      <c r="X1504" s="68"/>
      <c r="Y1504" s="68"/>
      <c r="Z1504" s="68"/>
      <c r="AA1504" s="68"/>
      <c r="AB1504" s="68"/>
      <c r="AC1504" s="68"/>
      <c r="AD1504" s="68"/>
      <c r="AE1504" s="68"/>
      <c r="AF1504" s="68"/>
      <c r="AG1504" s="68"/>
      <c r="AH1504" s="68"/>
      <c r="AI1504" s="68"/>
      <c r="AJ1504" s="68"/>
      <c r="AK1504" s="68"/>
      <c r="AL1504" s="68"/>
      <c r="AM1504" s="68"/>
      <c r="AN1504" s="68"/>
      <c r="AO1504" s="68"/>
      <c r="AP1504" s="68"/>
      <c r="AQ1504" s="68"/>
      <c r="AR1504" s="68"/>
      <c r="AS1504" s="68"/>
      <c r="AT1504" s="68"/>
      <c r="AU1504" s="68"/>
      <c r="AV1504" s="68"/>
      <c r="AW1504" s="68"/>
      <c r="AX1504" s="68"/>
      <c r="AY1504" s="68"/>
      <c r="AZ1504" s="68"/>
      <c r="BA1504" s="68"/>
      <c r="BB1504" s="68"/>
      <c r="BC1504" s="68"/>
      <c r="BD1504" s="68"/>
      <c r="BE1504" s="68"/>
      <c r="BF1504" s="68"/>
      <c r="BG1504" s="68"/>
      <c r="BH1504" s="68"/>
      <c r="BI1504" s="68"/>
      <c r="BJ1504" s="68"/>
      <c r="BK1504" s="68"/>
      <c r="BL1504" s="68"/>
      <c r="BM1504" s="68"/>
      <c r="BN1504" s="68"/>
      <c r="BO1504" s="68"/>
      <c r="BP1504" s="68"/>
      <c r="BQ1504" s="68"/>
      <c r="BR1504" s="68"/>
      <c r="BS1504" s="68"/>
      <c r="BT1504" s="68"/>
      <c r="BU1504" s="68"/>
      <c r="BV1504" s="68"/>
      <c r="BW1504" s="68"/>
      <c r="BX1504" s="68"/>
      <c r="BY1504" s="68"/>
      <c r="BZ1504" s="68"/>
      <c r="CA1504" s="68"/>
      <c r="CB1504" s="68"/>
      <c r="CC1504" s="68"/>
      <c r="CD1504" s="68"/>
      <c r="CE1504" s="68"/>
      <c r="CF1504" s="68"/>
      <c r="CG1504" s="68"/>
      <c r="CH1504" s="68"/>
      <c r="CI1504" s="68"/>
      <c r="CJ1504" s="68"/>
      <c r="CK1504" s="68"/>
      <c r="CL1504" s="68"/>
      <c r="CM1504" s="68"/>
      <c r="CN1504" s="68"/>
      <c r="CO1504" s="68"/>
      <c r="CP1504" s="68"/>
      <c r="CQ1504" s="68"/>
      <c r="CR1504" s="68"/>
      <c r="CS1504" s="68"/>
      <c r="CT1504" s="68"/>
      <c r="CU1504" s="68"/>
      <c r="CV1504" s="68"/>
      <c r="CW1504" s="68"/>
      <c r="CX1504" s="68"/>
    </row>
    <row r="1505" spans="4:102" s="71" customFormat="1" hidden="1">
      <c r="D1505" s="69"/>
      <c r="E1505" s="68"/>
      <c r="F1505" s="68"/>
      <c r="G1505" s="68"/>
      <c r="H1505" s="68"/>
      <c r="I1505" s="68"/>
      <c r="J1505" s="68"/>
      <c r="K1505" s="73"/>
      <c r="L1505" s="68"/>
      <c r="M1505" s="68"/>
      <c r="N1505" s="68"/>
      <c r="O1505" s="68"/>
      <c r="P1505" s="65"/>
      <c r="Q1505" s="103"/>
      <c r="R1505" s="103"/>
      <c r="S1505" s="103"/>
      <c r="T1505" s="103"/>
      <c r="U1505" s="68"/>
      <c r="V1505" s="68"/>
      <c r="W1505" s="68"/>
      <c r="X1505" s="68"/>
      <c r="Y1505" s="68"/>
      <c r="Z1505" s="68"/>
      <c r="AA1505" s="68"/>
      <c r="AB1505" s="68"/>
      <c r="AC1505" s="68"/>
      <c r="AD1505" s="68"/>
      <c r="AE1505" s="68"/>
      <c r="AF1505" s="68"/>
      <c r="AG1505" s="68"/>
      <c r="AH1505" s="68"/>
      <c r="AI1505" s="68"/>
      <c r="AJ1505" s="68"/>
      <c r="AK1505" s="68"/>
      <c r="AL1505" s="68"/>
      <c r="AM1505" s="68"/>
      <c r="AN1505" s="68"/>
      <c r="AO1505" s="68"/>
      <c r="AP1505" s="68"/>
      <c r="AQ1505" s="68"/>
      <c r="AR1505" s="68"/>
      <c r="AS1505" s="68"/>
      <c r="AT1505" s="68"/>
      <c r="AU1505" s="68"/>
      <c r="AV1505" s="68"/>
      <c r="AW1505" s="68"/>
      <c r="AX1505" s="68"/>
      <c r="AY1505" s="68"/>
      <c r="AZ1505" s="68"/>
      <c r="BA1505" s="68"/>
      <c r="BB1505" s="68"/>
      <c r="BC1505" s="68"/>
      <c r="BD1505" s="68"/>
      <c r="BE1505" s="68"/>
      <c r="BF1505" s="68"/>
      <c r="BG1505" s="68"/>
      <c r="BH1505" s="68"/>
      <c r="BI1505" s="68"/>
      <c r="BJ1505" s="68"/>
      <c r="BK1505" s="68"/>
      <c r="BL1505" s="68"/>
      <c r="BM1505" s="68"/>
      <c r="BN1505" s="68"/>
      <c r="BO1505" s="68"/>
      <c r="BP1505" s="68"/>
      <c r="BQ1505" s="68"/>
      <c r="BR1505" s="68"/>
      <c r="BS1505" s="68"/>
      <c r="BT1505" s="68"/>
      <c r="BU1505" s="68"/>
      <c r="BV1505" s="68"/>
      <c r="BW1505" s="68"/>
      <c r="BX1505" s="68"/>
      <c r="BY1505" s="68"/>
      <c r="BZ1505" s="68"/>
      <c r="CA1505" s="68"/>
      <c r="CB1505" s="68"/>
      <c r="CC1505" s="68"/>
      <c r="CD1505" s="68"/>
      <c r="CE1505" s="68"/>
      <c r="CF1505" s="68"/>
      <c r="CG1505" s="68"/>
      <c r="CH1505" s="68"/>
      <c r="CI1505" s="68"/>
      <c r="CJ1505" s="68"/>
      <c r="CK1505" s="68"/>
      <c r="CL1505" s="68"/>
      <c r="CM1505" s="68"/>
      <c r="CN1505" s="68"/>
      <c r="CO1505" s="68"/>
      <c r="CP1505" s="68"/>
      <c r="CQ1505" s="68"/>
      <c r="CR1505" s="68"/>
      <c r="CS1505" s="68"/>
      <c r="CT1505" s="68"/>
      <c r="CU1505" s="68"/>
      <c r="CV1505" s="68"/>
      <c r="CW1505" s="68"/>
      <c r="CX1505" s="68"/>
    </row>
    <row r="1506" spans="4:102" s="71" customFormat="1" hidden="1">
      <c r="D1506" s="69"/>
      <c r="E1506" s="68"/>
      <c r="F1506" s="68"/>
      <c r="G1506" s="68"/>
      <c r="H1506" s="68"/>
      <c r="I1506" s="68"/>
      <c r="J1506" s="68"/>
      <c r="K1506" s="73"/>
      <c r="L1506" s="68"/>
      <c r="M1506" s="68"/>
      <c r="N1506" s="68"/>
      <c r="O1506" s="68"/>
      <c r="P1506" s="65"/>
      <c r="Q1506" s="103"/>
      <c r="R1506" s="103"/>
      <c r="S1506" s="103"/>
      <c r="T1506" s="103"/>
      <c r="U1506" s="68"/>
      <c r="V1506" s="68"/>
      <c r="W1506" s="68"/>
      <c r="X1506" s="68"/>
      <c r="Y1506" s="68"/>
      <c r="Z1506" s="68"/>
      <c r="AA1506" s="68"/>
      <c r="AB1506" s="68"/>
      <c r="AC1506" s="68"/>
      <c r="AD1506" s="68"/>
      <c r="AE1506" s="68"/>
      <c r="AF1506" s="68"/>
      <c r="AG1506" s="68"/>
      <c r="AH1506" s="68"/>
      <c r="AI1506" s="68"/>
      <c r="AJ1506" s="68"/>
      <c r="AK1506" s="68"/>
      <c r="AL1506" s="68"/>
      <c r="AM1506" s="68"/>
      <c r="AN1506" s="68"/>
      <c r="AO1506" s="68"/>
      <c r="AP1506" s="68"/>
      <c r="AQ1506" s="68"/>
      <c r="AR1506" s="68"/>
      <c r="AS1506" s="68"/>
      <c r="AT1506" s="68"/>
      <c r="AU1506" s="68"/>
      <c r="AV1506" s="68"/>
      <c r="AW1506" s="68"/>
      <c r="AX1506" s="68"/>
      <c r="AY1506" s="68"/>
      <c r="AZ1506" s="68"/>
      <c r="BA1506" s="68"/>
      <c r="BB1506" s="68"/>
      <c r="BC1506" s="68"/>
      <c r="BD1506" s="68"/>
      <c r="BE1506" s="68"/>
      <c r="BF1506" s="68"/>
      <c r="BG1506" s="68"/>
      <c r="BH1506" s="68"/>
      <c r="BI1506" s="68"/>
      <c r="BJ1506" s="68"/>
      <c r="BK1506" s="68"/>
      <c r="BL1506" s="68"/>
      <c r="BM1506" s="68"/>
      <c r="BN1506" s="68"/>
      <c r="BO1506" s="68"/>
      <c r="BP1506" s="68"/>
      <c r="BQ1506" s="68"/>
      <c r="BR1506" s="68"/>
      <c r="BS1506" s="68"/>
      <c r="BT1506" s="68"/>
      <c r="BU1506" s="68"/>
      <c r="BV1506" s="68"/>
      <c r="BW1506" s="68"/>
      <c r="BX1506" s="68"/>
      <c r="BY1506" s="68"/>
      <c r="BZ1506" s="68"/>
      <c r="CA1506" s="68"/>
      <c r="CB1506" s="68"/>
      <c r="CC1506" s="68"/>
      <c r="CD1506" s="68"/>
      <c r="CE1506" s="68"/>
      <c r="CF1506" s="68"/>
      <c r="CG1506" s="68"/>
      <c r="CH1506" s="68"/>
      <c r="CI1506" s="68"/>
      <c r="CJ1506" s="68"/>
      <c r="CK1506" s="68"/>
      <c r="CL1506" s="68"/>
      <c r="CM1506" s="68"/>
      <c r="CN1506" s="68"/>
      <c r="CO1506" s="68"/>
      <c r="CP1506" s="68"/>
      <c r="CQ1506" s="68"/>
      <c r="CR1506" s="68"/>
      <c r="CS1506" s="68"/>
      <c r="CT1506" s="68"/>
      <c r="CU1506" s="68"/>
      <c r="CV1506" s="68"/>
      <c r="CW1506" s="68"/>
      <c r="CX1506" s="68"/>
    </row>
    <row r="1507" spans="4:102" s="71" customFormat="1" hidden="1">
      <c r="D1507" s="69"/>
      <c r="E1507" s="68"/>
      <c r="F1507" s="68"/>
      <c r="G1507" s="68"/>
      <c r="H1507" s="68"/>
      <c r="I1507" s="68"/>
      <c r="J1507" s="68"/>
      <c r="K1507" s="73"/>
      <c r="L1507" s="68"/>
      <c r="M1507" s="68"/>
      <c r="N1507" s="68"/>
      <c r="O1507" s="68"/>
      <c r="P1507" s="65"/>
      <c r="Q1507" s="103"/>
      <c r="R1507" s="103"/>
      <c r="S1507" s="103"/>
      <c r="T1507" s="103"/>
      <c r="U1507" s="68"/>
      <c r="V1507" s="68"/>
      <c r="W1507" s="68"/>
      <c r="X1507" s="68"/>
      <c r="Y1507" s="68"/>
      <c r="Z1507" s="68"/>
      <c r="AA1507" s="68"/>
      <c r="AB1507" s="68"/>
      <c r="AC1507" s="68"/>
      <c r="AD1507" s="68"/>
      <c r="AE1507" s="68"/>
      <c r="AF1507" s="68"/>
      <c r="AG1507" s="68"/>
      <c r="AH1507" s="68"/>
      <c r="AI1507" s="68"/>
      <c r="AJ1507" s="68"/>
      <c r="AK1507" s="68"/>
      <c r="AL1507" s="68"/>
      <c r="AM1507" s="68"/>
      <c r="AN1507" s="68"/>
      <c r="AO1507" s="68"/>
      <c r="AP1507" s="68"/>
      <c r="AQ1507" s="68"/>
      <c r="AR1507" s="68"/>
      <c r="AS1507" s="68"/>
      <c r="AT1507" s="68"/>
      <c r="AU1507" s="68"/>
      <c r="AV1507" s="68"/>
      <c r="AW1507" s="68"/>
      <c r="AX1507" s="68"/>
      <c r="AY1507" s="68"/>
      <c r="AZ1507" s="68"/>
      <c r="BA1507" s="68"/>
      <c r="BB1507" s="68"/>
      <c r="BC1507" s="68"/>
      <c r="BD1507" s="68"/>
      <c r="BE1507" s="68"/>
      <c r="BF1507" s="68"/>
      <c r="BG1507" s="68"/>
      <c r="BH1507" s="68"/>
      <c r="BI1507" s="68"/>
      <c r="BJ1507" s="68"/>
      <c r="BK1507" s="68"/>
      <c r="BL1507" s="68"/>
      <c r="BM1507" s="68"/>
      <c r="BN1507" s="68"/>
      <c r="BO1507" s="68"/>
      <c r="BP1507" s="68"/>
      <c r="BQ1507" s="68"/>
      <c r="BR1507" s="68"/>
      <c r="BS1507" s="68"/>
      <c r="BT1507" s="68"/>
      <c r="BU1507" s="68"/>
      <c r="BV1507" s="68"/>
      <c r="BW1507" s="68"/>
      <c r="BX1507" s="68"/>
      <c r="BY1507" s="68"/>
      <c r="BZ1507" s="68"/>
      <c r="CA1507" s="68"/>
      <c r="CB1507" s="68"/>
      <c r="CC1507" s="68"/>
      <c r="CD1507" s="68"/>
      <c r="CE1507" s="68"/>
      <c r="CF1507" s="68"/>
      <c r="CG1507" s="68"/>
      <c r="CH1507" s="68"/>
      <c r="CI1507" s="68"/>
      <c r="CJ1507" s="68"/>
      <c r="CK1507" s="68"/>
      <c r="CL1507" s="68"/>
      <c r="CM1507" s="68"/>
      <c r="CN1507" s="68"/>
      <c r="CO1507" s="68"/>
      <c r="CP1507" s="68"/>
      <c r="CQ1507" s="68"/>
      <c r="CR1507" s="68"/>
      <c r="CS1507" s="68"/>
      <c r="CT1507" s="68"/>
      <c r="CU1507" s="68"/>
      <c r="CV1507" s="68"/>
      <c r="CW1507" s="68"/>
      <c r="CX1507" s="68"/>
    </row>
    <row r="1508" spans="4:102" s="71" customFormat="1" hidden="1">
      <c r="D1508" s="69"/>
      <c r="E1508" s="68"/>
      <c r="F1508" s="68"/>
      <c r="G1508" s="68"/>
      <c r="H1508" s="68"/>
      <c r="I1508" s="68"/>
      <c r="J1508" s="68"/>
      <c r="K1508" s="73"/>
      <c r="L1508" s="68"/>
      <c r="M1508" s="68"/>
      <c r="N1508" s="68"/>
      <c r="O1508" s="68"/>
      <c r="P1508" s="65"/>
      <c r="Q1508" s="103"/>
      <c r="R1508" s="103"/>
      <c r="S1508" s="103"/>
      <c r="T1508" s="103"/>
      <c r="U1508" s="68"/>
      <c r="V1508" s="68"/>
      <c r="W1508" s="68"/>
      <c r="X1508" s="68"/>
      <c r="Y1508" s="68"/>
      <c r="Z1508" s="68"/>
      <c r="AA1508" s="68"/>
      <c r="AB1508" s="68"/>
      <c r="AC1508" s="68"/>
      <c r="AD1508" s="68"/>
      <c r="AE1508" s="68"/>
      <c r="AF1508" s="68"/>
      <c r="AG1508" s="68"/>
      <c r="AH1508" s="68"/>
      <c r="AI1508" s="68"/>
      <c r="AJ1508" s="68"/>
      <c r="AK1508" s="68"/>
      <c r="AL1508" s="68"/>
      <c r="AM1508" s="68"/>
      <c r="AN1508" s="68"/>
      <c r="AO1508" s="68"/>
      <c r="AP1508" s="68"/>
      <c r="AQ1508" s="68"/>
      <c r="AR1508" s="68"/>
      <c r="AS1508" s="68"/>
      <c r="AT1508" s="68"/>
      <c r="AU1508" s="68"/>
      <c r="AV1508" s="68"/>
      <c r="AW1508" s="68"/>
      <c r="AX1508" s="68"/>
      <c r="AY1508" s="68"/>
      <c r="AZ1508" s="68"/>
      <c r="BA1508" s="68"/>
      <c r="BB1508" s="68"/>
      <c r="BC1508" s="68"/>
      <c r="BD1508" s="68"/>
      <c r="BE1508" s="68"/>
      <c r="BF1508" s="68"/>
      <c r="BG1508" s="68"/>
      <c r="BH1508" s="68"/>
      <c r="BI1508" s="68"/>
      <c r="BJ1508" s="68"/>
      <c r="BK1508" s="68"/>
      <c r="BL1508" s="68"/>
      <c r="BM1508" s="68"/>
      <c r="BN1508" s="68"/>
      <c r="BO1508" s="68"/>
      <c r="BP1508" s="68"/>
      <c r="BQ1508" s="68"/>
      <c r="BR1508" s="68"/>
      <c r="BS1508" s="68"/>
      <c r="BT1508" s="68"/>
      <c r="BU1508" s="68"/>
      <c r="BV1508" s="68"/>
      <c r="BW1508" s="68"/>
      <c r="BX1508" s="68"/>
      <c r="BY1508" s="68"/>
      <c r="BZ1508" s="68"/>
      <c r="CA1508" s="68"/>
      <c r="CB1508" s="68"/>
      <c r="CC1508" s="68"/>
      <c r="CD1508" s="68"/>
      <c r="CE1508" s="68"/>
      <c r="CF1508" s="68"/>
      <c r="CG1508" s="68"/>
      <c r="CH1508" s="68"/>
      <c r="CI1508" s="68"/>
      <c r="CJ1508" s="68"/>
      <c r="CK1508" s="68"/>
      <c r="CL1508" s="68"/>
      <c r="CM1508" s="68"/>
      <c r="CN1508" s="68"/>
      <c r="CO1508" s="68"/>
      <c r="CP1508" s="68"/>
      <c r="CQ1508" s="68"/>
      <c r="CR1508" s="68"/>
      <c r="CS1508" s="68"/>
      <c r="CT1508" s="68"/>
      <c r="CU1508" s="68"/>
      <c r="CV1508" s="68"/>
      <c r="CW1508" s="68"/>
      <c r="CX1508" s="68"/>
    </row>
    <row r="1509" spans="4:102" s="71" customFormat="1" hidden="1">
      <c r="D1509" s="69"/>
      <c r="E1509" s="68"/>
      <c r="F1509" s="68"/>
      <c r="G1509" s="68"/>
      <c r="H1509" s="68"/>
      <c r="I1509" s="68"/>
      <c r="J1509" s="68"/>
      <c r="K1509" s="73"/>
      <c r="L1509" s="68"/>
      <c r="M1509" s="68"/>
      <c r="N1509" s="68"/>
      <c r="O1509" s="68"/>
      <c r="P1509" s="65"/>
      <c r="Q1509" s="103"/>
      <c r="R1509" s="103"/>
      <c r="S1509" s="103"/>
      <c r="T1509" s="103"/>
      <c r="U1509" s="68"/>
      <c r="V1509" s="68"/>
      <c r="W1509" s="68"/>
      <c r="X1509" s="68"/>
      <c r="Y1509" s="68"/>
      <c r="Z1509" s="68"/>
      <c r="AA1509" s="68"/>
      <c r="AB1509" s="68"/>
      <c r="AC1509" s="68"/>
      <c r="AD1509" s="68"/>
      <c r="AE1509" s="68"/>
      <c r="AF1509" s="68"/>
      <c r="AG1509" s="68"/>
      <c r="AH1509" s="68"/>
      <c r="AI1509" s="68"/>
      <c r="AJ1509" s="68"/>
      <c r="AK1509" s="68"/>
      <c r="AL1509" s="68"/>
      <c r="AM1509" s="68"/>
      <c r="AN1509" s="68"/>
      <c r="AO1509" s="68"/>
      <c r="AP1509" s="68"/>
      <c r="AQ1509" s="68"/>
      <c r="AR1509" s="68"/>
      <c r="AS1509" s="68"/>
      <c r="AT1509" s="68"/>
      <c r="AU1509" s="68"/>
      <c r="AV1509" s="68"/>
      <c r="AW1509" s="68"/>
      <c r="AX1509" s="68"/>
      <c r="AY1509" s="68"/>
      <c r="AZ1509" s="68"/>
      <c r="BA1509" s="68"/>
      <c r="BB1509" s="68"/>
      <c r="BC1509" s="68"/>
      <c r="BD1509" s="68"/>
      <c r="BE1509" s="68"/>
      <c r="BF1509" s="68"/>
      <c r="BG1509" s="68"/>
      <c r="BH1509" s="68"/>
      <c r="BI1509" s="68"/>
      <c r="BJ1509" s="68"/>
      <c r="BK1509" s="68"/>
      <c r="BL1509" s="68"/>
      <c r="BM1509" s="68"/>
      <c r="BN1509" s="68"/>
      <c r="BO1509" s="68"/>
      <c r="BP1509" s="68"/>
      <c r="BQ1509" s="68"/>
      <c r="BR1509" s="68"/>
      <c r="BS1509" s="68"/>
      <c r="BT1509" s="68"/>
      <c r="BU1509" s="68"/>
      <c r="BV1509" s="68"/>
      <c r="BW1509" s="68"/>
      <c r="BX1509" s="68"/>
      <c r="BY1509" s="68"/>
      <c r="BZ1509" s="68"/>
      <c r="CA1509" s="68"/>
      <c r="CB1509" s="68"/>
      <c r="CC1509" s="68"/>
      <c r="CD1509" s="68"/>
      <c r="CE1509" s="68"/>
      <c r="CF1509" s="68"/>
      <c r="CG1509" s="68"/>
      <c r="CH1509" s="68"/>
      <c r="CI1509" s="68"/>
      <c r="CJ1509" s="68"/>
      <c r="CK1509" s="68"/>
      <c r="CL1509" s="68"/>
      <c r="CM1509" s="68"/>
      <c r="CN1509" s="68"/>
      <c r="CO1509" s="68"/>
      <c r="CP1509" s="68"/>
      <c r="CQ1509" s="68"/>
      <c r="CR1509" s="68"/>
      <c r="CS1509" s="68"/>
      <c r="CT1509" s="68"/>
      <c r="CU1509" s="68"/>
      <c r="CV1509" s="68"/>
      <c r="CW1509" s="68"/>
      <c r="CX1509" s="68"/>
    </row>
    <row r="1510" spans="4:102" s="71" customFormat="1" hidden="1">
      <c r="D1510" s="69"/>
      <c r="E1510" s="68"/>
      <c r="F1510" s="68"/>
      <c r="G1510" s="68"/>
      <c r="H1510" s="68"/>
      <c r="I1510" s="68"/>
      <c r="J1510" s="68"/>
      <c r="K1510" s="73"/>
      <c r="L1510" s="68"/>
      <c r="M1510" s="68"/>
      <c r="N1510" s="68"/>
      <c r="O1510" s="68"/>
      <c r="P1510" s="65"/>
      <c r="Q1510" s="103"/>
      <c r="R1510" s="103"/>
      <c r="S1510" s="103"/>
      <c r="T1510" s="103"/>
      <c r="U1510" s="68"/>
      <c r="V1510" s="68"/>
      <c r="W1510" s="68"/>
      <c r="X1510" s="68"/>
      <c r="Y1510" s="68"/>
      <c r="Z1510" s="68"/>
      <c r="AA1510" s="68"/>
      <c r="AB1510" s="68"/>
      <c r="AC1510" s="68"/>
      <c r="AD1510" s="68"/>
      <c r="AE1510" s="68"/>
      <c r="AF1510" s="68"/>
      <c r="AG1510" s="68"/>
      <c r="AH1510" s="68"/>
      <c r="AI1510" s="68"/>
      <c r="AJ1510" s="68"/>
      <c r="AK1510" s="68"/>
      <c r="AL1510" s="68"/>
      <c r="AM1510" s="68"/>
      <c r="AN1510" s="68"/>
      <c r="AO1510" s="68"/>
      <c r="AP1510" s="68"/>
      <c r="AQ1510" s="68"/>
      <c r="AR1510" s="68"/>
      <c r="AS1510" s="68"/>
      <c r="AT1510" s="68"/>
      <c r="AU1510" s="68"/>
      <c r="AV1510" s="68"/>
      <c r="AW1510" s="68"/>
      <c r="AX1510" s="68"/>
      <c r="AY1510" s="68"/>
      <c r="AZ1510" s="68"/>
      <c r="BA1510" s="68"/>
      <c r="BB1510" s="68"/>
      <c r="BC1510" s="68"/>
      <c r="BD1510" s="68"/>
      <c r="BE1510" s="68"/>
      <c r="BF1510" s="68"/>
      <c r="BG1510" s="68"/>
      <c r="BH1510" s="68"/>
      <c r="BI1510" s="68"/>
      <c r="BJ1510" s="68"/>
      <c r="BK1510" s="68"/>
      <c r="BL1510" s="68"/>
      <c r="BM1510" s="68"/>
      <c r="BN1510" s="68"/>
      <c r="BO1510" s="68"/>
      <c r="BP1510" s="68"/>
      <c r="BQ1510" s="68"/>
      <c r="BR1510" s="68"/>
      <c r="BS1510" s="68"/>
      <c r="BT1510" s="68"/>
      <c r="BU1510" s="68"/>
      <c r="BV1510" s="68"/>
      <c r="BW1510" s="68"/>
      <c r="BX1510" s="68"/>
      <c r="BY1510" s="68"/>
      <c r="BZ1510" s="68"/>
      <c r="CA1510" s="68"/>
      <c r="CB1510" s="68"/>
      <c r="CC1510" s="68"/>
      <c r="CD1510" s="68"/>
      <c r="CE1510" s="68"/>
      <c r="CF1510" s="68"/>
      <c r="CG1510" s="68"/>
      <c r="CH1510" s="68"/>
      <c r="CI1510" s="68"/>
      <c r="CJ1510" s="68"/>
      <c r="CK1510" s="68"/>
      <c r="CL1510" s="68"/>
      <c r="CM1510" s="68"/>
      <c r="CN1510" s="68"/>
      <c r="CO1510" s="68"/>
      <c r="CP1510" s="68"/>
      <c r="CQ1510" s="68"/>
      <c r="CR1510" s="68"/>
      <c r="CS1510" s="68"/>
      <c r="CT1510" s="68"/>
      <c r="CU1510" s="68"/>
      <c r="CV1510" s="68"/>
      <c r="CW1510" s="68"/>
      <c r="CX1510" s="68"/>
    </row>
    <row r="1511" spans="4:102" s="71" customFormat="1" hidden="1">
      <c r="D1511" s="69"/>
      <c r="E1511" s="68"/>
      <c r="F1511" s="68"/>
      <c r="G1511" s="68"/>
      <c r="H1511" s="68"/>
      <c r="I1511" s="68"/>
      <c r="J1511" s="68"/>
      <c r="K1511" s="73"/>
      <c r="L1511" s="68"/>
      <c r="M1511" s="68"/>
      <c r="N1511" s="68"/>
      <c r="O1511" s="68"/>
      <c r="P1511" s="65"/>
      <c r="Q1511" s="103"/>
      <c r="R1511" s="103"/>
      <c r="S1511" s="103"/>
      <c r="T1511" s="103"/>
      <c r="U1511" s="68"/>
      <c r="V1511" s="68"/>
      <c r="W1511" s="68"/>
      <c r="X1511" s="68"/>
      <c r="Y1511" s="68"/>
      <c r="Z1511" s="68"/>
      <c r="AA1511" s="68"/>
      <c r="AB1511" s="68"/>
      <c r="AC1511" s="68"/>
      <c r="AD1511" s="68"/>
      <c r="AE1511" s="68"/>
      <c r="AF1511" s="68"/>
      <c r="AG1511" s="68"/>
      <c r="AH1511" s="68"/>
      <c r="AI1511" s="68"/>
      <c r="AJ1511" s="68"/>
      <c r="AK1511" s="68"/>
      <c r="AL1511" s="68"/>
      <c r="AM1511" s="68"/>
      <c r="AN1511" s="68"/>
      <c r="AO1511" s="68"/>
      <c r="AP1511" s="68"/>
      <c r="AQ1511" s="68"/>
      <c r="AR1511" s="68"/>
      <c r="AS1511" s="68"/>
      <c r="AT1511" s="68"/>
      <c r="AU1511" s="68"/>
      <c r="AV1511" s="68"/>
      <c r="AW1511" s="68"/>
      <c r="AX1511" s="68"/>
      <c r="AY1511" s="68"/>
      <c r="AZ1511" s="68"/>
      <c r="BA1511" s="68"/>
      <c r="BB1511" s="68"/>
      <c r="BC1511" s="68"/>
      <c r="BD1511" s="68"/>
      <c r="BE1511" s="68"/>
      <c r="BF1511" s="68"/>
      <c r="BG1511" s="68"/>
      <c r="BH1511" s="68"/>
      <c r="BI1511" s="68"/>
      <c r="BJ1511" s="68"/>
      <c r="BK1511" s="68"/>
      <c r="BL1511" s="68"/>
      <c r="BM1511" s="68"/>
      <c r="BN1511" s="68"/>
      <c r="BO1511" s="68"/>
      <c r="BP1511" s="68"/>
      <c r="BQ1511" s="68"/>
      <c r="BR1511" s="68"/>
      <c r="BS1511" s="68"/>
      <c r="BT1511" s="68"/>
      <c r="BU1511" s="68"/>
      <c r="BV1511" s="68"/>
      <c r="BW1511" s="68"/>
      <c r="BX1511" s="68"/>
      <c r="BY1511" s="68"/>
      <c r="BZ1511" s="68"/>
      <c r="CA1511" s="68"/>
      <c r="CB1511" s="68"/>
      <c r="CC1511" s="68"/>
      <c r="CD1511" s="68"/>
      <c r="CE1511" s="68"/>
      <c r="CF1511" s="68"/>
      <c r="CG1511" s="68"/>
      <c r="CH1511" s="68"/>
      <c r="CI1511" s="68"/>
      <c r="CJ1511" s="68"/>
      <c r="CK1511" s="68"/>
      <c r="CL1511" s="68"/>
      <c r="CM1511" s="68"/>
      <c r="CN1511" s="68"/>
      <c r="CO1511" s="68"/>
      <c r="CP1511" s="68"/>
      <c r="CQ1511" s="68"/>
      <c r="CR1511" s="68"/>
      <c r="CS1511" s="68"/>
      <c r="CT1511" s="68"/>
      <c r="CU1511" s="68"/>
      <c r="CV1511" s="68"/>
      <c r="CW1511" s="68"/>
      <c r="CX1511" s="68"/>
    </row>
    <row r="1512" spans="4:102" s="71" customFormat="1" hidden="1">
      <c r="D1512" s="69"/>
      <c r="E1512" s="68"/>
      <c r="F1512" s="68"/>
      <c r="G1512" s="68"/>
      <c r="H1512" s="68"/>
      <c r="I1512" s="68"/>
      <c r="J1512" s="68"/>
      <c r="K1512" s="73"/>
      <c r="L1512" s="68"/>
      <c r="M1512" s="68"/>
      <c r="N1512" s="68"/>
      <c r="O1512" s="68"/>
      <c r="P1512" s="65"/>
      <c r="Q1512" s="103"/>
      <c r="R1512" s="103"/>
      <c r="S1512" s="103"/>
      <c r="T1512" s="103"/>
      <c r="U1512" s="68"/>
      <c r="V1512" s="68"/>
      <c r="W1512" s="68"/>
      <c r="X1512" s="68"/>
      <c r="Y1512" s="68"/>
      <c r="Z1512" s="68"/>
      <c r="AA1512" s="68"/>
      <c r="AB1512" s="68"/>
      <c r="AC1512" s="68"/>
      <c r="AD1512" s="68"/>
      <c r="AE1512" s="68"/>
      <c r="AF1512" s="68"/>
      <c r="AG1512" s="68"/>
      <c r="AH1512" s="68"/>
      <c r="AI1512" s="68"/>
      <c r="AJ1512" s="68"/>
      <c r="AK1512" s="68"/>
      <c r="AL1512" s="68"/>
      <c r="AM1512" s="68"/>
      <c r="AN1512" s="68"/>
      <c r="AO1512" s="68"/>
      <c r="AP1512" s="68"/>
      <c r="AQ1512" s="68"/>
      <c r="AR1512" s="68"/>
      <c r="AS1512" s="68"/>
      <c r="AT1512" s="68"/>
      <c r="AU1512" s="68"/>
      <c r="AV1512" s="68"/>
      <c r="AW1512" s="68"/>
      <c r="AX1512" s="68"/>
      <c r="AY1512" s="68"/>
      <c r="AZ1512" s="68"/>
      <c r="BA1512" s="68"/>
      <c r="BB1512" s="68"/>
      <c r="BC1512" s="68"/>
      <c r="BD1512" s="68"/>
      <c r="BE1512" s="68"/>
      <c r="BF1512" s="68"/>
      <c r="BG1512" s="68"/>
      <c r="BH1512" s="68"/>
      <c r="BI1512" s="68"/>
      <c r="BJ1512" s="68"/>
      <c r="BK1512" s="68"/>
      <c r="BL1512" s="68"/>
      <c r="BM1512" s="68"/>
      <c r="BN1512" s="68"/>
      <c r="BO1512" s="68"/>
      <c r="BP1512" s="68"/>
      <c r="BQ1512" s="68"/>
      <c r="BR1512" s="68"/>
      <c r="BS1512" s="68"/>
      <c r="BT1512" s="68"/>
      <c r="BU1512" s="68"/>
      <c r="BV1512" s="68"/>
      <c r="BW1512" s="68"/>
      <c r="BX1512" s="68"/>
      <c r="BY1512" s="68"/>
      <c r="BZ1512" s="68"/>
      <c r="CA1512" s="68"/>
      <c r="CB1512" s="68"/>
      <c r="CC1512" s="68"/>
      <c r="CD1512" s="68"/>
      <c r="CE1512" s="68"/>
      <c r="CF1512" s="68"/>
      <c r="CG1512" s="68"/>
      <c r="CH1512" s="68"/>
      <c r="CI1512" s="68"/>
      <c r="CJ1512" s="68"/>
      <c r="CK1512" s="68"/>
      <c r="CL1512" s="68"/>
      <c r="CM1512" s="68"/>
      <c r="CN1512" s="68"/>
      <c r="CO1512" s="68"/>
      <c r="CP1512" s="68"/>
      <c r="CQ1512" s="68"/>
      <c r="CR1512" s="68"/>
      <c r="CS1512" s="68"/>
      <c r="CT1512" s="68"/>
      <c r="CU1512" s="68"/>
      <c r="CV1512" s="68"/>
      <c r="CW1512" s="68"/>
      <c r="CX1512" s="68"/>
    </row>
    <row r="1513" spans="4:102" s="71" customFormat="1" hidden="1">
      <c r="D1513" s="69"/>
      <c r="E1513" s="68"/>
      <c r="F1513" s="68"/>
      <c r="G1513" s="68"/>
      <c r="H1513" s="68"/>
      <c r="I1513" s="68"/>
      <c r="J1513" s="68"/>
      <c r="K1513" s="73"/>
      <c r="L1513" s="68"/>
      <c r="M1513" s="68"/>
      <c r="N1513" s="68"/>
      <c r="O1513" s="68"/>
      <c r="P1513" s="65"/>
      <c r="Q1513" s="103"/>
      <c r="R1513" s="103"/>
      <c r="S1513" s="103"/>
      <c r="T1513" s="103"/>
      <c r="U1513" s="68"/>
      <c r="V1513" s="68"/>
      <c r="W1513" s="68"/>
      <c r="X1513" s="68"/>
      <c r="Y1513" s="68"/>
      <c r="Z1513" s="68"/>
      <c r="AA1513" s="68"/>
      <c r="AB1513" s="68"/>
      <c r="AC1513" s="68"/>
      <c r="AD1513" s="68"/>
      <c r="AE1513" s="68"/>
      <c r="AF1513" s="68"/>
      <c r="AG1513" s="68"/>
      <c r="AH1513" s="68"/>
      <c r="AI1513" s="68"/>
      <c r="AJ1513" s="68"/>
      <c r="AK1513" s="68"/>
      <c r="AL1513" s="68"/>
      <c r="AM1513" s="68"/>
      <c r="AN1513" s="68"/>
      <c r="AO1513" s="68"/>
      <c r="AP1513" s="68"/>
      <c r="AQ1513" s="68"/>
      <c r="AR1513" s="68"/>
      <c r="AS1513" s="68"/>
      <c r="AT1513" s="68"/>
      <c r="AU1513" s="68"/>
      <c r="AV1513" s="68"/>
      <c r="AW1513" s="68"/>
      <c r="AX1513" s="68"/>
      <c r="AY1513" s="68"/>
      <c r="AZ1513" s="68"/>
      <c r="BA1513" s="68"/>
      <c r="BB1513" s="68"/>
      <c r="BC1513" s="68"/>
      <c r="BD1513" s="68"/>
      <c r="BE1513" s="68"/>
      <c r="BF1513" s="68"/>
      <c r="BG1513" s="68"/>
      <c r="BH1513" s="68"/>
      <c r="BI1513" s="68"/>
      <c r="BJ1513" s="68"/>
      <c r="BK1513" s="68"/>
      <c r="BL1513" s="68"/>
      <c r="BM1513" s="68"/>
      <c r="BN1513" s="68"/>
      <c r="BO1513" s="68"/>
      <c r="BP1513" s="68"/>
      <c r="BQ1513" s="68"/>
      <c r="BR1513" s="68"/>
      <c r="BS1513" s="68"/>
      <c r="BT1513" s="68"/>
      <c r="BU1513" s="68"/>
      <c r="BV1513" s="68"/>
      <c r="BW1513" s="68"/>
      <c r="BX1513" s="68"/>
      <c r="BY1513" s="68"/>
      <c r="BZ1513" s="68"/>
      <c r="CA1513" s="68"/>
      <c r="CB1513" s="68"/>
      <c r="CC1513" s="68"/>
      <c r="CD1513" s="68"/>
      <c r="CE1513" s="68"/>
      <c r="CF1513" s="68"/>
      <c r="CG1513" s="68"/>
      <c r="CH1513" s="68"/>
      <c r="CI1513" s="68"/>
      <c r="CJ1513" s="68"/>
      <c r="CK1513" s="68"/>
      <c r="CL1513" s="68"/>
      <c r="CM1513" s="68"/>
      <c r="CN1513" s="68"/>
      <c r="CO1513" s="68"/>
      <c r="CP1513" s="68"/>
      <c r="CQ1513" s="68"/>
      <c r="CR1513" s="68"/>
      <c r="CS1513" s="68"/>
      <c r="CT1513" s="68"/>
      <c r="CU1513" s="68"/>
      <c r="CV1513" s="68"/>
      <c r="CW1513" s="68"/>
      <c r="CX1513" s="68"/>
    </row>
    <row r="1514" spans="4:102" s="71" customFormat="1" hidden="1">
      <c r="D1514" s="69"/>
      <c r="E1514" s="68"/>
      <c r="F1514" s="68"/>
      <c r="G1514" s="68"/>
      <c r="H1514" s="68"/>
      <c r="I1514" s="68"/>
      <c r="J1514" s="68"/>
      <c r="K1514" s="73"/>
      <c r="L1514" s="68"/>
      <c r="M1514" s="68"/>
      <c r="N1514" s="68"/>
      <c r="O1514" s="68"/>
      <c r="P1514" s="65"/>
      <c r="Q1514" s="103"/>
      <c r="R1514" s="103"/>
      <c r="S1514" s="103"/>
      <c r="T1514" s="103"/>
      <c r="U1514" s="68"/>
      <c r="V1514" s="68"/>
      <c r="W1514" s="68"/>
      <c r="X1514" s="68"/>
      <c r="Y1514" s="68"/>
      <c r="Z1514" s="68"/>
      <c r="AA1514" s="68"/>
      <c r="AB1514" s="68"/>
      <c r="AC1514" s="68"/>
      <c r="AD1514" s="68"/>
      <c r="AE1514" s="68"/>
      <c r="AF1514" s="68"/>
      <c r="AG1514" s="68"/>
      <c r="AH1514" s="68"/>
      <c r="AI1514" s="68"/>
      <c r="AJ1514" s="68"/>
      <c r="AK1514" s="68"/>
      <c r="AL1514" s="68"/>
      <c r="AM1514" s="68"/>
      <c r="AN1514" s="68"/>
      <c r="AO1514" s="68"/>
      <c r="AP1514" s="68"/>
      <c r="AQ1514" s="68"/>
      <c r="AR1514" s="68"/>
      <c r="AS1514" s="68"/>
      <c r="AT1514" s="68"/>
      <c r="AU1514" s="68"/>
      <c r="AV1514" s="68"/>
      <c r="AW1514" s="68"/>
      <c r="AX1514" s="68"/>
      <c r="AY1514" s="68"/>
      <c r="AZ1514" s="68"/>
      <c r="BA1514" s="68"/>
      <c r="BB1514" s="68"/>
      <c r="BC1514" s="68"/>
      <c r="BD1514" s="68"/>
      <c r="BE1514" s="68"/>
      <c r="BF1514" s="68"/>
      <c r="BG1514" s="68"/>
      <c r="BH1514" s="68"/>
      <c r="BI1514" s="68"/>
      <c r="BJ1514" s="68"/>
      <c r="BK1514" s="68"/>
      <c r="BL1514" s="68"/>
      <c r="BM1514" s="68"/>
      <c r="BN1514" s="68"/>
      <c r="BO1514" s="68"/>
      <c r="BP1514" s="68"/>
      <c r="BQ1514" s="68"/>
      <c r="BR1514" s="68"/>
      <c r="BS1514" s="68"/>
      <c r="BT1514" s="68"/>
      <c r="BU1514" s="68"/>
      <c r="BV1514" s="68"/>
      <c r="BW1514" s="68"/>
      <c r="BX1514" s="68"/>
      <c r="BY1514" s="68"/>
      <c r="BZ1514" s="68"/>
      <c r="CA1514" s="68"/>
      <c r="CB1514" s="68"/>
      <c r="CC1514" s="68"/>
      <c r="CD1514" s="68"/>
      <c r="CE1514" s="68"/>
      <c r="CF1514" s="68"/>
      <c r="CG1514" s="68"/>
      <c r="CH1514" s="68"/>
      <c r="CI1514" s="68"/>
      <c r="CJ1514" s="68"/>
      <c r="CK1514" s="68"/>
      <c r="CL1514" s="68"/>
      <c r="CM1514" s="68"/>
      <c r="CN1514" s="68"/>
      <c r="CO1514" s="68"/>
      <c r="CP1514" s="68"/>
      <c r="CQ1514" s="68"/>
      <c r="CR1514" s="68"/>
      <c r="CS1514" s="68"/>
      <c r="CT1514" s="68"/>
      <c r="CU1514" s="68"/>
      <c r="CV1514" s="68"/>
      <c r="CW1514" s="68"/>
      <c r="CX1514" s="68"/>
    </row>
    <row r="1515" spans="4:102" s="71" customFormat="1" hidden="1">
      <c r="D1515" s="69"/>
      <c r="E1515" s="68"/>
      <c r="F1515" s="68"/>
      <c r="G1515" s="68"/>
      <c r="H1515" s="68"/>
      <c r="I1515" s="68"/>
      <c r="J1515" s="68"/>
      <c r="K1515" s="73"/>
      <c r="L1515" s="68"/>
      <c r="M1515" s="68"/>
      <c r="N1515" s="68"/>
      <c r="O1515" s="68"/>
      <c r="P1515" s="65"/>
      <c r="Q1515" s="103"/>
      <c r="R1515" s="103"/>
      <c r="S1515" s="103"/>
      <c r="T1515" s="103"/>
      <c r="U1515" s="68"/>
      <c r="V1515" s="68"/>
      <c r="W1515" s="68"/>
      <c r="X1515" s="68"/>
      <c r="Y1515" s="68"/>
      <c r="Z1515" s="68"/>
      <c r="AA1515" s="68"/>
      <c r="AB1515" s="68"/>
      <c r="AC1515" s="68"/>
      <c r="AD1515" s="68"/>
      <c r="AE1515" s="68"/>
      <c r="AF1515" s="68"/>
      <c r="AG1515" s="68"/>
      <c r="AH1515" s="68"/>
      <c r="AI1515" s="68"/>
      <c r="AJ1515" s="68"/>
      <c r="AK1515" s="68"/>
      <c r="AL1515" s="68"/>
      <c r="AM1515" s="68"/>
      <c r="AN1515" s="68"/>
      <c r="AO1515" s="68"/>
      <c r="AP1515" s="68"/>
      <c r="AQ1515" s="68"/>
      <c r="AR1515" s="68"/>
      <c r="AS1515" s="68"/>
      <c r="AT1515" s="68"/>
      <c r="AU1515" s="68"/>
      <c r="AV1515" s="68"/>
      <c r="AW1515" s="68"/>
      <c r="AX1515" s="68"/>
      <c r="AY1515" s="68"/>
      <c r="AZ1515" s="68"/>
      <c r="BA1515" s="68"/>
      <c r="BB1515" s="68"/>
      <c r="BC1515" s="68"/>
      <c r="BD1515" s="68"/>
      <c r="BE1515" s="68"/>
      <c r="BF1515" s="68"/>
      <c r="BG1515" s="68"/>
      <c r="BH1515" s="68"/>
      <c r="BI1515" s="68"/>
      <c r="BJ1515" s="68"/>
      <c r="BK1515" s="68"/>
      <c r="BL1515" s="68"/>
      <c r="BM1515" s="68"/>
      <c r="BN1515" s="68"/>
      <c r="BO1515" s="68"/>
      <c r="BP1515" s="68"/>
      <c r="BQ1515" s="68"/>
      <c r="BR1515" s="68"/>
      <c r="BS1515" s="68"/>
      <c r="BT1515" s="68"/>
      <c r="BU1515" s="68"/>
      <c r="BV1515" s="68"/>
      <c r="BW1515" s="68"/>
      <c r="BX1515" s="68"/>
      <c r="BY1515" s="68"/>
      <c r="BZ1515" s="68"/>
      <c r="CA1515" s="68"/>
      <c r="CB1515" s="68"/>
      <c r="CC1515" s="68"/>
      <c r="CD1515" s="68"/>
      <c r="CE1515" s="68"/>
      <c r="CF1515" s="68"/>
      <c r="CG1515" s="68"/>
      <c r="CH1515" s="68"/>
      <c r="CI1515" s="68"/>
      <c r="CJ1515" s="68"/>
      <c r="CK1515" s="68"/>
      <c r="CL1515" s="68"/>
      <c r="CM1515" s="68"/>
      <c r="CN1515" s="68"/>
      <c r="CO1515" s="68"/>
      <c r="CP1515" s="68"/>
      <c r="CQ1515" s="68"/>
      <c r="CR1515" s="68"/>
      <c r="CS1515" s="68"/>
      <c r="CT1515" s="68"/>
      <c r="CU1515" s="68"/>
      <c r="CV1515" s="68"/>
      <c r="CW1515" s="68"/>
      <c r="CX1515" s="68"/>
    </row>
    <row r="1516" spans="4:102" s="71" customFormat="1" hidden="1">
      <c r="D1516" s="69"/>
      <c r="E1516" s="68"/>
      <c r="F1516" s="68"/>
      <c r="G1516" s="68"/>
      <c r="H1516" s="68"/>
      <c r="I1516" s="68"/>
      <c r="J1516" s="68"/>
      <c r="K1516" s="73"/>
      <c r="L1516" s="68"/>
      <c r="M1516" s="68"/>
      <c r="N1516" s="68"/>
      <c r="O1516" s="68"/>
      <c r="P1516" s="65"/>
      <c r="Q1516" s="103"/>
      <c r="R1516" s="103"/>
      <c r="S1516" s="103"/>
      <c r="T1516" s="103"/>
      <c r="U1516" s="68"/>
      <c r="V1516" s="68"/>
      <c r="W1516" s="68"/>
      <c r="X1516" s="68"/>
      <c r="Y1516" s="68"/>
      <c r="Z1516" s="68"/>
      <c r="AA1516" s="68"/>
      <c r="AB1516" s="68"/>
      <c r="AC1516" s="68"/>
      <c r="AD1516" s="68"/>
      <c r="AE1516" s="68"/>
      <c r="AF1516" s="68"/>
      <c r="AG1516" s="68"/>
      <c r="AH1516" s="68"/>
      <c r="AI1516" s="68"/>
      <c r="AJ1516" s="68"/>
      <c r="AK1516" s="68"/>
      <c r="AL1516" s="68"/>
      <c r="AM1516" s="68"/>
      <c r="AN1516" s="68"/>
      <c r="AO1516" s="68"/>
      <c r="AP1516" s="68"/>
      <c r="AQ1516" s="68"/>
      <c r="AR1516" s="68"/>
      <c r="AS1516" s="68"/>
      <c r="AT1516" s="68"/>
      <c r="AU1516" s="68"/>
      <c r="AV1516" s="68"/>
      <c r="AW1516" s="68"/>
      <c r="AX1516" s="68"/>
      <c r="AY1516" s="68"/>
      <c r="AZ1516" s="68"/>
      <c r="BA1516" s="68"/>
      <c r="BB1516" s="68"/>
      <c r="BC1516" s="68"/>
      <c r="BD1516" s="68"/>
      <c r="BE1516" s="68"/>
      <c r="BF1516" s="68"/>
      <c r="BG1516" s="68"/>
      <c r="BH1516" s="68"/>
      <c r="BI1516" s="68"/>
      <c r="BJ1516" s="68"/>
      <c r="BK1516" s="68"/>
      <c r="BL1516" s="68"/>
      <c r="BM1516" s="68"/>
      <c r="BN1516" s="68"/>
      <c r="BO1516" s="68"/>
      <c r="BP1516" s="68"/>
      <c r="BQ1516" s="68"/>
      <c r="BR1516" s="68"/>
      <c r="BS1516" s="68"/>
      <c r="BT1516" s="68"/>
      <c r="BU1516" s="68"/>
      <c r="BV1516" s="68"/>
      <c r="BW1516" s="68"/>
      <c r="BX1516" s="68"/>
      <c r="BY1516" s="68"/>
      <c r="BZ1516" s="68"/>
      <c r="CA1516" s="68"/>
      <c r="CB1516" s="68"/>
      <c r="CC1516" s="68"/>
      <c r="CD1516" s="68"/>
      <c r="CE1516" s="68"/>
      <c r="CF1516" s="68"/>
      <c r="CG1516" s="68"/>
      <c r="CH1516" s="68"/>
      <c r="CI1516" s="68"/>
      <c r="CJ1516" s="68"/>
      <c r="CK1516" s="68"/>
      <c r="CL1516" s="68"/>
      <c r="CM1516" s="68"/>
      <c r="CN1516" s="68"/>
      <c r="CO1516" s="68"/>
      <c r="CP1516" s="68"/>
      <c r="CQ1516" s="68"/>
      <c r="CR1516" s="68"/>
      <c r="CS1516" s="68"/>
      <c r="CT1516" s="68"/>
      <c r="CU1516" s="68"/>
      <c r="CV1516" s="68"/>
      <c r="CW1516" s="68"/>
      <c r="CX1516" s="68"/>
    </row>
    <row r="1517" spans="4:102" s="71" customFormat="1" hidden="1">
      <c r="D1517" s="69"/>
      <c r="E1517" s="68"/>
      <c r="F1517" s="68"/>
      <c r="G1517" s="68"/>
      <c r="H1517" s="68"/>
      <c r="I1517" s="68"/>
      <c r="J1517" s="68"/>
      <c r="K1517" s="73"/>
      <c r="L1517" s="68"/>
      <c r="M1517" s="68"/>
      <c r="N1517" s="68"/>
      <c r="O1517" s="68"/>
      <c r="P1517" s="65"/>
      <c r="Q1517" s="103"/>
      <c r="R1517" s="103"/>
      <c r="S1517" s="103"/>
      <c r="T1517" s="103"/>
      <c r="U1517" s="68"/>
      <c r="V1517" s="68"/>
      <c r="W1517" s="68"/>
      <c r="X1517" s="68"/>
      <c r="Y1517" s="68"/>
      <c r="Z1517" s="68"/>
      <c r="AA1517" s="68"/>
      <c r="AB1517" s="68"/>
      <c r="AC1517" s="68"/>
      <c r="AD1517" s="68"/>
      <c r="AE1517" s="68"/>
      <c r="AF1517" s="68"/>
      <c r="AG1517" s="68"/>
      <c r="AH1517" s="68"/>
      <c r="AI1517" s="68"/>
      <c r="AJ1517" s="68"/>
      <c r="AK1517" s="68"/>
      <c r="AL1517" s="68"/>
      <c r="AM1517" s="68"/>
      <c r="AN1517" s="68"/>
      <c r="AO1517" s="68"/>
      <c r="AP1517" s="68"/>
      <c r="AQ1517" s="68"/>
      <c r="AR1517" s="68"/>
      <c r="AS1517" s="68"/>
      <c r="AT1517" s="68"/>
      <c r="AU1517" s="68"/>
      <c r="AV1517" s="68"/>
      <c r="AW1517" s="68"/>
      <c r="AX1517" s="68"/>
      <c r="AY1517" s="68"/>
      <c r="AZ1517" s="68"/>
      <c r="BA1517" s="68"/>
      <c r="BB1517" s="68"/>
      <c r="BC1517" s="68"/>
      <c r="BD1517" s="68"/>
      <c r="BE1517" s="68"/>
      <c r="BF1517" s="68"/>
      <c r="BG1517" s="68"/>
      <c r="BH1517" s="68"/>
      <c r="BI1517" s="68"/>
      <c r="BJ1517" s="68"/>
      <c r="BK1517" s="68"/>
      <c r="BL1517" s="68"/>
      <c r="BM1517" s="68"/>
      <c r="BN1517" s="68"/>
      <c r="BO1517" s="68"/>
      <c r="BP1517" s="68"/>
      <c r="BQ1517" s="68"/>
      <c r="BR1517" s="68"/>
      <c r="BS1517" s="68"/>
      <c r="BT1517" s="68"/>
      <c r="BU1517" s="68"/>
      <c r="BV1517" s="68"/>
      <c r="BW1517" s="68"/>
      <c r="BX1517" s="68"/>
      <c r="BY1517" s="68"/>
      <c r="BZ1517" s="68"/>
      <c r="CA1517" s="68"/>
      <c r="CB1517" s="68"/>
      <c r="CC1517" s="68"/>
      <c r="CD1517" s="68"/>
      <c r="CE1517" s="68"/>
      <c r="CF1517" s="68"/>
      <c r="CG1517" s="68"/>
      <c r="CH1517" s="68"/>
      <c r="CI1517" s="68"/>
      <c r="CJ1517" s="68"/>
      <c r="CK1517" s="68"/>
      <c r="CL1517" s="68"/>
      <c r="CM1517" s="68"/>
      <c r="CN1517" s="68"/>
      <c r="CO1517" s="68"/>
      <c r="CP1517" s="68"/>
      <c r="CQ1517" s="68"/>
      <c r="CR1517" s="68"/>
      <c r="CS1517" s="68"/>
      <c r="CT1517" s="68"/>
      <c r="CU1517" s="68"/>
      <c r="CV1517" s="68"/>
      <c r="CW1517" s="68"/>
      <c r="CX1517" s="68"/>
    </row>
    <row r="1518" spans="4:102" s="71" customFormat="1" hidden="1">
      <c r="D1518" s="69"/>
      <c r="E1518" s="68"/>
      <c r="F1518" s="68"/>
      <c r="G1518" s="68"/>
      <c r="H1518" s="68"/>
      <c r="I1518" s="68"/>
      <c r="J1518" s="68"/>
      <c r="K1518" s="73"/>
      <c r="L1518" s="68"/>
      <c r="M1518" s="68"/>
      <c r="N1518" s="68"/>
      <c r="O1518" s="68"/>
      <c r="P1518" s="65"/>
      <c r="Q1518" s="103"/>
      <c r="R1518" s="103"/>
      <c r="S1518" s="103"/>
      <c r="T1518" s="103"/>
      <c r="U1518" s="68"/>
      <c r="V1518" s="68"/>
      <c r="W1518" s="68"/>
      <c r="X1518" s="68"/>
      <c r="Y1518" s="68"/>
      <c r="Z1518" s="68"/>
      <c r="AA1518" s="68"/>
      <c r="AB1518" s="68"/>
      <c r="AC1518" s="68"/>
      <c r="AD1518" s="68"/>
      <c r="AE1518" s="68"/>
      <c r="AF1518" s="68"/>
      <c r="AG1518" s="68"/>
      <c r="AH1518" s="68"/>
      <c r="AI1518" s="68"/>
      <c r="AJ1518" s="68"/>
      <c r="AK1518" s="68"/>
      <c r="AL1518" s="68"/>
      <c r="AM1518" s="68"/>
      <c r="AN1518" s="68"/>
      <c r="AO1518" s="68"/>
      <c r="AP1518" s="68"/>
      <c r="AQ1518" s="68"/>
      <c r="AR1518" s="68"/>
      <c r="AS1518" s="68"/>
      <c r="AT1518" s="68"/>
      <c r="AU1518" s="68"/>
      <c r="AV1518" s="68"/>
      <c r="AW1518" s="68"/>
      <c r="AX1518" s="68"/>
      <c r="AY1518" s="68"/>
      <c r="AZ1518" s="68"/>
      <c r="BA1518" s="68"/>
      <c r="BB1518" s="68"/>
      <c r="BC1518" s="68"/>
      <c r="BD1518" s="68"/>
      <c r="BE1518" s="68"/>
      <c r="BF1518" s="68"/>
      <c r="BG1518" s="68"/>
      <c r="BH1518" s="68"/>
      <c r="BI1518" s="68"/>
      <c r="BJ1518" s="68"/>
      <c r="BK1518" s="68"/>
      <c r="BL1518" s="68"/>
      <c r="BM1518" s="68"/>
      <c r="BN1518" s="68"/>
      <c r="BO1518" s="68"/>
      <c r="BP1518" s="68"/>
      <c r="BQ1518" s="68"/>
      <c r="BR1518" s="68"/>
      <c r="BS1518" s="68"/>
      <c r="BT1518" s="68"/>
      <c r="BU1518" s="68"/>
      <c r="BV1518" s="68"/>
      <c r="BW1518" s="68"/>
      <c r="BX1518" s="68"/>
      <c r="BY1518" s="68"/>
      <c r="BZ1518" s="68"/>
      <c r="CA1518" s="68"/>
      <c r="CB1518" s="68"/>
      <c r="CC1518" s="68"/>
      <c r="CD1518" s="68"/>
      <c r="CE1518" s="68"/>
      <c r="CF1518" s="68"/>
      <c r="CG1518" s="68"/>
      <c r="CH1518" s="68"/>
      <c r="CI1518" s="68"/>
      <c r="CJ1518" s="68"/>
      <c r="CK1518" s="68"/>
      <c r="CL1518" s="68"/>
      <c r="CM1518" s="68"/>
      <c r="CN1518" s="68"/>
      <c r="CO1518" s="68"/>
      <c r="CP1518" s="68"/>
      <c r="CQ1518" s="68"/>
      <c r="CR1518" s="68"/>
      <c r="CS1518" s="68"/>
      <c r="CT1518" s="68"/>
      <c r="CU1518" s="68"/>
      <c r="CV1518" s="68"/>
      <c r="CW1518" s="68"/>
      <c r="CX1518" s="68"/>
    </row>
    <row r="1519" spans="4:102" s="71" customFormat="1" hidden="1">
      <c r="D1519" s="69"/>
      <c r="E1519" s="68"/>
      <c r="F1519" s="68"/>
      <c r="G1519" s="68"/>
      <c r="H1519" s="68"/>
      <c r="I1519" s="68"/>
      <c r="J1519" s="68"/>
      <c r="K1519" s="73"/>
      <c r="L1519" s="68"/>
      <c r="M1519" s="68"/>
      <c r="N1519" s="68"/>
      <c r="O1519" s="68"/>
      <c r="P1519" s="65"/>
      <c r="Q1519" s="103"/>
      <c r="R1519" s="103"/>
      <c r="S1519" s="103"/>
      <c r="T1519" s="103"/>
      <c r="U1519" s="68"/>
      <c r="V1519" s="68"/>
      <c r="W1519" s="68"/>
      <c r="X1519" s="68"/>
      <c r="Y1519" s="68"/>
      <c r="Z1519" s="68"/>
      <c r="AA1519" s="68"/>
      <c r="AB1519" s="68"/>
      <c r="AC1519" s="68"/>
      <c r="AD1519" s="68"/>
      <c r="AE1519" s="68"/>
      <c r="AF1519" s="68"/>
      <c r="AG1519" s="68"/>
      <c r="AH1519" s="68"/>
      <c r="AI1519" s="68"/>
      <c r="AJ1519" s="68"/>
      <c r="AK1519" s="68"/>
      <c r="AL1519" s="68"/>
      <c r="AM1519" s="68"/>
      <c r="AN1519" s="68"/>
      <c r="AO1519" s="68"/>
      <c r="AP1519" s="68"/>
      <c r="AQ1519" s="68"/>
      <c r="AR1519" s="68"/>
      <c r="AS1519" s="68"/>
      <c r="AT1519" s="68"/>
      <c r="AU1519" s="68"/>
      <c r="AV1519" s="68"/>
      <c r="AW1519" s="68"/>
      <c r="AX1519" s="68"/>
      <c r="AY1519" s="68"/>
      <c r="AZ1519" s="68"/>
      <c r="BA1519" s="68"/>
      <c r="BB1519" s="68"/>
      <c r="BC1519" s="68"/>
      <c r="BD1519" s="68"/>
      <c r="BE1519" s="68"/>
      <c r="BF1519" s="68"/>
      <c r="BG1519" s="68"/>
      <c r="BH1519" s="68"/>
      <c r="BI1519" s="68"/>
      <c r="BJ1519" s="68"/>
      <c r="BK1519" s="68"/>
      <c r="BL1519" s="68"/>
      <c r="BM1519" s="68"/>
      <c r="BN1519" s="68"/>
      <c r="BO1519" s="68"/>
      <c r="BP1519" s="68"/>
      <c r="BQ1519" s="68"/>
      <c r="BR1519" s="68"/>
      <c r="BS1519" s="68"/>
      <c r="BT1519" s="68"/>
      <c r="BU1519" s="68"/>
      <c r="BV1519" s="68"/>
      <c r="BW1519" s="68"/>
      <c r="BX1519" s="68"/>
      <c r="BY1519" s="68"/>
      <c r="BZ1519" s="68"/>
      <c r="CA1519" s="68"/>
      <c r="CB1519" s="68"/>
      <c r="CC1519" s="68"/>
      <c r="CD1519" s="68"/>
      <c r="CE1519" s="68"/>
      <c r="CF1519" s="68"/>
      <c r="CG1519" s="68"/>
      <c r="CH1519" s="68"/>
      <c r="CI1519" s="68"/>
      <c r="CJ1519" s="68"/>
      <c r="CK1519" s="68"/>
      <c r="CL1519" s="68"/>
      <c r="CM1519" s="68"/>
      <c r="CN1519" s="68"/>
      <c r="CO1519" s="68"/>
      <c r="CP1519" s="68"/>
      <c r="CQ1519" s="68"/>
      <c r="CR1519" s="68"/>
      <c r="CS1519" s="68"/>
      <c r="CT1519" s="68"/>
      <c r="CU1519" s="68"/>
      <c r="CV1519" s="68"/>
      <c r="CW1519" s="68"/>
      <c r="CX1519" s="68"/>
    </row>
    <row r="1520" spans="4:102" s="71" customFormat="1" hidden="1">
      <c r="D1520" s="69"/>
      <c r="E1520" s="68"/>
      <c r="F1520" s="68"/>
      <c r="G1520" s="68"/>
      <c r="H1520" s="68"/>
      <c r="I1520" s="68"/>
      <c r="J1520" s="68"/>
      <c r="K1520" s="73"/>
      <c r="L1520" s="68"/>
      <c r="M1520" s="68"/>
      <c r="N1520" s="68"/>
      <c r="O1520" s="68"/>
      <c r="P1520" s="65"/>
      <c r="Q1520" s="103"/>
      <c r="R1520" s="103"/>
      <c r="S1520" s="103"/>
      <c r="T1520" s="103"/>
      <c r="U1520" s="68"/>
      <c r="V1520" s="68"/>
      <c r="W1520" s="68"/>
      <c r="X1520" s="68"/>
      <c r="Y1520" s="68"/>
      <c r="Z1520" s="68"/>
      <c r="AA1520" s="68"/>
      <c r="AB1520" s="68"/>
      <c r="AC1520" s="68"/>
      <c r="AD1520" s="68"/>
      <c r="AE1520" s="68"/>
      <c r="AF1520" s="68"/>
      <c r="AG1520" s="68"/>
      <c r="AH1520" s="68"/>
      <c r="AI1520" s="68"/>
      <c r="AJ1520" s="68"/>
      <c r="AK1520" s="68"/>
      <c r="AL1520" s="68"/>
      <c r="AM1520" s="68"/>
      <c r="AN1520" s="68"/>
      <c r="AO1520" s="68"/>
      <c r="AP1520" s="68"/>
      <c r="AQ1520" s="68"/>
      <c r="AR1520" s="68"/>
      <c r="AS1520" s="68"/>
      <c r="AT1520" s="68"/>
      <c r="AU1520" s="68"/>
      <c r="AV1520" s="68"/>
      <c r="AW1520" s="68"/>
      <c r="AX1520" s="68"/>
      <c r="AY1520" s="68"/>
      <c r="AZ1520" s="68"/>
      <c r="BA1520" s="68"/>
      <c r="BB1520" s="68"/>
      <c r="BC1520" s="68"/>
      <c r="BD1520" s="68"/>
      <c r="BE1520" s="68"/>
      <c r="BF1520" s="68"/>
      <c r="BG1520" s="68"/>
      <c r="BH1520" s="68"/>
      <c r="BI1520" s="68"/>
      <c r="BJ1520" s="68"/>
      <c r="BK1520" s="68"/>
      <c r="BL1520" s="68"/>
      <c r="BM1520" s="68"/>
      <c r="BN1520" s="68"/>
      <c r="BO1520" s="68"/>
      <c r="BP1520" s="68"/>
      <c r="BQ1520" s="68"/>
      <c r="BR1520" s="68"/>
      <c r="BS1520" s="68"/>
      <c r="BT1520" s="68"/>
      <c r="BU1520" s="68"/>
      <c r="BV1520" s="68"/>
      <c r="BW1520" s="68"/>
      <c r="BX1520" s="68"/>
      <c r="BY1520" s="68"/>
      <c r="BZ1520" s="68"/>
      <c r="CA1520" s="68"/>
      <c r="CB1520" s="68"/>
      <c r="CC1520" s="68"/>
      <c r="CD1520" s="68"/>
      <c r="CE1520" s="68"/>
      <c r="CF1520" s="68"/>
      <c r="CG1520" s="68"/>
      <c r="CH1520" s="68"/>
      <c r="CI1520" s="68"/>
      <c r="CJ1520" s="68"/>
      <c r="CK1520" s="68"/>
      <c r="CL1520" s="68"/>
      <c r="CM1520" s="68"/>
      <c r="CN1520" s="68"/>
      <c r="CO1520" s="68"/>
      <c r="CP1520" s="68"/>
      <c r="CQ1520" s="68"/>
      <c r="CR1520" s="68"/>
      <c r="CS1520" s="68"/>
      <c r="CT1520" s="68"/>
      <c r="CU1520" s="68"/>
      <c r="CV1520" s="68"/>
      <c r="CW1520" s="68"/>
      <c r="CX1520" s="68"/>
    </row>
    <row r="1521" spans="4:102" s="71" customFormat="1" hidden="1">
      <c r="D1521" s="69"/>
      <c r="E1521" s="68"/>
      <c r="F1521" s="68"/>
      <c r="G1521" s="68"/>
      <c r="H1521" s="68"/>
      <c r="I1521" s="68"/>
      <c r="J1521" s="68"/>
      <c r="K1521" s="73"/>
      <c r="L1521" s="68"/>
      <c r="M1521" s="68"/>
      <c r="N1521" s="68"/>
      <c r="O1521" s="68"/>
      <c r="P1521" s="65"/>
      <c r="Q1521" s="103"/>
      <c r="R1521" s="103"/>
      <c r="S1521" s="103"/>
      <c r="T1521" s="103"/>
      <c r="U1521" s="68"/>
      <c r="V1521" s="68"/>
      <c r="W1521" s="68"/>
      <c r="X1521" s="68"/>
      <c r="Y1521" s="68"/>
      <c r="Z1521" s="68"/>
      <c r="AA1521" s="68"/>
      <c r="AB1521" s="68"/>
      <c r="AC1521" s="68"/>
      <c r="AD1521" s="68"/>
      <c r="AE1521" s="68"/>
      <c r="AF1521" s="68"/>
      <c r="AG1521" s="68"/>
      <c r="AH1521" s="68"/>
      <c r="AI1521" s="68"/>
      <c r="AJ1521" s="68"/>
      <c r="AK1521" s="68"/>
      <c r="AL1521" s="68"/>
      <c r="AM1521" s="68"/>
      <c r="AN1521" s="68"/>
      <c r="AO1521" s="68"/>
      <c r="AP1521" s="68"/>
      <c r="AQ1521" s="68"/>
      <c r="AR1521" s="68"/>
      <c r="AS1521" s="68"/>
      <c r="AT1521" s="68"/>
      <c r="AU1521" s="68"/>
      <c r="AV1521" s="68"/>
      <c r="AW1521" s="68"/>
      <c r="AX1521" s="68"/>
      <c r="AY1521" s="68"/>
      <c r="AZ1521" s="68"/>
      <c r="BA1521" s="68"/>
      <c r="BB1521" s="68"/>
      <c r="BC1521" s="68"/>
      <c r="BD1521" s="68"/>
      <c r="BE1521" s="68"/>
      <c r="BF1521" s="68"/>
      <c r="BG1521" s="68"/>
      <c r="BH1521" s="68"/>
      <c r="BI1521" s="68"/>
      <c r="BJ1521" s="68"/>
      <c r="BK1521" s="68"/>
      <c r="BL1521" s="68"/>
      <c r="BM1521" s="68"/>
      <c r="BN1521" s="68"/>
      <c r="BO1521" s="68"/>
      <c r="BP1521" s="68"/>
      <c r="BQ1521" s="68"/>
      <c r="BR1521" s="68"/>
      <c r="BS1521" s="68"/>
      <c r="BT1521" s="68"/>
      <c r="BU1521" s="68"/>
      <c r="BV1521" s="68"/>
      <c r="BW1521" s="68"/>
      <c r="BX1521" s="68"/>
      <c r="BY1521" s="68"/>
      <c r="BZ1521" s="68"/>
      <c r="CA1521" s="68"/>
      <c r="CB1521" s="68"/>
      <c r="CC1521" s="68"/>
      <c r="CD1521" s="68"/>
      <c r="CE1521" s="68"/>
      <c r="CF1521" s="68"/>
      <c r="CG1521" s="68"/>
      <c r="CH1521" s="68"/>
      <c r="CI1521" s="68"/>
      <c r="CJ1521" s="68"/>
      <c r="CK1521" s="68"/>
      <c r="CL1521" s="68"/>
      <c r="CM1521" s="68"/>
      <c r="CN1521" s="68"/>
      <c r="CO1521" s="68"/>
      <c r="CP1521" s="68"/>
      <c r="CQ1521" s="68"/>
      <c r="CR1521" s="68"/>
      <c r="CS1521" s="68"/>
      <c r="CT1521" s="68"/>
      <c r="CU1521" s="68"/>
      <c r="CV1521" s="68"/>
      <c r="CW1521" s="68"/>
      <c r="CX1521" s="68"/>
    </row>
    <row r="1522" spans="4:102" s="71" customFormat="1" hidden="1">
      <c r="D1522" s="69"/>
      <c r="E1522" s="68"/>
      <c r="F1522" s="68"/>
      <c r="G1522" s="68"/>
      <c r="H1522" s="68"/>
      <c r="I1522" s="68"/>
      <c r="J1522" s="68"/>
      <c r="K1522" s="73"/>
      <c r="L1522" s="68"/>
      <c r="M1522" s="68"/>
      <c r="N1522" s="68"/>
      <c r="O1522" s="68"/>
      <c r="P1522" s="65"/>
      <c r="Q1522" s="103"/>
      <c r="R1522" s="103"/>
      <c r="S1522" s="103"/>
      <c r="T1522" s="103"/>
      <c r="U1522" s="68"/>
      <c r="V1522" s="68"/>
      <c r="W1522" s="68"/>
      <c r="X1522" s="68"/>
      <c r="Y1522" s="68"/>
      <c r="Z1522" s="68"/>
      <c r="AA1522" s="68"/>
      <c r="AB1522" s="68"/>
      <c r="AC1522" s="68"/>
      <c r="AD1522" s="68"/>
      <c r="AE1522" s="68"/>
      <c r="AF1522" s="68"/>
      <c r="AG1522" s="68"/>
      <c r="AH1522" s="68"/>
      <c r="AI1522" s="68"/>
      <c r="AJ1522" s="68"/>
      <c r="AK1522" s="68"/>
      <c r="AL1522" s="68"/>
      <c r="AM1522" s="68"/>
      <c r="AN1522" s="68"/>
      <c r="AO1522" s="68"/>
      <c r="AP1522" s="68"/>
      <c r="AQ1522" s="68"/>
      <c r="AR1522" s="68"/>
      <c r="AS1522" s="68"/>
      <c r="AT1522" s="68"/>
      <c r="AU1522" s="68"/>
      <c r="AV1522" s="68"/>
      <c r="AW1522" s="68"/>
      <c r="AX1522" s="68"/>
      <c r="AY1522" s="68"/>
      <c r="AZ1522" s="68"/>
      <c r="BA1522" s="68"/>
      <c r="BB1522" s="68"/>
      <c r="BC1522" s="68"/>
      <c r="BD1522" s="68"/>
      <c r="BE1522" s="68"/>
      <c r="BF1522" s="68"/>
      <c r="BG1522" s="68"/>
      <c r="BH1522" s="68"/>
      <c r="BI1522" s="68"/>
      <c r="BJ1522" s="68"/>
      <c r="BK1522" s="68"/>
      <c r="BL1522" s="68"/>
      <c r="BM1522" s="68"/>
      <c r="BN1522" s="68"/>
      <c r="BO1522" s="68"/>
      <c r="BP1522" s="68"/>
      <c r="BQ1522" s="68"/>
      <c r="BR1522" s="68"/>
      <c r="BS1522" s="68"/>
      <c r="BT1522" s="68"/>
      <c r="BU1522" s="68"/>
      <c r="BV1522" s="68"/>
      <c r="BW1522" s="68"/>
      <c r="BX1522" s="68"/>
      <c r="BY1522" s="68"/>
      <c r="BZ1522" s="68"/>
      <c r="CA1522" s="68"/>
      <c r="CB1522" s="68"/>
      <c r="CC1522" s="68"/>
      <c r="CD1522" s="68"/>
      <c r="CE1522" s="68"/>
      <c r="CF1522" s="68"/>
      <c r="CG1522" s="68"/>
      <c r="CH1522" s="68"/>
      <c r="CI1522" s="68"/>
      <c r="CJ1522" s="68"/>
      <c r="CK1522" s="68"/>
      <c r="CL1522" s="68"/>
      <c r="CM1522" s="68"/>
      <c r="CN1522" s="68"/>
      <c r="CO1522" s="68"/>
      <c r="CP1522" s="68"/>
      <c r="CQ1522" s="68"/>
      <c r="CR1522" s="68"/>
      <c r="CS1522" s="68"/>
      <c r="CT1522" s="68"/>
      <c r="CU1522" s="68"/>
      <c r="CV1522" s="68"/>
      <c r="CW1522" s="68"/>
      <c r="CX1522" s="68"/>
    </row>
    <row r="1523" spans="4:102" s="71" customFormat="1" hidden="1">
      <c r="D1523" s="69"/>
      <c r="E1523" s="68"/>
      <c r="F1523" s="68"/>
      <c r="G1523" s="68"/>
      <c r="H1523" s="68"/>
      <c r="I1523" s="68"/>
      <c r="J1523" s="68"/>
      <c r="K1523" s="73"/>
      <c r="L1523" s="68"/>
      <c r="M1523" s="68"/>
      <c r="N1523" s="68"/>
      <c r="O1523" s="68"/>
      <c r="P1523" s="65"/>
      <c r="Q1523" s="103"/>
      <c r="R1523" s="103"/>
      <c r="S1523" s="103"/>
      <c r="T1523" s="103"/>
      <c r="U1523" s="68"/>
      <c r="V1523" s="68"/>
      <c r="W1523" s="68"/>
      <c r="X1523" s="68"/>
      <c r="Y1523" s="68"/>
      <c r="Z1523" s="68"/>
      <c r="AA1523" s="68"/>
      <c r="AB1523" s="68"/>
      <c r="AC1523" s="68"/>
      <c r="AD1523" s="68"/>
      <c r="AE1523" s="68"/>
      <c r="AF1523" s="68"/>
      <c r="AG1523" s="68"/>
      <c r="AH1523" s="68"/>
      <c r="AI1523" s="68"/>
      <c r="AJ1523" s="68"/>
      <c r="AK1523" s="68"/>
      <c r="AL1523" s="68"/>
      <c r="AM1523" s="68"/>
      <c r="AN1523" s="68"/>
      <c r="AO1523" s="68"/>
      <c r="AP1523" s="68"/>
      <c r="AQ1523" s="68"/>
      <c r="AR1523" s="68"/>
      <c r="AS1523" s="68"/>
      <c r="AT1523" s="68"/>
      <c r="AU1523" s="68"/>
      <c r="AV1523" s="68"/>
      <c r="AW1523" s="68"/>
      <c r="AX1523" s="68"/>
      <c r="AY1523" s="68"/>
      <c r="AZ1523" s="68"/>
      <c r="BA1523" s="68"/>
      <c r="BB1523" s="68"/>
      <c r="BC1523" s="68"/>
      <c r="BD1523" s="68"/>
      <c r="BE1523" s="68"/>
      <c r="BF1523" s="68"/>
      <c r="BG1523" s="68"/>
      <c r="BH1523" s="68"/>
      <c r="BI1523" s="68"/>
      <c r="BJ1523" s="68"/>
      <c r="BK1523" s="68"/>
      <c r="BL1523" s="68"/>
      <c r="BM1523" s="68"/>
      <c r="BN1523" s="68"/>
      <c r="BO1523" s="68"/>
      <c r="BP1523" s="68"/>
      <c r="BQ1523" s="68"/>
      <c r="BR1523" s="68"/>
      <c r="BS1523" s="68"/>
      <c r="BT1523" s="68"/>
      <c r="BU1523" s="68"/>
      <c r="BV1523" s="68"/>
      <c r="BW1523" s="68"/>
      <c r="BX1523" s="68"/>
      <c r="BY1523" s="68"/>
      <c r="BZ1523" s="68"/>
      <c r="CA1523" s="68"/>
      <c r="CB1523" s="68"/>
      <c r="CC1523" s="68"/>
      <c r="CD1523" s="68"/>
      <c r="CE1523" s="68"/>
      <c r="CF1523" s="68"/>
      <c r="CG1523" s="68"/>
      <c r="CH1523" s="68"/>
      <c r="CI1523" s="68"/>
      <c r="CJ1523" s="68"/>
      <c r="CK1523" s="68"/>
      <c r="CL1523" s="68"/>
      <c r="CM1523" s="68"/>
      <c r="CN1523" s="68"/>
      <c r="CO1523" s="68"/>
      <c r="CP1523" s="68"/>
      <c r="CQ1523" s="68"/>
      <c r="CR1523" s="68"/>
      <c r="CS1523" s="68"/>
      <c r="CT1523" s="68"/>
      <c r="CU1523" s="68"/>
      <c r="CV1523" s="68"/>
      <c r="CW1523" s="68"/>
      <c r="CX1523" s="68"/>
    </row>
    <row r="1524" spans="4:102" s="71" customFormat="1" hidden="1">
      <c r="D1524" s="69"/>
      <c r="E1524" s="68"/>
      <c r="F1524" s="68"/>
      <c r="G1524" s="68"/>
      <c r="H1524" s="68"/>
      <c r="I1524" s="68"/>
      <c r="J1524" s="68"/>
      <c r="K1524" s="73"/>
      <c r="L1524" s="68"/>
      <c r="M1524" s="68"/>
      <c r="N1524" s="68"/>
      <c r="O1524" s="68"/>
      <c r="P1524" s="65"/>
      <c r="Q1524" s="103"/>
      <c r="R1524" s="103"/>
      <c r="S1524" s="103"/>
      <c r="T1524" s="103"/>
      <c r="U1524" s="68"/>
      <c r="V1524" s="68"/>
      <c r="W1524" s="68"/>
      <c r="X1524" s="68"/>
      <c r="Y1524" s="68"/>
      <c r="Z1524" s="68"/>
      <c r="AA1524" s="68"/>
      <c r="AB1524" s="68"/>
      <c r="AC1524" s="68"/>
      <c r="AD1524" s="68"/>
      <c r="AE1524" s="68"/>
      <c r="AF1524" s="68"/>
      <c r="AG1524" s="68"/>
      <c r="AH1524" s="68"/>
      <c r="AI1524" s="68"/>
      <c r="AJ1524" s="68"/>
      <c r="AK1524" s="68"/>
      <c r="AL1524" s="68"/>
      <c r="AM1524" s="68"/>
      <c r="AN1524" s="68"/>
      <c r="AO1524" s="68"/>
      <c r="AP1524" s="68"/>
      <c r="AQ1524" s="68"/>
      <c r="AR1524" s="68"/>
      <c r="AS1524" s="68"/>
      <c r="AT1524" s="68"/>
      <c r="AU1524" s="68"/>
      <c r="AV1524" s="68"/>
      <c r="AW1524" s="68"/>
      <c r="AX1524" s="68"/>
      <c r="AY1524" s="68"/>
      <c r="AZ1524" s="68"/>
      <c r="BA1524" s="68"/>
      <c r="BB1524" s="68"/>
      <c r="BC1524" s="68"/>
      <c r="BD1524" s="68"/>
      <c r="BE1524" s="68"/>
      <c r="BF1524" s="68"/>
      <c r="BG1524" s="68"/>
      <c r="BH1524" s="68"/>
      <c r="BI1524" s="68"/>
      <c r="BJ1524" s="68"/>
      <c r="BK1524" s="68"/>
      <c r="BL1524" s="68"/>
      <c r="BM1524" s="68"/>
      <c r="BN1524" s="68"/>
      <c r="BO1524" s="68"/>
      <c r="BP1524" s="68"/>
      <c r="BQ1524" s="68"/>
      <c r="BR1524" s="68"/>
      <c r="BS1524" s="68"/>
      <c r="BT1524" s="68"/>
      <c r="BU1524" s="68"/>
      <c r="BV1524" s="68"/>
      <c r="BW1524" s="68"/>
      <c r="BX1524" s="68"/>
      <c r="BY1524" s="68"/>
      <c r="BZ1524" s="68"/>
      <c r="CA1524" s="68"/>
      <c r="CB1524" s="68"/>
      <c r="CC1524" s="68"/>
      <c r="CD1524" s="68"/>
      <c r="CE1524" s="68"/>
      <c r="CF1524" s="68"/>
      <c r="CG1524" s="68"/>
      <c r="CH1524" s="68"/>
      <c r="CI1524" s="68"/>
      <c r="CJ1524" s="68"/>
      <c r="CK1524" s="68"/>
      <c r="CL1524" s="68"/>
      <c r="CM1524" s="68"/>
      <c r="CN1524" s="68"/>
      <c r="CO1524" s="68"/>
      <c r="CP1524" s="68"/>
      <c r="CQ1524" s="68"/>
      <c r="CR1524" s="68"/>
      <c r="CS1524" s="68"/>
      <c r="CT1524" s="68"/>
      <c r="CU1524" s="68"/>
      <c r="CV1524" s="68"/>
      <c r="CW1524" s="68"/>
      <c r="CX1524" s="68"/>
    </row>
    <row r="1525" spans="4:102" s="71" customFormat="1" hidden="1">
      <c r="D1525" s="69"/>
      <c r="E1525" s="68"/>
      <c r="F1525" s="68"/>
      <c r="G1525" s="68"/>
      <c r="H1525" s="68"/>
      <c r="I1525" s="68"/>
      <c r="J1525" s="68"/>
      <c r="K1525" s="73"/>
      <c r="L1525" s="68"/>
      <c r="M1525" s="68"/>
      <c r="N1525" s="68"/>
      <c r="O1525" s="68"/>
      <c r="P1525" s="65"/>
      <c r="Q1525" s="103"/>
      <c r="R1525" s="103"/>
      <c r="S1525" s="103"/>
      <c r="T1525" s="103"/>
      <c r="U1525" s="68"/>
      <c r="V1525" s="68"/>
      <c r="W1525" s="68"/>
      <c r="X1525" s="68"/>
      <c r="Y1525" s="68"/>
      <c r="Z1525" s="68"/>
      <c r="AA1525" s="68"/>
      <c r="AB1525" s="68"/>
      <c r="AC1525" s="68"/>
      <c r="AD1525" s="68"/>
      <c r="AE1525" s="68"/>
      <c r="AF1525" s="68"/>
      <c r="AG1525" s="68"/>
      <c r="AH1525" s="68"/>
      <c r="AI1525" s="68"/>
      <c r="AJ1525" s="68"/>
      <c r="AK1525" s="68"/>
      <c r="AL1525" s="68"/>
      <c r="AM1525" s="68"/>
      <c r="AN1525" s="68"/>
      <c r="AO1525" s="68"/>
      <c r="AP1525" s="68"/>
      <c r="AQ1525" s="68"/>
      <c r="AR1525" s="68"/>
      <c r="AS1525" s="68"/>
      <c r="AT1525" s="68"/>
      <c r="AU1525" s="68"/>
      <c r="AV1525" s="68"/>
      <c r="AW1525" s="68"/>
      <c r="AX1525" s="68"/>
      <c r="AY1525" s="68"/>
      <c r="AZ1525" s="68"/>
      <c r="BA1525" s="68"/>
      <c r="BB1525" s="68"/>
      <c r="BC1525" s="68"/>
      <c r="BD1525" s="68"/>
      <c r="BE1525" s="68"/>
      <c r="BF1525" s="68"/>
      <c r="BG1525" s="68"/>
      <c r="BH1525" s="68"/>
      <c r="BI1525" s="68"/>
      <c r="BJ1525" s="68"/>
      <c r="BK1525" s="68"/>
      <c r="BL1525" s="68"/>
      <c r="BM1525" s="68"/>
      <c r="BN1525" s="68"/>
      <c r="BO1525" s="68"/>
      <c r="BP1525" s="68"/>
      <c r="BQ1525" s="68"/>
      <c r="BR1525" s="68"/>
      <c r="BS1525" s="68"/>
      <c r="BT1525" s="68"/>
      <c r="BU1525" s="68"/>
      <c r="BV1525" s="68"/>
      <c r="BW1525" s="68"/>
      <c r="BX1525" s="68"/>
      <c r="BY1525" s="68"/>
      <c r="BZ1525" s="68"/>
      <c r="CA1525" s="68"/>
      <c r="CB1525" s="68"/>
      <c r="CC1525" s="68"/>
      <c r="CD1525" s="68"/>
      <c r="CE1525" s="68"/>
      <c r="CF1525" s="68"/>
      <c r="CG1525" s="68"/>
      <c r="CH1525" s="68"/>
      <c r="CI1525" s="68"/>
      <c r="CJ1525" s="68"/>
      <c r="CK1525" s="68"/>
      <c r="CL1525" s="68"/>
      <c r="CM1525" s="68"/>
      <c r="CN1525" s="68"/>
      <c r="CO1525" s="68"/>
      <c r="CP1525" s="68"/>
      <c r="CQ1525" s="68"/>
      <c r="CR1525" s="68"/>
      <c r="CS1525" s="68"/>
      <c r="CT1525" s="68"/>
      <c r="CU1525" s="68"/>
      <c r="CV1525" s="68"/>
      <c r="CW1525" s="68"/>
      <c r="CX1525" s="68"/>
    </row>
    <row r="1526" spans="4:102" s="71" customFormat="1" hidden="1">
      <c r="D1526" s="69"/>
      <c r="E1526" s="68"/>
      <c r="F1526" s="68"/>
      <c r="G1526" s="68"/>
      <c r="H1526" s="68"/>
      <c r="I1526" s="68"/>
      <c r="J1526" s="68"/>
      <c r="K1526" s="73"/>
      <c r="L1526" s="68"/>
      <c r="M1526" s="68"/>
      <c r="N1526" s="68"/>
      <c r="O1526" s="68"/>
      <c r="P1526" s="65"/>
      <c r="Q1526" s="103"/>
      <c r="R1526" s="103"/>
      <c r="S1526" s="103"/>
      <c r="T1526" s="103"/>
      <c r="U1526" s="68"/>
      <c r="V1526" s="68"/>
      <c r="W1526" s="68"/>
      <c r="X1526" s="68"/>
      <c r="Y1526" s="68"/>
      <c r="Z1526" s="68"/>
      <c r="AA1526" s="68"/>
      <c r="AB1526" s="68"/>
      <c r="AC1526" s="68"/>
      <c r="AD1526" s="68"/>
      <c r="AE1526" s="68"/>
      <c r="AF1526" s="68"/>
      <c r="AG1526" s="68"/>
      <c r="AH1526" s="68"/>
      <c r="AI1526" s="68"/>
      <c r="AJ1526" s="68"/>
      <c r="AK1526" s="68"/>
      <c r="AL1526" s="68"/>
      <c r="AM1526" s="68"/>
      <c r="AN1526" s="68"/>
      <c r="AO1526" s="68"/>
      <c r="AP1526" s="68"/>
      <c r="AQ1526" s="68"/>
      <c r="AR1526" s="68"/>
      <c r="AS1526" s="68"/>
      <c r="AT1526" s="68"/>
      <c r="AU1526" s="68"/>
      <c r="AV1526" s="68"/>
      <c r="AW1526" s="68"/>
      <c r="AX1526" s="68"/>
      <c r="AY1526" s="68"/>
      <c r="AZ1526" s="68"/>
      <c r="BA1526" s="68"/>
      <c r="BB1526" s="68"/>
      <c r="BC1526" s="68"/>
      <c r="BD1526" s="68"/>
      <c r="BE1526" s="68"/>
      <c r="BF1526" s="68"/>
      <c r="BG1526" s="68"/>
      <c r="BH1526" s="68"/>
      <c r="BI1526" s="68"/>
      <c r="BJ1526" s="68"/>
      <c r="BK1526" s="68"/>
      <c r="BL1526" s="68"/>
      <c r="BM1526" s="68"/>
      <c r="BN1526" s="68"/>
      <c r="BO1526" s="68"/>
      <c r="BP1526" s="68"/>
      <c r="BQ1526" s="68"/>
      <c r="BR1526" s="68"/>
      <c r="BS1526" s="68"/>
      <c r="BT1526" s="68"/>
      <c r="BU1526" s="68"/>
      <c r="BV1526" s="68"/>
      <c r="BW1526" s="68"/>
      <c r="BX1526" s="68"/>
      <c r="BY1526" s="68"/>
      <c r="BZ1526" s="68"/>
      <c r="CA1526" s="68"/>
      <c r="CB1526" s="68"/>
      <c r="CC1526" s="68"/>
      <c r="CD1526" s="68"/>
      <c r="CE1526" s="68"/>
      <c r="CF1526" s="68"/>
      <c r="CG1526" s="68"/>
      <c r="CH1526" s="68"/>
      <c r="CI1526" s="68"/>
      <c r="CJ1526" s="68"/>
      <c r="CK1526" s="68"/>
      <c r="CL1526" s="68"/>
      <c r="CM1526" s="68"/>
      <c r="CN1526" s="68"/>
      <c r="CO1526" s="68"/>
      <c r="CP1526" s="68"/>
      <c r="CQ1526" s="68"/>
      <c r="CR1526" s="68"/>
      <c r="CS1526" s="68"/>
      <c r="CT1526" s="68"/>
      <c r="CU1526" s="68"/>
      <c r="CV1526" s="68"/>
      <c r="CW1526" s="68"/>
      <c r="CX1526" s="68"/>
    </row>
    <row r="1527" spans="4:102" s="71" customFormat="1" hidden="1">
      <c r="D1527" s="69"/>
      <c r="E1527" s="68"/>
      <c r="F1527" s="68"/>
      <c r="G1527" s="68"/>
      <c r="H1527" s="68"/>
      <c r="I1527" s="68"/>
      <c r="J1527" s="68"/>
      <c r="K1527" s="73"/>
      <c r="L1527" s="68"/>
      <c r="M1527" s="68"/>
      <c r="N1527" s="68"/>
      <c r="O1527" s="68"/>
      <c r="P1527" s="65"/>
      <c r="Q1527" s="103"/>
      <c r="R1527" s="103"/>
      <c r="S1527" s="103"/>
      <c r="T1527" s="103"/>
      <c r="U1527" s="68"/>
      <c r="V1527" s="68"/>
      <c r="W1527" s="68"/>
      <c r="X1527" s="68"/>
      <c r="Y1527" s="68"/>
      <c r="Z1527" s="68"/>
      <c r="AA1527" s="68"/>
      <c r="AB1527" s="68"/>
      <c r="AC1527" s="68"/>
      <c r="AD1527" s="68"/>
      <c r="AE1527" s="68"/>
      <c r="AF1527" s="68"/>
      <c r="AG1527" s="68"/>
      <c r="AH1527" s="68"/>
      <c r="AI1527" s="68"/>
      <c r="AJ1527" s="68"/>
      <c r="AK1527" s="68"/>
      <c r="AL1527" s="68"/>
      <c r="AM1527" s="68"/>
      <c r="AN1527" s="68"/>
      <c r="AO1527" s="68"/>
      <c r="AP1527" s="68"/>
      <c r="AQ1527" s="68"/>
      <c r="AR1527" s="68"/>
      <c r="AS1527" s="68"/>
      <c r="AT1527" s="68"/>
      <c r="AU1527" s="68"/>
      <c r="AV1527" s="68"/>
      <c r="AW1527" s="68"/>
      <c r="AX1527" s="68"/>
      <c r="AY1527" s="68"/>
      <c r="AZ1527" s="68"/>
      <c r="BA1527" s="68"/>
      <c r="BB1527" s="68"/>
      <c r="BC1527" s="68"/>
      <c r="BD1527" s="68"/>
      <c r="BE1527" s="68"/>
      <c r="BF1527" s="68"/>
      <c r="BG1527" s="68"/>
      <c r="BH1527" s="68"/>
      <c r="BI1527" s="68"/>
      <c r="BJ1527" s="68"/>
      <c r="BK1527" s="68"/>
      <c r="BL1527" s="68"/>
      <c r="BM1527" s="68"/>
      <c r="BN1527" s="68"/>
      <c r="BO1527" s="68"/>
      <c r="BP1527" s="68"/>
      <c r="BQ1527" s="68"/>
      <c r="BR1527" s="68"/>
      <c r="BS1527" s="68"/>
      <c r="BT1527" s="68"/>
      <c r="BU1527" s="68"/>
      <c r="BV1527" s="68"/>
      <c r="BW1527" s="68"/>
      <c r="BX1527" s="68"/>
      <c r="BY1527" s="68"/>
      <c r="BZ1527" s="68"/>
      <c r="CA1527" s="68"/>
      <c r="CB1527" s="68"/>
      <c r="CC1527" s="68"/>
      <c r="CD1527" s="68"/>
      <c r="CE1527" s="68"/>
      <c r="CF1527" s="68"/>
      <c r="CG1527" s="68"/>
      <c r="CH1527" s="68"/>
      <c r="CI1527" s="68"/>
      <c r="CJ1527" s="68"/>
      <c r="CK1527" s="68"/>
      <c r="CL1527" s="68"/>
      <c r="CM1527" s="68"/>
      <c r="CN1527" s="68"/>
      <c r="CO1527" s="68"/>
      <c r="CP1527" s="68"/>
      <c r="CQ1527" s="68"/>
      <c r="CR1527" s="68"/>
      <c r="CS1527" s="68"/>
      <c r="CT1527" s="68"/>
      <c r="CU1527" s="68"/>
      <c r="CV1527" s="68"/>
      <c r="CW1527" s="68"/>
      <c r="CX1527" s="68"/>
    </row>
    <row r="1528" spans="4:102" s="71" customFormat="1" hidden="1">
      <c r="D1528" s="69"/>
      <c r="E1528" s="68"/>
      <c r="F1528" s="68"/>
      <c r="G1528" s="68"/>
      <c r="H1528" s="68"/>
      <c r="I1528" s="68"/>
      <c r="J1528" s="68"/>
      <c r="K1528" s="73"/>
      <c r="L1528" s="68"/>
      <c r="M1528" s="68"/>
      <c r="N1528" s="68"/>
      <c r="O1528" s="68"/>
      <c r="P1528" s="65"/>
      <c r="Q1528" s="103"/>
      <c r="R1528" s="103"/>
      <c r="S1528" s="103"/>
      <c r="T1528" s="103"/>
      <c r="U1528" s="68"/>
      <c r="V1528" s="68"/>
      <c r="W1528" s="68"/>
      <c r="X1528" s="68"/>
      <c r="Y1528" s="68"/>
      <c r="Z1528" s="68"/>
      <c r="AA1528" s="68"/>
      <c r="AB1528" s="68"/>
      <c r="AC1528" s="68"/>
      <c r="AD1528" s="68"/>
      <c r="AE1528" s="68"/>
      <c r="AF1528" s="68"/>
      <c r="AG1528" s="68"/>
      <c r="AH1528" s="68"/>
      <c r="AI1528" s="68"/>
      <c r="AJ1528" s="68"/>
      <c r="AK1528" s="68"/>
      <c r="AL1528" s="68"/>
      <c r="AM1528" s="68"/>
      <c r="AN1528" s="68"/>
      <c r="AO1528" s="68"/>
      <c r="AP1528" s="68"/>
      <c r="AQ1528" s="68"/>
      <c r="AR1528" s="68"/>
      <c r="AS1528" s="68"/>
      <c r="AT1528" s="68"/>
      <c r="AU1528" s="68"/>
      <c r="AV1528" s="68"/>
      <c r="AW1528" s="68"/>
      <c r="AX1528" s="68"/>
      <c r="AY1528" s="68"/>
      <c r="AZ1528" s="68"/>
      <c r="BA1528" s="68"/>
      <c r="BB1528" s="68"/>
      <c r="BC1528" s="68"/>
      <c r="BD1528" s="68"/>
      <c r="BE1528" s="68"/>
      <c r="BF1528" s="68"/>
      <c r="BG1528" s="68"/>
      <c r="BH1528" s="68"/>
      <c r="BI1528" s="68"/>
      <c r="BJ1528" s="68"/>
      <c r="BK1528" s="68"/>
      <c r="BL1528" s="68"/>
      <c r="BM1528" s="68"/>
      <c r="BN1528" s="68"/>
      <c r="BO1528" s="68"/>
      <c r="BP1528" s="68"/>
      <c r="BQ1528" s="68"/>
      <c r="BR1528" s="68"/>
      <c r="BS1528" s="68"/>
      <c r="BT1528" s="68"/>
      <c r="BU1528" s="68"/>
      <c r="BV1528" s="68"/>
      <c r="BW1528" s="68"/>
      <c r="BX1528" s="68"/>
      <c r="BY1528" s="68"/>
      <c r="BZ1528" s="68"/>
      <c r="CA1528" s="68"/>
      <c r="CB1528" s="68"/>
      <c r="CC1528" s="68"/>
      <c r="CD1528" s="68"/>
      <c r="CE1528" s="68"/>
      <c r="CF1528" s="68"/>
      <c r="CG1528" s="68"/>
      <c r="CH1528" s="68"/>
      <c r="CI1528" s="68"/>
      <c r="CJ1528" s="68"/>
      <c r="CK1528" s="68"/>
      <c r="CL1528" s="68"/>
      <c r="CM1528" s="68"/>
      <c r="CN1528" s="68"/>
      <c r="CO1528" s="68"/>
      <c r="CP1528" s="68"/>
      <c r="CQ1528" s="68"/>
      <c r="CR1528" s="68"/>
      <c r="CS1528" s="68"/>
      <c r="CT1528" s="68"/>
      <c r="CU1528" s="68"/>
      <c r="CV1528" s="68"/>
      <c r="CW1528" s="68"/>
      <c r="CX1528" s="68"/>
    </row>
    <row r="1529" spans="4:102" s="71" customFormat="1" hidden="1">
      <c r="D1529" s="69"/>
      <c r="E1529" s="68"/>
      <c r="F1529" s="68"/>
      <c r="G1529" s="68"/>
      <c r="H1529" s="68"/>
      <c r="I1529" s="68"/>
      <c r="J1529" s="68"/>
      <c r="K1529" s="73"/>
      <c r="L1529" s="68"/>
      <c r="M1529" s="68"/>
      <c r="N1529" s="68"/>
      <c r="O1529" s="68"/>
      <c r="P1529" s="65"/>
      <c r="Q1529" s="103"/>
      <c r="R1529" s="103"/>
      <c r="S1529" s="103"/>
      <c r="T1529" s="103"/>
      <c r="U1529" s="68"/>
      <c r="V1529" s="68"/>
      <c r="W1529" s="68"/>
      <c r="X1529" s="68"/>
      <c r="Y1529" s="68"/>
      <c r="Z1529" s="68"/>
      <c r="AA1529" s="68"/>
      <c r="AB1529" s="68"/>
      <c r="AC1529" s="68"/>
      <c r="AD1529" s="68"/>
      <c r="AE1529" s="68"/>
      <c r="AF1529" s="68"/>
      <c r="AG1529" s="68"/>
      <c r="AH1529" s="68"/>
      <c r="AI1529" s="68"/>
      <c r="AJ1529" s="68"/>
      <c r="AK1529" s="68"/>
      <c r="AL1529" s="68"/>
      <c r="AM1529" s="68"/>
      <c r="AN1529" s="68"/>
      <c r="AO1529" s="68"/>
      <c r="AP1529" s="68"/>
      <c r="AQ1529" s="68"/>
      <c r="AR1529" s="68"/>
      <c r="AS1529" s="68"/>
      <c r="AT1529" s="68"/>
      <c r="AU1529" s="68"/>
      <c r="AV1529" s="68"/>
      <c r="AW1529" s="68"/>
      <c r="AX1529" s="68"/>
      <c r="AY1529" s="68"/>
      <c r="AZ1529" s="68"/>
      <c r="BA1529" s="68"/>
      <c r="BB1529" s="68"/>
      <c r="BC1529" s="68"/>
      <c r="BD1529" s="68"/>
      <c r="BE1529" s="68"/>
      <c r="BF1529" s="68"/>
      <c r="BG1529" s="68"/>
      <c r="BH1529" s="68"/>
      <c r="BI1529" s="68"/>
      <c r="BJ1529" s="68"/>
      <c r="BK1529" s="68"/>
      <c r="BL1529" s="68"/>
      <c r="BM1529" s="68"/>
      <c r="BN1529" s="68"/>
      <c r="BO1529" s="68"/>
      <c r="BP1529" s="68"/>
      <c r="BQ1529" s="68"/>
      <c r="BR1529" s="68"/>
      <c r="BS1529" s="68"/>
      <c r="BT1529" s="68"/>
      <c r="BU1529" s="68"/>
      <c r="BV1529" s="68"/>
      <c r="BW1529" s="68"/>
      <c r="BX1529" s="68"/>
      <c r="BY1529" s="68"/>
      <c r="BZ1529" s="68"/>
      <c r="CA1529" s="68"/>
      <c r="CB1529" s="68"/>
      <c r="CC1529" s="68"/>
      <c r="CD1529" s="68"/>
      <c r="CE1529" s="68"/>
      <c r="CF1529" s="68"/>
      <c r="CG1529" s="68"/>
      <c r="CH1529" s="68"/>
      <c r="CI1529" s="68"/>
      <c r="CJ1529" s="68"/>
      <c r="CK1529" s="68"/>
      <c r="CL1529" s="68"/>
      <c r="CM1529" s="68"/>
      <c r="CN1529" s="68"/>
      <c r="CO1529" s="68"/>
      <c r="CP1529" s="68"/>
      <c r="CQ1529" s="68"/>
      <c r="CR1529" s="68"/>
      <c r="CS1529" s="68"/>
      <c r="CT1529" s="68"/>
      <c r="CU1529" s="68"/>
      <c r="CV1529" s="68"/>
      <c r="CW1529" s="68"/>
      <c r="CX1529" s="68"/>
    </row>
    <row r="1530" spans="4:102" s="71" customFormat="1" hidden="1">
      <c r="D1530" s="69"/>
      <c r="E1530" s="68"/>
      <c r="F1530" s="68"/>
      <c r="G1530" s="68"/>
      <c r="H1530" s="68"/>
      <c r="I1530" s="68"/>
      <c r="J1530" s="68"/>
      <c r="K1530" s="73"/>
      <c r="L1530" s="68"/>
      <c r="M1530" s="68"/>
      <c r="N1530" s="68"/>
      <c r="O1530" s="68"/>
      <c r="P1530" s="65"/>
      <c r="Q1530" s="103"/>
      <c r="R1530" s="103"/>
      <c r="S1530" s="103"/>
      <c r="T1530" s="103"/>
      <c r="U1530" s="68"/>
      <c r="V1530" s="68"/>
      <c r="W1530" s="68"/>
      <c r="X1530" s="68"/>
      <c r="Y1530" s="68"/>
      <c r="Z1530" s="68"/>
      <c r="AA1530" s="68"/>
      <c r="AB1530" s="68"/>
      <c r="AC1530" s="68"/>
      <c r="AD1530" s="68"/>
      <c r="AE1530" s="68"/>
      <c r="AF1530" s="68"/>
      <c r="AG1530" s="68"/>
      <c r="AH1530" s="68"/>
      <c r="AI1530" s="68"/>
      <c r="AJ1530" s="68"/>
      <c r="AK1530" s="68"/>
      <c r="AL1530" s="68"/>
      <c r="AM1530" s="68"/>
      <c r="AN1530" s="68"/>
      <c r="AO1530" s="68"/>
      <c r="AP1530" s="68"/>
      <c r="AQ1530" s="68"/>
      <c r="AR1530" s="68"/>
      <c r="AS1530" s="68"/>
      <c r="AT1530" s="68"/>
      <c r="AU1530" s="68"/>
      <c r="AV1530" s="68"/>
      <c r="AW1530" s="68"/>
      <c r="AX1530" s="68"/>
      <c r="AY1530" s="68"/>
      <c r="AZ1530" s="68"/>
      <c r="BA1530" s="68"/>
      <c r="BB1530" s="68"/>
      <c r="BC1530" s="68"/>
      <c r="BD1530" s="68"/>
      <c r="BE1530" s="68"/>
      <c r="BF1530" s="68"/>
      <c r="BG1530" s="68"/>
      <c r="BH1530" s="68"/>
      <c r="BI1530" s="68"/>
      <c r="BJ1530" s="68"/>
      <c r="BK1530" s="68"/>
      <c r="BL1530" s="68"/>
      <c r="BM1530" s="68"/>
      <c r="BN1530" s="68"/>
      <c r="BO1530" s="68"/>
      <c r="BP1530" s="68"/>
      <c r="BQ1530" s="68"/>
      <c r="BR1530" s="68"/>
      <c r="BS1530" s="68"/>
      <c r="BT1530" s="68"/>
      <c r="BU1530" s="68"/>
      <c r="BV1530" s="68"/>
      <c r="BW1530" s="68"/>
      <c r="BX1530" s="68"/>
      <c r="BY1530" s="68"/>
      <c r="BZ1530" s="68"/>
      <c r="CA1530" s="68"/>
      <c r="CB1530" s="68"/>
      <c r="CC1530" s="68"/>
      <c r="CD1530" s="68"/>
      <c r="CE1530" s="68"/>
      <c r="CF1530" s="68"/>
      <c r="CG1530" s="68"/>
      <c r="CH1530" s="68"/>
      <c r="CI1530" s="68"/>
      <c r="CJ1530" s="68"/>
      <c r="CK1530" s="68"/>
      <c r="CL1530" s="68"/>
      <c r="CM1530" s="68"/>
      <c r="CN1530" s="68"/>
      <c r="CO1530" s="68"/>
      <c r="CP1530" s="68"/>
      <c r="CQ1530" s="68"/>
      <c r="CR1530" s="68"/>
      <c r="CS1530" s="68"/>
      <c r="CT1530" s="68"/>
      <c r="CU1530" s="68"/>
      <c r="CV1530" s="68"/>
      <c r="CW1530" s="68"/>
      <c r="CX1530" s="68"/>
    </row>
    <row r="1531" spans="4:102" s="71" customFormat="1" hidden="1">
      <c r="D1531" s="69"/>
      <c r="E1531" s="68"/>
      <c r="F1531" s="68"/>
      <c r="G1531" s="68"/>
      <c r="H1531" s="68"/>
      <c r="I1531" s="68"/>
      <c r="J1531" s="68"/>
      <c r="K1531" s="73"/>
      <c r="L1531" s="68"/>
      <c r="M1531" s="68"/>
      <c r="N1531" s="68"/>
      <c r="O1531" s="68"/>
      <c r="P1531" s="65"/>
      <c r="Q1531" s="103"/>
      <c r="R1531" s="103"/>
      <c r="S1531" s="103"/>
      <c r="T1531" s="103"/>
      <c r="U1531" s="68"/>
      <c r="V1531" s="68"/>
      <c r="W1531" s="68"/>
      <c r="X1531" s="68"/>
      <c r="Y1531" s="68"/>
      <c r="Z1531" s="68"/>
      <c r="AA1531" s="68"/>
      <c r="AB1531" s="68"/>
      <c r="AC1531" s="68"/>
      <c r="AD1531" s="68"/>
      <c r="AE1531" s="68"/>
      <c r="AF1531" s="68"/>
      <c r="AG1531" s="68"/>
      <c r="AH1531" s="68"/>
      <c r="AI1531" s="68"/>
      <c r="AJ1531" s="68"/>
      <c r="AK1531" s="68"/>
      <c r="AL1531" s="68"/>
      <c r="AM1531" s="68"/>
      <c r="AN1531" s="68"/>
      <c r="AO1531" s="68"/>
      <c r="AP1531" s="68"/>
      <c r="AQ1531" s="68"/>
      <c r="AR1531" s="68"/>
      <c r="AS1531" s="68"/>
      <c r="AT1531" s="68"/>
      <c r="AU1531" s="68"/>
      <c r="AV1531" s="68"/>
      <c r="AW1531" s="68"/>
      <c r="AX1531" s="68"/>
      <c r="AY1531" s="68"/>
      <c r="AZ1531" s="68"/>
      <c r="BA1531" s="68"/>
      <c r="BB1531" s="68"/>
      <c r="BC1531" s="68"/>
      <c r="BD1531" s="68"/>
      <c r="BE1531" s="68"/>
      <c r="BF1531" s="68"/>
      <c r="BG1531" s="68"/>
      <c r="BH1531" s="68"/>
      <c r="BI1531" s="68"/>
      <c r="BJ1531" s="68"/>
      <c r="BK1531" s="68"/>
      <c r="BL1531" s="68"/>
      <c r="BM1531" s="68"/>
      <c r="BN1531" s="68"/>
      <c r="BO1531" s="68"/>
      <c r="BP1531" s="68"/>
      <c r="BQ1531" s="68"/>
      <c r="BR1531" s="68"/>
      <c r="BS1531" s="68"/>
      <c r="BT1531" s="68"/>
      <c r="BU1531" s="68"/>
      <c r="BV1531" s="68"/>
      <c r="BW1531" s="68"/>
      <c r="BX1531" s="68"/>
      <c r="BY1531" s="68"/>
      <c r="BZ1531" s="68"/>
      <c r="CA1531" s="68"/>
      <c r="CB1531" s="68"/>
      <c r="CC1531" s="68"/>
      <c r="CD1531" s="68"/>
      <c r="CE1531" s="68"/>
      <c r="CF1531" s="68"/>
      <c r="CG1531" s="68"/>
      <c r="CH1531" s="68"/>
      <c r="CI1531" s="68"/>
      <c r="CJ1531" s="68"/>
      <c r="CK1531" s="68"/>
      <c r="CL1531" s="68"/>
      <c r="CM1531" s="68"/>
      <c r="CN1531" s="68"/>
      <c r="CO1531" s="68"/>
      <c r="CP1531" s="68"/>
      <c r="CQ1531" s="68"/>
      <c r="CR1531" s="68"/>
      <c r="CS1531" s="68"/>
      <c r="CT1531" s="68"/>
      <c r="CU1531" s="68"/>
      <c r="CV1531" s="68"/>
      <c r="CW1531" s="68"/>
      <c r="CX1531" s="68"/>
    </row>
    <row r="1532" spans="4:102" s="71" customFormat="1" hidden="1">
      <c r="D1532" s="69"/>
      <c r="E1532" s="68"/>
      <c r="F1532" s="68"/>
      <c r="G1532" s="68"/>
      <c r="H1532" s="68"/>
      <c r="I1532" s="68"/>
      <c r="J1532" s="68"/>
      <c r="K1532" s="73"/>
      <c r="L1532" s="68"/>
      <c r="M1532" s="68"/>
      <c r="N1532" s="68"/>
      <c r="O1532" s="68"/>
      <c r="P1532" s="65"/>
      <c r="Q1532" s="103"/>
      <c r="R1532" s="103"/>
      <c r="S1532" s="103"/>
      <c r="T1532" s="103"/>
      <c r="U1532" s="68"/>
      <c r="V1532" s="68"/>
      <c r="W1532" s="68"/>
      <c r="X1532" s="68"/>
      <c r="Y1532" s="68"/>
      <c r="Z1532" s="68"/>
      <c r="AA1532" s="68"/>
      <c r="AB1532" s="68"/>
      <c r="AC1532" s="68"/>
      <c r="AD1532" s="68"/>
      <c r="AE1532" s="68"/>
      <c r="AF1532" s="68"/>
      <c r="AG1532" s="68"/>
      <c r="AH1532" s="68"/>
      <c r="AI1532" s="68"/>
      <c r="AJ1532" s="68"/>
      <c r="AK1532" s="68"/>
      <c r="AL1532" s="68"/>
      <c r="AM1532" s="68"/>
      <c r="AN1532" s="68"/>
      <c r="AO1532" s="68"/>
      <c r="AP1532" s="68"/>
      <c r="AQ1532" s="68"/>
      <c r="AR1532" s="68"/>
      <c r="AS1532" s="68"/>
      <c r="AT1532" s="68"/>
      <c r="AU1532" s="68"/>
      <c r="AV1532" s="68"/>
      <c r="AW1532" s="68"/>
      <c r="AX1532" s="68"/>
      <c r="AY1532" s="68"/>
      <c r="AZ1532" s="68"/>
      <c r="BA1532" s="68"/>
      <c r="BB1532" s="68"/>
      <c r="BC1532" s="68"/>
      <c r="BD1532" s="68"/>
      <c r="BE1532" s="68"/>
      <c r="BF1532" s="68"/>
      <c r="BG1532" s="68"/>
      <c r="BH1532" s="68"/>
      <c r="BI1532" s="68"/>
      <c r="BJ1532" s="68"/>
      <c r="BK1532" s="68"/>
      <c r="BL1532" s="68"/>
      <c r="BM1532" s="68"/>
      <c r="BN1532" s="68"/>
      <c r="BO1532" s="68"/>
      <c r="BP1532" s="68"/>
      <c r="BQ1532" s="68"/>
      <c r="BR1532" s="68"/>
      <c r="BS1532" s="68"/>
      <c r="BT1532" s="68"/>
      <c r="BU1532" s="68"/>
      <c r="BV1532" s="68"/>
      <c r="BW1532" s="68"/>
      <c r="BX1532" s="68"/>
      <c r="BY1532" s="68"/>
      <c r="BZ1532" s="68"/>
      <c r="CA1532" s="68"/>
      <c r="CB1532" s="68"/>
      <c r="CC1532" s="68"/>
      <c r="CD1532" s="68"/>
      <c r="CE1532" s="68"/>
      <c r="CF1532" s="68"/>
      <c r="CG1532" s="68"/>
      <c r="CH1532" s="68"/>
      <c r="CI1532" s="68"/>
      <c r="CJ1532" s="68"/>
      <c r="CK1532" s="68"/>
      <c r="CL1532" s="68"/>
      <c r="CM1532" s="68"/>
      <c r="CN1532" s="68"/>
      <c r="CO1532" s="68"/>
      <c r="CP1532" s="68"/>
      <c r="CQ1532" s="68"/>
      <c r="CR1532" s="68"/>
      <c r="CS1532" s="68"/>
      <c r="CT1532" s="68"/>
      <c r="CU1532" s="68"/>
      <c r="CV1532" s="68"/>
      <c r="CW1532" s="68"/>
      <c r="CX1532" s="68"/>
    </row>
    <row r="1533" spans="4:102" s="71" customFormat="1" hidden="1">
      <c r="D1533" s="69"/>
      <c r="E1533" s="68"/>
      <c r="F1533" s="68"/>
      <c r="G1533" s="68"/>
      <c r="H1533" s="68"/>
      <c r="I1533" s="68"/>
      <c r="J1533" s="68"/>
      <c r="K1533" s="73"/>
      <c r="L1533" s="68"/>
      <c r="M1533" s="68"/>
      <c r="N1533" s="68"/>
      <c r="O1533" s="68"/>
      <c r="P1533" s="65"/>
      <c r="Q1533" s="103"/>
      <c r="R1533" s="103"/>
      <c r="S1533" s="103"/>
      <c r="T1533" s="103"/>
      <c r="U1533" s="68"/>
      <c r="V1533" s="68"/>
      <c r="W1533" s="68"/>
      <c r="X1533" s="68"/>
      <c r="Y1533" s="68"/>
      <c r="Z1533" s="68"/>
      <c r="AA1533" s="68"/>
      <c r="AB1533" s="68"/>
      <c r="AC1533" s="68"/>
      <c r="AD1533" s="68"/>
      <c r="AE1533" s="68"/>
      <c r="AF1533" s="68"/>
      <c r="AG1533" s="68"/>
      <c r="AH1533" s="68"/>
      <c r="AI1533" s="68"/>
      <c r="AJ1533" s="68"/>
      <c r="AK1533" s="68"/>
      <c r="AL1533" s="68"/>
      <c r="AM1533" s="68"/>
      <c r="AN1533" s="68"/>
      <c r="AO1533" s="68"/>
      <c r="AP1533" s="68"/>
      <c r="AQ1533" s="68"/>
      <c r="AR1533" s="68"/>
      <c r="AS1533" s="68"/>
      <c r="AT1533" s="68"/>
      <c r="AU1533" s="68"/>
      <c r="AV1533" s="68"/>
      <c r="AW1533" s="68"/>
      <c r="AX1533" s="68"/>
      <c r="AY1533" s="68"/>
      <c r="AZ1533" s="68"/>
      <c r="BA1533" s="68"/>
      <c r="BB1533" s="68"/>
      <c r="BC1533" s="68"/>
      <c r="BD1533" s="68"/>
      <c r="BE1533" s="68"/>
      <c r="BF1533" s="68"/>
      <c r="BG1533" s="68"/>
      <c r="BH1533" s="68"/>
      <c r="BI1533" s="68"/>
      <c r="BJ1533" s="68"/>
      <c r="BK1533" s="68"/>
      <c r="BL1533" s="68"/>
      <c r="BM1533" s="68"/>
      <c r="BN1533" s="68"/>
      <c r="BO1533" s="68"/>
      <c r="BP1533" s="68"/>
      <c r="BQ1533" s="68"/>
      <c r="BR1533" s="68"/>
      <c r="BS1533" s="68"/>
      <c r="BT1533" s="68"/>
      <c r="BU1533" s="68"/>
      <c r="BV1533" s="68"/>
      <c r="BW1533" s="68"/>
      <c r="BX1533" s="68"/>
      <c r="BY1533" s="68"/>
      <c r="BZ1533" s="68"/>
      <c r="CA1533" s="68"/>
      <c r="CB1533" s="68"/>
      <c r="CC1533" s="68"/>
      <c r="CD1533" s="68"/>
      <c r="CE1533" s="68"/>
      <c r="CF1533" s="68"/>
      <c r="CG1533" s="68"/>
      <c r="CH1533" s="68"/>
      <c r="CI1533" s="68"/>
      <c r="CJ1533" s="68"/>
      <c r="CK1533" s="68"/>
      <c r="CL1533" s="68"/>
      <c r="CM1533" s="68"/>
      <c r="CN1533" s="68"/>
      <c r="CO1533" s="68"/>
      <c r="CP1533" s="68"/>
      <c r="CQ1533" s="68"/>
      <c r="CR1533" s="68"/>
      <c r="CS1533" s="68"/>
      <c r="CT1533" s="68"/>
      <c r="CU1533" s="68"/>
      <c r="CV1533" s="68"/>
      <c r="CW1533" s="68"/>
      <c r="CX1533" s="68"/>
    </row>
    <row r="1534" spans="4:102" s="71" customFormat="1" hidden="1">
      <c r="D1534" s="69"/>
      <c r="E1534" s="68"/>
      <c r="F1534" s="68"/>
      <c r="G1534" s="68"/>
      <c r="H1534" s="68"/>
      <c r="I1534" s="68"/>
      <c r="J1534" s="68"/>
      <c r="K1534" s="73"/>
      <c r="L1534" s="68"/>
      <c r="M1534" s="68"/>
      <c r="N1534" s="68"/>
      <c r="O1534" s="68"/>
      <c r="P1534" s="65"/>
      <c r="Q1534" s="103"/>
      <c r="R1534" s="103"/>
      <c r="S1534" s="103"/>
      <c r="T1534" s="103"/>
      <c r="U1534" s="68"/>
      <c r="V1534" s="68"/>
      <c r="W1534" s="68"/>
      <c r="X1534" s="68"/>
      <c r="Y1534" s="68"/>
      <c r="Z1534" s="68"/>
      <c r="AA1534" s="68"/>
      <c r="AB1534" s="68"/>
      <c r="AC1534" s="68"/>
      <c r="AD1534" s="68"/>
      <c r="AE1534" s="68"/>
      <c r="AF1534" s="68"/>
      <c r="AG1534" s="68"/>
      <c r="AH1534" s="68"/>
      <c r="AI1534" s="68"/>
      <c r="AJ1534" s="68"/>
      <c r="AK1534" s="68"/>
      <c r="AL1534" s="68"/>
      <c r="AM1534" s="68"/>
      <c r="AN1534" s="68"/>
      <c r="AO1534" s="68"/>
      <c r="AP1534" s="68"/>
      <c r="AQ1534" s="68"/>
      <c r="AR1534" s="68"/>
      <c r="AS1534" s="68"/>
      <c r="AT1534" s="68"/>
      <c r="AU1534" s="68"/>
      <c r="AV1534" s="68"/>
      <c r="AW1534" s="68"/>
      <c r="AX1534" s="68"/>
      <c r="AY1534" s="68"/>
      <c r="AZ1534" s="68"/>
      <c r="BA1534" s="68"/>
      <c r="BB1534" s="68"/>
      <c r="BC1534" s="68"/>
      <c r="BD1534" s="68"/>
      <c r="BE1534" s="68"/>
      <c r="BF1534" s="68"/>
      <c r="BG1534" s="68"/>
      <c r="BH1534" s="68"/>
      <c r="BI1534" s="68"/>
      <c r="BJ1534" s="68"/>
      <c r="BK1534" s="68"/>
      <c r="BL1534" s="68"/>
      <c r="BM1534" s="68"/>
      <c r="BN1534" s="68"/>
      <c r="BO1534" s="68"/>
      <c r="BP1534" s="68"/>
      <c r="BQ1534" s="68"/>
      <c r="BR1534" s="68"/>
      <c r="BS1534" s="68"/>
      <c r="BT1534" s="68"/>
      <c r="BU1534" s="68"/>
      <c r="BV1534" s="68"/>
      <c r="BW1534" s="68"/>
      <c r="BX1534" s="68"/>
      <c r="BY1534" s="68"/>
      <c r="BZ1534" s="68"/>
      <c r="CA1534" s="68"/>
      <c r="CB1534" s="68"/>
      <c r="CC1534" s="68"/>
      <c r="CD1534" s="68"/>
      <c r="CE1534" s="68"/>
      <c r="CF1534" s="68"/>
      <c r="CG1534" s="68"/>
      <c r="CH1534" s="68"/>
      <c r="CI1534" s="68"/>
      <c r="CJ1534" s="68"/>
      <c r="CK1534" s="68"/>
      <c r="CL1534" s="68"/>
      <c r="CM1534" s="68"/>
      <c r="CN1534" s="68"/>
      <c r="CO1534" s="68"/>
      <c r="CP1534" s="68"/>
      <c r="CQ1534" s="68"/>
      <c r="CR1534" s="68"/>
      <c r="CS1534" s="68"/>
      <c r="CT1534" s="68"/>
      <c r="CU1534" s="68"/>
      <c r="CV1534" s="68"/>
      <c r="CW1534" s="68"/>
      <c r="CX1534" s="68"/>
    </row>
    <row r="1535" spans="4:102" s="71" customFormat="1" hidden="1">
      <c r="D1535" s="69"/>
      <c r="E1535" s="68"/>
      <c r="F1535" s="68"/>
      <c r="G1535" s="68"/>
      <c r="H1535" s="68"/>
      <c r="I1535" s="68"/>
      <c r="J1535" s="68"/>
      <c r="K1535" s="73"/>
      <c r="L1535" s="68"/>
      <c r="M1535" s="68"/>
      <c r="N1535" s="68"/>
      <c r="O1535" s="68"/>
      <c r="P1535" s="65"/>
      <c r="Q1535" s="103"/>
      <c r="R1535" s="103"/>
      <c r="S1535" s="103"/>
      <c r="T1535" s="103"/>
      <c r="U1535" s="68"/>
      <c r="V1535" s="68"/>
      <c r="W1535" s="68"/>
      <c r="X1535" s="68"/>
      <c r="Y1535" s="68"/>
      <c r="Z1535" s="68"/>
      <c r="AA1535" s="68"/>
      <c r="AB1535" s="68"/>
      <c r="AC1535" s="68"/>
      <c r="AD1535" s="68"/>
      <c r="AE1535" s="68"/>
      <c r="AF1535" s="68"/>
      <c r="AG1535" s="68"/>
      <c r="AH1535" s="68"/>
      <c r="AI1535" s="68"/>
      <c r="AJ1535" s="68"/>
      <c r="AK1535" s="68"/>
      <c r="AL1535" s="68"/>
      <c r="AM1535" s="68"/>
      <c r="AN1535" s="68"/>
      <c r="AO1535" s="68"/>
      <c r="AP1535" s="68"/>
      <c r="AQ1535" s="68"/>
      <c r="AR1535" s="68"/>
      <c r="AS1535" s="68"/>
      <c r="AT1535" s="68"/>
      <c r="AU1535" s="68"/>
      <c r="AV1535" s="68"/>
      <c r="AW1535" s="68"/>
      <c r="AX1535" s="68"/>
      <c r="AY1535" s="68"/>
      <c r="AZ1535" s="68"/>
      <c r="BA1535" s="68"/>
      <c r="BB1535" s="68"/>
      <c r="BC1535" s="68"/>
      <c r="BD1535" s="68"/>
      <c r="BE1535" s="68"/>
      <c r="BF1535" s="68"/>
      <c r="BG1535" s="68"/>
      <c r="BH1535" s="68"/>
      <c r="BI1535" s="68"/>
      <c r="BJ1535" s="68"/>
      <c r="BK1535" s="68"/>
      <c r="BL1535" s="68"/>
      <c r="BM1535" s="68"/>
      <c r="BN1535" s="68"/>
      <c r="BO1535" s="68"/>
      <c r="BP1535" s="68"/>
      <c r="BQ1535" s="68"/>
      <c r="BR1535" s="68"/>
      <c r="BS1535" s="68"/>
      <c r="BT1535" s="68"/>
      <c r="BU1535" s="68"/>
      <c r="BV1535" s="68"/>
      <c r="BW1535" s="68"/>
      <c r="BX1535" s="68"/>
      <c r="BY1535" s="68"/>
      <c r="BZ1535" s="68"/>
      <c r="CA1535" s="68"/>
      <c r="CB1535" s="68"/>
      <c r="CC1535" s="68"/>
      <c r="CD1535" s="68"/>
      <c r="CE1535" s="68"/>
      <c r="CF1535" s="68"/>
      <c r="CG1535" s="68"/>
      <c r="CH1535" s="68"/>
      <c r="CI1535" s="68"/>
      <c r="CJ1535" s="68"/>
      <c r="CK1535" s="68"/>
      <c r="CL1535" s="68"/>
      <c r="CM1535" s="68"/>
      <c r="CN1535" s="68"/>
      <c r="CO1535" s="68"/>
      <c r="CP1535" s="68"/>
      <c r="CQ1535" s="68"/>
      <c r="CR1535" s="68"/>
      <c r="CS1535" s="68"/>
      <c r="CT1535" s="68"/>
      <c r="CU1535" s="68"/>
      <c r="CV1535" s="68"/>
      <c r="CW1535" s="68"/>
      <c r="CX1535" s="68"/>
    </row>
    <row r="1536" spans="4:102" s="71" customFormat="1" hidden="1">
      <c r="D1536" s="69"/>
      <c r="E1536" s="68"/>
      <c r="F1536" s="68"/>
      <c r="G1536" s="68"/>
      <c r="H1536" s="68"/>
      <c r="I1536" s="68"/>
      <c r="J1536" s="68"/>
      <c r="K1536" s="73"/>
      <c r="L1536" s="68"/>
      <c r="M1536" s="68"/>
      <c r="N1536" s="68"/>
      <c r="O1536" s="68"/>
      <c r="P1536" s="65"/>
      <c r="Q1536" s="103"/>
      <c r="R1536" s="103"/>
      <c r="S1536" s="103"/>
      <c r="T1536" s="103"/>
      <c r="U1536" s="68"/>
      <c r="V1536" s="68"/>
      <c r="W1536" s="68"/>
      <c r="X1536" s="68"/>
      <c r="Y1536" s="68"/>
      <c r="Z1536" s="68"/>
      <c r="AA1536" s="68"/>
      <c r="AB1536" s="68"/>
      <c r="AC1536" s="68"/>
      <c r="AD1536" s="68"/>
      <c r="AE1536" s="68"/>
      <c r="AF1536" s="68"/>
      <c r="AG1536" s="68"/>
      <c r="AH1536" s="68"/>
      <c r="AI1536" s="68"/>
      <c r="AJ1536" s="68"/>
      <c r="AK1536" s="68"/>
      <c r="AL1536" s="68"/>
      <c r="AM1536" s="68"/>
      <c r="AN1536" s="68"/>
      <c r="AO1536" s="68"/>
      <c r="AP1536" s="68"/>
      <c r="AQ1536" s="68"/>
      <c r="AR1536" s="68"/>
      <c r="AS1536" s="68"/>
      <c r="AT1536" s="68"/>
      <c r="AU1536" s="68"/>
      <c r="AV1536" s="68"/>
      <c r="AW1536" s="68"/>
      <c r="AX1536" s="68"/>
      <c r="AY1536" s="68"/>
      <c r="AZ1536" s="68"/>
      <c r="BA1536" s="68"/>
      <c r="BB1536" s="68"/>
      <c r="BC1536" s="68"/>
      <c r="BD1536" s="68"/>
      <c r="BE1536" s="68"/>
      <c r="BF1536" s="68"/>
      <c r="BG1536" s="68"/>
      <c r="BH1536" s="68"/>
      <c r="BI1536" s="68"/>
      <c r="BJ1536" s="68"/>
      <c r="BK1536" s="68"/>
      <c r="BL1536" s="68"/>
      <c r="BM1536" s="68"/>
      <c r="BN1536" s="68"/>
      <c r="BO1536" s="68"/>
      <c r="BP1536" s="68"/>
      <c r="BQ1536" s="68"/>
      <c r="BR1536" s="68"/>
      <c r="BS1536" s="68"/>
      <c r="BT1536" s="68"/>
      <c r="BU1536" s="68"/>
      <c r="BV1536" s="68"/>
      <c r="BW1536" s="68"/>
      <c r="BX1536" s="68"/>
      <c r="BY1536" s="68"/>
      <c r="BZ1536" s="68"/>
      <c r="CA1536" s="68"/>
      <c r="CB1536" s="68"/>
      <c r="CC1536" s="68"/>
      <c r="CD1536" s="68"/>
      <c r="CE1536" s="68"/>
      <c r="CF1536" s="68"/>
      <c r="CG1536" s="68"/>
      <c r="CH1536" s="68"/>
      <c r="CI1536" s="68"/>
      <c r="CJ1536" s="68"/>
      <c r="CK1536" s="68"/>
      <c r="CL1536" s="68"/>
      <c r="CM1536" s="68"/>
      <c r="CN1536" s="68"/>
      <c r="CO1536" s="68"/>
      <c r="CP1536" s="68"/>
      <c r="CQ1536" s="68"/>
      <c r="CR1536" s="68"/>
      <c r="CS1536" s="68"/>
      <c r="CT1536" s="68"/>
      <c r="CU1536" s="68"/>
      <c r="CV1536" s="68"/>
      <c r="CW1536" s="68"/>
      <c r="CX1536" s="68"/>
    </row>
    <row r="1537" spans="4:102" s="71" customFormat="1" hidden="1">
      <c r="D1537" s="69"/>
      <c r="E1537" s="68"/>
      <c r="F1537" s="68"/>
      <c r="G1537" s="68"/>
      <c r="H1537" s="68"/>
      <c r="I1537" s="68"/>
      <c r="J1537" s="68"/>
      <c r="K1537" s="73"/>
      <c r="L1537" s="68"/>
      <c r="M1537" s="68"/>
      <c r="N1537" s="68"/>
      <c r="O1537" s="68"/>
      <c r="P1537" s="65"/>
      <c r="Q1537" s="103"/>
      <c r="R1537" s="103"/>
      <c r="S1537" s="103"/>
      <c r="T1537" s="103"/>
      <c r="U1537" s="68"/>
      <c r="V1537" s="68"/>
      <c r="W1537" s="68"/>
      <c r="X1537" s="68"/>
      <c r="Y1537" s="68"/>
      <c r="Z1537" s="68"/>
      <c r="AA1537" s="68"/>
      <c r="AB1537" s="68"/>
      <c r="AC1537" s="68"/>
      <c r="AD1537" s="68"/>
      <c r="AE1537" s="68"/>
      <c r="AF1537" s="68"/>
      <c r="AG1537" s="68"/>
      <c r="AH1537" s="68"/>
      <c r="AI1537" s="68"/>
      <c r="AJ1537" s="68"/>
      <c r="AK1537" s="68"/>
      <c r="AL1537" s="68"/>
      <c r="AM1537" s="68"/>
      <c r="AN1537" s="68"/>
      <c r="AO1537" s="68"/>
      <c r="AP1537" s="68"/>
      <c r="AQ1537" s="68"/>
      <c r="AR1537" s="68"/>
      <c r="AS1537" s="68"/>
      <c r="AT1537" s="68"/>
      <c r="AU1537" s="68"/>
      <c r="AV1537" s="68"/>
      <c r="AW1537" s="68"/>
      <c r="AX1537" s="68"/>
      <c r="AY1537" s="68"/>
      <c r="AZ1537" s="68"/>
      <c r="BA1537" s="68"/>
      <c r="BB1537" s="68"/>
      <c r="BC1537" s="68"/>
      <c r="BD1537" s="68"/>
      <c r="BE1537" s="68"/>
      <c r="BF1537" s="68"/>
      <c r="BG1537" s="68"/>
      <c r="BH1537" s="68"/>
      <c r="BI1537" s="68"/>
      <c r="BJ1537" s="68"/>
      <c r="BK1537" s="68"/>
      <c r="BL1537" s="68"/>
      <c r="BM1537" s="68"/>
      <c r="BN1537" s="68"/>
      <c r="BO1537" s="68"/>
      <c r="BP1537" s="68"/>
      <c r="BQ1537" s="68"/>
      <c r="BR1537" s="68"/>
      <c r="BS1537" s="68"/>
      <c r="BT1537" s="68"/>
      <c r="BU1537" s="68"/>
      <c r="BV1537" s="68"/>
      <c r="BW1537" s="68"/>
      <c r="BX1537" s="68"/>
      <c r="BY1537" s="68"/>
      <c r="BZ1537" s="68"/>
      <c r="CA1537" s="68"/>
      <c r="CB1537" s="68"/>
      <c r="CC1537" s="68"/>
      <c r="CD1537" s="68"/>
      <c r="CE1537" s="68"/>
      <c r="CF1537" s="68"/>
      <c r="CG1537" s="68"/>
      <c r="CH1537" s="68"/>
      <c r="CI1537" s="68"/>
      <c r="CJ1537" s="68"/>
      <c r="CK1537" s="68"/>
      <c r="CL1537" s="68"/>
      <c r="CM1537" s="68"/>
      <c r="CN1537" s="68"/>
      <c r="CO1537" s="68"/>
      <c r="CP1537" s="68"/>
      <c r="CQ1537" s="68"/>
      <c r="CR1537" s="68"/>
      <c r="CS1537" s="68"/>
      <c r="CT1537" s="68"/>
      <c r="CU1537" s="68"/>
      <c r="CV1537" s="68"/>
      <c r="CW1537" s="68"/>
      <c r="CX1537" s="68"/>
    </row>
    <row r="1538" spans="4:102" s="71" customFormat="1" hidden="1">
      <c r="D1538" s="69"/>
      <c r="E1538" s="68"/>
      <c r="F1538" s="68"/>
      <c r="G1538" s="68"/>
      <c r="H1538" s="68"/>
      <c r="I1538" s="68"/>
      <c r="J1538" s="68"/>
      <c r="K1538" s="73"/>
      <c r="L1538" s="68"/>
      <c r="M1538" s="68"/>
      <c r="N1538" s="68"/>
      <c r="O1538" s="68"/>
      <c r="P1538" s="65"/>
      <c r="Q1538" s="103"/>
      <c r="R1538" s="103"/>
      <c r="S1538" s="103"/>
      <c r="T1538" s="103"/>
      <c r="U1538" s="68"/>
      <c r="V1538" s="68"/>
      <c r="W1538" s="68"/>
      <c r="X1538" s="68"/>
      <c r="Y1538" s="68"/>
      <c r="Z1538" s="68"/>
      <c r="AA1538" s="68"/>
      <c r="AB1538" s="68"/>
      <c r="AC1538" s="68"/>
      <c r="AD1538" s="68"/>
      <c r="AE1538" s="68"/>
      <c r="AF1538" s="68"/>
      <c r="AG1538" s="68"/>
      <c r="AH1538" s="68"/>
      <c r="AI1538" s="68"/>
      <c r="AJ1538" s="68"/>
      <c r="AK1538" s="68"/>
      <c r="AL1538" s="68"/>
      <c r="AM1538" s="68"/>
      <c r="AN1538" s="68"/>
      <c r="AO1538" s="68"/>
      <c r="AP1538" s="68"/>
      <c r="AQ1538" s="68"/>
      <c r="AR1538" s="68"/>
      <c r="AS1538" s="68"/>
      <c r="AT1538" s="68"/>
      <c r="AU1538" s="68"/>
      <c r="AV1538" s="68"/>
      <c r="AW1538" s="68"/>
      <c r="AX1538" s="68"/>
      <c r="AY1538" s="68"/>
      <c r="AZ1538" s="68"/>
      <c r="BA1538" s="68"/>
      <c r="BB1538" s="68"/>
      <c r="BC1538" s="68"/>
      <c r="BD1538" s="68"/>
      <c r="BE1538" s="68"/>
      <c r="BF1538" s="68"/>
      <c r="BG1538" s="68"/>
      <c r="BH1538" s="68"/>
      <c r="BI1538" s="68"/>
      <c r="BJ1538" s="68"/>
      <c r="BK1538" s="68"/>
      <c r="BL1538" s="68"/>
      <c r="BM1538" s="68"/>
      <c r="BN1538" s="68"/>
      <c r="BO1538" s="68"/>
      <c r="BP1538" s="68"/>
      <c r="BQ1538" s="68"/>
      <c r="BR1538" s="68"/>
      <c r="BS1538" s="68"/>
      <c r="BT1538" s="68"/>
      <c r="BU1538" s="68"/>
      <c r="BV1538" s="68"/>
      <c r="BW1538" s="68"/>
      <c r="BX1538" s="68"/>
      <c r="BY1538" s="68"/>
      <c r="BZ1538" s="68"/>
      <c r="CA1538" s="68"/>
      <c r="CB1538" s="68"/>
      <c r="CC1538" s="68"/>
      <c r="CD1538" s="68"/>
      <c r="CE1538" s="68"/>
      <c r="CF1538" s="68"/>
      <c r="CG1538" s="68"/>
      <c r="CH1538" s="68"/>
      <c r="CI1538" s="68"/>
      <c r="CJ1538" s="68"/>
      <c r="CK1538" s="68"/>
      <c r="CL1538" s="68"/>
      <c r="CM1538" s="68"/>
      <c r="CN1538" s="68"/>
      <c r="CO1538" s="68"/>
      <c r="CP1538" s="68"/>
      <c r="CQ1538" s="68"/>
      <c r="CR1538" s="68"/>
      <c r="CS1538" s="68"/>
      <c r="CT1538" s="68"/>
      <c r="CU1538" s="68"/>
      <c r="CV1538" s="68"/>
      <c r="CW1538" s="68"/>
      <c r="CX1538" s="68"/>
    </row>
    <row r="1539" spans="4:102" s="71" customFormat="1" hidden="1">
      <c r="D1539" s="69"/>
      <c r="E1539" s="68"/>
      <c r="F1539" s="68"/>
      <c r="G1539" s="68"/>
      <c r="H1539" s="68"/>
      <c r="I1539" s="68"/>
      <c r="J1539" s="68"/>
      <c r="K1539" s="73"/>
      <c r="L1539" s="68"/>
      <c r="M1539" s="68"/>
      <c r="N1539" s="68"/>
      <c r="O1539" s="68"/>
      <c r="P1539" s="65"/>
      <c r="Q1539" s="103"/>
      <c r="R1539" s="103"/>
      <c r="S1539" s="103"/>
      <c r="T1539" s="103"/>
      <c r="U1539" s="68"/>
      <c r="V1539" s="68"/>
      <c r="W1539" s="68"/>
      <c r="X1539" s="68"/>
      <c r="Y1539" s="68"/>
      <c r="Z1539" s="68"/>
      <c r="AA1539" s="68"/>
      <c r="AB1539" s="68"/>
      <c r="AC1539" s="68"/>
      <c r="AD1539" s="68"/>
      <c r="AE1539" s="68"/>
      <c r="AF1539" s="68"/>
      <c r="AG1539" s="68"/>
      <c r="AH1539" s="68"/>
      <c r="AI1539" s="68"/>
      <c r="AJ1539" s="68"/>
      <c r="AK1539" s="68"/>
      <c r="AL1539" s="68"/>
      <c r="AM1539" s="68"/>
      <c r="AN1539" s="68"/>
      <c r="AO1539" s="68"/>
      <c r="AP1539" s="68"/>
      <c r="AQ1539" s="68"/>
      <c r="AR1539" s="68"/>
      <c r="AS1539" s="68"/>
      <c r="AT1539" s="68"/>
      <c r="AU1539" s="68"/>
      <c r="AV1539" s="68"/>
      <c r="AW1539" s="68"/>
      <c r="AX1539" s="68"/>
      <c r="AY1539" s="68"/>
      <c r="AZ1539" s="68"/>
      <c r="BA1539" s="68"/>
      <c r="BB1539" s="68"/>
      <c r="BC1539" s="68"/>
      <c r="BD1539" s="68"/>
      <c r="BE1539" s="68"/>
      <c r="BF1539" s="68"/>
      <c r="BG1539" s="68"/>
      <c r="BH1539" s="68"/>
      <c r="BI1539" s="68"/>
      <c r="BJ1539" s="68"/>
      <c r="BK1539" s="68"/>
      <c r="BL1539" s="68"/>
      <c r="BM1539" s="68"/>
      <c r="BN1539" s="68"/>
      <c r="BO1539" s="68"/>
      <c r="BP1539" s="68"/>
      <c r="BQ1539" s="68"/>
      <c r="BR1539" s="68"/>
      <c r="BS1539" s="68"/>
      <c r="BT1539" s="68"/>
      <c r="BU1539" s="68"/>
      <c r="BV1539" s="68"/>
      <c r="BW1539" s="68"/>
      <c r="BX1539" s="68"/>
      <c r="BY1539" s="68"/>
      <c r="BZ1539" s="68"/>
      <c r="CA1539" s="68"/>
      <c r="CB1539" s="68"/>
      <c r="CC1539" s="68"/>
      <c r="CD1539" s="68"/>
      <c r="CE1539" s="68"/>
      <c r="CF1539" s="68"/>
      <c r="CG1539" s="68"/>
      <c r="CH1539" s="68"/>
      <c r="CI1539" s="68"/>
      <c r="CJ1539" s="68"/>
      <c r="CK1539" s="68"/>
      <c r="CL1539" s="68"/>
      <c r="CM1539" s="68"/>
      <c r="CN1539" s="68"/>
      <c r="CO1539" s="68"/>
      <c r="CP1539" s="68"/>
      <c r="CQ1539" s="68"/>
      <c r="CR1539" s="68"/>
      <c r="CS1539" s="68"/>
      <c r="CT1539" s="68"/>
      <c r="CU1539" s="68"/>
      <c r="CV1539" s="68"/>
      <c r="CW1539" s="68"/>
      <c r="CX1539" s="68"/>
    </row>
    <row r="1540" spans="4:102" s="71" customFormat="1" hidden="1">
      <c r="D1540" s="69"/>
      <c r="E1540" s="68"/>
      <c r="F1540" s="68"/>
      <c r="G1540" s="68"/>
      <c r="H1540" s="68"/>
      <c r="I1540" s="68"/>
      <c r="J1540" s="68"/>
      <c r="K1540" s="73"/>
      <c r="L1540" s="68"/>
      <c r="M1540" s="68"/>
      <c r="N1540" s="68"/>
      <c r="O1540" s="68"/>
      <c r="P1540" s="65"/>
      <c r="Q1540" s="103"/>
      <c r="R1540" s="103"/>
      <c r="S1540" s="103"/>
      <c r="T1540" s="103"/>
      <c r="U1540" s="68"/>
      <c r="V1540" s="68"/>
      <c r="W1540" s="68"/>
      <c r="X1540" s="68"/>
      <c r="Y1540" s="68"/>
      <c r="Z1540" s="68"/>
      <c r="AA1540" s="68"/>
      <c r="AB1540" s="68"/>
      <c r="AC1540" s="68"/>
      <c r="AD1540" s="68"/>
      <c r="AE1540" s="68"/>
      <c r="AF1540" s="68"/>
      <c r="AG1540" s="68"/>
      <c r="AH1540" s="68"/>
      <c r="AI1540" s="68"/>
      <c r="AJ1540" s="68"/>
      <c r="AK1540" s="68"/>
      <c r="AL1540" s="68"/>
      <c r="AM1540" s="68"/>
      <c r="AN1540" s="68"/>
      <c r="AO1540" s="68"/>
      <c r="AP1540" s="68"/>
      <c r="AQ1540" s="68"/>
      <c r="AR1540" s="68"/>
      <c r="AS1540" s="68"/>
      <c r="AT1540" s="68"/>
      <c r="AU1540" s="68"/>
      <c r="AV1540" s="68"/>
      <c r="AW1540" s="68"/>
      <c r="AX1540" s="68"/>
      <c r="AY1540" s="68"/>
      <c r="AZ1540" s="68"/>
      <c r="BA1540" s="68"/>
      <c r="BB1540" s="68"/>
      <c r="BC1540" s="68"/>
      <c r="BD1540" s="68"/>
      <c r="BE1540" s="68"/>
      <c r="BF1540" s="68"/>
      <c r="BG1540" s="68"/>
      <c r="BH1540" s="68"/>
      <c r="BI1540" s="68"/>
      <c r="BJ1540" s="68"/>
      <c r="BK1540" s="68"/>
      <c r="BL1540" s="68"/>
      <c r="BM1540" s="68"/>
      <c r="BN1540" s="68"/>
      <c r="BO1540" s="68"/>
      <c r="BP1540" s="68"/>
      <c r="BQ1540" s="68"/>
      <c r="BR1540" s="68"/>
      <c r="BS1540" s="68"/>
      <c r="BT1540" s="68"/>
      <c r="BU1540" s="68"/>
      <c r="BV1540" s="68"/>
      <c r="BW1540" s="68"/>
      <c r="BX1540" s="68"/>
      <c r="BY1540" s="68"/>
      <c r="BZ1540" s="68"/>
      <c r="CA1540" s="68"/>
      <c r="CB1540" s="68"/>
      <c r="CC1540" s="68"/>
      <c r="CD1540" s="68"/>
      <c r="CE1540" s="68"/>
      <c r="CF1540" s="68"/>
      <c r="CG1540" s="68"/>
      <c r="CH1540" s="68"/>
      <c r="CI1540" s="68"/>
      <c r="CJ1540" s="68"/>
      <c r="CK1540" s="68"/>
      <c r="CL1540" s="68"/>
      <c r="CM1540" s="68"/>
      <c r="CN1540" s="68"/>
      <c r="CO1540" s="68"/>
      <c r="CP1540" s="68"/>
      <c r="CQ1540" s="68"/>
      <c r="CR1540" s="68"/>
      <c r="CS1540" s="68"/>
      <c r="CT1540" s="68"/>
      <c r="CU1540" s="68"/>
      <c r="CV1540" s="68"/>
      <c r="CW1540" s="68"/>
      <c r="CX1540" s="68"/>
    </row>
    <row r="1541" spans="4:102" s="71" customFormat="1" hidden="1">
      <c r="D1541" s="69"/>
      <c r="E1541" s="68"/>
      <c r="F1541" s="68"/>
      <c r="G1541" s="68"/>
      <c r="H1541" s="68"/>
      <c r="I1541" s="68"/>
      <c r="J1541" s="68"/>
      <c r="K1541" s="73"/>
      <c r="L1541" s="68"/>
      <c r="M1541" s="68"/>
      <c r="N1541" s="68"/>
      <c r="O1541" s="68"/>
      <c r="P1541" s="65"/>
      <c r="Q1541" s="103"/>
      <c r="R1541" s="103"/>
      <c r="S1541" s="103"/>
      <c r="T1541" s="103"/>
      <c r="U1541" s="68"/>
      <c r="V1541" s="68"/>
      <c r="W1541" s="68"/>
      <c r="X1541" s="68"/>
      <c r="Y1541" s="68"/>
      <c r="Z1541" s="68"/>
      <c r="AA1541" s="68"/>
      <c r="AB1541" s="68"/>
      <c r="AC1541" s="68"/>
      <c r="AD1541" s="68"/>
      <c r="AE1541" s="68"/>
      <c r="AF1541" s="68"/>
      <c r="AG1541" s="68"/>
      <c r="AH1541" s="68"/>
      <c r="AI1541" s="68"/>
      <c r="AJ1541" s="68"/>
      <c r="AK1541" s="68"/>
      <c r="AL1541" s="68"/>
      <c r="AM1541" s="68"/>
      <c r="AN1541" s="68"/>
      <c r="AO1541" s="68"/>
      <c r="AP1541" s="68"/>
      <c r="AQ1541" s="68"/>
      <c r="AR1541" s="68"/>
      <c r="AS1541" s="68"/>
      <c r="AT1541" s="68"/>
      <c r="AU1541" s="68"/>
      <c r="AV1541" s="68"/>
      <c r="AW1541" s="68"/>
      <c r="AX1541" s="68"/>
      <c r="AY1541" s="68"/>
      <c r="AZ1541" s="68"/>
      <c r="BA1541" s="68"/>
      <c r="BB1541" s="68"/>
      <c r="BC1541" s="68"/>
      <c r="BD1541" s="68"/>
      <c r="BE1541" s="68"/>
      <c r="BF1541" s="68"/>
      <c r="BG1541" s="68"/>
      <c r="BH1541" s="68"/>
      <c r="BI1541" s="68"/>
      <c r="BJ1541" s="68"/>
      <c r="BK1541" s="68"/>
      <c r="BL1541" s="68"/>
      <c r="BM1541" s="68"/>
      <c r="BN1541" s="68"/>
      <c r="BO1541" s="68"/>
      <c r="BP1541" s="68"/>
      <c r="BQ1541" s="68"/>
      <c r="BR1541" s="68"/>
      <c r="BS1541" s="68"/>
      <c r="BT1541" s="68"/>
      <c r="BU1541" s="68"/>
      <c r="BV1541" s="68"/>
      <c r="BW1541" s="68"/>
      <c r="BX1541" s="68"/>
      <c r="BY1541" s="68"/>
      <c r="BZ1541" s="68"/>
      <c r="CA1541" s="68"/>
      <c r="CB1541" s="68"/>
      <c r="CC1541" s="68"/>
      <c r="CD1541" s="68"/>
      <c r="CE1541" s="68"/>
      <c r="CF1541" s="68"/>
      <c r="CG1541" s="68"/>
      <c r="CH1541" s="68"/>
      <c r="CI1541" s="68"/>
      <c r="CJ1541" s="68"/>
      <c r="CK1541" s="68"/>
      <c r="CL1541" s="68"/>
      <c r="CM1541" s="68"/>
      <c r="CN1541" s="68"/>
      <c r="CO1541" s="68"/>
      <c r="CP1541" s="68"/>
      <c r="CQ1541" s="68"/>
      <c r="CR1541" s="68"/>
      <c r="CS1541" s="68"/>
      <c r="CT1541" s="68"/>
      <c r="CU1541" s="68"/>
      <c r="CV1541" s="68"/>
      <c r="CW1541" s="68"/>
      <c r="CX1541" s="68"/>
    </row>
    <row r="1542" spans="4:102" s="71" customFormat="1" hidden="1">
      <c r="D1542" s="69"/>
      <c r="E1542" s="68"/>
      <c r="F1542" s="68"/>
      <c r="G1542" s="68"/>
      <c r="H1542" s="68"/>
      <c r="I1542" s="68"/>
      <c r="J1542" s="68"/>
      <c r="K1542" s="73"/>
      <c r="L1542" s="68"/>
      <c r="M1542" s="68"/>
      <c r="N1542" s="68"/>
      <c r="O1542" s="68"/>
      <c r="P1542" s="65"/>
      <c r="Q1542" s="103"/>
      <c r="R1542" s="103"/>
      <c r="S1542" s="103"/>
      <c r="T1542" s="103"/>
      <c r="U1542" s="68"/>
      <c r="V1542" s="68"/>
      <c r="W1542" s="68"/>
      <c r="X1542" s="68"/>
      <c r="Y1542" s="68"/>
      <c r="Z1542" s="68"/>
      <c r="AA1542" s="68"/>
      <c r="AB1542" s="68"/>
      <c r="AC1542" s="68"/>
      <c r="AD1542" s="68"/>
      <c r="AE1542" s="68"/>
      <c r="AF1542" s="68"/>
      <c r="AG1542" s="68"/>
      <c r="AH1542" s="68"/>
      <c r="AI1542" s="68"/>
      <c r="AJ1542" s="68"/>
      <c r="AK1542" s="68"/>
      <c r="AL1542" s="68"/>
      <c r="AM1542" s="68"/>
      <c r="AN1542" s="68"/>
      <c r="AO1542" s="68"/>
      <c r="AP1542" s="68"/>
      <c r="AQ1542" s="68"/>
      <c r="AR1542" s="68"/>
      <c r="AS1542" s="68"/>
      <c r="AT1542" s="68"/>
      <c r="AU1542" s="68"/>
      <c r="AV1542" s="68"/>
      <c r="AW1542" s="68"/>
      <c r="AX1542" s="68"/>
      <c r="AY1542" s="68"/>
      <c r="AZ1542" s="68"/>
      <c r="BA1542" s="68"/>
      <c r="BB1542" s="68"/>
      <c r="BC1542" s="68"/>
      <c r="BD1542" s="68"/>
      <c r="BE1542" s="68"/>
      <c r="BF1542" s="68"/>
      <c r="BG1542" s="68"/>
      <c r="BH1542" s="68"/>
      <c r="BI1542" s="68"/>
      <c r="BJ1542" s="68"/>
      <c r="BK1542" s="68"/>
      <c r="BL1542" s="68"/>
      <c r="BM1542" s="68"/>
      <c r="BN1542" s="68"/>
      <c r="BO1542" s="68"/>
      <c r="BP1542" s="68"/>
      <c r="BQ1542" s="68"/>
      <c r="BR1542" s="68"/>
      <c r="BS1542" s="68"/>
      <c r="BT1542" s="68"/>
      <c r="BU1542" s="68"/>
      <c r="BV1542" s="68"/>
      <c r="BW1542" s="68"/>
      <c r="BX1542" s="68"/>
      <c r="BY1542" s="68"/>
      <c r="BZ1542" s="68"/>
      <c r="CA1542" s="68"/>
      <c r="CB1542" s="68"/>
      <c r="CC1542" s="68"/>
      <c r="CD1542" s="68"/>
      <c r="CE1542" s="68"/>
      <c r="CF1542" s="68"/>
      <c r="CG1542" s="68"/>
      <c r="CH1542" s="68"/>
      <c r="CI1542" s="68"/>
      <c r="CJ1542" s="68"/>
      <c r="CK1542" s="68"/>
      <c r="CL1542" s="68"/>
      <c r="CM1542" s="68"/>
      <c r="CN1542" s="68"/>
      <c r="CO1542" s="68"/>
      <c r="CP1542" s="68"/>
      <c r="CQ1542" s="68"/>
      <c r="CR1542" s="68"/>
      <c r="CS1542" s="68"/>
      <c r="CT1542" s="68"/>
      <c r="CU1542" s="68"/>
      <c r="CV1542" s="68"/>
      <c r="CW1542" s="68"/>
      <c r="CX1542" s="68"/>
    </row>
    <row r="1543" spans="4:102" s="71" customFormat="1" hidden="1">
      <c r="D1543" s="69"/>
      <c r="E1543" s="68"/>
      <c r="F1543" s="68"/>
      <c r="G1543" s="68"/>
      <c r="H1543" s="68"/>
      <c r="I1543" s="68"/>
      <c r="J1543" s="68"/>
      <c r="K1543" s="73"/>
      <c r="L1543" s="68"/>
      <c r="M1543" s="68"/>
      <c r="N1543" s="68"/>
      <c r="O1543" s="68"/>
      <c r="P1543" s="65"/>
      <c r="Q1543" s="103"/>
      <c r="R1543" s="103"/>
      <c r="S1543" s="103"/>
      <c r="T1543" s="103"/>
      <c r="U1543" s="68"/>
      <c r="V1543" s="68"/>
      <c r="W1543" s="68"/>
      <c r="X1543" s="68"/>
      <c r="Y1543" s="68"/>
      <c r="Z1543" s="68"/>
      <c r="AA1543" s="68"/>
      <c r="AB1543" s="68"/>
      <c r="AC1543" s="68"/>
      <c r="AD1543" s="68"/>
      <c r="AE1543" s="68"/>
      <c r="AF1543" s="68"/>
      <c r="AG1543" s="68"/>
      <c r="AH1543" s="68"/>
      <c r="AI1543" s="68"/>
      <c r="AJ1543" s="68"/>
      <c r="AK1543" s="68"/>
      <c r="AL1543" s="68"/>
      <c r="AM1543" s="68"/>
      <c r="AN1543" s="68"/>
      <c r="AO1543" s="68"/>
      <c r="AP1543" s="68"/>
      <c r="AQ1543" s="68"/>
      <c r="AR1543" s="68"/>
      <c r="AS1543" s="68"/>
      <c r="AT1543" s="68"/>
      <c r="AU1543" s="68"/>
      <c r="AV1543" s="68"/>
      <c r="AW1543" s="68"/>
      <c r="AX1543" s="68"/>
      <c r="AY1543" s="68"/>
      <c r="AZ1543" s="68"/>
      <c r="BA1543" s="68"/>
      <c r="BB1543" s="68"/>
      <c r="BC1543" s="68"/>
      <c r="BD1543" s="68"/>
      <c r="BE1543" s="68"/>
      <c r="BF1543" s="68"/>
      <c r="BG1543" s="68"/>
      <c r="BH1543" s="68"/>
      <c r="BI1543" s="68"/>
      <c r="BJ1543" s="68"/>
      <c r="BK1543" s="68"/>
      <c r="BL1543" s="68"/>
      <c r="BM1543" s="68"/>
      <c r="BN1543" s="68"/>
      <c r="BO1543" s="68"/>
      <c r="BP1543" s="68"/>
      <c r="BQ1543" s="68"/>
      <c r="BR1543" s="68"/>
      <c r="BS1543" s="68"/>
      <c r="BT1543" s="68"/>
      <c r="BU1543" s="68"/>
      <c r="BV1543" s="68"/>
      <c r="BW1543" s="68"/>
      <c r="BX1543" s="68"/>
      <c r="BY1543" s="68"/>
      <c r="BZ1543" s="68"/>
      <c r="CA1543" s="68"/>
      <c r="CB1543" s="68"/>
      <c r="CC1543" s="68"/>
      <c r="CD1543" s="68"/>
      <c r="CE1543" s="68"/>
      <c r="CF1543" s="68"/>
      <c r="CG1543" s="68"/>
      <c r="CH1543" s="68"/>
      <c r="CI1543" s="68"/>
      <c r="CJ1543" s="68"/>
      <c r="CK1543" s="68"/>
      <c r="CL1543" s="68"/>
      <c r="CM1543" s="68"/>
      <c r="CN1543" s="68"/>
      <c r="CO1543" s="68"/>
      <c r="CP1543" s="68"/>
      <c r="CQ1543" s="68"/>
      <c r="CR1543" s="68"/>
      <c r="CS1543" s="68"/>
      <c r="CT1543" s="68"/>
      <c r="CU1543" s="68"/>
      <c r="CV1543" s="68"/>
      <c r="CW1543" s="68"/>
      <c r="CX1543" s="68"/>
    </row>
    <row r="1544" spans="4:102" s="71" customFormat="1" hidden="1">
      <c r="D1544" s="69"/>
      <c r="E1544" s="68"/>
      <c r="F1544" s="68"/>
      <c r="G1544" s="68"/>
      <c r="H1544" s="68"/>
      <c r="I1544" s="68"/>
      <c r="J1544" s="68"/>
      <c r="K1544" s="73"/>
      <c r="L1544" s="68"/>
      <c r="M1544" s="68"/>
      <c r="N1544" s="68"/>
      <c r="O1544" s="68"/>
      <c r="P1544" s="65"/>
      <c r="Q1544" s="103"/>
      <c r="R1544" s="103"/>
      <c r="S1544" s="103"/>
      <c r="T1544" s="103"/>
      <c r="U1544" s="68"/>
      <c r="V1544" s="68"/>
      <c r="W1544" s="68"/>
      <c r="X1544" s="68"/>
      <c r="Y1544" s="68"/>
      <c r="Z1544" s="68"/>
      <c r="AA1544" s="68"/>
      <c r="AB1544" s="68"/>
      <c r="AC1544" s="68"/>
      <c r="AD1544" s="68"/>
      <c r="AE1544" s="68"/>
      <c r="AF1544" s="68"/>
      <c r="AG1544" s="68"/>
      <c r="AH1544" s="68"/>
      <c r="AI1544" s="68"/>
      <c r="AJ1544" s="68"/>
      <c r="AK1544" s="68"/>
      <c r="AL1544" s="68"/>
      <c r="AM1544" s="68"/>
      <c r="AN1544" s="68"/>
      <c r="AO1544" s="68"/>
      <c r="AP1544" s="68"/>
      <c r="AQ1544" s="68"/>
      <c r="AR1544" s="68"/>
      <c r="AS1544" s="68"/>
      <c r="AT1544" s="68"/>
      <c r="AU1544" s="68"/>
      <c r="AV1544" s="68"/>
      <c r="AW1544" s="68"/>
      <c r="AX1544" s="68"/>
      <c r="AY1544" s="68"/>
      <c r="AZ1544" s="68"/>
      <c r="BA1544" s="68"/>
      <c r="BB1544" s="68"/>
      <c r="BC1544" s="68"/>
      <c r="BD1544" s="68"/>
      <c r="BE1544" s="68"/>
      <c r="BF1544" s="68"/>
      <c r="BG1544" s="68"/>
      <c r="BH1544" s="68"/>
      <c r="BI1544" s="68"/>
      <c r="BJ1544" s="68"/>
      <c r="BK1544" s="68"/>
      <c r="BL1544" s="68"/>
      <c r="BM1544" s="68"/>
      <c r="BN1544" s="68"/>
      <c r="BO1544" s="68"/>
      <c r="BP1544" s="68"/>
      <c r="BQ1544" s="68"/>
      <c r="BR1544" s="68"/>
      <c r="BS1544" s="68"/>
      <c r="BT1544" s="68"/>
      <c r="BU1544" s="68"/>
      <c r="BV1544" s="68"/>
      <c r="BW1544" s="68"/>
      <c r="BX1544" s="68"/>
      <c r="BY1544" s="68"/>
      <c r="BZ1544" s="68"/>
      <c r="CA1544" s="68"/>
      <c r="CB1544" s="68"/>
      <c r="CC1544" s="68"/>
      <c r="CD1544" s="68"/>
      <c r="CE1544" s="68"/>
      <c r="CF1544" s="68"/>
      <c r="CG1544" s="68"/>
      <c r="CH1544" s="68"/>
      <c r="CI1544" s="68"/>
      <c r="CJ1544" s="68"/>
      <c r="CK1544" s="68"/>
      <c r="CL1544" s="68"/>
      <c r="CM1544" s="68"/>
      <c r="CN1544" s="68"/>
      <c r="CO1544" s="68"/>
      <c r="CP1544" s="68"/>
      <c r="CQ1544" s="68"/>
      <c r="CR1544" s="68"/>
      <c r="CS1544" s="68"/>
      <c r="CT1544" s="68"/>
      <c r="CU1544" s="68"/>
      <c r="CV1544" s="68"/>
      <c r="CW1544" s="68"/>
      <c r="CX1544" s="68"/>
    </row>
    <row r="1545" spans="4:102" s="71" customFormat="1" hidden="1">
      <c r="D1545" s="69"/>
      <c r="E1545" s="68"/>
      <c r="F1545" s="68"/>
      <c r="G1545" s="68"/>
      <c r="H1545" s="68"/>
      <c r="I1545" s="68"/>
      <c r="J1545" s="68"/>
      <c r="K1545" s="73"/>
      <c r="L1545" s="68"/>
      <c r="M1545" s="68"/>
      <c r="N1545" s="68"/>
      <c r="O1545" s="68"/>
      <c r="P1545" s="65"/>
      <c r="Q1545" s="103"/>
      <c r="R1545" s="103"/>
      <c r="S1545" s="103"/>
      <c r="T1545" s="103"/>
      <c r="U1545" s="68"/>
      <c r="V1545" s="68"/>
      <c r="W1545" s="68"/>
      <c r="X1545" s="68"/>
      <c r="Y1545" s="68"/>
      <c r="Z1545" s="68"/>
      <c r="AA1545" s="68"/>
      <c r="AB1545" s="68"/>
      <c r="AC1545" s="68"/>
      <c r="AD1545" s="68"/>
      <c r="AE1545" s="68"/>
      <c r="AF1545" s="68"/>
      <c r="AG1545" s="68"/>
      <c r="AH1545" s="68"/>
      <c r="AI1545" s="68"/>
      <c r="AJ1545" s="68"/>
      <c r="AK1545" s="68"/>
      <c r="AL1545" s="68"/>
      <c r="AM1545" s="68"/>
      <c r="AN1545" s="68"/>
      <c r="AO1545" s="68"/>
      <c r="AP1545" s="68"/>
      <c r="AQ1545" s="68"/>
      <c r="AR1545" s="68"/>
      <c r="AS1545" s="68"/>
      <c r="AT1545" s="68"/>
      <c r="AU1545" s="68"/>
      <c r="AV1545" s="68"/>
      <c r="AW1545" s="68"/>
      <c r="AX1545" s="68"/>
      <c r="AY1545" s="68"/>
      <c r="AZ1545" s="68"/>
      <c r="BA1545" s="68"/>
      <c r="BB1545" s="68"/>
      <c r="BC1545" s="68"/>
      <c r="BD1545" s="68"/>
      <c r="BE1545" s="68"/>
      <c r="BF1545" s="68"/>
      <c r="BG1545" s="68"/>
      <c r="BH1545" s="68"/>
      <c r="BI1545" s="68"/>
      <c r="BJ1545" s="68"/>
      <c r="BK1545" s="68"/>
      <c r="BL1545" s="68"/>
      <c r="BM1545" s="68"/>
      <c r="BN1545" s="68"/>
      <c r="BO1545" s="68"/>
      <c r="BP1545" s="68"/>
      <c r="BQ1545" s="68"/>
      <c r="BR1545" s="68"/>
      <c r="BS1545" s="68"/>
      <c r="BT1545" s="68"/>
      <c r="BU1545" s="68"/>
      <c r="BV1545" s="68"/>
      <c r="BW1545" s="68"/>
      <c r="BX1545" s="68"/>
      <c r="BY1545" s="68"/>
      <c r="BZ1545" s="68"/>
      <c r="CA1545" s="68"/>
      <c r="CB1545" s="68"/>
      <c r="CC1545" s="68"/>
      <c r="CD1545" s="68"/>
      <c r="CE1545" s="68"/>
      <c r="CF1545" s="68"/>
      <c r="CG1545" s="68"/>
      <c r="CH1545" s="68"/>
      <c r="CI1545" s="68"/>
      <c r="CJ1545" s="68"/>
      <c r="CK1545" s="68"/>
      <c r="CL1545" s="68"/>
      <c r="CM1545" s="68"/>
      <c r="CN1545" s="68"/>
      <c r="CO1545" s="68"/>
      <c r="CP1545" s="68"/>
      <c r="CQ1545" s="68"/>
      <c r="CR1545" s="68"/>
      <c r="CS1545" s="68"/>
      <c r="CT1545" s="68"/>
      <c r="CU1545" s="68"/>
      <c r="CV1545" s="68"/>
      <c r="CW1545" s="68"/>
      <c r="CX1545" s="68"/>
    </row>
    <row r="1546" spans="4:102" s="71" customFormat="1" hidden="1">
      <c r="D1546" s="69"/>
      <c r="E1546" s="68"/>
      <c r="F1546" s="68"/>
      <c r="G1546" s="68"/>
      <c r="H1546" s="68"/>
      <c r="I1546" s="68"/>
      <c r="J1546" s="68"/>
      <c r="K1546" s="73"/>
      <c r="L1546" s="68"/>
      <c r="M1546" s="68"/>
      <c r="N1546" s="68"/>
      <c r="O1546" s="68"/>
      <c r="P1546" s="65"/>
      <c r="Q1546" s="103"/>
      <c r="R1546" s="103"/>
      <c r="S1546" s="103"/>
      <c r="T1546" s="103"/>
      <c r="U1546" s="68"/>
      <c r="V1546" s="68"/>
      <c r="W1546" s="68"/>
      <c r="X1546" s="68"/>
      <c r="Y1546" s="68"/>
      <c r="Z1546" s="68"/>
      <c r="AA1546" s="68"/>
      <c r="AB1546" s="68"/>
      <c r="AC1546" s="68"/>
      <c r="AD1546" s="68"/>
      <c r="AE1546" s="68"/>
      <c r="AF1546" s="68"/>
      <c r="AG1546" s="68"/>
      <c r="AH1546" s="68"/>
      <c r="AI1546" s="68"/>
      <c r="AJ1546" s="68"/>
      <c r="AK1546" s="68"/>
      <c r="AL1546" s="68"/>
      <c r="AM1546" s="68"/>
      <c r="AN1546" s="68"/>
      <c r="AO1546" s="68"/>
      <c r="AP1546" s="68"/>
      <c r="AQ1546" s="68"/>
      <c r="AR1546" s="68"/>
      <c r="AS1546" s="68"/>
      <c r="AT1546" s="68"/>
      <c r="AU1546" s="68"/>
      <c r="AV1546" s="68"/>
      <c r="AW1546" s="68"/>
      <c r="AX1546" s="68"/>
      <c r="AY1546" s="68"/>
      <c r="AZ1546" s="68"/>
      <c r="BA1546" s="68"/>
      <c r="BB1546" s="68"/>
      <c r="BC1546" s="68"/>
      <c r="BD1546" s="68"/>
      <c r="BE1546" s="68"/>
      <c r="BF1546" s="68"/>
      <c r="BG1546" s="68"/>
      <c r="BH1546" s="68"/>
      <c r="BI1546" s="68"/>
      <c r="BJ1546" s="68"/>
      <c r="BK1546" s="68"/>
      <c r="BL1546" s="68"/>
      <c r="BM1546" s="68"/>
      <c r="BN1546" s="68"/>
      <c r="BO1546" s="68"/>
      <c r="BP1546" s="68"/>
      <c r="BQ1546" s="68"/>
      <c r="BR1546" s="68"/>
      <c r="BS1546" s="68"/>
      <c r="BT1546" s="68"/>
      <c r="BU1546" s="68"/>
      <c r="BV1546" s="68"/>
      <c r="BW1546" s="68"/>
      <c r="BX1546" s="68"/>
      <c r="BY1546" s="68"/>
      <c r="BZ1546" s="68"/>
      <c r="CA1546" s="68"/>
      <c r="CB1546" s="68"/>
      <c r="CC1546" s="68"/>
      <c r="CD1546" s="68"/>
      <c r="CE1546" s="68"/>
      <c r="CF1546" s="68"/>
      <c r="CG1546" s="68"/>
      <c r="CH1546" s="68"/>
      <c r="CI1546" s="68"/>
      <c r="CJ1546" s="68"/>
      <c r="CK1546" s="68"/>
      <c r="CL1546" s="68"/>
      <c r="CM1546" s="68"/>
      <c r="CN1546" s="68"/>
      <c r="CO1546" s="68"/>
      <c r="CP1546" s="68"/>
      <c r="CQ1546" s="68"/>
      <c r="CR1546" s="68"/>
      <c r="CS1546" s="68"/>
      <c r="CT1546" s="68"/>
      <c r="CU1546" s="68"/>
      <c r="CV1546" s="68"/>
      <c r="CW1546" s="68"/>
      <c r="CX1546" s="68"/>
    </row>
    <row r="1547" spans="4:102" s="71" customFormat="1" hidden="1">
      <c r="D1547" s="69"/>
      <c r="E1547" s="68"/>
      <c r="F1547" s="68"/>
      <c r="G1547" s="68"/>
      <c r="H1547" s="68"/>
      <c r="I1547" s="68"/>
      <c r="J1547" s="68"/>
      <c r="K1547" s="73"/>
      <c r="L1547" s="68"/>
      <c r="M1547" s="68"/>
      <c r="N1547" s="68"/>
      <c r="O1547" s="68"/>
      <c r="P1547" s="65"/>
      <c r="Q1547" s="103"/>
      <c r="R1547" s="103"/>
      <c r="S1547" s="103"/>
      <c r="T1547" s="103"/>
      <c r="U1547" s="68"/>
      <c r="V1547" s="68"/>
      <c r="W1547" s="68"/>
      <c r="X1547" s="68"/>
      <c r="Y1547" s="68"/>
      <c r="Z1547" s="68"/>
      <c r="AA1547" s="68"/>
      <c r="AB1547" s="68"/>
      <c r="AC1547" s="68"/>
      <c r="AD1547" s="68"/>
      <c r="AE1547" s="68"/>
      <c r="AF1547" s="68"/>
      <c r="AG1547" s="68"/>
      <c r="AH1547" s="68"/>
      <c r="AI1547" s="68"/>
      <c r="AJ1547" s="68"/>
      <c r="AK1547" s="68"/>
      <c r="AL1547" s="68"/>
      <c r="AM1547" s="68"/>
      <c r="AN1547" s="68"/>
      <c r="AO1547" s="68"/>
      <c r="AP1547" s="68"/>
      <c r="AQ1547" s="68"/>
      <c r="AR1547" s="68"/>
      <c r="AS1547" s="68"/>
      <c r="AT1547" s="68"/>
      <c r="AU1547" s="68"/>
      <c r="AV1547" s="68"/>
      <c r="AW1547" s="68"/>
      <c r="AX1547" s="68"/>
      <c r="AY1547" s="68"/>
      <c r="AZ1547" s="68"/>
      <c r="BA1547" s="68"/>
      <c r="BB1547" s="68"/>
      <c r="BC1547" s="68"/>
      <c r="BD1547" s="68"/>
      <c r="BE1547" s="68"/>
      <c r="BF1547" s="68"/>
      <c r="BG1547" s="68"/>
      <c r="BH1547" s="68"/>
      <c r="BI1547" s="68"/>
      <c r="BJ1547" s="68"/>
      <c r="BK1547" s="68"/>
      <c r="BL1547" s="68"/>
      <c r="BM1547" s="68"/>
      <c r="BN1547" s="68"/>
      <c r="BO1547" s="68"/>
      <c r="BP1547" s="68"/>
      <c r="BQ1547" s="68"/>
      <c r="BR1547" s="68"/>
      <c r="BS1547" s="68"/>
      <c r="BT1547" s="68"/>
      <c r="BU1547" s="68"/>
      <c r="BV1547" s="68"/>
      <c r="BW1547" s="68"/>
      <c r="BX1547" s="68"/>
      <c r="BY1547" s="68"/>
      <c r="BZ1547" s="68"/>
      <c r="CA1547" s="68"/>
      <c r="CB1547" s="68"/>
      <c r="CC1547" s="68"/>
      <c r="CD1547" s="68"/>
      <c r="CE1547" s="68"/>
      <c r="CF1547" s="68"/>
      <c r="CG1547" s="68"/>
      <c r="CH1547" s="68"/>
      <c r="CI1547" s="68"/>
      <c r="CJ1547" s="68"/>
      <c r="CK1547" s="68"/>
      <c r="CL1547" s="68"/>
      <c r="CM1547" s="68"/>
      <c r="CN1547" s="68"/>
      <c r="CO1547" s="68"/>
      <c r="CP1547" s="68"/>
      <c r="CQ1547" s="68"/>
      <c r="CR1547" s="68"/>
      <c r="CS1547" s="68"/>
      <c r="CT1547" s="68"/>
      <c r="CU1547" s="68"/>
      <c r="CV1547" s="68"/>
      <c r="CW1547" s="68"/>
      <c r="CX1547" s="68"/>
    </row>
    <row r="1548" spans="4:102" s="71" customFormat="1" hidden="1">
      <c r="D1548" s="69"/>
      <c r="E1548" s="68"/>
      <c r="F1548" s="68"/>
      <c r="G1548" s="68"/>
      <c r="H1548" s="68"/>
      <c r="I1548" s="68"/>
      <c r="J1548" s="68"/>
      <c r="K1548" s="73"/>
      <c r="L1548" s="68"/>
      <c r="M1548" s="68"/>
      <c r="N1548" s="68"/>
      <c r="O1548" s="68"/>
      <c r="P1548" s="65"/>
      <c r="Q1548" s="103"/>
      <c r="R1548" s="103"/>
      <c r="S1548" s="103"/>
      <c r="T1548" s="103"/>
      <c r="U1548" s="68"/>
      <c r="V1548" s="68"/>
      <c r="W1548" s="68"/>
      <c r="X1548" s="68"/>
      <c r="Y1548" s="68"/>
      <c r="Z1548" s="68"/>
      <c r="AA1548" s="68"/>
      <c r="AB1548" s="68"/>
      <c r="AC1548" s="68"/>
      <c r="AD1548" s="68"/>
      <c r="AE1548" s="68"/>
      <c r="AF1548" s="68"/>
      <c r="AG1548" s="68"/>
      <c r="AH1548" s="68"/>
      <c r="AI1548" s="68"/>
      <c r="AJ1548" s="68"/>
      <c r="AK1548" s="68"/>
      <c r="AL1548" s="68"/>
      <c r="AM1548" s="68"/>
      <c r="AN1548" s="68"/>
      <c r="AO1548" s="68"/>
      <c r="AP1548" s="68"/>
      <c r="AQ1548" s="68"/>
      <c r="AR1548" s="68"/>
      <c r="AS1548" s="68"/>
      <c r="AT1548" s="68"/>
      <c r="AU1548" s="68"/>
      <c r="AV1548" s="68"/>
      <c r="AW1548" s="68"/>
      <c r="AX1548" s="68"/>
      <c r="AY1548" s="68"/>
      <c r="AZ1548" s="68"/>
      <c r="BA1548" s="68"/>
      <c r="BB1548" s="68"/>
      <c r="BC1548" s="68"/>
      <c r="BD1548" s="68"/>
      <c r="BE1548" s="68"/>
      <c r="BF1548" s="68"/>
      <c r="BG1548" s="68"/>
      <c r="BH1548" s="68"/>
      <c r="BI1548" s="68"/>
      <c r="BJ1548" s="68"/>
      <c r="BK1548" s="68"/>
      <c r="BL1548" s="68"/>
      <c r="BM1548" s="68"/>
      <c r="BN1548" s="68"/>
      <c r="BO1548" s="68"/>
      <c r="BP1548" s="68"/>
      <c r="BQ1548" s="68"/>
      <c r="BR1548" s="68"/>
      <c r="BS1548" s="68"/>
      <c r="BT1548" s="68"/>
      <c r="BU1548" s="68"/>
      <c r="BV1548" s="68"/>
      <c r="BW1548" s="68"/>
      <c r="BX1548" s="68"/>
      <c r="BY1548" s="68"/>
      <c r="BZ1548" s="68"/>
      <c r="CA1548" s="68"/>
      <c r="CB1548" s="68"/>
      <c r="CC1548" s="68"/>
      <c r="CD1548" s="68"/>
      <c r="CE1548" s="68"/>
      <c r="CF1548" s="68"/>
      <c r="CG1548" s="68"/>
      <c r="CH1548" s="68"/>
      <c r="CI1548" s="68"/>
      <c r="CJ1548" s="68"/>
      <c r="CK1548" s="68"/>
      <c r="CL1548" s="68"/>
      <c r="CM1548" s="68"/>
      <c r="CN1548" s="68"/>
      <c r="CO1548" s="68"/>
      <c r="CP1548" s="68"/>
      <c r="CQ1548" s="68"/>
      <c r="CR1548" s="68"/>
      <c r="CS1548" s="68"/>
      <c r="CT1548" s="68"/>
      <c r="CU1548" s="68"/>
      <c r="CV1548" s="68"/>
      <c r="CW1548" s="68"/>
      <c r="CX1548" s="68"/>
    </row>
    <row r="1549" spans="4:102" s="71" customFormat="1" hidden="1">
      <c r="D1549" s="69"/>
      <c r="E1549" s="68"/>
      <c r="F1549" s="68"/>
      <c r="G1549" s="68"/>
      <c r="H1549" s="68"/>
      <c r="I1549" s="68"/>
      <c r="J1549" s="68"/>
      <c r="K1549" s="73"/>
      <c r="L1549" s="68"/>
      <c r="M1549" s="68"/>
      <c r="N1549" s="68"/>
      <c r="O1549" s="68"/>
      <c r="P1549" s="65"/>
      <c r="Q1549" s="103"/>
      <c r="R1549" s="103"/>
      <c r="S1549" s="103"/>
      <c r="T1549" s="103"/>
      <c r="U1549" s="68"/>
      <c r="V1549" s="68"/>
      <c r="W1549" s="68"/>
      <c r="X1549" s="68"/>
      <c r="Y1549" s="68"/>
      <c r="Z1549" s="68"/>
      <c r="AA1549" s="68"/>
      <c r="AB1549" s="68"/>
      <c r="AC1549" s="68"/>
      <c r="AD1549" s="68"/>
      <c r="AE1549" s="68"/>
      <c r="AF1549" s="68"/>
      <c r="AG1549" s="68"/>
      <c r="AH1549" s="68"/>
      <c r="AI1549" s="68"/>
      <c r="AJ1549" s="68"/>
      <c r="AK1549" s="68"/>
      <c r="AL1549" s="68"/>
      <c r="AM1549" s="68"/>
      <c r="AN1549" s="68"/>
      <c r="AO1549" s="68"/>
      <c r="AP1549" s="68"/>
      <c r="AQ1549" s="68"/>
      <c r="AR1549" s="68"/>
      <c r="AS1549" s="68"/>
      <c r="AT1549" s="68"/>
      <c r="AU1549" s="68"/>
      <c r="AV1549" s="68"/>
      <c r="AW1549" s="68"/>
      <c r="AX1549" s="68"/>
      <c r="AY1549" s="68"/>
      <c r="AZ1549" s="68"/>
      <c r="BA1549" s="68"/>
      <c r="BB1549" s="68"/>
      <c r="BC1549" s="68"/>
      <c r="BD1549" s="68"/>
      <c r="BE1549" s="68"/>
      <c r="BF1549" s="68"/>
      <c r="BG1549" s="68"/>
      <c r="BH1549" s="68"/>
      <c r="BI1549" s="68"/>
      <c r="BJ1549" s="68"/>
      <c r="BK1549" s="68"/>
      <c r="BL1549" s="68"/>
      <c r="BM1549" s="68"/>
      <c r="BN1549" s="68"/>
      <c r="BO1549" s="68"/>
      <c r="BP1549" s="68"/>
      <c r="BQ1549" s="68"/>
      <c r="BR1549" s="68"/>
      <c r="BS1549" s="68"/>
      <c r="BT1549" s="68"/>
      <c r="BU1549" s="68"/>
      <c r="BV1549" s="68"/>
      <c r="BW1549" s="68"/>
      <c r="BX1549" s="68"/>
      <c r="BY1549" s="68"/>
      <c r="BZ1549" s="68"/>
      <c r="CA1549" s="68"/>
      <c r="CB1549" s="68"/>
      <c r="CC1549" s="68"/>
      <c r="CD1549" s="68"/>
      <c r="CE1549" s="68"/>
      <c r="CF1549" s="68"/>
      <c r="CG1549" s="68"/>
      <c r="CH1549" s="68"/>
      <c r="CI1549" s="68"/>
      <c r="CJ1549" s="68"/>
      <c r="CK1549" s="68"/>
      <c r="CL1549" s="68"/>
      <c r="CM1549" s="68"/>
      <c r="CN1549" s="68"/>
      <c r="CO1549" s="68"/>
      <c r="CP1549" s="68"/>
      <c r="CQ1549" s="68"/>
      <c r="CR1549" s="68"/>
      <c r="CS1549" s="68"/>
      <c r="CT1549" s="68"/>
      <c r="CU1549" s="68"/>
      <c r="CV1549" s="68"/>
      <c r="CW1549" s="68"/>
      <c r="CX1549" s="68"/>
    </row>
    <row r="1550" spans="4:102" s="71" customFormat="1" hidden="1">
      <c r="D1550" s="69"/>
      <c r="E1550" s="68"/>
      <c r="F1550" s="68"/>
      <c r="G1550" s="68"/>
      <c r="H1550" s="68"/>
      <c r="I1550" s="68"/>
      <c r="J1550" s="68"/>
      <c r="K1550" s="73"/>
      <c r="L1550" s="68"/>
      <c r="M1550" s="68"/>
      <c r="N1550" s="68"/>
      <c r="O1550" s="68"/>
      <c r="P1550" s="65"/>
      <c r="Q1550" s="103"/>
      <c r="R1550" s="103"/>
      <c r="S1550" s="103"/>
      <c r="T1550" s="103"/>
      <c r="U1550" s="68"/>
      <c r="V1550" s="68"/>
      <c r="W1550" s="68"/>
      <c r="X1550" s="68"/>
      <c r="Y1550" s="68"/>
      <c r="Z1550" s="68"/>
      <c r="AA1550" s="68"/>
      <c r="AB1550" s="68"/>
      <c r="AC1550" s="68"/>
      <c r="AD1550" s="68"/>
      <c r="AE1550" s="68"/>
      <c r="AF1550" s="68"/>
      <c r="AG1550" s="68"/>
      <c r="AH1550" s="68"/>
      <c r="AI1550" s="68"/>
      <c r="AJ1550" s="68"/>
      <c r="AK1550" s="68"/>
      <c r="AL1550" s="68"/>
      <c r="AM1550" s="68"/>
      <c r="AN1550" s="68"/>
      <c r="AO1550" s="68"/>
      <c r="AP1550" s="68"/>
      <c r="AQ1550" s="68"/>
      <c r="AR1550" s="68"/>
      <c r="AS1550" s="68"/>
      <c r="AT1550" s="68"/>
      <c r="AU1550" s="68"/>
      <c r="AV1550" s="68"/>
      <c r="AW1550" s="68"/>
      <c r="AX1550" s="68"/>
      <c r="AY1550" s="68"/>
      <c r="AZ1550" s="68"/>
      <c r="BA1550" s="68"/>
      <c r="BB1550" s="68"/>
      <c r="BC1550" s="68"/>
      <c r="BD1550" s="68"/>
      <c r="BE1550" s="68"/>
      <c r="BF1550" s="68"/>
      <c r="BG1550" s="68"/>
      <c r="BH1550" s="68"/>
      <c r="BI1550" s="68"/>
      <c r="BJ1550" s="68"/>
      <c r="BK1550" s="68"/>
      <c r="BL1550" s="68"/>
      <c r="BM1550" s="68"/>
      <c r="BN1550" s="68"/>
      <c r="BO1550" s="68"/>
      <c r="BP1550" s="68"/>
      <c r="BQ1550" s="68"/>
      <c r="BR1550" s="68"/>
      <c r="BS1550" s="68"/>
      <c r="BT1550" s="68"/>
      <c r="BU1550" s="68"/>
      <c r="BV1550" s="68"/>
      <c r="BW1550" s="68"/>
      <c r="BX1550" s="68"/>
      <c r="BY1550" s="68"/>
      <c r="BZ1550" s="68"/>
      <c r="CA1550" s="68"/>
      <c r="CB1550" s="68"/>
      <c r="CC1550" s="68"/>
      <c r="CD1550" s="68"/>
      <c r="CE1550" s="68"/>
      <c r="CF1550" s="68"/>
      <c r="CG1550" s="68"/>
      <c r="CH1550" s="68"/>
      <c r="CI1550" s="68"/>
      <c r="CJ1550" s="68"/>
      <c r="CK1550" s="68"/>
      <c r="CL1550" s="68"/>
      <c r="CM1550" s="68"/>
      <c r="CN1550" s="68"/>
      <c r="CO1550" s="68"/>
      <c r="CP1550" s="68"/>
      <c r="CQ1550" s="68"/>
      <c r="CR1550" s="68"/>
      <c r="CS1550" s="68"/>
      <c r="CT1550" s="68"/>
      <c r="CU1550" s="68"/>
      <c r="CV1550" s="68"/>
      <c r="CW1550" s="68"/>
      <c r="CX1550" s="68"/>
    </row>
    <row r="1551" spans="4:102" s="71" customFormat="1" hidden="1">
      <c r="D1551" s="69"/>
      <c r="E1551" s="68"/>
      <c r="F1551" s="68"/>
      <c r="G1551" s="68"/>
      <c r="H1551" s="68"/>
      <c r="I1551" s="68"/>
      <c r="J1551" s="68"/>
      <c r="K1551" s="73"/>
      <c r="L1551" s="68"/>
      <c r="M1551" s="68"/>
      <c r="N1551" s="68"/>
      <c r="O1551" s="68"/>
      <c r="P1551" s="65"/>
      <c r="Q1551" s="103"/>
      <c r="R1551" s="103"/>
      <c r="S1551" s="103"/>
      <c r="T1551" s="103"/>
      <c r="U1551" s="68"/>
      <c r="V1551" s="68"/>
      <c r="W1551" s="68"/>
      <c r="X1551" s="68"/>
      <c r="Y1551" s="68"/>
      <c r="Z1551" s="68"/>
      <c r="AA1551" s="68"/>
      <c r="AB1551" s="68"/>
      <c r="AC1551" s="68"/>
      <c r="AD1551" s="68"/>
      <c r="AE1551" s="68"/>
      <c r="AF1551" s="68"/>
      <c r="AG1551" s="68"/>
      <c r="AH1551" s="68"/>
      <c r="AI1551" s="68"/>
      <c r="AJ1551" s="68"/>
      <c r="AK1551" s="68"/>
      <c r="AL1551" s="68"/>
      <c r="AM1551" s="68"/>
      <c r="AN1551" s="68"/>
      <c r="AO1551" s="68"/>
      <c r="AP1551" s="68"/>
      <c r="AQ1551" s="68"/>
      <c r="AR1551" s="68"/>
      <c r="AS1551" s="68"/>
      <c r="AT1551" s="68"/>
      <c r="AU1551" s="68"/>
      <c r="AV1551" s="68"/>
      <c r="AW1551" s="68"/>
      <c r="AX1551" s="68"/>
      <c r="AY1551" s="68"/>
      <c r="AZ1551" s="68"/>
      <c r="BA1551" s="68"/>
      <c r="BB1551" s="68"/>
      <c r="BC1551" s="68"/>
      <c r="BD1551" s="68"/>
      <c r="BE1551" s="68"/>
      <c r="BF1551" s="68"/>
      <c r="BG1551" s="68"/>
      <c r="BH1551" s="68"/>
      <c r="BI1551" s="68"/>
      <c r="BJ1551" s="68"/>
      <c r="BK1551" s="68"/>
      <c r="BL1551" s="68"/>
      <c r="BM1551" s="68"/>
      <c r="BN1551" s="68"/>
      <c r="BO1551" s="68"/>
      <c r="BP1551" s="68"/>
      <c r="BQ1551" s="68"/>
      <c r="BR1551" s="68"/>
      <c r="BS1551" s="68"/>
      <c r="BT1551" s="68"/>
      <c r="BU1551" s="68"/>
      <c r="BV1551" s="68"/>
      <c r="BW1551" s="68"/>
      <c r="BX1551" s="68"/>
      <c r="BY1551" s="68"/>
      <c r="BZ1551" s="68"/>
      <c r="CA1551" s="68"/>
      <c r="CB1551" s="68"/>
      <c r="CC1551" s="68"/>
      <c r="CD1551" s="68"/>
      <c r="CE1551" s="68"/>
      <c r="CF1551" s="68"/>
      <c r="CG1551" s="68"/>
      <c r="CH1551" s="68"/>
      <c r="CI1551" s="68"/>
      <c r="CJ1551" s="68"/>
      <c r="CK1551" s="68"/>
      <c r="CL1551" s="68"/>
      <c r="CM1551" s="68"/>
      <c r="CN1551" s="68"/>
      <c r="CO1551" s="68"/>
      <c r="CP1551" s="68"/>
      <c r="CQ1551" s="68"/>
      <c r="CR1551" s="68"/>
      <c r="CS1551" s="68"/>
      <c r="CT1551" s="68"/>
      <c r="CU1551" s="68"/>
      <c r="CV1551" s="68"/>
      <c r="CW1551" s="68"/>
      <c r="CX1551" s="68"/>
    </row>
    <row r="1552" spans="4:102" s="71" customFormat="1" hidden="1">
      <c r="D1552" s="69"/>
      <c r="E1552" s="68"/>
      <c r="F1552" s="68"/>
      <c r="G1552" s="68"/>
      <c r="H1552" s="68"/>
      <c r="I1552" s="68"/>
      <c r="J1552" s="68"/>
      <c r="K1552" s="73"/>
      <c r="L1552" s="68"/>
      <c r="M1552" s="68"/>
      <c r="N1552" s="68"/>
      <c r="O1552" s="68"/>
      <c r="P1552" s="65"/>
      <c r="Q1552" s="103"/>
      <c r="R1552" s="103"/>
      <c r="S1552" s="103"/>
      <c r="T1552" s="103"/>
      <c r="U1552" s="68"/>
      <c r="V1552" s="68"/>
      <c r="W1552" s="68"/>
      <c r="X1552" s="68"/>
      <c r="Y1552" s="68"/>
      <c r="Z1552" s="68"/>
      <c r="AA1552" s="68"/>
      <c r="AB1552" s="68"/>
      <c r="AC1552" s="68"/>
      <c r="AD1552" s="68"/>
      <c r="AE1552" s="68"/>
      <c r="AF1552" s="68"/>
      <c r="AG1552" s="68"/>
      <c r="AH1552" s="68"/>
      <c r="AI1552" s="68"/>
      <c r="AJ1552" s="68"/>
      <c r="AK1552" s="68"/>
      <c r="AL1552" s="68"/>
      <c r="AM1552" s="68"/>
      <c r="AN1552" s="68"/>
      <c r="AO1552" s="68"/>
      <c r="AP1552" s="68"/>
      <c r="AQ1552" s="68"/>
      <c r="AR1552" s="68"/>
      <c r="AS1552" s="68"/>
      <c r="AT1552" s="68"/>
      <c r="AU1552" s="68"/>
      <c r="AV1552" s="68"/>
      <c r="AW1552" s="68"/>
      <c r="AX1552" s="68"/>
      <c r="AY1552" s="68"/>
      <c r="AZ1552" s="68"/>
      <c r="BA1552" s="68"/>
      <c r="BB1552" s="68"/>
      <c r="BC1552" s="68"/>
      <c r="BD1552" s="68"/>
      <c r="BE1552" s="68"/>
      <c r="BF1552" s="68"/>
      <c r="BG1552" s="68"/>
      <c r="BH1552" s="68"/>
      <c r="BI1552" s="68"/>
      <c r="BJ1552" s="68"/>
      <c r="BK1552" s="68"/>
      <c r="BL1552" s="68"/>
      <c r="BM1552" s="68"/>
      <c r="BN1552" s="68"/>
      <c r="BO1552" s="68"/>
      <c r="BP1552" s="68"/>
      <c r="BQ1552" s="68"/>
      <c r="BR1552" s="68"/>
      <c r="BS1552" s="68"/>
      <c r="BT1552" s="68"/>
      <c r="BU1552" s="68"/>
      <c r="BV1552" s="68"/>
      <c r="BW1552" s="68"/>
      <c r="BX1552" s="68"/>
      <c r="BY1552" s="68"/>
      <c r="BZ1552" s="68"/>
      <c r="CA1552" s="68"/>
      <c r="CB1552" s="68"/>
      <c r="CC1552" s="68"/>
      <c r="CD1552" s="68"/>
      <c r="CE1552" s="68"/>
      <c r="CF1552" s="68"/>
      <c r="CG1552" s="68"/>
      <c r="CH1552" s="68"/>
      <c r="CI1552" s="68"/>
      <c r="CJ1552" s="68"/>
      <c r="CK1552" s="68"/>
      <c r="CL1552" s="68"/>
      <c r="CM1552" s="68"/>
      <c r="CN1552" s="68"/>
      <c r="CO1552" s="68"/>
      <c r="CP1552" s="68"/>
      <c r="CQ1552" s="68"/>
      <c r="CR1552" s="68"/>
      <c r="CS1552" s="68"/>
      <c r="CT1552" s="68"/>
      <c r="CU1552" s="68"/>
      <c r="CV1552" s="68"/>
      <c r="CW1552" s="68"/>
      <c r="CX1552" s="68"/>
    </row>
    <row r="1553" spans="4:102" s="71" customFormat="1" hidden="1">
      <c r="D1553" s="69"/>
      <c r="E1553" s="68"/>
      <c r="F1553" s="68"/>
      <c r="G1553" s="68"/>
      <c r="H1553" s="68"/>
      <c r="I1553" s="68"/>
      <c r="J1553" s="68"/>
      <c r="K1553" s="73"/>
      <c r="L1553" s="68"/>
      <c r="M1553" s="68"/>
      <c r="N1553" s="68"/>
      <c r="O1553" s="68"/>
      <c r="P1553" s="65"/>
      <c r="Q1553" s="103"/>
      <c r="R1553" s="103"/>
      <c r="S1553" s="103"/>
      <c r="T1553" s="103"/>
      <c r="U1553" s="68"/>
      <c r="V1553" s="68"/>
      <c r="W1553" s="68"/>
      <c r="X1553" s="68"/>
      <c r="Y1553" s="68"/>
      <c r="Z1553" s="68"/>
      <c r="AA1553" s="68"/>
      <c r="AB1553" s="68"/>
      <c r="AC1553" s="68"/>
      <c r="AD1553" s="68"/>
      <c r="AE1553" s="68"/>
      <c r="AF1553" s="68"/>
      <c r="AG1553" s="68"/>
      <c r="AH1553" s="68"/>
      <c r="AI1553" s="68"/>
      <c r="AJ1553" s="68"/>
      <c r="AK1553" s="68"/>
      <c r="AL1553" s="68"/>
      <c r="AM1553" s="68"/>
      <c r="AN1553" s="68"/>
      <c r="AO1553" s="68"/>
      <c r="AP1553" s="68"/>
      <c r="AQ1553" s="68"/>
      <c r="AR1553" s="68"/>
      <c r="AS1553" s="68"/>
      <c r="AT1553" s="68"/>
      <c r="AU1553" s="68"/>
      <c r="AV1553" s="68"/>
      <c r="AW1553" s="68"/>
      <c r="AX1553" s="68"/>
      <c r="AY1553" s="68"/>
      <c r="AZ1553" s="68"/>
      <c r="BA1553" s="68"/>
      <c r="BB1553" s="68"/>
      <c r="BC1553" s="68"/>
      <c r="BD1553" s="68"/>
      <c r="BE1553" s="68"/>
      <c r="BF1553" s="68"/>
      <c r="BG1553" s="68"/>
      <c r="BH1553" s="68"/>
      <c r="BI1553" s="68"/>
      <c r="BJ1553" s="68"/>
      <c r="BK1553" s="68"/>
      <c r="BL1553" s="68"/>
      <c r="BM1553" s="68"/>
      <c r="BN1553" s="68"/>
      <c r="BO1553" s="68"/>
      <c r="BP1553" s="68"/>
      <c r="BQ1553" s="68"/>
      <c r="BR1553" s="68"/>
      <c r="BS1553" s="68"/>
      <c r="BT1553" s="68"/>
      <c r="BU1553" s="68"/>
      <c r="BV1553" s="68"/>
      <c r="BW1553" s="68"/>
      <c r="BX1553" s="68"/>
      <c r="BY1553" s="68"/>
      <c r="BZ1553" s="68"/>
      <c r="CA1553" s="68"/>
      <c r="CB1553" s="68"/>
      <c r="CC1553" s="68"/>
      <c r="CD1553" s="68"/>
      <c r="CE1553" s="68"/>
      <c r="CF1553" s="68"/>
      <c r="CG1553" s="68"/>
      <c r="CH1553" s="68"/>
      <c r="CI1553" s="68"/>
      <c r="CJ1553" s="68"/>
      <c r="CK1553" s="68"/>
      <c r="CL1553" s="68"/>
      <c r="CM1553" s="68"/>
      <c r="CN1553" s="68"/>
      <c r="CO1553" s="68"/>
      <c r="CP1553" s="68"/>
      <c r="CQ1553" s="68"/>
      <c r="CR1553" s="68"/>
      <c r="CS1553" s="68"/>
      <c r="CT1553" s="68"/>
      <c r="CU1553" s="68"/>
      <c r="CV1553" s="68"/>
      <c r="CW1553" s="68"/>
      <c r="CX1553" s="68"/>
    </row>
    <row r="1554" spans="4:102" s="71" customFormat="1" hidden="1">
      <c r="D1554" s="69"/>
      <c r="E1554" s="68"/>
      <c r="F1554" s="68"/>
      <c r="G1554" s="68"/>
      <c r="H1554" s="68"/>
      <c r="I1554" s="68"/>
      <c r="J1554" s="68"/>
      <c r="K1554" s="73"/>
      <c r="L1554" s="68"/>
      <c r="M1554" s="68"/>
      <c r="N1554" s="68"/>
      <c r="O1554" s="68"/>
      <c r="P1554" s="65"/>
      <c r="Q1554" s="103"/>
      <c r="R1554" s="103"/>
      <c r="S1554" s="103"/>
      <c r="T1554" s="103"/>
      <c r="U1554" s="68"/>
      <c r="V1554" s="68"/>
      <c r="W1554" s="68"/>
      <c r="X1554" s="68"/>
      <c r="Y1554" s="68"/>
      <c r="Z1554" s="68"/>
      <c r="AA1554" s="68"/>
      <c r="AB1554" s="68"/>
      <c r="AC1554" s="68"/>
      <c r="AD1554" s="68"/>
      <c r="AE1554" s="68"/>
      <c r="AF1554" s="68"/>
      <c r="AG1554" s="68"/>
      <c r="AH1554" s="68"/>
      <c r="AI1554" s="68"/>
      <c r="AJ1554" s="68"/>
      <c r="AK1554" s="68"/>
      <c r="AL1554" s="68"/>
      <c r="AM1554" s="68"/>
      <c r="AN1554" s="68"/>
      <c r="AO1554" s="68"/>
      <c r="AP1554" s="68"/>
      <c r="AQ1554" s="68"/>
      <c r="AR1554" s="68"/>
      <c r="AS1554" s="68"/>
      <c r="AT1554" s="68"/>
      <c r="AU1554" s="68"/>
      <c r="AV1554" s="68"/>
      <c r="AW1554" s="68"/>
      <c r="AX1554" s="68"/>
      <c r="AY1554" s="68"/>
      <c r="AZ1554" s="68"/>
      <c r="BA1554" s="68"/>
      <c r="BB1554" s="68"/>
      <c r="BC1554" s="68"/>
      <c r="BD1554" s="68"/>
      <c r="BE1554" s="68"/>
      <c r="BF1554" s="68"/>
      <c r="BG1554" s="68"/>
      <c r="BH1554" s="68"/>
      <c r="BI1554" s="68"/>
      <c r="BJ1554" s="68"/>
      <c r="BK1554" s="68"/>
      <c r="BL1554" s="68"/>
      <c r="BM1554" s="68"/>
      <c r="BN1554" s="68"/>
      <c r="BO1554" s="68"/>
      <c r="BP1554" s="68"/>
      <c r="BQ1554" s="68"/>
      <c r="BR1554" s="68"/>
      <c r="BS1554" s="68"/>
      <c r="BT1554" s="68"/>
      <c r="BU1554" s="68"/>
      <c r="BV1554" s="68"/>
      <c r="BW1554" s="68"/>
      <c r="BX1554" s="68"/>
      <c r="BY1554" s="68"/>
      <c r="BZ1554" s="68"/>
      <c r="CA1554" s="68"/>
      <c r="CB1554" s="68"/>
      <c r="CC1554" s="68"/>
      <c r="CD1554" s="68"/>
      <c r="CE1554" s="68"/>
      <c r="CF1554" s="68"/>
      <c r="CG1554" s="68"/>
      <c r="CH1554" s="68"/>
      <c r="CI1554" s="68"/>
      <c r="CJ1554" s="68"/>
      <c r="CK1554" s="68"/>
      <c r="CL1554" s="68"/>
      <c r="CM1554" s="68"/>
      <c r="CN1554" s="68"/>
      <c r="CO1554" s="68"/>
      <c r="CP1554" s="68"/>
      <c r="CQ1554" s="68"/>
      <c r="CR1554" s="68"/>
      <c r="CS1554" s="68"/>
      <c r="CT1554" s="68"/>
      <c r="CU1554" s="68"/>
      <c r="CV1554" s="68"/>
      <c r="CW1554" s="68"/>
      <c r="CX1554" s="68"/>
    </row>
    <row r="1555" spans="4:102" s="71" customFormat="1" hidden="1">
      <c r="D1555" s="69"/>
      <c r="E1555" s="68"/>
      <c r="F1555" s="68"/>
      <c r="G1555" s="68"/>
      <c r="H1555" s="68"/>
      <c r="I1555" s="68"/>
      <c r="J1555" s="68"/>
      <c r="K1555" s="73"/>
      <c r="L1555" s="68"/>
      <c r="M1555" s="68"/>
      <c r="N1555" s="68"/>
      <c r="O1555" s="68"/>
      <c r="P1555" s="65"/>
      <c r="Q1555" s="103"/>
      <c r="R1555" s="103"/>
      <c r="S1555" s="103"/>
      <c r="T1555" s="103"/>
      <c r="U1555" s="68"/>
      <c r="V1555" s="68"/>
      <c r="W1555" s="68"/>
      <c r="X1555" s="68"/>
      <c r="Y1555" s="68"/>
      <c r="Z1555" s="68"/>
      <c r="AA1555" s="68"/>
      <c r="AB1555" s="68"/>
      <c r="AC1555" s="68"/>
      <c r="AD1555" s="68"/>
      <c r="AE1555" s="68"/>
      <c r="AF1555" s="68"/>
      <c r="AG1555" s="68"/>
      <c r="AH1555" s="68"/>
      <c r="AI1555" s="68"/>
      <c r="AJ1555" s="68"/>
      <c r="AK1555" s="68"/>
      <c r="AL1555" s="68"/>
      <c r="AM1555" s="68"/>
      <c r="AN1555" s="68"/>
      <c r="AO1555" s="68"/>
      <c r="AP1555" s="68"/>
      <c r="AQ1555" s="68"/>
      <c r="AR1555" s="68"/>
      <c r="AS1555" s="68"/>
      <c r="AT1555" s="68"/>
      <c r="AU1555" s="68"/>
      <c r="AV1555" s="68"/>
      <c r="AW1555" s="68"/>
      <c r="AX1555" s="68"/>
      <c r="AY1555" s="68"/>
      <c r="AZ1555" s="68"/>
      <c r="BA1555" s="68"/>
      <c r="BB1555" s="68"/>
      <c r="BC1555" s="68"/>
      <c r="BD1555" s="68"/>
      <c r="BE1555" s="68"/>
      <c r="BF1555" s="68"/>
      <c r="BG1555" s="68"/>
      <c r="BH1555" s="68"/>
      <c r="BI1555" s="68"/>
      <c r="BJ1555" s="68"/>
      <c r="BK1555" s="68"/>
      <c r="BL1555" s="68"/>
      <c r="BM1555" s="68"/>
      <c r="BN1555" s="68"/>
      <c r="BO1555" s="68"/>
      <c r="BP1555" s="68"/>
      <c r="BQ1555" s="68"/>
      <c r="BR1555" s="68"/>
      <c r="BS1555" s="68"/>
      <c r="BT1555" s="68"/>
      <c r="BU1555" s="68"/>
      <c r="BV1555" s="68"/>
      <c r="BW1555" s="68"/>
      <c r="BX1555" s="68"/>
      <c r="BY1555" s="68"/>
      <c r="BZ1555" s="68"/>
      <c r="CA1555" s="68"/>
      <c r="CB1555" s="68"/>
      <c r="CC1555" s="68"/>
      <c r="CD1555" s="68"/>
      <c r="CE1555" s="68"/>
      <c r="CF1555" s="68"/>
      <c r="CG1555" s="68"/>
      <c r="CH1555" s="68"/>
      <c r="CI1555" s="68"/>
      <c r="CJ1555" s="68"/>
      <c r="CK1555" s="68"/>
      <c r="CL1555" s="68"/>
      <c r="CM1555" s="68"/>
      <c r="CN1555" s="68"/>
      <c r="CO1555" s="68"/>
      <c r="CP1555" s="68"/>
      <c r="CQ1555" s="68"/>
      <c r="CR1555" s="68"/>
      <c r="CS1555" s="68"/>
      <c r="CT1555" s="68"/>
      <c r="CU1555" s="68"/>
      <c r="CV1555" s="68"/>
      <c r="CW1555" s="68"/>
      <c r="CX1555" s="68"/>
    </row>
    <row r="1556" spans="4:102" s="71" customFormat="1" hidden="1">
      <c r="D1556" s="69"/>
      <c r="E1556" s="68"/>
      <c r="F1556" s="68"/>
      <c r="G1556" s="68"/>
      <c r="H1556" s="68"/>
      <c r="I1556" s="68"/>
      <c r="J1556" s="68"/>
      <c r="K1556" s="73"/>
      <c r="L1556" s="68"/>
      <c r="M1556" s="68"/>
      <c r="N1556" s="68"/>
      <c r="O1556" s="68"/>
      <c r="P1556" s="65"/>
      <c r="Q1556" s="103"/>
      <c r="R1556" s="103"/>
      <c r="S1556" s="103"/>
      <c r="T1556" s="103"/>
      <c r="U1556" s="68"/>
      <c r="V1556" s="68"/>
      <c r="W1556" s="68"/>
      <c r="X1556" s="68"/>
      <c r="Y1556" s="68"/>
      <c r="Z1556" s="68"/>
      <c r="AA1556" s="68"/>
      <c r="AB1556" s="68"/>
      <c r="AC1556" s="68"/>
      <c r="AD1556" s="68"/>
      <c r="AE1556" s="68"/>
      <c r="AF1556" s="68"/>
      <c r="AG1556" s="68"/>
      <c r="AH1556" s="68"/>
      <c r="AI1556" s="68"/>
      <c r="AJ1556" s="68"/>
      <c r="AK1556" s="68"/>
      <c r="AL1556" s="68"/>
      <c r="AM1556" s="68"/>
      <c r="AN1556" s="68"/>
      <c r="AO1556" s="68"/>
      <c r="AP1556" s="68"/>
      <c r="AQ1556" s="68"/>
      <c r="AR1556" s="68"/>
      <c r="AS1556" s="68"/>
      <c r="AT1556" s="68"/>
      <c r="AU1556" s="68"/>
      <c r="AV1556" s="68"/>
      <c r="AW1556" s="68"/>
      <c r="AX1556" s="68"/>
      <c r="AY1556" s="68"/>
      <c r="AZ1556" s="68"/>
      <c r="BA1556" s="68"/>
      <c r="BB1556" s="68"/>
      <c r="BC1556" s="68"/>
      <c r="BD1556" s="68"/>
      <c r="BE1556" s="68"/>
      <c r="BF1556" s="68"/>
      <c r="BG1556" s="68"/>
      <c r="BH1556" s="68"/>
      <c r="BI1556" s="68"/>
      <c r="BJ1556" s="68"/>
      <c r="BK1556" s="68"/>
      <c r="BL1556" s="68"/>
      <c r="BM1556" s="68"/>
      <c r="BN1556" s="68"/>
      <c r="BO1556" s="68"/>
      <c r="BP1556" s="68"/>
      <c r="BQ1556" s="68"/>
      <c r="BR1556" s="68"/>
      <c r="BS1556" s="68"/>
      <c r="BT1556" s="68"/>
      <c r="BU1556" s="68"/>
      <c r="BV1556" s="68"/>
      <c r="BW1556" s="68"/>
      <c r="BX1556" s="68"/>
      <c r="BY1556" s="68"/>
      <c r="BZ1556" s="68"/>
      <c r="CA1556" s="68"/>
      <c r="CB1556" s="68"/>
      <c r="CC1556" s="68"/>
      <c r="CD1556" s="68"/>
      <c r="CE1556" s="68"/>
      <c r="CF1556" s="68"/>
      <c r="CG1556" s="68"/>
      <c r="CH1556" s="68"/>
      <c r="CI1556" s="68"/>
      <c r="CJ1556" s="68"/>
      <c r="CK1556" s="68"/>
      <c r="CL1556" s="68"/>
      <c r="CM1556" s="68"/>
      <c r="CN1556" s="68"/>
      <c r="CO1556" s="68"/>
      <c r="CP1556" s="68"/>
      <c r="CQ1556" s="68"/>
      <c r="CR1556" s="68"/>
      <c r="CS1556" s="68"/>
      <c r="CT1556" s="68"/>
      <c r="CU1556" s="68"/>
      <c r="CV1556" s="68"/>
      <c r="CW1556" s="68"/>
      <c r="CX1556" s="68"/>
    </row>
    <row r="1557" spans="4:102" s="71" customFormat="1" hidden="1">
      <c r="D1557" s="69"/>
      <c r="E1557" s="68"/>
      <c r="F1557" s="68"/>
      <c r="G1557" s="68"/>
      <c r="H1557" s="68"/>
      <c r="I1557" s="68"/>
      <c r="J1557" s="68"/>
      <c r="K1557" s="73"/>
      <c r="L1557" s="68"/>
      <c r="M1557" s="68"/>
      <c r="N1557" s="68"/>
      <c r="O1557" s="68"/>
      <c r="P1557" s="65"/>
      <c r="Q1557" s="103"/>
      <c r="R1557" s="103"/>
      <c r="S1557" s="103"/>
      <c r="T1557" s="103"/>
      <c r="U1557" s="68"/>
      <c r="V1557" s="68"/>
      <c r="W1557" s="68"/>
      <c r="X1557" s="68"/>
      <c r="Y1557" s="68"/>
      <c r="Z1557" s="68"/>
      <c r="AA1557" s="68"/>
      <c r="AB1557" s="68"/>
      <c r="AC1557" s="68"/>
      <c r="AD1557" s="68"/>
      <c r="AE1557" s="68"/>
      <c r="AF1557" s="68"/>
      <c r="AG1557" s="68"/>
      <c r="AH1557" s="68"/>
      <c r="AI1557" s="68"/>
      <c r="AJ1557" s="68"/>
      <c r="AK1557" s="68"/>
      <c r="AL1557" s="68"/>
      <c r="AM1557" s="68"/>
      <c r="AN1557" s="68"/>
      <c r="AO1557" s="68"/>
      <c r="AP1557" s="68"/>
      <c r="AQ1557" s="68"/>
      <c r="AR1557" s="68"/>
      <c r="AS1557" s="68"/>
      <c r="AT1557" s="68"/>
      <c r="AU1557" s="68"/>
      <c r="AV1557" s="68"/>
      <c r="AW1557" s="68"/>
      <c r="AX1557" s="68"/>
      <c r="AY1557" s="68"/>
      <c r="AZ1557" s="68"/>
      <c r="BA1557" s="68"/>
      <c r="BB1557" s="68"/>
      <c r="BC1557" s="68"/>
      <c r="BD1557" s="68"/>
      <c r="BE1557" s="68"/>
      <c r="BF1557" s="68"/>
      <c r="BG1557" s="68"/>
      <c r="BH1557" s="68"/>
      <c r="BI1557" s="68"/>
      <c r="BJ1557" s="68"/>
      <c r="BK1557" s="68"/>
      <c r="BL1557" s="68"/>
      <c r="BM1557" s="68"/>
      <c r="BN1557" s="68"/>
      <c r="BO1557" s="68"/>
      <c r="BP1557" s="68"/>
      <c r="BQ1557" s="68"/>
      <c r="BR1557" s="68"/>
      <c r="BS1557" s="68"/>
      <c r="BT1557" s="68"/>
      <c r="BU1557" s="68"/>
      <c r="BV1557" s="68"/>
      <c r="BW1557" s="68"/>
      <c r="BX1557" s="68"/>
      <c r="BY1557" s="68"/>
      <c r="BZ1557" s="68"/>
      <c r="CA1557" s="68"/>
      <c r="CB1557" s="68"/>
      <c r="CC1557" s="68"/>
      <c r="CD1557" s="68"/>
      <c r="CE1557" s="68"/>
      <c r="CF1557" s="68"/>
      <c r="CG1557" s="68"/>
      <c r="CH1557" s="68"/>
      <c r="CI1557" s="68"/>
      <c r="CJ1557" s="68"/>
      <c r="CK1557" s="68"/>
      <c r="CL1557" s="68"/>
      <c r="CM1557" s="68"/>
      <c r="CN1557" s="68"/>
      <c r="CO1557" s="68"/>
      <c r="CP1557" s="68"/>
      <c r="CQ1557" s="68"/>
      <c r="CR1557" s="68"/>
      <c r="CS1557" s="68"/>
      <c r="CT1557" s="68"/>
      <c r="CU1557" s="68"/>
      <c r="CV1557" s="68"/>
      <c r="CW1557" s="68"/>
      <c r="CX1557" s="68"/>
    </row>
    <row r="1558" spans="4:102" s="71" customFormat="1" hidden="1">
      <c r="D1558" s="69"/>
      <c r="E1558" s="68"/>
      <c r="F1558" s="68"/>
      <c r="G1558" s="68"/>
      <c r="H1558" s="68"/>
      <c r="I1558" s="68"/>
      <c r="J1558" s="68"/>
      <c r="K1558" s="73"/>
      <c r="L1558" s="68"/>
      <c r="M1558" s="68"/>
      <c r="N1558" s="68"/>
      <c r="O1558" s="68"/>
      <c r="P1558" s="65"/>
      <c r="Q1558" s="103"/>
      <c r="R1558" s="103"/>
      <c r="S1558" s="103"/>
      <c r="T1558" s="103"/>
      <c r="U1558" s="68"/>
      <c r="V1558" s="68"/>
      <c r="W1558" s="68"/>
      <c r="X1558" s="68"/>
      <c r="Y1558" s="68"/>
      <c r="Z1558" s="68"/>
      <c r="AA1558" s="68"/>
      <c r="AB1558" s="68"/>
      <c r="AC1558" s="68"/>
      <c r="AD1558" s="68"/>
      <c r="AE1558" s="68"/>
      <c r="AF1558" s="68"/>
      <c r="AG1558" s="68"/>
      <c r="AH1558" s="68"/>
      <c r="AI1558" s="68"/>
      <c r="AJ1558" s="68"/>
      <c r="AK1558" s="68"/>
      <c r="AL1558" s="68"/>
      <c r="AM1558" s="68"/>
      <c r="AN1558" s="68"/>
      <c r="AO1558" s="68"/>
      <c r="AP1558" s="68"/>
      <c r="AQ1558" s="68"/>
      <c r="AR1558" s="68"/>
      <c r="AS1558" s="68"/>
      <c r="AT1558" s="68"/>
      <c r="AU1558" s="68"/>
      <c r="AV1558" s="68"/>
      <c r="AW1558" s="68"/>
      <c r="AX1558" s="68"/>
      <c r="AY1558" s="68"/>
      <c r="AZ1558" s="68"/>
      <c r="BA1558" s="68"/>
      <c r="BB1558" s="68"/>
      <c r="BC1558" s="68"/>
      <c r="BD1558" s="68"/>
      <c r="BE1558" s="68"/>
      <c r="BF1558" s="68"/>
      <c r="BG1558" s="68"/>
      <c r="BH1558" s="68"/>
      <c r="BI1558" s="68"/>
      <c r="BJ1558" s="68"/>
      <c r="BK1558" s="68"/>
      <c r="BL1558" s="68"/>
      <c r="BM1558" s="68"/>
      <c r="BN1558" s="68"/>
      <c r="BO1558" s="68"/>
      <c r="BP1558" s="68"/>
      <c r="BQ1558" s="68"/>
      <c r="BR1558" s="68"/>
      <c r="BS1558" s="68"/>
      <c r="BT1558" s="68"/>
      <c r="BU1558" s="68"/>
      <c r="BV1558" s="68"/>
      <c r="BW1558" s="68"/>
      <c r="BX1558" s="68"/>
      <c r="BY1558" s="68"/>
      <c r="BZ1558" s="68"/>
      <c r="CA1558" s="68"/>
      <c r="CB1558" s="68"/>
      <c r="CC1558" s="68"/>
      <c r="CD1558" s="68"/>
      <c r="CE1558" s="68"/>
      <c r="CF1558" s="68"/>
      <c r="CG1558" s="68"/>
      <c r="CH1558" s="68"/>
      <c r="CI1558" s="68"/>
      <c r="CJ1558" s="68"/>
      <c r="CK1558" s="68"/>
      <c r="CL1558" s="68"/>
      <c r="CM1558" s="68"/>
      <c r="CN1558" s="68"/>
      <c r="CO1558" s="68"/>
      <c r="CP1558" s="68"/>
      <c r="CQ1558" s="68"/>
      <c r="CR1558" s="68"/>
      <c r="CS1558" s="68"/>
      <c r="CT1558" s="68"/>
      <c r="CU1558" s="68"/>
      <c r="CV1558" s="68"/>
      <c r="CW1558" s="68"/>
      <c r="CX1558" s="68"/>
    </row>
    <row r="1559" spans="4:102" s="71" customFormat="1" hidden="1">
      <c r="D1559" s="69"/>
      <c r="E1559" s="68"/>
      <c r="F1559" s="68"/>
      <c r="G1559" s="68"/>
      <c r="H1559" s="68"/>
      <c r="I1559" s="68"/>
      <c r="J1559" s="68"/>
      <c r="K1559" s="73"/>
      <c r="L1559" s="68"/>
      <c r="M1559" s="68"/>
      <c r="N1559" s="68"/>
      <c r="O1559" s="68"/>
      <c r="P1559" s="65"/>
      <c r="Q1559" s="103"/>
      <c r="R1559" s="103"/>
      <c r="S1559" s="103"/>
      <c r="T1559" s="103"/>
      <c r="U1559" s="68"/>
      <c r="V1559" s="68"/>
      <c r="W1559" s="68"/>
      <c r="X1559" s="68"/>
      <c r="Y1559" s="68"/>
      <c r="Z1559" s="68"/>
      <c r="AA1559" s="68"/>
      <c r="AB1559" s="68"/>
      <c r="AC1559" s="68"/>
      <c r="AD1559" s="68"/>
      <c r="AE1559" s="68"/>
      <c r="AF1559" s="68"/>
      <c r="AG1559" s="68"/>
      <c r="AH1559" s="68"/>
      <c r="AI1559" s="68"/>
      <c r="AJ1559" s="68"/>
      <c r="AK1559" s="68"/>
      <c r="AL1559" s="68"/>
      <c r="AM1559" s="68"/>
      <c r="AN1559" s="68"/>
      <c r="AO1559" s="68"/>
      <c r="AP1559" s="68"/>
      <c r="AQ1559" s="68"/>
      <c r="AR1559" s="68"/>
      <c r="AS1559" s="68"/>
      <c r="AT1559" s="68"/>
      <c r="AU1559" s="68"/>
      <c r="AV1559" s="68"/>
      <c r="AW1559" s="68"/>
      <c r="AX1559" s="68"/>
      <c r="AY1559" s="68"/>
      <c r="AZ1559" s="68"/>
      <c r="BA1559" s="68"/>
      <c r="BB1559" s="68"/>
      <c r="BC1559" s="68"/>
      <c r="BD1559" s="68"/>
      <c r="BE1559" s="68"/>
      <c r="BF1559" s="68"/>
      <c r="BG1559" s="68"/>
      <c r="BH1559" s="68"/>
      <c r="BI1559" s="68"/>
      <c r="BJ1559" s="68"/>
      <c r="BK1559" s="68"/>
      <c r="BL1559" s="68"/>
      <c r="BM1559" s="68"/>
      <c r="BN1559" s="68"/>
      <c r="BO1559" s="68"/>
      <c r="BP1559" s="68"/>
      <c r="BQ1559" s="68"/>
      <c r="BR1559" s="68"/>
      <c r="BS1559" s="68"/>
      <c r="BT1559" s="68"/>
      <c r="BU1559" s="68"/>
      <c r="BV1559" s="68"/>
      <c r="BW1559" s="68"/>
      <c r="BX1559" s="68"/>
      <c r="BY1559" s="68"/>
      <c r="BZ1559" s="68"/>
      <c r="CA1559" s="68"/>
      <c r="CB1559" s="68"/>
      <c r="CC1559" s="68"/>
      <c r="CD1559" s="68"/>
      <c r="CE1559" s="68"/>
      <c r="CF1559" s="68"/>
      <c r="CG1559" s="68"/>
      <c r="CH1559" s="68"/>
      <c r="CI1559" s="68"/>
      <c r="CJ1559" s="68"/>
      <c r="CK1559" s="68"/>
      <c r="CL1559" s="68"/>
      <c r="CM1559" s="68"/>
      <c r="CN1559" s="68"/>
      <c r="CO1559" s="68"/>
      <c r="CP1559" s="68"/>
      <c r="CQ1559" s="68"/>
      <c r="CR1559" s="68"/>
      <c r="CS1559" s="68"/>
      <c r="CT1559" s="68"/>
      <c r="CU1559" s="68"/>
      <c r="CV1559" s="68"/>
      <c r="CW1559" s="68"/>
      <c r="CX1559" s="68"/>
    </row>
    <row r="1560" spans="4:102" s="71" customFormat="1" hidden="1">
      <c r="D1560" s="69"/>
      <c r="E1560" s="68"/>
      <c r="F1560" s="68"/>
      <c r="G1560" s="68"/>
      <c r="H1560" s="68"/>
      <c r="I1560" s="68"/>
      <c r="J1560" s="68"/>
      <c r="K1560" s="73"/>
      <c r="L1560" s="68"/>
      <c r="M1560" s="68"/>
      <c r="N1560" s="68"/>
      <c r="O1560" s="68"/>
      <c r="P1560" s="65"/>
      <c r="Q1560" s="103"/>
      <c r="R1560" s="103"/>
      <c r="S1560" s="103"/>
      <c r="T1560" s="103"/>
      <c r="U1560" s="68"/>
      <c r="V1560" s="68"/>
      <c r="W1560" s="68"/>
      <c r="X1560" s="68"/>
      <c r="Y1560" s="68"/>
      <c r="Z1560" s="68"/>
      <c r="AA1560" s="68"/>
      <c r="AB1560" s="68"/>
      <c r="AC1560" s="68"/>
      <c r="AD1560" s="68"/>
      <c r="AE1560" s="68"/>
      <c r="AF1560" s="68"/>
      <c r="AG1560" s="68"/>
      <c r="AH1560" s="68"/>
      <c r="AI1560" s="68"/>
      <c r="AJ1560" s="68"/>
      <c r="AK1560" s="68"/>
      <c r="AL1560" s="68"/>
      <c r="AM1560" s="68"/>
      <c r="AN1560" s="68"/>
      <c r="AO1560" s="68"/>
      <c r="AP1560" s="68"/>
      <c r="AQ1560" s="68"/>
      <c r="AR1560" s="68"/>
      <c r="AS1560" s="68"/>
      <c r="AT1560" s="68"/>
      <c r="AU1560" s="68"/>
      <c r="AV1560" s="68"/>
      <c r="AW1560" s="68"/>
      <c r="AX1560" s="68"/>
      <c r="AY1560" s="68"/>
      <c r="AZ1560" s="68"/>
      <c r="BA1560" s="68"/>
      <c r="BB1560" s="68"/>
      <c r="BC1560" s="68"/>
      <c r="BD1560" s="68"/>
      <c r="BE1560" s="68"/>
      <c r="BF1560" s="68"/>
      <c r="BG1560" s="68"/>
      <c r="BH1560" s="68"/>
      <c r="BI1560" s="68"/>
      <c r="BJ1560" s="68"/>
      <c r="BK1560" s="68"/>
      <c r="BL1560" s="68"/>
      <c r="BM1560" s="68"/>
      <c r="BN1560" s="68"/>
      <c r="BO1560" s="68"/>
      <c r="BP1560" s="68"/>
      <c r="BQ1560" s="68"/>
      <c r="BR1560" s="68"/>
      <c r="BS1560" s="68"/>
      <c r="BT1560" s="68"/>
      <c r="BU1560" s="68"/>
      <c r="BV1560" s="68"/>
      <c r="BW1560" s="68"/>
      <c r="BX1560" s="68"/>
      <c r="BY1560" s="68"/>
      <c r="BZ1560" s="68"/>
      <c r="CA1560" s="68"/>
      <c r="CB1560" s="68"/>
      <c r="CC1560" s="68"/>
      <c r="CD1560" s="68"/>
      <c r="CE1560" s="68"/>
      <c r="CF1560" s="68"/>
      <c r="CG1560" s="68"/>
      <c r="CH1560" s="68"/>
      <c r="CI1560" s="68"/>
      <c r="CJ1560" s="68"/>
      <c r="CK1560" s="68"/>
      <c r="CL1560" s="68"/>
      <c r="CM1560" s="68"/>
      <c r="CN1560" s="68"/>
      <c r="CO1560" s="68"/>
      <c r="CP1560" s="68"/>
      <c r="CQ1560" s="68"/>
      <c r="CR1560" s="68"/>
      <c r="CS1560" s="68"/>
      <c r="CT1560" s="68"/>
      <c r="CU1560" s="68"/>
      <c r="CV1560" s="68"/>
      <c r="CW1560" s="68"/>
      <c r="CX1560" s="68"/>
    </row>
    <row r="1561" spans="4:102" s="71" customFormat="1" hidden="1">
      <c r="D1561" s="69"/>
      <c r="E1561" s="68"/>
      <c r="F1561" s="68"/>
      <c r="G1561" s="68"/>
      <c r="H1561" s="68"/>
      <c r="I1561" s="68"/>
      <c r="J1561" s="68"/>
      <c r="K1561" s="73"/>
      <c r="L1561" s="68"/>
      <c r="M1561" s="68"/>
      <c r="N1561" s="68"/>
      <c r="O1561" s="68"/>
      <c r="P1561" s="65"/>
      <c r="Q1561" s="103"/>
      <c r="R1561" s="103"/>
      <c r="S1561" s="103"/>
      <c r="T1561" s="103"/>
      <c r="U1561" s="68"/>
      <c r="V1561" s="68"/>
      <c r="W1561" s="68"/>
      <c r="X1561" s="68"/>
      <c r="Y1561" s="68"/>
      <c r="Z1561" s="68"/>
      <c r="AA1561" s="68"/>
      <c r="AB1561" s="68"/>
      <c r="AC1561" s="68"/>
      <c r="AD1561" s="68"/>
      <c r="AE1561" s="68"/>
      <c r="AF1561" s="68"/>
      <c r="AG1561" s="68"/>
      <c r="AH1561" s="68"/>
      <c r="AI1561" s="68"/>
      <c r="AJ1561" s="68"/>
      <c r="AK1561" s="68"/>
      <c r="AL1561" s="68"/>
      <c r="AM1561" s="68"/>
      <c r="AN1561" s="68"/>
      <c r="AO1561" s="68"/>
      <c r="AP1561" s="68"/>
      <c r="AQ1561" s="68"/>
      <c r="AR1561" s="68"/>
      <c r="AS1561" s="68"/>
      <c r="AT1561" s="68"/>
      <c r="AU1561" s="68"/>
      <c r="AV1561" s="68"/>
      <c r="AW1561" s="68"/>
      <c r="AX1561" s="68"/>
      <c r="AY1561" s="68"/>
      <c r="AZ1561" s="68"/>
      <c r="BA1561" s="68"/>
      <c r="BB1561" s="68"/>
      <c r="BC1561" s="68"/>
      <c r="BD1561" s="68"/>
      <c r="BE1561" s="68"/>
      <c r="BF1561" s="68"/>
      <c r="BG1561" s="68"/>
      <c r="BH1561" s="68"/>
      <c r="BI1561" s="68"/>
      <c r="BJ1561" s="68"/>
      <c r="BK1561" s="68"/>
      <c r="BL1561" s="68"/>
      <c r="BM1561" s="68"/>
      <c r="BN1561" s="68"/>
      <c r="BO1561" s="68"/>
      <c r="BP1561" s="68"/>
      <c r="BQ1561" s="68"/>
      <c r="BR1561" s="68"/>
      <c r="BS1561" s="68"/>
      <c r="BT1561" s="68"/>
      <c r="BU1561" s="68"/>
      <c r="BV1561" s="68"/>
      <c r="BW1561" s="68"/>
      <c r="BX1561" s="68"/>
      <c r="BY1561" s="68"/>
      <c r="BZ1561" s="68"/>
      <c r="CA1561" s="68"/>
      <c r="CB1561" s="68"/>
      <c r="CC1561" s="68"/>
      <c r="CD1561" s="68"/>
      <c r="CE1561" s="68"/>
      <c r="CF1561" s="68"/>
      <c r="CG1561" s="68"/>
      <c r="CH1561" s="68"/>
      <c r="CI1561" s="68"/>
      <c r="CJ1561" s="68"/>
      <c r="CK1561" s="68"/>
      <c r="CL1561" s="68"/>
      <c r="CM1561" s="68"/>
      <c r="CN1561" s="68"/>
      <c r="CO1561" s="68"/>
      <c r="CP1561" s="68"/>
      <c r="CQ1561" s="68"/>
      <c r="CR1561" s="68"/>
      <c r="CS1561" s="68"/>
      <c r="CT1561" s="68"/>
      <c r="CU1561" s="68"/>
      <c r="CV1561" s="68"/>
      <c r="CW1561" s="68"/>
      <c r="CX1561" s="68"/>
    </row>
    <row r="1562" spans="4:102" s="71" customFormat="1" hidden="1">
      <c r="D1562" s="69"/>
      <c r="E1562" s="68"/>
      <c r="F1562" s="68"/>
      <c r="G1562" s="68"/>
      <c r="H1562" s="68"/>
      <c r="I1562" s="68"/>
      <c r="J1562" s="68"/>
      <c r="K1562" s="73"/>
      <c r="L1562" s="68"/>
      <c r="M1562" s="68"/>
      <c r="N1562" s="68"/>
      <c r="O1562" s="68"/>
      <c r="P1562" s="65"/>
      <c r="Q1562" s="103"/>
      <c r="R1562" s="103"/>
      <c r="S1562" s="103"/>
      <c r="T1562" s="103"/>
      <c r="U1562" s="68"/>
      <c r="V1562" s="68"/>
      <c r="W1562" s="68"/>
      <c r="X1562" s="68"/>
      <c r="Y1562" s="68"/>
      <c r="Z1562" s="68"/>
      <c r="AA1562" s="68"/>
      <c r="AB1562" s="68"/>
      <c r="AC1562" s="68"/>
      <c r="AD1562" s="68"/>
      <c r="AE1562" s="68"/>
      <c r="AF1562" s="68"/>
      <c r="AG1562" s="68"/>
      <c r="AH1562" s="68"/>
      <c r="AI1562" s="68"/>
      <c r="AJ1562" s="68"/>
      <c r="AK1562" s="68"/>
      <c r="AL1562" s="68"/>
      <c r="AM1562" s="68"/>
      <c r="AN1562" s="68"/>
      <c r="AO1562" s="68"/>
      <c r="AP1562" s="68"/>
      <c r="AQ1562" s="68"/>
      <c r="AR1562" s="68"/>
      <c r="AS1562" s="68"/>
      <c r="AT1562" s="68"/>
      <c r="AU1562" s="68"/>
      <c r="AV1562" s="68"/>
      <c r="AW1562" s="68"/>
      <c r="AX1562" s="68"/>
      <c r="AY1562" s="68"/>
      <c r="AZ1562" s="68"/>
      <c r="BA1562" s="68"/>
      <c r="BB1562" s="68"/>
      <c r="BC1562" s="68"/>
      <c r="BD1562" s="68"/>
      <c r="BE1562" s="68"/>
      <c r="BF1562" s="68"/>
      <c r="BG1562" s="68"/>
      <c r="BH1562" s="68"/>
      <c r="BI1562" s="68"/>
      <c r="BJ1562" s="68"/>
      <c r="BK1562" s="68"/>
      <c r="BL1562" s="68"/>
      <c r="BM1562" s="68"/>
      <c r="BN1562" s="68"/>
      <c r="BO1562" s="68"/>
      <c r="BP1562" s="68"/>
      <c r="BQ1562" s="68"/>
      <c r="BR1562" s="68"/>
      <c r="BS1562" s="68"/>
      <c r="BT1562" s="68"/>
      <c r="BU1562" s="68"/>
      <c r="BV1562" s="68"/>
      <c r="BW1562" s="68"/>
      <c r="BX1562" s="68"/>
      <c r="BY1562" s="68"/>
      <c r="BZ1562" s="68"/>
      <c r="CA1562" s="68"/>
      <c r="CB1562" s="68"/>
      <c r="CC1562" s="68"/>
      <c r="CD1562" s="68"/>
      <c r="CE1562" s="68"/>
      <c r="CF1562" s="68"/>
      <c r="CG1562" s="68"/>
      <c r="CH1562" s="68"/>
      <c r="CI1562" s="68"/>
      <c r="CJ1562" s="68"/>
      <c r="CK1562" s="68"/>
      <c r="CL1562" s="68"/>
      <c r="CM1562" s="68"/>
      <c r="CN1562" s="68"/>
      <c r="CO1562" s="68"/>
      <c r="CP1562" s="68"/>
      <c r="CQ1562" s="68"/>
      <c r="CR1562" s="68"/>
      <c r="CS1562" s="68"/>
      <c r="CT1562" s="68"/>
      <c r="CU1562" s="68"/>
      <c r="CV1562" s="68"/>
      <c r="CW1562" s="68"/>
      <c r="CX1562" s="68"/>
    </row>
    <row r="1563" spans="4:102" s="71" customFormat="1" hidden="1">
      <c r="D1563" s="69"/>
      <c r="E1563" s="68"/>
      <c r="F1563" s="68"/>
      <c r="G1563" s="68"/>
      <c r="H1563" s="68"/>
      <c r="I1563" s="68"/>
      <c r="J1563" s="68"/>
      <c r="K1563" s="73"/>
      <c r="L1563" s="68"/>
      <c r="M1563" s="68"/>
      <c r="N1563" s="68"/>
      <c r="O1563" s="68"/>
      <c r="P1563" s="65"/>
      <c r="Q1563" s="103"/>
      <c r="R1563" s="103"/>
      <c r="S1563" s="103"/>
      <c r="T1563" s="103"/>
      <c r="U1563" s="68"/>
      <c r="V1563" s="68"/>
      <c r="W1563" s="68"/>
      <c r="X1563" s="68"/>
      <c r="Y1563" s="68"/>
      <c r="Z1563" s="68"/>
      <c r="AA1563" s="68"/>
      <c r="AB1563" s="68"/>
      <c r="AC1563" s="68"/>
      <c r="AD1563" s="68"/>
      <c r="AE1563" s="68"/>
      <c r="AF1563" s="68"/>
      <c r="AG1563" s="68"/>
      <c r="AH1563" s="68"/>
      <c r="AI1563" s="68"/>
      <c r="AJ1563" s="68"/>
      <c r="AK1563" s="68"/>
      <c r="AL1563" s="68"/>
      <c r="AM1563" s="68"/>
      <c r="AN1563" s="68"/>
      <c r="AO1563" s="68"/>
      <c r="AP1563" s="68"/>
      <c r="AQ1563" s="68"/>
      <c r="AR1563" s="68"/>
      <c r="AS1563" s="68"/>
      <c r="AT1563" s="68"/>
      <c r="AU1563" s="68"/>
      <c r="AV1563" s="68"/>
      <c r="AW1563" s="68"/>
      <c r="AX1563" s="68"/>
      <c r="AY1563" s="68"/>
      <c r="AZ1563" s="68"/>
      <c r="BA1563" s="68"/>
      <c r="BB1563" s="68"/>
      <c r="BC1563" s="68"/>
      <c r="BD1563" s="68"/>
      <c r="BE1563" s="68"/>
      <c r="BF1563" s="68"/>
      <c r="BG1563" s="68"/>
      <c r="BH1563" s="68"/>
      <c r="BI1563" s="68"/>
      <c r="BJ1563" s="68"/>
      <c r="BK1563" s="68"/>
      <c r="BL1563" s="68"/>
      <c r="BM1563" s="68"/>
      <c r="BN1563" s="68"/>
      <c r="BO1563" s="68"/>
      <c r="BP1563" s="68"/>
      <c r="BQ1563" s="68"/>
      <c r="BR1563" s="68"/>
      <c r="BS1563" s="68"/>
      <c r="BT1563" s="68"/>
      <c r="BU1563" s="68"/>
      <c r="BV1563" s="68"/>
      <c r="BW1563" s="68"/>
      <c r="BX1563" s="68"/>
      <c r="BY1563" s="68"/>
      <c r="BZ1563" s="68"/>
      <c r="CA1563" s="68"/>
      <c r="CB1563" s="68"/>
      <c r="CC1563" s="68"/>
      <c r="CD1563" s="68"/>
      <c r="CE1563" s="68"/>
      <c r="CF1563" s="68"/>
      <c r="CG1563" s="68"/>
      <c r="CH1563" s="68"/>
      <c r="CI1563" s="68"/>
      <c r="CJ1563" s="68"/>
      <c r="CK1563" s="68"/>
      <c r="CL1563" s="68"/>
      <c r="CM1563" s="68"/>
      <c r="CN1563" s="68"/>
      <c r="CO1563" s="68"/>
      <c r="CP1563" s="68"/>
      <c r="CQ1563" s="68"/>
      <c r="CR1563" s="68"/>
      <c r="CS1563" s="68"/>
      <c r="CT1563" s="68"/>
      <c r="CU1563" s="68"/>
      <c r="CV1563" s="68"/>
      <c r="CW1563" s="68"/>
      <c r="CX1563" s="68"/>
    </row>
    <row r="1564" spans="4:102" s="71" customFormat="1" hidden="1">
      <c r="D1564" s="69"/>
      <c r="E1564" s="68"/>
      <c r="F1564" s="68"/>
      <c r="G1564" s="68"/>
      <c r="H1564" s="68"/>
      <c r="I1564" s="68"/>
      <c r="J1564" s="68"/>
      <c r="K1564" s="73"/>
      <c r="L1564" s="68"/>
      <c r="M1564" s="68"/>
      <c r="N1564" s="68"/>
      <c r="O1564" s="68"/>
      <c r="P1564" s="65"/>
      <c r="Q1564" s="103"/>
      <c r="R1564" s="103"/>
      <c r="S1564" s="103"/>
      <c r="T1564" s="103"/>
      <c r="U1564" s="68"/>
      <c r="V1564" s="68"/>
      <c r="W1564" s="68"/>
      <c r="X1564" s="68"/>
      <c r="Y1564" s="68"/>
      <c r="Z1564" s="68"/>
      <c r="AA1564" s="68"/>
      <c r="AB1564" s="68"/>
      <c r="AC1564" s="68"/>
      <c r="AD1564" s="68"/>
      <c r="AE1564" s="68"/>
      <c r="AF1564" s="68"/>
      <c r="AG1564" s="68"/>
      <c r="AH1564" s="68"/>
      <c r="AI1564" s="68"/>
      <c r="AJ1564" s="68"/>
      <c r="AK1564" s="68"/>
      <c r="AL1564" s="68"/>
      <c r="AM1564" s="68"/>
      <c r="AN1564" s="68"/>
      <c r="AO1564" s="68"/>
      <c r="AP1564" s="68"/>
      <c r="AQ1564" s="68"/>
      <c r="AR1564" s="68"/>
      <c r="AS1564" s="68"/>
      <c r="AT1564" s="68"/>
      <c r="AU1564" s="68"/>
      <c r="AV1564" s="68"/>
      <c r="AW1564" s="68"/>
      <c r="AX1564" s="68"/>
      <c r="AY1564" s="68"/>
      <c r="AZ1564" s="68"/>
      <c r="BA1564" s="68"/>
      <c r="BB1564" s="68"/>
      <c r="BC1564" s="68"/>
      <c r="BD1564" s="68"/>
      <c r="BE1564" s="68"/>
      <c r="BF1564" s="68"/>
      <c r="BG1564" s="68"/>
      <c r="BH1564" s="68"/>
      <c r="BI1564" s="68"/>
      <c r="BJ1564" s="68"/>
      <c r="BK1564" s="68"/>
      <c r="BL1564" s="68"/>
      <c r="BM1564" s="68"/>
      <c r="BN1564" s="68"/>
      <c r="BO1564" s="68"/>
      <c r="BP1564" s="68"/>
      <c r="BQ1564" s="68"/>
      <c r="BR1564" s="68"/>
      <c r="BS1564" s="68"/>
      <c r="BT1564" s="68"/>
      <c r="BU1564" s="68"/>
      <c r="BV1564" s="68"/>
      <c r="BW1564" s="68"/>
      <c r="BX1564" s="68"/>
      <c r="BY1564" s="68"/>
      <c r="BZ1564" s="68"/>
      <c r="CA1564" s="68"/>
      <c r="CB1564" s="68"/>
      <c r="CC1564" s="68"/>
      <c r="CD1564" s="68"/>
      <c r="CE1564" s="68"/>
      <c r="CF1564" s="68"/>
      <c r="CG1564" s="68"/>
      <c r="CH1564" s="68"/>
      <c r="CI1564" s="68"/>
      <c r="CJ1564" s="68"/>
      <c r="CK1564" s="68"/>
      <c r="CL1564" s="68"/>
      <c r="CM1564" s="68"/>
      <c r="CN1564" s="68"/>
      <c r="CO1564" s="68"/>
      <c r="CP1564" s="68"/>
      <c r="CQ1564" s="68"/>
      <c r="CR1564" s="68"/>
      <c r="CS1564" s="68"/>
      <c r="CT1564" s="68"/>
      <c r="CU1564" s="68"/>
      <c r="CV1564" s="68"/>
      <c r="CW1564" s="68"/>
      <c r="CX1564" s="68"/>
    </row>
    <row r="1565" spans="4:102" s="71" customFormat="1" hidden="1">
      <c r="D1565" s="69"/>
      <c r="E1565" s="68"/>
      <c r="F1565" s="68"/>
      <c r="G1565" s="68"/>
      <c r="H1565" s="68"/>
      <c r="I1565" s="68"/>
      <c r="J1565" s="68"/>
      <c r="K1565" s="73"/>
      <c r="L1565" s="68"/>
      <c r="M1565" s="68"/>
      <c r="N1565" s="68"/>
      <c r="O1565" s="68"/>
      <c r="P1565" s="65"/>
      <c r="Q1565" s="103"/>
      <c r="R1565" s="103"/>
      <c r="S1565" s="103"/>
      <c r="T1565" s="103"/>
      <c r="U1565" s="68"/>
      <c r="V1565" s="68"/>
      <c r="W1565" s="68"/>
      <c r="X1565" s="68"/>
      <c r="Y1565" s="68"/>
      <c r="Z1565" s="68"/>
      <c r="AA1565" s="68"/>
      <c r="AB1565" s="68"/>
      <c r="AC1565" s="68"/>
      <c r="AD1565" s="68"/>
      <c r="AE1565" s="68"/>
      <c r="AF1565" s="68"/>
      <c r="AG1565" s="68"/>
      <c r="AH1565" s="68"/>
      <c r="AI1565" s="68"/>
      <c r="AJ1565" s="68"/>
      <c r="AK1565" s="68"/>
      <c r="AL1565" s="68"/>
      <c r="AM1565" s="68"/>
      <c r="AN1565" s="68"/>
      <c r="AO1565" s="68"/>
      <c r="AP1565" s="68"/>
      <c r="AQ1565" s="68"/>
      <c r="AR1565" s="68"/>
      <c r="AS1565" s="68"/>
      <c r="AT1565" s="68"/>
      <c r="AU1565" s="68"/>
      <c r="AV1565" s="68"/>
      <c r="AW1565" s="68"/>
      <c r="AX1565" s="68"/>
      <c r="AY1565" s="68"/>
      <c r="AZ1565" s="68"/>
      <c r="BA1565" s="68"/>
      <c r="BB1565" s="68"/>
      <c r="BC1565" s="68"/>
      <c r="BD1565" s="68"/>
      <c r="BE1565" s="68"/>
      <c r="BF1565" s="68"/>
      <c r="BG1565" s="68"/>
      <c r="BH1565" s="68"/>
      <c r="BI1565" s="68"/>
      <c r="BJ1565" s="68"/>
      <c r="BK1565" s="68"/>
      <c r="BL1565" s="68"/>
      <c r="BM1565" s="68"/>
      <c r="BN1565" s="68"/>
      <c r="BO1565" s="68"/>
      <c r="BP1565" s="68"/>
      <c r="BQ1565" s="68"/>
      <c r="BR1565" s="68"/>
      <c r="BS1565" s="68"/>
      <c r="BT1565" s="68"/>
      <c r="BU1565" s="68"/>
      <c r="BV1565" s="68"/>
      <c r="BW1565" s="68"/>
      <c r="BX1565" s="68"/>
      <c r="BY1565" s="68"/>
      <c r="BZ1565" s="68"/>
      <c r="CA1565" s="68"/>
      <c r="CB1565" s="68"/>
      <c r="CC1565" s="68"/>
      <c r="CD1565" s="68"/>
      <c r="CE1565" s="68"/>
      <c r="CF1565" s="68"/>
      <c r="CG1565" s="68"/>
      <c r="CH1565" s="68"/>
      <c r="CI1565" s="68"/>
      <c r="CJ1565" s="68"/>
      <c r="CK1565" s="68"/>
      <c r="CL1565" s="68"/>
      <c r="CM1565" s="68"/>
      <c r="CN1565" s="68"/>
      <c r="CO1565" s="68"/>
      <c r="CP1565" s="68"/>
      <c r="CQ1565" s="68"/>
      <c r="CR1565" s="68"/>
      <c r="CS1565" s="68"/>
      <c r="CT1565" s="68"/>
      <c r="CU1565" s="68"/>
      <c r="CV1565" s="68"/>
      <c r="CW1565" s="68"/>
      <c r="CX1565" s="68"/>
    </row>
    <row r="1566" spans="4:102" s="71" customFormat="1" hidden="1">
      <c r="D1566" s="69"/>
      <c r="E1566" s="68"/>
      <c r="F1566" s="68"/>
      <c r="G1566" s="68"/>
      <c r="H1566" s="68"/>
      <c r="I1566" s="68"/>
      <c r="J1566" s="68"/>
      <c r="K1566" s="73"/>
      <c r="L1566" s="68"/>
      <c r="M1566" s="68"/>
      <c r="N1566" s="68"/>
      <c r="O1566" s="68"/>
      <c r="P1566" s="65"/>
      <c r="Q1566" s="103"/>
      <c r="R1566" s="103"/>
      <c r="S1566" s="103"/>
      <c r="T1566" s="103"/>
      <c r="U1566" s="68"/>
      <c r="V1566" s="68"/>
      <c r="W1566" s="68"/>
      <c r="X1566" s="68"/>
      <c r="Y1566" s="68"/>
      <c r="Z1566" s="68"/>
      <c r="AA1566" s="68"/>
      <c r="AB1566" s="68"/>
      <c r="AC1566" s="68"/>
      <c r="AD1566" s="68"/>
      <c r="AE1566" s="68"/>
      <c r="AF1566" s="68"/>
      <c r="AG1566" s="68"/>
      <c r="AH1566" s="68"/>
      <c r="AI1566" s="68"/>
      <c r="AJ1566" s="68"/>
      <c r="AK1566" s="68"/>
      <c r="AL1566" s="68"/>
      <c r="AM1566" s="68"/>
      <c r="AN1566" s="68"/>
      <c r="AO1566" s="68"/>
      <c r="AP1566" s="68"/>
      <c r="AQ1566" s="68"/>
      <c r="AR1566" s="68"/>
      <c r="AS1566" s="68"/>
      <c r="AT1566" s="68"/>
      <c r="AU1566" s="68"/>
      <c r="AV1566" s="68"/>
      <c r="AW1566" s="68"/>
      <c r="AX1566" s="68"/>
      <c r="AY1566" s="68"/>
      <c r="AZ1566" s="68"/>
      <c r="BA1566" s="68"/>
      <c r="BB1566" s="68"/>
      <c r="BC1566" s="68"/>
      <c r="BD1566" s="68"/>
      <c r="BE1566" s="68"/>
      <c r="BF1566" s="68"/>
      <c r="BG1566" s="68"/>
      <c r="BH1566" s="68"/>
      <c r="BI1566" s="68"/>
      <c r="BJ1566" s="68"/>
      <c r="BK1566" s="68"/>
      <c r="BL1566" s="68"/>
      <c r="BM1566" s="68"/>
      <c r="BN1566" s="68"/>
      <c r="BO1566" s="68"/>
      <c r="BP1566" s="68"/>
      <c r="BQ1566" s="68"/>
      <c r="BR1566" s="68"/>
      <c r="BS1566" s="68"/>
      <c r="BT1566" s="68"/>
      <c r="BU1566" s="68"/>
      <c r="BV1566" s="68"/>
      <c r="BW1566" s="68"/>
      <c r="BX1566" s="68"/>
      <c r="BY1566" s="68"/>
      <c r="BZ1566" s="68"/>
      <c r="CA1566" s="68"/>
      <c r="CB1566" s="68"/>
      <c r="CC1566" s="68"/>
      <c r="CD1566" s="68"/>
      <c r="CE1566" s="68"/>
      <c r="CF1566" s="68"/>
      <c r="CG1566" s="68"/>
      <c r="CH1566" s="68"/>
      <c r="CI1566" s="68"/>
      <c r="CJ1566" s="68"/>
      <c r="CK1566" s="68"/>
      <c r="CL1566" s="68"/>
      <c r="CM1566" s="68"/>
      <c r="CN1566" s="68"/>
      <c r="CO1566" s="68"/>
      <c r="CP1566" s="68"/>
      <c r="CQ1566" s="68"/>
      <c r="CR1566" s="68"/>
      <c r="CS1566" s="68"/>
      <c r="CT1566" s="68"/>
      <c r="CU1566" s="68"/>
      <c r="CV1566" s="68"/>
      <c r="CW1566" s="68"/>
      <c r="CX1566" s="68"/>
    </row>
    <row r="1567" spans="4:102" s="71" customFormat="1" hidden="1">
      <c r="D1567" s="69"/>
      <c r="E1567" s="68"/>
      <c r="F1567" s="68"/>
      <c r="G1567" s="68"/>
      <c r="H1567" s="68"/>
      <c r="I1567" s="68"/>
      <c r="J1567" s="68"/>
      <c r="K1567" s="73"/>
      <c r="L1567" s="68"/>
      <c r="M1567" s="68"/>
      <c r="N1567" s="68"/>
      <c r="O1567" s="68"/>
      <c r="P1567" s="65"/>
      <c r="Q1567" s="103"/>
      <c r="R1567" s="103"/>
      <c r="S1567" s="103"/>
      <c r="T1567" s="103"/>
      <c r="U1567" s="68"/>
      <c r="V1567" s="68"/>
      <c r="W1567" s="68"/>
      <c r="X1567" s="68"/>
      <c r="Y1567" s="68"/>
      <c r="Z1567" s="68"/>
      <c r="AA1567" s="68"/>
      <c r="AB1567" s="68"/>
      <c r="AC1567" s="68"/>
      <c r="AD1567" s="68"/>
      <c r="AE1567" s="68"/>
      <c r="AF1567" s="68"/>
      <c r="AG1567" s="68"/>
      <c r="AH1567" s="68"/>
      <c r="AI1567" s="68"/>
      <c r="AJ1567" s="68"/>
      <c r="AK1567" s="68"/>
      <c r="AL1567" s="68"/>
      <c r="AM1567" s="68"/>
      <c r="AN1567" s="68"/>
      <c r="AO1567" s="68"/>
      <c r="AP1567" s="68"/>
      <c r="AQ1567" s="68"/>
      <c r="AR1567" s="68"/>
      <c r="AS1567" s="68"/>
      <c r="AT1567" s="68"/>
      <c r="AU1567" s="68"/>
      <c r="AV1567" s="68"/>
      <c r="AW1567" s="68"/>
      <c r="AX1567" s="68"/>
      <c r="AY1567" s="68"/>
      <c r="AZ1567" s="68"/>
      <c r="BA1567" s="68"/>
      <c r="BB1567" s="68"/>
      <c r="BC1567" s="68"/>
      <c r="BD1567" s="68"/>
      <c r="BE1567" s="68"/>
      <c r="BF1567" s="68"/>
      <c r="BG1567" s="68"/>
      <c r="BH1567" s="68"/>
      <c r="BI1567" s="68"/>
      <c r="BJ1567" s="68"/>
      <c r="BK1567" s="68"/>
      <c r="BL1567" s="68"/>
      <c r="BM1567" s="68"/>
      <c r="BN1567" s="68"/>
      <c r="BO1567" s="68"/>
      <c r="BP1567" s="68"/>
      <c r="BQ1567" s="68"/>
      <c r="BR1567" s="68"/>
      <c r="BS1567" s="68"/>
      <c r="BT1567" s="68"/>
      <c r="BU1567" s="68"/>
      <c r="BV1567" s="68"/>
      <c r="BW1567" s="68"/>
      <c r="BX1567" s="68"/>
      <c r="BY1567" s="68"/>
      <c r="BZ1567" s="68"/>
      <c r="CA1567" s="68"/>
      <c r="CB1567" s="68"/>
      <c r="CC1567" s="68"/>
      <c r="CD1567" s="68"/>
      <c r="CE1567" s="68"/>
      <c r="CF1567" s="68"/>
      <c r="CG1567" s="68"/>
      <c r="CH1567" s="68"/>
      <c r="CI1567" s="68"/>
      <c r="CJ1567" s="68"/>
      <c r="CK1567" s="68"/>
      <c r="CL1567" s="68"/>
      <c r="CM1567" s="68"/>
      <c r="CN1567" s="68"/>
      <c r="CO1567" s="68"/>
      <c r="CP1567" s="68"/>
      <c r="CQ1567" s="68"/>
      <c r="CR1567" s="68"/>
      <c r="CS1567" s="68"/>
      <c r="CT1567" s="68"/>
      <c r="CU1567" s="68"/>
      <c r="CV1567" s="68"/>
      <c r="CW1567" s="68"/>
      <c r="CX1567" s="68"/>
    </row>
    <row r="1568" spans="4:102" s="71" customFormat="1" hidden="1">
      <c r="D1568" s="69"/>
      <c r="E1568" s="68"/>
      <c r="F1568" s="68"/>
      <c r="G1568" s="68"/>
      <c r="H1568" s="68"/>
      <c r="I1568" s="68"/>
      <c r="J1568" s="68"/>
      <c r="K1568" s="73"/>
      <c r="L1568" s="68"/>
      <c r="M1568" s="68"/>
      <c r="N1568" s="68"/>
      <c r="O1568" s="68"/>
      <c r="P1568" s="65"/>
      <c r="Q1568" s="103"/>
      <c r="R1568" s="103"/>
      <c r="S1568" s="103"/>
      <c r="T1568" s="103"/>
      <c r="U1568" s="68"/>
      <c r="V1568" s="68"/>
      <c r="W1568" s="68"/>
      <c r="X1568" s="68"/>
      <c r="Y1568" s="68"/>
      <c r="Z1568" s="68"/>
      <c r="AA1568" s="68"/>
      <c r="AB1568" s="68"/>
      <c r="AC1568" s="68"/>
      <c r="AD1568" s="68"/>
      <c r="AE1568" s="68"/>
      <c r="AF1568" s="68"/>
      <c r="AG1568" s="68"/>
      <c r="AH1568" s="68"/>
      <c r="AI1568" s="68"/>
      <c r="AJ1568" s="68"/>
      <c r="AK1568" s="68"/>
      <c r="AL1568" s="68"/>
      <c r="AM1568" s="68"/>
      <c r="AN1568" s="68"/>
      <c r="AO1568" s="68"/>
      <c r="AP1568" s="68"/>
      <c r="AQ1568" s="68"/>
      <c r="AR1568" s="68"/>
      <c r="AS1568" s="68"/>
      <c r="AT1568" s="68"/>
      <c r="AU1568" s="68"/>
      <c r="AV1568" s="68"/>
      <c r="AW1568" s="68"/>
      <c r="AX1568" s="68"/>
      <c r="AY1568" s="68"/>
      <c r="AZ1568" s="68"/>
      <c r="BA1568" s="68"/>
      <c r="BB1568" s="68"/>
      <c r="BC1568" s="68"/>
      <c r="BD1568" s="68"/>
      <c r="BE1568" s="68"/>
      <c r="BF1568" s="68"/>
      <c r="BG1568" s="68"/>
      <c r="BH1568" s="68"/>
      <c r="BI1568" s="68"/>
      <c r="BJ1568" s="68"/>
      <c r="BK1568" s="68"/>
      <c r="BL1568" s="68"/>
      <c r="BM1568" s="68"/>
      <c r="BN1568" s="68"/>
      <c r="BO1568" s="68"/>
      <c r="BP1568" s="68"/>
      <c r="BQ1568" s="68"/>
      <c r="BR1568" s="68"/>
      <c r="BS1568" s="68"/>
      <c r="BT1568" s="68"/>
      <c r="BU1568" s="68"/>
      <c r="BV1568" s="68"/>
      <c r="BW1568" s="68"/>
      <c r="BX1568" s="68"/>
      <c r="BY1568" s="68"/>
      <c r="BZ1568" s="68"/>
      <c r="CA1568" s="68"/>
      <c r="CB1568" s="68"/>
      <c r="CC1568" s="68"/>
      <c r="CD1568" s="68"/>
      <c r="CE1568" s="68"/>
      <c r="CF1568" s="68"/>
      <c r="CG1568" s="68"/>
      <c r="CH1568" s="68"/>
      <c r="CI1568" s="68"/>
      <c r="CJ1568" s="68"/>
      <c r="CK1568" s="68"/>
      <c r="CL1568" s="68"/>
      <c r="CM1568" s="68"/>
      <c r="CN1568" s="68"/>
      <c r="CO1568" s="68"/>
      <c r="CP1568" s="68"/>
      <c r="CQ1568" s="68"/>
      <c r="CR1568" s="68"/>
      <c r="CS1568" s="68"/>
      <c r="CT1568" s="68"/>
      <c r="CU1568" s="68"/>
      <c r="CV1568" s="68"/>
      <c r="CW1568" s="68"/>
      <c r="CX1568" s="68"/>
    </row>
    <row r="1569" spans="4:102" s="71" customFormat="1" hidden="1">
      <c r="D1569" s="69"/>
      <c r="E1569" s="68"/>
      <c r="F1569" s="68"/>
      <c r="G1569" s="68"/>
      <c r="H1569" s="68"/>
      <c r="I1569" s="68"/>
      <c r="J1569" s="68"/>
      <c r="K1569" s="73"/>
      <c r="L1569" s="68"/>
      <c r="M1569" s="68"/>
      <c r="N1569" s="68"/>
      <c r="O1569" s="68"/>
      <c r="P1569" s="65"/>
      <c r="Q1569" s="103"/>
      <c r="R1569" s="103"/>
      <c r="S1569" s="103"/>
      <c r="T1569" s="103"/>
      <c r="U1569" s="68"/>
      <c r="V1569" s="68"/>
      <c r="W1569" s="68"/>
      <c r="X1569" s="68"/>
      <c r="Y1569" s="68"/>
      <c r="Z1569" s="68"/>
      <c r="AA1569" s="68"/>
      <c r="AB1569" s="68"/>
      <c r="AC1569" s="68"/>
      <c r="AD1569" s="68"/>
      <c r="AE1569" s="68"/>
      <c r="AF1569" s="68"/>
      <c r="AG1569" s="68"/>
      <c r="AH1569" s="68"/>
      <c r="AI1569" s="68"/>
      <c r="AJ1569" s="68"/>
      <c r="AK1569" s="68"/>
      <c r="AL1569" s="68"/>
      <c r="AM1569" s="68"/>
      <c r="AN1569" s="68"/>
      <c r="AO1569" s="68"/>
      <c r="AP1569" s="68"/>
      <c r="AQ1569" s="68"/>
      <c r="AR1569" s="68"/>
      <c r="AS1569" s="68"/>
      <c r="AT1569" s="68"/>
      <c r="AU1569" s="68"/>
      <c r="AV1569" s="68"/>
      <c r="AW1569" s="68"/>
      <c r="AX1569" s="68"/>
      <c r="AY1569" s="68"/>
      <c r="AZ1569" s="68"/>
      <c r="BA1569" s="68"/>
      <c r="BB1569" s="68"/>
      <c r="BC1569" s="68"/>
      <c r="BD1569" s="68"/>
      <c r="BE1569" s="68"/>
      <c r="BF1569" s="68"/>
      <c r="BG1569" s="68"/>
      <c r="BH1569" s="68"/>
      <c r="BI1569" s="68"/>
      <c r="BJ1569" s="68"/>
      <c r="BK1569" s="68"/>
      <c r="BL1569" s="68"/>
      <c r="BM1569" s="68"/>
      <c r="BN1569" s="68"/>
      <c r="BO1569" s="68"/>
      <c r="BP1569" s="68"/>
      <c r="BQ1569" s="68"/>
      <c r="BR1569" s="68"/>
      <c r="BS1569" s="68"/>
      <c r="BT1569" s="68"/>
      <c r="BU1569" s="68"/>
      <c r="BV1569" s="68"/>
      <c r="BW1569" s="68"/>
      <c r="BX1569" s="68"/>
      <c r="BY1569" s="68"/>
      <c r="BZ1569" s="68"/>
      <c r="CA1569" s="68"/>
      <c r="CB1569" s="68"/>
      <c r="CC1569" s="68"/>
      <c r="CD1569" s="68"/>
      <c r="CE1569" s="68"/>
      <c r="CF1569" s="68"/>
      <c r="CG1569" s="68"/>
      <c r="CH1569" s="68"/>
      <c r="CI1569" s="68"/>
      <c r="CJ1569" s="68"/>
      <c r="CK1569" s="68"/>
      <c r="CL1569" s="68"/>
      <c r="CM1569" s="68"/>
      <c r="CN1569" s="68"/>
      <c r="CO1569" s="68"/>
      <c r="CP1569" s="68"/>
      <c r="CQ1569" s="68"/>
      <c r="CR1569" s="68"/>
      <c r="CS1569" s="68"/>
      <c r="CT1569" s="68"/>
      <c r="CU1569" s="68"/>
      <c r="CV1569" s="68"/>
      <c r="CW1569" s="68"/>
      <c r="CX1569" s="68"/>
    </row>
    <row r="1570" spans="4:102" s="71" customFormat="1" hidden="1">
      <c r="D1570" s="69"/>
      <c r="E1570" s="68"/>
      <c r="F1570" s="68"/>
      <c r="G1570" s="68"/>
      <c r="H1570" s="68"/>
      <c r="I1570" s="68"/>
      <c r="J1570" s="68"/>
      <c r="K1570" s="73"/>
      <c r="L1570" s="68"/>
      <c r="M1570" s="68"/>
      <c r="N1570" s="68"/>
      <c r="O1570" s="68"/>
      <c r="P1570" s="65"/>
      <c r="Q1570" s="103"/>
      <c r="R1570" s="103"/>
      <c r="S1570" s="103"/>
      <c r="T1570" s="103"/>
      <c r="U1570" s="68"/>
      <c r="V1570" s="68"/>
      <c r="W1570" s="68"/>
      <c r="X1570" s="68"/>
      <c r="Y1570" s="68"/>
      <c r="Z1570" s="68"/>
      <c r="AA1570" s="68"/>
      <c r="AB1570" s="68"/>
      <c r="AC1570" s="68"/>
      <c r="AD1570" s="68"/>
      <c r="AE1570" s="68"/>
      <c r="AF1570" s="68"/>
      <c r="AG1570" s="68"/>
      <c r="AH1570" s="68"/>
      <c r="AI1570" s="68"/>
      <c r="AJ1570" s="68"/>
      <c r="AK1570" s="68"/>
      <c r="AL1570" s="68"/>
      <c r="AM1570" s="68"/>
      <c r="AN1570" s="68"/>
      <c r="AO1570" s="68"/>
      <c r="AP1570" s="68"/>
      <c r="AQ1570" s="68"/>
      <c r="AR1570" s="68"/>
      <c r="AS1570" s="68"/>
      <c r="AT1570" s="68"/>
      <c r="AU1570" s="68"/>
      <c r="AV1570" s="68"/>
      <c r="AW1570" s="68"/>
      <c r="AX1570" s="68"/>
      <c r="AY1570" s="68"/>
      <c r="AZ1570" s="68"/>
      <c r="BA1570" s="68"/>
      <c r="BB1570" s="68"/>
      <c r="BC1570" s="68"/>
      <c r="BD1570" s="68"/>
      <c r="BE1570" s="68"/>
      <c r="BF1570" s="68"/>
      <c r="BG1570" s="68"/>
      <c r="BH1570" s="68"/>
      <c r="BI1570" s="68"/>
      <c r="BJ1570" s="68"/>
      <c r="BK1570" s="68"/>
      <c r="BL1570" s="68"/>
      <c r="BM1570" s="68"/>
      <c r="BN1570" s="68"/>
      <c r="BO1570" s="68"/>
      <c r="BP1570" s="68"/>
      <c r="BQ1570" s="68"/>
      <c r="BR1570" s="68"/>
      <c r="BS1570" s="68"/>
      <c r="BT1570" s="68"/>
      <c r="BU1570" s="68"/>
      <c r="BV1570" s="68"/>
      <c r="BW1570" s="68"/>
      <c r="BX1570" s="68"/>
      <c r="BY1570" s="68"/>
      <c r="BZ1570" s="68"/>
      <c r="CA1570" s="68"/>
      <c r="CB1570" s="68"/>
      <c r="CC1570" s="68"/>
      <c r="CD1570" s="68"/>
      <c r="CE1570" s="68"/>
      <c r="CF1570" s="68"/>
      <c r="CG1570" s="68"/>
      <c r="CH1570" s="68"/>
      <c r="CI1570" s="68"/>
      <c r="CJ1570" s="68"/>
      <c r="CK1570" s="68"/>
      <c r="CL1570" s="68"/>
      <c r="CM1570" s="68"/>
      <c r="CN1570" s="68"/>
      <c r="CO1570" s="68"/>
      <c r="CP1570" s="68"/>
      <c r="CQ1570" s="68"/>
      <c r="CR1570" s="68"/>
      <c r="CS1570" s="68"/>
      <c r="CT1570" s="68"/>
      <c r="CU1570" s="68"/>
      <c r="CV1570" s="68"/>
      <c r="CW1570" s="68"/>
      <c r="CX1570" s="68"/>
    </row>
    <row r="1571" spans="4:102" s="71" customFormat="1" hidden="1">
      <c r="D1571" s="69"/>
      <c r="E1571" s="68"/>
      <c r="F1571" s="68"/>
      <c r="G1571" s="68"/>
      <c r="H1571" s="68"/>
      <c r="I1571" s="68"/>
      <c r="J1571" s="68"/>
      <c r="K1571" s="73"/>
      <c r="L1571" s="68"/>
      <c r="M1571" s="68"/>
      <c r="N1571" s="68"/>
      <c r="O1571" s="68"/>
      <c r="P1571" s="65"/>
      <c r="Q1571" s="103"/>
      <c r="R1571" s="103"/>
      <c r="S1571" s="103"/>
      <c r="T1571" s="103"/>
      <c r="U1571" s="68"/>
      <c r="V1571" s="68"/>
      <c r="W1571" s="68"/>
      <c r="X1571" s="68"/>
      <c r="Y1571" s="68"/>
      <c r="Z1571" s="68"/>
      <c r="AA1571" s="68"/>
      <c r="AB1571" s="68"/>
      <c r="AC1571" s="68"/>
      <c r="AD1571" s="68"/>
      <c r="AE1571" s="68"/>
      <c r="AF1571" s="68"/>
      <c r="AG1571" s="68"/>
      <c r="AH1571" s="68"/>
      <c r="AI1571" s="68"/>
      <c r="AJ1571" s="68"/>
      <c r="AK1571" s="68"/>
      <c r="AL1571" s="68"/>
      <c r="AM1571" s="68"/>
      <c r="AN1571" s="68"/>
      <c r="AO1571" s="68"/>
      <c r="AP1571" s="68"/>
      <c r="AQ1571" s="68"/>
      <c r="AR1571" s="68"/>
      <c r="AS1571" s="68"/>
      <c r="AT1571" s="68"/>
      <c r="AU1571" s="68"/>
      <c r="AV1571" s="68"/>
      <c r="AW1571" s="68"/>
      <c r="AX1571" s="68"/>
      <c r="AY1571" s="68"/>
      <c r="AZ1571" s="68"/>
      <c r="BA1571" s="68"/>
      <c r="BB1571" s="68"/>
      <c r="BC1571" s="68"/>
      <c r="BD1571" s="68"/>
      <c r="BE1571" s="68"/>
      <c r="BF1571" s="68"/>
      <c r="BG1571" s="68"/>
      <c r="BH1571" s="68"/>
      <c r="BI1571" s="68"/>
      <c r="BJ1571" s="68"/>
      <c r="BK1571" s="68"/>
      <c r="BL1571" s="68"/>
      <c r="BM1571" s="68"/>
      <c r="BN1571" s="68"/>
      <c r="BO1571" s="68"/>
      <c r="BP1571" s="68"/>
      <c r="BQ1571" s="68"/>
      <c r="BR1571" s="68"/>
      <c r="BS1571" s="68"/>
      <c r="BT1571" s="68"/>
      <c r="BU1571" s="68"/>
      <c r="BV1571" s="68"/>
      <c r="BW1571" s="68"/>
      <c r="BX1571" s="68"/>
      <c r="BY1571" s="68"/>
      <c r="BZ1571" s="68"/>
      <c r="CA1571" s="68"/>
      <c r="CB1571" s="68"/>
      <c r="CC1571" s="68"/>
      <c r="CD1571" s="68"/>
      <c r="CE1571" s="68"/>
      <c r="CF1571" s="68"/>
      <c r="CG1571" s="68"/>
      <c r="CH1571" s="68"/>
      <c r="CI1571" s="68"/>
      <c r="CJ1571" s="68"/>
      <c r="CK1571" s="68"/>
      <c r="CL1571" s="68"/>
      <c r="CM1571" s="68"/>
      <c r="CN1571" s="68"/>
      <c r="CO1571" s="68"/>
      <c r="CP1571" s="68"/>
      <c r="CQ1571" s="68"/>
      <c r="CR1571" s="68"/>
      <c r="CS1571" s="68"/>
      <c r="CT1571" s="68"/>
      <c r="CU1571" s="68"/>
      <c r="CV1571" s="68"/>
      <c r="CW1571" s="68"/>
      <c r="CX1571" s="68"/>
    </row>
    <row r="1572" spans="4:102" s="71" customFormat="1" hidden="1">
      <c r="D1572" s="69"/>
      <c r="E1572" s="68"/>
      <c r="F1572" s="68"/>
      <c r="G1572" s="68"/>
      <c r="H1572" s="68"/>
      <c r="I1572" s="68"/>
      <c r="J1572" s="68"/>
      <c r="K1572" s="73"/>
      <c r="L1572" s="68"/>
      <c r="M1572" s="68"/>
      <c r="N1572" s="68"/>
      <c r="O1572" s="68"/>
      <c r="P1572" s="65"/>
      <c r="Q1572" s="103"/>
      <c r="R1572" s="103"/>
      <c r="S1572" s="103"/>
      <c r="T1572" s="103"/>
      <c r="U1572" s="68"/>
      <c r="V1572" s="68"/>
      <c r="W1572" s="68"/>
      <c r="X1572" s="68"/>
      <c r="Y1572" s="68"/>
      <c r="Z1572" s="68"/>
      <c r="AA1572" s="68"/>
      <c r="AB1572" s="68"/>
      <c r="AC1572" s="68"/>
      <c r="AD1572" s="68"/>
      <c r="AE1572" s="68"/>
      <c r="AF1572" s="68"/>
      <c r="AG1572" s="68"/>
      <c r="AH1572" s="68"/>
      <c r="AI1572" s="68"/>
      <c r="AJ1572" s="68"/>
      <c r="AK1572" s="68"/>
      <c r="AL1572" s="68"/>
      <c r="AM1572" s="68"/>
      <c r="AN1572" s="68"/>
      <c r="AO1572" s="68"/>
      <c r="AP1572" s="68"/>
      <c r="AQ1572" s="68"/>
      <c r="AR1572" s="68"/>
      <c r="AS1572" s="68"/>
      <c r="AT1572" s="68"/>
      <c r="AU1572" s="68"/>
      <c r="AV1572" s="68"/>
      <c r="AW1572" s="68"/>
      <c r="AX1572" s="68"/>
      <c r="AY1572" s="68"/>
      <c r="AZ1572" s="68"/>
      <c r="BA1572" s="68"/>
      <c r="BB1572" s="68"/>
      <c r="BC1572" s="68"/>
      <c r="BD1572" s="68"/>
      <c r="BE1572" s="68"/>
      <c r="BF1572" s="68"/>
      <c r="BG1572" s="68"/>
      <c r="BH1572" s="68"/>
      <c r="BI1572" s="68"/>
      <c r="BJ1572" s="68"/>
      <c r="BK1572" s="68"/>
      <c r="BL1572" s="68"/>
      <c r="BM1572" s="68"/>
      <c r="BN1572" s="68"/>
      <c r="BO1572" s="68"/>
      <c r="BP1572" s="68"/>
      <c r="BQ1572" s="68"/>
      <c r="BR1572" s="68"/>
      <c r="BS1572" s="68"/>
      <c r="BT1572" s="68"/>
      <c r="BU1572" s="68"/>
      <c r="BV1572" s="68"/>
      <c r="BW1572" s="68"/>
      <c r="BX1572" s="68"/>
      <c r="BY1572" s="68"/>
      <c r="BZ1572" s="68"/>
      <c r="CA1572" s="68"/>
      <c r="CB1572" s="68"/>
      <c r="CC1572" s="68"/>
      <c r="CD1572" s="68"/>
      <c r="CE1572" s="68"/>
      <c r="CF1572" s="68"/>
      <c r="CG1572" s="68"/>
      <c r="CH1572" s="68"/>
      <c r="CI1572" s="68"/>
      <c r="CJ1572" s="68"/>
      <c r="CK1572" s="68"/>
      <c r="CL1572" s="68"/>
      <c r="CM1572" s="68"/>
      <c r="CN1572" s="68"/>
      <c r="CO1572" s="68"/>
      <c r="CP1572" s="68"/>
      <c r="CQ1572" s="68"/>
      <c r="CR1572" s="68"/>
      <c r="CS1572" s="68"/>
      <c r="CT1572" s="68"/>
      <c r="CU1572" s="68"/>
      <c r="CV1572" s="68"/>
      <c r="CW1572" s="68"/>
      <c r="CX1572" s="68"/>
    </row>
    <row r="1573" spans="4:102" s="71" customFormat="1" hidden="1">
      <c r="D1573" s="69"/>
      <c r="E1573" s="68"/>
      <c r="F1573" s="68"/>
      <c r="G1573" s="68"/>
      <c r="H1573" s="68"/>
      <c r="I1573" s="68"/>
      <c r="J1573" s="68"/>
      <c r="K1573" s="73"/>
      <c r="L1573" s="68"/>
      <c r="M1573" s="68"/>
      <c r="N1573" s="68"/>
      <c r="O1573" s="68"/>
      <c r="P1573" s="65"/>
      <c r="Q1573" s="103"/>
      <c r="R1573" s="103"/>
      <c r="S1573" s="103"/>
      <c r="T1573" s="103"/>
      <c r="U1573" s="68"/>
      <c r="V1573" s="68"/>
      <c r="W1573" s="68"/>
      <c r="X1573" s="68"/>
      <c r="Y1573" s="68"/>
      <c r="Z1573" s="68"/>
      <c r="AA1573" s="68"/>
      <c r="AB1573" s="68"/>
      <c r="AC1573" s="68"/>
      <c r="AD1573" s="68"/>
      <c r="AE1573" s="68"/>
      <c r="AF1573" s="68"/>
      <c r="AG1573" s="68"/>
      <c r="AH1573" s="68"/>
      <c r="AI1573" s="68"/>
      <c r="AJ1573" s="68"/>
      <c r="AK1573" s="68"/>
      <c r="AL1573" s="68"/>
      <c r="AM1573" s="68"/>
      <c r="AN1573" s="68"/>
      <c r="AO1573" s="68"/>
      <c r="AP1573" s="68"/>
      <c r="AQ1573" s="68"/>
      <c r="AR1573" s="68"/>
      <c r="AS1573" s="68"/>
      <c r="AT1573" s="68"/>
      <c r="AU1573" s="68"/>
      <c r="AV1573" s="68"/>
      <c r="AW1573" s="68"/>
      <c r="AX1573" s="68"/>
      <c r="AY1573" s="68"/>
      <c r="AZ1573" s="68"/>
      <c r="BA1573" s="68"/>
      <c r="BB1573" s="68"/>
      <c r="BC1573" s="68"/>
      <c r="BD1573" s="68"/>
      <c r="BE1573" s="68"/>
      <c r="BF1573" s="68"/>
      <c r="BG1573" s="68"/>
      <c r="BH1573" s="68"/>
      <c r="BI1573" s="68"/>
      <c r="BJ1573" s="68"/>
      <c r="BK1573" s="68"/>
      <c r="BL1573" s="68"/>
      <c r="BM1573" s="68"/>
      <c r="BN1573" s="68"/>
      <c r="BO1573" s="68"/>
      <c r="BP1573" s="68"/>
      <c r="BQ1573" s="68"/>
      <c r="BR1573" s="68"/>
      <c r="BS1573" s="68"/>
      <c r="BT1573" s="68"/>
      <c r="BU1573" s="68"/>
      <c r="BV1573" s="68"/>
      <c r="BW1573" s="68"/>
      <c r="BX1573" s="68"/>
      <c r="BY1573" s="68"/>
      <c r="BZ1573" s="68"/>
      <c r="CA1573" s="68"/>
      <c r="CB1573" s="68"/>
      <c r="CC1573" s="68"/>
      <c r="CD1573" s="68"/>
      <c r="CE1573" s="68"/>
      <c r="CF1573" s="68"/>
      <c r="CG1573" s="68"/>
      <c r="CH1573" s="68"/>
      <c r="CI1573" s="68"/>
      <c r="CJ1573" s="68"/>
      <c r="CK1573" s="68"/>
      <c r="CL1573" s="68"/>
      <c r="CM1573" s="68"/>
      <c r="CN1573" s="68"/>
      <c r="CO1573" s="68"/>
      <c r="CP1573" s="68"/>
      <c r="CQ1573" s="68"/>
      <c r="CR1573" s="68"/>
      <c r="CS1573" s="68"/>
      <c r="CT1573" s="68"/>
      <c r="CU1573" s="68"/>
      <c r="CV1573" s="68"/>
      <c r="CW1573" s="68"/>
      <c r="CX1573" s="68"/>
    </row>
    <row r="1574" spans="4:102" s="71" customFormat="1" hidden="1">
      <c r="D1574" s="69"/>
      <c r="E1574" s="68"/>
      <c r="F1574" s="68"/>
      <c r="G1574" s="68"/>
      <c r="H1574" s="68"/>
      <c r="I1574" s="68"/>
      <c r="J1574" s="68"/>
      <c r="K1574" s="73"/>
      <c r="L1574" s="68"/>
      <c r="M1574" s="68"/>
      <c r="N1574" s="68"/>
      <c r="O1574" s="68"/>
      <c r="P1574" s="65"/>
      <c r="Q1574" s="103"/>
      <c r="R1574" s="103"/>
      <c r="S1574" s="103"/>
      <c r="T1574" s="103"/>
      <c r="U1574" s="68"/>
      <c r="V1574" s="68"/>
      <c r="W1574" s="68"/>
      <c r="X1574" s="68"/>
      <c r="Y1574" s="68"/>
      <c r="Z1574" s="68"/>
      <c r="AA1574" s="68"/>
      <c r="AB1574" s="68"/>
      <c r="AC1574" s="68"/>
      <c r="AD1574" s="68"/>
      <c r="AE1574" s="68"/>
      <c r="AF1574" s="68"/>
      <c r="AG1574" s="68"/>
      <c r="AH1574" s="68"/>
      <c r="AI1574" s="68"/>
      <c r="AJ1574" s="68"/>
      <c r="AK1574" s="68"/>
      <c r="AL1574" s="68"/>
      <c r="AM1574" s="68"/>
      <c r="AN1574" s="68"/>
      <c r="AO1574" s="68"/>
      <c r="AP1574" s="68"/>
      <c r="AQ1574" s="68"/>
      <c r="AR1574" s="68"/>
      <c r="AS1574" s="68"/>
      <c r="AT1574" s="68"/>
      <c r="AU1574" s="68"/>
      <c r="AV1574" s="68"/>
      <c r="AW1574" s="68"/>
      <c r="AX1574" s="68"/>
      <c r="AY1574" s="68"/>
      <c r="AZ1574" s="68"/>
      <c r="BA1574" s="68"/>
      <c r="BB1574" s="68"/>
      <c r="BC1574" s="68"/>
      <c r="BD1574" s="68"/>
      <c r="BE1574" s="68"/>
      <c r="BF1574" s="68"/>
      <c r="BG1574" s="68"/>
      <c r="BH1574" s="68"/>
      <c r="BI1574" s="68"/>
      <c r="BJ1574" s="68"/>
      <c r="BK1574" s="68"/>
      <c r="BL1574" s="68"/>
      <c r="BM1574" s="68"/>
      <c r="BN1574" s="68"/>
      <c r="BO1574" s="68"/>
      <c r="BP1574" s="68"/>
      <c r="BQ1574" s="68"/>
      <c r="BR1574" s="68"/>
      <c r="BS1574" s="68"/>
      <c r="BT1574" s="68"/>
      <c r="BU1574" s="68"/>
      <c r="BV1574" s="68"/>
      <c r="BW1574" s="68"/>
      <c r="BX1574" s="68"/>
      <c r="BY1574" s="68"/>
      <c r="BZ1574" s="68"/>
      <c r="CA1574" s="68"/>
      <c r="CB1574" s="68"/>
      <c r="CC1574" s="68"/>
      <c r="CD1574" s="68"/>
      <c r="CE1574" s="68"/>
      <c r="CF1574" s="68"/>
      <c r="CG1574" s="68"/>
      <c r="CH1574" s="68"/>
      <c r="CI1574" s="68"/>
      <c r="CJ1574" s="68"/>
      <c r="CK1574" s="68"/>
      <c r="CL1574" s="68"/>
      <c r="CM1574" s="68"/>
      <c r="CN1574" s="68"/>
      <c r="CO1574" s="68"/>
      <c r="CP1574" s="68"/>
      <c r="CQ1574" s="68"/>
      <c r="CR1574" s="68"/>
      <c r="CS1574" s="68"/>
      <c r="CT1574" s="68"/>
      <c r="CU1574" s="68"/>
      <c r="CV1574" s="68"/>
      <c r="CW1574" s="68"/>
      <c r="CX1574" s="68"/>
    </row>
    <row r="1575" spans="4:102" s="71" customFormat="1" hidden="1">
      <c r="D1575" s="69"/>
      <c r="E1575" s="68"/>
      <c r="F1575" s="68"/>
      <c r="G1575" s="68"/>
      <c r="H1575" s="68"/>
      <c r="I1575" s="68"/>
      <c r="J1575" s="68"/>
      <c r="K1575" s="73"/>
      <c r="L1575" s="68"/>
      <c r="M1575" s="68"/>
      <c r="N1575" s="68"/>
      <c r="O1575" s="68"/>
      <c r="P1575" s="65"/>
      <c r="Q1575" s="103"/>
      <c r="R1575" s="103"/>
      <c r="S1575" s="103"/>
      <c r="T1575" s="103"/>
      <c r="U1575" s="68"/>
      <c r="V1575" s="68"/>
      <c r="W1575" s="68"/>
      <c r="X1575" s="68"/>
      <c r="Y1575" s="68"/>
      <c r="Z1575" s="68"/>
      <c r="AA1575" s="68"/>
      <c r="AB1575" s="68"/>
      <c r="AC1575" s="68"/>
      <c r="AD1575" s="68"/>
      <c r="AE1575" s="68"/>
      <c r="AF1575" s="68"/>
      <c r="AG1575" s="68"/>
      <c r="AH1575" s="68"/>
      <c r="AI1575" s="68"/>
      <c r="AJ1575" s="68"/>
      <c r="AK1575" s="68"/>
      <c r="AL1575" s="68"/>
      <c r="AM1575" s="68"/>
      <c r="AN1575" s="68"/>
      <c r="AO1575" s="68"/>
      <c r="AP1575" s="68"/>
      <c r="AQ1575" s="68"/>
      <c r="AR1575" s="68"/>
      <c r="AS1575" s="68"/>
      <c r="AT1575" s="68"/>
      <c r="AU1575" s="68"/>
      <c r="AV1575" s="68"/>
      <c r="AW1575" s="68"/>
      <c r="AX1575" s="68"/>
      <c r="AY1575" s="68"/>
      <c r="AZ1575" s="68"/>
      <c r="BA1575" s="68"/>
      <c r="BB1575" s="68"/>
      <c r="BC1575" s="68"/>
      <c r="BD1575" s="68"/>
      <c r="BE1575" s="68"/>
      <c r="BF1575" s="68"/>
      <c r="BG1575" s="68"/>
      <c r="BH1575" s="68"/>
      <c r="BI1575" s="68"/>
      <c r="BJ1575" s="68"/>
      <c r="BK1575" s="68"/>
      <c r="BL1575" s="68"/>
      <c r="BM1575" s="68"/>
      <c r="BN1575" s="68"/>
      <c r="BO1575" s="68"/>
      <c r="BP1575" s="68"/>
      <c r="BQ1575" s="68"/>
      <c r="BR1575" s="68"/>
      <c r="BS1575" s="68"/>
      <c r="BT1575" s="68"/>
      <c r="BU1575" s="68"/>
      <c r="BV1575" s="68"/>
      <c r="BW1575" s="68"/>
      <c r="BX1575" s="68"/>
      <c r="BY1575" s="68"/>
      <c r="BZ1575" s="68"/>
      <c r="CA1575" s="68"/>
      <c r="CB1575" s="68"/>
      <c r="CC1575" s="68"/>
      <c r="CD1575" s="68"/>
      <c r="CE1575" s="68"/>
      <c r="CF1575" s="68"/>
      <c r="CG1575" s="68"/>
      <c r="CH1575" s="68"/>
      <c r="CI1575" s="68"/>
      <c r="CJ1575" s="68"/>
      <c r="CK1575" s="68"/>
      <c r="CL1575" s="68"/>
      <c r="CM1575" s="68"/>
      <c r="CN1575" s="68"/>
      <c r="CO1575" s="68"/>
      <c r="CP1575" s="68"/>
      <c r="CQ1575" s="68"/>
      <c r="CR1575" s="68"/>
      <c r="CS1575" s="68"/>
      <c r="CT1575" s="68"/>
      <c r="CU1575" s="68"/>
      <c r="CV1575" s="68"/>
      <c r="CW1575" s="68"/>
      <c r="CX1575" s="68"/>
    </row>
    <row r="1576" spans="4:102" s="71" customFormat="1" hidden="1">
      <c r="D1576" s="69"/>
      <c r="E1576" s="68"/>
      <c r="F1576" s="68"/>
      <c r="G1576" s="68"/>
      <c r="H1576" s="68"/>
      <c r="I1576" s="68"/>
      <c r="J1576" s="68"/>
      <c r="K1576" s="73"/>
      <c r="L1576" s="68"/>
      <c r="M1576" s="68"/>
      <c r="N1576" s="68"/>
      <c r="O1576" s="68"/>
      <c r="P1576" s="65"/>
      <c r="Q1576" s="103"/>
      <c r="R1576" s="103"/>
      <c r="S1576" s="103"/>
      <c r="T1576" s="103"/>
      <c r="U1576" s="68"/>
      <c r="V1576" s="68"/>
      <c r="W1576" s="68"/>
      <c r="X1576" s="68"/>
      <c r="Y1576" s="68"/>
      <c r="Z1576" s="68"/>
      <c r="AA1576" s="68"/>
      <c r="AB1576" s="68"/>
      <c r="AC1576" s="68"/>
      <c r="AD1576" s="68"/>
      <c r="AE1576" s="68"/>
      <c r="AF1576" s="68"/>
      <c r="AG1576" s="68"/>
      <c r="AH1576" s="68"/>
      <c r="AI1576" s="68"/>
      <c r="AJ1576" s="68"/>
      <c r="AK1576" s="68"/>
      <c r="AL1576" s="68"/>
      <c r="AM1576" s="68"/>
      <c r="AN1576" s="68"/>
      <c r="AO1576" s="68"/>
      <c r="AP1576" s="68"/>
      <c r="AQ1576" s="68"/>
      <c r="AR1576" s="68"/>
      <c r="AS1576" s="68"/>
      <c r="AT1576" s="68"/>
      <c r="AU1576" s="68"/>
      <c r="AV1576" s="68"/>
      <c r="AW1576" s="68"/>
      <c r="AX1576" s="68"/>
      <c r="AY1576" s="68"/>
      <c r="AZ1576" s="68"/>
      <c r="BA1576" s="68"/>
      <c r="BB1576" s="68"/>
      <c r="BC1576" s="68"/>
      <c r="BD1576" s="68"/>
      <c r="BE1576" s="68"/>
      <c r="BF1576" s="68"/>
      <c r="BG1576" s="68"/>
      <c r="BH1576" s="68"/>
      <c r="BI1576" s="68"/>
      <c r="BJ1576" s="68"/>
      <c r="BK1576" s="68"/>
      <c r="BL1576" s="68"/>
      <c r="BM1576" s="68"/>
      <c r="BN1576" s="68"/>
      <c r="BO1576" s="68"/>
      <c r="BP1576" s="68"/>
      <c r="BQ1576" s="68"/>
      <c r="BR1576" s="68"/>
      <c r="BS1576" s="68"/>
      <c r="BT1576" s="68"/>
      <c r="BU1576" s="68"/>
      <c r="BV1576" s="68"/>
      <c r="BW1576" s="68"/>
      <c r="BX1576" s="68"/>
      <c r="BY1576" s="68"/>
      <c r="BZ1576" s="68"/>
      <c r="CA1576" s="68"/>
      <c r="CB1576" s="68"/>
      <c r="CC1576" s="68"/>
      <c r="CD1576" s="68"/>
      <c r="CE1576" s="68"/>
      <c r="CF1576" s="68"/>
      <c r="CG1576" s="68"/>
      <c r="CH1576" s="68"/>
      <c r="CI1576" s="68"/>
      <c r="CJ1576" s="68"/>
      <c r="CK1576" s="68"/>
      <c r="CL1576" s="68"/>
      <c r="CM1576" s="68"/>
      <c r="CN1576" s="68"/>
      <c r="CO1576" s="68"/>
      <c r="CP1576" s="68"/>
      <c r="CQ1576" s="68"/>
      <c r="CR1576" s="68"/>
      <c r="CS1576" s="68"/>
      <c r="CT1576" s="68"/>
      <c r="CU1576" s="68"/>
      <c r="CV1576" s="68"/>
      <c r="CW1576" s="68"/>
      <c r="CX1576" s="68"/>
    </row>
    <row r="1577" spans="4:102" s="71" customFormat="1" hidden="1">
      <c r="D1577" s="69"/>
      <c r="E1577" s="68"/>
      <c r="F1577" s="68"/>
      <c r="G1577" s="68"/>
      <c r="H1577" s="68"/>
      <c r="I1577" s="68"/>
      <c r="J1577" s="68"/>
      <c r="K1577" s="73"/>
      <c r="L1577" s="68"/>
      <c r="M1577" s="68"/>
      <c r="N1577" s="68"/>
      <c r="O1577" s="68"/>
      <c r="P1577" s="65"/>
      <c r="Q1577" s="103"/>
      <c r="R1577" s="103"/>
      <c r="S1577" s="103"/>
      <c r="T1577" s="103"/>
      <c r="U1577" s="68"/>
      <c r="V1577" s="68"/>
      <c r="W1577" s="68"/>
      <c r="X1577" s="68"/>
      <c r="Y1577" s="68"/>
      <c r="Z1577" s="68"/>
      <c r="AA1577" s="68"/>
      <c r="AB1577" s="68"/>
      <c r="AC1577" s="68"/>
      <c r="AD1577" s="68"/>
      <c r="AE1577" s="68"/>
      <c r="AF1577" s="68"/>
      <c r="AG1577" s="68"/>
      <c r="AH1577" s="68"/>
      <c r="AI1577" s="68"/>
      <c r="AJ1577" s="68"/>
      <c r="AK1577" s="68"/>
      <c r="AL1577" s="68"/>
      <c r="AM1577" s="68"/>
      <c r="AN1577" s="68"/>
      <c r="AO1577" s="68"/>
      <c r="AP1577" s="68"/>
      <c r="AQ1577" s="68"/>
      <c r="AR1577" s="68"/>
      <c r="AS1577" s="68"/>
      <c r="AT1577" s="68"/>
      <c r="AU1577" s="68"/>
      <c r="AV1577" s="68"/>
      <c r="AW1577" s="68"/>
      <c r="AX1577" s="68"/>
      <c r="AY1577" s="68"/>
      <c r="AZ1577" s="68"/>
      <c r="BA1577" s="68"/>
      <c r="BB1577" s="68"/>
      <c r="BC1577" s="68"/>
      <c r="BD1577" s="68"/>
      <c r="BE1577" s="68"/>
      <c r="BF1577" s="68"/>
      <c r="BG1577" s="68"/>
      <c r="BH1577" s="68"/>
      <c r="BI1577" s="68"/>
      <c r="BJ1577" s="68"/>
      <c r="BK1577" s="68"/>
      <c r="BL1577" s="68"/>
      <c r="BM1577" s="68"/>
      <c r="BN1577" s="68"/>
      <c r="BO1577" s="68"/>
      <c r="BP1577" s="68"/>
      <c r="BQ1577" s="68"/>
      <c r="BR1577" s="68"/>
      <c r="BS1577" s="68"/>
      <c r="BT1577" s="68"/>
      <c r="BU1577" s="68"/>
      <c r="BV1577" s="68"/>
      <c r="BW1577" s="68"/>
      <c r="BX1577" s="68"/>
      <c r="BY1577" s="68"/>
      <c r="BZ1577" s="68"/>
      <c r="CA1577" s="68"/>
      <c r="CB1577" s="68"/>
      <c r="CC1577" s="68"/>
      <c r="CD1577" s="68"/>
      <c r="CE1577" s="68"/>
      <c r="CF1577" s="68"/>
      <c r="CG1577" s="68"/>
      <c r="CH1577" s="68"/>
      <c r="CI1577" s="68"/>
      <c r="CJ1577" s="68"/>
      <c r="CK1577" s="68"/>
      <c r="CL1577" s="68"/>
      <c r="CM1577" s="68"/>
      <c r="CN1577" s="68"/>
      <c r="CO1577" s="68"/>
      <c r="CP1577" s="68"/>
      <c r="CQ1577" s="68"/>
      <c r="CR1577" s="68"/>
      <c r="CS1577" s="68"/>
      <c r="CT1577" s="68"/>
      <c r="CU1577" s="68"/>
      <c r="CV1577" s="68"/>
      <c r="CW1577" s="68"/>
      <c r="CX1577" s="68"/>
    </row>
    <row r="1578" spans="4:102" s="71" customFormat="1" hidden="1">
      <c r="D1578" s="69"/>
      <c r="E1578" s="68"/>
      <c r="F1578" s="68"/>
      <c r="G1578" s="68"/>
      <c r="H1578" s="68"/>
      <c r="I1578" s="68"/>
      <c r="J1578" s="68"/>
      <c r="K1578" s="73"/>
      <c r="L1578" s="68"/>
      <c r="M1578" s="68"/>
      <c r="N1578" s="68"/>
      <c r="O1578" s="68"/>
      <c r="P1578" s="65"/>
      <c r="Q1578" s="103"/>
      <c r="R1578" s="103"/>
      <c r="S1578" s="103"/>
      <c r="T1578" s="103"/>
      <c r="U1578" s="68"/>
      <c r="V1578" s="68"/>
      <c r="W1578" s="68"/>
      <c r="X1578" s="68"/>
      <c r="Y1578" s="68"/>
      <c r="Z1578" s="68"/>
      <c r="AA1578" s="68"/>
      <c r="AB1578" s="68"/>
      <c r="AC1578" s="68"/>
      <c r="AD1578" s="68"/>
      <c r="AE1578" s="68"/>
      <c r="AF1578" s="68"/>
      <c r="AG1578" s="68"/>
      <c r="AH1578" s="68"/>
      <c r="AI1578" s="68"/>
      <c r="AJ1578" s="68"/>
      <c r="AK1578" s="68"/>
      <c r="AL1578" s="68"/>
      <c r="AM1578" s="68"/>
      <c r="AN1578" s="68"/>
      <c r="AO1578" s="68"/>
      <c r="AP1578" s="68"/>
      <c r="AQ1578" s="68"/>
      <c r="AR1578" s="68"/>
      <c r="AS1578" s="68"/>
      <c r="AT1578" s="68"/>
      <c r="AU1578" s="68"/>
      <c r="AV1578" s="68"/>
      <c r="AW1578" s="68"/>
      <c r="AX1578" s="68"/>
      <c r="AY1578" s="68"/>
      <c r="AZ1578" s="68"/>
      <c r="BA1578" s="68"/>
      <c r="BB1578" s="68"/>
      <c r="BC1578" s="68"/>
      <c r="BD1578" s="68"/>
      <c r="BE1578" s="68"/>
      <c r="BF1578" s="68"/>
      <c r="BG1578" s="68"/>
      <c r="BH1578" s="68"/>
      <c r="BI1578" s="68"/>
      <c r="BJ1578" s="68"/>
      <c r="BK1578" s="68"/>
      <c r="BL1578" s="68"/>
      <c r="BM1578" s="68"/>
      <c r="BN1578" s="68"/>
      <c r="BO1578" s="68"/>
      <c r="BP1578" s="68"/>
      <c r="BQ1578" s="68"/>
      <c r="BR1578" s="68"/>
      <c r="BS1578" s="68"/>
      <c r="BT1578" s="68"/>
      <c r="BU1578" s="68"/>
      <c r="BV1578" s="68"/>
      <c r="BW1578" s="68"/>
      <c r="BX1578" s="68"/>
      <c r="BY1578" s="68"/>
      <c r="BZ1578" s="68"/>
      <c r="CA1578" s="68"/>
      <c r="CB1578" s="68"/>
      <c r="CC1578" s="68"/>
      <c r="CD1578" s="68"/>
      <c r="CE1578" s="68"/>
      <c r="CF1578" s="68"/>
      <c r="CG1578" s="68"/>
      <c r="CH1578" s="68"/>
      <c r="CI1578" s="68"/>
      <c r="CJ1578" s="68"/>
      <c r="CK1578" s="68"/>
      <c r="CL1578" s="68"/>
      <c r="CM1578" s="68"/>
      <c r="CN1578" s="68"/>
      <c r="CO1578" s="68"/>
      <c r="CP1578" s="68"/>
      <c r="CQ1578" s="68"/>
      <c r="CR1578" s="68"/>
      <c r="CS1578" s="68"/>
      <c r="CT1578" s="68"/>
      <c r="CU1578" s="68"/>
      <c r="CV1578" s="68"/>
      <c r="CW1578" s="68"/>
      <c r="CX1578" s="68"/>
    </row>
    <row r="1579" spans="4:102" s="71" customFormat="1" hidden="1">
      <c r="D1579" s="69"/>
      <c r="E1579" s="68"/>
      <c r="F1579" s="68"/>
      <c r="G1579" s="68"/>
      <c r="H1579" s="68"/>
      <c r="I1579" s="68"/>
      <c r="J1579" s="68"/>
      <c r="K1579" s="73"/>
      <c r="L1579" s="68"/>
      <c r="M1579" s="68"/>
      <c r="N1579" s="68"/>
      <c r="O1579" s="68"/>
      <c r="P1579" s="65"/>
      <c r="Q1579" s="103"/>
      <c r="R1579" s="103"/>
      <c r="S1579" s="103"/>
      <c r="T1579" s="103"/>
      <c r="U1579" s="68"/>
      <c r="V1579" s="68"/>
      <c r="W1579" s="68"/>
      <c r="X1579" s="68"/>
      <c r="Y1579" s="68"/>
      <c r="Z1579" s="68"/>
      <c r="AA1579" s="68"/>
      <c r="AB1579" s="68"/>
      <c r="AC1579" s="68"/>
      <c r="AD1579" s="68"/>
      <c r="AE1579" s="68"/>
      <c r="AF1579" s="68"/>
      <c r="AG1579" s="68"/>
      <c r="AH1579" s="68"/>
      <c r="AI1579" s="68"/>
      <c r="AJ1579" s="68"/>
      <c r="AK1579" s="68"/>
      <c r="AL1579" s="68"/>
      <c r="AM1579" s="68"/>
      <c r="AN1579" s="68"/>
      <c r="AO1579" s="68"/>
      <c r="AP1579" s="68"/>
      <c r="AQ1579" s="68"/>
      <c r="AR1579" s="68"/>
      <c r="AS1579" s="68"/>
      <c r="AT1579" s="68"/>
      <c r="AU1579" s="68"/>
      <c r="AV1579" s="68"/>
      <c r="AW1579" s="68"/>
      <c r="AX1579" s="68"/>
      <c r="AY1579" s="68"/>
      <c r="AZ1579" s="68"/>
      <c r="BA1579" s="68"/>
      <c r="BB1579" s="68"/>
      <c r="BC1579" s="68"/>
      <c r="BD1579" s="68"/>
      <c r="BE1579" s="68"/>
      <c r="BF1579" s="68"/>
      <c r="BG1579" s="68"/>
      <c r="BH1579" s="68"/>
      <c r="BI1579" s="68"/>
      <c r="BJ1579" s="68"/>
      <c r="BK1579" s="68"/>
      <c r="BL1579" s="68"/>
      <c r="BM1579" s="68"/>
      <c r="BN1579" s="68"/>
      <c r="BO1579" s="68"/>
      <c r="BP1579" s="68"/>
      <c r="BQ1579" s="68"/>
      <c r="BR1579" s="68"/>
      <c r="BS1579" s="68"/>
      <c r="BT1579" s="68"/>
      <c r="BU1579" s="68"/>
      <c r="BV1579" s="68"/>
      <c r="BW1579" s="68"/>
      <c r="BX1579" s="68"/>
      <c r="BY1579" s="68"/>
      <c r="BZ1579" s="68"/>
      <c r="CA1579" s="68"/>
      <c r="CB1579" s="68"/>
      <c r="CC1579" s="68"/>
      <c r="CD1579" s="68"/>
      <c r="CE1579" s="68"/>
      <c r="CF1579" s="68"/>
      <c r="CG1579" s="68"/>
      <c r="CH1579" s="68"/>
      <c r="CI1579" s="68"/>
      <c r="CJ1579" s="68"/>
      <c r="CK1579" s="68"/>
      <c r="CL1579" s="68"/>
      <c r="CM1579" s="68"/>
      <c r="CN1579" s="68"/>
      <c r="CO1579" s="68"/>
      <c r="CP1579" s="68"/>
      <c r="CQ1579" s="68"/>
      <c r="CR1579" s="68"/>
      <c r="CS1579" s="68"/>
      <c r="CT1579" s="68"/>
      <c r="CU1579" s="68"/>
      <c r="CV1579" s="68"/>
      <c r="CW1579" s="68"/>
      <c r="CX1579" s="68"/>
    </row>
    <row r="1580" spans="4:102" s="71" customFormat="1" hidden="1">
      <c r="D1580" s="69"/>
      <c r="E1580" s="68"/>
      <c r="F1580" s="68"/>
      <c r="G1580" s="68"/>
      <c r="H1580" s="68"/>
      <c r="I1580" s="68"/>
      <c r="J1580" s="68"/>
      <c r="K1580" s="73"/>
      <c r="L1580" s="68"/>
      <c r="M1580" s="68"/>
      <c r="N1580" s="68"/>
      <c r="O1580" s="68"/>
      <c r="P1580" s="65"/>
      <c r="Q1580" s="103"/>
      <c r="R1580" s="103"/>
      <c r="S1580" s="103"/>
      <c r="T1580" s="103"/>
      <c r="U1580" s="68"/>
      <c r="V1580" s="68"/>
      <c r="W1580" s="68"/>
      <c r="X1580" s="68"/>
      <c r="Y1580" s="68"/>
      <c r="Z1580" s="68"/>
      <c r="AA1580" s="68"/>
      <c r="AB1580" s="68"/>
      <c r="AC1580" s="68"/>
      <c r="AD1580" s="68"/>
      <c r="AE1580" s="68"/>
      <c r="AF1580" s="68"/>
      <c r="AG1580" s="68"/>
      <c r="AH1580" s="68"/>
      <c r="AI1580" s="68"/>
      <c r="AJ1580" s="68"/>
      <c r="AK1580" s="68"/>
      <c r="AL1580" s="68"/>
      <c r="AM1580" s="68"/>
      <c r="AN1580" s="68"/>
      <c r="AO1580" s="68"/>
      <c r="AP1580" s="68"/>
      <c r="AQ1580" s="68"/>
      <c r="AR1580" s="68"/>
      <c r="AS1580" s="68"/>
      <c r="AT1580" s="68"/>
      <c r="AU1580" s="68"/>
      <c r="AV1580" s="68"/>
      <c r="AW1580" s="68"/>
      <c r="AX1580" s="68"/>
      <c r="AY1580" s="68"/>
      <c r="AZ1580" s="68"/>
      <c r="BA1580" s="68"/>
      <c r="BB1580" s="68"/>
      <c r="BC1580" s="68"/>
      <c r="BD1580" s="68"/>
      <c r="BE1580" s="68"/>
      <c r="BF1580" s="68"/>
      <c r="BG1580" s="68"/>
      <c r="BH1580" s="68"/>
      <c r="BI1580" s="68"/>
      <c r="BJ1580" s="68"/>
      <c r="BK1580" s="68"/>
      <c r="BL1580" s="68"/>
      <c r="BM1580" s="68"/>
      <c r="BN1580" s="68"/>
      <c r="BO1580" s="68"/>
      <c r="BP1580" s="68"/>
      <c r="BQ1580" s="68"/>
      <c r="BR1580" s="68"/>
      <c r="BS1580" s="68"/>
      <c r="BT1580" s="68"/>
      <c r="BU1580" s="68"/>
      <c r="BV1580" s="68"/>
      <c r="BW1580" s="68"/>
      <c r="BX1580" s="68"/>
      <c r="BY1580" s="68"/>
      <c r="BZ1580" s="68"/>
      <c r="CA1580" s="68"/>
      <c r="CB1580" s="68"/>
      <c r="CC1580" s="68"/>
      <c r="CD1580" s="68"/>
      <c r="CE1580" s="68"/>
      <c r="CF1580" s="68"/>
      <c r="CG1580" s="68"/>
      <c r="CH1580" s="68"/>
      <c r="CI1580" s="68"/>
      <c r="CJ1580" s="68"/>
      <c r="CK1580" s="68"/>
      <c r="CL1580" s="68"/>
      <c r="CM1580" s="68"/>
      <c r="CN1580" s="68"/>
      <c r="CO1580" s="68"/>
      <c r="CP1580" s="68"/>
      <c r="CQ1580" s="68"/>
      <c r="CR1580" s="68"/>
      <c r="CS1580" s="68"/>
      <c r="CT1580" s="68"/>
      <c r="CU1580" s="68"/>
      <c r="CV1580" s="68"/>
      <c r="CW1580" s="68"/>
      <c r="CX1580" s="68"/>
    </row>
    <row r="1581" spans="4:102" s="71" customFormat="1" hidden="1">
      <c r="D1581" s="69"/>
      <c r="E1581" s="68"/>
      <c r="F1581" s="68"/>
      <c r="G1581" s="68"/>
      <c r="H1581" s="68"/>
      <c r="I1581" s="68"/>
      <c r="J1581" s="68"/>
      <c r="K1581" s="73"/>
      <c r="L1581" s="68"/>
      <c r="M1581" s="68"/>
      <c r="N1581" s="68"/>
      <c r="O1581" s="68"/>
      <c r="P1581" s="65"/>
      <c r="Q1581" s="103"/>
      <c r="R1581" s="103"/>
      <c r="S1581" s="103"/>
      <c r="T1581" s="103"/>
      <c r="U1581" s="68"/>
      <c r="V1581" s="68"/>
      <c r="W1581" s="68"/>
      <c r="X1581" s="68"/>
      <c r="Y1581" s="68"/>
      <c r="Z1581" s="68"/>
      <c r="AA1581" s="68"/>
      <c r="AB1581" s="68"/>
      <c r="AC1581" s="68"/>
      <c r="AD1581" s="68"/>
      <c r="AE1581" s="68"/>
      <c r="AF1581" s="68"/>
      <c r="AG1581" s="68"/>
      <c r="AH1581" s="68"/>
      <c r="AI1581" s="68"/>
      <c r="AJ1581" s="68"/>
      <c r="AK1581" s="68"/>
      <c r="AL1581" s="68"/>
      <c r="AM1581" s="68"/>
      <c r="AN1581" s="68"/>
      <c r="AO1581" s="68"/>
      <c r="AP1581" s="68"/>
      <c r="AQ1581" s="68"/>
      <c r="AR1581" s="68"/>
      <c r="AS1581" s="68"/>
      <c r="AT1581" s="68"/>
      <c r="AU1581" s="68"/>
      <c r="AV1581" s="68"/>
      <c r="AW1581" s="68"/>
      <c r="AX1581" s="68"/>
      <c r="AY1581" s="68"/>
      <c r="AZ1581" s="68"/>
      <c r="BA1581" s="68"/>
      <c r="BB1581" s="68"/>
      <c r="BC1581" s="68"/>
      <c r="BD1581" s="68"/>
      <c r="BE1581" s="68"/>
      <c r="BF1581" s="68"/>
      <c r="BG1581" s="68"/>
      <c r="BH1581" s="68"/>
      <c r="BI1581" s="68"/>
      <c r="BJ1581" s="68"/>
      <c r="BK1581" s="68"/>
      <c r="BL1581" s="68"/>
      <c r="BM1581" s="68"/>
      <c r="BN1581" s="68"/>
      <c r="BO1581" s="68"/>
      <c r="BP1581" s="68"/>
      <c r="BQ1581" s="68"/>
      <c r="BR1581" s="68"/>
      <c r="BS1581" s="68"/>
      <c r="BT1581" s="68"/>
      <c r="BU1581" s="68"/>
      <c r="BV1581" s="68"/>
      <c r="BW1581" s="68"/>
      <c r="BX1581" s="68"/>
      <c r="BY1581" s="68"/>
      <c r="BZ1581" s="68"/>
      <c r="CA1581" s="68"/>
      <c r="CB1581" s="68"/>
      <c r="CC1581" s="68"/>
      <c r="CD1581" s="68"/>
      <c r="CE1581" s="68"/>
      <c r="CF1581" s="68"/>
      <c r="CG1581" s="68"/>
      <c r="CH1581" s="68"/>
      <c r="CI1581" s="68"/>
      <c r="CJ1581" s="68"/>
      <c r="CK1581" s="68"/>
      <c r="CL1581" s="68"/>
      <c r="CM1581" s="68"/>
      <c r="CN1581" s="68"/>
      <c r="CO1581" s="68"/>
      <c r="CP1581" s="68"/>
      <c r="CQ1581" s="68"/>
      <c r="CR1581" s="68"/>
      <c r="CS1581" s="68"/>
      <c r="CT1581" s="68"/>
      <c r="CU1581" s="68"/>
      <c r="CV1581" s="68"/>
      <c r="CW1581" s="68"/>
      <c r="CX1581" s="68"/>
    </row>
    <row r="1582" spans="4:102" s="71" customFormat="1" hidden="1">
      <c r="D1582" s="69"/>
      <c r="E1582" s="68"/>
      <c r="F1582" s="68"/>
      <c r="G1582" s="68"/>
      <c r="H1582" s="68"/>
      <c r="I1582" s="68"/>
      <c r="J1582" s="68"/>
      <c r="K1582" s="73"/>
      <c r="L1582" s="68"/>
      <c r="M1582" s="68"/>
      <c r="N1582" s="68"/>
      <c r="O1582" s="68"/>
      <c r="P1582" s="65"/>
      <c r="Q1582" s="103"/>
      <c r="R1582" s="103"/>
      <c r="S1582" s="103"/>
      <c r="T1582" s="103"/>
      <c r="U1582" s="68"/>
      <c r="V1582" s="68"/>
      <c r="W1582" s="68"/>
      <c r="X1582" s="68"/>
      <c r="Y1582" s="68"/>
      <c r="Z1582" s="68"/>
      <c r="AA1582" s="68"/>
      <c r="AB1582" s="68"/>
      <c r="AC1582" s="68"/>
      <c r="AD1582" s="68"/>
      <c r="AE1582" s="68"/>
      <c r="AF1582" s="68"/>
      <c r="AG1582" s="68"/>
      <c r="AH1582" s="68"/>
      <c r="AI1582" s="68"/>
      <c r="AJ1582" s="68"/>
      <c r="AK1582" s="68"/>
      <c r="AL1582" s="68"/>
      <c r="AM1582" s="68"/>
      <c r="AN1582" s="68"/>
      <c r="AO1582" s="68"/>
      <c r="AP1582" s="68"/>
      <c r="AQ1582" s="68"/>
      <c r="AR1582" s="68"/>
      <c r="AS1582" s="68"/>
      <c r="AT1582" s="68"/>
      <c r="AU1582" s="68"/>
      <c r="AV1582" s="68"/>
      <c r="AW1582" s="68"/>
      <c r="AX1582" s="68"/>
      <c r="AY1582" s="68"/>
      <c r="AZ1582" s="68"/>
      <c r="BA1582" s="68"/>
      <c r="BB1582" s="68"/>
      <c r="BC1582" s="68"/>
      <c r="BD1582" s="68"/>
      <c r="BE1582" s="68"/>
      <c r="BF1582" s="68"/>
      <c r="BG1582" s="68"/>
      <c r="BH1582" s="68"/>
      <c r="BI1582" s="68"/>
      <c r="BJ1582" s="68"/>
      <c r="BK1582" s="68"/>
      <c r="BL1582" s="68"/>
      <c r="BM1582" s="68"/>
      <c r="BN1582" s="68"/>
      <c r="BO1582" s="68"/>
      <c r="BP1582" s="68"/>
      <c r="BQ1582" s="68"/>
      <c r="BR1582" s="68"/>
      <c r="BS1582" s="68"/>
      <c r="BT1582" s="68"/>
      <c r="BU1582" s="68"/>
      <c r="BV1582" s="68"/>
      <c r="BW1582" s="68"/>
      <c r="BX1582" s="68"/>
      <c r="BY1582" s="68"/>
      <c r="BZ1582" s="68"/>
      <c r="CA1582" s="68"/>
      <c r="CB1582" s="68"/>
      <c r="CC1582" s="68"/>
      <c r="CD1582" s="68"/>
      <c r="CE1582" s="68"/>
      <c r="CF1582" s="68"/>
      <c r="CG1582" s="68"/>
      <c r="CH1582" s="68"/>
      <c r="CI1582" s="68"/>
      <c r="CJ1582" s="68"/>
      <c r="CK1582" s="68"/>
      <c r="CL1582" s="68"/>
      <c r="CM1582" s="68"/>
      <c r="CN1582" s="68"/>
      <c r="CO1582" s="68"/>
      <c r="CP1582" s="68"/>
      <c r="CQ1582" s="68"/>
      <c r="CR1582" s="68"/>
      <c r="CS1582" s="68"/>
      <c r="CT1582" s="68"/>
      <c r="CU1582" s="68"/>
      <c r="CV1582" s="68"/>
      <c r="CW1582" s="68"/>
      <c r="CX1582" s="68"/>
    </row>
    <row r="1583" spans="4:102" s="71" customFormat="1" hidden="1">
      <c r="D1583" s="69"/>
      <c r="E1583" s="68"/>
      <c r="F1583" s="68"/>
      <c r="G1583" s="68"/>
      <c r="H1583" s="68"/>
      <c r="I1583" s="68"/>
      <c r="J1583" s="68"/>
      <c r="K1583" s="73"/>
      <c r="L1583" s="68"/>
      <c r="M1583" s="68"/>
      <c r="N1583" s="68"/>
      <c r="O1583" s="68"/>
      <c r="P1583" s="65"/>
      <c r="Q1583" s="103"/>
      <c r="R1583" s="103"/>
      <c r="S1583" s="103"/>
      <c r="T1583" s="103"/>
      <c r="U1583" s="68"/>
      <c r="V1583" s="68"/>
      <c r="W1583" s="68"/>
      <c r="X1583" s="68"/>
      <c r="Y1583" s="68"/>
      <c r="Z1583" s="68"/>
      <c r="AA1583" s="68"/>
      <c r="AB1583" s="68"/>
      <c r="AC1583" s="68"/>
      <c r="AD1583" s="68"/>
      <c r="AE1583" s="68"/>
      <c r="AF1583" s="68"/>
      <c r="AG1583" s="68"/>
      <c r="AH1583" s="68"/>
      <c r="AI1583" s="68"/>
      <c r="AJ1583" s="68"/>
      <c r="AK1583" s="68"/>
      <c r="AL1583" s="68"/>
      <c r="AM1583" s="68"/>
      <c r="AN1583" s="68"/>
      <c r="AO1583" s="68"/>
      <c r="AP1583" s="68"/>
      <c r="AQ1583" s="68"/>
      <c r="AR1583" s="68"/>
      <c r="AS1583" s="68"/>
      <c r="AT1583" s="68"/>
      <c r="AU1583" s="68"/>
      <c r="AV1583" s="68"/>
      <c r="AW1583" s="68"/>
      <c r="AX1583" s="68"/>
      <c r="AY1583" s="68"/>
      <c r="AZ1583" s="68"/>
      <c r="BA1583" s="68"/>
      <c r="BB1583" s="68"/>
      <c r="BC1583" s="68"/>
      <c r="BD1583" s="68"/>
      <c r="BE1583" s="68"/>
      <c r="BF1583" s="68"/>
      <c r="BG1583" s="68"/>
      <c r="BH1583" s="68"/>
      <c r="BI1583" s="68"/>
      <c r="BJ1583" s="68"/>
      <c r="BK1583" s="68"/>
      <c r="BL1583" s="68"/>
      <c r="BM1583" s="68"/>
      <c r="BN1583" s="68"/>
      <c r="BO1583" s="68"/>
      <c r="BP1583" s="68"/>
      <c r="BQ1583" s="68"/>
      <c r="BR1583" s="68"/>
      <c r="BS1583" s="68"/>
      <c r="BT1583" s="68"/>
      <c r="BU1583" s="68"/>
      <c r="BV1583" s="68"/>
      <c r="BW1583" s="68"/>
      <c r="BX1583" s="68"/>
      <c r="BY1583" s="68"/>
      <c r="BZ1583" s="68"/>
      <c r="CA1583" s="68"/>
      <c r="CB1583" s="68"/>
      <c r="CC1583" s="68"/>
      <c r="CD1583" s="68"/>
      <c r="CE1583" s="68"/>
      <c r="CF1583" s="68"/>
      <c r="CG1583" s="68"/>
      <c r="CH1583" s="68"/>
      <c r="CI1583" s="68"/>
      <c r="CJ1583" s="68"/>
      <c r="CK1583" s="68"/>
      <c r="CL1583" s="68"/>
      <c r="CM1583" s="68"/>
      <c r="CN1583" s="68"/>
      <c r="CO1583" s="68"/>
      <c r="CP1583" s="68"/>
      <c r="CQ1583" s="68"/>
      <c r="CR1583" s="68"/>
      <c r="CS1583" s="68"/>
      <c r="CT1583" s="68"/>
      <c r="CU1583" s="68"/>
      <c r="CV1583" s="68"/>
      <c r="CW1583" s="68"/>
      <c r="CX1583" s="68"/>
    </row>
    <row r="1584" spans="4:102" s="71" customFormat="1" hidden="1">
      <c r="D1584" s="69"/>
      <c r="E1584" s="68"/>
      <c r="F1584" s="68"/>
      <c r="G1584" s="68"/>
      <c r="H1584" s="68"/>
      <c r="I1584" s="68"/>
      <c r="J1584" s="68"/>
      <c r="K1584" s="73"/>
      <c r="L1584" s="68"/>
      <c r="M1584" s="68"/>
      <c r="N1584" s="68"/>
      <c r="O1584" s="68"/>
      <c r="P1584" s="65"/>
      <c r="Q1584" s="103"/>
      <c r="R1584" s="103"/>
      <c r="S1584" s="103"/>
      <c r="T1584" s="103"/>
      <c r="U1584" s="68"/>
      <c r="V1584" s="68"/>
      <c r="W1584" s="68"/>
      <c r="X1584" s="68"/>
      <c r="Y1584" s="68"/>
      <c r="Z1584" s="68"/>
      <c r="AA1584" s="68"/>
      <c r="AB1584" s="68"/>
      <c r="AC1584" s="68"/>
      <c r="AD1584" s="68"/>
      <c r="AE1584" s="68"/>
      <c r="AF1584" s="68"/>
      <c r="AG1584" s="68"/>
      <c r="AH1584" s="68"/>
      <c r="AI1584" s="68"/>
      <c r="AJ1584" s="68"/>
      <c r="AK1584" s="68"/>
      <c r="AL1584" s="68"/>
      <c r="AM1584" s="68"/>
      <c r="AN1584" s="68"/>
      <c r="AO1584" s="68"/>
      <c r="AP1584" s="68"/>
      <c r="AQ1584" s="68"/>
      <c r="AR1584" s="68"/>
      <c r="AS1584" s="68"/>
      <c r="AT1584" s="68"/>
      <c r="AU1584" s="68"/>
      <c r="AV1584" s="68"/>
      <c r="AW1584" s="68"/>
      <c r="AX1584" s="68"/>
      <c r="AY1584" s="68"/>
      <c r="AZ1584" s="68"/>
      <c r="BA1584" s="68"/>
      <c r="BB1584" s="68"/>
      <c r="BC1584" s="68"/>
      <c r="BD1584" s="68"/>
      <c r="BE1584" s="68"/>
      <c r="BF1584" s="68"/>
      <c r="BG1584" s="68"/>
      <c r="BH1584" s="68"/>
      <c r="BI1584" s="68"/>
      <c r="BJ1584" s="68"/>
      <c r="BK1584" s="68"/>
      <c r="BL1584" s="68"/>
      <c r="BM1584" s="68"/>
      <c r="BN1584" s="68"/>
      <c r="BO1584" s="68"/>
      <c r="BP1584" s="68"/>
      <c r="BQ1584" s="68"/>
      <c r="BR1584" s="68"/>
      <c r="BS1584" s="68"/>
      <c r="BT1584" s="68"/>
      <c r="BU1584" s="68"/>
      <c r="BV1584" s="68"/>
      <c r="BW1584" s="68"/>
      <c r="BX1584" s="68"/>
      <c r="BY1584" s="68"/>
      <c r="BZ1584" s="68"/>
      <c r="CA1584" s="68"/>
      <c r="CB1584" s="68"/>
      <c r="CC1584" s="68"/>
      <c r="CD1584" s="68"/>
      <c r="CE1584" s="68"/>
      <c r="CF1584" s="68"/>
      <c r="CG1584" s="68"/>
      <c r="CH1584" s="68"/>
      <c r="CI1584" s="68"/>
      <c r="CJ1584" s="68"/>
      <c r="CK1584" s="68"/>
      <c r="CL1584" s="68"/>
      <c r="CM1584" s="68"/>
      <c r="CN1584" s="68"/>
      <c r="CO1584" s="68"/>
      <c r="CP1584" s="68"/>
      <c r="CQ1584" s="68"/>
      <c r="CR1584" s="68"/>
      <c r="CS1584" s="68"/>
      <c r="CT1584" s="68"/>
      <c r="CU1584" s="68"/>
      <c r="CV1584" s="68"/>
      <c r="CW1584" s="68"/>
      <c r="CX1584" s="68"/>
    </row>
    <row r="1585" spans="4:102" s="71" customFormat="1" hidden="1">
      <c r="D1585" s="69"/>
      <c r="E1585" s="68"/>
      <c r="F1585" s="68"/>
      <c r="G1585" s="68"/>
      <c r="H1585" s="68"/>
      <c r="I1585" s="68"/>
      <c r="J1585" s="68"/>
      <c r="K1585" s="73"/>
      <c r="L1585" s="68"/>
      <c r="M1585" s="68"/>
      <c r="N1585" s="68"/>
      <c r="O1585" s="68"/>
      <c r="P1585" s="65"/>
      <c r="Q1585" s="103"/>
      <c r="R1585" s="103"/>
      <c r="S1585" s="103"/>
      <c r="T1585" s="103"/>
      <c r="U1585" s="68"/>
      <c r="V1585" s="68"/>
      <c r="W1585" s="68"/>
      <c r="X1585" s="68"/>
      <c r="Y1585" s="68"/>
      <c r="Z1585" s="68"/>
      <c r="AA1585" s="68"/>
      <c r="AB1585" s="68"/>
      <c r="AC1585" s="68"/>
      <c r="AD1585" s="68"/>
      <c r="AE1585" s="68"/>
      <c r="AF1585" s="68"/>
      <c r="AG1585" s="68"/>
      <c r="AH1585" s="68"/>
      <c r="AI1585" s="68"/>
      <c r="AJ1585" s="68"/>
      <c r="AK1585" s="68"/>
      <c r="AL1585" s="68"/>
      <c r="AM1585" s="68"/>
      <c r="AN1585" s="68"/>
      <c r="AO1585" s="68"/>
      <c r="AP1585" s="68"/>
      <c r="AQ1585" s="68"/>
      <c r="AR1585" s="68"/>
      <c r="AS1585" s="68"/>
      <c r="AT1585" s="68"/>
      <c r="AU1585" s="68"/>
      <c r="AV1585" s="68"/>
      <c r="AW1585" s="68"/>
      <c r="AX1585" s="68"/>
      <c r="AY1585" s="68"/>
      <c r="AZ1585" s="68"/>
      <c r="BA1585" s="68"/>
      <c r="BB1585" s="68"/>
      <c r="BC1585" s="68"/>
      <c r="BD1585" s="68"/>
      <c r="BE1585" s="68"/>
      <c r="BF1585" s="68"/>
      <c r="BG1585" s="68"/>
      <c r="BH1585" s="68"/>
      <c r="BI1585" s="68"/>
      <c r="BJ1585" s="68"/>
      <c r="BK1585" s="68"/>
      <c r="BL1585" s="68"/>
      <c r="BM1585" s="68"/>
      <c r="BN1585" s="68"/>
      <c r="BO1585" s="68"/>
      <c r="BP1585" s="68"/>
      <c r="BQ1585" s="68"/>
      <c r="BR1585" s="68"/>
      <c r="BS1585" s="68"/>
      <c r="BT1585" s="68"/>
      <c r="BU1585" s="68"/>
      <c r="BV1585" s="68"/>
      <c r="BW1585" s="68"/>
      <c r="BX1585" s="68"/>
      <c r="BY1585" s="68"/>
      <c r="BZ1585" s="68"/>
      <c r="CA1585" s="68"/>
      <c r="CB1585" s="68"/>
      <c r="CC1585" s="68"/>
      <c r="CD1585" s="68"/>
      <c r="CE1585" s="68"/>
      <c r="CF1585" s="68"/>
      <c r="CG1585" s="68"/>
      <c r="CH1585" s="68"/>
      <c r="CI1585" s="68"/>
      <c r="CJ1585" s="68"/>
      <c r="CK1585" s="68"/>
      <c r="CL1585" s="68"/>
      <c r="CM1585" s="68"/>
      <c r="CN1585" s="68"/>
      <c r="CO1585" s="68"/>
      <c r="CP1585" s="68"/>
      <c r="CQ1585" s="68"/>
      <c r="CR1585" s="68"/>
      <c r="CS1585" s="68"/>
      <c r="CT1585" s="68"/>
      <c r="CU1585" s="68"/>
      <c r="CV1585" s="68"/>
      <c r="CW1585" s="68"/>
      <c r="CX1585" s="68"/>
    </row>
    <row r="1586" spans="4:102" s="71" customFormat="1" hidden="1">
      <c r="D1586" s="69"/>
      <c r="E1586" s="68"/>
      <c r="F1586" s="68"/>
      <c r="G1586" s="68"/>
      <c r="H1586" s="68"/>
      <c r="I1586" s="68"/>
      <c r="J1586" s="68"/>
      <c r="K1586" s="73"/>
      <c r="L1586" s="68"/>
      <c r="M1586" s="68"/>
      <c r="N1586" s="68"/>
      <c r="O1586" s="68"/>
      <c r="P1586" s="65"/>
      <c r="Q1586" s="103"/>
      <c r="R1586" s="103"/>
      <c r="S1586" s="103"/>
      <c r="T1586" s="103"/>
      <c r="U1586" s="68"/>
      <c r="V1586" s="68"/>
      <c r="W1586" s="68"/>
      <c r="X1586" s="68"/>
      <c r="Y1586" s="68"/>
      <c r="Z1586" s="68"/>
      <c r="AA1586" s="68"/>
      <c r="AB1586" s="68"/>
      <c r="AC1586" s="68"/>
      <c r="AD1586" s="68"/>
      <c r="AE1586" s="68"/>
      <c r="AF1586" s="68"/>
      <c r="AG1586" s="68"/>
      <c r="AH1586" s="68"/>
      <c r="AI1586" s="68"/>
      <c r="AJ1586" s="68"/>
      <c r="AK1586" s="68"/>
      <c r="AL1586" s="68"/>
      <c r="AM1586" s="68"/>
      <c r="AN1586" s="68"/>
      <c r="AO1586" s="68"/>
      <c r="AP1586" s="68"/>
      <c r="AQ1586" s="68"/>
      <c r="AR1586" s="68"/>
      <c r="AS1586" s="68"/>
      <c r="AT1586" s="68"/>
      <c r="AU1586" s="68"/>
      <c r="AV1586" s="68"/>
      <c r="AW1586" s="68"/>
      <c r="AX1586" s="68"/>
      <c r="AY1586" s="68"/>
      <c r="AZ1586" s="68"/>
      <c r="BA1586" s="68"/>
      <c r="BB1586" s="68"/>
      <c r="BC1586" s="68"/>
      <c r="BD1586" s="68"/>
      <c r="BE1586" s="68"/>
      <c r="BF1586" s="68"/>
      <c r="BG1586" s="68"/>
      <c r="BH1586" s="68"/>
      <c r="BI1586" s="68"/>
      <c r="BJ1586" s="68"/>
      <c r="BK1586" s="68"/>
      <c r="BL1586" s="68"/>
      <c r="BM1586" s="68"/>
      <c r="BN1586" s="68"/>
      <c r="BO1586" s="68"/>
      <c r="BP1586" s="68"/>
      <c r="BQ1586" s="68"/>
      <c r="BR1586" s="68"/>
      <c r="BS1586" s="68"/>
      <c r="BT1586" s="68"/>
      <c r="BU1586" s="68"/>
      <c r="BV1586" s="68"/>
      <c r="BW1586" s="68"/>
      <c r="BX1586" s="68"/>
      <c r="BY1586" s="68"/>
      <c r="BZ1586" s="68"/>
      <c r="CA1586" s="68"/>
      <c r="CB1586" s="68"/>
      <c r="CC1586" s="68"/>
      <c r="CD1586" s="68"/>
      <c r="CE1586" s="68"/>
      <c r="CF1586" s="68"/>
      <c r="CG1586" s="68"/>
      <c r="CH1586" s="68"/>
      <c r="CI1586" s="68"/>
      <c r="CJ1586" s="68"/>
      <c r="CK1586" s="68"/>
      <c r="CL1586" s="68"/>
      <c r="CM1586" s="68"/>
      <c r="CN1586" s="68"/>
      <c r="CO1586" s="68"/>
      <c r="CP1586" s="68"/>
      <c r="CQ1586" s="68"/>
      <c r="CR1586" s="68"/>
      <c r="CS1586" s="68"/>
      <c r="CT1586" s="68"/>
      <c r="CU1586" s="68"/>
      <c r="CV1586" s="68"/>
      <c r="CW1586" s="68"/>
      <c r="CX1586" s="68"/>
    </row>
    <row r="1587" spans="4:102" s="71" customFormat="1" hidden="1">
      <c r="D1587" s="69"/>
      <c r="E1587" s="68"/>
      <c r="F1587" s="68"/>
      <c r="G1587" s="68"/>
      <c r="H1587" s="68"/>
      <c r="I1587" s="68"/>
      <c r="J1587" s="68"/>
      <c r="K1587" s="73"/>
      <c r="L1587" s="68"/>
      <c r="M1587" s="68"/>
      <c r="N1587" s="68"/>
      <c r="O1587" s="68"/>
      <c r="P1587" s="65"/>
      <c r="Q1587" s="103"/>
      <c r="R1587" s="103"/>
      <c r="S1587" s="103"/>
      <c r="T1587" s="103"/>
      <c r="U1587" s="68"/>
      <c r="V1587" s="68"/>
      <c r="W1587" s="68"/>
      <c r="X1587" s="68"/>
      <c r="Y1587" s="68"/>
      <c r="Z1587" s="68"/>
      <c r="AA1587" s="68"/>
      <c r="AB1587" s="68"/>
      <c r="AC1587" s="68"/>
      <c r="AD1587" s="68"/>
      <c r="AE1587" s="68"/>
      <c r="AF1587" s="68"/>
      <c r="AG1587" s="68"/>
      <c r="AH1587" s="68"/>
      <c r="AI1587" s="68"/>
      <c r="AJ1587" s="68"/>
      <c r="AK1587" s="68"/>
      <c r="AL1587" s="68"/>
      <c r="AM1587" s="68"/>
      <c r="AN1587" s="68"/>
      <c r="AO1587" s="68"/>
      <c r="AP1587" s="68"/>
      <c r="AQ1587" s="68"/>
      <c r="AR1587" s="68"/>
      <c r="AS1587" s="68"/>
      <c r="AT1587" s="68"/>
      <c r="AU1587" s="68"/>
      <c r="AV1587" s="68"/>
      <c r="AW1587" s="68"/>
      <c r="AX1587" s="68"/>
      <c r="AY1587" s="68"/>
      <c r="AZ1587" s="68"/>
      <c r="BA1587" s="68"/>
      <c r="BB1587" s="68"/>
      <c r="BC1587" s="68"/>
      <c r="BD1587" s="68"/>
      <c r="BE1587" s="68"/>
      <c r="BF1587" s="68"/>
      <c r="BG1587" s="68"/>
      <c r="BH1587" s="68"/>
      <c r="BI1587" s="68"/>
      <c r="BJ1587" s="68"/>
      <c r="BK1587" s="68"/>
      <c r="BL1587" s="68"/>
      <c r="BM1587" s="68"/>
      <c r="BN1587" s="68"/>
      <c r="BO1587" s="68"/>
      <c r="BP1587" s="68"/>
      <c r="BQ1587" s="68"/>
      <c r="BR1587" s="68"/>
      <c r="BS1587" s="68"/>
      <c r="BT1587" s="68"/>
      <c r="BU1587" s="68"/>
      <c r="BV1587" s="68"/>
      <c r="BW1587" s="68"/>
      <c r="BX1587" s="68"/>
      <c r="BY1587" s="68"/>
      <c r="BZ1587" s="68"/>
      <c r="CA1587" s="68"/>
      <c r="CB1587" s="68"/>
      <c r="CC1587" s="68"/>
      <c r="CD1587" s="68"/>
      <c r="CE1587" s="68"/>
      <c r="CF1587" s="68"/>
      <c r="CG1587" s="68"/>
      <c r="CH1587" s="68"/>
      <c r="CI1587" s="68"/>
      <c r="CJ1587" s="68"/>
      <c r="CK1587" s="68"/>
      <c r="CL1587" s="68"/>
      <c r="CM1587" s="68"/>
      <c r="CN1587" s="68"/>
      <c r="CO1587" s="68"/>
      <c r="CP1587" s="68"/>
      <c r="CQ1587" s="68"/>
      <c r="CR1587" s="68"/>
      <c r="CS1587" s="68"/>
      <c r="CT1587" s="68"/>
      <c r="CU1587" s="68"/>
      <c r="CV1587" s="68"/>
      <c r="CW1587" s="68"/>
      <c r="CX1587" s="68"/>
    </row>
    <row r="1588" spans="4:102" s="71" customFormat="1" hidden="1">
      <c r="D1588" s="69"/>
      <c r="E1588" s="68"/>
      <c r="F1588" s="68"/>
      <c r="G1588" s="68"/>
      <c r="H1588" s="68"/>
      <c r="I1588" s="68"/>
      <c r="J1588" s="68"/>
      <c r="K1588" s="73"/>
      <c r="L1588" s="68"/>
      <c r="M1588" s="68"/>
      <c r="N1588" s="68"/>
      <c r="O1588" s="68"/>
      <c r="P1588" s="65"/>
      <c r="Q1588" s="103"/>
      <c r="R1588" s="103"/>
      <c r="S1588" s="103"/>
      <c r="T1588" s="103"/>
      <c r="U1588" s="68"/>
      <c r="V1588" s="68"/>
      <c r="W1588" s="68"/>
      <c r="X1588" s="68"/>
      <c r="Y1588" s="68"/>
      <c r="Z1588" s="68"/>
      <c r="AA1588" s="68"/>
      <c r="AB1588" s="68"/>
      <c r="AC1588" s="68"/>
      <c r="AD1588" s="68"/>
      <c r="AE1588" s="68"/>
      <c r="AF1588" s="68"/>
      <c r="AG1588" s="68"/>
      <c r="AH1588" s="68"/>
      <c r="AI1588" s="68"/>
      <c r="AJ1588" s="68"/>
      <c r="AK1588" s="68"/>
      <c r="AL1588" s="68"/>
      <c r="AM1588" s="68"/>
      <c r="AN1588" s="68"/>
      <c r="AO1588" s="68"/>
      <c r="AP1588" s="68"/>
      <c r="AQ1588" s="68"/>
      <c r="AR1588" s="68"/>
      <c r="AS1588" s="68"/>
      <c r="AT1588" s="68"/>
      <c r="AU1588" s="68"/>
      <c r="AV1588" s="68"/>
      <c r="AW1588" s="68"/>
      <c r="AX1588" s="68"/>
      <c r="AY1588" s="68"/>
      <c r="AZ1588" s="68"/>
      <c r="BA1588" s="68"/>
      <c r="BB1588" s="68"/>
      <c r="BC1588" s="68"/>
      <c r="BD1588" s="68"/>
      <c r="BE1588" s="68"/>
      <c r="BF1588" s="68"/>
      <c r="BG1588" s="68"/>
      <c r="BH1588" s="68"/>
      <c r="BI1588" s="68"/>
      <c r="BJ1588" s="68"/>
      <c r="BK1588" s="68"/>
      <c r="BL1588" s="68"/>
      <c r="BM1588" s="68"/>
      <c r="BN1588" s="68"/>
      <c r="BO1588" s="68"/>
      <c r="BP1588" s="68"/>
      <c r="BQ1588" s="68"/>
      <c r="BR1588" s="68"/>
      <c r="BS1588" s="68"/>
      <c r="BT1588" s="68"/>
      <c r="BU1588" s="68"/>
      <c r="BV1588" s="68"/>
      <c r="BW1588" s="68"/>
      <c r="BX1588" s="68"/>
      <c r="BY1588" s="68"/>
      <c r="BZ1588" s="68"/>
      <c r="CA1588" s="68"/>
      <c r="CB1588" s="68"/>
      <c r="CC1588" s="68"/>
      <c r="CD1588" s="68"/>
      <c r="CE1588" s="68"/>
      <c r="CF1588" s="68"/>
      <c r="CG1588" s="68"/>
      <c r="CH1588" s="68"/>
      <c r="CI1588" s="68"/>
      <c r="CJ1588" s="68"/>
      <c r="CK1588" s="68"/>
      <c r="CL1588" s="68"/>
      <c r="CM1588" s="68"/>
      <c r="CN1588" s="68"/>
      <c r="CO1588" s="68"/>
      <c r="CP1588" s="68"/>
      <c r="CQ1588" s="68"/>
      <c r="CR1588" s="68"/>
      <c r="CS1588" s="68"/>
      <c r="CT1588" s="68"/>
      <c r="CU1588" s="68"/>
      <c r="CV1588" s="68"/>
      <c r="CW1588" s="68"/>
      <c r="CX1588" s="68"/>
    </row>
    <row r="1589" spans="4:102" s="71" customFormat="1" hidden="1">
      <c r="D1589" s="69"/>
      <c r="E1589" s="68"/>
      <c r="F1589" s="68"/>
      <c r="G1589" s="68"/>
      <c r="H1589" s="68"/>
      <c r="I1589" s="68"/>
      <c r="J1589" s="68"/>
      <c r="K1589" s="73"/>
      <c r="L1589" s="68"/>
      <c r="M1589" s="68"/>
      <c r="N1589" s="68"/>
      <c r="O1589" s="68"/>
      <c r="P1589" s="65"/>
      <c r="Q1589" s="103"/>
      <c r="R1589" s="103"/>
      <c r="S1589" s="103"/>
      <c r="T1589" s="103"/>
      <c r="U1589" s="68"/>
      <c r="V1589" s="68"/>
      <c r="W1589" s="68"/>
      <c r="X1589" s="68"/>
      <c r="Y1589" s="68"/>
      <c r="Z1589" s="68"/>
      <c r="AA1589" s="68"/>
      <c r="AB1589" s="68"/>
      <c r="AC1589" s="68"/>
      <c r="AD1589" s="68"/>
      <c r="AE1589" s="68"/>
      <c r="AF1589" s="68"/>
      <c r="AG1589" s="68"/>
      <c r="AH1589" s="68"/>
      <c r="AI1589" s="68"/>
      <c r="AJ1589" s="68"/>
      <c r="AK1589" s="68"/>
      <c r="AL1589" s="68"/>
      <c r="AM1589" s="68"/>
      <c r="AN1589" s="68"/>
      <c r="AO1589" s="68"/>
      <c r="AP1589" s="68"/>
      <c r="AQ1589" s="68"/>
      <c r="AR1589" s="68"/>
      <c r="AS1589" s="68"/>
      <c r="AT1589" s="68"/>
      <c r="AU1589" s="68"/>
      <c r="AV1589" s="68"/>
      <c r="AW1589" s="68"/>
      <c r="AX1589" s="68"/>
      <c r="AY1589" s="68"/>
      <c r="AZ1589" s="68"/>
      <c r="BA1589" s="68"/>
      <c r="BB1589" s="68"/>
      <c r="BC1589" s="68"/>
      <c r="BD1589" s="68"/>
      <c r="BE1589" s="68"/>
      <c r="BF1589" s="68"/>
      <c r="BG1589" s="68"/>
      <c r="BH1589" s="68"/>
      <c r="BI1589" s="68"/>
      <c r="BJ1589" s="68"/>
      <c r="BK1589" s="68"/>
      <c r="BL1589" s="68"/>
      <c r="BM1589" s="68"/>
      <c r="BN1589" s="68"/>
      <c r="BO1589" s="68"/>
      <c r="BP1589" s="68"/>
      <c r="BQ1589" s="68"/>
      <c r="BR1589" s="68"/>
      <c r="BS1589" s="68"/>
      <c r="BT1589" s="68"/>
      <c r="BU1589" s="68"/>
      <c r="BV1589" s="68"/>
      <c r="BW1589" s="68"/>
      <c r="BX1589" s="68"/>
      <c r="BY1589" s="68"/>
      <c r="BZ1589" s="68"/>
      <c r="CA1589" s="68"/>
      <c r="CB1589" s="68"/>
      <c r="CC1589" s="68"/>
      <c r="CD1589" s="68"/>
      <c r="CE1589" s="68"/>
      <c r="CF1589" s="68"/>
      <c r="CG1589" s="68"/>
      <c r="CH1589" s="68"/>
      <c r="CI1589" s="68"/>
      <c r="CJ1589" s="68"/>
      <c r="CK1589" s="68"/>
      <c r="CL1589" s="68"/>
      <c r="CM1589" s="68"/>
      <c r="CN1589" s="68"/>
      <c r="CO1589" s="68"/>
      <c r="CP1589" s="68"/>
      <c r="CQ1589" s="68"/>
      <c r="CR1589" s="68"/>
      <c r="CS1589" s="68"/>
      <c r="CT1589" s="68"/>
      <c r="CU1589" s="68"/>
      <c r="CV1589" s="68"/>
      <c r="CW1589" s="68"/>
      <c r="CX1589" s="68"/>
    </row>
    <row r="1590" spans="4:102" s="71" customFormat="1" hidden="1">
      <c r="D1590" s="68"/>
      <c r="E1590" s="68"/>
      <c r="F1590" s="68"/>
      <c r="G1590" s="68"/>
      <c r="H1590" s="68"/>
      <c r="I1590" s="68"/>
      <c r="J1590" s="68"/>
      <c r="K1590" s="73"/>
      <c r="L1590" s="68"/>
      <c r="M1590" s="68"/>
      <c r="N1590" s="68"/>
      <c r="O1590" s="68"/>
      <c r="P1590" s="65"/>
      <c r="Q1590" s="103"/>
      <c r="R1590" s="103"/>
      <c r="S1590" s="103"/>
      <c r="T1590" s="103"/>
      <c r="U1590" s="68"/>
      <c r="V1590" s="68"/>
      <c r="W1590" s="68"/>
      <c r="X1590" s="68"/>
      <c r="Y1590" s="68"/>
      <c r="Z1590" s="68"/>
      <c r="AA1590" s="68"/>
      <c r="AB1590" s="68"/>
      <c r="AC1590" s="68"/>
      <c r="AD1590" s="68"/>
      <c r="AE1590" s="68"/>
      <c r="AF1590" s="68"/>
      <c r="AG1590" s="68"/>
      <c r="AH1590" s="68"/>
      <c r="AI1590" s="68"/>
      <c r="AJ1590" s="68"/>
      <c r="AK1590" s="68"/>
      <c r="AL1590" s="68"/>
      <c r="AM1590" s="68"/>
      <c r="AN1590" s="68"/>
      <c r="AO1590" s="68"/>
      <c r="AP1590" s="68"/>
      <c r="AQ1590" s="68"/>
      <c r="AR1590" s="68"/>
      <c r="AS1590" s="68"/>
      <c r="AT1590" s="68"/>
      <c r="AU1590" s="68"/>
      <c r="AV1590" s="68"/>
      <c r="AW1590" s="68"/>
      <c r="AX1590" s="68"/>
      <c r="AY1590" s="68"/>
      <c r="AZ1590" s="68"/>
      <c r="BA1590" s="68"/>
      <c r="BB1590" s="68"/>
      <c r="BC1590" s="68"/>
      <c r="BD1590" s="68"/>
      <c r="BE1590" s="68"/>
      <c r="BF1590" s="68"/>
      <c r="BG1590" s="68"/>
      <c r="BH1590" s="68"/>
      <c r="BI1590" s="68"/>
      <c r="BJ1590" s="68"/>
      <c r="BK1590" s="68"/>
      <c r="BL1590" s="68"/>
      <c r="BM1590" s="68"/>
      <c r="BN1590" s="68"/>
      <c r="BO1590" s="68"/>
      <c r="BP1590" s="68"/>
      <c r="BQ1590" s="68"/>
      <c r="BR1590" s="68"/>
      <c r="BS1590" s="68"/>
      <c r="BT1590" s="68"/>
      <c r="BU1590" s="68"/>
      <c r="BV1590" s="68"/>
      <c r="BW1590" s="68"/>
      <c r="BX1590" s="68"/>
      <c r="BY1590" s="68"/>
      <c r="BZ1590" s="68"/>
      <c r="CA1590" s="68"/>
      <c r="CB1590" s="68"/>
      <c r="CC1590" s="68"/>
      <c r="CD1590" s="68"/>
      <c r="CE1590" s="68"/>
      <c r="CF1590" s="68"/>
      <c r="CG1590" s="68"/>
      <c r="CH1590" s="68"/>
      <c r="CI1590" s="68"/>
      <c r="CJ1590" s="68"/>
      <c r="CK1590" s="68"/>
      <c r="CL1590" s="68"/>
      <c r="CM1590" s="68"/>
      <c r="CN1590" s="68"/>
      <c r="CO1590" s="68"/>
      <c r="CP1590" s="68"/>
      <c r="CQ1590" s="68"/>
      <c r="CR1590" s="68"/>
      <c r="CS1590" s="68"/>
      <c r="CT1590" s="68"/>
      <c r="CU1590" s="68"/>
      <c r="CV1590" s="68"/>
      <c r="CW1590" s="68"/>
      <c r="CX1590" s="68"/>
    </row>
    <row r="1591" spans="4:102" s="71" customFormat="1" hidden="1">
      <c r="D1591" s="68"/>
      <c r="E1591" s="68"/>
      <c r="F1591" s="68"/>
      <c r="G1591" s="68"/>
      <c r="H1591" s="68"/>
      <c r="I1591" s="68"/>
      <c r="J1591" s="68"/>
      <c r="K1591" s="73"/>
      <c r="L1591" s="68"/>
      <c r="M1591" s="68"/>
      <c r="N1591" s="68"/>
      <c r="O1591" s="68"/>
      <c r="P1591" s="65"/>
      <c r="Q1591" s="103"/>
      <c r="R1591" s="103"/>
      <c r="S1591" s="103"/>
      <c r="T1591" s="103"/>
      <c r="U1591" s="68"/>
      <c r="V1591" s="68"/>
      <c r="W1591" s="68"/>
      <c r="X1591" s="68"/>
      <c r="Y1591" s="68"/>
      <c r="Z1591" s="68"/>
      <c r="AA1591" s="68"/>
      <c r="AB1591" s="68"/>
      <c r="AC1591" s="68"/>
      <c r="AD1591" s="68"/>
      <c r="AE1591" s="68"/>
      <c r="AF1591" s="68"/>
      <c r="AG1591" s="68"/>
      <c r="AH1591" s="68"/>
      <c r="AI1591" s="68"/>
      <c r="AJ1591" s="68"/>
      <c r="AK1591" s="68"/>
      <c r="AL1591" s="68"/>
      <c r="AM1591" s="68"/>
      <c r="AN1591" s="68"/>
      <c r="AO1591" s="68"/>
      <c r="AP1591" s="68"/>
      <c r="AQ1591" s="68"/>
      <c r="AR1591" s="68"/>
      <c r="AS1591" s="68"/>
      <c r="AT1591" s="68"/>
      <c r="AU1591" s="68"/>
      <c r="AV1591" s="68"/>
      <c r="AW1591" s="68"/>
      <c r="AX1591" s="68"/>
      <c r="AY1591" s="68"/>
      <c r="AZ1591" s="68"/>
      <c r="BA1591" s="68"/>
      <c r="BB1591" s="68"/>
      <c r="BC1591" s="68"/>
      <c r="BD1591" s="68"/>
      <c r="BE1591" s="68"/>
      <c r="BF1591" s="68"/>
      <c r="BG1591" s="68"/>
      <c r="BH1591" s="68"/>
      <c r="BI1591" s="68"/>
      <c r="BJ1591" s="68"/>
      <c r="BK1591" s="68"/>
      <c r="BL1591" s="68"/>
      <c r="BM1591" s="68"/>
      <c r="BN1591" s="68"/>
      <c r="BO1591" s="68"/>
      <c r="BP1591" s="68"/>
      <c r="BQ1591" s="68"/>
      <c r="BR1591" s="68"/>
      <c r="BS1591" s="68"/>
      <c r="BT1591" s="68"/>
      <c r="BU1591" s="68"/>
      <c r="BV1591" s="68"/>
      <c r="BW1591" s="68"/>
      <c r="BX1591" s="68"/>
      <c r="BY1591" s="68"/>
      <c r="BZ1591" s="68"/>
      <c r="CA1591" s="68"/>
      <c r="CB1591" s="68"/>
      <c r="CC1591" s="68"/>
      <c r="CD1591" s="68"/>
      <c r="CE1591" s="68"/>
      <c r="CF1591" s="68"/>
      <c r="CG1591" s="68"/>
      <c r="CH1591" s="68"/>
      <c r="CI1591" s="68"/>
      <c r="CJ1591" s="68"/>
      <c r="CK1591" s="68"/>
      <c r="CL1591" s="68"/>
      <c r="CM1591" s="68"/>
      <c r="CN1591" s="68"/>
      <c r="CO1591" s="68"/>
      <c r="CP1591" s="68"/>
      <c r="CQ1591" s="68"/>
      <c r="CR1591" s="68"/>
      <c r="CS1591" s="68"/>
      <c r="CT1591" s="68"/>
      <c r="CU1591" s="68"/>
      <c r="CV1591" s="68"/>
      <c r="CW1591" s="68"/>
      <c r="CX1591" s="68"/>
    </row>
  </sheetData>
  <mergeCells count="2">
    <mergeCell ref="S4:AI4"/>
    <mergeCell ref="F4:Q4"/>
  </mergeCell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2">
    <tabColor theme="5" tint="0.59999389629810485"/>
  </sheetPr>
  <dimension ref="A1:Z363"/>
  <sheetViews>
    <sheetView showGridLines="0" workbookViewId="0">
      <selection activeCell="H26" sqref="H26"/>
    </sheetView>
  </sheetViews>
  <sheetFormatPr baseColWidth="10" defaultColWidth="0" defaultRowHeight="15" zeroHeight="1"/>
  <cols>
    <col min="1" max="1" width="15.85546875" style="68" customWidth="1"/>
    <col min="2" max="10" width="12.7109375" style="68" customWidth="1"/>
    <col min="11" max="11" width="16" style="68" bestFit="1" customWidth="1"/>
    <col min="12" max="12" width="13.7109375" style="68" bestFit="1" customWidth="1"/>
    <col min="13" max="16" width="11.42578125" style="68" customWidth="1"/>
    <col min="17" max="17" width="14.140625" style="68" customWidth="1"/>
    <col min="18" max="18" width="17" style="68" customWidth="1"/>
    <col min="19" max="19" width="13.42578125" style="68" bestFit="1" customWidth="1"/>
    <col min="20" max="20" width="23.7109375" style="68" customWidth="1"/>
    <col min="21" max="21" width="11.42578125" style="68" customWidth="1"/>
    <col min="22" max="22" width="20.7109375" style="116" customWidth="1"/>
    <col min="23" max="23" width="11.42578125" style="68" customWidth="1"/>
    <col min="24" max="24" width="34.140625" hidden="1" customWidth="1"/>
    <col min="25" max="26" width="0" style="68" hidden="1" customWidth="1"/>
    <col min="27" max="16384" width="11.42578125" style="68" hidden="1"/>
  </cols>
  <sheetData>
    <row r="1" spans="1:26" ht="18.75">
      <c r="A1" s="97" t="s">
        <v>550</v>
      </c>
      <c r="N1" s="65"/>
    </row>
    <row r="2" spans="1:26">
      <c r="A2" s="80" t="s">
        <v>547</v>
      </c>
      <c r="B2" s="63" t="str">
        <f>Inputs!C4</f>
        <v>LT 2015 TrB F1 Z1</v>
      </c>
    </row>
    <row r="3" spans="1:26">
      <c r="A3" s="235" t="s">
        <v>325</v>
      </c>
      <c r="B3" s="235" t="s">
        <v>326</v>
      </c>
      <c r="C3" s="235" t="s">
        <v>326</v>
      </c>
      <c r="D3" s="235" t="s">
        <v>326</v>
      </c>
      <c r="E3" s="235" t="s">
        <v>326</v>
      </c>
      <c r="F3" s="235" t="s">
        <v>326</v>
      </c>
      <c r="G3" s="235" t="s">
        <v>326</v>
      </c>
      <c r="H3" s="235" t="s">
        <v>326</v>
      </c>
      <c r="I3" s="235" t="s">
        <v>326</v>
      </c>
      <c r="J3" s="235" t="s">
        <v>326</v>
      </c>
      <c r="K3" s="60"/>
      <c r="L3" s="60"/>
      <c r="N3" s="60"/>
      <c r="O3" s="60"/>
      <c r="P3" s="60"/>
      <c r="Q3" s="60"/>
      <c r="R3" s="60"/>
      <c r="S3" s="60"/>
      <c r="T3" s="60"/>
      <c r="U3" s="60"/>
      <c r="V3" s="208"/>
      <c r="W3" s="60"/>
      <c r="Y3" s="60"/>
    </row>
    <row r="4" spans="1:26">
      <c r="A4" s="573" t="s">
        <v>327</v>
      </c>
      <c r="B4" s="573"/>
      <c r="C4" s="573"/>
      <c r="D4" s="573"/>
      <c r="E4" s="573"/>
      <c r="F4" s="573"/>
      <c r="G4" s="573"/>
      <c r="H4" s="573"/>
      <c r="I4" s="573"/>
      <c r="J4" s="573"/>
      <c r="K4" s="60"/>
      <c r="L4" s="60"/>
      <c r="Y4" s="96"/>
    </row>
    <row r="5" spans="1:26">
      <c r="A5" s="235" t="s">
        <v>328</v>
      </c>
      <c r="B5" s="67">
        <v>-233379.26081417999</v>
      </c>
      <c r="C5" s="67">
        <v>-233344.62528574999</v>
      </c>
      <c r="D5" s="67">
        <v>-233311.18408588</v>
      </c>
      <c r="E5" s="67">
        <v>-233286.10318598</v>
      </c>
      <c r="F5" s="67">
        <v>-233319.54438584999</v>
      </c>
      <c r="G5" s="67">
        <v>-233345.81961430999</v>
      </c>
      <c r="H5" s="67">
        <v>-233325.51602867999</v>
      </c>
      <c r="I5" s="67">
        <v>-233288.49184311001</v>
      </c>
      <c r="J5" s="67">
        <v>-233259.82795750999</v>
      </c>
      <c r="K5" s="60"/>
      <c r="L5" s="60"/>
      <c r="Y5" s="96"/>
    </row>
    <row r="6" spans="1:26">
      <c r="A6" s="235" t="s">
        <v>329</v>
      </c>
      <c r="B6" s="67">
        <v>4730887.3239644999</v>
      </c>
      <c r="C6" s="67">
        <v>4730919.5708357999</v>
      </c>
      <c r="D6" s="67">
        <v>4730943.4574071001</v>
      </c>
      <c r="E6" s="67">
        <v>4730913.5991928997</v>
      </c>
      <c r="F6" s="67">
        <v>4730893.2956072995</v>
      </c>
      <c r="G6" s="67">
        <v>4730867.0203788998</v>
      </c>
      <c r="H6" s="67">
        <v>4730838.3564932998</v>
      </c>
      <c r="I6" s="67">
        <v>4730871.7976930998</v>
      </c>
      <c r="J6" s="67">
        <v>4730894.4899359001</v>
      </c>
      <c r="K6" s="60"/>
      <c r="L6" s="60"/>
      <c r="Y6" s="96"/>
    </row>
    <row r="7" spans="1:26" ht="48.75" customHeight="1">
      <c r="A7" s="50" t="s">
        <v>84</v>
      </c>
      <c r="B7" s="51" t="s">
        <v>608</v>
      </c>
      <c r="C7" s="52" t="s">
        <v>608</v>
      </c>
      <c r="D7" s="53" t="s">
        <v>608</v>
      </c>
      <c r="E7" s="54" t="s">
        <v>608</v>
      </c>
      <c r="F7" s="55" t="s">
        <v>608</v>
      </c>
      <c r="G7" s="56" t="s">
        <v>608</v>
      </c>
      <c r="H7" s="57" t="s">
        <v>608</v>
      </c>
      <c r="I7" s="58" t="s">
        <v>608</v>
      </c>
      <c r="J7" s="59" t="s">
        <v>608</v>
      </c>
      <c r="K7" s="76" t="s">
        <v>331</v>
      </c>
      <c r="L7" s="76" t="s">
        <v>545</v>
      </c>
      <c r="N7" s="77" t="s">
        <v>505</v>
      </c>
      <c r="O7" s="77" t="s">
        <v>504</v>
      </c>
      <c r="P7" s="77" t="s">
        <v>332</v>
      </c>
      <c r="Q7" s="77" t="s">
        <v>84</v>
      </c>
      <c r="R7" s="77" t="s">
        <v>331</v>
      </c>
      <c r="S7" s="77" t="s">
        <v>545</v>
      </c>
      <c r="T7" s="77" t="s">
        <v>548</v>
      </c>
      <c r="U7" s="77" t="s">
        <v>549</v>
      </c>
      <c r="V7" s="209"/>
      <c r="W7" s="77" t="s">
        <v>108</v>
      </c>
    </row>
    <row r="8" spans="1:26">
      <c r="A8" s="104">
        <v>42009</v>
      </c>
      <c r="B8" s="236">
        <v>0.24</v>
      </c>
      <c r="C8" s="236">
        <v>0.24222221999999999</v>
      </c>
      <c r="D8" s="236">
        <v>0.23444444</v>
      </c>
      <c r="E8" s="236">
        <v>0.23444444</v>
      </c>
      <c r="F8" s="236">
        <v>0.23555556</v>
      </c>
      <c r="G8" s="236">
        <v>0.23777777999999999</v>
      </c>
      <c r="H8" s="236">
        <v>0.23888888999999999</v>
      </c>
      <c r="I8" s="236">
        <v>0.23888888999999999</v>
      </c>
      <c r="J8" s="236">
        <v>0.23444444</v>
      </c>
      <c r="K8" s="207">
        <f>AVERAGE(B8:J8)</f>
        <v>0.23740740666666665</v>
      </c>
      <c r="L8" s="207">
        <f>(K9-K8)/(A10-A9)</f>
        <v>5.1440328703703658E-4</v>
      </c>
      <c r="M8" s="116"/>
      <c r="N8" s="116">
        <f>DAY(A8)</f>
        <v>5</v>
      </c>
      <c r="O8" s="116">
        <f>MONTH(A8)</f>
        <v>1</v>
      </c>
      <c r="P8" s="116">
        <f>YEAR(A8)</f>
        <v>2015</v>
      </c>
      <c r="Q8" s="69">
        <f>DATE(P8,O8,N8)</f>
        <v>42009</v>
      </c>
      <c r="R8" s="78">
        <f>AVERAGE(B8:J8)</f>
        <v>0.23740740666666665</v>
      </c>
      <c r="S8" s="98">
        <f>(R9-R8)/(Q9-Q8)</f>
        <v>2.7434841975308619E-3</v>
      </c>
      <c r="T8" s="69">
        <f>Q8</f>
        <v>42009</v>
      </c>
      <c r="U8" s="61">
        <f>IF(ISERROR(VLOOKUP($T8,$Q$8:$S$40,2,FALSE)),U7+VLOOKUP($T8,$Q$8:$S$40,3,TRUE),VLOOKUP($T8,$Q$8:$S$40,2,FALSE))</f>
        <v>0.23740740666666665</v>
      </c>
      <c r="V8" s="116">
        <f>IFERROR(IF(VLOOKUP(T8,$Q$8:$Q$363,1,FALSE)&gt;0,1,""),"")</f>
        <v>1</v>
      </c>
      <c r="W8" s="75">
        <f>IF(U8="","",U8*1.5-0.2)</f>
        <v>0.15611110999999994</v>
      </c>
      <c r="X8" s="68"/>
    </row>
    <row r="9" spans="1:26">
      <c r="A9" s="104">
        <v>42018</v>
      </c>
      <c r="B9" s="236">
        <v>0.26222222000000001</v>
      </c>
      <c r="C9" s="236">
        <v>0.26555556000000002</v>
      </c>
      <c r="D9" s="236">
        <v>0.26111110999999998</v>
      </c>
      <c r="E9" s="236">
        <v>0.26222222000000001</v>
      </c>
      <c r="F9" s="236">
        <v>0.26111110999999998</v>
      </c>
      <c r="G9" s="236">
        <v>0.26111110999999998</v>
      </c>
      <c r="H9" s="236">
        <v>0.26</v>
      </c>
      <c r="I9" s="236">
        <v>0.26333332999999998</v>
      </c>
      <c r="J9" s="236">
        <v>0.26222222000000001</v>
      </c>
      <c r="K9" s="207">
        <f t="shared" ref="K9:K20" si="0">AVERAGE(B9:J9)</f>
        <v>0.26209876444444441</v>
      </c>
      <c r="L9" s="207">
        <f t="shared" ref="L9:L20" si="1">(K10-K9)/(A11-A10)</f>
        <v>-7.4074063492062566E-4</v>
      </c>
      <c r="M9" s="116"/>
      <c r="N9" s="116">
        <f t="shared" ref="N9:N20" si="2">DAY(A9)</f>
        <v>14</v>
      </c>
      <c r="O9" s="116">
        <f t="shared" ref="O9:O20" si="3">MONTH(A9)</f>
        <v>1</v>
      </c>
      <c r="P9" s="116">
        <f t="shared" ref="P9:P20" si="4">YEAR(A9)</f>
        <v>2015</v>
      </c>
      <c r="Q9" s="69">
        <f t="shared" ref="Q9:Q20" si="5">DATE(P9,O9,N9)</f>
        <v>42018</v>
      </c>
      <c r="R9" s="78">
        <f t="shared" ref="R9:R20" si="6">AVERAGE(B9:J9)</f>
        <v>0.26209876444444441</v>
      </c>
      <c r="S9" s="98">
        <f t="shared" ref="S9:S18" si="7">(R10-R9)/(Q10-Q9)</f>
        <v>-1.0802467592592457E-4</v>
      </c>
      <c r="T9" s="69">
        <f t="shared" ref="T9:T72" si="8">IF(T8="","",IF(MAX($Q$8:$Q$50)&gt;=(T8+1),T8+1,""))</f>
        <v>42010</v>
      </c>
      <c r="U9" s="61">
        <f t="shared" ref="U9:U72" si="9">IF(T9="","",IF(ISERROR(VLOOKUP($T9,$Q$8:$S$40,2,FALSE)),U8+VLOOKUP($T9,$Q$8:$S$40,3,TRUE),VLOOKUP($T9,$Q$8:$S$40,2,FALSE)))</f>
        <v>0.24015089086419752</v>
      </c>
      <c r="V9" s="116" t="str">
        <f t="shared" ref="V9:V72" si="10">IFERROR(IF(VLOOKUP(T9,$Q$8:$Q$363,1,FALSE)&gt;0,1,""),"")</f>
        <v/>
      </c>
      <c r="W9" s="75">
        <f t="shared" ref="W9:W72" si="11">IF(U9="","",U9*1.5-0.2)</f>
        <v>0.16022633629629629</v>
      </c>
    </row>
    <row r="10" spans="1:26">
      <c r="A10" s="104">
        <v>42066</v>
      </c>
      <c r="B10" s="236">
        <v>0.25444443999999999</v>
      </c>
      <c r="C10" s="236">
        <v>0.25444443999999999</v>
      </c>
      <c r="D10" s="236">
        <v>0.25333333000000002</v>
      </c>
      <c r="E10" s="236">
        <v>0.25777778000000001</v>
      </c>
      <c r="F10" s="236">
        <v>0.25666666999999999</v>
      </c>
      <c r="G10" s="236">
        <v>0.25777778000000001</v>
      </c>
      <c r="H10" s="236">
        <v>0.26</v>
      </c>
      <c r="I10" s="236">
        <v>0.26</v>
      </c>
      <c r="J10" s="236">
        <v>0.25777778000000001</v>
      </c>
      <c r="K10" s="207">
        <f t="shared" si="0"/>
        <v>0.25691358000000003</v>
      </c>
      <c r="L10" s="207">
        <f t="shared" si="1"/>
        <v>5.9921710027100025E-4</v>
      </c>
      <c r="M10" s="116"/>
      <c r="N10" s="116">
        <f t="shared" si="2"/>
        <v>3</v>
      </c>
      <c r="O10" s="116">
        <f t="shared" si="3"/>
        <v>3</v>
      </c>
      <c r="P10" s="116">
        <f t="shared" si="4"/>
        <v>2015</v>
      </c>
      <c r="Q10" s="69">
        <f t="shared" si="5"/>
        <v>42066</v>
      </c>
      <c r="R10" s="78">
        <f t="shared" si="6"/>
        <v>0.25691358000000003</v>
      </c>
      <c r="S10" s="98">
        <f t="shared" si="7"/>
        <v>3.5097001587301446E-3</v>
      </c>
      <c r="T10" s="69">
        <f t="shared" si="8"/>
        <v>42011</v>
      </c>
      <c r="U10" s="61">
        <f t="shared" si="9"/>
        <v>0.2428943750617284</v>
      </c>
      <c r="V10" s="116" t="str">
        <f t="shared" si="10"/>
        <v/>
      </c>
      <c r="W10" s="75">
        <f t="shared" si="11"/>
        <v>0.16434156259259258</v>
      </c>
      <c r="Z10" s="69"/>
    </row>
    <row r="11" spans="1:26">
      <c r="A11" s="104">
        <v>42073</v>
      </c>
      <c r="B11" s="236">
        <v>0.28000000000000003</v>
      </c>
      <c r="C11" s="236">
        <v>0.27888889</v>
      </c>
      <c r="D11" s="236">
        <v>0.27666667</v>
      </c>
      <c r="E11" s="236">
        <v>0.28111111</v>
      </c>
      <c r="F11" s="236">
        <v>0.28111111</v>
      </c>
      <c r="G11" s="236">
        <v>0.28333332999999999</v>
      </c>
      <c r="H11" s="236">
        <v>0.28666667000000001</v>
      </c>
      <c r="I11" s="236">
        <v>0.28444444000000002</v>
      </c>
      <c r="J11" s="236">
        <v>0.28111111</v>
      </c>
      <c r="K11" s="207">
        <f t="shared" si="0"/>
        <v>0.28148148111111104</v>
      </c>
      <c r="L11" s="207">
        <f t="shared" si="1"/>
        <v>3.3487654375000002E-2</v>
      </c>
      <c r="M11" s="116"/>
      <c r="N11" s="116">
        <f t="shared" si="2"/>
        <v>10</v>
      </c>
      <c r="O11" s="116">
        <f t="shared" si="3"/>
        <v>3</v>
      </c>
      <c r="P11" s="116">
        <f t="shared" si="4"/>
        <v>2015</v>
      </c>
      <c r="Q11" s="69">
        <f t="shared" si="5"/>
        <v>42073</v>
      </c>
      <c r="R11" s="78">
        <f t="shared" si="6"/>
        <v>0.28148148111111104</v>
      </c>
      <c r="S11" s="98">
        <f t="shared" si="7"/>
        <v>1.306835292682927E-2</v>
      </c>
      <c r="T11" s="69">
        <f t="shared" si="8"/>
        <v>42012</v>
      </c>
      <c r="U11" s="61">
        <f t="shared" si="9"/>
        <v>0.24563785925925927</v>
      </c>
      <c r="V11" s="116" t="str">
        <f t="shared" si="10"/>
        <v/>
      </c>
      <c r="W11" s="75">
        <f t="shared" si="11"/>
        <v>0.16845678888888888</v>
      </c>
    </row>
    <row r="12" spans="1:26">
      <c r="A12" s="104">
        <v>42114</v>
      </c>
      <c r="B12" s="236">
        <v>0.81333332999999997</v>
      </c>
      <c r="C12" s="236">
        <v>0.81555555999999996</v>
      </c>
      <c r="D12" s="236">
        <v>0.81888888999999998</v>
      </c>
      <c r="E12" s="236">
        <v>0.82</v>
      </c>
      <c r="F12" s="236">
        <v>0.81888888999999998</v>
      </c>
      <c r="G12" s="236">
        <v>0.81444444000000005</v>
      </c>
      <c r="H12" s="236">
        <v>0.81555555999999996</v>
      </c>
      <c r="I12" s="236">
        <v>0.81888888999999998</v>
      </c>
      <c r="J12" s="236">
        <v>0.82</v>
      </c>
      <c r="K12" s="207">
        <f t="shared" si="0"/>
        <v>0.81728395111111107</v>
      </c>
      <c r="L12" s="207">
        <f t="shared" si="1"/>
        <v>3.749999930555567E-3</v>
      </c>
      <c r="M12" s="116"/>
      <c r="N12" s="116">
        <f t="shared" si="2"/>
        <v>20</v>
      </c>
      <c r="O12" s="116">
        <f t="shared" si="3"/>
        <v>4</v>
      </c>
      <c r="P12" s="116">
        <f t="shared" si="4"/>
        <v>2015</v>
      </c>
      <c r="Q12" s="69">
        <f t="shared" si="5"/>
        <v>42114</v>
      </c>
      <c r="R12" s="78">
        <f t="shared" si="6"/>
        <v>0.81728395111111107</v>
      </c>
      <c r="S12" s="98">
        <f t="shared" si="7"/>
        <v>3.749999930555567E-3</v>
      </c>
      <c r="T12" s="69">
        <f t="shared" si="8"/>
        <v>42013</v>
      </c>
      <c r="U12" s="61">
        <f t="shared" si="9"/>
        <v>0.24838134345679014</v>
      </c>
      <c r="V12" s="116" t="str">
        <f t="shared" si="10"/>
        <v/>
      </c>
      <c r="W12" s="75">
        <f t="shared" si="11"/>
        <v>0.17257201518518522</v>
      </c>
    </row>
    <row r="13" spans="1:26">
      <c r="A13" s="104">
        <v>42130</v>
      </c>
      <c r="B13" s="236">
        <v>0.88</v>
      </c>
      <c r="C13" s="236">
        <v>0.88</v>
      </c>
      <c r="D13" s="236">
        <v>0.88222221999999995</v>
      </c>
      <c r="E13" s="236">
        <v>0.87444443999999999</v>
      </c>
      <c r="F13" s="236">
        <v>0.87777777999999995</v>
      </c>
      <c r="G13" s="236">
        <v>0.87777777999999995</v>
      </c>
      <c r="H13" s="236">
        <v>0.87555556000000001</v>
      </c>
      <c r="I13" s="236">
        <v>0.87333333000000002</v>
      </c>
      <c r="J13" s="236">
        <v>0.87444443999999999</v>
      </c>
      <c r="K13" s="207">
        <f t="shared" si="0"/>
        <v>0.87728395000000015</v>
      </c>
      <c r="L13" s="207">
        <f t="shared" si="1"/>
        <v>4.4753083333332749E-4</v>
      </c>
      <c r="M13" s="116"/>
      <c r="N13" s="116">
        <f t="shared" si="2"/>
        <v>6</v>
      </c>
      <c r="O13" s="116">
        <f t="shared" si="3"/>
        <v>5</v>
      </c>
      <c r="P13" s="116">
        <f t="shared" si="4"/>
        <v>2015</v>
      </c>
      <c r="Q13" s="69">
        <f t="shared" si="5"/>
        <v>42130</v>
      </c>
      <c r="R13" s="78">
        <f t="shared" si="6"/>
        <v>0.87728395000000015</v>
      </c>
      <c r="S13" s="98">
        <f t="shared" si="7"/>
        <v>4.4753083333332749E-4</v>
      </c>
      <c r="T13" s="69">
        <f t="shared" si="8"/>
        <v>42014</v>
      </c>
      <c r="U13" s="61">
        <f t="shared" si="9"/>
        <v>0.25112482765432098</v>
      </c>
      <c r="V13" s="116" t="str">
        <f t="shared" si="10"/>
        <v/>
      </c>
      <c r="W13" s="75">
        <f t="shared" si="11"/>
        <v>0.17668724148148146</v>
      </c>
    </row>
    <row r="14" spans="1:26">
      <c r="A14" s="104">
        <v>42146</v>
      </c>
      <c r="B14" s="236">
        <v>0.88666666999999999</v>
      </c>
      <c r="C14" s="236">
        <v>0.88666666999999999</v>
      </c>
      <c r="D14" s="236">
        <v>0.88777777999999996</v>
      </c>
      <c r="E14" s="236">
        <v>0.88444444</v>
      </c>
      <c r="F14" s="236">
        <v>0.88444444</v>
      </c>
      <c r="G14" s="236">
        <v>0.88333333000000003</v>
      </c>
      <c r="H14" s="236">
        <v>0.88</v>
      </c>
      <c r="I14" s="236">
        <v>0.88222221999999995</v>
      </c>
      <c r="J14" s="236">
        <v>0.88444444</v>
      </c>
      <c r="K14" s="207">
        <f t="shared" si="0"/>
        <v>0.88444444333333339</v>
      </c>
      <c r="L14" s="207">
        <f t="shared" si="1"/>
        <v>-3.7577159722222281E-3</v>
      </c>
      <c r="M14" s="116"/>
      <c r="N14" s="116">
        <f t="shared" si="2"/>
        <v>22</v>
      </c>
      <c r="O14" s="116">
        <f t="shared" si="3"/>
        <v>5</v>
      </c>
      <c r="P14" s="116">
        <f t="shared" si="4"/>
        <v>2015</v>
      </c>
      <c r="Q14" s="69">
        <f t="shared" si="5"/>
        <v>42146</v>
      </c>
      <c r="R14" s="78">
        <f t="shared" si="6"/>
        <v>0.88444444333333339</v>
      </c>
      <c r="S14" s="98">
        <f t="shared" si="7"/>
        <v>-3.7577159722222281E-3</v>
      </c>
      <c r="T14" s="69">
        <f t="shared" si="8"/>
        <v>42015</v>
      </c>
      <c r="U14" s="61">
        <f t="shared" si="9"/>
        <v>0.25386831185185182</v>
      </c>
      <c r="V14" s="116" t="str">
        <f t="shared" si="10"/>
        <v/>
      </c>
      <c r="W14" s="75">
        <f t="shared" si="11"/>
        <v>0.1808024677777777</v>
      </c>
    </row>
    <row r="15" spans="1:26">
      <c r="A15" s="104">
        <v>42162</v>
      </c>
      <c r="B15" s="236">
        <v>0.82111111000000003</v>
      </c>
      <c r="C15" s="236">
        <v>0.82333332999999997</v>
      </c>
      <c r="D15" s="236">
        <v>0.82888888999999999</v>
      </c>
      <c r="E15" s="236">
        <v>0.82666667000000005</v>
      </c>
      <c r="F15" s="236">
        <v>0.82444443999999995</v>
      </c>
      <c r="G15" s="236">
        <v>0.82</v>
      </c>
      <c r="H15" s="236">
        <v>0.82222222</v>
      </c>
      <c r="I15" s="236">
        <v>0.82555555999999997</v>
      </c>
      <c r="J15" s="236">
        <v>0.82666667000000005</v>
      </c>
      <c r="K15" s="207">
        <f t="shared" si="0"/>
        <v>0.82432098777777774</v>
      </c>
      <c r="L15" s="207">
        <f t="shared" si="1"/>
        <v>-6.506172857142857E-2</v>
      </c>
      <c r="M15" s="116"/>
      <c r="N15" s="116">
        <f t="shared" si="2"/>
        <v>7</v>
      </c>
      <c r="O15" s="116">
        <f t="shared" si="3"/>
        <v>6</v>
      </c>
      <c r="P15" s="116">
        <f t="shared" si="4"/>
        <v>2015</v>
      </c>
      <c r="Q15" s="69">
        <f t="shared" si="5"/>
        <v>42162</v>
      </c>
      <c r="R15" s="78">
        <f t="shared" si="6"/>
        <v>0.82432098777777774</v>
      </c>
      <c r="S15" s="98">
        <f t="shared" si="7"/>
        <v>-2.8464506249999997E-2</v>
      </c>
      <c r="T15" s="69">
        <f t="shared" si="8"/>
        <v>42016</v>
      </c>
      <c r="U15" s="61">
        <f t="shared" si="9"/>
        <v>0.25661179604938267</v>
      </c>
      <c r="V15" s="116" t="str">
        <f t="shared" si="10"/>
        <v/>
      </c>
      <c r="W15" s="75">
        <f t="shared" si="11"/>
        <v>0.18491769407407399</v>
      </c>
    </row>
    <row r="16" spans="1:26">
      <c r="A16" s="104">
        <v>42178</v>
      </c>
      <c r="B16" s="236">
        <v>0.36333333000000001</v>
      </c>
      <c r="C16" s="236">
        <v>0.37555556000000001</v>
      </c>
      <c r="D16" s="236">
        <v>0.38666666999999999</v>
      </c>
      <c r="E16" s="236">
        <v>0.37444443999999999</v>
      </c>
      <c r="F16" s="236">
        <v>0.37444443999999999</v>
      </c>
      <c r="G16" s="236">
        <v>0.36</v>
      </c>
      <c r="H16" s="236">
        <v>0.34333332999999999</v>
      </c>
      <c r="I16" s="236">
        <v>0.36777778</v>
      </c>
      <c r="J16" s="236">
        <v>0.37444443999999999</v>
      </c>
      <c r="K16" s="207">
        <f t="shared" si="0"/>
        <v>0.36888888777777779</v>
      </c>
      <c r="L16" s="207">
        <f t="shared" si="1"/>
        <v>-3.1138544444444466E-3</v>
      </c>
      <c r="M16" s="116"/>
      <c r="N16" s="116">
        <f t="shared" si="2"/>
        <v>23</v>
      </c>
      <c r="O16" s="116">
        <f t="shared" si="3"/>
        <v>6</v>
      </c>
      <c r="P16" s="116">
        <f t="shared" si="4"/>
        <v>2015</v>
      </c>
      <c r="Q16" s="69">
        <f t="shared" si="5"/>
        <v>42178</v>
      </c>
      <c r="R16" s="78">
        <f t="shared" si="6"/>
        <v>0.36888888777777779</v>
      </c>
      <c r="S16" s="98">
        <f t="shared" si="7"/>
        <v>-4.0035271428571452E-3</v>
      </c>
      <c r="T16" s="69">
        <f t="shared" si="8"/>
        <v>42017</v>
      </c>
      <c r="U16" s="61">
        <f t="shared" si="9"/>
        <v>0.25935528024691351</v>
      </c>
      <c r="V16" s="116" t="str">
        <f t="shared" si="10"/>
        <v/>
      </c>
      <c r="W16" s="75">
        <f t="shared" si="11"/>
        <v>0.18903292037037028</v>
      </c>
    </row>
    <row r="17" spans="1:23">
      <c r="A17" s="104">
        <v>42185</v>
      </c>
      <c r="B17" s="236">
        <v>0.34222222000000002</v>
      </c>
      <c r="C17" s="236">
        <v>0.34888889000000001</v>
      </c>
      <c r="D17" s="236">
        <v>0.35666667000000002</v>
      </c>
      <c r="E17" s="236">
        <v>0.33888889</v>
      </c>
      <c r="F17" s="236">
        <v>0.34333332999999999</v>
      </c>
      <c r="G17" s="236">
        <v>0.33666667</v>
      </c>
      <c r="H17" s="236">
        <v>0.32888888999999999</v>
      </c>
      <c r="I17" s="236">
        <v>0.33333332999999998</v>
      </c>
      <c r="J17" s="236">
        <v>0.33888889</v>
      </c>
      <c r="K17" s="207">
        <f t="shared" si="0"/>
        <v>0.34086419777777777</v>
      </c>
      <c r="L17" s="207">
        <f t="shared" si="1"/>
        <v>-5.4497355555555571E-3</v>
      </c>
      <c r="M17" s="116"/>
      <c r="N17" s="116">
        <f t="shared" si="2"/>
        <v>30</v>
      </c>
      <c r="O17" s="116">
        <f t="shared" si="3"/>
        <v>6</v>
      </c>
      <c r="P17" s="116">
        <f t="shared" si="4"/>
        <v>2015</v>
      </c>
      <c r="Q17" s="69">
        <f t="shared" si="5"/>
        <v>42185</v>
      </c>
      <c r="R17" s="78">
        <f t="shared" si="6"/>
        <v>0.34086419777777777</v>
      </c>
      <c r="S17" s="98">
        <f t="shared" si="7"/>
        <v>-4.2386832098765441E-3</v>
      </c>
      <c r="T17" s="69">
        <f t="shared" si="8"/>
        <v>42018</v>
      </c>
      <c r="U17" s="61">
        <f t="shared" si="9"/>
        <v>0.26209876444444441</v>
      </c>
      <c r="V17" s="116">
        <f t="shared" si="10"/>
        <v>1</v>
      </c>
      <c r="W17" s="75">
        <f t="shared" si="11"/>
        <v>0.19314814666666663</v>
      </c>
    </row>
    <row r="18" spans="1:23">
      <c r="A18" s="104">
        <v>42194</v>
      </c>
      <c r="B18" s="236">
        <v>0.30444443999999998</v>
      </c>
      <c r="C18" s="236">
        <v>0.30666666999999997</v>
      </c>
      <c r="D18" s="236">
        <v>0.30666666999999997</v>
      </c>
      <c r="E18" s="236">
        <v>0.30111111000000002</v>
      </c>
      <c r="F18" s="236">
        <v>0.30333333000000001</v>
      </c>
      <c r="G18" s="236">
        <v>0.30111111000000002</v>
      </c>
      <c r="H18" s="236">
        <v>0.3</v>
      </c>
      <c r="I18" s="236">
        <v>0.3</v>
      </c>
      <c r="J18" s="236">
        <v>0.30111111000000002</v>
      </c>
      <c r="K18" s="207">
        <f t="shared" si="0"/>
        <v>0.30271604888888887</v>
      </c>
      <c r="L18" s="207">
        <f t="shared" si="1"/>
        <v>1.3717432098765537E-4</v>
      </c>
      <c r="M18" s="116"/>
      <c r="N18" s="116">
        <f t="shared" si="2"/>
        <v>9</v>
      </c>
      <c r="O18" s="116">
        <f t="shared" si="3"/>
        <v>7</v>
      </c>
      <c r="P18" s="116">
        <f t="shared" si="4"/>
        <v>2015</v>
      </c>
      <c r="Q18" s="69">
        <f t="shared" si="5"/>
        <v>42194</v>
      </c>
      <c r="R18" s="78">
        <f t="shared" si="6"/>
        <v>0.30271604888888887</v>
      </c>
      <c r="S18" s="98">
        <f t="shared" si="7"/>
        <v>1.7636698412698548E-4</v>
      </c>
      <c r="T18" s="69">
        <f t="shared" si="8"/>
        <v>42019</v>
      </c>
      <c r="U18" s="61">
        <f t="shared" si="9"/>
        <v>0.2619907397685185</v>
      </c>
      <c r="V18" s="116" t="str">
        <f t="shared" si="10"/>
        <v/>
      </c>
      <c r="W18" s="75">
        <f t="shared" si="11"/>
        <v>0.19298610965277774</v>
      </c>
    </row>
    <row r="19" spans="1:23">
      <c r="A19" s="104">
        <v>42201</v>
      </c>
      <c r="B19" s="236">
        <v>0.29888889000000002</v>
      </c>
      <c r="C19" s="236">
        <v>0.29888889000000002</v>
      </c>
      <c r="D19" s="236">
        <v>0.3</v>
      </c>
      <c r="E19" s="236">
        <v>0.30666666999999997</v>
      </c>
      <c r="F19" s="236">
        <v>0.30333333000000001</v>
      </c>
      <c r="G19" s="236">
        <v>0.30333333000000001</v>
      </c>
      <c r="H19" s="236">
        <v>0.30888889000000003</v>
      </c>
      <c r="I19" s="236">
        <v>0.30888889000000003</v>
      </c>
      <c r="J19" s="236">
        <v>0.30666666999999997</v>
      </c>
      <c r="K19" s="207">
        <f t="shared" si="0"/>
        <v>0.30395061777777777</v>
      </c>
      <c r="L19" s="207">
        <f t="shared" si="1"/>
        <v>2.0181281423569965E-7</v>
      </c>
      <c r="N19" s="116">
        <f t="shared" si="2"/>
        <v>16</v>
      </c>
      <c r="O19" s="116">
        <f t="shared" si="3"/>
        <v>7</v>
      </c>
      <c r="P19" s="116">
        <f t="shared" si="4"/>
        <v>2015</v>
      </c>
      <c r="Q19" s="69">
        <f t="shared" si="5"/>
        <v>42201</v>
      </c>
      <c r="R19" s="78">
        <f t="shared" si="6"/>
        <v>0.30395061777777777</v>
      </c>
      <c r="S19" s="98">
        <f>(R20-R19)/(Q20-Q19)</f>
        <v>-9.4650209876543127E-4</v>
      </c>
      <c r="T19" s="69">
        <f t="shared" si="8"/>
        <v>42020</v>
      </c>
      <c r="U19" s="61">
        <f t="shared" si="9"/>
        <v>0.26188271509259259</v>
      </c>
      <c r="V19" s="116" t="str">
        <f t="shared" si="10"/>
        <v/>
      </c>
      <c r="W19" s="75">
        <f t="shared" si="11"/>
        <v>0.19282407263888884</v>
      </c>
    </row>
    <row r="20" spans="1:23">
      <c r="A20" s="104">
        <v>42210</v>
      </c>
      <c r="B20" s="236">
        <v>0.28555555999999999</v>
      </c>
      <c r="C20" s="236">
        <v>0.28777777999999998</v>
      </c>
      <c r="D20" s="236">
        <v>0.28999999999999998</v>
      </c>
      <c r="E20" s="236">
        <v>0.30222221999999999</v>
      </c>
      <c r="F20" s="236">
        <v>0.29555555999999999</v>
      </c>
      <c r="G20" s="236">
        <v>0.29222221999999998</v>
      </c>
      <c r="H20" s="236">
        <v>0.3</v>
      </c>
      <c r="I20" s="236">
        <v>0.30333333000000001</v>
      </c>
      <c r="J20" s="236">
        <v>0.30222221999999999</v>
      </c>
      <c r="K20" s="207">
        <f t="shared" si="0"/>
        <v>0.29543209888888888</v>
      </c>
      <c r="L20" s="207" t="e">
        <f t="shared" si="1"/>
        <v>#DIV/0!</v>
      </c>
      <c r="N20" s="116">
        <f t="shared" si="2"/>
        <v>25</v>
      </c>
      <c r="O20" s="116">
        <f t="shared" si="3"/>
        <v>7</v>
      </c>
      <c r="P20" s="116">
        <f t="shared" si="4"/>
        <v>2015</v>
      </c>
      <c r="Q20" s="69">
        <f t="shared" si="5"/>
        <v>42210</v>
      </c>
      <c r="R20" s="78">
        <f t="shared" si="6"/>
        <v>0.29543209888888888</v>
      </c>
      <c r="S20" s="98">
        <f>(R21-R20)/(Q21-Q20)</f>
        <v>6.9991020821816837E-6</v>
      </c>
      <c r="T20" s="69">
        <f t="shared" si="8"/>
        <v>42021</v>
      </c>
      <c r="U20" s="61">
        <f t="shared" si="9"/>
        <v>0.26177469041666668</v>
      </c>
      <c r="V20" s="116" t="str">
        <f t="shared" si="10"/>
        <v/>
      </c>
      <c r="W20" s="75">
        <f t="shared" si="11"/>
        <v>0.19266203562500001</v>
      </c>
    </row>
    <row r="21" spans="1:23">
      <c r="A21" s="104"/>
      <c r="B21" s="233"/>
      <c r="C21" s="233"/>
      <c r="D21" s="233"/>
      <c r="E21" s="233"/>
      <c r="F21" s="233"/>
      <c r="G21" s="233"/>
      <c r="H21" s="233"/>
      <c r="K21" s="234"/>
      <c r="L21" s="207"/>
      <c r="N21" s="116"/>
      <c r="O21" s="116"/>
      <c r="P21" s="116"/>
      <c r="Q21" s="69"/>
      <c r="R21" s="78"/>
      <c r="S21" s="98"/>
      <c r="T21" s="69">
        <f t="shared" si="8"/>
        <v>42022</v>
      </c>
      <c r="U21" s="61">
        <f t="shared" si="9"/>
        <v>0.26166666574074077</v>
      </c>
      <c r="V21" s="116" t="str">
        <f t="shared" si="10"/>
        <v/>
      </c>
      <c r="W21" s="75">
        <f t="shared" si="11"/>
        <v>0.19249999861111117</v>
      </c>
    </row>
    <row r="22" spans="1:23">
      <c r="A22" s="104"/>
      <c r="B22" s="233"/>
      <c r="C22" s="233"/>
      <c r="D22" s="233"/>
      <c r="E22" s="233"/>
      <c r="F22" s="233"/>
      <c r="G22" s="233"/>
      <c r="H22" s="233"/>
      <c r="I22" s="74"/>
      <c r="J22" s="74"/>
      <c r="K22" s="234"/>
      <c r="L22" s="207"/>
      <c r="N22" s="116"/>
      <c r="O22" s="116"/>
      <c r="P22" s="116"/>
      <c r="Q22" s="69"/>
      <c r="R22" s="78"/>
      <c r="S22" s="98"/>
      <c r="T22" s="69">
        <f t="shared" si="8"/>
        <v>42023</v>
      </c>
      <c r="U22" s="61">
        <f t="shared" si="9"/>
        <v>0.26155864106481486</v>
      </c>
      <c r="V22" s="116" t="str">
        <f t="shared" si="10"/>
        <v/>
      </c>
      <c r="W22" s="75">
        <f t="shared" si="11"/>
        <v>0.19233796159722227</v>
      </c>
    </row>
    <row r="23" spans="1:23">
      <c r="A23" s="104"/>
      <c r="B23" s="233"/>
      <c r="C23" s="233"/>
      <c r="D23" s="233"/>
      <c r="E23" s="233"/>
      <c r="F23" s="233"/>
      <c r="G23" s="233"/>
      <c r="H23" s="233"/>
      <c r="K23" s="234"/>
      <c r="L23" s="207"/>
      <c r="N23" s="116"/>
      <c r="O23" s="116"/>
      <c r="P23" s="116"/>
      <c r="Q23" s="69"/>
      <c r="R23" s="78"/>
      <c r="S23" s="98"/>
      <c r="T23" s="69">
        <f t="shared" si="8"/>
        <v>42024</v>
      </c>
      <c r="U23" s="61">
        <f t="shared" si="9"/>
        <v>0.26145061638888895</v>
      </c>
      <c r="V23" s="116" t="str">
        <f t="shared" si="10"/>
        <v/>
      </c>
      <c r="W23" s="75">
        <f t="shared" si="11"/>
        <v>0.19217592458333338</v>
      </c>
    </row>
    <row r="24" spans="1:23">
      <c r="A24" s="104"/>
      <c r="B24" s="233"/>
      <c r="C24" s="233"/>
      <c r="D24" s="233"/>
      <c r="E24" s="233"/>
      <c r="F24" s="233"/>
      <c r="G24" s="233"/>
      <c r="H24" s="233"/>
      <c r="K24" s="234"/>
      <c r="L24" s="207"/>
      <c r="N24" s="116"/>
      <c r="O24" s="116"/>
      <c r="P24" s="116"/>
      <c r="Q24" s="69"/>
      <c r="R24" s="78"/>
      <c r="S24" s="98"/>
      <c r="T24" s="69">
        <f t="shared" si="8"/>
        <v>42025</v>
      </c>
      <c r="U24" s="61">
        <f t="shared" si="9"/>
        <v>0.26134259171296303</v>
      </c>
      <c r="V24" s="116" t="str">
        <f t="shared" si="10"/>
        <v/>
      </c>
      <c r="W24" s="75">
        <f t="shared" si="11"/>
        <v>0.19201388756944454</v>
      </c>
    </row>
    <row r="25" spans="1:23">
      <c r="A25" s="104"/>
      <c r="B25" s="233"/>
      <c r="C25" s="233"/>
      <c r="D25" s="233"/>
      <c r="E25" s="233"/>
      <c r="F25" s="233"/>
      <c r="G25" s="233"/>
      <c r="H25" s="233"/>
      <c r="K25" s="234"/>
      <c r="L25" s="207"/>
      <c r="N25" s="116"/>
      <c r="O25" s="116"/>
      <c r="P25" s="116"/>
      <c r="Q25" s="69"/>
      <c r="R25" s="78"/>
      <c r="S25" s="98"/>
      <c r="T25" s="69">
        <f t="shared" si="8"/>
        <v>42026</v>
      </c>
      <c r="U25" s="61">
        <f t="shared" si="9"/>
        <v>0.26123456703703712</v>
      </c>
      <c r="V25" s="116" t="str">
        <f t="shared" si="10"/>
        <v/>
      </c>
      <c r="W25" s="75">
        <f t="shared" si="11"/>
        <v>0.1918518505555557</v>
      </c>
    </row>
    <row r="26" spans="1:23">
      <c r="A26" s="104"/>
      <c r="B26" s="233"/>
      <c r="C26" s="233"/>
      <c r="D26" s="233"/>
      <c r="E26" s="233"/>
      <c r="F26" s="233"/>
      <c r="G26" s="233"/>
      <c r="H26" s="233"/>
      <c r="K26" s="234"/>
      <c r="L26" s="207"/>
      <c r="N26" s="116"/>
      <c r="O26" s="116"/>
      <c r="P26" s="116"/>
      <c r="Q26" s="69"/>
      <c r="R26" s="78"/>
      <c r="S26" s="98"/>
      <c r="T26" s="69">
        <f t="shared" si="8"/>
        <v>42027</v>
      </c>
      <c r="U26" s="61">
        <f t="shared" si="9"/>
        <v>0.26112654236111121</v>
      </c>
      <c r="V26" s="116" t="str">
        <f t="shared" si="10"/>
        <v/>
      </c>
      <c r="W26" s="75">
        <f t="shared" si="11"/>
        <v>0.19168981354166681</v>
      </c>
    </row>
    <row r="27" spans="1:23">
      <c r="A27" s="104"/>
      <c r="B27" s="233"/>
      <c r="C27" s="233"/>
      <c r="D27" s="233"/>
      <c r="E27" s="233"/>
      <c r="F27" s="233"/>
      <c r="G27" s="233"/>
      <c r="H27" s="233"/>
      <c r="K27" s="234"/>
      <c r="L27" s="207"/>
      <c r="N27" s="116"/>
      <c r="O27" s="116"/>
      <c r="P27" s="116"/>
      <c r="Q27" s="69"/>
      <c r="R27" s="78"/>
      <c r="S27" s="98"/>
      <c r="T27" s="69">
        <f t="shared" si="8"/>
        <v>42028</v>
      </c>
      <c r="U27" s="61">
        <f t="shared" si="9"/>
        <v>0.2610185176851853</v>
      </c>
      <c r="V27" s="116" t="str">
        <f t="shared" si="10"/>
        <v/>
      </c>
      <c r="W27" s="75">
        <f t="shared" si="11"/>
        <v>0.19152777652777792</v>
      </c>
    </row>
    <row r="28" spans="1:23">
      <c r="A28" s="104"/>
      <c r="B28" s="233"/>
      <c r="C28" s="233"/>
      <c r="D28" s="233"/>
      <c r="E28" s="233"/>
      <c r="F28" s="233"/>
      <c r="G28" s="233"/>
      <c r="H28" s="233"/>
      <c r="I28" s="74"/>
      <c r="J28" s="74"/>
      <c r="K28" s="234"/>
      <c r="L28" s="207"/>
      <c r="N28" s="116"/>
      <c r="O28" s="116"/>
      <c r="P28" s="116"/>
      <c r="Q28" s="69"/>
      <c r="R28" s="78"/>
      <c r="S28" s="98"/>
      <c r="T28" s="69">
        <f t="shared" si="8"/>
        <v>42029</v>
      </c>
      <c r="U28" s="61">
        <f t="shared" si="9"/>
        <v>0.26091049300925939</v>
      </c>
      <c r="V28" s="116" t="str">
        <f t="shared" si="10"/>
        <v/>
      </c>
      <c r="W28" s="75">
        <f t="shared" si="11"/>
        <v>0.19136573951388908</v>
      </c>
    </row>
    <row r="29" spans="1:23">
      <c r="A29" s="104"/>
      <c r="B29" s="233"/>
      <c r="C29" s="233"/>
      <c r="D29" s="233"/>
      <c r="E29" s="233"/>
      <c r="F29" s="233"/>
      <c r="G29" s="233"/>
      <c r="H29" s="233"/>
      <c r="K29" s="234"/>
      <c r="L29" s="207"/>
      <c r="N29" s="116"/>
      <c r="O29" s="116"/>
      <c r="P29" s="116"/>
      <c r="Q29" s="69"/>
      <c r="R29" s="78"/>
      <c r="S29" s="98"/>
      <c r="T29" s="69">
        <f t="shared" si="8"/>
        <v>42030</v>
      </c>
      <c r="U29" s="61">
        <f t="shared" si="9"/>
        <v>0.26080246833333348</v>
      </c>
      <c r="V29" s="116" t="str">
        <f t="shared" si="10"/>
        <v/>
      </c>
      <c r="W29" s="75">
        <f t="shared" si="11"/>
        <v>0.19120370250000024</v>
      </c>
    </row>
    <row r="30" spans="1:23">
      <c r="A30" s="66"/>
      <c r="B30" s="74"/>
      <c r="C30" s="74"/>
      <c r="D30" s="74"/>
      <c r="E30" s="74"/>
      <c r="F30" s="74"/>
      <c r="G30" s="74"/>
      <c r="H30" s="74"/>
      <c r="I30" s="74"/>
      <c r="J30" s="74"/>
      <c r="K30" s="81"/>
      <c r="L30" s="82"/>
      <c r="O30" s="65"/>
      <c r="Q30" s="69"/>
      <c r="R30" s="78"/>
      <c r="S30" s="98"/>
      <c r="T30" s="69">
        <f t="shared" si="8"/>
        <v>42031</v>
      </c>
      <c r="U30" s="61">
        <f t="shared" si="9"/>
        <v>0.26069444365740757</v>
      </c>
      <c r="V30" s="116" t="str">
        <f t="shared" si="10"/>
        <v/>
      </c>
      <c r="W30" s="75">
        <f t="shared" si="11"/>
        <v>0.19104166548611135</v>
      </c>
    </row>
    <row r="31" spans="1:23">
      <c r="A31" s="66"/>
      <c r="B31" s="64"/>
      <c r="C31" s="74"/>
      <c r="D31" s="74"/>
      <c r="E31" s="64"/>
      <c r="F31" s="74"/>
      <c r="G31" s="74"/>
      <c r="H31" s="74"/>
      <c r="I31" s="74"/>
      <c r="J31" s="64"/>
      <c r="O31" s="65"/>
      <c r="Q31" s="69"/>
      <c r="R31" s="78"/>
      <c r="S31" s="79"/>
      <c r="T31" s="69">
        <f t="shared" si="8"/>
        <v>42032</v>
      </c>
      <c r="U31" s="61">
        <f t="shared" si="9"/>
        <v>0.26058641898148166</v>
      </c>
      <c r="V31" s="116" t="str">
        <f t="shared" si="10"/>
        <v/>
      </c>
      <c r="W31" s="75">
        <f t="shared" si="11"/>
        <v>0.19087962847222245</v>
      </c>
    </row>
    <row r="32" spans="1:23">
      <c r="A32" s="66">
        <v>42831</v>
      </c>
      <c r="B32" s="74">
        <v>0.84977899999999995</v>
      </c>
      <c r="C32" s="74">
        <v>0.85335099999999997</v>
      </c>
      <c r="D32" s="74">
        <v>0.85096899999999998</v>
      </c>
      <c r="E32" s="74">
        <v>0.83365900000000004</v>
      </c>
      <c r="F32" s="74">
        <v>0.83428899999999995</v>
      </c>
      <c r="G32" s="74">
        <v>0.85209999999999997</v>
      </c>
      <c r="H32" s="74">
        <v>0.84969600000000001</v>
      </c>
      <c r="I32" s="74">
        <v>0.85321100000000005</v>
      </c>
      <c r="J32" s="74">
        <v>0.85500100000000001</v>
      </c>
      <c r="O32" s="65"/>
      <c r="Q32" s="69"/>
      <c r="R32" s="78"/>
      <c r="S32" s="79"/>
      <c r="T32" s="69">
        <f t="shared" si="8"/>
        <v>42033</v>
      </c>
      <c r="U32" s="61">
        <f t="shared" si="9"/>
        <v>0.26047839430555575</v>
      </c>
      <c r="V32" s="116" t="str">
        <f t="shared" si="10"/>
        <v/>
      </c>
      <c r="W32" s="75">
        <f t="shared" si="11"/>
        <v>0.19071759145833361</v>
      </c>
    </row>
    <row r="33" spans="1:23">
      <c r="A33" s="66">
        <v>42834</v>
      </c>
      <c r="B33" s="74">
        <v>0.86698600000000003</v>
      </c>
      <c r="C33" s="74">
        <v>0.87541800000000003</v>
      </c>
      <c r="D33" s="74">
        <v>0.87074099999999999</v>
      </c>
      <c r="E33" s="74">
        <v>0.85850700000000002</v>
      </c>
      <c r="F33" s="74">
        <v>0.87304400000000004</v>
      </c>
      <c r="G33" s="74">
        <v>0.87351599999999996</v>
      </c>
      <c r="H33" s="74">
        <v>0.87681200000000004</v>
      </c>
      <c r="I33" s="74">
        <v>0.87114199999999997</v>
      </c>
      <c r="J33" s="74">
        <v>0.87836499999999995</v>
      </c>
      <c r="O33" s="65"/>
      <c r="Q33" s="69"/>
      <c r="R33" s="78"/>
      <c r="S33" s="79"/>
      <c r="T33" s="69">
        <f t="shared" si="8"/>
        <v>42034</v>
      </c>
      <c r="U33" s="61">
        <f t="shared" si="9"/>
        <v>0.26037036962962984</v>
      </c>
      <c r="V33" s="116" t="str">
        <f t="shared" si="10"/>
        <v/>
      </c>
      <c r="W33" s="75">
        <f t="shared" si="11"/>
        <v>0.19055555444444477</v>
      </c>
    </row>
    <row r="34" spans="1:23">
      <c r="A34" s="66">
        <v>42841</v>
      </c>
      <c r="B34" s="74">
        <v>0.79710899999999996</v>
      </c>
      <c r="C34" s="74">
        <v>0.79428799999999999</v>
      </c>
      <c r="D34" s="74">
        <v>0.79462200000000005</v>
      </c>
      <c r="E34" s="74">
        <v>0.79187200000000002</v>
      </c>
      <c r="F34" s="74">
        <v>0.78614200000000001</v>
      </c>
      <c r="G34" s="74">
        <v>0.77416399999999996</v>
      </c>
      <c r="H34" s="74">
        <v>0.77712199999999998</v>
      </c>
      <c r="I34" s="74">
        <v>0.792798</v>
      </c>
      <c r="J34" s="74">
        <v>0.80324799999999996</v>
      </c>
      <c r="O34" s="65"/>
      <c r="Q34" s="69"/>
      <c r="R34" s="78"/>
      <c r="S34" s="79"/>
      <c r="T34" s="69">
        <f t="shared" si="8"/>
        <v>42035</v>
      </c>
      <c r="U34" s="61">
        <f t="shared" si="9"/>
        <v>0.26026234495370393</v>
      </c>
      <c r="V34" s="116" t="str">
        <f t="shared" si="10"/>
        <v/>
      </c>
      <c r="W34" s="75">
        <f t="shared" si="11"/>
        <v>0.19039351743055588</v>
      </c>
    </row>
    <row r="35" spans="1:23">
      <c r="A35" s="66">
        <v>42844</v>
      </c>
      <c r="B35" s="74">
        <v>0.104475</v>
      </c>
      <c r="C35" s="74">
        <v>0.10181800000000001</v>
      </c>
      <c r="D35" s="74">
        <v>0.10065200000000001</v>
      </c>
      <c r="E35" s="74">
        <v>0.105279</v>
      </c>
      <c r="F35" s="74">
        <v>0.105226</v>
      </c>
      <c r="G35" s="74">
        <v>0.10271</v>
      </c>
      <c r="H35" s="74">
        <v>0.10423399999999999</v>
      </c>
      <c r="I35" s="74">
        <v>0.10219499999999999</v>
      </c>
      <c r="J35" s="74">
        <v>0.100908</v>
      </c>
      <c r="O35" s="65"/>
      <c r="Q35" s="69"/>
      <c r="R35" s="78"/>
      <c r="S35" s="79"/>
      <c r="T35" s="69">
        <f t="shared" si="8"/>
        <v>42036</v>
      </c>
      <c r="U35" s="61">
        <f t="shared" si="9"/>
        <v>0.26015432027777802</v>
      </c>
      <c r="V35" s="116" t="str">
        <f t="shared" si="10"/>
        <v/>
      </c>
      <c r="W35" s="75">
        <f t="shared" si="11"/>
        <v>0.19023148041666699</v>
      </c>
    </row>
    <row r="36" spans="1:23">
      <c r="O36" s="65"/>
      <c r="Q36" s="69"/>
      <c r="R36" s="78"/>
      <c r="S36" s="79"/>
      <c r="T36" s="69">
        <f t="shared" si="8"/>
        <v>42037</v>
      </c>
      <c r="U36" s="61">
        <f t="shared" si="9"/>
        <v>0.26004629560185211</v>
      </c>
      <c r="V36" s="116" t="str">
        <f t="shared" si="10"/>
        <v/>
      </c>
      <c r="W36" s="75">
        <f t="shared" si="11"/>
        <v>0.19006944340277815</v>
      </c>
    </row>
    <row r="37" spans="1:23">
      <c r="O37" s="65"/>
      <c r="Q37" s="69"/>
      <c r="R37" s="78"/>
      <c r="S37" s="79"/>
      <c r="T37" s="69">
        <f t="shared" si="8"/>
        <v>42038</v>
      </c>
      <c r="U37" s="61">
        <f t="shared" si="9"/>
        <v>0.2599382709259262</v>
      </c>
      <c r="V37" s="116" t="str">
        <f t="shared" si="10"/>
        <v/>
      </c>
      <c r="W37" s="75">
        <f t="shared" si="11"/>
        <v>0.18990740638888931</v>
      </c>
    </row>
    <row r="38" spans="1:23">
      <c r="O38" s="65"/>
      <c r="Q38" s="69"/>
      <c r="R38" s="78"/>
      <c r="S38" s="79"/>
      <c r="T38" s="69">
        <f t="shared" si="8"/>
        <v>42039</v>
      </c>
      <c r="U38" s="61">
        <f t="shared" si="9"/>
        <v>0.25983024625000029</v>
      </c>
      <c r="V38" s="116" t="str">
        <f t="shared" si="10"/>
        <v/>
      </c>
      <c r="W38" s="75">
        <f t="shared" si="11"/>
        <v>0.18974536937500042</v>
      </c>
    </row>
    <row r="39" spans="1:23">
      <c r="O39" s="65"/>
      <c r="Q39" s="69"/>
      <c r="R39" s="78"/>
      <c r="S39" s="79"/>
      <c r="T39" s="69">
        <f t="shared" si="8"/>
        <v>42040</v>
      </c>
      <c r="U39" s="61">
        <f t="shared" si="9"/>
        <v>0.25972222157407437</v>
      </c>
      <c r="V39" s="116" t="str">
        <f t="shared" si="10"/>
        <v/>
      </c>
      <c r="W39" s="75">
        <f t="shared" si="11"/>
        <v>0.18958333236111152</v>
      </c>
    </row>
    <row r="40" spans="1:23">
      <c r="O40" s="65"/>
      <c r="Q40" s="69"/>
      <c r="R40" s="78"/>
      <c r="S40" s="79"/>
      <c r="T40" s="69">
        <f t="shared" si="8"/>
        <v>42041</v>
      </c>
      <c r="U40" s="61">
        <f t="shared" si="9"/>
        <v>0.25961419689814846</v>
      </c>
      <c r="V40" s="116" t="str">
        <f t="shared" si="10"/>
        <v/>
      </c>
      <c r="W40" s="75">
        <f t="shared" si="11"/>
        <v>0.18942129534722268</v>
      </c>
    </row>
    <row r="41" spans="1:23">
      <c r="O41" s="65"/>
      <c r="Q41" s="69"/>
      <c r="R41" s="78"/>
      <c r="S41" s="79"/>
      <c r="T41" s="69">
        <f t="shared" si="8"/>
        <v>42042</v>
      </c>
      <c r="U41" s="61">
        <f t="shared" si="9"/>
        <v>0.25950617222222255</v>
      </c>
      <c r="V41" s="116" t="str">
        <f t="shared" si="10"/>
        <v/>
      </c>
      <c r="W41" s="75">
        <f t="shared" si="11"/>
        <v>0.18925925833333385</v>
      </c>
    </row>
    <row r="42" spans="1:23">
      <c r="O42" s="65"/>
      <c r="Q42" s="69"/>
      <c r="R42" s="78"/>
      <c r="S42" s="79"/>
      <c r="T42" s="69">
        <f t="shared" si="8"/>
        <v>42043</v>
      </c>
      <c r="U42" s="61">
        <f t="shared" si="9"/>
        <v>0.25939814754629664</v>
      </c>
      <c r="V42" s="116" t="str">
        <f t="shared" si="10"/>
        <v/>
      </c>
      <c r="W42" s="75">
        <f t="shared" si="11"/>
        <v>0.18909722131944495</v>
      </c>
    </row>
    <row r="43" spans="1:23">
      <c r="O43" s="65"/>
      <c r="Q43" s="69"/>
      <c r="R43" s="78"/>
      <c r="S43" s="79"/>
      <c r="T43" s="69">
        <f t="shared" si="8"/>
        <v>42044</v>
      </c>
      <c r="U43" s="61">
        <f t="shared" si="9"/>
        <v>0.25929012287037073</v>
      </c>
      <c r="V43" s="116" t="str">
        <f t="shared" si="10"/>
        <v/>
      </c>
      <c r="W43" s="75">
        <f t="shared" si="11"/>
        <v>0.18893518430555606</v>
      </c>
    </row>
    <row r="44" spans="1:23">
      <c r="O44" s="65"/>
      <c r="Q44" s="69"/>
      <c r="R44" s="78"/>
      <c r="S44" s="79"/>
      <c r="T44" s="69">
        <f t="shared" si="8"/>
        <v>42045</v>
      </c>
      <c r="U44" s="61">
        <f t="shared" si="9"/>
        <v>0.25918209819444482</v>
      </c>
      <c r="V44" s="116" t="str">
        <f t="shared" si="10"/>
        <v/>
      </c>
      <c r="W44" s="75">
        <f t="shared" si="11"/>
        <v>0.18877314729166722</v>
      </c>
    </row>
    <row r="45" spans="1:23">
      <c r="O45" s="65"/>
      <c r="Q45" s="69"/>
      <c r="R45" s="78"/>
      <c r="S45" s="79"/>
      <c r="T45" s="69">
        <f t="shared" si="8"/>
        <v>42046</v>
      </c>
      <c r="U45" s="61">
        <f t="shared" si="9"/>
        <v>0.25907407351851891</v>
      </c>
      <c r="V45" s="116" t="str">
        <f t="shared" si="10"/>
        <v/>
      </c>
      <c r="W45" s="75">
        <f t="shared" si="11"/>
        <v>0.18861111027777838</v>
      </c>
    </row>
    <row r="46" spans="1:23">
      <c r="O46" s="65"/>
      <c r="Q46" s="69"/>
      <c r="R46" s="78"/>
      <c r="S46" s="79"/>
      <c r="T46" s="69">
        <f t="shared" si="8"/>
        <v>42047</v>
      </c>
      <c r="U46" s="61">
        <f t="shared" si="9"/>
        <v>0.258966048842593</v>
      </c>
      <c r="V46" s="116" t="str">
        <f t="shared" si="10"/>
        <v/>
      </c>
      <c r="W46" s="75">
        <f t="shared" si="11"/>
        <v>0.18844907326388949</v>
      </c>
    </row>
    <row r="47" spans="1:23">
      <c r="O47" s="65"/>
      <c r="Q47" s="69"/>
      <c r="R47" s="78"/>
      <c r="S47" s="79"/>
      <c r="T47" s="69">
        <f t="shared" si="8"/>
        <v>42048</v>
      </c>
      <c r="U47" s="61">
        <f t="shared" si="9"/>
        <v>0.25885802416666709</v>
      </c>
      <c r="V47" s="116" t="str">
        <f t="shared" si="10"/>
        <v/>
      </c>
      <c r="W47" s="75">
        <f t="shared" si="11"/>
        <v>0.18828703625000059</v>
      </c>
    </row>
    <row r="48" spans="1:23">
      <c r="O48" s="65"/>
      <c r="Q48" s="69"/>
      <c r="R48" s="78"/>
      <c r="S48" s="79"/>
      <c r="T48" s="69">
        <f t="shared" si="8"/>
        <v>42049</v>
      </c>
      <c r="U48" s="61">
        <f t="shared" si="9"/>
        <v>0.25874999949074118</v>
      </c>
      <c r="V48" s="116" t="str">
        <f t="shared" si="10"/>
        <v/>
      </c>
      <c r="W48" s="75">
        <f t="shared" si="11"/>
        <v>0.18812499923611176</v>
      </c>
    </row>
    <row r="49" spans="15:23">
      <c r="O49" s="65"/>
      <c r="Q49" s="69"/>
      <c r="R49" s="78"/>
      <c r="S49" s="79"/>
      <c r="T49" s="69">
        <f t="shared" si="8"/>
        <v>42050</v>
      </c>
      <c r="U49" s="61">
        <f t="shared" si="9"/>
        <v>0.25864197481481527</v>
      </c>
      <c r="V49" s="116" t="str">
        <f t="shared" si="10"/>
        <v/>
      </c>
      <c r="W49" s="75">
        <f t="shared" si="11"/>
        <v>0.18796296222222292</v>
      </c>
    </row>
    <row r="50" spans="15:23">
      <c r="O50" s="65"/>
      <c r="Q50" s="69"/>
      <c r="R50" s="78"/>
      <c r="S50" s="79"/>
      <c r="T50" s="69">
        <f t="shared" si="8"/>
        <v>42051</v>
      </c>
      <c r="U50" s="61">
        <f t="shared" si="9"/>
        <v>0.25853395013888936</v>
      </c>
      <c r="V50" s="116" t="str">
        <f t="shared" si="10"/>
        <v/>
      </c>
      <c r="W50" s="75">
        <f t="shared" si="11"/>
        <v>0.18780092520833402</v>
      </c>
    </row>
    <row r="51" spans="15:23">
      <c r="O51" s="65"/>
      <c r="Q51" s="69"/>
      <c r="R51" s="78"/>
      <c r="S51" s="79"/>
      <c r="T51" s="69">
        <f t="shared" si="8"/>
        <v>42052</v>
      </c>
      <c r="U51" s="61">
        <f t="shared" si="9"/>
        <v>0.25842592546296345</v>
      </c>
      <c r="V51" s="116" t="str">
        <f t="shared" si="10"/>
        <v/>
      </c>
      <c r="W51" s="75">
        <f t="shared" si="11"/>
        <v>0.18763888819444513</v>
      </c>
    </row>
    <row r="52" spans="15:23">
      <c r="O52" s="65"/>
      <c r="Q52" s="69"/>
      <c r="R52" s="78"/>
      <c r="S52" s="79"/>
      <c r="T52" s="69">
        <f t="shared" si="8"/>
        <v>42053</v>
      </c>
      <c r="U52" s="61">
        <f t="shared" si="9"/>
        <v>0.25831790078703754</v>
      </c>
      <c r="V52" s="116" t="str">
        <f t="shared" si="10"/>
        <v/>
      </c>
      <c r="W52" s="75">
        <f t="shared" si="11"/>
        <v>0.18747685118055629</v>
      </c>
    </row>
    <row r="53" spans="15:23">
      <c r="O53" s="65"/>
      <c r="Q53" s="69"/>
      <c r="R53" s="78"/>
      <c r="S53" s="79"/>
      <c r="T53" s="69">
        <f t="shared" si="8"/>
        <v>42054</v>
      </c>
      <c r="U53" s="61">
        <f t="shared" si="9"/>
        <v>0.25820987611111162</v>
      </c>
      <c r="V53" s="116" t="str">
        <f t="shared" si="10"/>
        <v/>
      </c>
      <c r="W53" s="75">
        <f t="shared" si="11"/>
        <v>0.18731481416666745</v>
      </c>
    </row>
    <row r="54" spans="15:23">
      <c r="O54" s="65"/>
      <c r="Q54" s="69"/>
      <c r="R54" s="78"/>
      <c r="S54" s="79"/>
      <c r="T54" s="69">
        <f t="shared" si="8"/>
        <v>42055</v>
      </c>
      <c r="U54" s="61">
        <f t="shared" si="9"/>
        <v>0.25810185143518571</v>
      </c>
      <c r="V54" s="116" t="str">
        <f t="shared" si="10"/>
        <v/>
      </c>
      <c r="W54" s="75">
        <f t="shared" si="11"/>
        <v>0.18715277715277856</v>
      </c>
    </row>
    <row r="55" spans="15:23">
      <c r="O55" s="65"/>
      <c r="Q55" s="69"/>
      <c r="R55" s="78"/>
      <c r="S55" s="79"/>
      <c r="T55" s="69">
        <f t="shared" si="8"/>
        <v>42056</v>
      </c>
      <c r="U55" s="61">
        <f t="shared" si="9"/>
        <v>0.2579938267592598</v>
      </c>
      <c r="V55" s="116" t="str">
        <f t="shared" si="10"/>
        <v/>
      </c>
      <c r="W55" s="75">
        <f t="shared" si="11"/>
        <v>0.18699074013888967</v>
      </c>
    </row>
    <row r="56" spans="15:23">
      <c r="O56" s="65"/>
      <c r="Q56" s="69"/>
      <c r="R56" s="78"/>
      <c r="S56" s="79"/>
      <c r="T56" s="69">
        <f t="shared" si="8"/>
        <v>42057</v>
      </c>
      <c r="U56" s="61">
        <f t="shared" si="9"/>
        <v>0.25788580208333389</v>
      </c>
      <c r="V56" s="116" t="str">
        <f t="shared" si="10"/>
        <v/>
      </c>
      <c r="W56" s="75">
        <f t="shared" si="11"/>
        <v>0.18682870312500083</v>
      </c>
    </row>
    <row r="57" spans="15:23">
      <c r="O57" s="65"/>
      <c r="Q57" s="69"/>
      <c r="R57" s="78"/>
      <c r="S57" s="79"/>
      <c r="T57" s="69">
        <f t="shared" si="8"/>
        <v>42058</v>
      </c>
      <c r="U57" s="61">
        <f t="shared" si="9"/>
        <v>0.25777777740740798</v>
      </c>
      <c r="V57" s="116" t="str">
        <f t="shared" si="10"/>
        <v/>
      </c>
      <c r="W57" s="75">
        <f t="shared" si="11"/>
        <v>0.18666666611111199</v>
      </c>
    </row>
    <row r="58" spans="15:23">
      <c r="O58" s="65"/>
      <c r="Q58" s="69"/>
      <c r="R58" s="78"/>
      <c r="S58" s="79"/>
      <c r="T58" s="69">
        <f t="shared" si="8"/>
        <v>42059</v>
      </c>
      <c r="U58" s="61">
        <f t="shared" si="9"/>
        <v>0.25766975273148207</v>
      </c>
      <c r="V58" s="116" t="str">
        <f t="shared" si="10"/>
        <v/>
      </c>
      <c r="W58" s="75">
        <f t="shared" si="11"/>
        <v>0.1865046290972231</v>
      </c>
    </row>
    <row r="59" spans="15:23">
      <c r="O59" s="65"/>
      <c r="Q59" s="69"/>
      <c r="R59" s="78"/>
      <c r="S59" s="79"/>
      <c r="T59" s="69">
        <f t="shared" si="8"/>
        <v>42060</v>
      </c>
      <c r="U59" s="61">
        <f t="shared" si="9"/>
        <v>0.25756172805555616</v>
      </c>
      <c r="V59" s="116" t="str">
        <f t="shared" si="10"/>
        <v/>
      </c>
      <c r="W59" s="75">
        <f t="shared" si="11"/>
        <v>0.1863425920833342</v>
      </c>
    </row>
    <row r="60" spans="15:23">
      <c r="O60" s="65"/>
      <c r="Q60" s="69"/>
      <c r="R60" s="78"/>
      <c r="S60" s="79"/>
      <c r="T60" s="69">
        <f t="shared" si="8"/>
        <v>42061</v>
      </c>
      <c r="U60" s="61">
        <f t="shared" si="9"/>
        <v>0.25745370337963025</v>
      </c>
      <c r="V60" s="116" t="str">
        <f t="shared" si="10"/>
        <v/>
      </c>
      <c r="W60" s="75">
        <f t="shared" si="11"/>
        <v>0.18618055506944536</v>
      </c>
    </row>
    <row r="61" spans="15:23">
      <c r="O61" s="65"/>
      <c r="Q61" s="69"/>
      <c r="R61" s="78"/>
      <c r="S61" s="79"/>
      <c r="T61" s="69">
        <f t="shared" si="8"/>
        <v>42062</v>
      </c>
      <c r="U61" s="61">
        <f t="shared" si="9"/>
        <v>0.25734567870370434</v>
      </c>
      <c r="V61" s="116" t="str">
        <f t="shared" si="10"/>
        <v/>
      </c>
      <c r="W61" s="75">
        <f t="shared" si="11"/>
        <v>0.18601851805555653</v>
      </c>
    </row>
    <row r="62" spans="15:23">
      <c r="O62" s="65"/>
      <c r="Q62" s="69"/>
      <c r="R62" s="78"/>
      <c r="S62" s="79"/>
      <c r="T62" s="69">
        <f t="shared" si="8"/>
        <v>42063</v>
      </c>
      <c r="U62" s="61">
        <f t="shared" si="9"/>
        <v>0.25723765402777843</v>
      </c>
      <c r="V62" s="116" t="str">
        <f t="shared" si="10"/>
        <v/>
      </c>
      <c r="W62" s="75">
        <f t="shared" si="11"/>
        <v>0.18585648104166763</v>
      </c>
    </row>
    <row r="63" spans="15:23">
      <c r="O63" s="65"/>
      <c r="Q63" s="69"/>
      <c r="R63" s="78"/>
      <c r="S63" s="79"/>
      <c r="T63" s="69">
        <f t="shared" si="8"/>
        <v>42064</v>
      </c>
      <c r="U63" s="61">
        <f t="shared" si="9"/>
        <v>0.25712962935185252</v>
      </c>
      <c r="V63" s="116" t="str">
        <f t="shared" si="10"/>
        <v/>
      </c>
      <c r="W63" s="75">
        <f t="shared" si="11"/>
        <v>0.18569444402777874</v>
      </c>
    </row>
    <row r="64" spans="15:23">
      <c r="O64" s="65"/>
      <c r="Q64" s="69"/>
      <c r="R64" s="78"/>
      <c r="S64" s="79"/>
      <c r="T64" s="69">
        <f t="shared" si="8"/>
        <v>42065</v>
      </c>
      <c r="U64" s="61">
        <f t="shared" si="9"/>
        <v>0.25702160467592661</v>
      </c>
      <c r="V64" s="116" t="str">
        <f t="shared" si="10"/>
        <v/>
      </c>
      <c r="W64" s="75">
        <f t="shared" si="11"/>
        <v>0.1855324070138899</v>
      </c>
    </row>
    <row r="65" spans="15:23">
      <c r="O65" s="65"/>
      <c r="Q65" s="69"/>
      <c r="R65" s="78"/>
      <c r="S65" s="79"/>
      <c r="T65" s="69">
        <f t="shared" si="8"/>
        <v>42066</v>
      </c>
      <c r="U65" s="61">
        <f t="shared" si="9"/>
        <v>0.25691358000000003</v>
      </c>
      <c r="V65" s="116">
        <f t="shared" si="10"/>
        <v>1</v>
      </c>
      <c r="W65" s="75">
        <f t="shared" si="11"/>
        <v>0.18537037000000006</v>
      </c>
    </row>
    <row r="66" spans="15:23">
      <c r="O66" s="65"/>
      <c r="Q66" s="69"/>
      <c r="R66" s="78"/>
      <c r="S66" s="79"/>
      <c r="T66" s="69">
        <f t="shared" si="8"/>
        <v>42067</v>
      </c>
      <c r="U66" s="61">
        <f t="shared" si="9"/>
        <v>0.26042328015873017</v>
      </c>
      <c r="V66" s="116" t="str">
        <f t="shared" si="10"/>
        <v/>
      </c>
      <c r="W66" s="75">
        <f t="shared" si="11"/>
        <v>0.19063492023809525</v>
      </c>
    </row>
    <row r="67" spans="15:23">
      <c r="O67" s="65"/>
      <c r="Q67" s="69"/>
      <c r="R67" s="78"/>
      <c r="S67" s="79"/>
      <c r="T67" s="69">
        <f t="shared" si="8"/>
        <v>42068</v>
      </c>
      <c r="U67" s="61">
        <f t="shared" si="9"/>
        <v>0.26393298031746032</v>
      </c>
      <c r="V67" s="116" t="str">
        <f t="shared" si="10"/>
        <v/>
      </c>
      <c r="W67" s="75">
        <f t="shared" si="11"/>
        <v>0.19589947047619044</v>
      </c>
    </row>
    <row r="68" spans="15:23">
      <c r="O68" s="65"/>
      <c r="Q68" s="69"/>
      <c r="R68" s="78"/>
      <c r="S68" s="79"/>
      <c r="T68" s="69">
        <f t="shared" si="8"/>
        <v>42069</v>
      </c>
      <c r="U68" s="61">
        <f t="shared" si="9"/>
        <v>0.26744268047619046</v>
      </c>
      <c r="V68" s="116" t="str">
        <f t="shared" si="10"/>
        <v/>
      </c>
      <c r="W68" s="75">
        <f t="shared" si="11"/>
        <v>0.20116402071428569</v>
      </c>
    </row>
    <row r="69" spans="15:23">
      <c r="O69" s="65"/>
      <c r="Q69" s="69"/>
      <c r="R69" s="78"/>
      <c r="S69" s="79"/>
      <c r="T69" s="69">
        <f t="shared" si="8"/>
        <v>42070</v>
      </c>
      <c r="U69" s="61">
        <f t="shared" si="9"/>
        <v>0.27095238063492061</v>
      </c>
      <c r="V69" s="116" t="str">
        <f t="shared" si="10"/>
        <v/>
      </c>
      <c r="W69" s="75">
        <f t="shared" si="11"/>
        <v>0.20642857095238093</v>
      </c>
    </row>
    <row r="70" spans="15:23">
      <c r="O70" s="65"/>
      <c r="Q70" s="69"/>
      <c r="R70" s="78"/>
      <c r="S70" s="79"/>
      <c r="T70" s="69">
        <f t="shared" si="8"/>
        <v>42071</v>
      </c>
      <c r="U70" s="61">
        <f t="shared" si="9"/>
        <v>0.27446208079365075</v>
      </c>
      <c r="V70" s="116" t="str">
        <f t="shared" si="10"/>
        <v/>
      </c>
      <c r="W70" s="75">
        <f t="shared" si="11"/>
        <v>0.21169312119047612</v>
      </c>
    </row>
    <row r="71" spans="15:23">
      <c r="O71" s="65"/>
      <c r="Q71" s="69"/>
      <c r="R71" s="78"/>
      <c r="S71" s="79"/>
      <c r="T71" s="69">
        <f t="shared" si="8"/>
        <v>42072</v>
      </c>
      <c r="U71" s="61">
        <f t="shared" si="9"/>
        <v>0.2779717809523809</v>
      </c>
      <c r="V71" s="116" t="str">
        <f t="shared" si="10"/>
        <v/>
      </c>
      <c r="W71" s="75">
        <f t="shared" si="11"/>
        <v>0.21695767142857131</v>
      </c>
    </row>
    <row r="72" spans="15:23">
      <c r="O72" s="65"/>
      <c r="Q72" s="69"/>
      <c r="R72" s="78"/>
      <c r="S72" s="79"/>
      <c r="T72" s="69">
        <f t="shared" si="8"/>
        <v>42073</v>
      </c>
      <c r="U72" s="61">
        <f t="shared" si="9"/>
        <v>0.28148148111111104</v>
      </c>
      <c r="V72" s="116">
        <f t="shared" si="10"/>
        <v>1</v>
      </c>
      <c r="W72" s="75">
        <f t="shared" si="11"/>
        <v>0.22222222166666655</v>
      </c>
    </row>
    <row r="73" spans="15:23">
      <c r="O73" s="65"/>
      <c r="Q73" s="69"/>
      <c r="R73" s="78"/>
      <c r="S73" s="79"/>
      <c r="T73" s="69">
        <f t="shared" ref="T73:T136" si="12">IF(T72="","",IF(MAX($Q$8:$Q$50)&gt;=(T72+1),T72+1,""))</f>
        <v>42074</v>
      </c>
      <c r="U73" s="61">
        <f t="shared" ref="U73:U136" si="13">IF(T73="","",IF(ISERROR(VLOOKUP($T73,$Q$8:$S$40,2,FALSE)),U72+VLOOKUP($T73,$Q$8:$S$40,3,TRUE),VLOOKUP($T73,$Q$8:$S$40,2,FALSE)))</f>
        <v>0.29454983403794033</v>
      </c>
      <c r="V73" s="116" t="str">
        <f t="shared" ref="V73:V136" si="14">IFERROR(IF(VLOOKUP(T73,$Q$8:$Q$363,1,FALSE)&gt;0,1,""),"")</f>
        <v/>
      </c>
      <c r="W73" s="75">
        <f t="shared" ref="W73:W136" si="15">IF(U73="","",U73*1.5-0.2)</f>
        <v>0.24182475105691048</v>
      </c>
    </row>
    <row r="74" spans="15:23">
      <c r="O74" s="65"/>
      <c r="Q74" s="69"/>
      <c r="R74" s="78"/>
      <c r="S74" s="79"/>
      <c r="T74" s="69">
        <f t="shared" si="12"/>
        <v>42075</v>
      </c>
      <c r="U74" s="61">
        <f t="shared" si="13"/>
        <v>0.30761818696476961</v>
      </c>
      <c r="V74" s="116" t="str">
        <f t="shared" si="14"/>
        <v/>
      </c>
      <c r="W74" s="75">
        <f t="shared" si="15"/>
        <v>0.26142728044715441</v>
      </c>
    </row>
    <row r="75" spans="15:23">
      <c r="O75" s="65"/>
      <c r="Q75" s="69"/>
      <c r="R75" s="78"/>
      <c r="S75" s="79"/>
      <c r="T75" s="69">
        <f t="shared" si="12"/>
        <v>42076</v>
      </c>
      <c r="U75" s="61">
        <f t="shared" si="13"/>
        <v>0.3206865398915989</v>
      </c>
      <c r="V75" s="116" t="str">
        <f t="shared" si="14"/>
        <v/>
      </c>
      <c r="W75" s="75">
        <f t="shared" si="15"/>
        <v>0.28102980983739834</v>
      </c>
    </row>
    <row r="76" spans="15:23">
      <c r="O76" s="65"/>
      <c r="Q76" s="69"/>
      <c r="R76" s="78"/>
      <c r="S76" s="79"/>
      <c r="T76" s="69">
        <f t="shared" si="12"/>
        <v>42077</v>
      </c>
      <c r="U76" s="61">
        <f t="shared" si="13"/>
        <v>0.33375489281842818</v>
      </c>
      <c r="V76" s="116" t="str">
        <f t="shared" si="14"/>
        <v/>
      </c>
      <c r="W76" s="75">
        <f t="shared" si="15"/>
        <v>0.30063233922764226</v>
      </c>
    </row>
    <row r="77" spans="15:23">
      <c r="O77" s="65"/>
      <c r="Q77" s="69"/>
      <c r="R77" s="78"/>
      <c r="S77" s="79"/>
      <c r="T77" s="69">
        <f t="shared" si="12"/>
        <v>42078</v>
      </c>
      <c r="U77" s="61">
        <f t="shared" si="13"/>
        <v>0.34682324574525747</v>
      </c>
      <c r="V77" s="116" t="str">
        <f t="shared" si="14"/>
        <v/>
      </c>
      <c r="W77" s="75">
        <f t="shared" si="15"/>
        <v>0.32023486861788614</v>
      </c>
    </row>
    <row r="78" spans="15:23">
      <c r="O78" s="65"/>
      <c r="Q78" s="69"/>
      <c r="R78" s="78"/>
      <c r="S78" s="79"/>
      <c r="T78" s="69">
        <f t="shared" si="12"/>
        <v>42079</v>
      </c>
      <c r="U78" s="61">
        <f t="shared" si="13"/>
        <v>0.35989159867208675</v>
      </c>
      <c r="V78" s="116" t="str">
        <f t="shared" si="14"/>
        <v/>
      </c>
      <c r="W78" s="75">
        <f t="shared" si="15"/>
        <v>0.33983739800813012</v>
      </c>
    </row>
    <row r="79" spans="15:23">
      <c r="O79" s="65"/>
      <c r="Q79" s="69"/>
      <c r="R79" s="78"/>
      <c r="S79" s="79"/>
      <c r="T79" s="69">
        <f t="shared" si="12"/>
        <v>42080</v>
      </c>
      <c r="U79" s="61">
        <f t="shared" si="13"/>
        <v>0.37295995159891604</v>
      </c>
      <c r="V79" s="116" t="str">
        <f t="shared" si="14"/>
        <v/>
      </c>
      <c r="W79" s="75">
        <f t="shared" si="15"/>
        <v>0.3594399273983741</v>
      </c>
    </row>
    <row r="80" spans="15:23">
      <c r="O80" s="65"/>
      <c r="Q80" s="69"/>
      <c r="R80" s="78"/>
      <c r="S80" s="79"/>
      <c r="T80" s="69">
        <f t="shared" si="12"/>
        <v>42081</v>
      </c>
      <c r="U80" s="61">
        <f t="shared" si="13"/>
        <v>0.38602830452574532</v>
      </c>
      <c r="V80" s="116" t="str">
        <f t="shared" si="14"/>
        <v/>
      </c>
      <c r="W80" s="75">
        <f t="shared" si="15"/>
        <v>0.37904245678861798</v>
      </c>
    </row>
    <row r="81" spans="15:23">
      <c r="O81" s="65"/>
      <c r="Q81" s="69"/>
      <c r="R81" s="78"/>
      <c r="S81" s="79"/>
      <c r="T81" s="69">
        <f t="shared" si="12"/>
        <v>42082</v>
      </c>
      <c r="U81" s="61">
        <f t="shared" si="13"/>
        <v>0.39909665745257461</v>
      </c>
      <c r="V81" s="116" t="str">
        <f t="shared" si="14"/>
        <v/>
      </c>
      <c r="W81" s="75">
        <f t="shared" si="15"/>
        <v>0.39864498617886185</v>
      </c>
    </row>
    <row r="82" spans="15:23">
      <c r="O82" s="65"/>
      <c r="Q82" s="69"/>
      <c r="R82" s="78"/>
      <c r="S82" s="79"/>
      <c r="T82" s="69">
        <f t="shared" si="12"/>
        <v>42083</v>
      </c>
      <c r="U82" s="61">
        <f t="shared" si="13"/>
        <v>0.4121650103794039</v>
      </c>
      <c r="V82" s="116" t="str">
        <f t="shared" si="14"/>
        <v/>
      </c>
      <c r="W82" s="75">
        <f t="shared" si="15"/>
        <v>0.41824751556910583</v>
      </c>
    </row>
    <row r="83" spans="15:23">
      <c r="O83" s="65"/>
      <c r="Q83" s="69"/>
      <c r="R83" s="78"/>
      <c r="S83" s="79"/>
      <c r="T83" s="69">
        <f t="shared" si="12"/>
        <v>42084</v>
      </c>
      <c r="U83" s="61">
        <f t="shared" si="13"/>
        <v>0.42523336330623318</v>
      </c>
      <c r="V83" s="116" t="str">
        <f t="shared" si="14"/>
        <v/>
      </c>
      <c r="W83" s="75">
        <f t="shared" si="15"/>
        <v>0.43785004495934982</v>
      </c>
    </row>
    <row r="84" spans="15:23">
      <c r="O84" s="65"/>
      <c r="Q84" s="69"/>
      <c r="R84" s="78"/>
      <c r="S84" s="79"/>
      <c r="T84" s="69">
        <f t="shared" si="12"/>
        <v>42085</v>
      </c>
      <c r="U84" s="61">
        <f t="shared" si="13"/>
        <v>0.43830171623306247</v>
      </c>
      <c r="V84" s="116" t="str">
        <f t="shared" si="14"/>
        <v/>
      </c>
      <c r="W84" s="75">
        <f t="shared" si="15"/>
        <v>0.45745257434959369</v>
      </c>
    </row>
    <row r="85" spans="15:23">
      <c r="O85" s="65"/>
      <c r="Q85" s="69"/>
      <c r="R85" s="78"/>
      <c r="S85" s="79"/>
      <c r="T85" s="69">
        <f t="shared" si="12"/>
        <v>42086</v>
      </c>
      <c r="U85" s="61">
        <f t="shared" si="13"/>
        <v>0.45137006915989175</v>
      </c>
      <c r="V85" s="116" t="str">
        <f t="shared" si="14"/>
        <v/>
      </c>
      <c r="W85" s="75">
        <f t="shared" si="15"/>
        <v>0.47705510373983756</v>
      </c>
    </row>
    <row r="86" spans="15:23">
      <c r="O86" s="65"/>
      <c r="Q86" s="69"/>
      <c r="R86" s="78"/>
      <c r="S86" s="79"/>
      <c r="T86" s="69">
        <f t="shared" si="12"/>
        <v>42087</v>
      </c>
      <c r="U86" s="61">
        <f t="shared" si="13"/>
        <v>0.46443842208672104</v>
      </c>
      <c r="V86" s="116" t="str">
        <f t="shared" si="14"/>
        <v/>
      </c>
      <c r="W86" s="75">
        <f t="shared" si="15"/>
        <v>0.49665763313008154</v>
      </c>
    </row>
    <row r="87" spans="15:23">
      <c r="O87" s="65"/>
      <c r="Q87" s="69"/>
      <c r="R87" s="78"/>
      <c r="S87" s="79"/>
      <c r="T87" s="69">
        <f t="shared" si="12"/>
        <v>42088</v>
      </c>
      <c r="U87" s="61">
        <f t="shared" si="13"/>
        <v>0.47750677501355032</v>
      </c>
      <c r="V87" s="116" t="str">
        <f t="shared" si="14"/>
        <v/>
      </c>
      <c r="W87" s="75">
        <f t="shared" si="15"/>
        <v>0.51626016252032558</v>
      </c>
    </row>
    <row r="88" spans="15:23">
      <c r="O88" s="65"/>
      <c r="Q88" s="69"/>
      <c r="R88" s="78"/>
      <c r="S88" s="79"/>
      <c r="T88" s="69">
        <f t="shared" si="12"/>
        <v>42089</v>
      </c>
      <c r="U88" s="61">
        <f t="shared" si="13"/>
        <v>0.49057512794037961</v>
      </c>
      <c r="V88" s="116" t="str">
        <f t="shared" si="14"/>
        <v/>
      </c>
      <c r="W88" s="75">
        <f t="shared" si="15"/>
        <v>0.53586269191056934</v>
      </c>
    </row>
    <row r="89" spans="15:23">
      <c r="O89" s="65"/>
      <c r="Q89" s="69"/>
      <c r="R89" s="78"/>
      <c r="S89" s="79"/>
      <c r="T89" s="69">
        <f t="shared" si="12"/>
        <v>42090</v>
      </c>
      <c r="U89" s="61">
        <f t="shared" si="13"/>
        <v>0.50364348086720889</v>
      </c>
      <c r="V89" s="116" t="str">
        <f t="shared" si="14"/>
        <v/>
      </c>
      <c r="W89" s="75">
        <f t="shared" si="15"/>
        <v>0.55546522130081333</v>
      </c>
    </row>
    <row r="90" spans="15:23">
      <c r="O90" s="65"/>
      <c r="Q90" s="69"/>
      <c r="R90" s="78"/>
      <c r="S90" s="79"/>
      <c r="T90" s="69">
        <f t="shared" si="12"/>
        <v>42091</v>
      </c>
      <c r="U90" s="61">
        <f t="shared" si="13"/>
        <v>0.51671183379403818</v>
      </c>
      <c r="V90" s="116" t="str">
        <f t="shared" si="14"/>
        <v/>
      </c>
      <c r="W90" s="75">
        <f t="shared" si="15"/>
        <v>0.57506775069105731</v>
      </c>
    </row>
    <row r="91" spans="15:23">
      <c r="O91" s="65"/>
      <c r="Q91" s="69"/>
      <c r="R91" s="78"/>
      <c r="S91" s="79"/>
      <c r="T91" s="69">
        <f t="shared" si="12"/>
        <v>42092</v>
      </c>
      <c r="U91" s="61">
        <f t="shared" si="13"/>
        <v>0.52978018672086746</v>
      </c>
      <c r="V91" s="116" t="str">
        <f t="shared" si="14"/>
        <v/>
      </c>
      <c r="W91" s="75">
        <f t="shared" si="15"/>
        <v>0.59467028008130129</v>
      </c>
    </row>
    <row r="92" spans="15:23">
      <c r="O92" s="65"/>
      <c r="Q92" s="69"/>
      <c r="R92" s="78"/>
      <c r="S92" s="79"/>
      <c r="T92" s="69">
        <f t="shared" si="12"/>
        <v>42093</v>
      </c>
      <c r="U92" s="61">
        <f t="shared" si="13"/>
        <v>0.54284853964769675</v>
      </c>
      <c r="V92" s="116" t="str">
        <f t="shared" si="14"/>
        <v/>
      </c>
      <c r="W92" s="75">
        <f t="shared" si="15"/>
        <v>0.61427280947154506</v>
      </c>
    </row>
    <row r="93" spans="15:23">
      <c r="O93" s="65"/>
      <c r="Q93" s="69"/>
      <c r="R93" s="78"/>
      <c r="S93" s="79"/>
      <c r="T93" s="69">
        <f t="shared" si="12"/>
        <v>42094</v>
      </c>
      <c r="U93" s="61">
        <f t="shared" si="13"/>
        <v>0.55591689257452603</v>
      </c>
      <c r="V93" s="116" t="str">
        <f t="shared" si="14"/>
        <v/>
      </c>
      <c r="W93" s="75">
        <f t="shared" si="15"/>
        <v>0.63387533886178904</v>
      </c>
    </row>
    <row r="94" spans="15:23">
      <c r="O94" s="65"/>
      <c r="Q94" s="69"/>
      <c r="R94" s="78"/>
      <c r="S94" s="79"/>
      <c r="T94" s="69">
        <f t="shared" si="12"/>
        <v>42095</v>
      </c>
      <c r="U94" s="61">
        <f t="shared" si="13"/>
        <v>0.56898524550135532</v>
      </c>
      <c r="V94" s="116" t="str">
        <f t="shared" si="14"/>
        <v/>
      </c>
      <c r="W94" s="75">
        <f t="shared" si="15"/>
        <v>0.65347786825203302</v>
      </c>
    </row>
    <row r="95" spans="15:23">
      <c r="O95" s="65"/>
      <c r="Q95" s="69"/>
      <c r="R95" s="78"/>
      <c r="S95" s="79"/>
      <c r="T95" s="69">
        <f t="shared" si="12"/>
        <v>42096</v>
      </c>
      <c r="U95" s="61">
        <f t="shared" si="13"/>
        <v>0.5820535984281846</v>
      </c>
      <c r="V95" s="116" t="str">
        <f t="shared" si="14"/>
        <v/>
      </c>
      <c r="W95" s="75">
        <f t="shared" si="15"/>
        <v>0.67308039764227701</v>
      </c>
    </row>
    <row r="96" spans="15:23">
      <c r="O96" s="65"/>
      <c r="Q96" s="69"/>
      <c r="R96" s="78"/>
      <c r="S96" s="79"/>
      <c r="T96" s="69">
        <f t="shared" si="12"/>
        <v>42097</v>
      </c>
      <c r="U96" s="61">
        <f t="shared" si="13"/>
        <v>0.59512195135501389</v>
      </c>
      <c r="V96" s="116" t="str">
        <f t="shared" si="14"/>
        <v/>
      </c>
      <c r="W96" s="75">
        <f t="shared" si="15"/>
        <v>0.69268292703252077</v>
      </c>
    </row>
    <row r="97" spans="15:23">
      <c r="O97" s="65"/>
      <c r="Q97" s="69"/>
      <c r="R97" s="78"/>
      <c r="S97" s="79"/>
      <c r="T97" s="69">
        <f t="shared" si="12"/>
        <v>42098</v>
      </c>
      <c r="U97" s="61">
        <f t="shared" si="13"/>
        <v>0.60819030428184317</v>
      </c>
      <c r="V97" s="116" t="str">
        <f t="shared" si="14"/>
        <v/>
      </c>
      <c r="W97" s="75">
        <f t="shared" si="15"/>
        <v>0.71228545642276475</v>
      </c>
    </row>
    <row r="98" spans="15:23">
      <c r="O98" s="65"/>
      <c r="Q98" s="69"/>
      <c r="R98" s="78"/>
      <c r="S98" s="79"/>
      <c r="T98" s="69">
        <f t="shared" si="12"/>
        <v>42099</v>
      </c>
      <c r="U98" s="61">
        <f t="shared" si="13"/>
        <v>0.62125865720867246</v>
      </c>
      <c r="V98" s="116" t="str">
        <f t="shared" si="14"/>
        <v/>
      </c>
      <c r="W98" s="75">
        <f t="shared" si="15"/>
        <v>0.73188798581300873</v>
      </c>
    </row>
    <row r="99" spans="15:23">
      <c r="O99" s="65"/>
      <c r="Q99" s="69"/>
      <c r="R99" s="78"/>
      <c r="S99" s="79"/>
      <c r="T99" s="69">
        <f t="shared" si="12"/>
        <v>42100</v>
      </c>
      <c r="U99" s="61">
        <f t="shared" si="13"/>
        <v>0.63432701013550175</v>
      </c>
      <c r="V99" s="116" t="str">
        <f t="shared" si="14"/>
        <v/>
      </c>
      <c r="W99" s="75">
        <f t="shared" si="15"/>
        <v>0.75149051520325272</v>
      </c>
    </row>
    <row r="100" spans="15:23">
      <c r="O100" s="65"/>
      <c r="Q100" s="69"/>
      <c r="R100" s="78"/>
      <c r="S100" s="79"/>
      <c r="T100" s="69">
        <f t="shared" si="12"/>
        <v>42101</v>
      </c>
      <c r="U100" s="61">
        <f t="shared" si="13"/>
        <v>0.64739536306233103</v>
      </c>
      <c r="V100" s="116" t="str">
        <f t="shared" si="14"/>
        <v/>
      </c>
      <c r="W100" s="75">
        <f t="shared" si="15"/>
        <v>0.77109304459349648</v>
      </c>
    </row>
    <row r="101" spans="15:23">
      <c r="O101" s="65"/>
      <c r="Q101" s="69"/>
      <c r="R101" s="78"/>
      <c r="S101" s="79"/>
      <c r="T101" s="69">
        <f t="shared" si="12"/>
        <v>42102</v>
      </c>
      <c r="U101" s="61">
        <f t="shared" si="13"/>
        <v>0.66046371598916032</v>
      </c>
      <c r="V101" s="116" t="str">
        <f t="shared" si="14"/>
        <v/>
      </c>
      <c r="W101" s="75">
        <f t="shared" si="15"/>
        <v>0.79069557398374046</v>
      </c>
    </row>
    <row r="102" spans="15:23">
      <c r="O102" s="65"/>
      <c r="Q102" s="69"/>
      <c r="R102" s="78"/>
      <c r="S102" s="79"/>
      <c r="T102" s="69">
        <f t="shared" si="12"/>
        <v>42103</v>
      </c>
      <c r="U102" s="61">
        <f t="shared" si="13"/>
        <v>0.6735320689159896</v>
      </c>
      <c r="V102" s="116" t="str">
        <f t="shared" si="14"/>
        <v/>
      </c>
      <c r="W102" s="75">
        <f t="shared" si="15"/>
        <v>0.81029810337398445</v>
      </c>
    </row>
    <row r="103" spans="15:23">
      <c r="O103" s="65"/>
      <c r="Q103" s="69"/>
      <c r="R103" s="78"/>
      <c r="S103" s="79"/>
      <c r="T103" s="69">
        <f t="shared" si="12"/>
        <v>42104</v>
      </c>
      <c r="U103" s="61">
        <f t="shared" si="13"/>
        <v>0.68660042184281889</v>
      </c>
      <c r="V103" s="116" t="str">
        <f t="shared" si="14"/>
        <v/>
      </c>
      <c r="W103" s="75">
        <f t="shared" si="15"/>
        <v>0.82990063276422843</v>
      </c>
    </row>
    <row r="104" spans="15:23">
      <c r="O104" s="65"/>
      <c r="Q104" s="69"/>
      <c r="R104" s="78"/>
      <c r="S104" s="79"/>
      <c r="T104" s="69">
        <f t="shared" si="12"/>
        <v>42105</v>
      </c>
      <c r="U104" s="61">
        <f t="shared" si="13"/>
        <v>0.69966877476964817</v>
      </c>
      <c r="V104" s="116" t="str">
        <f t="shared" si="14"/>
        <v/>
      </c>
      <c r="W104" s="75">
        <f t="shared" si="15"/>
        <v>0.84950316215447219</v>
      </c>
    </row>
    <row r="105" spans="15:23">
      <c r="O105" s="65"/>
      <c r="Q105" s="69"/>
      <c r="R105" s="78"/>
      <c r="S105" s="79"/>
      <c r="T105" s="69">
        <f t="shared" si="12"/>
        <v>42106</v>
      </c>
      <c r="U105" s="61">
        <f t="shared" si="13"/>
        <v>0.71273712769647746</v>
      </c>
      <c r="V105" s="116" t="str">
        <f t="shared" si="14"/>
        <v/>
      </c>
      <c r="W105" s="75">
        <f t="shared" si="15"/>
        <v>0.86910569154471617</v>
      </c>
    </row>
    <row r="106" spans="15:23">
      <c r="O106" s="65"/>
      <c r="Q106" s="69"/>
      <c r="R106" s="78"/>
      <c r="S106" s="79"/>
      <c r="T106" s="69">
        <f t="shared" si="12"/>
        <v>42107</v>
      </c>
      <c r="U106" s="61">
        <f t="shared" si="13"/>
        <v>0.72580548062330674</v>
      </c>
      <c r="V106" s="116" t="str">
        <f t="shared" si="14"/>
        <v/>
      </c>
      <c r="W106" s="75">
        <f t="shared" si="15"/>
        <v>0.88870822093496016</v>
      </c>
    </row>
    <row r="107" spans="15:23">
      <c r="O107" s="65"/>
      <c r="Q107" s="69"/>
      <c r="R107" s="78"/>
      <c r="S107" s="79"/>
      <c r="T107" s="69">
        <f t="shared" si="12"/>
        <v>42108</v>
      </c>
      <c r="U107" s="61">
        <f t="shared" si="13"/>
        <v>0.73887383355013603</v>
      </c>
      <c r="V107" s="116" t="str">
        <f t="shared" si="14"/>
        <v/>
      </c>
      <c r="W107" s="75">
        <f t="shared" si="15"/>
        <v>0.90831075032520414</v>
      </c>
    </row>
    <row r="108" spans="15:23">
      <c r="O108" s="65"/>
      <c r="Q108" s="69"/>
      <c r="R108" s="78"/>
      <c r="S108" s="79"/>
      <c r="T108" s="69">
        <f t="shared" si="12"/>
        <v>42109</v>
      </c>
      <c r="U108" s="61">
        <f t="shared" si="13"/>
        <v>0.75194218647696531</v>
      </c>
      <c r="V108" s="116" t="str">
        <f t="shared" si="14"/>
        <v/>
      </c>
      <c r="W108" s="75">
        <f t="shared" si="15"/>
        <v>0.92791327971544812</v>
      </c>
    </row>
    <row r="109" spans="15:23">
      <c r="O109" s="65"/>
      <c r="Q109" s="69"/>
      <c r="R109" s="78"/>
      <c r="S109" s="79"/>
      <c r="T109" s="69">
        <f t="shared" si="12"/>
        <v>42110</v>
      </c>
      <c r="U109" s="61">
        <f t="shared" si="13"/>
        <v>0.7650105394037946</v>
      </c>
      <c r="V109" s="116" t="str">
        <f t="shared" si="14"/>
        <v/>
      </c>
      <c r="W109" s="75">
        <f t="shared" si="15"/>
        <v>0.94751580910569189</v>
      </c>
    </row>
    <row r="110" spans="15:23">
      <c r="O110" s="65"/>
      <c r="Q110" s="69"/>
      <c r="R110" s="78"/>
      <c r="S110" s="79"/>
      <c r="T110" s="69">
        <f t="shared" si="12"/>
        <v>42111</v>
      </c>
      <c r="U110" s="61">
        <f t="shared" si="13"/>
        <v>0.77807889233062388</v>
      </c>
      <c r="V110" s="116" t="str">
        <f t="shared" si="14"/>
        <v/>
      </c>
      <c r="W110" s="75">
        <f t="shared" si="15"/>
        <v>0.96711833849593587</v>
      </c>
    </row>
    <row r="111" spans="15:23">
      <c r="O111" s="65"/>
      <c r="Q111" s="69"/>
      <c r="R111" s="78"/>
      <c r="S111" s="79"/>
      <c r="T111" s="69">
        <f t="shared" si="12"/>
        <v>42112</v>
      </c>
      <c r="U111" s="61">
        <f t="shared" si="13"/>
        <v>0.79114724525745317</v>
      </c>
      <c r="V111" s="116" t="str">
        <f t="shared" si="14"/>
        <v/>
      </c>
      <c r="W111" s="75">
        <f t="shared" si="15"/>
        <v>0.98672086788617985</v>
      </c>
    </row>
    <row r="112" spans="15:23">
      <c r="O112" s="65"/>
      <c r="Q112" s="69"/>
      <c r="R112" s="78"/>
      <c r="S112" s="79"/>
      <c r="T112" s="69">
        <f t="shared" si="12"/>
        <v>42113</v>
      </c>
      <c r="U112" s="61">
        <f t="shared" si="13"/>
        <v>0.80421559818428245</v>
      </c>
      <c r="V112" s="116" t="str">
        <f t="shared" si="14"/>
        <v/>
      </c>
      <c r="W112" s="75">
        <f t="shared" si="15"/>
        <v>1.0063233972764236</v>
      </c>
    </row>
    <row r="113" spans="15:23">
      <c r="O113" s="65"/>
      <c r="Q113" s="69"/>
      <c r="R113" s="78"/>
      <c r="S113" s="79"/>
      <c r="T113" s="69">
        <f t="shared" si="12"/>
        <v>42114</v>
      </c>
      <c r="U113" s="61">
        <f t="shared" si="13"/>
        <v>0.81728395111111107</v>
      </c>
      <c r="V113" s="116">
        <f t="shared" si="14"/>
        <v>1</v>
      </c>
      <c r="W113" s="75">
        <f t="shared" si="15"/>
        <v>1.0259259266666667</v>
      </c>
    </row>
    <row r="114" spans="15:23">
      <c r="O114" s="65"/>
      <c r="Q114" s="69"/>
      <c r="R114" s="78"/>
      <c r="S114" s="79"/>
      <c r="T114" s="69">
        <f t="shared" si="12"/>
        <v>42115</v>
      </c>
      <c r="U114" s="61">
        <f t="shared" si="13"/>
        <v>0.82103395104166665</v>
      </c>
      <c r="V114" s="116" t="str">
        <f t="shared" si="14"/>
        <v/>
      </c>
      <c r="W114" s="75">
        <f t="shared" si="15"/>
        <v>1.0315509265625</v>
      </c>
    </row>
    <row r="115" spans="15:23">
      <c r="O115" s="65"/>
      <c r="Q115" s="69"/>
      <c r="R115" s="78"/>
      <c r="S115" s="79"/>
      <c r="T115" s="69">
        <f t="shared" si="12"/>
        <v>42116</v>
      </c>
      <c r="U115" s="61">
        <f t="shared" si="13"/>
        <v>0.82478395097222224</v>
      </c>
      <c r="V115" s="116" t="str">
        <f t="shared" si="14"/>
        <v/>
      </c>
      <c r="W115" s="75">
        <f t="shared" si="15"/>
        <v>1.0371759264583333</v>
      </c>
    </row>
    <row r="116" spans="15:23">
      <c r="O116" s="65"/>
      <c r="Q116" s="69"/>
      <c r="R116" s="78"/>
      <c r="S116" s="79"/>
      <c r="T116" s="69">
        <f t="shared" si="12"/>
        <v>42117</v>
      </c>
      <c r="U116" s="61">
        <f t="shared" si="13"/>
        <v>0.82853395090277782</v>
      </c>
      <c r="V116" s="116" t="str">
        <f t="shared" si="14"/>
        <v/>
      </c>
      <c r="W116" s="75">
        <f t="shared" si="15"/>
        <v>1.0428009263541667</v>
      </c>
    </row>
    <row r="117" spans="15:23">
      <c r="O117" s="65"/>
      <c r="Q117" s="69"/>
      <c r="R117" s="78"/>
      <c r="S117" s="79"/>
      <c r="T117" s="69">
        <f t="shared" si="12"/>
        <v>42118</v>
      </c>
      <c r="U117" s="61">
        <f t="shared" si="13"/>
        <v>0.8322839508333334</v>
      </c>
      <c r="V117" s="116" t="str">
        <f t="shared" si="14"/>
        <v/>
      </c>
      <c r="W117" s="75">
        <f t="shared" si="15"/>
        <v>1.0484259262500002</v>
      </c>
    </row>
    <row r="118" spans="15:23">
      <c r="O118" s="65"/>
      <c r="Q118" s="69"/>
      <c r="R118" s="78"/>
      <c r="S118" s="79"/>
      <c r="T118" s="69">
        <f t="shared" si="12"/>
        <v>42119</v>
      </c>
      <c r="U118" s="61">
        <f t="shared" si="13"/>
        <v>0.83603395076388898</v>
      </c>
      <c r="V118" s="116" t="str">
        <f t="shared" si="14"/>
        <v/>
      </c>
      <c r="W118" s="75">
        <f t="shared" si="15"/>
        <v>1.0540509261458335</v>
      </c>
    </row>
    <row r="119" spans="15:23">
      <c r="O119" s="65"/>
      <c r="Q119" s="69"/>
      <c r="R119" s="78"/>
      <c r="S119" s="79"/>
      <c r="T119" s="69">
        <f t="shared" si="12"/>
        <v>42120</v>
      </c>
      <c r="U119" s="61">
        <f t="shared" si="13"/>
        <v>0.83978395069444456</v>
      </c>
      <c r="V119" s="116" t="str">
        <f t="shared" si="14"/>
        <v/>
      </c>
      <c r="W119" s="75">
        <f t="shared" si="15"/>
        <v>1.0596759260416668</v>
      </c>
    </row>
    <row r="120" spans="15:23">
      <c r="O120" s="65"/>
      <c r="Q120" s="69"/>
      <c r="R120" s="78"/>
      <c r="S120" s="79"/>
      <c r="T120" s="69">
        <f t="shared" si="12"/>
        <v>42121</v>
      </c>
      <c r="U120" s="61">
        <f t="shared" si="13"/>
        <v>0.84353395062500014</v>
      </c>
      <c r="V120" s="116" t="str">
        <f t="shared" si="14"/>
        <v/>
      </c>
      <c r="W120" s="75">
        <f t="shared" si="15"/>
        <v>1.0653009259375004</v>
      </c>
    </row>
    <row r="121" spans="15:23">
      <c r="O121" s="65"/>
      <c r="Q121" s="69"/>
      <c r="R121" s="78"/>
      <c r="S121" s="79"/>
      <c r="T121" s="69">
        <f t="shared" si="12"/>
        <v>42122</v>
      </c>
      <c r="U121" s="61">
        <f t="shared" si="13"/>
        <v>0.84728395055555572</v>
      </c>
      <c r="V121" s="116" t="str">
        <f t="shared" si="14"/>
        <v/>
      </c>
      <c r="W121" s="75">
        <f t="shared" si="15"/>
        <v>1.0709259258333337</v>
      </c>
    </row>
    <row r="122" spans="15:23">
      <c r="O122" s="65"/>
      <c r="Q122" s="69"/>
      <c r="R122" s="78"/>
      <c r="S122" s="79"/>
      <c r="T122" s="69">
        <f t="shared" si="12"/>
        <v>42123</v>
      </c>
      <c r="U122" s="61">
        <f t="shared" si="13"/>
        <v>0.8510339504861113</v>
      </c>
      <c r="V122" s="116" t="str">
        <f t="shared" si="14"/>
        <v/>
      </c>
      <c r="W122" s="75">
        <f t="shared" si="15"/>
        <v>1.076550925729167</v>
      </c>
    </row>
    <row r="123" spans="15:23">
      <c r="O123" s="65"/>
      <c r="Q123" s="69"/>
      <c r="R123" s="78"/>
      <c r="S123" s="79"/>
      <c r="T123" s="69">
        <f t="shared" si="12"/>
        <v>42124</v>
      </c>
      <c r="U123" s="61">
        <f t="shared" si="13"/>
        <v>0.85478395041666688</v>
      </c>
      <c r="V123" s="116" t="str">
        <f t="shared" si="14"/>
        <v/>
      </c>
      <c r="W123" s="75">
        <f t="shared" si="15"/>
        <v>1.0821759256250003</v>
      </c>
    </row>
    <row r="124" spans="15:23">
      <c r="O124" s="65"/>
      <c r="Q124" s="69"/>
      <c r="R124" s="78"/>
      <c r="S124" s="79"/>
      <c r="T124" s="69">
        <f t="shared" si="12"/>
        <v>42125</v>
      </c>
      <c r="U124" s="61">
        <f t="shared" si="13"/>
        <v>0.85853395034722246</v>
      </c>
      <c r="V124" s="116" t="str">
        <f t="shared" si="14"/>
        <v/>
      </c>
      <c r="W124" s="75">
        <f t="shared" si="15"/>
        <v>1.0878009255208336</v>
      </c>
    </row>
    <row r="125" spans="15:23">
      <c r="O125" s="65"/>
      <c r="Q125" s="69"/>
      <c r="R125" s="78"/>
      <c r="S125" s="79"/>
      <c r="T125" s="69">
        <f t="shared" si="12"/>
        <v>42126</v>
      </c>
      <c r="U125" s="61">
        <f t="shared" si="13"/>
        <v>0.86228395027777804</v>
      </c>
      <c r="V125" s="116" t="str">
        <f t="shared" si="14"/>
        <v/>
      </c>
      <c r="W125" s="75">
        <f t="shared" si="15"/>
        <v>1.0934259254166672</v>
      </c>
    </row>
    <row r="126" spans="15:23">
      <c r="O126" s="65"/>
      <c r="Q126" s="69"/>
      <c r="R126" s="78"/>
      <c r="S126" s="79"/>
      <c r="T126" s="69">
        <f t="shared" si="12"/>
        <v>42127</v>
      </c>
      <c r="U126" s="61">
        <f t="shared" si="13"/>
        <v>0.86603395020833362</v>
      </c>
      <c r="V126" s="116" t="str">
        <f t="shared" si="14"/>
        <v/>
      </c>
      <c r="W126" s="75">
        <f t="shared" si="15"/>
        <v>1.0990509253125005</v>
      </c>
    </row>
    <row r="127" spans="15:23">
      <c r="O127" s="65"/>
      <c r="Q127" s="69"/>
      <c r="R127" s="78"/>
      <c r="S127" s="79"/>
      <c r="T127" s="69">
        <f t="shared" si="12"/>
        <v>42128</v>
      </c>
      <c r="U127" s="61">
        <f t="shared" si="13"/>
        <v>0.86978395013888921</v>
      </c>
      <c r="V127" s="116" t="str">
        <f t="shared" si="14"/>
        <v/>
      </c>
      <c r="W127" s="75">
        <f t="shared" si="15"/>
        <v>1.1046759252083338</v>
      </c>
    </row>
    <row r="128" spans="15:23">
      <c r="O128" s="65"/>
      <c r="Q128" s="69"/>
      <c r="R128" s="78"/>
      <c r="S128" s="79"/>
      <c r="T128" s="69">
        <f t="shared" si="12"/>
        <v>42129</v>
      </c>
      <c r="U128" s="61">
        <f t="shared" si="13"/>
        <v>0.87353395006944479</v>
      </c>
      <c r="V128" s="116" t="str">
        <f t="shared" si="14"/>
        <v/>
      </c>
      <c r="W128" s="75">
        <f t="shared" si="15"/>
        <v>1.1103009251041673</v>
      </c>
    </row>
    <row r="129" spans="15:23">
      <c r="O129" s="65"/>
      <c r="Q129" s="69"/>
      <c r="R129" s="78"/>
      <c r="S129" s="79"/>
      <c r="T129" s="69">
        <f t="shared" si="12"/>
        <v>42130</v>
      </c>
      <c r="U129" s="61">
        <f t="shared" si="13"/>
        <v>0.87728395000000015</v>
      </c>
      <c r="V129" s="116">
        <f t="shared" si="14"/>
        <v>1</v>
      </c>
      <c r="W129" s="75">
        <f t="shared" si="15"/>
        <v>1.1159259250000002</v>
      </c>
    </row>
    <row r="130" spans="15:23">
      <c r="O130" s="65"/>
      <c r="Q130" s="69"/>
      <c r="R130" s="78"/>
      <c r="S130" s="79"/>
      <c r="T130" s="69">
        <f t="shared" si="12"/>
        <v>42131</v>
      </c>
      <c r="U130" s="61">
        <f t="shared" si="13"/>
        <v>0.87773148083333352</v>
      </c>
      <c r="V130" s="116" t="str">
        <f t="shared" si="14"/>
        <v/>
      </c>
      <c r="W130" s="75">
        <f t="shared" si="15"/>
        <v>1.1165972212500004</v>
      </c>
    </row>
    <row r="131" spans="15:23">
      <c r="O131" s="65"/>
      <c r="Q131" s="69"/>
      <c r="R131" s="78"/>
      <c r="S131" s="79"/>
      <c r="T131" s="69">
        <f t="shared" si="12"/>
        <v>42132</v>
      </c>
      <c r="U131" s="61">
        <f t="shared" si="13"/>
        <v>0.8781790116666669</v>
      </c>
      <c r="V131" s="116" t="str">
        <f t="shared" si="14"/>
        <v/>
      </c>
      <c r="W131" s="75">
        <f t="shared" si="15"/>
        <v>1.1172685175000003</v>
      </c>
    </row>
    <row r="132" spans="15:23">
      <c r="O132" s="65"/>
      <c r="Q132" s="69"/>
      <c r="R132" s="78"/>
      <c r="S132" s="79"/>
      <c r="T132" s="69">
        <f t="shared" si="12"/>
        <v>42133</v>
      </c>
      <c r="U132" s="61">
        <f t="shared" si="13"/>
        <v>0.87862654250000027</v>
      </c>
      <c r="V132" s="116" t="str">
        <f t="shared" si="14"/>
        <v/>
      </c>
      <c r="W132" s="75">
        <f t="shared" si="15"/>
        <v>1.1179398137500005</v>
      </c>
    </row>
    <row r="133" spans="15:23">
      <c r="O133" s="65"/>
      <c r="Q133" s="69"/>
      <c r="R133" s="78"/>
      <c r="S133" s="79"/>
      <c r="T133" s="69">
        <f t="shared" si="12"/>
        <v>42134</v>
      </c>
      <c r="U133" s="61">
        <f t="shared" si="13"/>
        <v>0.87907407333333365</v>
      </c>
      <c r="V133" s="116" t="str">
        <f t="shared" si="14"/>
        <v/>
      </c>
      <c r="W133" s="75">
        <f t="shared" si="15"/>
        <v>1.1186111100000005</v>
      </c>
    </row>
    <row r="134" spans="15:23">
      <c r="O134" s="65"/>
      <c r="Q134" s="69"/>
      <c r="R134" s="78"/>
      <c r="S134" s="79"/>
      <c r="T134" s="69">
        <f t="shared" si="12"/>
        <v>42135</v>
      </c>
      <c r="U134" s="61">
        <f t="shared" si="13"/>
        <v>0.87952160416666703</v>
      </c>
      <c r="V134" s="116" t="str">
        <f t="shared" si="14"/>
        <v/>
      </c>
      <c r="W134" s="75">
        <f t="shared" si="15"/>
        <v>1.1192824062500006</v>
      </c>
    </row>
    <row r="135" spans="15:23">
      <c r="O135" s="65"/>
      <c r="Q135" s="69"/>
      <c r="R135" s="78"/>
      <c r="S135" s="79"/>
      <c r="T135" s="69">
        <f t="shared" si="12"/>
        <v>42136</v>
      </c>
      <c r="U135" s="61">
        <f t="shared" si="13"/>
        <v>0.8799691350000004</v>
      </c>
      <c r="V135" s="116" t="str">
        <f t="shared" si="14"/>
        <v/>
      </c>
      <c r="W135" s="75">
        <f t="shared" si="15"/>
        <v>1.1199537025000006</v>
      </c>
    </row>
    <row r="136" spans="15:23">
      <c r="O136" s="65"/>
      <c r="Q136" s="69"/>
      <c r="R136" s="78"/>
      <c r="S136" s="79"/>
      <c r="T136" s="69">
        <f t="shared" si="12"/>
        <v>42137</v>
      </c>
      <c r="U136" s="61">
        <f t="shared" si="13"/>
        <v>0.88041666583333378</v>
      </c>
      <c r="V136" s="116" t="str">
        <f t="shared" si="14"/>
        <v/>
      </c>
      <c r="W136" s="75">
        <f t="shared" si="15"/>
        <v>1.1206249987500008</v>
      </c>
    </row>
    <row r="137" spans="15:23">
      <c r="O137" s="65"/>
      <c r="Q137" s="69"/>
      <c r="R137" s="78"/>
      <c r="S137" s="79"/>
      <c r="T137" s="69">
        <f t="shared" ref="T137:T165" si="16">IF(T136="","",IF(MAX($Q$8:$Q$50)&gt;=(T136+1),T136+1,""))</f>
        <v>42138</v>
      </c>
      <c r="U137" s="61">
        <f t="shared" ref="U137:U166" si="17">IF(T137="","",IF(ISERROR(VLOOKUP($T137,$Q$8:$S$40,2,FALSE)),U136+VLOOKUP($T137,$Q$8:$S$40,3,TRUE),VLOOKUP($T137,$Q$8:$S$40,2,FALSE)))</f>
        <v>0.88086419666666715</v>
      </c>
      <c r="V137" s="116" t="str">
        <f t="shared" ref="V137:V200" si="18">IFERROR(IF(VLOOKUP(T137,$Q$8:$Q$363,1,FALSE)&gt;0,1,""),"")</f>
        <v/>
      </c>
      <c r="W137" s="75">
        <f t="shared" ref="W137:W200" si="19">IF(U137="","",U137*1.5-0.2)</f>
        <v>1.1212962950000007</v>
      </c>
    </row>
    <row r="138" spans="15:23">
      <c r="O138" s="65"/>
      <c r="Q138" s="69"/>
      <c r="R138" s="78"/>
      <c r="S138" s="79"/>
      <c r="T138" s="69">
        <f t="shared" si="16"/>
        <v>42139</v>
      </c>
      <c r="U138" s="61">
        <f t="shared" si="17"/>
        <v>0.88131172750000053</v>
      </c>
      <c r="V138" s="116" t="str">
        <f t="shared" si="18"/>
        <v/>
      </c>
      <c r="W138" s="75">
        <f t="shared" si="19"/>
        <v>1.1219675912500009</v>
      </c>
    </row>
    <row r="139" spans="15:23">
      <c r="O139" s="65"/>
      <c r="Q139" s="69"/>
      <c r="R139" s="78"/>
      <c r="S139" s="79"/>
      <c r="T139" s="69">
        <f t="shared" si="16"/>
        <v>42140</v>
      </c>
      <c r="U139" s="61">
        <f t="shared" si="17"/>
        <v>0.88175925833333391</v>
      </c>
      <c r="V139" s="116" t="str">
        <f t="shared" si="18"/>
        <v/>
      </c>
      <c r="W139" s="75">
        <f t="shared" si="19"/>
        <v>1.1226388875000008</v>
      </c>
    </row>
    <row r="140" spans="15:23">
      <c r="O140" s="65"/>
      <c r="Q140" s="69"/>
      <c r="R140" s="78"/>
      <c r="S140" s="79"/>
      <c r="T140" s="69">
        <f t="shared" si="16"/>
        <v>42141</v>
      </c>
      <c r="U140" s="61">
        <f t="shared" si="17"/>
        <v>0.88220678916666728</v>
      </c>
      <c r="V140" s="116" t="str">
        <f t="shared" si="18"/>
        <v/>
      </c>
      <c r="W140" s="75">
        <f t="shared" si="19"/>
        <v>1.123310183750001</v>
      </c>
    </row>
    <row r="141" spans="15:23">
      <c r="O141" s="65"/>
      <c r="Q141" s="69"/>
      <c r="R141" s="78"/>
      <c r="S141" s="79"/>
      <c r="T141" s="69">
        <f t="shared" si="16"/>
        <v>42142</v>
      </c>
      <c r="U141" s="61">
        <f t="shared" si="17"/>
        <v>0.88265432000000066</v>
      </c>
      <c r="V141" s="116" t="str">
        <f t="shared" si="18"/>
        <v/>
      </c>
      <c r="W141" s="75">
        <f t="shared" si="19"/>
        <v>1.123981480000001</v>
      </c>
    </row>
    <row r="142" spans="15:23">
      <c r="O142" s="65"/>
      <c r="Q142" s="69"/>
      <c r="R142" s="78"/>
      <c r="S142" s="79"/>
      <c r="T142" s="69">
        <f t="shared" si="16"/>
        <v>42143</v>
      </c>
      <c r="U142" s="61">
        <f t="shared" si="17"/>
        <v>0.88310185083333403</v>
      </c>
      <c r="V142" s="116" t="str">
        <f t="shared" si="18"/>
        <v/>
      </c>
      <c r="W142" s="75">
        <f t="shared" si="19"/>
        <v>1.1246527762500012</v>
      </c>
    </row>
    <row r="143" spans="15:23">
      <c r="O143" s="65"/>
      <c r="Q143" s="69"/>
      <c r="R143" s="78"/>
      <c r="S143" s="79"/>
      <c r="T143" s="69">
        <f t="shared" si="16"/>
        <v>42144</v>
      </c>
      <c r="U143" s="61">
        <f t="shared" si="17"/>
        <v>0.88354938166666741</v>
      </c>
      <c r="V143" s="116" t="str">
        <f t="shared" si="18"/>
        <v/>
      </c>
      <c r="W143" s="75">
        <f t="shared" si="19"/>
        <v>1.1253240725000011</v>
      </c>
    </row>
    <row r="144" spans="15:23">
      <c r="O144" s="65"/>
      <c r="Q144" s="69"/>
      <c r="R144" s="78"/>
      <c r="S144" s="79"/>
      <c r="T144" s="69">
        <f t="shared" si="16"/>
        <v>42145</v>
      </c>
      <c r="U144" s="61">
        <f t="shared" si="17"/>
        <v>0.88399691250000079</v>
      </c>
      <c r="V144" s="116" t="str">
        <f t="shared" si="18"/>
        <v/>
      </c>
      <c r="W144" s="75">
        <f t="shared" si="19"/>
        <v>1.1259953687500013</v>
      </c>
    </row>
    <row r="145" spans="15:23">
      <c r="O145" s="65"/>
      <c r="Q145" s="69"/>
      <c r="R145" s="78"/>
      <c r="S145" s="79"/>
      <c r="T145" s="69">
        <f t="shared" si="16"/>
        <v>42146</v>
      </c>
      <c r="U145" s="61">
        <f t="shared" si="17"/>
        <v>0.88444444333333339</v>
      </c>
      <c r="V145" s="116">
        <f t="shared" si="18"/>
        <v>1</v>
      </c>
      <c r="W145" s="75">
        <f t="shared" si="19"/>
        <v>1.1266666650000001</v>
      </c>
    </row>
    <row r="146" spans="15:23">
      <c r="O146" s="65"/>
      <c r="Q146" s="69"/>
      <c r="R146" s="78"/>
      <c r="S146" s="79"/>
      <c r="T146" s="69">
        <f t="shared" si="16"/>
        <v>42147</v>
      </c>
      <c r="U146" s="61">
        <f t="shared" si="17"/>
        <v>0.8806867273611112</v>
      </c>
      <c r="V146" s="116" t="str">
        <f t="shared" si="18"/>
        <v/>
      </c>
      <c r="W146" s="75">
        <f t="shared" si="19"/>
        <v>1.1210300910416668</v>
      </c>
    </row>
    <row r="147" spans="15:23">
      <c r="O147" s="65"/>
      <c r="Q147" s="69"/>
      <c r="R147" s="78"/>
      <c r="S147" s="79"/>
      <c r="T147" s="69">
        <f t="shared" si="16"/>
        <v>42148</v>
      </c>
      <c r="U147" s="61">
        <f t="shared" si="17"/>
        <v>0.87692901138888901</v>
      </c>
      <c r="V147" s="116" t="str">
        <f t="shared" si="18"/>
        <v/>
      </c>
      <c r="W147" s="75">
        <f t="shared" si="19"/>
        <v>1.1153935170833336</v>
      </c>
    </row>
    <row r="148" spans="15:23">
      <c r="O148" s="65"/>
      <c r="Q148" s="69"/>
      <c r="R148" s="78"/>
      <c r="S148" s="79"/>
      <c r="T148" s="69">
        <f t="shared" si="16"/>
        <v>42149</v>
      </c>
      <c r="U148" s="61">
        <f t="shared" si="17"/>
        <v>0.87317129541666683</v>
      </c>
      <c r="V148" s="116" t="str">
        <f t="shared" si="18"/>
        <v/>
      </c>
      <c r="W148" s="75">
        <f t="shared" si="19"/>
        <v>1.1097569431250003</v>
      </c>
    </row>
    <row r="149" spans="15:23">
      <c r="O149" s="65"/>
      <c r="Q149" s="69"/>
      <c r="R149" s="78"/>
      <c r="S149" s="79"/>
      <c r="T149" s="69">
        <f t="shared" si="16"/>
        <v>42150</v>
      </c>
      <c r="U149" s="61">
        <f t="shared" si="17"/>
        <v>0.86941357944444464</v>
      </c>
      <c r="V149" s="116" t="str">
        <f t="shared" si="18"/>
        <v/>
      </c>
      <c r="W149" s="75">
        <f t="shared" si="19"/>
        <v>1.104120369166667</v>
      </c>
    </row>
    <row r="150" spans="15:23">
      <c r="O150" s="65"/>
      <c r="Q150" s="69"/>
      <c r="R150" s="78"/>
      <c r="S150" s="79"/>
      <c r="T150" s="69">
        <f t="shared" si="16"/>
        <v>42151</v>
      </c>
      <c r="U150" s="61">
        <f t="shared" si="17"/>
        <v>0.86565586347222245</v>
      </c>
      <c r="V150" s="116" t="str">
        <f t="shared" si="18"/>
        <v/>
      </c>
      <c r="W150" s="75">
        <f t="shared" si="19"/>
        <v>1.0984837952083337</v>
      </c>
    </row>
    <row r="151" spans="15:23">
      <c r="O151" s="65"/>
      <c r="Q151" s="69"/>
      <c r="R151" s="78"/>
      <c r="S151" s="79"/>
      <c r="T151" s="69">
        <f t="shared" si="16"/>
        <v>42152</v>
      </c>
      <c r="U151" s="61">
        <f t="shared" si="17"/>
        <v>0.86189814750000027</v>
      </c>
      <c r="V151" s="116" t="str">
        <f t="shared" si="18"/>
        <v/>
      </c>
      <c r="W151" s="75">
        <f t="shared" si="19"/>
        <v>1.0928472212500004</v>
      </c>
    </row>
    <row r="152" spans="15:23">
      <c r="O152" s="65"/>
      <c r="Q152" s="69"/>
      <c r="R152" s="78"/>
      <c r="S152" s="79"/>
      <c r="T152" s="69">
        <f t="shared" si="16"/>
        <v>42153</v>
      </c>
      <c r="U152" s="61">
        <f t="shared" si="17"/>
        <v>0.85814043152777808</v>
      </c>
      <c r="V152" s="116" t="str">
        <f t="shared" si="18"/>
        <v/>
      </c>
      <c r="W152" s="75">
        <f t="shared" si="19"/>
        <v>1.0872106472916672</v>
      </c>
    </row>
    <row r="153" spans="15:23">
      <c r="O153" s="65"/>
      <c r="Q153" s="69"/>
      <c r="R153" s="78"/>
      <c r="S153" s="79"/>
      <c r="T153" s="69">
        <f t="shared" si="16"/>
        <v>42154</v>
      </c>
      <c r="U153" s="61">
        <f t="shared" si="17"/>
        <v>0.85438271555555589</v>
      </c>
      <c r="V153" s="116" t="str">
        <f t="shared" si="18"/>
        <v/>
      </c>
      <c r="W153" s="75">
        <f t="shared" si="19"/>
        <v>1.0815740733333339</v>
      </c>
    </row>
    <row r="154" spans="15:23">
      <c r="O154" s="65"/>
      <c r="Q154" s="69"/>
      <c r="R154" s="78"/>
      <c r="S154" s="79"/>
      <c r="T154" s="69">
        <f t="shared" si="16"/>
        <v>42155</v>
      </c>
      <c r="U154" s="61">
        <f t="shared" si="17"/>
        <v>0.85062499958333371</v>
      </c>
      <c r="V154" s="116" t="str">
        <f t="shared" si="18"/>
        <v/>
      </c>
      <c r="W154" s="75">
        <f t="shared" si="19"/>
        <v>1.0759374993750006</v>
      </c>
    </row>
    <row r="155" spans="15:23">
      <c r="O155" s="65"/>
      <c r="Q155" s="69"/>
      <c r="R155" s="78"/>
      <c r="S155" s="79"/>
      <c r="T155" s="69">
        <f t="shared" si="16"/>
        <v>42156</v>
      </c>
      <c r="U155" s="61">
        <f t="shared" si="17"/>
        <v>0.84686728361111152</v>
      </c>
      <c r="V155" s="116" t="str">
        <f t="shared" si="18"/>
        <v/>
      </c>
      <c r="W155" s="75">
        <f t="shared" si="19"/>
        <v>1.0703009254166673</v>
      </c>
    </row>
    <row r="156" spans="15:23">
      <c r="O156" s="65"/>
      <c r="Q156" s="69"/>
      <c r="R156" s="78"/>
      <c r="S156" s="79"/>
      <c r="T156" s="69">
        <f t="shared" si="16"/>
        <v>42157</v>
      </c>
      <c r="U156" s="61">
        <f t="shared" si="17"/>
        <v>0.84310956763888933</v>
      </c>
      <c r="V156" s="116" t="str">
        <f t="shared" si="18"/>
        <v/>
      </c>
      <c r="W156" s="75">
        <f t="shared" si="19"/>
        <v>1.064664351458334</v>
      </c>
    </row>
    <row r="157" spans="15:23">
      <c r="O157" s="65"/>
      <c r="Q157" s="69"/>
      <c r="R157" s="78"/>
      <c r="S157" s="79"/>
      <c r="T157" s="69">
        <f t="shared" si="16"/>
        <v>42158</v>
      </c>
      <c r="U157" s="61">
        <f t="shared" si="17"/>
        <v>0.83935185166666715</v>
      </c>
      <c r="V157" s="116" t="str">
        <f t="shared" si="18"/>
        <v/>
      </c>
      <c r="W157" s="75">
        <f t="shared" si="19"/>
        <v>1.0590277775000008</v>
      </c>
    </row>
    <row r="158" spans="15:23">
      <c r="O158" s="65"/>
      <c r="Q158" s="69"/>
      <c r="R158" s="78"/>
      <c r="S158" s="79"/>
      <c r="T158" s="69">
        <f t="shared" si="16"/>
        <v>42159</v>
      </c>
      <c r="U158" s="61">
        <f t="shared" si="17"/>
        <v>0.83559413569444496</v>
      </c>
      <c r="V158" s="116" t="str">
        <f t="shared" si="18"/>
        <v/>
      </c>
      <c r="W158" s="75">
        <f t="shared" si="19"/>
        <v>1.0533912035416675</v>
      </c>
    </row>
    <row r="159" spans="15:23">
      <c r="O159" s="65"/>
      <c r="Q159" s="69"/>
      <c r="R159" s="78"/>
      <c r="S159" s="79"/>
      <c r="T159" s="69">
        <f t="shared" si="16"/>
        <v>42160</v>
      </c>
      <c r="U159" s="61">
        <f t="shared" si="17"/>
        <v>0.83183641972222278</v>
      </c>
      <c r="V159" s="116" t="str">
        <f t="shared" si="18"/>
        <v/>
      </c>
      <c r="W159" s="75">
        <f t="shared" si="19"/>
        <v>1.0477546295833342</v>
      </c>
    </row>
    <row r="160" spans="15:23">
      <c r="O160" s="65"/>
      <c r="Q160" s="69"/>
      <c r="R160" s="78"/>
      <c r="S160" s="79"/>
      <c r="T160" s="69">
        <f t="shared" si="16"/>
        <v>42161</v>
      </c>
      <c r="U160" s="61">
        <f t="shared" si="17"/>
        <v>0.82807870375000059</v>
      </c>
      <c r="V160" s="116" t="str">
        <f t="shared" si="18"/>
        <v/>
      </c>
      <c r="W160" s="75">
        <f t="shared" si="19"/>
        <v>1.0421180556250009</v>
      </c>
    </row>
    <row r="161" spans="15:23">
      <c r="O161" s="65"/>
      <c r="Q161" s="69"/>
      <c r="R161" s="78"/>
      <c r="S161" s="79"/>
      <c r="T161" s="69">
        <f t="shared" si="16"/>
        <v>42162</v>
      </c>
      <c r="U161" s="61">
        <f t="shared" si="17"/>
        <v>0.82432098777777774</v>
      </c>
      <c r="V161" s="116">
        <f t="shared" si="18"/>
        <v>1</v>
      </c>
      <c r="W161" s="75">
        <f t="shared" si="19"/>
        <v>1.0364814816666665</v>
      </c>
    </row>
    <row r="162" spans="15:23">
      <c r="O162" s="65"/>
      <c r="Q162" s="69"/>
      <c r="R162" s="78"/>
      <c r="S162" s="79"/>
      <c r="T162" s="69">
        <f t="shared" si="16"/>
        <v>42163</v>
      </c>
      <c r="U162" s="61">
        <f t="shared" si="17"/>
        <v>0.79585648152777777</v>
      </c>
      <c r="V162" s="116" t="str">
        <f t="shared" si="18"/>
        <v/>
      </c>
      <c r="W162" s="75">
        <f t="shared" si="19"/>
        <v>0.9937847222916667</v>
      </c>
    </row>
    <row r="163" spans="15:23">
      <c r="O163" s="65"/>
      <c r="Q163" s="69"/>
      <c r="R163" s="78"/>
      <c r="S163" s="79"/>
      <c r="T163" s="69">
        <f t="shared" si="16"/>
        <v>42164</v>
      </c>
      <c r="U163" s="61">
        <f t="shared" si="17"/>
        <v>0.7673919752777778</v>
      </c>
      <c r="V163" s="116" t="str">
        <f t="shared" si="18"/>
        <v/>
      </c>
      <c r="W163" s="75">
        <f t="shared" si="19"/>
        <v>0.95108796291666686</v>
      </c>
    </row>
    <row r="164" spans="15:23">
      <c r="O164" s="65"/>
      <c r="Q164" s="69"/>
      <c r="R164" s="78"/>
      <c r="S164" s="79"/>
      <c r="T164" s="69">
        <f t="shared" si="16"/>
        <v>42165</v>
      </c>
      <c r="U164" s="61">
        <f t="shared" si="17"/>
        <v>0.73892746902777784</v>
      </c>
      <c r="V164" s="116" t="str">
        <f t="shared" si="18"/>
        <v/>
      </c>
      <c r="W164" s="75">
        <f t="shared" si="19"/>
        <v>0.9083912035416668</v>
      </c>
    </row>
    <row r="165" spans="15:23">
      <c r="O165" s="65"/>
      <c r="Q165" s="69"/>
      <c r="R165" s="78"/>
      <c r="S165" s="79"/>
      <c r="T165" s="69">
        <f t="shared" si="16"/>
        <v>42166</v>
      </c>
      <c r="U165" s="61">
        <f t="shared" si="17"/>
        <v>0.71046296277777787</v>
      </c>
      <c r="V165" s="116" t="str">
        <f t="shared" si="18"/>
        <v/>
      </c>
      <c r="W165" s="75">
        <f t="shared" si="19"/>
        <v>0.86569444416666674</v>
      </c>
    </row>
    <row r="166" spans="15:23">
      <c r="O166" s="65"/>
      <c r="Q166" s="69"/>
      <c r="R166" s="78"/>
      <c r="S166" s="79"/>
      <c r="T166" s="69">
        <f>IF(T165="","",IF(MAX($Q$8:$Q$50)&gt;=(T165+1),T165+1,""))</f>
        <v>42167</v>
      </c>
      <c r="U166" s="61">
        <f t="shared" si="17"/>
        <v>0.68199845652777791</v>
      </c>
      <c r="V166" s="116" t="str">
        <f t="shared" si="18"/>
        <v/>
      </c>
      <c r="W166" s="75">
        <f t="shared" si="19"/>
        <v>0.82299768479166691</v>
      </c>
    </row>
    <row r="167" spans="15:23">
      <c r="O167" s="65"/>
      <c r="Q167" s="69"/>
      <c r="R167" s="78"/>
      <c r="S167" s="79"/>
      <c r="T167" s="69">
        <f t="shared" ref="T167:T230" si="20">IF(T166="","",IF(MAX($Q$8:$Q$50)&gt;=(T166+1),T166+1,""))</f>
        <v>42168</v>
      </c>
      <c r="U167" s="61">
        <f t="shared" ref="U167:U230" si="21">IF(T167="","",IF(ISERROR(VLOOKUP($T167,$Q$8:$S$40,2,FALSE)),U166+VLOOKUP($T167,$Q$8:$S$40,3,TRUE),VLOOKUP($T167,$Q$8:$S$40,2,FALSE)))</f>
        <v>0.65353395027777794</v>
      </c>
      <c r="V167" s="116" t="str">
        <f t="shared" si="18"/>
        <v/>
      </c>
      <c r="W167" s="75">
        <f t="shared" si="19"/>
        <v>0.78030092541666685</v>
      </c>
    </row>
    <row r="168" spans="15:23">
      <c r="O168" s="65"/>
      <c r="Q168" s="69"/>
      <c r="R168" s="78"/>
      <c r="S168" s="79"/>
      <c r="T168" s="69">
        <f t="shared" si="20"/>
        <v>42169</v>
      </c>
      <c r="U168" s="61">
        <f t="shared" si="21"/>
        <v>0.62506944402777798</v>
      </c>
      <c r="V168" s="116" t="str">
        <f t="shared" si="18"/>
        <v/>
      </c>
      <c r="W168" s="75">
        <f t="shared" si="19"/>
        <v>0.73760416604166701</v>
      </c>
    </row>
    <row r="169" spans="15:23">
      <c r="O169" s="65"/>
      <c r="Q169" s="69"/>
      <c r="R169" s="78"/>
      <c r="S169" s="79"/>
      <c r="T169" s="69">
        <f t="shared" si="20"/>
        <v>42170</v>
      </c>
      <c r="U169" s="61">
        <f t="shared" si="21"/>
        <v>0.59660493777777801</v>
      </c>
      <c r="V169" s="116" t="str">
        <f t="shared" si="18"/>
        <v/>
      </c>
      <c r="W169" s="75">
        <f t="shared" si="19"/>
        <v>0.69490740666666695</v>
      </c>
    </row>
    <row r="170" spans="15:23">
      <c r="O170" s="65"/>
      <c r="Q170" s="69"/>
      <c r="R170" s="78"/>
      <c r="S170" s="79"/>
      <c r="T170" s="69">
        <f t="shared" si="20"/>
        <v>42171</v>
      </c>
      <c r="U170" s="61">
        <f t="shared" si="21"/>
        <v>0.56814043152777804</v>
      </c>
      <c r="V170" s="116" t="str">
        <f t="shared" si="18"/>
        <v/>
      </c>
      <c r="W170" s="75">
        <f t="shared" si="19"/>
        <v>0.65221064729166711</v>
      </c>
    </row>
    <row r="171" spans="15:23">
      <c r="O171" s="65"/>
      <c r="Q171" s="69"/>
      <c r="R171" s="78"/>
      <c r="S171" s="79"/>
      <c r="T171" s="69">
        <f t="shared" si="20"/>
        <v>42172</v>
      </c>
      <c r="U171" s="61">
        <f t="shared" si="21"/>
        <v>0.53967592527777808</v>
      </c>
      <c r="V171" s="116" t="str">
        <f t="shared" si="18"/>
        <v/>
      </c>
      <c r="W171" s="75">
        <f t="shared" si="19"/>
        <v>0.60951388791666705</v>
      </c>
    </row>
    <row r="172" spans="15:23">
      <c r="O172" s="65"/>
      <c r="Q172" s="69"/>
      <c r="R172" s="78"/>
      <c r="S172" s="79"/>
      <c r="T172" s="69">
        <f t="shared" si="20"/>
        <v>42173</v>
      </c>
      <c r="U172" s="61">
        <f t="shared" si="21"/>
        <v>0.51121141902777811</v>
      </c>
      <c r="V172" s="116" t="str">
        <f t="shared" si="18"/>
        <v/>
      </c>
      <c r="W172" s="75">
        <f t="shared" si="19"/>
        <v>0.56681712854166721</v>
      </c>
    </row>
    <row r="173" spans="15:23">
      <c r="O173" s="65"/>
      <c r="Q173" s="69"/>
      <c r="R173" s="78"/>
      <c r="S173" s="79"/>
      <c r="T173" s="69">
        <f t="shared" si="20"/>
        <v>42174</v>
      </c>
      <c r="U173" s="61">
        <f t="shared" si="21"/>
        <v>0.48274691277777809</v>
      </c>
      <c r="V173" s="116" t="str">
        <f t="shared" si="18"/>
        <v/>
      </c>
      <c r="W173" s="75">
        <f t="shared" si="19"/>
        <v>0.52412036916666715</v>
      </c>
    </row>
    <row r="174" spans="15:23">
      <c r="O174" s="65"/>
      <c r="Q174" s="69"/>
      <c r="R174" s="78"/>
      <c r="S174" s="79"/>
      <c r="T174" s="69">
        <f t="shared" si="20"/>
        <v>42175</v>
      </c>
      <c r="U174" s="61">
        <f t="shared" si="21"/>
        <v>0.45428240652777807</v>
      </c>
      <c r="V174" s="116" t="str">
        <f t="shared" si="18"/>
        <v/>
      </c>
      <c r="W174" s="75">
        <f t="shared" si="19"/>
        <v>0.48142360979166704</v>
      </c>
    </row>
    <row r="175" spans="15:23">
      <c r="O175" s="65"/>
      <c r="Q175" s="69"/>
      <c r="R175" s="78"/>
      <c r="S175" s="79"/>
      <c r="T175" s="69">
        <f t="shared" si="20"/>
        <v>42176</v>
      </c>
      <c r="U175" s="61">
        <f t="shared" si="21"/>
        <v>0.42581790027777805</v>
      </c>
      <c r="V175" s="116" t="str">
        <f t="shared" si="18"/>
        <v/>
      </c>
      <c r="W175" s="75">
        <f t="shared" si="19"/>
        <v>0.43872685041666709</v>
      </c>
    </row>
    <row r="176" spans="15:23">
      <c r="O176" s="65"/>
      <c r="Q176" s="69"/>
      <c r="R176" s="78"/>
      <c r="S176" s="79"/>
      <c r="T176" s="69">
        <f t="shared" si="20"/>
        <v>42177</v>
      </c>
      <c r="U176" s="61">
        <f t="shared" si="21"/>
        <v>0.39735339402777803</v>
      </c>
      <c r="V176" s="116" t="str">
        <f t="shared" si="18"/>
        <v/>
      </c>
      <c r="W176" s="75">
        <f t="shared" si="19"/>
        <v>0.39603009104166703</v>
      </c>
    </row>
    <row r="177" spans="15:23">
      <c r="O177" s="65"/>
      <c r="Q177" s="69"/>
      <c r="R177" s="78"/>
      <c r="S177" s="79"/>
      <c r="T177" s="69">
        <f t="shared" si="20"/>
        <v>42178</v>
      </c>
      <c r="U177" s="61">
        <f t="shared" si="21"/>
        <v>0.36888888777777779</v>
      </c>
      <c r="V177" s="116">
        <f t="shared" si="18"/>
        <v>1</v>
      </c>
      <c r="W177" s="75">
        <f t="shared" si="19"/>
        <v>0.35333333166666664</v>
      </c>
    </row>
    <row r="178" spans="15:23">
      <c r="O178" s="65"/>
      <c r="Q178" s="69"/>
      <c r="R178" s="78"/>
      <c r="S178" s="79"/>
      <c r="T178" s="69">
        <f t="shared" si="20"/>
        <v>42179</v>
      </c>
      <c r="U178" s="61">
        <f t="shared" si="21"/>
        <v>0.36488536063492066</v>
      </c>
      <c r="V178" s="116" t="str">
        <f t="shared" si="18"/>
        <v/>
      </c>
      <c r="W178" s="75">
        <f t="shared" si="19"/>
        <v>0.34732804095238096</v>
      </c>
    </row>
    <row r="179" spans="15:23">
      <c r="O179" s="65"/>
      <c r="Q179" s="69"/>
      <c r="R179" s="78"/>
      <c r="S179" s="79"/>
      <c r="T179" s="69">
        <f t="shared" si="20"/>
        <v>42180</v>
      </c>
      <c r="U179" s="61">
        <f t="shared" si="21"/>
        <v>0.36088183349206354</v>
      </c>
      <c r="V179" s="116" t="str">
        <f t="shared" si="18"/>
        <v/>
      </c>
      <c r="W179" s="75">
        <f t="shared" si="19"/>
        <v>0.34132275023809527</v>
      </c>
    </row>
    <row r="180" spans="15:23">
      <c r="O180" s="65"/>
      <c r="Q180" s="69"/>
      <c r="R180" s="78"/>
      <c r="S180" s="79"/>
      <c r="T180" s="69">
        <f t="shared" si="20"/>
        <v>42181</v>
      </c>
      <c r="U180" s="61">
        <f t="shared" si="21"/>
        <v>0.35687830634920642</v>
      </c>
      <c r="V180" s="116" t="str">
        <f t="shared" si="18"/>
        <v/>
      </c>
      <c r="W180" s="75">
        <f t="shared" si="19"/>
        <v>0.33531745952380959</v>
      </c>
    </row>
    <row r="181" spans="15:23">
      <c r="O181" s="65"/>
      <c r="Q181" s="69"/>
      <c r="R181" s="78"/>
      <c r="S181" s="79"/>
      <c r="T181" s="69">
        <f t="shared" si="20"/>
        <v>42182</v>
      </c>
      <c r="U181" s="61">
        <f t="shared" si="21"/>
        <v>0.3528747792063493</v>
      </c>
      <c r="V181" s="116" t="str">
        <f t="shared" si="18"/>
        <v/>
      </c>
      <c r="W181" s="75">
        <f t="shared" si="19"/>
        <v>0.32931216880952391</v>
      </c>
    </row>
    <row r="182" spans="15:23">
      <c r="O182" s="65"/>
      <c r="Q182" s="69"/>
      <c r="R182" s="78"/>
      <c r="S182" s="79"/>
      <c r="T182" s="69">
        <f t="shared" si="20"/>
        <v>42183</v>
      </c>
      <c r="U182" s="61">
        <f t="shared" si="21"/>
        <v>0.34887125206349218</v>
      </c>
      <c r="V182" s="116" t="str">
        <f t="shared" si="18"/>
        <v/>
      </c>
      <c r="W182" s="75">
        <f t="shared" si="19"/>
        <v>0.32330687809523823</v>
      </c>
    </row>
    <row r="183" spans="15:23">
      <c r="O183" s="65"/>
      <c r="Q183" s="69"/>
      <c r="R183" s="78"/>
      <c r="S183" s="79"/>
      <c r="T183" s="69">
        <f t="shared" si="20"/>
        <v>42184</v>
      </c>
      <c r="U183" s="61">
        <f t="shared" si="21"/>
        <v>0.34486772492063505</v>
      </c>
      <c r="V183" s="116" t="str">
        <f t="shared" si="18"/>
        <v/>
      </c>
      <c r="W183" s="75">
        <f t="shared" si="19"/>
        <v>0.31730158738095254</v>
      </c>
    </row>
    <row r="184" spans="15:23">
      <c r="O184" s="65"/>
      <c r="Q184" s="69"/>
      <c r="R184" s="78"/>
      <c r="S184" s="79"/>
      <c r="T184" s="69">
        <f t="shared" si="20"/>
        <v>42185</v>
      </c>
      <c r="U184" s="61">
        <f t="shared" si="21"/>
        <v>0.34086419777777777</v>
      </c>
      <c r="V184" s="116">
        <f t="shared" si="18"/>
        <v>1</v>
      </c>
      <c r="W184" s="75">
        <f t="shared" si="19"/>
        <v>0.31129629666666664</v>
      </c>
    </row>
    <row r="185" spans="15:23">
      <c r="O185" s="65"/>
      <c r="Q185" s="69"/>
      <c r="R185" s="78"/>
      <c r="S185" s="79"/>
      <c r="T185" s="69">
        <f t="shared" si="20"/>
        <v>42186</v>
      </c>
      <c r="U185" s="61">
        <f t="shared" si="21"/>
        <v>0.33662551456790124</v>
      </c>
      <c r="V185" s="116" t="str">
        <f t="shared" si="18"/>
        <v/>
      </c>
      <c r="W185" s="75">
        <f t="shared" si="19"/>
        <v>0.30493827185185179</v>
      </c>
    </row>
    <row r="186" spans="15:23">
      <c r="O186" s="65"/>
      <c r="Q186" s="69"/>
      <c r="R186" s="78"/>
      <c r="S186" s="79"/>
      <c r="T186" s="69">
        <f t="shared" si="20"/>
        <v>42187</v>
      </c>
      <c r="U186" s="61">
        <f t="shared" si="21"/>
        <v>0.33238683135802471</v>
      </c>
      <c r="V186" s="116" t="str">
        <f t="shared" si="18"/>
        <v/>
      </c>
      <c r="W186" s="75">
        <f t="shared" si="19"/>
        <v>0.29858024703703706</v>
      </c>
    </row>
    <row r="187" spans="15:23">
      <c r="O187" s="65"/>
      <c r="Q187" s="69"/>
      <c r="R187" s="78"/>
      <c r="S187" s="79"/>
      <c r="T187" s="69">
        <f t="shared" si="20"/>
        <v>42188</v>
      </c>
      <c r="U187" s="61">
        <f t="shared" si="21"/>
        <v>0.32814814814814819</v>
      </c>
      <c r="V187" s="116" t="str">
        <f t="shared" si="18"/>
        <v/>
      </c>
      <c r="W187" s="75">
        <f t="shared" si="19"/>
        <v>0.29222222222222227</v>
      </c>
    </row>
    <row r="188" spans="15:23">
      <c r="O188" s="65"/>
      <c r="Q188" s="69"/>
      <c r="R188" s="78"/>
      <c r="S188" s="79"/>
      <c r="T188" s="69">
        <f t="shared" si="20"/>
        <v>42189</v>
      </c>
      <c r="U188" s="61">
        <f t="shared" si="21"/>
        <v>0.32390946493827166</v>
      </c>
      <c r="V188" s="116" t="str">
        <f t="shared" si="18"/>
        <v/>
      </c>
      <c r="W188" s="75">
        <f t="shared" si="19"/>
        <v>0.28586419740740748</v>
      </c>
    </row>
    <row r="189" spans="15:23">
      <c r="O189" s="65"/>
      <c r="Q189" s="69"/>
      <c r="R189" s="78"/>
      <c r="S189" s="79"/>
      <c r="T189" s="69">
        <f t="shared" si="20"/>
        <v>42190</v>
      </c>
      <c r="U189" s="61">
        <f t="shared" si="21"/>
        <v>0.31967078172839514</v>
      </c>
      <c r="V189" s="116" t="str">
        <f t="shared" si="18"/>
        <v/>
      </c>
      <c r="W189" s="75">
        <f t="shared" si="19"/>
        <v>0.27950617259259269</v>
      </c>
    </row>
    <row r="190" spans="15:23">
      <c r="O190" s="65"/>
      <c r="Q190" s="69"/>
      <c r="R190" s="78"/>
      <c r="S190" s="79"/>
      <c r="T190" s="69">
        <f t="shared" si="20"/>
        <v>42191</v>
      </c>
      <c r="U190" s="61">
        <f t="shared" si="21"/>
        <v>0.31543209851851861</v>
      </c>
      <c r="V190" s="116" t="str">
        <f t="shared" si="18"/>
        <v/>
      </c>
      <c r="W190" s="75">
        <f t="shared" si="19"/>
        <v>0.27314814777777791</v>
      </c>
    </row>
    <row r="191" spans="15:23">
      <c r="O191" s="65"/>
      <c r="Q191" s="69"/>
      <c r="R191" s="78"/>
      <c r="S191" s="79"/>
      <c r="T191" s="69">
        <f t="shared" si="20"/>
        <v>42192</v>
      </c>
      <c r="U191" s="61">
        <f t="shared" si="21"/>
        <v>0.31119341530864209</v>
      </c>
      <c r="V191" s="116" t="str">
        <f t="shared" si="18"/>
        <v/>
      </c>
      <c r="W191" s="75">
        <f t="shared" si="19"/>
        <v>0.26679012296296312</v>
      </c>
    </row>
    <row r="192" spans="15:23">
      <c r="O192" s="65"/>
      <c r="Q192" s="69"/>
      <c r="R192" s="78"/>
      <c r="S192" s="79"/>
      <c r="T192" s="69">
        <f t="shared" si="20"/>
        <v>42193</v>
      </c>
      <c r="U192" s="61">
        <f t="shared" si="21"/>
        <v>0.30695473209876556</v>
      </c>
      <c r="V192" s="116" t="str">
        <f t="shared" si="18"/>
        <v/>
      </c>
      <c r="W192" s="75">
        <f t="shared" si="19"/>
        <v>0.26043209814814833</v>
      </c>
    </row>
    <row r="193" spans="15:23">
      <c r="O193" s="65"/>
      <c r="Q193" s="69"/>
      <c r="R193" s="78"/>
      <c r="S193" s="79"/>
      <c r="T193" s="69">
        <f t="shared" si="20"/>
        <v>42194</v>
      </c>
      <c r="U193" s="61">
        <f t="shared" si="21"/>
        <v>0.30271604888888887</v>
      </c>
      <c r="V193" s="116">
        <f t="shared" si="18"/>
        <v>1</v>
      </c>
      <c r="W193" s="75">
        <f t="shared" si="19"/>
        <v>0.25407407333333326</v>
      </c>
    </row>
    <row r="194" spans="15:23">
      <c r="O194" s="65"/>
      <c r="Q194" s="69"/>
      <c r="R194" s="78"/>
      <c r="S194" s="79"/>
      <c r="T194" s="69">
        <f t="shared" si="20"/>
        <v>42195</v>
      </c>
      <c r="U194" s="61">
        <f t="shared" si="21"/>
        <v>0.30289241587301585</v>
      </c>
      <c r="V194" s="116" t="str">
        <f t="shared" si="18"/>
        <v/>
      </c>
      <c r="W194" s="75">
        <f t="shared" si="19"/>
        <v>0.25433862380952377</v>
      </c>
    </row>
    <row r="195" spans="15:23">
      <c r="O195" s="65"/>
      <c r="Q195" s="69"/>
      <c r="R195" s="78"/>
      <c r="S195" s="79"/>
      <c r="T195" s="69">
        <f t="shared" si="20"/>
        <v>42196</v>
      </c>
      <c r="U195" s="61">
        <f t="shared" si="21"/>
        <v>0.30306878285714284</v>
      </c>
      <c r="V195" s="116" t="str">
        <f t="shared" si="18"/>
        <v/>
      </c>
      <c r="W195" s="75">
        <f t="shared" si="19"/>
        <v>0.25460317428571427</v>
      </c>
    </row>
    <row r="196" spans="15:23">
      <c r="O196" s="65"/>
      <c r="Q196" s="69"/>
      <c r="R196" s="78"/>
      <c r="S196" s="79"/>
      <c r="T196" s="69">
        <f t="shared" si="20"/>
        <v>42197</v>
      </c>
      <c r="U196" s="61">
        <f t="shared" si="21"/>
        <v>0.30324514984126982</v>
      </c>
      <c r="V196" s="116" t="str">
        <f t="shared" si="18"/>
        <v/>
      </c>
      <c r="W196" s="75">
        <f t="shared" si="19"/>
        <v>0.25486772476190472</v>
      </c>
    </row>
    <row r="197" spans="15:23">
      <c r="O197" s="65"/>
      <c r="Q197" s="69"/>
      <c r="R197" s="78"/>
      <c r="S197" s="79"/>
      <c r="T197" s="69">
        <f t="shared" si="20"/>
        <v>42198</v>
      </c>
      <c r="U197" s="61">
        <f t="shared" si="21"/>
        <v>0.30342151682539681</v>
      </c>
      <c r="V197" s="116" t="str">
        <f t="shared" si="18"/>
        <v/>
      </c>
      <c r="W197" s="75">
        <f t="shared" si="19"/>
        <v>0.25513227523809517</v>
      </c>
    </row>
    <row r="198" spans="15:23">
      <c r="O198" s="65"/>
      <c r="Q198" s="69"/>
      <c r="R198" s="78"/>
      <c r="S198" s="79"/>
      <c r="T198" s="69">
        <f t="shared" si="20"/>
        <v>42199</v>
      </c>
      <c r="U198" s="61">
        <f t="shared" si="21"/>
        <v>0.30359788380952379</v>
      </c>
      <c r="V198" s="116" t="str">
        <f t="shared" si="18"/>
        <v/>
      </c>
      <c r="W198" s="75">
        <f t="shared" si="19"/>
        <v>0.25539682571428568</v>
      </c>
    </row>
    <row r="199" spans="15:23">
      <c r="O199" s="65"/>
      <c r="Q199" s="69"/>
      <c r="R199" s="78"/>
      <c r="S199" s="79"/>
      <c r="T199" s="69">
        <f t="shared" si="20"/>
        <v>42200</v>
      </c>
      <c r="U199" s="61">
        <f t="shared" si="21"/>
        <v>0.30377425079365078</v>
      </c>
      <c r="V199" s="116" t="str">
        <f t="shared" si="18"/>
        <v/>
      </c>
      <c r="W199" s="75">
        <f t="shared" si="19"/>
        <v>0.25566137619047619</v>
      </c>
    </row>
    <row r="200" spans="15:23">
      <c r="O200" s="65"/>
      <c r="Q200" s="69"/>
      <c r="R200" s="78"/>
      <c r="S200" s="79"/>
      <c r="T200" s="69">
        <f t="shared" si="20"/>
        <v>42201</v>
      </c>
      <c r="U200" s="61">
        <f t="shared" si="21"/>
        <v>0.30395061777777777</v>
      </c>
      <c r="V200" s="116">
        <f t="shared" si="18"/>
        <v>1</v>
      </c>
      <c r="W200" s="75">
        <f t="shared" si="19"/>
        <v>0.25592592666666664</v>
      </c>
    </row>
    <row r="201" spans="15:23">
      <c r="O201" s="65"/>
      <c r="Q201" s="69"/>
      <c r="R201" s="78"/>
      <c r="S201" s="79"/>
      <c r="T201" s="69">
        <f t="shared" si="20"/>
        <v>42202</v>
      </c>
      <c r="U201" s="61">
        <f t="shared" si="21"/>
        <v>0.30300411567901231</v>
      </c>
      <c r="V201" s="116" t="str">
        <f t="shared" ref="V201:V264" si="22">IFERROR(IF(VLOOKUP(T201,$Q$8:$Q$363,1,FALSE)&gt;0,1,""),"")</f>
        <v/>
      </c>
      <c r="W201" s="75">
        <f t="shared" ref="W201:W264" si="23">IF(U201="","",U201*1.5-0.2)</f>
        <v>0.25450617351851845</v>
      </c>
    </row>
    <row r="202" spans="15:23">
      <c r="O202" s="65"/>
      <c r="Q202" s="69"/>
      <c r="R202" s="78"/>
      <c r="S202" s="79"/>
      <c r="T202" s="69">
        <f t="shared" si="20"/>
        <v>42203</v>
      </c>
      <c r="U202" s="61">
        <f t="shared" si="21"/>
        <v>0.30205761358024685</v>
      </c>
      <c r="V202" s="116" t="str">
        <f t="shared" si="22"/>
        <v/>
      </c>
      <c r="W202" s="75">
        <f t="shared" si="23"/>
        <v>0.25308642037037027</v>
      </c>
    </row>
    <row r="203" spans="15:23">
      <c r="O203" s="65"/>
      <c r="Q203" s="69"/>
      <c r="R203" s="78"/>
      <c r="S203" s="79"/>
      <c r="T203" s="69">
        <f t="shared" si="20"/>
        <v>42204</v>
      </c>
      <c r="U203" s="61">
        <f t="shared" si="21"/>
        <v>0.3011111114814814</v>
      </c>
      <c r="V203" s="116" t="str">
        <f t="shared" si="22"/>
        <v/>
      </c>
      <c r="W203" s="75">
        <f t="shared" si="23"/>
        <v>0.25166666722222208</v>
      </c>
    </row>
    <row r="204" spans="15:23">
      <c r="O204" s="65"/>
      <c r="Q204" s="69"/>
      <c r="R204" s="78"/>
      <c r="S204" s="79"/>
      <c r="T204" s="69">
        <f t="shared" si="20"/>
        <v>42205</v>
      </c>
      <c r="U204" s="61">
        <f t="shared" si="21"/>
        <v>0.30016460938271594</v>
      </c>
      <c r="V204" s="116" t="str">
        <f t="shared" si="22"/>
        <v/>
      </c>
      <c r="W204" s="75">
        <f t="shared" si="23"/>
        <v>0.2502469140740739</v>
      </c>
    </row>
    <row r="205" spans="15:23">
      <c r="O205" s="65"/>
      <c r="Q205" s="69"/>
      <c r="R205" s="78"/>
      <c r="S205" s="79"/>
      <c r="T205" s="69">
        <f t="shared" si="20"/>
        <v>42206</v>
      </c>
      <c r="U205" s="61">
        <f t="shared" si="21"/>
        <v>0.29921810728395049</v>
      </c>
      <c r="V205" s="116" t="str">
        <f t="shared" si="22"/>
        <v/>
      </c>
      <c r="W205" s="75">
        <f t="shared" si="23"/>
        <v>0.24882716092592572</v>
      </c>
    </row>
    <row r="206" spans="15:23">
      <c r="O206" s="65"/>
      <c r="Q206" s="69"/>
      <c r="R206" s="78"/>
      <c r="S206" s="79"/>
      <c r="T206" s="69">
        <f t="shared" si="20"/>
        <v>42207</v>
      </c>
      <c r="U206" s="61">
        <f t="shared" si="21"/>
        <v>0.29827160518518503</v>
      </c>
      <c r="V206" s="116" t="str">
        <f t="shared" si="22"/>
        <v/>
      </c>
      <c r="W206" s="75">
        <f t="shared" si="23"/>
        <v>0.24740740777777753</v>
      </c>
    </row>
    <row r="207" spans="15:23">
      <c r="O207" s="65"/>
      <c r="Q207" s="69"/>
      <c r="R207" s="78"/>
      <c r="S207" s="79"/>
      <c r="T207" s="69">
        <f t="shared" si="20"/>
        <v>42208</v>
      </c>
      <c r="U207" s="61">
        <f t="shared" si="21"/>
        <v>0.29732510308641957</v>
      </c>
      <c r="V207" s="116" t="str">
        <f t="shared" si="22"/>
        <v/>
      </c>
      <c r="W207" s="75">
        <f t="shared" si="23"/>
        <v>0.24598765462962935</v>
      </c>
    </row>
    <row r="208" spans="15:23">
      <c r="O208" s="65"/>
      <c r="Q208" s="69"/>
      <c r="R208" s="78"/>
      <c r="S208" s="79"/>
      <c r="T208" s="69">
        <f t="shared" si="20"/>
        <v>42209</v>
      </c>
      <c r="U208" s="61">
        <f t="shared" si="21"/>
        <v>0.29637860098765412</v>
      </c>
      <c r="V208" s="116" t="str">
        <f t="shared" si="22"/>
        <v/>
      </c>
      <c r="W208" s="75">
        <f t="shared" si="23"/>
        <v>0.24456790148148116</v>
      </c>
    </row>
    <row r="209" spans="15:23">
      <c r="O209" s="65"/>
      <c r="Q209" s="69"/>
      <c r="R209" s="78"/>
      <c r="S209" s="79"/>
      <c r="T209" s="69">
        <f t="shared" si="20"/>
        <v>42210</v>
      </c>
      <c r="U209" s="61">
        <f t="shared" si="21"/>
        <v>0.29543209888888888</v>
      </c>
      <c r="V209" s="116">
        <f t="shared" si="22"/>
        <v>1</v>
      </c>
      <c r="W209" s="75">
        <f t="shared" si="23"/>
        <v>0.24314814833333331</v>
      </c>
    </row>
    <row r="210" spans="15:23">
      <c r="O210" s="65"/>
      <c r="Q210" s="69"/>
      <c r="R210" s="78"/>
      <c r="S210" s="79"/>
      <c r="T210" s="69" t="str">
        <f t="shared" si="20"/>
        <v/>
      </c>
      <c r="U210" s="61" t="str">
        <f t="shared" si="21"/>
        <v/>
      </c>
      <c r="V210" s="116" t="str">
        <f t="shared" si="22"/>
        <v/>
      </c>
      <c r="W210" s="75" t="str">
        <f t="shared" si="23"/>
        <v/>
      </c>
    </row>
    <row r="211" spans="15:23">
      <c r="O211" s="65"/>
      <c r="Q211" s="69"/>
      <c r="R211" s="78"/>
      <c r="S211" s="79"/>
      <c r="T211" s="69" t="str">
        <f t="shared" si="20"/>
        <v/>
      </c>
      <c r="U211" s="61" t="str">
        <f t="shared" si="21"/>
        <v/>
      </c>
      <c r="V211" s="116" t="str">
        <f t="shared" si="22"/>
        <v/>
      </c>
      <c r="W211" s="75" t="str">
        <f t="shared" si="23"/>
        <v/>
      </c>
    </row>
    <row r="212" spans="15:23">
      <c r="O212" s="65"/>
      <c r="Q212" s="69"/>
      <c r="R212" s="78"/>
      <c r="S212" s="79"/>
      <c r="T212" s="69" t="str">
        <f t="shared" si="20"/>
        <v/>
      </c>
      <c r="U212" s="61" t="str">
        <f t="shared" si="21"/>
        <v/>
      </c>
      <c r="V212" s="116" t="str">
        <f t="shared" si="22"/>
        <v/>
      </c>
      <c r="W212" s="75" t="str">
        <f t="shared" si="23"/>
        <v/>
      </c>
    </row>
    <row r="213" spans="15:23">
      <c r="O213" s="65"/>
      <c r="Q213" s="69"/>
      <c r="R213" s="78"/>
      <c r="S213" s="79"/>
      <c r="T213" s="69" t="str">
        <f t="shared" si="20"/>
        <v/>
      </c>
      <c r="U213" s="61" t="str">
        <f t="shared" si="21"/>
        <v/>
      </c>
      <c r="V213" s="116" t="str">
        <f t="shared" si="22"/>
        <v/>
      </c>
      <c r="W213" s="75" t="str">
        <f t="shared" si="23"/>
        <v/>
      </c>
    </row>
    <row r="214" spans="15:23" hidden="1">
      <c r="O214" s="65"/>
      <c r="Q214" s="69"/>
      <c r="R214" s="78"/>
      <c r="S214" s="79"/>
      <c r="T214" s="69" t="str">
        <f t="shared" si="20"/>
        <v/>
      </c>
      <c r="U214" s="61" t="str">
        <f t="shared" si="21"/>
        <v/>
      </c>
      <c r="V214" s="116" t="str">
        <f t="shared" si="22"/>
        <v/>
      </c>
      <c r="W214" s="75" t="str">
        <f t="shared" si="23"/>
        <v/>
      </c>
    </row>
    <row r="215" spans="15:23" hidden="1">
      <c r="O215" s="65"/>
      <c r="Q215" s="69"/>
      <c r="R215" s="78"/>
      <c r="S215" s="79"/>
      <c r="T215" s="69" t="str">
        <f t="shared" si="20"/>
        <v/>
      </c>
      <c r="U215" s="61" t="str">
        <f t="shared" si="21"/>
        <v/>
      </c>
      <c r="V215" s="116" t="str">
        <f t="shared" si="22"/>
        <v/>
      </c>
      <c r="W215" s="75" t="str">
        <f t="shared" si="23"/>
        <v/>
      </c>
    </row>
    <row r="216" spans="15:23" hidden="1">
      <c r="O216" s="65"/>
      <c r="Q216" s="69"/>
      <c r="R216" s="78"/>
      <c r="S216" s="79"/>
      <c r="T216" s="69" t="str">
        <f t="shared" si="20"/>
        <v/>
      </c>
      <c r="U216" s="61" t="str">
        <f t="shared" si="21"/>
        <v/>
      </c>
      <c r="V216" s="116" t="str">
        <f t="shared" si="22"/>
        <v/>
      </c>
      <c r="W216" s="75" t="str">
        <f t="shared" si="23"/>
        <v/>
      </c>
    </row>
    <row r="217" spans="15:23" hidden="1">
      <c r="O217" s="65"/>
      <c r="Q217" s="69"/>
      <c r="R217" s="78"/>
      <c r="S217" s="79"/>
      <c r="T217" s="69" t="str">
        <f t="shared" si="20"/>
        <v/>
      </c>
      <c r="U217" s="61" t="str">
        <f t="shared" si="21"/>
        <v/>
      </c>
      <c r="V217" s="116" t="str">
        <f t="shared" si="22"/>
        <v/>
      </c>
      <c r="W217" s="75" t="str">
        <f t="shared" si="23"/>
        <v/>
      </c>
    </row>
    <row r="218" spans="15:23" hidden="1">
      <c r="O218" s="65"/>
      <c r="Q218" s="69"/>
      <c r="R218" s="78"/>
      <c r="S218" s="79"/>
      <c r="T218" s="69" t="str">
        <f t="shared" si="20"/>
        <v/>
      </c>
      <c r="U218" s="61" t="str">
        <f t="shared" si="21"/>
        <v/>
      </c>
      <c r="V218" s="116" t="str">
        <f t="shared" si="22"/>
        <v/>
      </c>
      <c r="W218" s="75" t="str">
        <f t="shared" si="23"/>
        <v/>
      </c>
    </row>
    <row r="219" spans="15:23" hidden="1">
      <c r="O219" s="65"/>
      <c r="Q219" s="69"/>
      <c r="R219" s="78"/>
      <c r="S219" s="79"/>
      <c r="T219" s="69" t="str">
        <f t="shared" si="20"/>
        <v/>
      </c>
      <c r="U219" s="61" t="str">
        <f t="shared" si="21"/>
        <v/>
      </c>
      <c r="V219" s="116" t="str">
        <f t="shared" si="22"/>
        <v/>
      </c>
      <c r="W219" s="75" t="str">
        <f t="shared" si="23"/>
        <v/>
      </c>
    </row>
    <row r="220" spans="15:23" hidden="1">
      <c r="O220" s="65"/>
      <c r="Q220" s="69"/>
      <c r="R220" s="78"/>
      <c r="S220" s="79"/>
      <c r="T220" s="69" t="str">
        <f t="shared" si="20"/>
        <v/>
      </c>
      <c r="U220" s="61" t="str">
        <f t="shared" si="21"/>
        <v/>
      </c>
      <c r="V220" s="116" t="str">
        <f t="shared" si="22"/>
        <v/>
      </c>
      <c r="W220" s="75" t="str">
        <f t="shared" si="23"/>
        <v/>
      </c>
    </row>
    <row r="221" spans="15:23" hidden="1">
      <c r="O221" s="65"/>
      <c r="Q221" s="69"/>
      <c r="R221" s="78"/>
      <c r="S221" s="79"/>
      <c r="T221" s="69" t="str">
        <f t="shared" si="20"/>
        <v/>
      </c>
      <c r="U221" s="61" t="str">
        <f t="shared" si="21"/>
        <v/>
      </c>
      <c r="V221" s="116" t="str">
        <f t="shared" si="22"/>
        <v/>
      </c>
      <c r="W221" s="75" t="str">
        <f t="shared" si="23"/>
        <v/>
      </c>
    </row>
    <row r="222" spans="15:23" hidden="1">
      <c r="O222" s="65"/>
      <c r="Q222" s="69"/>
      <c r="R222" s="78"/>
      <c r="S222" s="79"/>
      <c r="T222" s="69" t="str">
        <f t="shared" si="20"/>
        <v/>
      </c>
      <c r="U222" s="61" t="str">
        <f t="shared" si="21"/>
        <v/>
      </c>
      <c r="V222" s="116" t="str">
        <f t="shared" si="22"/>
        <v/>
      </c>
      <c r="W222" s="75" t="str">
        <f t="shared" si="23"/>
        <v/>
      </c>
    </row>
    <row r="223" spans="15:23" hidden="1">
      <c r="O223" s="65"/>
      <c r="Q223" s="69"/>
      <c r="R223" s="78"/>
      <c r="S223" s="79"/>
      <c r="T223" s="69" t="str">
        <f t="shared" si="20"/>
        <v/>
      </c>
      <c r="U223" s="61" t="str">
        <f t="shared" si="21"/>
        <v/>
      </c>
      <c r="V223" s="116" t="str">
        <f t="shared" si="22"/>
        <v/>
      </c>
      <c r="W223" s="75" t="str">
        <f t="shared" si="23"/>
        <v/>
      </c>
    </row>
    <row r="224" spans="15:23" hidden="1">
      <c r="O224" s="65"/>
      <c r="Q224" s="69"/>
      <c r="R224" s="78"/>
      <c r="S224" s="79"/>
      <c r="T224" s="69" t="str">
        <f t="shared" si="20"/>
        <v/>
      </c>
      <c r="U224" s="61" t="str">
        <f t="shared" si="21"/>
        <v/>
      </c>
      <c r="V224" s="116" t="str">
        <f t="shared" si="22"/>
        <v/>
      </c>
      <c r="W224" s="75" t="str">
        <f t="shared" si="23"/>
        <v/>
      </c>
    </row>
    <row r="225" spans="15:23" hidden="1">
      <c r="O225" s="65"/>
      <c r="Q225" s="69"/>
      <c r="R225" s="78"/>
      <c r="S225" s="79"/>
      <c r="T225" s="69" t="str">
        <f t="shared" si="20"/>
        <v/>
      </c>
      <c r="U225" s="61" t="str">
        <f t="shared" si="21"/>
        <v/>
      </c>
      <c r="V225" s="116" t="str">
        <f t="shared" si="22"/>
        <v/>
      </c>
      <c r="W225" s="75" t="str">
        <f t="shared" si="23"/>
        <v/>
      </c>
    </row>
    <row r="226" spans="15:23" hidden="1">
      <c r="O226" s="65"/>
      <c r="Q226" s="69"/>
      <c r="R226" s="78"/>
      <c r="S226" s="79"/>
      <c r="T226" s="69" t="str">
        <f t="shared" si="20"/>
        <v/>
      </c>
      <c r="U226" s="61" t="str">
        <f t="shared" si="21"/>
        <v/>
      </c>
      <c r="V226" s="116" t="str">
        <f t="shared" si="22"/>
        <v/>
      </c>
      <c r="W226" s="75" t="str">
        <f t="shared" si="23"/>
        <v/>
      </c>
    </row>
    <row r="227" spans="15:23" hidden="1">
      <c r="O227" s="65"/>
      <c r="Q227" s="69"/>
      <c r="R227" s="78"/>
      <c r="S227" s="79"/>
      <c r="T227" s="69" t="str">
        <f t="shared" si="20"/>
        <v/>
      </c>
      <c r="U227" s="61" t="str">
        <f t="shared" si="21"/>
        <v/>
      </c>
      <c r="V227" s="116" t="str">
        <f t="shared" si="22"/>
        <v/>
      </c>
      <c r="W227" s="75" t="str">
        <f t="shared" si="23"/>
        <v/>
      </c>
    </row>
    <row r="228" spans="15:23" hidden="1">
      <c r="O228" s="65"/>
      <c r="Q228" s="69"/>
      <c r="R228" s="78"/>
      <c r="S228" s="79"/>
      <c r="T228" s="69" t="str">
        <f t="shared" si="20"/>
        <v/>
      </c>
      <c r="U228" s="61" t="str">
        <f t="shared" si="21"/>
        <v/>
      </c>
      <c r="V228" s="116" t="str">
        <f t="shared" si="22"/>
        <v/>
      </c>
      <c r="W228" s="75" t="str">
        <f t="shared" si="23"/>
        <v/>
      </c>
    </row>
    <row r="229" spans="15:23" hidden="1">
      <c r="O229" s="65"/>
      <c r="Q229" s="69"/>
      <c r="R229" s="78"/>
      <c r="S229" s="79"/>
      <c r="T229" s="69" t="str">
        <f t="shared" si="20"/>
        <v/>
      </c>
      <c r="U229" s="61" t="str">
        <f t="shared" si="21"/>
        <v/>
      </c>
      <c r="V229" s="116" t="str">
        <f t="shared" si="22"/>
        <v/>
      </c>
      <c r="W229" s="75" t="str">
        <f t="shared" si="23"/>
        <v/>
      </c>
    </row>
    <row r="230" spans="15:23" hidden="1">
      <c r="O230" s="65"/>
      <c r="Q230" s="69"/>
      <c r="R230" s="78"/>
      <c r="S230" s="79"/>
      <c r="T230" s="69" t="str">
        <f t="shared" si="20"/>
        <v/>
      </c>
      <c r="U230" s="61" t="str">
        <f t="shared" si="21"/>
        <v/>
      </c>
      <c r="V230" s="116" t="str">
        <f t="shared" si="22"/>
        <v/>
      </c>
      <c r="W230" s="75" t="str">
        <f t="shared" si="23"/>
        <v/>
      </c>
    </row>
    <row r="231" spans="15:23" hidden="1">
      <c r="O231" s="65"/>
      <c r="Q231" s="69"/>
      <c r="R231" s="78"/>
      <c r="S231" s="79"/>
      <c r="T231" s="69" t="str">
        <f t="shared" ref="T231:T294" si="24">IF(T230="","",IF(MAX($Q$8:$Q$50)&gt;=(T230+1),T230+1,""))</f>
        <v/>
      </c>
      <c r="U231" s="61" t="str">
        <f t="shared" ref="U231:U294" si="25">IF(T231="","",IF(ISERROR(VLOOKUP($T231,$Q$8:$S$40,2,FALSE)),U230+VLOOKUP($T231,$Q$8:$S$40,3,TRUE),VLOOKUP($T231,$Q$8:$S$40,2,FALSE)))</f>
        <v/>
      </c>
      <c r="V231" s="116" t="str">
        <f t="shared" si="22"/>
        <v/>
      </c>
      <c r="W231" s="75" t="str">
        <f t="shared" si="23"/>
        <v/>
      </c>
    </row>
    <row r="232" spans="15:23" hidden="1">
      <c r="O232" s="65"/>
      <c r="Q232" s="69"/>
      <c r="R232" s="78"/>
      <c r="S232" s="79"/>
      <c r="T232" s="69" t="str">
        <f t="shared" si="24"/>
        <v/>
      </c>
      <c r="U232" s="61" t="str">
        <f t="shared" si="25"/>
        <v/>
      </c>
      <c r="V232" s="116" t="str">
        <f t="shared" si="22"/>
        <v/>
      </c>
      <c r="W232" s="75" t="str">
        <f t="shared" si="23"/>
        <v/>
      </c>
    </row>
    <row r="233" spans="15:23" hidden="1">
      <c r="O233" s="65"/>
      <c r="Q233" s="69"/>
      <c r="R233" s="78"/>
      <c r="S233" s="79"/>
      <c r="T233" s="69" t="str">
        <f t="shared" si="24"/>
        <v/>
      </c>
      <c r="U233" s="61" t="str">
        <f t="shared" si="25"/>
        <v/>
      </c>
      <c r="V233" s="116" t="str">
        <f t="shared" si="22"/>
        <v/>
      </c>
      <c r="W233" s="75" t="str">
        <f t="shared" si="23"/>
        <v/>
      </c>
    </row>
    <row r="234" spans="15:23" hidden="1">
      <c r="O234" s="65"/>
      <c r="Q234" s="69"/>
      <c r="R234" s="78"/>
      <c r="S234" s="79"/>
      <c r="T234" s="69" t="str">
        <f t="shared" si="24"/>
        <v/>
      </c>
      <c r="U234" s="61" t="str">
        <f t="shared" si="25"/>
        <v/>
      </c>
      <c r="V234" s="116" t="str">
        <f t="shared" si="22"/>
        <v/>
      </c>
      <c r="W234" s="75" t="str">
        <f t="shared" si="23"/>
        <v/>
      </c>
    </row>
    <row r="235" spans="15:23" hidden="1">
      <c r="O235" s="65"/>
      <c r="Q235" s="69"/>
      <c r="R235" s="78"/>
      <c r="S235" s="79"/>
      <c r="T235" s="69" t="str">
        <f t="shared" si="24"/>
        <v/>
      </c>
      <c r="U235" s="61" t="str">
        <f t="shared" si="25"/>
        <v/>
      </c>
      <c r="V235" s="116" t="str">
        <f t="shared" si="22"/>
        <v/>
      </c>
      <c r="W235" s="75" t="str">
        <f t="shared" si="23"/>
        <v/>
      </c>
    </row>
    <row r="236" spans="15:23" hidden="1">
      <c r="O236" s="65"/>
      <c r="Q236" s="69"/>
      <c r="R236" s="78"/>
      <c r="S236" s="79"/>
      <c r="T236" s="69" t="str">
        <f t="shared" si="24"/>
        <v/>
      </c>
      <c r="U236" s="61" t="str">
        <f t="shared" si="25"/>
        <v/>
      </c>
      <c r="V236" s="116" t="str">
        <f t="shared" si="22"/>
        <v/>
      </c>
      <c r="W236" s="75" t="str">
        <f t="shared" si="23"/>
        <v/>
      </c>
    </row>
    <row r="237" spans="15:23" hidden="1">
      <c r="O237" s="65"/>
      <c r="Q237" s="69"/>
      <c r="R237" s="78"/>
      <c r="S237" s="79"/>
      <c r="T237" s="69" t="str">
        <f t="shared" si="24"/>
        <v/>
      </c>
      <c r="U237" s="61" t="str">
        <f t="shared" si="25"/>
        <v/>
      </c>
      <c r="V237" s="116" t="str">
        <f t="shared" si="22"/>
        <v/>
      </c>
      <c r="W237" s="75" t="str">
        <f t="shared" si="23"/>
        <v/>
      </c>
    </row>
    <row r="238" spans="15:23" hidden="1">
      <c r="O238" s="65"/>
      <c r="Q238" s="69"/>
      <c r="R238" s="78"/>
      <c r="S238" s="79"/>
      <c r="T238" s="69" t="str">
        <f t="shared" si="24"/>
        <v/>
      </c>
      <c r="U238" s="61" t="str">
        <f t="shared" si="25"/>
        <v/>
      </c>
      <c r="V238" s="116" t="str">
        <f t="shared" si="22"/>
        <v/>
      </c>
      <c r="W238" s="75" t="str">
        <f t="shared" si="23"/>
        <v/>
      </c>
    </row>
    <row r="239" spans="15:23" hidden="1">
      <c r="O239" s="65"/>
      <c r="Q239" s="69"/>
      <c r="R239" s="78"/>
      <c r="S239" s="79"/>
      <c r="T239" s="69" t="str">
        <f t="shared" si="24"/>
        <v/>
      </c>
      <c r="U239" s="61" t="str">
        <f t="shared" si="25"/>
        <v/>
      </c>
      <c r="V239" s="116" t="str">
        <f t="shared" si="22"/>
        <v/>
      </c>
      <c r="W239" s="75" t="str">
        <f t="shared" si="23"/>
        <v/>
      </c>
    </row>
    <row r="240" spans="15:23" hidden="1">
      <c r="O240" s="65"/>
      <c r="Q240" s="69"/>
      <c r="R240" s="78"/>
      <c r="S240" s="79"/>
      <c r="T240" s="69" t="str">
        <f t="shared" si="24"/>
        <v/>
      </c>
      <c r="U240" s="61" t="str">
        <f t="shared" si="25"/>
        <v/>
      </c>
      <c r="V240" s="116" t="str">
        <f t="shared" si="22"/>
        <v/>
      </c>
      <c r="W240" s="75" t="str">
        <f t="shared" si="23"/>
        <v/>
      </c>
    </row>
    <row r="241" spans="15:23" hidden="1">
      <c r="O241" s="65"/>
      <c r="Q241" s="69"/>
      <c r="R241" s="78"/>
      <c r="S241" s="79"/>
      <c r="T241" s="69" t="str">
        <f t="shared" si="24"/>
        <v/>
      </c>
      <c r="U241" s="61" t="str">
        <f t="shared" si="25"/>
        <v/>
      </c>
      <c r="V241" s="116" t="str">
        <f t="shared" si="22"/>
        <v/>
      </c>
      <c r="W241" s="75" t="str">
        <f t="shared" si="23"/>
        <v/>
      </c>
    </row>
    <row r="242" spans="15:23" hidden="1">
      <c r="O242" s="65"/>
      <c r="Q242" s="69"/>
      <c r="R242" s="78"/>
      <c r="S242" s="79"/>
      <c r="T242" s="69" t="str">
        <f t="shared" si="24"/>
        <v/>
      </c>
      <c r="U242" s="61" t="str">
        <f t="shared" si="25"/>
        <v/>
      </c>
      <c r="V242" s="116" t="str">
        <f t="shared" si="22"/>
        <v/>
      </c>
      <c r="W242" s="75" t="str">
        <f t="shared" si="23"/>
        <v/>
      </c>
    </row>
    <row r="243" spans="15:23" hidden="1">
      <c r="O243" s="65"/>
      <c r="Q243" s="69"/>
      <c r="R243" s="78"/>
      <c r="S243" s="79"/>
      <c r="T243" s="69" t="str">
        <f t="shared" si="24"/>
        <v/>
      </c>
      <c r="U243" s="61" t="str">
        <f t="shared" si="25"/>
        <v/>
      </c>
      <c r="V243" s="116" t="str">
        <f t="shared" si="22"/>
        <v/>
      </c>
      <c r="W243" s="75" t="str">
        <f t="shared" si="23"/>
        <v/>
      </c>
    </row>
    <row r="244" spans="15:23" hidden="1">
      <c r="O244" s="65"/>
      <c r="Q244" s="69"/>
      <c r="R244" s="78"/>
      <c r="S244" s="79"/>
      <c r="T244" s="69" t="str">
        <f t="shared" si="24"/>
        <v/>
      </c>
      <c r="U244" s="61" t="str">
        <f t="shared" si="25"/>
        <v/>
      </c>
      <c r="V244" s="116" t="str">
        <f t="shared" si="22"/>
        <v/>
      </c>
      <c r="W244" s="75" t="str">
        <f t="shared" si="23"/>
        <v/>
      </c>
    </row>
    <row r="245" spans="15:23" hidden="1">
      <c r="O245" s="65"/>
      <c r="Q245" s="69"/>
      <c r="R245" s="78"/>
      <c r="S245" s="79"/>
      <c r="T245" s="69" t="str">
        <f t="shared" si="24"/>
        <v/>
      </c>
      <c r="U245" s="61" t="str">
        <f t="shared" si="25"/>
        <v/>
      </c>
      <c r="V245" s="116" t="str">
        <f t="shared" si="22"/>
        <v/>
      </c>
      <c r="W245" s="75" t="str">
        <f t="shared" si="23"/>
        <v/>
      </c>
    </row>
    <row r="246" spans="15:23" hidden="1">
      <c r="O246" s="65"/>
      <c r="Q246" s="69"/>
      <c r="R246" s="78"/>
      <c r="S246" s="79"/>
      <c r="T246" s="69" t="str">
        <f t="shared" si="24"/>
        <v/>
      </c>
      <c r="U246" s="61" t="str">
        <f t="shared" si="25"/>
        <v/>
      </c>
      <c r="V246" s="116" t="str">
        <f t="shared" si="22"/>
        <v/>
      </c>
      <c r="W246" s="75" t="str">
        <f t="shared" si="23"/>
        <v/>
      </c>
    </row>
    <row r="247" spans="15:23" hidden="1">
      <c r="O247" s="65"/>
      <c r="Q247" s="69"/>
      <c r="R247" s="78"/>
      <c r="S247" s="79"/>
      <c r="T247" s="69" t="str">
        <f t="shared" si="24"/>
        <v/>
      </c>
      <c r="U247" s="61" t="str">
        <f t="shared" si="25"/>
        <v/>
      </c>
      <c r="V247" s="116" t="str">
        <f t="shared" si="22"/>
        <v/>
      </c>
      <c r="W247" s="75" t="str">
        <f t="shared" si="23"/>
        <v/>
      </c>
    </row>
    <row r="248" spans="15:23" hidden="1">
      <c r="O248" s="65"/>
      <c r="Q248" s="69"/>
      <c r="R248" s="78"/>
      <c r="S248" s="79"/>
      <c r="T248" s="69" t="str">
        <f t="shared" si="24"/>
        <v/>
      </c>
      <c r="U248" s="61" t="str">
        <f t="shared" si="25"/>
        <v/>
      </c>
      <c r="V248" s="116" t="str">
        <f t="shared" si="22"/>
        <v/>
      </c>
      <c r="W248" s="75" t="str">
        <f t="shared" si="23"/>
        <v/>
      </c>
    </row>
    <row r="249" spans="15:23" hidden="1">
      <c r="O249" s="65"/>
      <c r="Q249" s="69"/>
      <c r="R249" s="78"/>
      <c r="S249" s="79"/>
      <c r="T249" s="69" t="str">
        <f t="shared" si="24"/>
        <v/>
      </c>
      <c r="U249" s="61" t="str">
        <f t="shared" si="25"/>
        <v/>
      </c>
      <c r="V249" s="116" t="str">
        <f t="shared" si="22"/>
        <v/>
      </c>
      <c r="W249" s="75" t="str">
        <f t="shared" si="23"/>
        <v/>
      </c>
    </row>
    <row r="250" spans="15:23" hidden="1">
      <c r="O250" s="65"/>
      <c r="Q250" s="69"/>
      <c r="R250" s="78"/>
      <c r="S250" s="79"/>
      <c r="T250" s="69" t="str">
        <f t="shared" si="24"/>
        <v/>
      </c>
      <c r="U250" s="61" t="str">
        <f t="shared" si="25"/>
        <v/>
      </c>
      <c r="V250" s="116" t="str">
        <f t="shared" si="22"/>
        <v/>
      </c>
      <c r="W250" s="75" t="str">
        <f t="shared" si="23"/>
        <v/>
      </c>
    </row>
    <row r="251" spans="15:23" hidden="1">
      <c r="O251" s="65"/>
      <c r="Q251" s="69"/>
      <c r="R251" s="78"/>
      <c r="S251" s="79"/>
      <c r="T251" s="69" t="str">
        <f t="shared" si="24"/>
        <v/>
      </c>
      <c r="U251" s="61" t="str">
        <f t="shared" si="25"/>
        <v/>
      </c>
      <c r="V251" s="116" t="str">
        <f t="shared" si="22"/>
        <v/>
      </c>
      <c r="W251" s="75" t="str">
        <f t="shared" si="23"/>
        <v/>
      </c>
    </row>
    <row r="252" spans="15:23" hidden="1">
      <c r="O252" s="65"/>
      <c r="Q252" s="69"/>
      <c r="R252" s="78"/>
      <c r="S252" s="79"/>
      <c r="T252" s="69" t="str">
        <f t="shared" si="24"/>
        <v/>
      </c>
      <c r="U252" s="61" t="str">
        <f t="shared" si="25"/>
        <v/>
      </c>
      <c r="V252" s="116" t="str">
        <f t="shared" si="22"/>
        <v/>
      </c>
      <c r="W252" s="75" t="str">
        <f t="shared" si="23"/>
        <v/>
      </c>
    </row>
    <row r="253" spans="15:23" hidden="1">
      <c r="O253" s="65"/>
      <c r="Q253" s="69"/>
      <c r="R253" s="78"/>
      <c r="S253" s="79"/>
      <c r="T253" s="69" t="str">
        <f t="shared" si="24"/>
        <v/>
      </c>
      <c r="U253" s="61" t="str">
        <f t="shared" si="25"/>
        <v/>
      </c>
      <c r="V253" s="116" t="str">
        <f t="shared" si="22"/>
        <v/>
      </c>
      <c r="W253" s="75" t="str">
        <f t="shared" si="23"/>
        <v/>
      </c>
    </row>
    <row r="254" spans="15:23" hidden="1">
      <c r="O254" s="65"/>
      <c r="Q254" s="69"/>
      <c r="R254" s="78"/>
      <c r="S254" s="79"/>
      <c r="T254" s="69" t="str">
        <f t="shared" si="24"/>
        <v/>
      </c>
      <c r="U254" s="61" t="str">
        <f t="shared" si="25"/>
        <v/>
      </c>
      <c r="V254" s="116" t="str">
        <f t="shared" si="22"/>
        <v/>
      </c>
      <c r="W254" s="75" t="str">
        <f t="shared" si="23"/>
        <v/>
      </c>
    </row>
    <row r="255" spans="15:23" hidden="1">
      <c r="O255" s="65"/>
      <c r="Q255" s="69"/>
      <c r="R255" s="78"/>
      <c r="S255" s="79"/>
      <c r="T255" s="69" t="str">
        <f t="shared" si="24"/>
        <v/>
      </c>
      <c r="U255" s="61" t="str">
        <f t="shared" si="25"/>
        <v/>
      </c>
      <c r="V255" s="116" t="str">
        <f t="shared" si="22"/>
        <v/>
      </c>
      <c r="W255" s="75" t="str">
        <f t="shared" si="23"/>
        <v/>
      </c>
    </row>
    <row r="256" spans="15:23" hidden="1">
      <c r="O256" s="65"/>
      <c r="Q256" s="69"/>
      <c r="R256" s="78"/>
      <c r="S256" s="79"/>
      <c r="T256" s="69" t="str">
        <f t="shared" si="24"/>
        <v/>
      </c>
      <c r="U256" s="61" t="str">
        <f t="shared" si="25"/>
        <v/>
      </c>
      <c r="V256" s="116" t="str">
        <f t="shared" si="22"/>
        <v/>
      </c>
      <c r="W256" s="75" t="str">
        <f t="shared" si="23"/>
        <v/>
      </c>
    </row>
    <row r="257" spans="15:23" hidden="1">
      <c r="O257" s="65"/>
      <c r="Q257" s="69"/>
      <c r="R257" s="78"/>
      <c r="S257" s="79"/>
      <c r="T257" s="69" t="str">
        <f t="shared" si="24"/>
        <v/>
      </c>
      <c r="U257" s="61" t="str">
        <f t="shared" si="25"/>
        <v/>
      </c>
      <c r="V257" s="116" t="str">
        <f t="shared" si="22"/>
        <v/>
      </c>
      <c r="W257" s="75" t="str">
        <f t="shared" si="23"/>
        <v/>
      </c>
    </row>
    <row r="258" spans="15:23" hidden="1">
      <c r="O258" s="65"/>
      <c r="Q258" s="69"/>
      <c r="R258" s="78"/>
      <c r="S258" s="79"/>
      <c r="T258" s="69" t="str">
        <f t="shared" si="24"/>
        <v/>
      </c>
      <c r="U258" s="61" t="str">
        <f t="shared" si="25"/>
        <v/>
      </c>
      <c r="V258" s="116" t="str">
        <f t="shared" si="22"/>
        <v/>
      </c>
      <c r="W258" s="75" t="str">
        <f t="shared" si="23"/>
        <v/>
      </c>
    </row>
    <row r="259" spans="15:23" hidden="1">
      <c r="O259" s="65"/>
      <c r="Q259" s="69"/>
      <c r="R259" s="78"/>
      <c r="S259" s="79"/>
      <c r="T259" s="69" t="str">
        <f t="shared" si="24"/>
        <v/>
      </c>
      <c r="U259" s="61" t="str">
        <f t="shared" si="25"/>
        <v/>
      </c>
      <c r="V259" s="116" t="str">
        <f t="shared" si="22"/>
        <v/>
      </c>
      <c r="W259" s="75" t="str">
        <f t="shared" si="23"/>
        <v/>
      </c>
    </row>
    <row r="260" spans="15:23" hidden="1">
      <c r="O260" s="65"/>
      <c r="Q260" s="69"/>
      <c r="R260" s="78"/>
      <c r="S260" s="79"/>
      <c r="T260" s="69" t="str">
        <f t="shared" si="24"/>
        <v/>
      </c>
      <c r="U260" s="61" t="str">
        <f t="shared" si="25"/>
        <v/>
      </c>
      <c r="V260" s="116" t="str">
        <f t="shared" si="22"/>
        <v/>
      </c>
      <c r="W260" s="75" t="str">
        <f t="shared" si="23"/>
        <v/>
      </c>
    </row>
    <row r="261" spans="15:23" hidden="1">
      <c r="O261" s="65"/>
      <c r="Q261" s="69"/>
      <c r="R261" s="78"/>
      <c r="S261" s="79"/>
      <c r="T261" s="69" t="str">
        <f t="shared" si="24"/>
        <v/>
      </c>
      <c r="U261" s="61" t="str">
        <f t="shared" si="25"/>
        <v/>
      </c>
      <c r="V261" s="116" t="str">
        <f t="shared" si="22"/>
        <v/>
      </c>
      <c r="W261" s="75" t="str">
        <f t="shared" si="23"/>
        <v/>
      </c>
    </row>
    <row r="262" spans="15:23" hidden="1">
      <c r="O262" s="65"/>
      <c r="Q262" s="69"/>
      <c r="R262" s="78"/>
      <c r="S262" s="79"/>
      <c r="T262" s="69" t="str">
        <f t="shared" si="24"/>
        <v/>
      </c>
      <c r="U262" s="61" t="str">
        <f t="shared" si="25"/>
        <v/>
      </c>
      <c r="V262" s="116" t="str">
        <f t="shared" si="22"/>
        <v/>
      </c>
      <c r="W262" s="75" t="str">
        <f t="shared" si="23"/>
        <v/>
      </c>
    </row>
    <row r="263" spans="15:23" hidden="1">
      <c r="O263" s="65"/>
      <c r="Q263" s="69"/>
      <c r="R263" s="78"/>
      <c r="S263" s="79"/>
      <c r="T263" s="69" t="str">
        <f t="shared" si="24"/>
        <v/>
      </c>
      <c r="U263" s="61" t="str">
        <f t="shared" si="25"/>
        <v/>
      </c>
      <c r="V263" s="116" t="str">
        <f t="shared" si="22"/>
        <v/>
      </c>
      <c r="W263" s="75" t="str">
        <f t="shared" si="23"/>
        <v/>
      </c>
    </row>
    <row r="264" spans="15:23" hidden="1">
      <c r="O264" s="65"/>
      <c r="Q264" s="69"/>
      <c r="R264" s="78"/>
      <c r="S264" s="79"/>
      <c r="T264" s="69" t="str">
        <f t="shared" si="24"/>
        <v/>
      </c>
      <c r="U264" s="61" t="str">
        <f t="shared" si="25"/>
        <v/>
      </c>
      <c r="V264" s="116" t="str">
        <f t="shared" si="22"/>
        <v/>
      </c>
      <c r="W264" s="75" t="str">
        <f t="shared" si="23"/>
        <v/>
      </c>
    </row>
    <row r="265" spans="15:23" hidden="1">
      <c r="O265" s="65"/>
      <c r="Q265" s="69"/>
      <c r="R265" s="78"/>
      <c r="S265" s="79"/>
      <c r="T265" s="69" t="str">
        <f t="shared" si="24"/>
        <v/>
      </c>
      <c r="U265" s="61" t="str">
        <f t="shared" si="25"/>
        <v/>
      </c>
      <c r="V265" s="116" t="str">
        <f t="shared" ref="V265:V328" si="26">IFERROR(IF(VLOOKUP(T265,$Q$8:$Q$363,1,FALSE)&gt;0,1,""),"")</f>
        <v/>
      </c>
      <c r="W265" s="75" t="str">
        <f t="shared" ref="W265:W328" si="27">IF(U265="","",U265*1.5-0.2)</f>
        <v/>
      </c>
    </row>
    <row r="266" spans="15:23" hidden="1">
      <c r="O266" s="65"/>
      <c r="Q266" s="69"/>
      <c r="R266" s="78"/>
      <c r="S266" s="79"/>
      <c r="T266" s="69" t="str">
        <f t="shared" si="24"/>
        <v/>
      </c>
      <c r="U266" s="61" t="str">
        <f t="shared" si="25"/>
        <v/>
      </c>
      <c r="V266" s="116" t="str">
        <f t="shared" si="26"/>
        <v/>
      </c>
      <c r="W266" s="75" t="str">
        <f t="shared" si="27"/>
        <v/>
      </c>
    </row>
    <row r="267" spans="15:23" hidden="1">
      <c r="O267" s="65"/>
      <c r="Q267" s="69"/>
      <c r="R267" s="78"/>
      <c r="S267" s="79"/>
      <c r="T267" s="69" t="str">
        <f t="shared" si="24"/>
        <v/>
      </c>
      <c r="U267" s="61" t="str">
        <f t="shared" si="25"/>
        <v/>
      </c>
      <c r="V267" s="116" t="str">
        <f t="shared" si="26"/>
        <v/>
      </c>
      <c r="W267" s="75" t="str">
        <f t="shared" si="27"/>
        <v/>
      </c>
    </row>
    <row r="268" spans="15:23" hidden="1">
      <c r="O268" s="65"/>
      <c r="Q268" s="69"/>
      <c r="R268" s="78"/>
      <c r="S268" s="79"/>
      <c r="T268" s="69" t="str">
        <f t="shared" si="24"/>
        <v/>
      </c>
      <c r="U268" s="61" t="str">
        <f t="shared" si="25"/>
        <v/>
      </c>
      <c r="V268" s="116" t="str">
        <f t="shared" si="26"/>
        <v/>
      </c>
      <c r="W268" s="75" t="str">
        <f t="shared" si="27"/>
        <v/>
      </c>
    </row>
    <row r="269" spans="15:23" hidden="1">
      <c r="O269" s="65"/>
      <c r="Q269" s="69"/>
      <c r="R269" s="78"/>
      <c r="S269" s="79"/>
      <c r="T269" s="69" t="str">
        <f t="shared" si="24"/>
        <v/>
      </c>
      <c r="U269" s="61" t="str">
        <f t="shared" si="25"/>
        <v/>
      </c>
      <c r="V269" s="116" t="str">
        <f t="shared" si="26"/>
        <v/>
      </c>
      <c r="W269" s="75" t="str">
        <f t="shared" si="27"/>
        <v/>
      </c>
    </row>
    <row r="270" spans="15:23" hidden="1">
      <c r="O270" s="65"/>
      <c r="Q270" s="69"/>
      <c r="R270" s="78"/>
      <c r="S270" s="79"/>
      <c r="T270" s="69" t="str">
        <f t="shared" si="24"/>
        <v/>
      </c>
      <c r="U270" s="61" t="str">
        <f t="shared" si="25"/>
        <v/>
      </c>
      <c r="V270" s="116" t="str">
        <f t="shared" si="26"/>
        <v/>
      </c>
      <c r="W270" s="75" t="str">
        <f t="shared" si="27"/>
        <v/>
      </c>
    </row>
    <row r="271" spans="15:23" hidden="1">
      <c r="O271" s="65"/>
      <c r="Q271" s="69"/>
      <c r="R271" s="78"/>
      <c r="S271" s="79"/>
      <c r="T271" s="69" t="str">
        <f t="shared" si="24"/>
        <v/>
      </c>
      <c r="U271" s="61" t="str">
        <f t="shared" si="25"/>
        <v/>
      </c>
      <c r="V271" s="116" t="str">
        <f t="shared" si="26"/>
        <v/>
      </c>
      <c r="W271" s="75" t="str">
        <f t="shared" si="27"/>
        <v/>
      </c>
    </row>
    <row r="272" spans="15:23" hidden="1">
      <c r="O272" s="65"/>
      <c r="Q272" s="69"/>
      <c r="R272" s="78"/>
      <c r="S272" s="79"/>
      <c r="T272" s="69" t="str">
        <f t="shared" si="24"/>
        <v/>
      </c>
      <c r="U272" s="61" t="str">
        <f t="shared" si="25"/>
        <v/>
      </c>
      <c r="V272" s="116" t="str">
        <f t="shared" si="26"/>
        <v/>
      </c>
      <c r="W272" s="75" t="str">
        <f t="shared" si="27"/>
        <v/>
      </c>
    </row>
    <row r="273" spans="15:23" hidden="1">
      <c r="O273" s="65"/>
      <c r="Q273" s="69"/>
      <c r="R273" s="78"/>
      <c r="S273" s="79"/>
      <c r="T273" s="69" t="str">
        <f t="shared" si="24"/>
        <v/>
      </c>
      <c r="U273" s="61" t="str">
        <f t="shared" si="25"/>
        <v/>
      </c>
      <c r="V273" s="116" t="str">
        <f t="shared" si="26"/>
        <v/>
      </c>
      <c r="W273" s="75" t="str">
        <f t="shared" si="27"/>
        <v/>
      </c>
    </row>
    <row r="274" spans="15:23" hidden="1">
      <c r="O274" s="65"/>
      <c r="Q274" s="69"/>
      <c r="R274" s="78"/>
      <c r="S274" s="79"/>
      <c r="T274" s="69" t="str">
        <f t="shared" si="24"/>
        <v/>
      </c>
      <c r="U274" s="61" t="str">
        <f t="shared" si="25"/>
        <v/>
      </c>
      <c r="V274" s="116" t="str">
        <f t="shared" si="26"/>
        <v/>
      </c>
      <c r="W274" s="75" t="str">
        <f t="shared" si="27"/>
        <v/>
      </c>
    </row>
    <row r="275" spans="15:23" hidden="1">
      <c r="O275" s="65"/>
      <c r="Q275" s="69"/>
      <c r="R275" s="78"/>
      <c r="S275" s="79"/>
      <c r="T275" s="69" t="str">
        <f t="shared" si="24"/>
        <v/>
      </c>
      <c r="U275" s="61" t="str">
        <f t="shared" si="25"/>
        <v/>
      </c>
      <c r="V275" s="116" t="str">
        <f t="shared" si="26"/>
        <v/>
      </c>
      <c r="W275" s="75" t="str">
        <f t="shared" si="27"/>
        <v/>
      </c>
    </row>
    <row r="276" spans="15:23" hidden="1">
      <c r="O276" s="65"/>
      <c r="Q276" s="69"/>
      <c r="R276" s="78"/>
      <c r="S276" s="79"/>
      <c r="T276" s="69" t="str">
        <f t="shared" si="24"/>
        <v/>
      </c>
      <c r="U276" s="61" t="str">
        <f t="shared" si="25"/>
        <v/>
      </c>
      <c r="V276" s="116" t="str">
        <f t="shared" si="26"/>
        <v/>
      </c>
      <c r="W276" s="75" t="str">
        <f t="shared" si="27"/>
        <v/>
      </c>
    </row>
    <row r="277" spans="15:23" hidden="1">
      <c r="O277" s="65"/>
      <c r="Q277" s="69"/>
      <c r="R277" s="78"/>
      <c r="S277" s="79"/>
      <c r="T277" s="69" t="str">
        <f t="shared" si="24"/>
        <v/>
      </c>
      <c r="U277" s="61" t="str">
        <f t="shared" si="25"/>
        <v/>
      </c>
      <c r="V277" s="116" t="str">
        <f t="shared" si="26"/>
        <v/>
      </c>
      <c r="W277" s="75" t="str">
        <f t="shared" si="27"/>
        <v/>
      </c>
    </row>
    <row r="278" spans="15:23" hidden="1">
      <c r="O278" s="65"/>
      <c r="Q278" s="69"/>
      <c r="R278" s="78"/>
      <c r="S278" s="79"/>
      <c r="T278" s="69" t="str">
        <f t="shared" si="24"/>
        <v/>
      </c>
      <c r="U278" s="61" t="str">
        <f t="shared" si="25"/>
        <v/>
      </c>
      <c r="V278" s="116" t="str">
        <f t="shared" si="26"/>
        <v/>
      </c>
      <c r="W278" s="75" t="str">
        <f t="shared" si="27"/>
        <v/>
      </c>
    </row>
    <row r="279" spans="15:23" hidden="1">
      <c r="O279" s="65"/>
      <c r="Q279" s="69"/>
      <c r="R279" s="78"/>
      <c r="S279" s="79"/>
      <c r="T279" s="69" t="str">
        <f t="shared" si="24"/>
        <v/>
      </c>
      <c r="U279" s="61" t="str">
        <f t="shared" si="25"/>
        <v/>
      </c>
      <c r="V279" s="116" t="str">
        <f t="shared" si="26"/>
        <v/>
      </c>
      <c r="W279" s="75" t="str">
        <f t="shared" si="27"/>
        <v/>
      </c>
    </row>
    <row r="280" spans="15:23" hidden="1">
      <c r="O280" s="65"/>
      <c r="Q280" s="69"/>
      <c r="R280" s="78"/>
      <c r="S280" s="79"/>
      <c r="T280" s="69" t="str">
        <f t="shared" si="24"/>
        <v/>
      </c>
      <c r="U280" s="61" t="str">
        <f t="shared" si="25"/>
        <v/>
      </c>
      <c r="V280" s="116" t="str">
        <f t="shared" si="26"/>
        <v/>
      </c>
      <c r="W280" s="75" t="str">
        <f t="shared" si="27"/>
        <v/>
      </c>
    </row>
    <row r="281" spans="15:23" hidden="1">
      <c r="O281" s="65"/>
      <c r="Q281" s="69"/>
      <c r="R281" s="78"/>
      <c r="S281" s="79"/>
      <c r="T281" s="69" t="str">
        <f t="shared" si="24"/>
        <v/>
      </c>
      <c r="U281" s="61" t="str">
        <f t="shared" si="25"/>
        <v/>
      </c>
      <c r="V281" s="116" t="str">
        <f t="shared" si="26"/>
        <v/>
      </c>
      <c r="W281" s="75" t="str">
        <f t="shared" si="27"/>
        <v/>
      </c>
    </row>
    <row r="282" spans="15:23" hidden="1">
      <c r="O282" s="65"/>
      <c r="Q282" s="69"/>
      <c r="R282" s="78"/>
      <c r="S282" s="79"/>
      <c r="T282" s="69" t="str">
        <f t="shared" si="24"/>
        <v/>
      </c>
      <c r="U282" s="61" t="str">
        <f t="shared" si="25"/>
        <v/>
      </c>
      <c r="V282" s="116" t="str">
        <f t="shared" si="26"/>
        <v/>
      </c>
      <c r="W282" s="75" t="str">
        <f t="shared" si="27"/>
        <v/>
      </c>
    </row>
    <row r="283" spans="15:23" hidden="1">
      <c r="O283" s="65"/>
      <c r="Q283" s="69"/>
      <c r="R283" s="78"/>
      <c r="S283" s="79"/>
      <c r="T283" s="69" t="str">
        <f t="shared" si="24"/>
        <v/>
      </c>
      <c r="U283" s="61" t="str">
        <f t="shared" si="25"/>
        <v/>
      </c>
      <c r="V283" s="116" t="str">
        <f t="shared" si="26"/>
        <v/>
      </c>
      <c r="W283" s="75" t="str">
        <f t="shared" si="27"/>
        <v/>
      </c>
    </row>
    <row r="284" spans="15:23" hidden="1">
      <c r="O284" s="65"/>
      <c r="Q284" s="69"/>
      <c r="R284" s="78"/>
      <c r="S284" s="79"/>
      <c r="T284" s="69" t="str">
        <f t="shared" si="24"/>
        <v/>
      </c>
      <c r="U284" s="61" t="str">
        <f t="shared" si="25"/>
        <v/>
      </c>
      <c r="V284" s="116" t="str">
        <f t="shared" si="26"/>
        <v/>
      </c>
      <c r="W284" s="75" t="str">
        <f t="shared" si="27"/>
        <v/>
      </c>
    </row>
    <row r="285" spans="15:23" hidden="1">
      <c r="O285" s="65"/>
      <c r="Q285" s="69"/>
      <c r="R285" s="78"/>
      <c r="S285" s="79"/>
      <c r="T285" s="69" t="str">
        <f t="shared" si="24"/>
        <v/>
      </c>
      <c r="U285" s="61" t="str">
        <f t="shared" si="25"/>
        <v/>
      </c>
      <c r="V285" s="116" t="str">
        <f t="shared" si="26"/>
        <v/>
      </c>
      <c r="W285" s="75" t="str">
        <f t="shared" si="27"/>
        <v/>
      </c>
    </row>
    <row r="286" spans="15:23" hidden="1">
      <c r="O286" s="65"/>
      <c r="Q286" s="69"/>
      <c r="R286" s="78"/>
      <c r="S286" s="79"/>
      <c r="T286" s="69" t="str">
        <f t="shared" si="24"/>
        <v/>
      </c>
      <c r="U286" s="61" t="str">
        <f t="shared" si="25"/>
        <v/>
      </c>
      <c r="V286" s="116" t="str">
        <f t="shared" si="26"/>
        <v/>
      </c>
      <c r="W286" s="75" t="str">
        <f t="shared" si="27"/>
        <v/>
      </c>
    </row>
    <row r="287" spans="15:23" hidden="1">
      <c r="O287" s="65"/>
      <c r="Q287" s="69"/>
      <c r="R287" s="78"/>
      <c r="S287" s="79"/>
      <c r="T287" s="69" t="str">
        <f t="shared" si="24"/>
        <v/>
      </c>
      <c r="U287" s="61" t="str">
        <f t="shared" si="25"/>
        <v/>
      </c>
      <c r="V287" s="116" t="str">
        <f t="shared" si="26"/>
        <v/>
      </c>
      <c r="W287" s="75" t="str">
        <f t="shared" si="27"/>
        <v/>
      </c>
    </row>
    <row r="288" spans="15:23" hidden="1">
      <c r="O288" s="65"/>
      <c r="Q288" s="69"/>
      <c r="R288" s="78"/>
      <c r="S288" s="79"/>
      <c r="T288" s="69" t="str">
        <f t="shared" si="24"/>
        <v/>
      </c>
      <c r="U288" s="61" t="str">
        <f t="shared" si="25"/>
        <v/>
      </c>
      <c r="V288" s="116" t="str">
        <f t="shared" si="26"/>
        <v/>
      </c>
      <c r="W288" s="75" t="str">
        <f t="shared" si="27"/>
        <v/>
      </c>
    </row>
    <row r="289" spans="15:23" hidden="1">
      <c r="O289" s="65"/>
      <c r="Q289" s="69"/>
      <c r="R289" s="78"/>
      <c r="S289" s="79"/>
      <c r="T289" s="69" t="str">
        <f t="shared" si="24"/>
        <v/>
      </c>
      <c r="U289" s="61" t="str">
        <f t="shared" si="25"/>
        <v/>
      </c>
      <c r="V289" s="116" t="str">
        <f t="shared" si="26"/>
        <v/>
      </c>
      <c r="W289" s="75" t="str">
        <f t="shared" si="27"/>
        <v/>
      </c>
    </row>
    <row r="290" spans="15:23" hidden="1">
      <c r="O290" s="65"/>
      <c r="Q290" s="69"/>
      <c r="R290" s="78"/>
      <c r="S290" s="79"/>
      <c r="T290" s="69" t="str">
        <f t="shared" si="24"/>
        <v/>
      </c>
      <c r="U290" s="61" t="str">
        <f t="shared" si="25"/>
        <v/>
      </c>
      <c r="V290" s="116" t="str">
        <f t="shared" si="26"/>
        <v/>
      </c>
      <c r="W290" s="75" t="str">
        <f t="shared" si="27"/>
        <v/>
      </c>
    </row>
    <row r="291" spans="15:23" hidden="1">
      <c r="O291" s="65"/>
      <c r="Q291" s="69"/>
      <c r="R291" s="78"/>
      <c r="S291" s="79"/>
      <c r="T291" s="69" t="str">
        <f t="shared" si="24"/>
        <v/>
      </c>
      <c r="U291" s="61" t="str">
        <f t="shared" si="25"/>
        <v/>
      </c>
      <c r="V291" s="116" t="str">
        <f t="shared" si="26"/>
        <v/>
      </c>
      <c r="W291" s="75" t="str">
        <f t="shared" si="27"/>
        <v/>
      </c>
    </row>
    <row r="292" spans="15:23" hidden="1">
      <c r="O292" s="65"/>
      <c r="Q292" s="69"/>
      <c r="R292" s="78"/>
      <c r="S292" s="79"/>
      <c r="T292" s="69" t="str">
        <f t="shared" si="24"/>
        <v/>
      </c>
      <c r="U292" s="61" t="str">
        <f t="shared" si="25"/>
        <v/>
      </c>
      <c r="V292" s="116" t="str">
        <f t="shared" si="26"/>
        <v/>
      </c>
      <c r="W292" s="75" t="str">
        <f t="shared" si="27"/>
        <v/>
      </c>
    </row>
    <row r="293" spans="15:23" hidden="1">
      <c r="O293" s="65"/>
      <c r="Q293" s="69"/>
      <c r="R293" s="78"/>
      <c r="S293" s="79"/>
      <c r="T293" s="69" t="str">
        <f t="shared" si="24"/>
        <v/>
      </c>
      <c r="U293" s="61" t="str">
        <f t="shared" si="25"/>
        <v/>
      </c>
      <c r="V293" s="116" t="str">
        <f t="shared" si="26"/>
        <v/>
      </c>
      <c r="W293" s="75" t="str">
        <f t="shared" si="27"/>
        <v/>
      </c>
    </row>
    <row r="294" spans="15:23" hidden="1">
      <c r="O294" s="65"/>
      <c r="Q294" s="69"/>
      <c r="R294" s="78"/>
      <c r="S294" s="79"/>
      <c r="T294" s="69" t="str">
        <f t="shared" si="24"/>
        <v/>
      </c>
      <c r="U294" s="61" t="str">
        <f t="shared" si="25"/>
        <v/>
      </c>
      <c r="V294" s="116" t="str">
        <f t="shared" si="26"/>
        <v/>
      </c>
      <c r="W294" s="75" t="str">
        <f t="shared" si="27"/>
        <v/>
      </c>
    </row>
    <row r="295" spans="15:23" hidden="1">
      <c r="O295" s="65"/>
      <c r="Q295" s="69"/>
      <c r="R295" s="78"/>
      <c r="S295" s="79"/>
      <c r="T295" s="69" t="str">
        <f t="shared" ref="T295:T358" si="28">IF(T294="","",IF(MAX($Q$8:$Q$50)&gt;=(T294+1),T294+1,""))</f>
        <v/>
      </c>
      <c r="U295" s="61" t="str">
        <f t="shared" ref="U295:U358" si="29">IF(T295="","",IF(ISERROR(VLOOKUP($T295,$Q$8:$S$40,2,FALSE)),U294+VLOOKUP($T295,$Q$8:$S$40,3,TRUE),VLOOKUP($T295,$Q$8:$S$40,2,FALSE)))</f>
        <v/>
      </c>
      <c r="V295" s="116" t="str">
        <f t="shared" si="26"/>
        <v/>
      </c>
      <c r="W295" s="75" t="str">
        <f t="shared" si="27"/>
        <v/>
      </c>
    </row>
    <row r="296" spans="15:23" hidden="1">
      <c r="O296" s="65"/>
      <c r="Q296" s="69"/>
      <c r="R296" s="78"/>
      <c r="S296" s="79"/>
      <c r="T296" s="69" t="str">
        <f t="shared" si="28"/>
        <v/>
      </c>
      <c r="U296" s="61" t="str">
        <f t="shared" si="29"/>
        <v/>
      </c>
      <c r="V296" s="116" t="str">
        <f t="shared" si="26"/>
        <v/>
      </c>
      <c r="W296" s="75" t="str">
        <f t="shared" si="27"/>
        <v/>
      </c>
    </row>
    <row r="297" spans="15:23" hidden="1">
      <c r="O297" s="65"/>
      <c r="Q297" s="69"/>
      <c r="R297" s="78"/>
      <c r="S297" s="79"/>
      <c r="T297" s="69" t="str">
        <f t="shared" si="28"/>
        <v/>
      </c>
      <c r="U297" s="61" t="str">
        <f t="shared" si="29"/>
        <v/>
      </c>
      <c r="V297" s="116" t="str">
        <f t="shared" si="26"/>
        <v/>
      </c>
      <c r="W297" s="75" t="str">
        <f t="shared" si="27"/>
        <v/>
      </c>
    </row>
    <row r="298" spans="15:23" hidden="1">
      <c r="O298" s="65"/>
      <c r="Q298" s="69"/>
      <c r="R298" s="78"/>
      <c r="S298" s="79"/>
      <c r="T298" s="69" t="str">
        <f t="shared" si="28"/>
        <v/>
      </c>
      <c r="U298" s="61" t="str">
        <f t="shared" si="29"/>
        <v/>
      </c>
      <c r="V298" s="116" t="str">
        <f t="shared" si="26"/>
        <v/>
      </c>
      <c r="W298" s="75" t="str">
        <f t="shared" si="27"/>
        <v/>
      </c>
    </row>
    <row r="299" spans="15:23" hidden="1">
      <c r="O299" s="65"/>
      <c r="Q299" s="69"/>
      <c r="R299" s="78"/>
      <c r="S299" s="79"/>
      <c r="T299" s="69" t="str">
        <f t="shared" si="28"/>
        <v/>
      </c>
      <c r="U299" s="61" t="str">
        <f t="shared" si="29"/>
        <v/>
      </c>
      <c r="V299" s="116" t="str">
        <f t="shared" si="26"/>
        <v/>
      </c>
      <c r="W299" s="75" t="str">
        <f t="shared" si="27"/>
        <v/>
      </c>
    </row>
    <row r="300" spans="15:23" hidden="1">
      <c r="O300" s="65"/>
      <c r="Q300" s="69"/>
      <c r="R300" s="78"/>
      <c r="S300" s="79"/>
      <c r="T300" s="69" t="str">
        <f t="shared" si="28"/>
        <v/>
      </c>
      <c r="U300" s="61" t="str">
        <f t="shared" si="29"/>
        <v/>
      </c>
      <c r="V300" s="116" t="str">
        <f t="shared" si="26"/>
        <v/>
      </c>
      <c r="W300" s="75" t="str">
        <f t="shared" si="27"/>
        <v/>
      </c>
    </row>
    <row r="301" spans="15:23" hidden="1">
      <c r="O301" s="65"/>
      <c r="Q301" s="69"/>
      <c r="R301" s="78"/>
      <c r="S301" s="79"/>
      <c r="T301" s="69" t="str">
        <f t="shared" si="28"/>
        <v/>
      </c>
      <c r="U301" s="61" t="str">
        <f t="shared" si="29"/>
        <v/>
      </c>
      <c r="V301" s="116" t="str">
        <f t="shared" si="26"/>
        <v/>
      </c>
      <c r="W301" s="75" t="str">
        <f t="shared" si="27"/>
        <v/>
      </c>
    </row>
    <row r="302" spans="15:23" hidden="1">
      <c r="O302" s="65"/>
      <c r="Q302" s="69"/>
      <c r="R302" s="78"/>
      <c r="S302" s="79"/>
      <c r="T302" s="69" t="str">
        <f t="shared" si="28"/>
        <v/>
      </c>
      <c r="U302" s="61" t="str">
        <f t="shared" si="29"/>
        <v/>
      </c>
      <c r="V302" s="116" t="str">
        <f t="shared" si="26"/>
        <v/>
      </c>
      <c r="W302" s="75" t="str">
        <f t="shared" si="27"/>
        <v/>
      </c>
    </row>
    <row r="303" spans="15:23" hidden="1">
      <c r="O303" s="65"/>
      <c r="Q303" s="69"/>
      <c r="R303" s="78"/>
      <c r="S303" s="79"/>
      <c r="T303" s="69" t="str">
        <f t="shared" si="28"/>
        <v/>
      </c>
      <c r="U303" s="61" t="str">
        <f t="shared" si="29"/>
        <v/>
      </c>
      <c r="V303" s="116" t="str">
        <f t="shared" si="26"/>
        <v/>
      </c>
      <c r="W303" s="75" t="str">
        <f t="shared" si="27"/>
        <v/>
      </c>
    </row>
    <row r="304" spans="15:23" hidden="1">
      <c r="O304" s="65"/>
      <c r="Q304" s="69"/>
      <c r="R304" s="78"/>
      <c r="S304" s="79"/>
      <c r="T304" s="69" t="str">
        <f t="shared" si="28"/>
        <v/>
      </c>
      <c r="U304" s="61" t="str">
        <f t="shared" si="29"/>
        <v/>
      </c>
      <c r="V304" s="116" t="str">
        <f t="shared" si="26"/>
        <v/>
      </c>
      <c r="W304" s="75" t="str">
        <f t="shared" si="27"/>
        <v/>
      </c>
    </row>
    <row r="305" spans="15:23" hidden="1">
      <c r="O305" s="65"/>
      <c r="Q305" s="69"/>
      <c r="R305" s="78"/>
      <c r="S305" s="79"/>
      <c r="T305" s="69" t="str">
        <f t="shared" si="28"/>
        <v/>
      </c>
      <c r="U305" s="61" t="str">
        <f t="shared" si="29"/>
        <v/>
      </c>
      <c r="V305" s="116" t="str">
        <f t="shared" si="26"/>
        <v/>
      </c>
      <c r="W305" s="75" t="str">
        <f t="shared" si="27"/>
        <v/>
      </c>
    </row>
    <row r="306" spans="15:23" hidden="1">
      <c r="O306" s="65"/>
      <c r="Q306" s="69"/>
      <c r="R306" s="78"/>
      <c r="S306" s="79"/>
      <c r="T306" s="69" t="str">
        <f t="shared" si="28"/>
        <v/>
      </c>
      <c r="U306" s="61" t="str">
        <f t="shared" si="29"/>
        <v/>
      </c>
      <c r="V306" s="116" t="str">
        <f t="shared" si="26"/>
        <v/>
      </c>
      <c r="W306" s="75" t="str">
        <f t="shared" si="27"/>
        <v/>
      </c>
    </row>
    <row r="307" spans="15:23" hidden="1">
      <c r="O307" s="65"/>
      <c r="Q307" s="69"/>
      <c r="R307" s="78"/>
      <c r="S307" s="79"/>
      <c r="T307" s="69" t="str">
        <f t="shared" si="28"/>
        <v/>
      </c>
      <c r="U307" s="61" t="str">
        <f t="shared" si="29"/>
        <v/>
      </c>
      <c r="V307" s="116" t="str">
        <f t="shared" si="26"/>
        <v/>
      </c>
      <c r="W307" s="75" t="str">
        <f t="shared" si="27"/>
        <v/>
      </c>
    </row>
    <row r="308" spans="15:23" hidden="1">
      <c r="O308" s="65"/>
      <c r="Q308" s="69"/>
      <c r="R308" s="78"/>
      <c r="S308" s="79"/>
      <c r="T308" s="69" t="str">
        <f t="shared" si="28"/>
        <v/>
      </c>
      <c r="U308" s="61" t="str">
        <f t="shared" si="29"/>
        <v/>
      </c>
      <c r="V308" s="116" t="str">
        <f t="shared" si="26"/>
        <v/>
      </c>
      <c r="W308" s="75" t="str">
        <f t="shared" si="27"/>
        <v/>
      </c>
    </row>
    <row r="309" spans="15:23" hidden="1">
      <c r="O309" s="65"/>
      <c r="Q309" s="69"/>
      <c r="R309" s="78"/>
      <c r="S309" s="79"/>
      <c r="T309" s="69" t="str">
        <f t="shared" si="28"/>
        <v/>
      </c>
      <c r="U309" s="61" t="str">
        <f t="shared" si="29"/>
        <v/>
      </c>
      <c r="V309" s="116" t="str">
        <f t="shared" si="26"/>
        <v/>
      </c>
      <c r="W309" s="75" t="str">
        <f t="shared" si="27"/>
        <v/>
      </c>
    </row>
    <row r="310" spans="15:23" hidden="1">
      <c r="O310" s="65"/>
      <c r="Q310" s="69"/>
      <c r="R310" s="78"/>
      <c r="S310" s="79"/>
      <c r="T310" s="69" t="str">
        <f t="shared" si="28"/>
        <v/>
      </c>
      <c r="U310" s="61" t="str">
        <f t="shared" si="29"/>
        <v/>
      </c>
      <c r="V310" s="116" t="str">
        <f t="shared" si="26"/>
        <v/>
      </c>
      <c r="W310" s="75" t="str">
        <f t="shared" si="27"/>
        <v/>
      </c>
    </row>
    <row r="311" spans="15:23" hidden="1">
      <c r="O311" s="65"/>
      <c r="Q311" s="69"/>
      <c r="R311" s="78"/>
      <c r="S311" s="79"/>
      <c r="T311" s="69" t="str">
        <f t="shared" si="28"/>
        <v/>
      </c>
      <c r="U311" s="61" t="str">
        <f t="shared" si="29"/>
        <v/>
      </c>
      <c r="V311" s="116" t="str">
        <f t="shared" si="26"/>
        <v/>
      </c>
      <c r="W311" s="75" t="str">
        <f t="shared" si="27"/>
        <v/>
      </c>
    </row>
    <row r="312" spans="15:23" hidden="1">
      <c r="O312" s="65"/>
      <c r="Q312" s="69"/>
      <c r="R312" s="78"/>
      <c r="S312" s="79"/>
      <c r="T312" s="69" t="str">
        <f t="shared" si="28"/>
        <v/>
      </c>
      <c r="U312" s="61" t="str">
        <f t="shared" si="29"/>
        <v/>
      </c>
      <c r="V312" s="116" t="str">
        <f t="shared" si="26"/>
        <v/>
      </c>
      <c r="W312" s="75" t="str">
        <f t="shared" si="27"/>
        <v/>
      </c>
    </row>
    <row r="313" spans="15:23" hidden="1">
      <c r="O313" s="65"/>
      <c r="Q313" s="69"/>
      <c r="R313" s="78"/>
      <c r="S313" s="79"/>
      <c r="T313" s="69" t="str">
        <f t="shared" si="28"/>
        <v/>
      </c>
      <c r="U313" s="61" t="str">
        <f t="shared" si="29"/>
        <v/>
      </c>
      <c r="V313" s="116" t="str">
        <f t="shared" si="26"/>
        <v/>
      </c>
      <c r="W313" s="75" t="str">
        <f t="shared" si="27"/>
        <v/>
      </c>
    </row>
    <row r="314" spans="15:23" hidden="1">
      <c r="O314" s="65"/>
      <c r="Q314" s="69"/>
      <c r="R314" s="78"/>
      <c r="S314" s="79"/>
      <c r="T314" s="69" t="str">
        <f t="shared" si="28"/>
        <v/>
      </c>
      <c r="U314" s="61" t="str">
        <f t="shared" si="29"/>
        <v/>
      </c>
      <c r="V314" s="116" t="str">
        <f t="shared" si="26"/>
        <v/>
      </c>
      <c r="W314" s="75" t="str">
        <f t="shared" si="27"/>
        <v/>
      </c>
    </row>
    <row r="315" spans="15:23" hidden="1">
      <c r="O315" s="65"/>
      <c r="Q315" s="69"/>
      <c r="R315" s="78"/>
      <c r="S315" s="79"/>
      <c r="T315" s="69" t="str">
        <f t="shared" si="28"/>
        <v/>
      </c>
      <c r="U315" s="61" t="str">
        <f t="shared" si="29"/>
        <v/>
      </c>
      <c r="V315" s="116" t="str">
        <f t="shared" si="26"/>
        <v/>
      </c>
      <c r="W315" s="75" t="str">
        <f t="shared" si="27"/>
        <v/>
      </c>
    </row>
    <row r="316" spans="15:23" hidden="1">
      <c r="O316" s="65"/>
      <c r="Q316" s="69"/>
      <c r="R316" s="78"/>
      <c r="S316" s="79"/>
      <c r="T316" s="69" t="str">
        <f t="shared" si="28"/>
        <v/>
      </c>
      <c r="U316" s="61" t="str">
        <f t="shared" si="29"/>
        <v/>
      </c>
      <c r="V316" s="116" t="str">
        <f t="shared" si="26"/>
        <v/>
      </c>
      <c r="W316" s="75" t="str">
        <f t="shared" si="27"/>
        <v/>
      </c>
    </row>
    <row r="317" spans="15:23" hidden="1">
      <c r="O317" s="65"/>
      <c r="Q317" s="69"/>
      <c r="R317" s="78"/>
      <c r="S317" s="79"/>
      <c r="T317" s="69" t="str">
        <f t="shared" si="28"/>
        <v/>
      </c>
      <c r="U317" s="61" t="str">
        <f t="shared" si="29"/>
        <v/>
      </c>
      <c r="V317" s="116" t="str">
        <f t="shared" si="26"/>
        <v/>
      </c>
      <c r="W317" s="75" t="str">
        <f t="shared" si="27"/>
        <v/>
      </c>
    </row>
    <row r="318" spans="15:23" hidden="1">
      <c r="O318" s="65"/>
      <c r="Q318" s="69"/>
      <c r="R318" s="78"/>
      <c r="S318" s="79"/>
      <c r="T318" s="69" t="str">
        <f t="shared" si="28"/>
        <v/>
      </c>
      <c r="U318" s="61" t="str">
        <f t="shared" si="29"/>
        <v/>
      </c>
      <c r="V318" s="116" t="str">
        <f t="shared" si="26"/>
        <v/>
      </c>
      <c r="W318" s="75" t="str">
        <f t="shared" si="27"/>
        <v/>
      </c>
    </row>
    <row r="319" spans="15:23" hidden="1">
      <c r="O319" s="65"/>
      <c r="Q319" s="69"/>
      <c r="R319" s="78"/>
      <c r="S319" s="79"/>
      <c r="T319" s="69" t="str">
        <f t="shared" si="28"/>
        <v/>
      </c>
      <c r="U319" s="61" t="str">
        <f t="shared" si="29"/>
        <v/>
      </c>
      <c r="V319" s="116" t="str">
        <f t="shared" si="26"/>
        <v/>
      </c>
      <c r="W319" s="75" t="str">
        <f t="shared" si="27"/>
        <v/>
      </c>
    </row>
    <row r="320" spans="15:23" hidden="1">
      <c r="O320" s="65"/>
      <c r="Q320" s="69"/>
      <c r="R320" s="78"/>
      <c r="S320" s="79"/>
      <c r="T320" s="69" t="str">
        <f t="shared" si="28"/>
        <v/>
      </c>
      <c r="U320" s="61" t="str">
        <f t="shared" si="29"/>
        <v/>
      </c>
      <c r="V320" s="116" t="str">
        <f t="shared" si="26"/>
        <v/>
      </c>
      <c r="W320" s="75" t="str">
        <f t="shared" si="27"/>
        <v/>
      </c>
    </row>
    <row r="321" spans="15:23" hidden="1">
      <c r="O321" s="65"/>
      <c r="Q321" s="69"/>
      <c r="R321" s="78"/>
      <c r="S321" s="79"/>
      <c r="T321" s="69" t="str">
        <f t="shared" si="28"/>
        <v/>
      </c>
      <c r="U321" s="61" t="str">
        <f t="shared" si="29"/>
        <v/>
      </c>
      <c r="V321" s="116" t="str">
        <f t="shared" si="26"/>
        <v/>
      </c>
      <c r="W321" s="75" t="str">
        <f t="shared" si="27"/>
        <v/>
      </c>
    </row>
    <row r="322" spans="15:23" hidden="1">
      <c r="O322" s="65"/>
      <c r="Q322" s="69"/>
      <c r="R322" s="78"/>
      <c r="S322" s="79"/>
      <c r="T322" s="69" t="str">
        <f t="shared" si="28"/>
        <v/>
      </c>
      <c r="U322" s="61" t="str">
        <f t="shared" si="29"/>
        <v/>
      </c>
      <c r="V322" s="116" t="str">
        <f t="shared" si="26"/>
        <v/>
      </c>
      <c r="W322" s="75" t="str">
        <f t="shared" si="27"/>
        <v/>
      </c>
    </row>
    <row r="323" spans="15:23" hidden="1">
      <c r="O323" s="65"/>
      <c r="Q323" s="69"/>
      <c r="R323" s="78"/>
      <c r="S323" s="79"/>
      <c r="T323" s="69" t="str">
        <f t="shared" si="28"/>
        <v/>
      </c>
      <c r="U323" s="61" t="str">
        <f t="shared" si="29"/>
        <v/>
      </c>
      <c r="V323" s="116" t="str">
        <f t="shared" si="26"/>
        <v/>
      </c>
      <c r="W323" s="75" t="str">
        <f t="shared" si="27"/>
        <v/>
      </c>
    </row>
    <row r="324" spans="15:23" hidden="1">
      <c r="O324" s="65"/>
      <c r="Q324" s="69"/>
      <c r="R324" s="78"/>
      <c r="S324" s="79"/>
      <c r="T324" s="69" t="str">
        <f t="shared" si="28"/>
        <v/>
      </c>
      <c r="U324" s="61" t="str">
        <f t="shared" si="29"/>
        <v/>
      </c>
      <c r="V324" s="116" t="str">
        <f t="shared" si="26"/>
        <v/>
      </c>
      <c r="W324" s="75" t="str">
        <f t="shared" si="27"/>
        <v/>
      </c>
    </row>
    <row r="325" spans="15:23" hidden="1">
      <c r="O325" s="65"/>
      <c r="Q325" s="69"/>
      <c r="R325" s="78"/>
      <c r="S325" s="79"/>
      <c r="T325" s="69" t="str">
        <f t="shared" si="28"/>
        <v/>
      </c>
      <c r="U325" s="61" t="str">
        <f t="shared" si="29"/>
        <v/>
      </c>
      <c r="V325" s="116" t="str">
        <f t="shared" si="26"/>
        <v/>
      </c>
      <c r="W325" s="75" t="str">
        <f t="shared" si="27"/>
        <v/>
      </c>
    </row>
    <row r="326" spans="15:23" hidden="1">
      <c r="O326" s="65"/>
      <c r="Q326" s="69"/>
      <c r="R326" s="78"/>
      <c r="S326" s="79"/>
      <c r="T326" s="69" t="str">
        <f t="shared" si="28"/>
        <v/>
      </c>
      <c r="U326" s="61" t="str">
        <f t="shared" si="29"/>
        <v/>
      </c>
      <c r="V326" s="116" t="str">
        <f t="shared" si="26"/>
        <v/>
      </c>
      <c r="W326" s="75" t="str">
        <f t="shared" si="27"/>
        <v/>
      </c>
    </row>
    <row r="327" spans="15:23" hidden="1">
      <c r="O327" s="65"/>
      <c r="Q327" s="69"/>
      <c r="R327" s="78"/>
      <c r="S327" s="79"/>
      <c r="T327" s="69" t="str">
        <f t="shared" si="28"/>
        <v/>
      </c>
      <c r="U327" s="61" t="str">
        <f t="shared" si="29"/>
        <v/>
      </c>
      <c r="V327" s="116" t="str">
        <f t="shared" si="26"/>
        <v/>
      </c>
      <c r="W327" s="75" t="str">
        <f t="shared" si="27"/>
        <v/>
      </c>
    </row>
    <row r="328" spans="15:23" hidden="1">
      <c r="O328" s="65"/>
      <c r="Q328" s="69"/>
      <c r="R328" s="78"/>
      <c r="S328" s="79"/>
      <c r="T328" s="69" t="str">
        <f t="shared" si="28"/>
        <v/>
      </c>
      <c r="U328" s="61" t="str">
        <f t="shared" si="29"/>
        <v/>
      </c>
      <c r="V328" s="116" t="str">
        <f t="shared" si="26"/>
        <v/>
      </c>
      <c r="W328" s="75" t="str">
        <f t="shared" si="27"/>
        <v/>
      </c>
    </row>
    <row r="329" spans="15:23" hidden="1">
      <c r="O329" s="65"/>
      <c r="Q329" s="69"/>
      <c r="R329" s="78"/>
      <c r="S329" s="79"/>
      <c r="T329" s="69" t="str">
        <f t="shared" si="28"/>
        <v/>
      </c>
      <c r="U329" s="61" t="str">
        <f t="shared" si="29"/>
        <v/>
      </c>
      <c r="V329" s="116" t="str">
        <f t="shared" ref="V329:V363" si="30">IFERROR(IF(VLOOKUP(T329,$Q$8:$Q$363,1,FALSE)&gt;0,1,""),"")</f>
        <v/>
      </c>
      <c r="W329" s="75" t="str">
        <f t="shared" ref="W329:W363" si="31">IF(U329="","",U329*1.5-0.2)</f>
        <v/>
      </c>
    </row>
    <row r="330" spans="15:23" hidden="1">
      <c r="O330" s="65"/>
      <c r="Q330" s="69"/>
      <c r="R330" s="78"/>
      <c r="S330" s="79"/>
      <c r="T330" s="69" t="str">
        <f t="shared" si="28"/>
        <v/>
      </c>
      <c r="U330" s="61" t="str">
        <f t="shared" si="29"/>
        <v/>
      </c>
      <c r="V330" s="116" t="str">
        <f t="shared" si="30"/>
        <v/>
      </c>
      <c r="W330" s="75" t="str">
        <f t="shared" si="31"/>
        <v/>
      </c>
    </row>
    <row r="331" spans="15:23" hidden="1">
      <c r="O331" s="65"/>
      <c r="Q331" s="69"/>
      <c r="R331" s="78"/>
      <c r="S331" s="79"/>
      <c r="T331" s="69" t="str">
        <f t="shared" si="28"/>
        <v/>
      </c>
      <c r="U331" s="61" t="str">
        <f t="shared" si="29"/>
        <v/>
      </c>
      <c r="V331" s="116" t="str">
        <f t="shared" si="30"/>
        <v/>
      </c>
      <c r="W331" s="75" t="str">
        <f t="shared" si="31"/>
        <v/>
      </c>
    </row>
    <row r="332" spans="15:23" hidden="1">
      <c r="O332" s="65"/>
      <c r="Q332" s="69"/>
      <c r="R332" s="78"/>
      <c r="S332" s="79"/>
      <c r="T332" s="69" t="str">
        <f t="shared" si="28"/>
        <v/>
      </c>
      <c r="U332" s="61" t="str">
        <f t="shared" si="29"/>
        <v/>
      </c>
      <c r="V332" s="116" t="str">
        <f t="shared" si="30"/>
        <v/>
      </c>
      <c r="W332" s="75" t="str">
        <f t="shared" si="31"/>
        <v/>
      </c>
    </row>
    <row r="333" spans="15:23" hidden="1">
      <c r="O333" s="65"/>
      <c r="Q333" s="69"/>
      <c r="R333" s="78"/>
      <c r="S333" s="79"/>
      <c r="T333" s="69" t="str">
        <f t="shared" si="28"/>
        <v/>
      </c>
      <c r="U333" s="61" t="str">
        <f t="shared" si="29"/>
        <v/>
      </c>
      <c r="V333" s="116" t="str">
        <f t="shared" si="30"/>
        <v/>
      </c>
      <c r="W333" s="75" t="str">
        <f t="shared" si="31"/>
        <v/>
      </c>
    </row>
    <row r="334" spans="15:23" hidden="1">
      <c r="O334" s="65"/>
      <c r="Q334" s="69"/>
      <c r="R334" s="78"/>
      <c r="S334" s="79"/>
      <c r="T334" s="69" t="str">
        <f t="shared" si="28"/>
        <v/>
      </c>
      <c r="U334" s="61" t="str">
        <f t="shared" si="29"/>
        <v/>
      </c>
      <c r="V334" s="116" t="str">
        <f t="shared" si="30"/>
        <v/>
      </c>
      <c r="W334" s="75" t="str">
        <f t="shared" si="31"/>
        <v/>
      </c>
    </row>
    <row r="335" spans="15:23" hidden="1">
      <c r="O335" s="65"/>
      <c r="Q335" s="69"/>
      <c r="R335" s="78"/>
      <c r="S335" s="79"/>
      <c r="T335" s="69" t="str">
        <f t="shared" si="28"/>
        <v/>
      </c>
      <c r="U335" s="61" t="str">
        <f t="shared" si="29"/>
        <v/>
      </c>
      <c r="V335" s="116" t="str">
        <f t="shared" si="30"/>
        <v/>
      </c>
      <c r="W335" s="75" t="str">
        <f t="shared" si="31"/>
        <v/>
      </c>
    </row>
    <row r="336" spans="15:23" hidden="1">
      <c r="O336" s="65"/>
      <c r="Q336" s="69"/>
      <c r="R336" s="78"/>
      <c r="S336" s="79"/>
      <c r="T336" s="69" t="str">
        <f t="shared" si="28"/>
        <v/>
      </c>
      <c r="U336" s="61" t="str">
        <f t="shared" si="29"/>
        <v/>
      </c>
      <c r="V336" s="116" t="str">
        <f t="shared" si="30"/>
        <v/>
      </c>
      <c r="W336" s="75" t="str">
        <f t="shared" si="31"/>
        <v/>
      </c>
    </row>
    <row r="337" spans="15:23" hidden="1">
      <c r="O337" s="65"/>
      <c r="Q337" s="69"/>
      <c r="R337" s="78"/>
      <c r="S337" s="79"/>
      <c r="T337" s="69" t="str">
        <f t="shared" si="28"/>
        <v/>
      </c>
      <c r="U337" s="61" t="str">
        <f t="shared" si="29"/>
        <v/>
      </c>
      <c r="V337" s="116" t="str">
        <f t="shared" si="30"/>
        <v/>
      </c>
      <c r="W337" s="75" t="str">
        <f t="shared" si="31"/>
        <v/>
      </c>
    </row>
    <row r="338" spans="15:23" hidden="1">
      <c r="O338" s="65"/>
      <c r="Q338" s="69"/>
      <c r="R338" s="78"/>
      <c r="S338" s="79"/>
      <c r="T338" s="69" t="str">
        <f t="shared" si="28"/>
        <v/>
      </c>
      <c r="U338" s="61" t="str">
        <f t="shared" si="29"/>
        <v/>
      </c>
      <c r="V338" s="116" t="str">
        <f t="shared" si="30"/>
        <v/>
      </c>
      <c r="W338" s="75" t="str">
        <f t="shared" si="31"/>
        <v/>
      </c>
    </row>
    <row r="339" spans="15:23" hidden="1">
      <c r="O339" s="65"/>
      <c r="Q339" s="69"/>
      <c r="R339" s="78"/>
      <c r="S339" s="79"/>
      <c r="T339" s="69" t="str">
        <f t="shared" si="28"/>
        <v/>
      </c>
      <c r="U339" s="61" t="str">
        <f t="shared" si="29"/>
        <v/>
      </c>
      <c r="V339" s="116" t="str">
        <f t="shared" si="30"/>
        <v/>
      </c>
      <c r="W339" s="75" t="str">
        <f t="shared" si="31"/>
        <v/>
      </c>
    </row>
    <row r="340" spans="15:23" hidden="1">
      <c r="O340" s="65"/>
      <c r="Q340" s="69"/>
      <c r="R340" s="78"/>
      <c r="S340" s="79"/>
      <c r="T340" s="69" t="str">
        <f t="shared" si="28"/>
        <v/>
      </c>
      <c r="U340" s="61" t="str">
        <f t="shared" si="29"/>
        <v/>
      </c>
      <c r="V340" s="116" t="str">
        <f t="shared" si="30"/>
        <v/>
      </c>
      <c r="W340" s="75" t="str">
        <f t="shared" si="31"/>
        <v/>
      </c>
    </row>
    <row r="341" spans="15:23" hidden="1">
      <c r="O341" s="65"/>
      <c r="Q341" s="69"/>
      <c r="R341" s="78"/>
      <c r="S341" s="79"/>
      <c r="T341" s="69" t="str">
        <f t="shared" si="28"/>
        <v/>
      </c>
      <c r="U341" s="61" t="str">
        <f t="shared" si="29"/>
        <v/>
      </c>
      <c r="V341" s="116" t="str">
        <f t="shared" si="30"/>
        <v/>
      </c>
      <c r="W341" s="75" t="str">
        <f t="shared" si="31"/>
        <v/>
      </c>
    </row>
    <row r="342" spans="15:23" hidden="1">
      <c r="O342" s="65"/>
      <c r="Q342" s="69"/>
      <c r="R342" s="78"/>
      <c r="S342" s="79"/>
      <c r="T342" s="69" t="str">
        <f t="shared" si="28"/>
        <v/>
      </c>
      <c r="U342" s="61" t="str">
        <f t="shared" si="29"/>
        <v/>
      </c>
      <c r="V342" s="116" t="str">
        <f t="shared" si="30"/>
        <v/>
      </c>
      <c r="W342" s="75" t="str">
        <f t="shared" si="31"/>
        <v/>
      </c>
    </row>
    <row r="343" spans="15:23" hidden="1">
      <c r="O343" s="65"/>
      <c r="Q343" s="69"/>
      <c r="R343" s="78"/>
      <c r="S343" s="79"/>
      <c r="T343" s="69" t="str">
        <f t="shared" si="28"/>
        <v/>
      </c>
      <c r="U343" s="61" t="str">
        <f t="shared" si="29"/>
        <v/>
      </c>
      <c r="V343" s="116" t="str">
        <f t="shared" si="30"/>
        <v/>
      </c>
      <c r="W343" s="75" t="str">
        <f t="shared" si="31"/>
        <v/>
      </c>
    </row>
    <row r="344" spans="15:23" hidden="1">
      <c r="O344" s="65"/>
      <c r="Q344" s="69"/>
      <c r="R344" s="78"/>
      <c r="S344" s="79"/>
      <c r="T344" s="69" t="str">
        <f t="shared" si="28"/>
        <v/>
      </c>
      <c r="U344" s="61" t="str">
        <f t="shared" si="29"/>
        <v/>
      </c>
      <c r="V344" s="116" t="str">
        <f t="shared" si="30"/>
        <v/>
      </c>
      <c r="W344" s="75" t="str">
        <f t="shared" si="31"/>
        <v/>
      </c>
    </row>
    <row r="345" spans="15:23" hidden="1">
      <c r="O345" s="65"/>
      <c r="Q345" s="69"/>
      <c r="R345" s="78"/>
      <c r="S345" s="79"/>
      <c r="T345" s="69" t="str">
        <f t="shared" si="28"/>
        <v/>
      </c>
      <c r="U345" s="61" t="str">
        <f t="shared" si="29"/>
        <v/>
      </c>
      <c r="V345" s="116" t="str">
        <f t="shared" si="30"/>
        <v/>
      </c>
      <c r="W345" s="75" t="str">
        <f t="shared" si="31"/>
        <v/>
      </c>
    </row>
    <row r="346" spans="15:23" hidden="1">
      <c r="O346" s="65"/>
      <c r="Q346" s="69"/>
      <c r="R346" s="78"/>
      <c r="S346" s="79"/>
      <c r="T346" s="69" t="str">
        <f t="shared" si="28"/>
        <v/>
      </c>
      <c r="U346" s="61" t="str">
        <f t="shared" si="29"/>
        <v/>
      </c>
      <c r="V346" s="116" t="str">
        <f t="shared" si="30"/>
        <v/>
      </c>
      <c r="W346" s="75" t="str">
        <f t="shared" si="31"/>
        <v/>
      </c>
    </row>
    <row r="347" spans="15:23" hidden="1">
      <c r="O347" s="65"/>
      <c r="Q347" s="69"/>
      <c r="R347" s="78"/>
      <c r="S347" s="79"/>
      <c r="T347" s="69" t="str">
        <f t="shared" si="28"/>
        <v/>
      </c>
      <c r="U347" s="61" t="str">
        <f t="shared" si="29"/>
        <v/>
      </c>
      <c r="V347" s="116" t="str">
        <f t="shared" si="30"/>
        <v/>
      </c>
      <c r="W347" s="75" t="str">
        <f t="shared" si="31"/>
        <v/>
      </c>
    </row>
    <row r="348" spans="15:23" hidden="1">
      <c r="O348" s="65"/>
      <c r="Q348" s="69"/>
      <c r="R348" s="78"/>
      <c r="S348" s="79"/>
      <c r="T348" s="69" t="str">
        <f t="shared" si="28"/>
        <v/>
      </c>
      <c r="U348" s="61" t="str">
        <f t="shared" si="29"/>
        <v/>
      </c>
      <c r="V348" s="116" t="str">
        <f t="shared" si="30"/>
        <v/>
      </c>
      <c r="W348" s="75" t="str">
        <f t="shared" si="31"/>
        <v/>
      </c>
    </row>
    <row r="349" spans="15:23" hidden="1">
      <c r="O349" s="65"/>
      <c r="Q349" s="69"/>
      <c r="R349" s="78"/>
      <c r="S349" s="79"/>
      <c r="T349" s="69" t="str">
        <f t="shared" si="28"/>
        <v/>
      </c>
      <c r="U349" s="61" t="str">
        <f t="shared" si="29"/>
        <v/>
      </c>
      <c r="V349" s="116" t="str">
        <f t="shared" si="30"/>
        <v/>
      </c>
      <c r="W349" s="75" t="str">
        <f t="shared" si="31"/>
        <v/>
      </c>
    </row>
    <row r="350" spans="15:23" hidden="1">
      <c r="O350" s="65"/>
      <c r="Q350" s="69"/>
      <c r="R350" s="78"/>
      <c r="S350" s="79"/>
      <c r="T350" s="69" t="str">
        <f t="shared" si="28"/>
        <v/>
      </c>
      <c r="U350" s="61" t="str">
        <f t="shared" si="29"/>
        <v/>
      </c>
      <c r="V350" s="116" t="str">
        <f t="shared" si="30"/>
        <v/>
      </c>
      <c r="W350" s="75" t="str">
        <f t="shared" si="31"/>
        <v/>
      </c>
    </row>
    <row r="351" spans="15:23" hidden="1">
      <c r="O351" s="65"/>
      <c r="Q351" s="69"/>
      <c r="R351" s="78"/>
      <c r="S351" s="79"/>
      <c r="T351" s="69" t="str">
        <f t="shared" si="28"/>
        <v/>
      </c>
      <c r="U351" s="61" t="str">
        <f t="shared" si="29"/>
        <v/>
      </c>
      <c r="V351" s="116" t="str">
        <f t="shared" si="30"/>
        <v/>
      </c>
      <c r="W351" s="75" t="str">
        <f t="shared" si="31"/>
        <v/>
      </c>
    </row>
    <row r="352" spans="15:23" hidden="1">
      <c r="O352" s="65"/>
      <c r="Q352" s="69"/>
      <c r="R352" s="78"/>
      <c r="S352" s="79"/>
      <c r="T352" s="69" t="str">
        <f t="shared" si="28"/>
        <v/>
      </c>
      <c r="U352" s="61" t="str">
        <f t="shared" si="29"/>
        <v/>
      </c>
      <c r="V352" s="116" t="str">
        <f t="shared" si="30"/>
        <v/>
      </c>
      <c r="W352" s="75" t="str">
        <f t="shared" si="31"/>
        <v/>
      </c>
    </row>
    <row r="353" spans="15:23" hidden="1">
      <c r="O353" s="65"/>
      <c r="Q353" s="69"/>
      <c r="R353" s="78"/>
      <c r="S353" s="79"/>
      <c r="T353" s="69" t="str">
        <f t="shared" si="28"/>
        <v/>
      </c>
      <c r="U353" s="61" t="str">
        <f t="shared" si="29"/>
        <v/>
      </c>
      <c r="V353" s="116" t="str">
        <f t="shared" si="30"/>
        <v/>
      </c>
      <c r="W353" s="75" t="str">
        <f t="shared" si="31"/>
        <v/>
      </c>
    </row>
    <row r="354" spans="15:23" hidden="1">
      <c r="O354" s="65"/>
      <c r="Q354" s="69"/>
      <c r="R354" s="78"/>
      <c r="S354" s="79"/>
      <c r="T354" s="69" t="str">
        <f t="shared" si="28"/>
        <v/>
      </c>
      <c r="U354" s="61" t="str">
        <f t="shared" si="29"/>
        <v/>
      </c>
      <c r="V354" s="116" t="str">
        <f t="shared" si="30"/>
        <v/>
      </c>
      <c r="W354" s="75" t="str">
        <f t="shared" si="31"/>
        <v/>
      </c>
    </row>
    <row r="355" spans="15:23" hidden="1">
      <c r="O355" s="65"/>
      <c r="Q355" s="69"/>
      <c r="R355" s="78"/>
      <c r="S355" s="79"/>
      <c r="T355" s="69" t="str">
        <f t="shared" si="28"/>
        <v/>
      </c>
      <c r="U355" s="61" t="str">
        <f t="shared" si="29"/>
        <v/>
      </c>
      <c r="V355" s="116" t="str">
        <f t="shared" si="30"/>
        <v/>
      </c>
      <c r="W355" s="75" t="str">
        <f t="shared" si="31"/>
        <v/>
      </c>
    </row>
    <row r="356" spans="15:23" hidden="1">
      <c r="O356" s="65"/>
      <c r="Q356" s="69"/>
      <c r="R356" s="78"/>
      <c r="S356" s="79"/>
      <c r="T356" s="69" t="str">
        <f t="shared" si="28"/>
        <v/>
      </c>
      <c r="U356" s="61" t="str">
        <f t="shared" si="29"/>
        <v/>
      </c>
      <c r="V356" s="116" t="str">
        <f t="shared" si="30"/>
        <v/>
      </c>
      <c r="W356" s="75" t="str">
        <f t="shared" si="31"/>
        <v/>
      </c>
    </row>
    <row r="357" spans="15:23" hidden="1">
      <c r="O357" s="65"/>
      <c r="Q357" s="69"/>
      <c r="R357" s="78"/>
      <c r="S357" s="79"/>
      <c r="T357" s="69" t="str">
        <f t="shared" si="28"/>
        <v/>
      </c>
      <c r="U357" s="61" t="str">
        <f t="shared" si="29"/>
        <v/>
      </c>
      <c r="V357" s="116" t="str">
        <f t="shared" si="30"/>
        <v/>
      </c>
      <c r="W357" s="75" t="str">
        <f t="shared" si="31"/>
        <v/>
      </c>
    </row>
    <row r="358" spans="15:23" hidden="1">
      <c r="O358" s="65"/>
      <c r="Q358" s="69"/>
      <c r="R358" s="78"/>
      <c r="S358" s="79"/>
      <c r="T358" s="69" t="str">
        <f t="shared" si="28"/>
        <v/>
      </c>
      <c r="U358" s="61" t="str">
        <f t="shared" si="29"/>
        <v/>
      </c>
      <c r="V358" s="116" t="str">
        <f t="shared" si="30"/>
        <v/>
      </c>
      <c r="W358" s="75" t="str">
        <f t="shared" si="31"/>
        <v/>
      </c>
    </row>
    <row r="359" spans="15:23" hidden="1">
      <c r="O359" s="65"/>
      <c r="Q359" s="69"/>
      <c r="R359" s="78"/>
      <c r="S359" s="79"/>
      <c r="T359" s="69" t="str">
        <f>IF(T358="","",IF(MAX($Q$8:$Q$50)&gt;=(T358+1),T358+1,""))</f>
        <v/>
      </c>
      <c r="U359" s="61" t="str">
        <f>IF(T359="","",IF(ISERROR(VLOOKUP($T359,$Q$8:$S$40,2,FALSE)),U358+VLOOKUP($T359,$Q$8:$S$40,3,TRUE),VLOOKUP($T359,$Q$8:$S$40,2,FALSE)))</f>
        <v/>
      </c>
      <c r="V359" s="116" t="str">
        <f t="shared" si="30"/>
        <v/>
      </c>
      <c r="W359" s="75" t="str">
        <f t="shared" si="31"/>
        <v/>
      </c>
    </row>
    <row r="360" spans="15:23" hidden="1">
      <c r="O360" s="65"/>
      <c r="Q360" s="69"/>
      <c r="R360" s="78"/>
      <c r="S360" s="79"/>
      <c r="T360" s="69" t="str">
        <f>IF(T359="","",IF(MAX($Q$8:$Q$50)&gt;=(T359+1),T359+1,""))</f>
        <v/>
      </c>
      <c r="U360" s="61" t="str">
        <f>IF(T360="","",IF(ISERROR(VLOOKUP($T360,$Q$8:$S$40,2,FALSE)),U359+VLOOKUP($T360,$Q$8:$S$40,3,TRUE),VLOOKUP($T360,$Q$8:$S$40,2,FALSE)))</f>
        <v/>
      </c>
      <c r="V360" s="116" t="str">
        <f t="shared" si="30"/>
        <v/>
      </c>
      <c r="W360" s="75" t="str">
        <f t="shared" si="31"/>
        <v/>
      </c>
    </row>
    <row r="361" spans="15:23" hidden="1">
      <c r="O361" s="65"/>
      <c r="Q361" s="69"/>
      <c r="R361" s="78"/>
      <c r="S361" s="79"/>
      <c r="T361" s="69" t="str">
        <f>IF(T360="","",IF(MAX($Q$8:$Q$50)&gt;=(T360+1),T360+1,""))</f>
        <v/>
      </c>
      <c r="U361" s="61" t="str">
        <f>IF(T361="","",IF(ISERROR(VLOOKUP($T361,$Q$8:$S$40,2,FALSE)),U360+VLOOKUP($T361,$Q$8:$S$40,3,TRUE),VLOOKUP($T361,$Q$8:$S$40,2,FALSE)))</f>
        <v/>
      </c>
      <c r="V361" s="116" t="str">
        <f t="shared" si="30"/>
        <v/>
      </c>
      <c r="W361" s="75" t="str">
        <f t="shared" si="31"/>
        <v/>
      </c>
    </row>
    <row r="362" spans="15:23" hidden="1">
      <c r="O362" s="65"/>
      <c r="Q362" s="69"/>
      <c r="R362" s="78"/>
      <c r="S362" s="79"/>
      <c r="T362" s="69" t="str">
        <f>IF(T361="","",IF(MAX($Q$8:$Q$50)&gt;=(T361+1),T361+1,""))</f>
        <v/>
      </c>
      <c r="U362" s="61" t="str">
        <f>IF(T362="","",IF(ISERROR(VLOOKUP($T362,$Q$8:$S$40,2,FALSE)),U361+VLOOKUP($T362,$Q$8:$S$40,3,TRUE),VLOOKUP($T362,$Q$8:$S$40,2,FALSE)))</f>
        <v/>
      </c>
      <c r="V362" s="116" t="str">
        <f t="shared" si="30"/>
        <v/>
      </c>
      <c r="W362" s="75" t="str">
        <f t="shared" si="31"/>
        <v/>
      </c>
    </row>
    <row r="363" spans="15:23" hidden="1">
      <c r="O363" s="65"/>
      <c r="Q363" s="69"/>
      <c r="R363" s="78"/>
      <c r="S363" s="79"/>
      <c r="T363" s="69" t="str">
        <f>IF(T362="","",IF(MAX($Q$8:$Q$50)&gt;=(T362+1),T362+1,""))</f>
        <v/>
      </c>
      <c r="U363" s="61" t="str">
        <f>IF(T363="","",IF(ISERROR(VLOOKUP($T363,$Q$8:$S$40,2,FALSE)),U362+VLOOKUP($T363,$Q$8:$S$40,3,TRUE),VLOOKUP($T363,$Q$8:$S$40,2,FALSE)))</f>
        <v/>
      </c>
      <c r="V363" s="116" t="str">
        <f t="shared" si="30"/>
        <v/>
      </c>
      <c r="W363" s="75" t="str">
        <f t="shared" si="31"/>
        <v/>
      </c>
    </row>
  </sheetData>
  <mergeCells count="1">
    <mergeCell ref="A4:J4"/>
  </mergeCells>
  <conditionalFormatting sqref="V8:V363">
    <cfRule type="cellIs" dxfId="10" priority="1" operator="equal">
      <formula>1</formula>
    </cfRule>
  </conditionalFormatting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8">
    <tabColor theme="4" tint="0.59999389629810485"/>
  </sheetPr>
  <dimension ref="A1:Q88"/>
  <sheetViews>
    <sheetView workbookViewId="0">
      <selection activeCell="A3" sqref="A3"/>
    </sheetView>
  </sheetViews>
  <sheetFormatPr baseColWidth="10" defaultColWidth="11.42578125" defaultRowHeight="15"/>
  <cols>
    <col min="1" max="1" width="17.5703125" style="116" bestFit="1" customWidth="1"/>
    <col min="2" max="2" width="22.7109375" style="116" bestFit="1" customWidth="1"/>
    <col min="3" max="3" width="15" style="116" bestFit="1" customWidth="1"/>
    <col min="4" max="4" width="12.7109375" style="116" bestFit="1" customWidth="1"/>
    <col min="5" max="5" width="18.85546875" style="116" bestFit="1" customWidth="1"/>
    <col min="6" max="6" width="15.85546875" style="116" bestFit="1" customWidth="1"/>
    <col min="7" max="7" width="16.85546875" style="116" bestFit="1" customWidth="1"/>
    <col min="8" max="8" width="20.85546875" style="116" bestFit="1" customWidth="1"/>
    <col min="9" max="9" width="24.42578125" style="116" bestFit="1" customWidth="1"/>
    <col min="10" max="10" width="16.140625" style="116" bestFit="1" customWidth="1"/>
    <col min="11" max="11" width="17.42578125" style="116" bestFit="1" customWidth="1"/>
    <col min="12" max="12" width="19.5703125" style="116" bestFit="1" customWidth="1"/>
    <col min="13" max="13" width="17.42578125" style="116" bestFit="1" customWidth="1"/>
    <col min="14" max="14" width="18.28515625" style="116" bestFit="1" customWidth="1"/>
    <col min="15" max="15" width="21.7109375" style="116" bestFit="1" customWidth="1"/>
    <col min="16" max="17" width="25.5703125" style="116" bestFit="1" customWidth="1"/>
    <col min="18" max="95" width="9.42578125" style="116" bestFit="1" customWidth="1"/>
    <col min="96" max="96" width="11" style="116" bestFit="1" customWidth="1"/>
    <col min="97" max="97" width="12.5703125" style="116" bestFit="1" customWidth="1"/>
    <col min="98" max="16384" width="11.42578125" style="116"/>
  </cols>
  <sheetData>
    <row r="1" spans="1:17">
      <c r="A1" s="116">
        <v>1</v>
      </c>
      <c r="B1" s="116">
        <v>2</v>
      </c>
      <c r="C1" s="116">
        <v>3</v>
      </c>
      <c r="D1" s="116">
        <v>4</v>
      </c>
      <c r="E1" s="116">
        <v>5</v>
      </c>
      <c r="F1" s="116">
        <v>6</v>
      </c>
      <c r="G1" s="116">
        <v>7</v>
      </c>
      <c r="H1" s="116">
        <v>8</v>
      </c>
      <c r="I1" s="116">
        <v>9</v>
      </c>
      <c r="J1" s="116">
        <v>10</v>
      </c>
      <c r="K1" s="116">
        <v>11</v>
      </c>
      <c r="L1" s="116">
        <v>12</v>
      </c>
      <c r="M1" s="116">
        <v>13</v>
      </c>
      <c r="N1" s="116">
        <v>14</v>
      </c>
    </row>
    <row r="2" spans="1:17">
      <c r="A2" s="142" t="s">
        <v>17</v>
      </c>
      <c r="B2" s="116" t="s">
        <v>165</v>
      </c>
      <c r="C2" s="116" t="s">
        <v>19</v>
      </c>
      <c r="D2" s="116" t="s">
        <v>615</v>
      </c>
      <c r="E2" s="116" t="s">
        <v>161</v>
      </c>
      <c r="F2" s="116" t="s">
        <v>162</v>
      </c>
      <c r="G2" s="116" t="s">
        <v>196</v>
      </c>
      <c r="H2" s="116" t="s">
        <v>315</v>
      </c>
      <c r="I2" s="116" t="s">
        <v>386</v>
      </c>
      <c r="J2" s="116" t="s">
        <v>583</v>
      </c>
      <c r="K2" s="116" t="s">
        <v>592</v>
      </c>
      <c r="L2" s="116" t="s">
        <v>637</v>
      </c>
      <c r="M2" s="116" t="s">
        <v>384</v>
      </c>
      <c r="N2" s="116" t="s">
        <v>586</v>
      </c>
      <c r="O2" s="116" t="s">
        <v>603</v>
      </c>
      <c r="P2" s="116" t="s">
        <v>582</v>
      </c>
      <c r="Q2"/>
    </row>
    <row r="3" spans="1:17">
      <c r="A3" s="143">
        <v>2</v>
      </c>
      <c r="B3" s="116">
        <v>0</v>
      </c>
      <c r="D3" s="116">
        <v>0</v>
      </c>
      <c r="E3" s="116">
        <v>0</v>
      </c>
      <c r="H3" s="116">
        <v>-100</v>
      </c>
      <c r="I3" s="116">
        <v>25</v>
      </c>
      <c r="J3" s="102">
        <v>0</v>
      </c>
      <c r="Q3"/>
    </row>
    <row r="4" spans="1:17">
      <c r="A4" s="143">
        <v>3</v>
      </c>
      <c r="B4" s="116">
        <v>0</v>
      </c>
      <c r="C4" s="116">
        <v>0</v>
      </c>
      <c r="D4" s="116">
        <v>0</v>
      </c>
      <c r="E4" s="116">
        <v>0</v>
      </c>
      <c r="F4" s="116">
        <v>0</v>
      </c>
      <c r="G4" s="116">
        <v>0</v>
      </c>
      <c r="H4" s="116">
        <v>-100</v>
      </c>
      <c r="I4" s="116">
        <v>25</v>
      </c>
      <c r="J4" s="102">
        <v>0</v>
      </c>
      <c r="K4" s="116">
        <v>0</v>
      </c>
      <c r="L4" s="116">
        <v>-99999</v>
      </c>
      <c r="M4" s="116">
        <v>0.26209876444444441</v>
      </c>
      <c r="N4" s="116">
        <v>0.21921747272727277</v>
      </c>
      <c r="O4" s="116">
        <v>8</v>
      </c>
      <c r="P4" s="116">
        <v>9.1</v>
      </c>
      <c r="Q4"/>
    </row>
    <row r="5" spans="1:17">
      <c r="A5" s="143">
        <v>4</v>
      </c>
      <c r="B5" s="116">
        <v>0</v>
      </c>
      <c r="C5" s="116">
        <v>0</v>
      </c>
      <c r="D5" s="116">
        <v>0</v>
      </c>
      <c r="E5" s="116">
        <v>0</v>
      </c>
      <c r="F5" s="116">
        <v>-0.92967567567567544</v>
      </c>
      <c r="G5" s="116">
        <v>0</v>
      </c>
      <c r="H5" s="116">
        <v>-100</v>
      </c>
      <c r="I5" s="116">
        <v>25</v>
      </c>
      <c r="J5" s="102">
        <v>0</v>
      </c>
      <c r="K5" s="116">
        <v>9</v>
      </c>
      <c r="L5" s="116">
        <v>-99999</v>
      </c>
      <c r="M5" s="116">
        <v>0.26155864106481486</v>
      </c>
      <c r="N5" s="116">
        <v>0.22981980000000013</v>
      </c>
      <c r="O5" s="116">
        <v>15.3</v>
      </c>
      <c r="P5" s="116">
        <v>20.5</v>
      </c>
      <c r="Q5"/>
    </row>
    <row r="6" spans="1:17">
      <c r="A6" s="143">
        <v>5</v>
      </c>
      <c r="B6" s="116">
        <v>0</v>
      </c>
      <c r="C6" s="116">
        <v>0</v>
      </c>
      <c r="D6" s="116">
        <v>0</v>
      </c>
      <c r="E6" s="116">
        <v>0</v>
      </c>
      <c r="F6" s="116">
        <v>-6.5077297297297267</v>
      </c>
      <c r="G6" s="116">
        <v>-1.8593513513513509</v>
      </c>
      <c r="H6" s="116">
        <v>-100</v>
      </c>
      <c r="I6" s="116">
        <v>25</v>
      </c>
      <c r="J6" s="102">
        <v>0</v>
      </c>
      <c r="K6" s="116">
        <v>-9999</v>
      </c>
      <c r="L6" s="116">
        <v>-99999</v>
      </c>
      <c r="M6" s="201">
        <v>0.26080246833333348</v>
      </c>
      <c r="N6" s="116">
        <v>0.24042212727272749</v>
      </c>
      <c r="O6" s="116">
        <v>22.799999999999997</v>
      </c>
      <c r="P6" s="116">
        <v>35.6</v>
      </c>
      <c r="Q6"/>
    </row>
    <row r="7" spans="1:17">
      <c r="A7" s="143">
        <v>6</v>
      </c>
      <c r="B7" s="116">
        <v>0</v>
      </c>
      <c r="C7" s="116">
        <v>0</v>
      </c>
      <c r="D7" s="116">
        <v>0</v>
      </c>
      <c r="E7" s="116">
        <v>0</v>
      </c>
      <c r="F7" s="116">
        <v>-5.3212864864864864</v>
      </c>
      <c r="G7" s="116">
        <v>-8.3670810810810767</v>
      </c>
      <c r="H7" s="116">
        <v>-100</v>
      </c>
      <c r="I7" s="116">
        <v>25</v>
      </c>
      <c r="J7" s="102">
        <v>0</v>
      </c>
      <c r="K7" s="116">
        <v>11</v>
      </c>
      <c r="L7" s="116">
        <v>-99999</v>
      </c>
      <c r="M7" s="201">
        <v>0.26004629560185211</v>
      </c>
      <c r="N7" s="116">
        <v>0.25102445454545486</v>
      </c>
      <c r="O7" s="116">
        <v>33.9</v>
      </c>
      <c r="P7" s="116">
        <v>45.300000000000004</v>
      </c>
      <c r="Q7"/>
    </row>
    <row r="8" spans="1:17">
      <c r="A8" s="143">
        <v>7</v>
      </c>
      <c r="B8" s="116">
        <v>0</v>
      </c>
      <c r="C8" s="116">
        <v>0</v>
      </c>
      <c r="D8" s="116">
        <v>0</v>
      </c>
      <c r="E8" s="116">
        <v>0</v>
      </c>
      <c r="F8" s="116">
        <v>-4.431454054054055</v>
      </c>
      <c r="G8" s="116">
        <v>-13.391756756756752</v>
      </c>
      <c r="H8" s="116">
        <v>-100</v>
      </c>
      <c r="I8" s="116">
        <v>25</v>
      </c>
      <c r="J8" s="102">
        <v>0</v>
      </c>
      <c r="K8" s="116">
        <v>-9999</v>
      </c>
      <c r="L8" s="116">
        <v>-99999</v>
      </c>
      <c r="M8" s="201">
        <v>0.25929012287037073</v>
      </c>
      <c r="N8" s="116">
        <v>0.26162678181818222</v>
      </c>
      <c r="O8" s="116">
        <v>48.8</v>
      </c>
      <c r="P8" s="116">
        <v>53.6</v>
      </c>
      <c r="Q8"/>
    </row>
    <row r="9" spans="1:17">
      <c r="A9" s="143">
        <v>8</v>
      </c>
      <c r="B9" s="116">
        <v>0</v>
      </c>
      <c r="C9" s="116">
        <v>0</v>
      </c>
      <c r="D9" s="116">
        <v>0</v>
      </c>
      <c r="E9" s="116">
        <v>0</v>
      </c>
      <c r="F9" s="116">
        <v>-5.8193270270270272</v>
      </c>
      <c r="G9" s="116">
        <v>-17.823210810810803</v>
      </c>
      <c r="H9" s="116">
        <v>-100</v>
      </c>
      <c r="I9" s="116">
        <v>25</v>
      </c>
      <c r="J9" s="102">
        <v>0</v>
      </c>
      <c r="K9" s="116">
        <v>12</v>
      </c>
      <c r="L9" s="116">
        <v>-99999</v>
      </c>
      <c r="M9" s="201">
        <v>0.25853395013888936</v>
      </c>
      <c r="N9" s="116">
        <v>0.27222910909090958</v>
      </c>
      <c r="O9" s="116">
        <v>61.5</v>
      </c>
      <c r="P9" s="116">
        <v>65</v>
      </c>
      <c r="Q9"/>
    </row>
    <row r="10" spans="1:17">
      <c r="A10" s="143">
        <v>9</v>
      </c>
      <c r="B10" s="116">
        <v>0</v>
      </c>
      <c r="C10" s="116">
        <v>0</v>
      </c>
      <c r="D10" s="116">
        <v>0</v>
      </c>
      <c r="E10" s="116">
        <v>0</v>
      </c>
      <c r="F10" s="116">
        <v>-13.617851351351351</v>
      </c>
      <c r="G10" s="102">
        <v>-24.105162162162156</v>
      </c>
      <c r="H10" s="116">
        <v>-100</v>
      </c>
      <c r="I10" s="116">
        <v>40</v>
      </c>
      <c r="J10" s="102">
        <v>0</v>
      </c>
      <c r="K10" s="116">
        <v>13</v>
      </c>
      <c r="L10" s="116">
        <v>-99999</v>
      </c>
      <c r="M10" s="201">
        <v>0.25777777740740798</v>
      </c>
      <c r="N10" s="116">
        <v>0.28283143636363695</v>
      </c>
      <c r="O10" s="116">
        <v>75.600000000000023</v>
      </c>
      <c r="P10" s="116">
        <v>84.6</v>
      </c>
      <c r="Q10"/>
    </row>
    <row r="11" spans="1:17">
      <c r="A11" s="143">
        <v>10</v>
      </c>
      <c r="B11" s="116">
        <v>0.56000000000000005</v>
      </c>
      <c r="C11" s="116">
        <v>0</v>
      </c>
      <c r="D11" s="116">
        <v>0</v>
      </c>
      <c r="E11" s="116">
        <v>88.32</v>
      </c>
      <c r="F11" s="116">
        <v>-23.076041938490217</v>
      </c>
      <c r="G11" s="102">
        <v>-40.697027027027019</v>
      </c>
      <c r="H11" s="116">
        <v>-100</v>
      </c>
      <c r="I11" s="116">
        <v>40</v>
      </c>
      <c r="J11" s="102">
        <v>0</v>
      </c>
      <c r="K11" s="116">
        <v>21</v>
      </c>
      <c r="L11" s="116">
        <v>-99999</v>
      </c>
      <c r="M11" s="201">
        <v>0.27446208079365075</v>
      </c>
      <c r="N11" s="116">
        <v>0.29343376363636431</v>
      </c>
      <c r="O11" s="116">
        <v>94.900000000000034</v>
      </c>
      <c r="P11" s="116">
        <v>104.6</v>
      </c>
      <c r="Q11"/>
    </row>
    <row r="12" spans="1:17">
      <c r="A12" s="143">
        <v>11</v>
      </c>
      <c r="B12" s="116">
        <v>0</v>
      </c>
      <c r="C12" s="116">
        <v>0</v>
      </c>
      <c r="D12" s="116">
        <v>0</v>
      </c>
      <c r="E12" s="116">
        <v>0</v>
      </c>
      <c r="F12" s="116">
        <v>-9.5463494874184534</v>
      </c>
      <c r="G12" s="102">
        <v>-61.067130475302861</v>
      </c>
      <c r="H12" s="116">
        <v>-100</v>
      </c>
      <c r="I12" s="116">
        <v>40</v>
      </c>
      <c r="J12" s="102">
        <v>0.11000614255821137</v>
      </c>
      <c r="K12" s="116">
        <v>-9999</v>
      </c>
      <c r="L12" s="116">
        <v>22</v>
      </c>
      <c r="M12" s="201">
        <v>0.34682324574525747</v>
      </c>
      <c r="N12" s="116">
        <v>0.33810812195121953</v>
      </c>
      <c r="O12" s="116">
        <v>111.30000000000003</v>
      </c>
      <c r="P12" s="116">
        <v>126.00000000000001</v>
      </c>
      <c r="Q12"/>
    </row>
    <row r="13" spans="1:17">
      <c r="A13" s="143">
        <v>12</v>
      </c>
      <c r="B13" s="116">
        <v>0</v>
      </c>
      <c r="C13" s="116">
        <v>0</v>
      </c>
      <c r="D13" s="116">
        <v>0</v>
      </c>
      <c r="E13" s="116">
        <v>0</v>
      </c>
      <c r="F13" s="116">
        <v>-9.5463494874184534</v>
      </c>
      <c r="G13" s="102">
        <v>-70.6134799627213</v>
      </c>
      <c r="H13" s="116">
        <v>-100</v>
      </c>
      <c r="I13" s="116">
        <v>40</v>
      </c>
      <c r="J13" s="102">
        <v>0.35000433569756106</v>
      </c>
      <c r="K13" s="116">
        <v>-9999</v>
      </c>
      <c r="L13" s="116">
        <v>-99999</v>
      </c>
      <c r="M13" s="201">
        <v>0.43830171623306247</v>
      </c>
      <c r="N13" s="116">
        <v>0.39641129268292691</v>
      </c>
      <c r="O13" s="116">
        <v>126.70000000000002</v>
      </c>
      <c r="P13" s="116">
        <v>137.20000000000005</v>
      </c>
      <c r="Q13"/>
    </row>
    <row r="14" spans="1:17">
      <c r="A14" s="143">
        <v>13</v>
      </c>
      <c r="B14" s="116">
        <v>0.79800000000000004</v>
      </c>
      <c r="C14" s="116">
        <v>0</v>
      </c>
      <c r="D14" s="116">
        <v>-0.68065017706052788</v>
      </c>
      <c r="E14" s="116">
        <v>0</v>
      </c>
      <c r="F14" s="116">
        <v>-9.5463494874184534</v>
      </c>
      <c r="G14" s="102">
        <v>-80.159829450139739</v>
      </c>
      <c r="H14" s="116">
        <v>-100</v>
      </c>
      <c r="I14" s="116">
        <v>40</v>
      </c>
      <c r="J14" s="102">
        <v>0.82577127333365896</v>
      </c>
      <c r="K14" s="116">
        <v>-9999</v>
      </c>
      <c r="L14" s="116">
        <v>-99999</v>
      </c>
      <c r="M14" s="201">
        <v>0.52978018672086746</v>
      </c>
      <c r="N14" s="116">
        <v>0.45471446341463428</v>
      </c>
      <c r="O14" s="116">
        <v>148.60000000000005</v>
      </c>
      <c r="P14" s="116">
        <v>158.90000000000006</v>
      </c>
      <c r="Q14"/>
    </row>
    <row r="15" spans="1:17">
      <c r="A15" s="143">
        <v>14</v>
      </c>
      <c r="B15" s="116">
        <v>2.7199999999999998</v>
      </c>
      <c r="C15" s="116">
        <v>0</v>
      </c>
      <c r="D15" s="116">
        <v>0</v>
      </c>
      <c r="E15" s="116">
        <v>0</v>
      </c>
      <c r="F15" s="116">
        <v>-11.308901064403788</v>
      </c>
      <c r="G15" s="102">
        <v>-89.706178937558178</v>
      </c>
      <c r="H15" s="116">
        <v>-100</v>
      </c>
      <c r="I15" s="116">
        <v>40</v>
      </c>
      <c r="J15" s="102">
        <v>1.4155208669728465</v>
      </c>
      <c r="K15" s="116">
        <v>31</v>
      </c>
      <c r="L15" s="116">
        <v>30</v>
      </c>
      <c r="M15" s="201">
        <v>0.62125865720867246</v>
      </c>
      <c r="N15" s="116">
        <v>0.51301763414634161</v>
      </c>
      <c r="O15" s="116">
        <v>170.70000000000007</v>
      </c>
      <c r="P15" s="116">
        <v>187.90000000000006</v>
      </c>
      <c r="Q15"/>
    </row>
    <row r="16" spans="1:17">
      <c r="A16" s="143">
        <v>15</v>
      </c>
      <c r="B16" s="116">
        <v>0</v>
      </c>
      <c r="C16" s="116">
        <v>0</v>
      </c>
      <c r="D16" s="116">
        <v>0</v>
      </c>
      <c r="E16" s="116">
        <v>0</v>
      </c>
      <c r="F16" s="116">
        <v>-21.884210526315787</v>
      </c>
      <c r="G16" s="102">
        <v>-102.77763157894728</v>
      </c>
      <c r="H16" s="116">
        <v>-100</v>
      </c>
      <c r="I16" s="116">
        <v>40</v>
      </c>
      <c r="J16" s="102">
        <v>2.139927010057725</v>
      </c>
      <c r="K16" s="116">
        <v>-9999</v>
      </c>
      <c r="L16" s="116">
        <v>-99999</v>
      </c>
      <c r="M16" s="116">
        <v>0.71273712769647746</v>
      </c>
      <c r="N16" s="116">
        <v>0.57132080487804859</v>
      </c>
      <c r="O16" s="116">
        <v>192.90000000000006</v>
      </c>
      <c r="P16" s="116">
        <v>205.90000000000003</v>
      </c>
      <c r="Q16"/>
    </row>
    <row r="17" spans="1:17">
      <c r="A17" s="143">
        <v>16</v>
      </c>
      <c r="B17" s="116">
        <v>0.57600000000000007</v>
      </c>
      <c r="C17" s="116">
        <v>0</v>
      </c>
      <c r="D17" s="116">
        <v>0</v>
      </c>
      <c r="E17" s="116">
        <v>70.38</v>
      </c>
      <c r="F17" s="116">
        <v>-21.884210526315787</v>
      </c>
      <c r="G17" s="102">
        <v>-124.66184210526303</v>
      </c>
      <c r="H17" s="116">
        <v>-100</v>
      </c>
      <c r="I17" s="116">
        <v>40</v>
      </c>
      <c r="J17" s="102">
        <v>3.1316426385260181</v>
      </c>
      <c r="K17" s="116">
        <v>-9999</v>
      </c>
      <c r="L17" s="116">
        <v>33</v>
      </c>
      <c r="M17" s="116">
        <v>0.80421559818428245</v>
      </c>
      <c r="N17" s="116">
        <v>0.62962397560975558</v>
      </c>
      <c r="O17" s="116">
        <v>219.00000000000006</v>
      </c>
      <c r="P17" s="116">
        <v>230.40000000000003</v>
      </c>
      <c r="Q17"/>
    </row>
    <row r="18" spans="1:17">
      <c r="A18" s="143">
        <v>17</v>
      </c>
      <c r="B18" s="116">
        <v>2.6480000000000001</v>
      </c>
      <c r="C18" s="116">
        <v>0</v>
      </c>
      <c r="D18" s="116">
        <v>0</v>
      </c>
      <c r="E18" s="116">
        <v>0</v>
      </c>
      <c r="F18" s="116">
        <v>-16.194003157894706</v>
      </c>
      <c r="G18" s="102">
        <v>-146.54605263157887</v>
      </c>
      <c r="H18" s="116">
        <v>-100</v>
      </c>
      <c r="I18" s="116">
        <v>40</v>
      </c>
      <c r="J18" s="102">
        <v>4.0392013425568516</v>
      </c>
      <c r="K18" s="116">
        <v>39</v>
      </c>
      <c r="L18" s="116">
        <v>-99999</v>
      </c>
      <c r="M18" s="116">
        <v>0.83978395069444456</v>
      </c>
      <c r="N18" s="116">
        <v>0.69987149999999976</v>
      </c>
      <c r="O18" s="116">
        <v>240.70000000000007</v>
      </c>
      <c r="P18" s="116">
        <v>257.3</v>
      </c>
      <c r="Q18"/>
    </row>
    <row r="19" spans="1:17">
      <c r="A19" s="143">
        <v>18</v>
      </c>
      <c r="B19" s="116">
        <v>6.2690000000000001</v>
      </c>
      <c r="C19" s="116">
        <v>0</v>
      </c>
      <c r="D19" s="116">
        <v>0</v>
      </c>
      <c r="E19" s="116">
        <v>0</v>
      </c>
      <c r="F19" s="116">
        <v>-18.710999999999991</v>
      </c>
      <c r="G19" s="102">
        <v>-160.84331999999995</v>
      </c>
      <c r="H19" s="116">
        <v>-100</v>
      </c>
      <c r="I19" s="116">
        <v>40</v>
      </c>
      <c r="J19" s="102">
        <v>5.1864653237164351</v>
      </c>
      <c r="K19" s="116">
        <v>51</v>
      </c>
      <c r="L19" s="116">
        <v>41</v>
      </c>
      <c r="M19" s="116">
        <v>0.86603395020833362</v>
      </c>
      <c r="N19" s="116">
        <v>0.77210974999999948</v>
      </c>
      <c r="O19" s="116">
        <v>267.20000000000005</v>
      </c>
      <c r="P19" s="116">
        <v>288.90000000000003</v>
      </c>
      <c r="Q19"/>
    </row>
    <row r="20" spans="1:17">
      <c r="A20" s="143">
        <v>19</v>
      </c>
      <c r="B20" s="116">
        <v>10.214000000000002</v>
      </c>
      <c r="C20" s="116">
        <v>0</v>
      </c>
      <c r="D20" s="116">
        <v>0</v>
      </c>
      <c r="E20" s="116">
        <v>0</v>
      </c>
      <c r="F20" s="116">
        <v>-26.516160000000028</v>
      </c>
      <c r="G20" s="102">
        <v>-181.74618000000004</v>
      </c>
      <c r="H20" s="116">
        <v>-100</v>
      </c>
      <c r="I20" s="116">
        <v>40</v>
      </c>
      <c r="J20" s="102">
        <v>6.1476647673868516</v>
      </c>
      <c r="K20" s="116">
        <v>59</v>
      </c>
      <c r="L20" s="116">
        <v>-99999</v>
      </c>
      <c r="M20" s="116">
        <v>0.87907407333333365</v>
      </c>
      <c r="N20" s="116">
        <v>0.81018499999999993</v>
      </c>
      <c r="O20" s="116">
        <v>288.80000000000007</v>
      </c>
      <c r="P20" s="116">
        <v>326.00000000000006</v>
      </c>
      <c r="Q20"/>
    </row>
    <row r="21" spans="1:17">
      <c r="A21" s="143">
        <v>20</v>
      </c>
      <c r="B21" s="116">
        <v>13.085000000000001</v>
      </c>
      <c r="C21" s="116">
        <v>0</v>
      </c>
      <c r="D21" s="116">
        <v>0</v>
      </c>
      <c r="E21" s="116">
        <v>21.76</v>
      </c>
      <c r="F21" s="116">
        <v>-27.957599999999804</v>
      </c>
      <c r="G21" s="102">
        <v>-209.67210000000011</v>
      </c>
      <c r="H21" s="116">
        <v>-100</v>
      </c>
      <c r="I21" s="116">
        <v>40</v>
      </c>
      <c r="J21" s="102">
        <v>7.2198549513168517</v>
      </c>
      <c r="K21" s="116">
        <v>65</v>
      </c>
      <c r="L21" s="116">
        <v>59</v>
      </c>
      <c r="M21" s="116">
        <v>0.88220678916666728</v>
      </c>
      <c r="N21" s="116">
        <v>0.82263799999999976</v>
      </c>
      <c r="O21" s="116">
        <v>312.70000000000005</v>
      </c>
      <c r="P21" s="116">
        <v>372.10000000000008</v>
      </c>
      <c r="Q21"/>
    </row>
    <row r="22" spans="1:17">
      <c r="A22" s="143">
        <v>21</v>
      </c>
      <c r="B22" s="116">
        <v>6.4080000000000013</v>
      </c>
      <c r="C22" s="116">
        <v>0</v>
      </c>
      <c r="D22" s="116">
        <v>0</v>
      </c>
      <c r="E22" s="116">
        <v>0</v>
      </c>
      <c r="F22" s="116">
        <v>-24.056999999999903</v>
      </c>
      <c r="G22" s="102">
        <v>-236.16449999999989</v>
      </c>
      <c r="H22" s="116">
        <v>-100</v>
      </c>
      <c r="I22" s="116">
        <v>25</v>
      </c>
      <c r="J22" s="102">
        <v>8.8420268935151842</v>
      </c>
      <c r="K22" s="116">
        <v>71</v>
      </c>
      <c r="L22" s="116">
        <v>65</v>
      </c>
      <c r="M22" s="116">
        <v>0.88444444333333339</v>
      </c>
      <c r="N22" s="116">
        <v>0.83153299999999997</v>
      </c>
      <c r="O22" s="116">
        <v>348.80000000000007</v>
      </c>
      <c r="P22" s="116">
        <v>408.3</v>
      </c>
      <c r="Q22"/>
    </row>
    <row r="23" spans="1:17">
      <c r="A23" s="143">
        <v>22</v>
      </c>
      <c r="B23" s="116">
        <v>10.952</v>
      </c>
      <c r="C23" s="116">
        <v>0</v>
      </c>
      <c r="D23" s="116">
        <v>0</v>
      </c>
      <c r="E23" s="116">
        <v>0</v>
      </c>
      <c r="F23" s="116">
        <v>-28.35642857142857</v>
      </c>
      <c r="G23" s="102">
        <v>-260.32049999999981</v>
      </c>
      <c r="H23" s="116">
        <v>-100</v>
      </c>
      <c r="I23" s="116">
        <v>25</v>
      </c>
      <c r="J23" s="102">
        <v>10.547612586427682</v>
      </c>
      <c r="K23" s="116">
        <v>83</v>
      </c>
      <c r="L23" s="116">
        <v>-99999</v>
      </c>
      <c r="M23" s="116">
        <v>0.87317129541666683</v>
      </c>
      <c r="N23" s="116">
        <v>0.80832912499999998</v>
      </c>
      <c r="O23" s="116">
        <v>387.8</v>
      </c>
      <c r="P23" s="116">
        <v>445.69999999999993</v>
      </c>
      <c r="Q23"/>
    </row>
    <row r="24" spans="1:17">
      <c r="A24" s="143">
        <v>23</v>
      </c>
      <c r="B24" s="116">
        <v>14.160000000000002</v>
      </c>
      <c r="C24" s="116">
        <v>0</v>
      </c>
      <c r="D24" s="116">
        <v>0</v>
      </c>
      <c r="E24" s="116">
        <v>0</v>
      </c>
      <c r="F24" s="116">
        <v>-7.9200000000000008</v>
      </c>
      <c r="G24" s="102">
        <v>-286.34335714285697</v>
      </c>
      <c r="H24" s="116">
        <v>-100</v>
      </c>
      <c r="I24" s="116">
        <v>25</v>
      </c>
      <c r="J24" s="102">
        <v>12.228712215801018</v>
      </c>
      <c r="K24" s="116">
        <v>-9999</v>
      </c>
      <c r="L24" s="116">
        <v>-99999</v>
      </c>
      <c r="M24" s="116">
        <v>0.84686728361111152</v>
      </c>
      <c r="N24" s="116">
        <v>0.75418675000000002</v>
      </c>
      <c r="O24" s="116">
        <v>427.7</v>
      </c>
      <c r="P24" s="116">
        <v>490.59999999999997</v>
      </c>
      <c r="Q24"/>
    </row>
    <row r="25" spans="1:17">
      <c r="A25" s="143">
        <v>24</v>
      </c>
      <c r="B25" s="116">
        <v>11.472000000000001</v>
      </c>
      <c r="C25" s="116">
        <v>0</v>
      </c>
      <c r="D25" s="116">
        <v>0</v>
      </c>
      <c r="E25" s="116">
        <v>0</v>
      </c>
      <c r="F25" s="116">
        <v>-7.9200000000000008</v>
      </c>
      <c r="G25" s="102">
        <v>-294.26335714285688</v>
      </c>
      <c r="H25" s="116">
        <v>-100</v>
      </c>
      <c r="I25" s="116">
        <v>25</v>
      </c>
      <c r="J25" s="102">
        <v>13.913936520801851</v>
      </c>
      <c r="K25" s="116">
        <v>-9999</v>
      </c>
      <c r="L25" s="116">
        <v>83</v>
      </c>
      <c r="M25" s="116">
        <v>0.79585648152777777</v>
      </c>
      <c r="N25" s="116">
        <v>0.68194566666666667</v>
      </c>
      <c r="O25" s="116">
        <v>476.49999999999994</v>
      </c>
      <c r="P25" s="116">
        <v>526.4</v>
      </c>
      <c r="Q25"/>
    </row>
    <row r="26" spans="1:17">
      <c r="A26" s="143">
        <v>25</v>
      </c>
      <c r="B26" s="116">
        <v>12.618000000000002</v>
      </c>
      <c r="C26" s="116">
        <v>0</v>
      </c>
      <c r="D26" s="116">
        <v>0</v>
      </c>
      <c r="E26" s="116">
        <v>0</v>
      </c>
      <c r="F26" s="116">
        <v>-12.72857142857143</v>
      </c>
      <c r="G26" s="102">
        <v>-302.18335714285678</v>
      </c>
      <c r="H26" s="116">
        <v>-100</v>
      </c>
      <c r="I26" s="116">
        <v>25</v>
      </c>
      <c r="J26" s="102">
        <v>14.842234297001852</v>
      </c>
      <c r="K26" s="116">
        <v>85</v>
      </c>
      <c r="L26" s="116">
        <v>83</v>
      </c>
      <c r="M26" s="116">
        <v>0.59660493777777801</v>
      </c>
      <c r="N26" s="116">
        <v>0.50111233333333305</v>
      </c>
      <c r="O26" s="116">
        <v>521.70000000000005</v>
      </c>
      <c r="P26" s="116">
        <v>565.5</v>
      </c>
      <c r="Q26"/>
    </row>
    <row r="27" spans="1:17">
      <c r="A27" s="143">
        <v>26</v>
      </c>
      <c r="B27" s="116">
        <v>5.8049999999999997</v>
      </c>
      <c r="C27" s="116">
        <v>0</v>
      </c>
      <c r="D27" s="116">
        <v>0</v>
      </c>
      <c r="E27" s="116">
        <v>0</v>
      </c>
      <c r="F27" s="116">
        <v>-11.88</v>
      </c>
      <c r="G27" s="102">
        <v>-319.72049999999956</v>
      </c>
      <c r="H27" s="116">
        <v>-100</v>
      </c>
      <c r="I27" s="116">
        <v>0</v>
      </c>
      <c r="J27" s="102">
        <v>14.842234297001852</v>
      </c>
      <c r="K27" s="116">
        <v>87</v>
      </c>
      <c r="L27" s="116">
        <v>-99999</v>
      </c>
      <c r="M27" s="116">
        <v>0.39735339402777803</v>
      </c>
      <c r="N27" s="116">
        <v>0.32027899999999998</v>
      </c>
      <c r="O27" s="116">
        <v>572.6</v>
      </c>
      <c r="P27" s="116">
        <v>611.6</v>
      </c>
      <c r="Q27"/>
    </row>
    <row r="28" spans="1:17">
      <c r="A28" s="143">
        <v>27</v>
      </c>
      <c r="B28" s="116">
        <v>1.8280000000000003</v>
      </c>
      <c r="C28" s="116">
        <v>0</v>
      </c>
      <c r="D28" s="116">
        <v>0</v>
      </c>
      <c r="E28" s="116">
        <v>0</v>
      </c>
      <c r="F28" s="116">
        <v>0</v>
      </c>
      <c r="G28" s="102">
        <v>-325.66049999999956</v>
      </c>
      <c r="H28" s="116">
        <v>-100</v>
      </c>
      <c r="I28" s="116">
        <v>0</v>
      </c>
      <c r="J28" s="102">
        <v>14.842234297001852</v>
      </c>
      <c r="K28" s="116">
        <v>-9999</v>
      </c>
      <c r="L28" s="116">
        <v>89</v>
      </c>
      <c r="M28" s="116">
        <v>0.34486772492063505</v>
      </c>
      <c r="N28" s="116">
        <v>0.31924999999999992</v>
      </c>
      <c r="O28" s="116">
        <v>618.70000000000005</v>
      </c>
      <c r="P28" s="116">
        <v>667.8</v>
      </c>
      <c r="Q28"/>
    </row>
    <row r="29" spans="1:17">
      <c r="A29" s="143">
        <v>28</v>
      </c>
      <c r="B29" s="116">
        <v>1.9530000000000001</v>
      </c>
      <c r="C29" s="116">
        <v>0</v>
      </c>
      <c r="D29" s="116">
        <v>0</v>
      </c>
      <c r="E29" s="116">
        <v>0</v>
      </c>
      <c r="F29" s="116">
        <v>0</v>
      </c>
      <c r="G29" s="102">
        <v>-325.66049999999956</v>
      </c>
      <c r="H29" s="116">
        <v>-100</v>
      </c>
      <c r="I29" s="116">
        <v>0</v>
      </c>
      <c r="J29" s="102">
        <v>14.842234297001852</v>
      </c>
      <c r="K29" s="116">
        <v>-9999</v>
      </c>
      <c r="L29" s="116">
        <v>-99999</v>
      </c>
      <c r="M29" s="116">
        <v>0.31543209851851861</v>
      </c>
      <c r="N29" s="116">
        <v>0.30937766666666666</v>
      </c>
      <c r="O29" s="116">
        <v>666.10000000000014</v>
      </c>
      <c r="P29" s="116">
        <v>722.09999999999991</v>
      </c>
      <c r="Q29"/>
    </row>
    <row r="30" spans="1:17">
      <c r="A30" s="143">
        <v>-4</v>
      </c>
      <c r="B30" s="116">
        <v>0</v>
      </c>
      <c r="D30" s="116">
        <v>0</v>
      </c>
      <c r="E30" s="116">
        <v>0</v>
      </c>
      <c r="H30" s="116">
        <v>-100</v>
      </c>
      <c r="J30" s="102">
        <v>0</v>
      </c>
      <c r="Q30"/>
    </row>
    <row r="31" spans="1:17">
      <c r="A31" s="143">
        <v>-3</v>
      </c>
      <c r="B31" s="116">
        <v>0</v>
      </c>
      <c r="D31" s="116">
        <v>0</v>
      </c>
      <c r="E31" s="116">
        <v>0</v>
      </c>
      <c r="H31" s="116">
        <v>-100</v>
      </c>
      <c r="J31" s="102">
        <v>0</v>
      </c>
      <c r="Q31"/>
    </row>
    <row r="32" spans="1:17">
      <c r="A32" s="143">
        <v>-2</v>
      </c>
      <c r="B32" s="116">
        <v>0</v>
      </c>
      <c r="D32" s="116">
        <v>0</v>
      </c>
      <c r="E32" s="116">
        <v>0</v>
      </c>
      <c r="H32" s="116">
        <v>-100</v>
      </c>
      <c r="J32" s="102">
        <v>0</v>
      </c>
      <c r="Q32"/>
    </row>
    <row r="33" spans="1:17">
      <c r="A33" s="143">
        <v>-1</v>
      </c>
      <c r="B33" s="116">
        <v>0</v>
      </c>
      <c r="D33" s="116">
        <v>0</v>
      </c>
      <c r="E33" s="116">
        <v>0</v>
      </c>
      <c r="H33" s="116">
        <v>-100</v>
      </c>
      <c r="I33" s="116">
        <v>25</v>
      </c>
      <c r="J33" s="102">
        <v>0</v>
      </c>
      <c r="Q33"/>
    </row>
    <row r="34" spans="1:17">
      <c r="A34" s="143">
        <v>1</v>
      </c>
      <c r="B34" s="116">
        <v>0</v>
      </c>
      <c r="D34" s="116">
        <v>0</v>
      </c>
      <c r="E34" s="116">
        <v>14.52</v>
      </c>
      <c r="H34" s="116">
        <v>66.64</v>
      </c>
      <c r="I34" s="116">
        <v>25</v>
      </c>
      <c r="J34" s="102">
        <v>0</v>
      </c>
      <c r="Q34"/>
    </row>
    <row r="35" spans="1:17">
      <c r="A35" s="143">
        <v>29</v>
      </c>
      <c r="B35" s="116">
        <v>1.6450000000000002</v>
      </c>
      <c r="C35" s="116">
        <v>0</v>
      </c>
      <c r="D35" s="116">
        <v>0</v>
      </c>
      <c r="E35" s="116">
        <v>0</v>
      </c>
      <c r="F35" s="116">
        <v>0</v>
      </c>
      <c r="G35" s="116">
        <v>-325.66049999999956</v>
      </c>
      <c r="H35" s="116">
        <v>-100</v>
      </c>
      <c r="I35" s="116">
        <v>0</v>
      </c>
      <c r="J35" s="102">
        <v>14.842234297001852</v>
      </c>
      <c r="K35" s="116">
        <v>-9999</v>
      </c>
      <c r="L35" s="116">
        <v>-99999</v>
      </c>
      <c r="M35" s="116">
        <v>0.30395061777777777</v>
      </c>
      <c r="N35" s="116">
        <v>0.30451499999999998</v>
      </c>
      <c r="O35" s="116">
        <v>708.90000000000009</v>
      </c>
      <c r="P35" s="116">
        <v>764.99999999999989</v>
      </c>
      <c r="Q35"/>
    </row>
    <row r="36" spans="1:17">
      <c r="A36" s="143" t="s">
        <v>18</v>
      </c>
      <c r="B36" s="116">
        <v>103.71100000000008</v>
      </c>
      <c r="C36" s="116">
        <v>0</v>
      </c>
      <c r="D36" s="116">
        <v>-0.68065017706052788</v>
      </c>
      <c r="E36" s="116">
        <v>194.98</v>
      </c>
      <c r="F36" s="116">
        <v>-325.66049999999956</v>
      </c>
      <c r="G36" s="116">
        <v>0</v>
      </c>
      <c r="H36" s="116">
        <v>66.64</v>
      </c>
      <c r="I36" s="116">
        <v>40</v>
      </c>
      <c r="J36" s="116">
        <v>14.842234297001852</v>
      </c>
      <c r="K36" s="116">
        <v>87</v>
      </c>
      <c r="L36" s="116">
        <v>89</v>
      </c>
      <c r="M36" s="116">
        <v>0.88444444333333339</v>
      </c>
      <c r="N36" s="116">
        <v>0.83153299999999997</v>
      </c>
      <c r="O36" s="116">
        <v>708.90000000000009</v>
      </c>
      <c r="P36" s="116">
        <v>764.99999999999989</v>
      </c>
      <c r="Q36"/>
    </row>
    <row r="37" spans="1:17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</row>
    <row r="38" spans="1:17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</row>
    <row r="39" spans="1:17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</row>
    <row r="40" spans="1:17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</row>
    <row r="41" spans="1:17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</row>
    <row r="42" spans="1:17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</row>
    <row r="43" spans="1:17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</row>
    <row r="44" spans="1:17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</row>
    <row r="45" spans="1:17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</row>
    <row r="46" spans="1:17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</row>
    <row r="47" spans="1:17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</row>
    <row r="48" spans="1:17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</row>
    <row r="49" spans="1: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</row>
    <row r="50" spans="1: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</row>
    <row r="51" spans="1: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</row>
    <row r="52" spans="1: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</row>
    <row r="53" spans="1: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</row>
    <row r="54" spans="1: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</row>
    <row r="55" spans="1: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</row>
    <row r="56" spans="1: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</row>
    <row r="58" spans="1: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</row>
    <row r="59" spans="1: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</row>
    <row r="60" spans="1: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</row>
    <row r="61" spans="1: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</row>
    <row r="62" spans="1: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</row>
    <row r="63" spans="1: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  <row r="64" spans="1: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</row>
    <row r="65" spans="1: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</row>
    <row r="66" spans="1: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</row>
    <row r="67" spans="1: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</row>
    <row r="68" spans="1: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</row>
    <row r="69" spans="1: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</row>
    <row r="70" spans="1: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</row>
    <row r="71" spans="1: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</row>
    <row r="72" spans="1: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</row>
    <row r="73" spans="1: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</row>
    <row r="74" spans="1: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</row>
    <row r="75" spans="1: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</row>
    <row r="76" spans="1: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</row>
    <row r="77" spans="1: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</row>
    <row r="78" spans="1: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</row>
    <row r="79" spans="1: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</row>
    <row r="80" spans="1: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</row>
    <row r="81" spans="1: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</row>
    <row r="82" spans="1: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</row>
    <row r="83" spans="1: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</row>
    <row r="84" spans="1: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</row>
    <row r="85" spans="1: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</row>
    <row r="86" spans="1: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</row>
    <row r="87" spans="1: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</row>
    <row r="88" spans="1: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4" tint="0.59999389629810485"/>
    <pageSetUpPr fitToPage="1"/>
  </sheetPr>
  <dimension ref="A1:X54"/>
  <sheetViews>
    <sheetView workbookViewId="0">
      <selection activeCell="J4" sqref="J4"/>
    </sheetView>
  </sheetViews>
  <sheetFormatPr baseColWidth="10" defaultColWidth="0" defaultRowHeight="15" zeroHeight="1"/>
  <cols>
    <col min="1" max="1" width="6.5703125" style="116" bestFit="1" customWidth="1"/>
    <col min="2" max="2" width="13.42578125" style="116" customWidth="1"/>
    <col min="3" max="9" width="8.7109375" style="116" customWidth="1"/>
    <col min="10" max="10" width="11.42578125" style="116" customWidth="1"/>
    <col min="11" max="11" width="8.7109375" style="116" customWidth="1"/>
    <col min="12" max="12" width="13" style="116" customWidth="1"/>
    <col min="13" max="15" width="11.42578125" style="116" customWidth="1"/>
    <col min="16" max="16" width="11.5703125" customWidth="1"/>
    <col min="17" max="23" width="11.42578125" style="116" customWidth="1"/>
    <col min="24" max="24" width="11.5703125" customWidth="1"/>
    <col min="25" max="16384" width="11.42578125" style="116" hidden="1"/>
  </cols>
  <sheetData>
    <row r="1" spans="1:23">
      <c r="C1" s="116" t="s">
        <v>60</v>
      </c>
    </row>
    <row r="2" spans="1:23">
      <c r="C2" s="116" t="s">
        <v>1</v>
      </c>
      <c r="G2" s="116" t="s">
        <v>51</v>
      </c>
      <c r="I2" s="116" t="s">
        <v>61</v>
      </c>
    </row>
    <row r="3" spans="1:23" s="119" customFormat="1" ht="45">
      <c r="A3" s="119" t="s">
        <v>20</v>
      </c>
      <c r="B3" s="119" t="s">
        <v>0</v>
      </c>
      <c r="C3" s="119" t="s">
        <v>166</v>
      </c>
      <c r="D3" s="119" t="s">
        <v>167</v>
      </c>
      <c r="E3" s="119" t="s">
        <v>168</v>
      </c>
      <c r="F3" s="119" t="s">
        <v>68</v>
      </c>
      <c r="G3" s="119" t="s">
        <v>169</v>
      </c>
      <c r="H3" s="119" t="s">
        <v>197</v>
      </c>
      <c r="I3" s="119" t="s">
        <v>170</v>
      </c>
      <c r="J3" s="119" t="s">
        <v>198</v>
      </c>
      <c r="K3" s="119" t="s">
        <v>171</v>
      </c>
      <c r="L3" s="119" t="s">
        <v>199</v>
      </c>
      <c r="N3" s="119" t="s">
        <v>385</v>
      </c>
      <c r="O3" s="119" t="s">
        <v>593</v>
      </c>
      <c r="P3" s="119" t="s">
        <v>596</v>
      </c>
      <c r="Q3" s="119" t="s">
        <v>594</v>
      </c>
      <c r="R3" s="119" t="s">
        <v>590</v>
      </c>
      <c r="S3" s="119" t="s">
        <v>591</v>
      </c>
      <c r="T3" s="119" t="s">
        <v>595</v>
      </c>
      <c r="U3" s="119" t="s">
        <v>587</v>
      </c>
      <c r="V3" s="119" t="s">
        <v>381</v>
      </c>
      <c r="W3" s="119" t="s">
        <v>584</v>
      </c>
    </row>
    <row r="4" spans="1:23" s="119" customFormat="1">
      <c r="A4" s="116">
        <f>A5-1</f>
        <v>-3</v>
      </c>
      <c r="B4" s="44">
        <f>B5-7</f>
        <v>42346</v>
      </c>
      <c r="C4" s="116">
        <f>IFERROR(GETPIVOTDATA("Suma de N fert neto",Resume!$A$4,"Sem",A4),"")</f>
        <v>0</v>
      </c>
      <c r="D4" s="116" t="str">
        <f>IFERROR(IF(GETPIVOTDATA("N agua",Resume!$A$4,"Sem",A4)=0,"",GETPIVOTDATA("N agua",Resume!$A$4,"Sem",A4)),"")</f>
        <v/>
      </c>
      <c r="E4" s="116" t="str">
        <f>IFERROR(IF(GETPIVOTDATA("Suma de N mineralizado",Resume!$A$4,"Sem",A4)=0,"",GETPIVOTDATA("Suma de N mineralizado",Resume!$A$4,"Sem",A4)),"")</f>
        <v/>
      </c>
      <c r="F4" s="39">
        <f>Inputs!C15</f>
        <v>66.64</v>
      </c>
      <c r="G4" s="116" t="str">
        <f>IFERROR(IF(GETPIVOTDATA("Suma de N extr 1",Resume!$A$4,"Sem",A4)=0,"",GETPIVOTDATA("Suma de N extr 1",Resume!$A$4,"Sem",A4))*(1+Inputs!$I$14),"")</f>
        <v/>
      </c>
      <c r="H4" s="116" t="str">
        <f>IFERROR(IF(GETPIVOTDATA("Nl",Resume!$A$4,"Sem",A4)=0,"",GETPIVOTDATA("Nl",Resume!$A$4,"Sem",A4)),"")</f>
        <v/>
      </c>
      <c r="I4" s="102">
        <f>MAX(SUM(C4:F4)+SUM(G4:H4),0)</f>
        <v>66.64</v>
      </c>
      <c r="J4" s="440">
        <f>IFERROR(GETPIVOTDATA("Máx. de Nmin medido",Resume!$A$4,"Sem",A4),"")</f>
        <v>-100</v>
      </c>
      <c r="K4" s="116">
        <v>0</v>
      </c>
      <c r="R4" s="39"/>
      <c r="S4" s="39">
        <f>IFERROR(GETPIVOTDATA("Máx. de Eto acumulada",Resume!$A$4,"Sem",A4),"")</f>
        <v>0</v>
      </c>
      <c r="V4" s="93">
        <f>IFERROR(GETPIVOTDATA("Máx. de NDVI r.int",Resume!$A$4,"Sem",A4),"")</f>
        <v>0</v>
      </c>
      <c r="W4" s="93">
        <f>IFERROR(GETPIVOTDATA("Máx. de NDVI tipo i",Resume!$A$4,"Sem",A4),"")</f>
        <v>0</v>
      </c>
    </row>
    <row r="5" spans="1:23" s="119" customFormat="1">
      <c r="A5" s="116">
        <f>A6-1</f>
        <v>-2</v>
      </c>
      <c r="B5" s="44">
        <f>B6-7</f>
        <v>42353</v>
      </c>
      <c r="C5" s="116">
        <f>IFERROR(GETPIVOTDATA("Suma de N fert neto",Resume!$A$4,"Sem",A5),"")</f>
        <v>0</v>
      </c>
      <c r="D5" s="116" t="str">
        <f>IFERROR(IF(GETPIVOTDATA("N agua",Resume!$A$4,"Sem",A5)=0,"",GETPIVOTDATA("N agua",Resume!$A$4,"Sem",A5)),"")</f>
        <v/>
      </c>
      <c r="E5" s="116" t="str">
        <f>IFERROR(IF(GETPIVOTDATA("Suma de N mineralizado",Resume!$A$4,"Sem",A5)=0,"",GETPIVOTDATA("Suma de N mineralizado",Resume!$A$4,"Sem",A5)),"")</f>
        <v/>
      </c>
      <c r="F5" s="202">
        <f t="shared" ref="F5:F11" si="0">I4</f>
        <v>66.64</v>
      </c>
      <c r="G5" s="116" t="str">
        <f>IFERROR(IF(GETPIVOTDATA("Suma de N extr 1",Resume!$A$4,"Sem",A5)=0,"",GETPIVOTDATA("Suma de N extr 1",Resume!$A$4,"Sem",A5))*(1+Inputs!$I$14),"")</f>
        <v/>
      </c>
      <c r="H5" s="116" t="str">
        <f>IFERROR(IF(GETPIVOTDATA("Nl",Resume!$A$4,"Sem",A5)=0,"",GETPIVOTDATA("Nl",Resume!$A$4,"Sem",A5)),"")</f>
        <v/>
      </c>
      <c r="I5" s="102">
        <f t="shared" ref="I5:I43" si="1">MAX(SUM(C5:F5)+SUM(G5:H5),0)</f>
        <v>66.64</v>
      </c>
      <c r="J5" s="440">
        <f>IFERROR(GETPIVOTDATA("Máx. de Nmin medido",Resume!$A$4,"Sem",A5),"")</f>
        <v>-100</v>
      </c>
      <c r="K5" s="116">
        <v>0</v>
      </c>
      <c r="R5" s="39"/>
      <c r="S5" s="39">
        <f>IFERROR(GETPIVOTDATA("Máx. de Eto acumulada",Resume!$A$4,"Sem",A5),"")</f>
        <v>0</v>
      </c>
      <c r="V5" s="93">
        <f>IFERROR(GETPIVOTDATA("Máx. de NDVI r.int",Resume!$A$4,"Sem",A5),"")</f>
        <v>0</v>
      </c>
      <c r="W5" s="93">
        <f>IFERROR(GETPIVOTDATA("Máx. de NDVI tipo i",Resume!$A$4,"Sem",A5),"")</f>
        <v>0</v>
      </c>
    </row>
    <row r="6" spans="1:23" s="119" customFormat="1">
      <c r="A6" s="116">
        <f>A7-1</f>
        <v>-1</v>
      </c>
      <c r="B6" s="44">
        <f>B7-7</f>
        <v>42360</v>
      </c>
      <c r="C6" s="116">
        <f>IFERROR(GETPIVOTDATA("Suma de N fert neto",Resume!$A$4,"Sem",A6),"")</f>
        <v>0</v>
      </c>
      <c r="D6" s="116" t="str">
        <f>IFERROR(IF(GETPIVOTDATA("N agua",Resume!$A$4,"Sem",A6)=0,"",GETPIVOTDATA("N agua",Resume!$A$4,"Sem",A6)),"")</f>
        <v/>
      </c>
      <c r="E6" s="116" t="str">
        <f>IFERROR(IF(GETPIVOTDATA("Suma de N mineralizado",Resume!$A$4,"Sem",A6)=0,"",GETPIVOTDATA("Suma de N mineralizado",Resume!$A$4,"Sem",A6)),"")</f>
        <v/>
      </c>
      <c r="F6" s="202">
        <f t="shared" si="0"/>
        <v>66.64</v>
      </c>
      <c r="G6" s="116" t="str">
        <f>IFERROR(IF(GETPIVOTDATA("Suma de N extr 1",Resume!$A$4,"Sem",A6)=0,"",GETPIVOTDATA("Suma de N extr 1",Resume!$A$4,"Sem",A6))*(1+Inputs!$I$14),"")</f>
        <v/>
      </c>
      <c r="H6" s="116" t="str">
        <f>IFERROR(IF(GETPIVOTDATA("Nl",Resume!$A$4,"Sem",A6)=0,"",GETPIVOTDATA("Nl",Resume!$A$4,"Sem",A6)),"")</f>
        <v/>
      </c>
      <c r="I6" s="102">
        <f t="shared" si="1"/>
        <v>66.64</v>
      </c>
      <c r="J6" s="440">
        <f>IFERROR(GETPIVOTDATA("Máx. de Nmin medido",Resume!$A$4,"Sem",A6),"")</f>
        <v>-100</v>
      </c>
      <c r="K6" s="116">
        <v>0</v>
      </c>
      <c r="R6" s="39"/>
      <c r="S6" s="39">
        <f>IFERROR(GETPIVOTDATA("Máx. de Eto acumulada",Resume!$A$4,"Sem",A6),"")</f>
        <v>0</v>
      </c>
      <c r="V6" s="93">
        <f>IFERROR(GETPIVOTDATA("Máx. de NDVI r.int",Resume!$A$4,"Sem",A6),"")</f>
        <v>0</v>
      </c>
      <c r="W6" s="93">
        <f>IFERROR(GETPIVOTDATA("Máx. de NDVI tipo i",Resume!$A$4,"Sem",A6),"")</f>
        <v>0</v>
      </c>
    </row>
    <row r="7" spans="1:23" s="119" customFormat="1">
      <c r="A7" s="116">
        <f>A8-1</f>
        <v>0</v>
      </c>
      <c r="B7" s="44">
        <f>B8-7</f>
        <v>42367</v>
      </c>
      <c r="C7" s="116" t="str">
        <f>IFERROR(GETPIVOTDATA("Suma de N fert neto",Resume!$A$4,"Sem",A7),"")</f>
        <v/>
      </c>
      <c r="D7" s="116" t="str">
        <f>IFERROR(IF(GETPIVOTDATA("N agua",Resume!$A$4,"Sem",A7)=0,"",GETPIVOTDATA("N agua",Resume!$A$4,"Sem",A7)),"")</f>
        <v/>
      </c>
      <c r="E7" s="116" t="str">
        <f>IFERROR(IF(GETPIVOTDATA("Suma de N mineralizado",Resume!$A$4,"Sem",A7)=0,"",GETPIVOTDATA("Suma de N mineralizado",Resume!$A$4,"Sem",A7)),"")</f>
        <v/>
      </c>
      <c r="F7" s="202">
        <f t="shared" si="0"/>
        <v>66.64</v>
      </c>
      <c r="G7" s="116" t="str">
        <f>IFERROR(IF(GETPIVOTDATA("Suma de N extr 1",Resume!$A$4,"Sem",A7)=0,"",GETPIVOTDATA("Suma de N extr 1",Resume!$A$4,"Sem",A7))*(1+Inputs!$I$14),"")</f>
        <v/>
      </c>
      <c r="H7" s="116" t="str">
        <f>IFERROR(IF(GETPIVOTDATA("Nl",Resume!$A$4,"Sem",A7)=0,"",GETPIVOTDATA("Nl",Resume!$A$4,"Sem",A7)),"")</f>
        <v/>
      </c>
      <c r="I7" s="102">
        <f t="shared" si="1"/>
        <v>66.64</v>
      </c>
      <c r="J7" s="440" t="str">
        <f>IFERROR(GETPIVOTDATA("Máx. de Nmin medido",Resume!$A$4,"Sem",A7),"")</f>
        <v/>
      </c>
      <c r="K7" s="116">
        <v>0</v>
      </c>
      <c r="R7" s="39"/>
      <c r="S7" s="39" t="str">
        <f>IFERROR(GETPIVOTDATA("Máx. de Eto acumulada",Resume!$A$4,"Sem",A7),"")</f>
        <v/>
      </c>
      <c r="V7" s="93" t="str">
        <f>IFERROR(GETPIVOTDATA("Máx. de NDVI r.int",Resume!$A$4,"Sem",A7),"")</f>
        <v/>
      </c>
      <c r="W7" s="93" t="str">
        <f>IFERROR(GETPIVOTDATA("Máx. de NDVI tipo i",Resume!$A$4,"Sem",A7),"")</f>
        <v/>
      </c>
    </row>
    <row r="8" spans="1:23" s="119" customFormat="1">
      <c r="A8" s="116">
        <f>A9-1</f>
        <v>1</v>
      </c>
      <c r="B8" s="44">
        <f>B9-7</f>
        <v>42374</v>
      </c>
      <c r="C8" s="116">
        <f>IFERROR(GETPIVOTDATA("Suma de N fert neto",Resume!$A$4,"Sem",A8),"")</f>
        <v>14.52</v>
      </c>
      <c r="D8" s="116" t="str">
        <f>IFERROR(IF(GETPIVOTDATA("N agua",Resume!$A$4,"Sem",A8)=0,"",GETPIVOTDATA("N agua",Resume!$A$4,"Sem",A8)),"")</f>
        <v/>
      </c>
      <c r="E8" s="116" t="str">
        <f>IFERROR(IF(GETPIVOTDATA("Suma de N mineralizado",Resume!$A$4,"Sem",A8)=0,"",GETPIVOTDATA("Suma de N mineralizado",Resume!$A$4,"Sem",A8)),"")</f>
        <v/>
      </c>
      <c r="F8" s="202">
        <f t="shared" si="0"/>
        <v>66.64</v>
      </c>
      <c r="G8" s="116" t="str">
        <f>IFERROR(IF(GETPIVOTDATA("Suma de N extr 1",Resume!$A$4,"Sem",A8)=0,"",GETPIVOTDATA("Suma de N extr 1",Resume!$A$4,"Sem",A8))*(1+Inputs!$I$14),"")</f>
        <v/>
      </c>
      <c r="H8" s="116" t="str">
        <f>IFERROR(IF(GETPIVOTDATA("Nl",Resume!$A$4,"Sem",A8)=0,"",GETPIVOTDATA("Nl",Resume!$A$4,"Sem",A8)),"")</f>
        <v/>
      </c>
      <c r="I8" s="102">
        <f t="shared" si="1"/>
        <v>81.16</v>
      </c>
      <c r="J8" s="440">
        <f>IFERROR(GETPIVOTDATA("Máx. de Nmin medido",Resume!$A$4,"Sem",A8),"")</f>
        <v>66.64</v>
      </c>
      <c r="K8" s="116">
        <v>0</v>
      </c>
      <c r="R8" s="39"/>
      <c r="S8" s="39">
        <f>IFERROR(GETPIVOTDATA("Máx. de Eto acumulada",Resume!$A$4,"Sem",A8),"")</f>
        <v>0</v>
      </c>
      <c r="V8" s="93">
        <f>IFERROR(GETPIVOTDATA("Máx. de NDVI r.int",Resume!$A$4,"Sem",A8),"")</f>
        <v>0</v>
      </c>
      <c r="W8" s="93">
        <f>IFERROR(GETPIVOTDATA("Máx. de NDVI tipo i",Resume!$A$4,"Sem",A8),"")</f>
        <v>0</v>
      </c>
    </row>
    <row r="9" spans="1:23">
      <c r="A9" s="116">
        <f>_xlfn.ISOWEEKNUM(B9)</f>
        <v>2</v>
      </c>
      <c r="B9" s="8">
        <v>42381</v>
      </c>
      <c r="C9" s="213">
        <f>IFERROR(GETPIVOTDATA("Suma de N fert neto",Resume!$A$4,"Sem",A9),"")</f>
        <v>0</v>
      </c>
      <c r="D9" s="214" t="str">
        <f>IFERROR(IF(GETPIVOTDATA("Suma de N agua",Resume!$A$4,"Sem",A9)=0,"",GETPIVOTDATA("Suma de N agua",Resume!$A$4,"Sem",A9)),"")</f>
        <v/>
      </c>
      <c r="E9" s="213" t="str">
        <f>IFERROR(IF(GETPIVOTDATA("Suma de N mineralizado",Resume!$A$4,"Sem",A9)=0,"",GETPIVOTDATA("Suma de N mineralizado",Resume!$A$4,"Sem",A9)),"")</f>
        <v/>
      </c>
      <c r="F9" s="215">
        <f t="shared" si="0"/>
        <v>81.16</v>
      </c>
      <c r="G9" s="214" t="str">
        <f>IFERROR(IF(GETPIVOTDATA("Suma de N extr 1",Resume!$A$4,"Sem",A9)=0,"",GETPIVOTDATA("Suma de N extr 1",Resume!$A$4,"Sem",A9))*(1+Inputs!$I$14),"")</f>
        <v/>
      </c>
      <c r="H9" s="213" t="str">
        <f>IFERROR(IF(GETPIVOTDATA("Nl",Resume!$A$4,"Sem",A9)=0,"",GETPIVOTDATA("Nl",Resume!$A$4,"Sem",A9)),"")</f>
        <v/>
      </c>
      <c r="I9" s="214">
        <f t="shared" si="1"/>
        <v>81.16</v>
      </c>
      <c r="J9" s="213">
        <f>IFERROR(GETPIVOTDATA("Máx. de Nmin medido",Resume!$A$4,"Sem",A9),"")</f>
        <v>-100</v>
      </c>
      <c r="K9" s="213">
        <f>IFERROR(GETPIVOTDATA("Máx. de N recom (kg ha-1)",Resume!$A$4,"Sem",A9),"")</f>
        <v>25</v>
      </c>
      <c r="L9" s="214"/>
      <c r="M9" s="213">
        <f>GETPIVOTDATA("Máx. de Nmin medido",Resume!$A$4,"Sem",16)</f>
        <v>-100</v>
      </c>
      <c r="N9" s="216">
        <f>GETPIVOTDATA("Máx. de BBCH tipo",Resume!$A$4,"Sem",A9)</f>
        <v>0</v>
      </c>
      <c r="O9" s="216">
        <f t="shared" ref="O9:O43" si="2">IF(N9&gt;0,1.1,-999)</f>
        <v>-999</v>
      </c>
      <c r="P9" s="216">
        <f>GETPIVOTDATA("Máx. de BBCH real et",Resume!$A$4,"Sem",A9)</f>
        <v>0</v>
      </c>
      <c r="Q9" s="216">
        <f t="shared" ref="Q9:Q43" si="3">IF(P9&gt;1,1.1,-999)</f>
        <v>-999</v>
      </c>
      <c r="R9" s="217">
        <f t="shared" ref="R9:R43" si="4">IF(S9&gt;1,1.4,-999)</f>
        <v>-999</v>
      </c>
      <c r="S9" s="218">
        <f>IFERROR(GETPIVOTDATA("Máx. de Eto acumulada",Resume!$A$4,"Sem",A9),"")</f>
        <v>0</v>
      </c>
      <c r="T9" s="216">
        <f>IF(U9=-999,-999,1.4)</f>
        <v>1.4</v>
      </c>
      <c r="U9" s="218">
        <f>IFERROR(GETPIVOTDATA("Máx. de Eto acumulada real",Resume!$A$4,"Sem",A9)," ")</f>
        <v>0</v>
      </c>
      <c r="V9" s="93">
        <f>IF(IFERROR(GETPIVOTDATA("Máx. de NDVI r.int",Resume!$A$4,"Sem",A9),0)=0,-999,IFERROR(GETPIVOTDATA("Máx. de NDVI r.int",Resume!$A$4,"Sem",A9),""))</f>
        <v>-999</v>
      </c>
      <c r="W9" s="306">
        <f>IFERROR(GETPIVOTDATA("Máx. de NDVI tipo i",Resume!$A$4,"Sem",A9),"")</f>
        <v>0</v>
      </c>
    </row>
    <row r="10" spans="1:23">
      <c r="A10" s="116">
        <f t="shared" ref="A10:A43" si="5">_xlfn.ISOWEEKNUM(B10)</f>
        <v>3</v>
      </c>
      <c r="B10" s="69">
        <f>B9+7</f>
        <v>42388</v>
      </c>
      <c r="C10" s="116">
        <f>IFERROR(GETPIVOTDATA("Suma de N fert neto",Resume!$A$4,"Sem",A10),"")</f>
        <v>0</v>
      </c>
      <c r="D10" s="102" t="str">
        <f>IFERROR(IF(GETPIVOTDATA("Suma de N agua",Resume!$A$4,"Sem",A10)=0,"",GETPIVOTDATA("Suma de N agua",Resume!$A$4,"Sem",A10)),"")</f>
        <v/>
      </c>
      <c r="E10" s="116" t="str">
        <f>IFERROR(IF(GETPIVOTDATA("Suma de N mineralizado",Resume!$A$4,"Sem",A10)=0,"",GETPIVOTDATA("Suma de N mineralizado",Resume!$A$4,"Sem",A10)),"")</f>
        <v/>
      </c>
      <c r="F10" s="202">
        <f t="shared" si="0"/>
        <v>81.16</v>
      </c>
      <c r="G10" s="102">
        <f>IFERROR(IF(GETPIVOTDATA("Suma de N extr 1",Resume!$A$4,"Sem",A10)=0,"",GETPIVOTDATA("Suma de N extr 1",Resume!$A$4,"Sem",A10))*(1+Inputs!$I$14),0)</f>
        <v>0</v>
      </c>
      <c r="H10" s="116" t="s">
        <v>616</v>
      </c>
      <c r="I10" s="102">
        <f t="shared" si="1"/>
        <v>81.16</v>
      </c>
      <c r="J10" s="116">
        <f>IFERROR(GETPIVOTDATA("Máx. de Nmin medido",Resume!$A$4,"Sem",A10),"")</f>
        <v>-100</v>
      </c>
      <c r="K10" s="116">
        <f>IFERROR(GETPIVOTDATA("Máx. de N recom (kg ha-1)",Resume!$A$4,"Sem",A10),"")</f>
        <v>25</v>
      </c>
      <c r="L10" s="102">
        <v>0</v>
      </c>
      <c r="M10" s="116">
        <f>GETPIVOTDATA("Máx. de Nmin medido",Resume!$A$4,"Sem",16)</f>
        <v>-100</v>
      </c>
      <c r="N10" s="119">
        <f>GETPIVOTDATA("Máx. de BBCH tipo",Resume!$A$4,"Sem",A10)</f>
        <v>0</v>
      </c>
      <c r="O10" s="119">
        <f t="shared" si="2"/>
        <v>-999</v>
      </c>
      <c r="P10" s="119">
        <f>GETPIVOTDATA("Máx. de BBCH real et",Resume!$A$4,"Sem",A10)</f>
        <v>-99999</v>
      </c>
      <c r="Q10" s="119">
        <f>IF(P10&gt;1,1.1,-999)</f>
        <v>-999</v>
      </c>
      <c r="R10" s="39">
        <f t="shared" si="4"/>
        <v>1.4</v>
      </c>
      <c r="S10" s="219">
        <f>IFERROR(GETPIVOTDATA("Máx. de Eto acumulada",Resume!$A$4,"Sem",A10),"")</f>
        <v>8</v>
      </c>
      <c r="T10" s="119">
        <f>IF(U10=-999,-999,1.4)</f>
        <v>1.4</v>
      </c>
      <c r="U10" s="219">
        <f>IFERROR(GETPIVOTDATA("Máx. de Eto acumulada real",Resume!$A$4,"Sem",A10)," ")</f>
        <v>9.1</v>
      </c>
      <c r="V10" s="93">
        <f>IF(IFERROR(GETPIVOTDATA("Máx. de NDVI r.int",Resume!$A$4,"Sem",A10),0)=0,-999,IFERROR(GETPIVOTDATA("Máx. de NDVI r.int",Resume!$A$4,"Sem",A10),""))</f>
        <v>0.26209876444444441</v>
      </c>
      <c r="W10" s="93">
        <f>IFERROR(GETPIVOTDATA("Máx. de NDVI tipo i",Resume!$A$4,"Sem",A10),"")</f>
        <v>0.21921747272727277</v>
      </c>
    </row>
    <row r="11" spans="1:23">
      <c r="A11" s="116">
        <f t="shared" si="5"/>
        <v>4</v>
      </c>
      <c r="B11" s="69">
        <f t="shared" ref="B11:B43" si="6">B10+7</f>
        <v>42395</v>
      </c>
      <c r="C11" s="116">
        <f>IFERROR(GETPIVOTDATA("Suma de N fert neto",Resume!$A$4,"Sem",A11),"")</f>
        <v>0</v>
      </c>
      <c r="D11" s="102" t="str">
        <f>IFERROR(IF(GETPIVOTDATA("Suma de N agua",Resume!$A$4,"Sem",A11)=0,"",GETPIVOTDATA("Suma de N agua",Resume!$A$4,"Sem",A11)),"")</f>
        <v/>
      </c>
      <c r="E11" s="102" t="str">
        <f>IFERROR(IF(GETPIVOTDATA("Suma de N mineralizado",Resume!$A$4,"Sem",A11)=0,"",GETPIVOTDATA("Suma de N mineralizado",Resume!$A$4,"Sem",A11)),"")</f>
        <v/>
      </c>
      <c r="F11" s="202">
        <f t="shared" si="0"/>
        <v>81.16</v>
      </c>
      <c r="G11" s="102">
        <f>IFERROR(IF(GETPIVOTDATA("Suma de N extr 1",Resume!$A$4,"Sem",A11)=0,"",GETPIVOTDATA("Suma de N extr 1",Resume!$A$4,"Sem",A11))*(1+Inputs!$I$14),0)</f>
        <v>-0.97615945945945926</v>
      </c>
      <c r="H11" s="116" t="s">
        <v>616</v>
      </c>
      <c r="I11" s="102">
        <f t="shared" si="1"/>
        <v>80.183840540540544</v>
      </c>
      <c r="J11" s="116">
        <f>IFERROR(GETPIVOTDATA("Máx. de Nmin medido",Resume!$A$4,"Sem",A11),"")</f>
        <v>-100</v>
      </c>
      <c r="K11" s="116">
        <f>IFERROR(GETPIVOTDATA("Máx. de N recom (kg ha-1)",Resume!$A$4,"Sem",A11),"")</f>
        <v>25</v>
      </c>
      <c r="L11" s="102">
        <f>G11+L10</f>
        <v>-0.97615945945945926</v>
      </c>
      <c r="M11" s="116">
        <f>GETPIVOTDATA("Máx. de Nmin medido",Resume!$A$4,"Sem",16)</f>
        <v>-100</v>
      </c>
      <c r="N11" s="119">
        <f>GETPIVOTDATA("Máx. de BBCH tipo",Resume!$A$4,"Sem",A11)</f>
        <v>9</v>
      </c>
      <c r="O11" s="119">
        <f t="shared" si="2"/>
        <v>1.1000000000000001</v>
      </c>
      <c r="P11" s="119">
        <f>GETPIVOTDATA("Máx. de BBCH real et",Resume!$A$4,"Sem",A11)</f>
        <v>-99999</v>
      </c>
      <c r="Q11" s="119">
        <f t="shared" si="3"/>
        <v>-999</v>
      </c>
      <c r="R11" s="39">
        <f t="shared" si="4"/>
        <v>1.4</v>
      </c>
      <c r="S11" s="219">
        <f>IFERROR(GETPIVOTDATA("Máx. de Eto acumulada",Resume!$A$4,"Sem",A11),"")</f>
        <v>15.3</v>
      </c>
      <c r="T11" s="119">
        <f t="shared" ref="T11:T43" si="7">IF(U11=-999,-999,1.4)</f>
        <v>1.4</v>
      </c>
      <c r="U11" s="219">
        <f>IFERROR(GETPIVOTDATA("Máx. de Eto acumulada real",Resume!$A$4,"Sem",A11)," ")</f>
        <v>20.5</v>
      </c>
      <c r="V11" s="93">
        <f>IF(IFERROR(GETPIVOTDATA("Máx. de NDVI r.int",Resume!$A$4,"Sem",A11),0)=0,-999,IFERROR(GETPIVOTDATA("Máx. de NDVI r.int",Resume!$A$4,"Sem",A11),""))</f>
        <v>0.26155864106481486</v>
      </c>
      <c r="W11" s="93">
        <f>IFERROR(GETPIVOTDATA("Máx. de NDVI tipo i",Resume!$A$4,"Sem",A11),"")</f>
        <v>0.22981980000000013</v>
      </c>
    </row>
    <row r="12" spans="1:23">
      <c r="A12" s="116">
        <f t="shared" si="5"/>
        <v>5</v>
      </c>
      <c r="B12" s="69">
        <f t="shared" si="6"/>
        <v>42402</v>
      </c>
      <c r="C12" s="116">
        <f>IFERROR(GETPIVOTDATA("Suma de N fert neto",Resume!$A$4,"Sem",A12),"")</f>
        <v>0</v>
      </c>
      <c r="D12" s="102" t="str">
        <f>IFERROR(IF(GETPIVOTDATA("Suma de N agua",Resume!$A$4,"Sem",A12)=0,"",GETPIVOTDATA("Suma de N agua",Resume!$A$4,"Sem",A12)),"")</f>
        <v/>
      </c>
      <c r="E12" s="102" t="str">
        <f>IFERROR(IF(GETPIVOTDATA("Suma de N mineralizado",Resume!$A$4,"Sem",A12)=0,"",GETPIVOTDATA("Suma de N mineralizado",Resume!$A$4,"Sem",A12)),"")</f>
        <v/>
      </c>
      <c r="F12" s="202">
        <f t="shared" ref="F12:F43" si="8">I11</f>
        <v>80.183840540540544</v>
      </c>
      <c r="G12" s="102">
        <f>IFERROR(IF(GETPIVOTDATA("Suma de N extr 1",Resume!$A$4,"Sem",A12)=0,"",GETPIVOTDATA("Suma de N extr 1",Resume!$A$4,"Sem",A12))*(1+Inputs!$I$14),0)</f>
        <v>-6.8331162162162133</v>
      </c>
      <c r="H12" s="116" t="s">
        <v>616</v>
      </c>
      <c r="I12" s="102">
        <f t="shared" si="1"/>
        <v>73.350724324324332</v>
      </c>
      <c r="J12" s="116">
        <f>IFERROR(GETPIVOTDATA("Máx. de Nmin medido",Resume!$A$4,"Sem",A12),"")</f>
        <v>-100</v>
      </c>
      <c r="K12" s="116">
        <f>IFERROR(GETPIVOTDATA("Máx. de N recom (kg ha-1)",Resume!$A$4,"Sem",A12),"")</f>
        <v>25</v>
      </c>
      <c r="L12" s="102">
        <f>G12+L11</f>
        <v>-7.8092756756756723</v>
      </c>
      <c r="M12" s="116">
        <f>GETPIVOTDATA("Máx. de Nmin medido",Resume!$A$4,"Sem",16)</f>
        <v>-100</v>
      </c>
      <c r="N12" s="119">
        <f>GETPIVOTDATA("Máx. de BBCH tipo",Resume!$A$4,"Sem",A12)</f>
        <v>-9999</v>
      </c>
      <c r="O12" s="119">
        <f t="shared" si="2"/>
        <v>-999</v>
      </c>
      <c r="P12" s="119">
        <f>GETPIVOTDATA("Máx. de BBCH real et",Resume!$A$4,"Sem",A12)</f>
        <v>-99999</v>
      </c>
      <c r="Q12" s="119">
        <f t="shared" si="3"/>
        <v>-999</v>
      </c>
      <c r="R12" s="39">
        <f t="shared" si="4"/>
        <v>1.4</v>
      </c>
      <c r="S12" s="219">
        <f>IFERROR(GETPIVOTDATA("Máx. de Eto acumulada",Resume!$A$4,"Sem",A12),"")</f>
        <v>22.799999999999997</v>
      </c>
      <c r="T12" s="119">
        <f t="shared" si="7"/>
        <v>1.4</v>
      </c>
      <c r="U12" s="219">
        <f>IFERROR(GETPIVOTDATA("Máx. de Eto acumulada real",Resume!$A$4,"Sem",A12)," ")</f>
        <v>35.6</v>
      </c>
      <c r="V12" s="93">
        <f>IF(IFERROR(GETPIVOTDATA("Máx. de NDVI r.int",Resume!$A$4,"Sem",A12),0)=0,-999,IFERROR(GETPIVOTDATA("Máx. de NDVI r.int",Resume!$A$4,"Sem",A12),""))</f>
        <v>0.26080246833333348</v>
      </c>
      <c r="W12" s="307">
        <f>IFERROR(GETPIVOTDATA("Máx. de NDVI tipo i",Resume!$A$4,"Sem",A12),"")</f>
        <v>0.24042212727272749</v>
      </c>
    </row>
    <row r="13" spans="1:23">
      <c r="A13" s="116">
        <f t="shared" si="5"/>
        <v>6</v>
      </c>
      <c r="B13" s="69">
        <f t="shared" si="6"/>
        <v>42409</v>
      </c>
      <c r="C13" s="116">
        <f>IFERROR(GETPIVOTDATA("Suma de N fert neto",Resume!$A$4,"Sem",A13),"")</f>
        <v>0</v>
      </c>
      <c r="D13" s="102" t="str">
        <f>IFERROR(IF(GETPIVOTDATA("Suma de N agua",Resume!$A$4,"Sem",A13)=0,"",GETPIVOTDATA("Suma de N agua",Resume!$A$4,"Sem",A13)),"")</f>
        <v/>
      </c>
      <c r="E13" s="102" t="str">
        <f>IFERROR(IF(GETPIVOTDATA("Suma de N mineralizado",Resume!$A$4,"Sem",A13)=0,"",GETPIVOTDATA("Suma de N mineralizado",Resume!$A$4,"Sem",A13)),"")</f>
        <v/>
      </c>
      <c r="F13" s="202">
        <f t="shared" si="8"/>
        <v>73.350724324324332</v>
      </c>
      <c r="G13" s="102">
        <f>IFERROR(IF(GETPIVOTDATA("Suma de N extr 1",Resume!$A$4,"Sem",A13)=0,"",GETPIVOTDATA("Suma de N extr 1",Resume!$A$4,"Sem",A13))*(1+Inputs!$I$14),0)</f>
        <v>-5.5873508108108112</v>
      </c>
      <c r="H13" s="116" t="s">
        <v>616</v>
      </c>
      <c r="I13" s="102">
        <f t="shared" si="1"/>
        <v>67.763373513513528</v>
      </c>
      <c r="J13" s="116">
        <f>IFERROR(GETPIVOTDATA("Máx. de Nmin medido",Resume!$A$4,"Sem",A13),"")</f>
        <v>-100</v>
      </c>
      <c r="K13" s="116">
        <f>IFERROR(GETPIVOTDATA("Máx. de N recom (kg ha-1)",Resume!$A$4,"Sem",A13),"")</f>
        <v>25</v>
      </c>
      <c r="L13" s="102">
        <f t="shared" ref="L13:L43" si="9">G13+L12</f>
        <v>-13.396626486486483</v>
      </c>
      <c r="M13" s="116">
        <f>GETPIVOTDATA("Máx. de Nmin medido",Resume!$A$4,"Sem",16)</f>
        <v>-100</v>
      </c>
      <c r="N13" s="119">
        <f>GETPIVOTDATA("Máx. de BBCH tipo",Resume!$A$4,"Sem",A13)</f>
        <v>11</v>
      </c>
      <c r="O13" s="119">
        <f t="shared" si="2"/>
        <v>1.1000000000000001</v>
      </c>
      <c r="P13" s="119">
        <f>GETPIVOTDATA("Máx. de BBCH real et",Resume!$A$4,"Sem",A13)</f>
        <v>-99999</v>
      </c>
      <c r="Q13" s="119">
        <f t="shared" si="3"/>
        <v>-999</v>
      </c>
      <c r="R13" s="39">
        <f t="shared" si="4"/>
        <v>1.4</v>
      </c>
      <c r="S13" s="219">
        <f>IFERROR(GETPIVOTDATA("Máx. de Eto acumulada",Resume!$A$4,"Sem",A13),"")</f>
        <v>33.9</v>
      </c>
      <c r="T13" s="119">
        <f t="shared" si="7"/>
        <v>1.4</v>
      </c>
      <c r="U13" s="219">
        <f>IFERROR(GETPIVOTDATA("Máx. de Eto acumulada real",Resume!$A$4,"Sem",A13)," ")</f>
        <v>45.300000000000004</v>
      </c>
      <c r="V13" s="93">
        <f>IF(IFERROR(GETPIVOTDATA("Máx. de NDVI r.int",Resume!$A$4,"Sem",A13),0)=0,-999,IFERROR(GETPIVOTDATA("Máx. de NDVI r.int",Resume!$A$4,"Sem",A13),""))</f>
        <v>0.26004629560185211</v>
      </c>
      <c r="W13" s="93">
        <f>IFERROR(GETPIVOTDATA("Máx. de NDVI tipo i",Resume!$A$4,"Sem",A13),"")</f>
        <v>0.25102445454545486</v>
      </c>
    </row>
    <row r="14" spans="1:23">
      <c r="A14" s="116">
        <f t="shared" si="5"/>
        <v>7</v>
      </c>
      <c r="B14" s="69">
        <f t="shared" si="6"/>
        <v>42416</v>
      </c>
      <c r="C14" s="116">
        <f>IFERROR(GETPIVOTDATA("Suma de N fert neto",Resume!$A$4,"Sem",A14),"")</f>
        <v>0</v>
      </c>
      <c r="D14" s="102" t="str">
        <f>IFERROR(IF(GETPIVOTDATA("Suma de N agua",Resume!$A$4,"Sem",A14)=0,"",GETPIVOTDATA("Suma de N agua",Resume!$A$4,"Sem",A14)),"")</f>
        <v/>
      </c>
      <c r="E14" s="102" t="str">
        <f>IFERROR(IF(GETPIVOTDATA("Suma de N mineralizado",Resume!$A$4,"Sem",A14)=0,"",GETPIVOTDATA("Suma de N mineralizado",Resume!$A$4,"Sem",A14)),"")</f>
        <v/>
      </c>
      <c r="F14" s="202">
        <f t="shared" si="8"/>
        <v>67.763373513513528</v>
      </c>
      <c r="G14" s="102">
        <f>IFERROR(IF(GETPIVOTDATA("Suma de N extr 1",Resume!$A$4,"Sem",A14)=0,"",GETPIVOTDATA("Suma de N extr 1",Resume!$A$4,"Sem",A14))*(1+Inputs!$I$14),0)</f>
        <v>-4.6530267567567583</v>
      </c>
      <c r="H14" s="116" t="s">
        <v>616</v>
      </c>
      <c r="I14" s="102">
        <f t="shared" si="1"/>
        <v>63.110346756756769</v>
      </c>
      <c r="J14" s="116">
        <f>IFERROR(GETPIVOTDATA("Máx. de Nmin medido",Resume!$A$4,"Sem",A14),"")</f>
        <v>-100</v>
      </c>
      <c r="K14" s="116">
        <f>IFERROR(GETPIVOTDATA("Máx. de N recom (kg ha-1)",Resume!$A$4,"Sem",A14),"")</f>
        <v>25</v>
      </c>
      <c r="L14" s="102">
        <f t="shared" si="9"/>
        <v>-18.049653243243242</v>
      </c>
      <c r="M14" s="116">
        <f>GETPIVOTDATA("Máx. de Nmin medido",Resume!$A$4,"Sem",16)</f>
        <v>-100</v>
      </c>
      <c r="N14" s="119">
        <f>GETPIVOTDATA("Máx. de BBCH tipo",Resume!$A$4,"Sem",A14)</f>
        <v>-9999</v>
      </c>
      <c r="O14" s="119">
        <f t="shared" si="2"/>
        <v>-999</v>
      </c>
      <c r="P14" s="119">
        <f>GETPIVOTDATA("Máx. de BBCH real et",Resume!$A$4,"Sem",A14)</f>
        <v>-99999</v>
      </c>
      <c r="Q14" s="119">
        <f t="shared" si="3"/>
        <v>-999</v>
      </c>
      <c r="R14" s="39">
        <f t="shared" si="4"/>
        <v>1.4</v>
      </c>
      <c r="S14" s="219">
        <f>IFERROR(GETPIVOTDATA("Máx. de Eto acumulada",Resume!$A$4,"Sem",A14),"")</f>
        <v>48.8</v>
      </c>
      <c r="T14" s="119">
        <f t="shared" si="7"/>
        <v>1.4</v>
      </c>
      <c r="U14" s="219">
        <f>IFERROR(GETPIVOTDATA("Máx. de Eto acumulada real",Resume!$A$4,"Sem",A14)," ")</f>
        <v>53.6</v>
      </c>
      <c r="V14" s="93">
        <f>IF(IFERROR(GETPIVOTDATA("Máx. de NDVI r.int",Resume!$A$4,"Sem",A14),0)=0,-999,IFERROR(GETPIVOTDATA("Máx. de NDVI r.int",Resume!$A$4,"Sem",A14),""))</f>
        <v>0.25929012287037073</v>
      </c>
      <c r="W14" s="93">
        <f>IFERROR(GETPIVOTDATA("Máx. de NDVI tipo i",Resume!$A$4,"Sem",A14),"")</f>
        <v>0.26162678181818222</v>
      </c>
    </row>
    <row r="15" spans="1:23">
      <c r="A15" s="116">
        <f t="shared" si="5"/>
        <v>8</v>
      </c>
      <c r="B15" s="69">
        <f t="shared" si="6"/>
        <v>42423</v>
      </c>
      <c r="C15" s="116">
        <f>IFERROR(GETPIVOTDATA("Suma de N fert neto",Resume!$A$4,"Sem",A15),"")</f>
        <v>0</v>
      </c>
      <c r="D15" s="102" t="str">
        <f>IFERROR(IF(GETPIVOTDATA("Suma de N agua",Resume!$A$4,"Sem",A15)=0,"",GETPIVOTDATA("Suma de N agua",Resume!$A$4,"Sem",A15)),"")</f>
        <v/>
      </c>
      <c r="E15" s="102" t="str">
        <f>IFERROR(IF(GETPIVOTDATA("Suma de N mineralizado",Resume!$A$4,"Sem",A15)=0,"",GETPIVOTDATA("Suma de N mineralizado",Resume!$A$4,"Sem",A15)),"")</f>
        <v/>
      </c>
      <c r="F15" s="202">
        <f t="shared" si="8"/>
        <v>63.110346756756769</v>
      </c>
      <c r="G15" s="102">
        <f>IFERROR(IF(GETPIVOTDATA("Suma de N extr 1",Resume!$A$4,"Sem",A15)=0,"",GETPIVOTDATA("Suma de N extr 1",Resume!$A$4,"Sem",A15))*(1+Inputs!$I$14),0)</f>
        <v>-6.1102933783783788</v>
      </c>
      <c r="H15" s="116" t="s">
        <v>616</v>
      </c>
      <c r="I15" s="102">
        <f t="shared" si="1"/>
        <v>57.000053378378389</v>
      </c>
      <c r="J15" s="116">
        <f>IFERROR(GETPIVOTDATA("Máx. de Nmin medido",Resume!$A$4,"Sem",A15),"")</f>
        <v>-100</v>
      </c>
      <c r="K15" s="116">
        <f>IFERROR(GETPIVOTDATA("Máx. de N recom (kg ha-1)",Resume!$A$4,"Sem",A15),"")</f>
        <v>25</v>
      </c>
      <c r="L15" s="102">
        <f t="shared" si="9"/>
        <v>-24.159946621621621</v>
      </c>
      <c r="M15" s="116">
        <f>GETPIVOTDATA("Máx. de Nmin medido",Resume!$A$4,"Sem",16)</f>
        <v>-100</v>
      </c>
      <c r="N15" s="119">
        <f>GETPIVOTDATA("Máx. de BBCH tipo",Resume!$A$4,"Sem",A15)</f>
        <v>12</v>
      </c>
      <c r="O15" s="119">
        <f t="shared" si="2"/>
        <v>1.1000000000000001</v>
      </c>
      <c r="P15" s="119">
        <f>GETPIVOTDATA("Máx. de BBCH real et",Resume!$A$4,"Sem",A15)</f>
        <v>-99999</v>
      </c>
      <c r="Q15" s="119">
        <f t="shared" si="3"/>
        <v>-999</v>
      </c>
      <c r="R15" s="39">
        <f t="shared" si="4"/>
        <v>1.4</v>
      </c>
      <c r="S15" s="219">
        <f>IFERROR(GETPIVOTDATA("Máx. de Eto acumulada",Resume!$A$4,"Sem",A15),"")</f>
        <v>61.5</v>
      </c>
      <c r="T15" s="119">
        <f t="shared" si="7"/>
        <v>1.4</v>
      </c>
      <c r="U15" s="219">
        <f>IFERROR(GETPIVOTDATA("Máx. de Eto acumulada real",Resume!$A$4,"Sem",A15)," ")</f>
        <v>65</v>
      </c>
      <c r="V15" s="93">
        <f>IF(IFERROR(GETPIVOTDATA("Máx. de NDVI r.int",Resume!$A$4,"Sem",A15),0)=0,-999,IFERROR(GETPIVOTDATA("Máx. de NDVI r.int",Resume!$A$4,"Sem",A15),""))</f>
        <v>0.25853395013888936</v>
      </c>
      <c r="W15" s="93">
        <f>IFERROR(GETPIVOTDATA("Máx. de NDVI tipo i",Resume!$A$4,"Sem",A15),"")</f>
        <v>0.27222910909090958</v>
      </c>
    </row>
    <row r="16" spans="1:23">
      <c r="A16" s="116">
        <f t="shared" si="5"/>
        <v>9</v>
      </c>
      <c r="B16" s="69">
        <f t="shared" si="6"/>
        <v>42430</v>
      </c>
      <c r="C16" s="116">
        <f>IFERROR(GETPIVOTDATA("Suma de N fert neto",Resume!$A$4,"Sem",A16),"")</f>
        <v>0</v>
      </c>
      <c r="D16" s="102" t="str">
        <f>IFERROR(IF(GETPIVOTDATA("Suma de N agua",Resume!$A$4,"Sem",A16)=0,"",GETPIVOTDATA("Suma de N agua",Resume!$A$4,"Sem",A16)),"")</f>
        <v/>
      </c>
      <c r="E16" s="102" t="str">
        <f>IFERROR(IF(GETPIVOTDATA("Suma de N mineralizado",Resume!$A$4,"Sem",A16)=0,"",GETPIVOTDATA("Suma de N mineralizado",Resume!$A$4,"Sem",A16)),"")</f>
        <v/>
      </c>
      <c r="F16" s="202">
        <f t="shared" si="8"/>
        <v>57.000053378378389</v>
      </c>
      <c r="G16" s="102">
        <f>IFERROR(IF(GETPIVOTDATA("Suma de N extr 1",Resume!$A$4,"Sem",A16)=0,"",GETPIVOTDATA("Suma de N extr 1",Resume!$A$4,"Sem",A16))*(1+Inputs!$I$14),0)</f>
        <v>-14.29874391891892</v>
      </c>
      <c r="H16" s="116" t="s">
        <v>616</v>
      </c>
      <c r="I16" s="102">
        <f t="shared" si="1"/>
        <v>42.701309459459466</v>
      </c>
      <c r="J16" s="116">
        <f>IFERROR(GETPIVOTDATA("Máx. de Nmin medido",Resume!$A$4,"Sem",A16),"")</f>
        <v>-100</v>
      </c>
      <c r="K16" s="116">
        <f>IFERROR(GETPIVOTDATA("Máx. de N recom (kg ha-1)",Resume!$A$4,"Sem",A16),"")</f>
        <v>40</v>
      </c>
      <c r="L16" s="102">
        <f t="shared" si="9"/>
        <v>-38.458690540540545</v>
      </c>
      <c r="M16" s="116">
        <f>GETPIVOTDATA("Máx. de Nmin medido",Resume!$A$4,"Sem",16)</f>
        <v>-100</v>
      </c>
      <c r="N16" s="119">
        <f>GETPIVOTDATA("Máx. de BBCH tipo",Resume!$A$4,"Sem",A16)</f>
        <v>13</v>
      </c>
      <c r="O16" s="119">
        <f t="shared" si="2"/>
        <v>1.1000000000000001</v>
      </c>
      <c r="P16" s="119">
        <f>GETPIVOTDATA("Máx. de BBCH real et",Resume!$A$4,"Sem",A16)</f>
        <v>-99999</v>
      </c>
      <c r="Q16" s="119">
        <f t="shared" si="3"/>
        <v>-999</v>
      </c>
      <c r="R16" s="39">
        <f t="shared" si="4"/>
        <v>1.4</v>
      </c>
      <c r="S16" s="219">
        <f>IFERROR(GETPIVOTDATA("Máx. de Eto acumulada",Resume!$A$4,"Sem",A16),"")</f>
        <v>75.600000000000023</v>
      </c>
      <c r="T16" s="119">
        <f t="shared" si="7"/>
        <v>1.4</v>
      </c>
      <c r="U16" s="219">
        <f>IFERROR(GETPIVOTDATA("Máx. de Eto acumulada real",Resume!$A$4,"Sem",A16)," ")</f>
        <v>84.6</v>
      </c>
      <c r="V16" s="93">
        <f>IF(IFERROR(GETPIVOTDATA("Máx. de NDVI r.int",Resume!$A$4,"Sem",A16),0)=0,-999,IFERROR(GETPIVOTDATA("Máx. de NDVI r.int",Resume!$A$4,"Sem",A16),""))</f>
        <v>0.25777777740740798</v>
      </c>
      <c r="W16" s="93">
        <f>IFERROR(GETPIVOTDATA("Máx. de NDVI tipo i",Resume!$A$4,"Sem",A16),"")</f>
        <v>0.28283143636363695</v>
      </c>
    </row>
    <row r="17" spans="1:23">
      <c r="A17" s="116">
        <f t="shared" si="5"/>
        <v>10</v>
      </c>
      <c r="B17" s="69">
        <f t="shared" si="6"/>
        <v>42437</v>
      </c>
      <c r="C17" s="116">
        <f>IFERROR(GETPIVOTDATA("Suma de N fert neto",Resume!$A$4,"Sem",A17),"")</f>
        <v>88.32</v>
      </c>
      <c r="D17" s="102" t="str">
        <f>IFERROR(IF(GETPIVOTDATA("Suma de N agua",Resume!$A$4,"Sem",A17)=0,"",GETPIVOTDATA("Suma de N agua",Resume!$A$4,"Sem",A17)),"")</f>
        <v/>
      </c>
      <c r="E17" s="102">
        <f>IFERROR(IF(GETPIVOTDATA("Suma de N mineralizado",Resume!$A$4,"Sem",A17)=0,"",GETPIVOTDATA("Suma de N mineralizado",Resume!$A$4,"Sem",A17)),"")</f>
        <v>0.56000000000000005</v>
      </c>
      <c r="F17" s="202">
        <f t="shared" si="8"/>
        <v>42.701309459459466</v>
      </c>
      <c r="G17" s="102">
        <f>IFERROR(IF(GETPIVOTDATA("Suma de N extr 1",Resume!$A$4,"Sem",A17)=0,"",GETPIVOTDATA("Suma de N extr 1",Resume!$A$4,"Sem",A17))*(1+Inputs!$I$14),0)</f>
        <v>-24.229844035414729</v>
      </c>
      <c r="H17" s="116" t="s">
        <v>616</v>
      </c>
      <c r="I17" s="102">
        <f t="shared" si="1"/>
        <v>107.35146542404475</v>
      </c>
      <c r="J17" s="116">
        <f>IFERROR(GETPIVOTDATA("Máx. de Nmin medido",Resume!$A$4,"Sem",A17),"")</f>
        <v>-100</v>
      </c>
      <c r="K17" s="116">
        <f>IFERROR(GETPIVOTDATA("Máx. de N recom (kg ha-1)",Resume!$A$4,"Sem",A17),"")</f>
        <v>40</v>
      </c>
      <c r="L17" s="102">
        <f t="shared" si="9"/>
        <v>-62.688534575955273</v>
      </c>
      <c r="M17" s="116">
        <f>GETPIVOTDATA("Máx. de Nmin medido",Resume!$A$4,"Sem",16)</f>
        <v>-100</v>
      </c>
      <c r="N17" s="119">
        <f>GETPIVOTDATA("Máx. de BBCH tipo",Resume!$A$4,"Sem",A17)</f>
        <v>21</v>
      </c>
      <c r="O17" s="119">
        <f t="shared" si="2"/>
        <v>1.1000000000000001</v>
      </c>
      <c r="P17" s="119">
        <f>GETPIVOTDATA("Máx. de BBCH real et",Resume!$A$4,"Sem",A17)</f>
        <v>-99999</v>
      </c>
      <c r="Q17" s="119">
        <f t="shared" si="3"/>
        <v>-999</v>
      </c>
      <c r="R17" s="39">
        <f t="shared" si="4"/>
        <v>1.4</v>
      </c>
      <c r="S17" s="219">
        <f>IFERROR(GETPIVOTDATA("Máx. de Eto acumulada",Resume!$A$4,"Sem",A17),"")</f>
        <v>94.900000000000034</v>
      </c>
      <c r="T17" s="119">
        <f t="shared" si="7"/>
        <v>1.4</v>
      </c>
      <c r="U17" s="219">
        <f>IFERROR(GETPIVOTDATA("Máx. de Eto acumulada real",Resume!$A$4,"Sem",A17)," ")</f>
        <v>104.6</v>
      </c>
      <c r="V17" s="93">
        <f>IF(IFERROR(GETPIVOTDATA("Máx. de NDVI r.int",Resume!$A$4,"Sem",A17),0)=0,-999,IFERROR(GETPIVOTDATA("Máx. de NDVI r.int",Resume!$A$4,"Sem",A17),""))</f>
        <v>0.27446208079365075</v>
      </c>
      <c r="W17" s="93">
        <f>IFERROR(GETPIVOTDATA("Máx. de NDVI tipo i",Resume!$A$4,"Sem",A17),"")</f>
        <v>0.29343376363636431</v>
      </c>
    </row>
    <row r="18" spans="1:23">
      <c r="A18" s="116">
        <f t="shared" si="5"/>
        <v>11</v>
      </c>
      <c r="B18" s="69">
        <f t="shared" si="6"/>
        <v>42444</v>
      </c>
      <c r="C18" s="116">
        <f>IFERROR(GETPIVOTDATA("Suma de N fert neto",Resume!$A$4,"Sem",A18),"")</f>
        <v>0</v>
      </c>
      <c r="D18" s="102" t="str">
        <f>IFERROR(IF(GETPIVOTDATA("Suma de N agua",Resume!$A$4,"Sem",A18)=0,"",GETPIVOTDATA("Suma de N agua",Resume!$A$4,"Sem",A18)),"")</f>
        <v/>
      </c>
      <c r="E18" s="102" t="str">
        <f>IFERROR(IF(GETPIVOTDATA("Suma de N mineralizado",Resume!$A$4,"Sem",A18)=0,"",GETPIVOTDATA("Suma de N mineralizado",Resume!$A$4,"Sem",A18)),"")</f>
        <v/>
      </c>
      <c r="F18" s="202">
        <f t="shared" si="8"/>
        <v>107.35146542404475</v>
      </c>
      <c r="G18" s="102">
        <f>IFERROR(IF(GETPIVOTDATA("Suma de N extr 1",Resume!$A$4,"Sem",A18)=0,"",GETPIVOTDATA("Suma de N extr 1",Resume!$A$4,"Sem",A18))*(1+Inputs!$I$14),0)</f>
        <v>-10.023666961789376</v>
      </c>
      <c r="H18" s="116" t="s">
        <v>616</v>
      </c>
      <c r="I18" s="102">
        <f t="shared" si="1"/>
        <v>97.327798462255373</v>
      </c>
      <c r="J18" s="116">
        <f>IFERROR(GETPIVOTDATA("Máx. de Nmin medido",Resume!$A$4,"Sem",A18),"")</f>
        <v>-100</v>
      </c>
      <c r="K18" s="116">
        <f>IFERROR(GETPIVOTDATA("Máx. de N recom (kg ha-1)",Resume!$A$4,"Sem",A18),"")</f>
        <v>40</v>
      </c>
      <c r="L18" s="102">
        <f t="shared" si="9"/>
        <v>-72.712201537744647</v>
      </c>
      <c r="M18" s="116">
        <f>GETPIVOTDATA("Máx. de Nmin medido",Resume!$A$4,"Sem",16)</f>
        <v>-100</v>
      </c>
      <c r="N18" s="119">
        <f>GETPIVOTDATA("Máx. de BBCH tipo",Resume!$A$4,"Sem",A18)</f>
        <v>-9999</v>
      </c>
      <c r="O18" s="119">
        <f t="shared" si="2"/>
        <v>-999</v>
      </c>
      <c r="P18" s="119">
        <f>GETPIVOTDATA("Máx. de BBCH real et",Resume!$A$4,"Sem",A18)</f>
        <v>22</v>
      </c>
      <c r="Q18" s="119">
        <f t="shared" si="3"/>
        <v>1.1000000000000001</v>
      </c>
      <c r="R18" s="39">
        <f t="shared" si="4"/>
        <v>1.4</v>
      </c>
      <c r="S18" s="219">
        <f>IFERROR(GETPIVOTDATA("Máx. de Eto acumulada",Resume!$A$4,"Sem",A18),"")</f>
        <v>111.30000000000003</v>
      </c>
      <c r="T18" s="119">
        <f t="shared" si="7"/>
        <v>1.4</v>
      </c>
      <c r="U18" s="219">
        <f>IFERROR(GETPIVOTDATA("Máx. de Eto acumulada real",Resume!$A$4,"Sem",A18)," ")</f>
        <v>126.00000000000001</v>
      </c>
      <c r="V18" s="93">
        <f>IF(IFERROR(GETPIVOTDATA("Máx. de NDVI r.int",Resume!$A$4,"Sem",A18),0)=0,-999,IFERROR(GETPIVOTDATA("Máx. de NDVI r.int",Resume!$A$4,"Sem",A18),""))</f>
        <v>0.34682324574525747</v>
      </c>
      <c r="W18" s="93">
        <f>IFERROR(GETPIVOTDATA("Máx. de NDVI tipo i",Resume!$A$4,"Sem",A18),"")</f>
        <v>0.33810812195121953</v>
      </c>
    </row>
    <row r="19" spans="1:23">
      <c r="A19" s="116">
        <f t="shared" si="5"/>
        <v>12</v>
      </c>
      <c r="B19" s="69">
        <f t="shared" si="6"/>
        <v>42451</v>
      </c>
      <c r="C19" s="116">
        <f>IFERROR(GETPIVOTDATA("Suma de N fert neto",Resume!$A$4,"Sem",A19),"")</f>
        <v>0</v>
      </c>
      <c r="D19" s="102" t="str">
        <f>IFERROR(IF(GETPIVOTDATA("Suma de N agua",Resume!$A$4,"Sem",A19)=0,"",GETPIVOTDATA("Suma de N agua",Resume!$A$4,"Sem",A19)),"")</f>
        <v/>
      </c>
      <c r="E19" s="102" t="str">
        <f>IFERROR(IF(GETPIVOTDATA("Suma de N mineralizado",Resume!$A$4,"Sem",A19)=0,"",GETPIVOTDATA("Suma de N mineralizado",Resume!$A$4,"Sem",A19)),"")</f>
        <v/>
      </c>
      <c r="F19" s="202">
        <f t="shared" si="8"/>
        <v>97.327798462255373</v>
      </c>
      <c r="G19" s="102">
        <f>IFERROR(IF(GETPIVOTDATA("Suma de N extr 1",Resume!$A$4,"Sem",A19)=0,"",GETPIVOTDATA("Suma de N extr 1",Resume!$A$4,"Sem",A19))*(1+Inputs!$I$14),0)</f>
        <v>-10.023666961789376</v>
      </c>
      <c r="H19" s="102">
        <v>-0.57092100295794512</v>
      </c>
      <c r="I19" s="102">
        <f t="shared" si="1"/>
        <v>86.733210497508054</v>
      </c>
      <c r="J19" s="116">
        <f>IFERROR(GETPIVOTDATA("Máx. de Nmin medido",Resume!$A$4,"Sem",A19),"")</f>
        <v>-100</v>
      </c>
      <c r="K19" s="116">
        <f>IFERROR(GETPIVOTDATA("Máx. de N recom (kg ha-1)",Resume!$A$4,"Sem",A19),"")</f>
        <v>40</v>
      </c>
      <c r="L19" s="102">
        <f t="shared" si="9"/>
        <v>-82.735868499534021</v>
      </c>
      <c r="M19" s="116">
        <f>GETPIVOTDATA("Máx. de Nmin medido",Resume!$A$4,"Sem",16)</f>
        <v>-100</v>
      </c>
      <c r="N19" s="119">
        <f>GETPIVOTDATA("Máx. de BBCH tipo",Resume!$A$4,"Sem",A19)</f>
        <v>-9999</v>
      </c>
      <c r="O19" s="119">
        <f t="shared" si="2"/>
        <v>-999</v>
      </c>
      <c r="P19" s="119">
        <f>GETPIVOTDATA("Máx. de BBCH real et",Resume!$A$4,"Sem",A19)</f>
        <v>-99999</v>
      </c>
      <c r="Q19" s="119">
        <f t="shared" si="3"/>
        <v>-999</v>
      </c>
      <c r="R19" s="39">
        <f t="shared" si="4"/>
        <v>1.4</v>
      </c>
      <c r="S19" s="219">
        <f>IFERROR(GETPIVOTDATA("Máx. de Eto acumulada",Resume!$A$4,"Sem",A19),"")</f>
        <v>126.70000000000002</v>
      </c>
      <c r="T19" s="119">
        <f t="shared" si="7"/>
        <v>1.4</v>
      </c>
      <c r="U19" s="219">
        <f>IFERROR(GETPIVOTDATA("Máx. de Eto acumulada real",Resume!$A$4,"Sem",A19)," ")</f>
        <v>137.20000000000005</v>
      </c>
      <c r="V19" s="93">
        <f>IF(IFERROR(GETPIVOTDATA("Máx. de NDVI r.int",Resume!$A$4,"Sem",A19),0)=0,-999,IFERROR(GETPIVOTDATA("Máx. de NDVI r.int",Resume!$A$4,"Sem",A19),""))</f>
        <v>0.43830171623306247</v>
      </c>
      <c r="W19" s="93">
        <f>IFERROR(GETPIVOTDATA("Máx. de NDVI tipo i",Resume!$A$4,"Sem",A19),"")</f>
        <v>0.39641129268292691</v>
      </c>
    </row>
    <row r="20" spans="1:23">
      <c r="A20" s="116">
        <f t="shared" si="5"/>
        <v>13</v>
      </c>
      <c r="B20" s="69">
        <f t="shared" si="6"/>
        <v>42458</v>
      </c>
      <c r="C20" s="116">
        <f>IFERROR(GETPIVOTDATA("Suma de N fert neto",Resume!$A$4,"Sem",A20),"")</f>
        <v>0</v>
      </c>
      <c r="D20" s="102" t="str">
        <f>IFERROR(IF(GETPIVOTDATA("Suma de N agua",Resume!$A$4,"Sem",A20)=0,"",GETPIVOTDATA("Suma de N agua",Resume!$A$4,"Sem",A20)),"")</f>
        <v/>
      </c>
      <c r="E20" s="102">
        <f>IFERROR(IF(GETPIVOTDATA("Suma de N mineralizado",Resume!$A$4,"Sem",A20)=0,"",GETPIVOTDATA("Suma de N mineralizado",Resume!$A$4,"Sem",A20)),"")</f>
        <v>0.79800000000000004</v>
      </c>
      <c r="F20" s="202">
        <f t="shared" si="8"/>
        <v>86.733210497508054</v>
      </c>
      <c r="G20" s="102">
        <f>IFERROR(IF(GETPIVOTDATA("Suma de N extr 1",Resume!$A$4,"Sem",A20)=0,"",GETPIVOTDATA("Suma de N extr 1",Resume!$A$4,"Sem",A20))*(1+Inputs!$I$14),0)</f>
        <v>-10.023666961789376</v>
      </c>
      <c r="H20" s="102">
        <v>-4.5897563640178092</v>
      </c>
      <c r="I20" s="102">
        <f t="shared" si="1"/>
        <v>72.917787171700866</v>
      </c>
      <c r="J20" s="116">
        <f>IFERROR(GETPIVOTDATA("Máx. de Nmin medido",Resume!$A$4,"Sem",A20),"")</f>
        <v>-100</v>
      </c>
      <c r="K20" s="116">
        <f>IFERROR(GETPIVOTDATA("Máx. de N recom (kg ha-1)",Resume!$A$4,"Sem",A20),"")</f>
        <v>40</v>
      </c>
      <c r="L20" s="102">
        <f t="shared" si="9"/>
        <v>-92.759535461323395</v>
      </c>
      <c r="M20" s="116">
        <f>GETPIVOTDATA("Máx. de Nmin medido",Resume!$A$4,"Sem",16)</f>
        <v>-100</v>
      </c>
      <c r="N20" s="119">
        <f>GETPIVOTDATA("Máx. de BBCH tipo",Resume!$A$4,"Sem",A20)</f>
        <v>-9999</v>
      </c>
      <c r="O20" s="119">
        <f t="shared" si="2"/>
        <v>-999</v>
      </c>
      <c r="P20" s="119">
        <f>GETPIVOTDATA("Máx. de BBCH real et",Resume!$A$4,"Sem",A20)</f>
        <v>-99999</v>
      </c>
      <c r="Q20" s="119">
        <f t="shared" si="3"/>
        <v>-999</v>
      </c>
      <c r="R20" s="39">
        <f t="shared" si="4"/>
        <v>1.4</v>
      </c>
      <c r="S20" s="219">
        <f>IFERROR(GETPIVOTDATA("Máx. de Eto acumulada",Resume!$A$4,"Sem",A20),"")</f>
        <v>148.60000000000005</v>
      </c>
      <c r="T20" s="119">
        <f t="shared" si="7"/>
        <v>1.4</v>
      </c>
      <c r="U20" s="219">
        <f>IFERROR(GETPIVOTDATA("Máx. de Eto acumulada real",Resume!$A$4,"Sem",A20)," ")</f>
        <v>158.90000000000006</v>
      </c>
      <c r="V20" s="93">
        <f>IF(IFERROR(GETPIVOTDATA("Máx. de NDVI r.int",Resume!$A$4,"Sem",A20),0)=0,-999,IFERROR(GETPIVOTDATA("Máx. de NDVI r.int",Resume!$A$4,"Sem",A20),""))</f>
        <v>0.52978018672086746</v>
      </c>
      <c r="W20" s="93">
        <f>IFERROR(GETPIVOTDATA("Máx. de NDVI tipo i",Resume!$A$4,"Sem",A20),"")</f>
        <v>0.45471446341463428</v>
      </c>
    </row>
    <row r="21" spans="1:23">
      <c r="A21" s="116">
        <f t="shared" si="5"/>
        <v>14</v>
      </c>
      <c r="B21" s="69">
        <f t="shared" si="6"/>
        <v>42465</v>
      </c>
      <c r="C21" s="116">
        <f>IFERROR(GETPIVOTDATA("Suma de N fert neto",Resume!$A$4,"Sem",A21),"")</f>
        <v>0</v>
      </c>
      <c r="D21" s="102" t="str">
        <f>IFERROR(IF(GETPIVOTDATA("Suma de N agua",Resume!$A$4,"Sem",A21)=0,"",GETPIVOTDATA("Suma de N agua",Resume!$A$4,"Sem",A21)),"")</f>
        <v/>
      </c>
      <c r="E21" s="102">
        <f>IFERROR(IF(GETPIVOTDATA("Suma de N mineralizado",Resume!$A$4,"Sem",A21)=0,"",GETPIVOTDATA("Suma de N mineralizado",Resume!$A$4,"Sem",A21)),"")</f>
        <v>2.7199999999999998</v>
      </c>
      <c r="F21" s="202">
        <f t="shared" si="8"/>
        <v>72.917787171700866</v>
      </c>
      <c r="G21" s="102">
        <f>IFERROR(IF(GETPIVOTDATA("Suma de N extr 1",Resume!$A$4,"Sem",A21)=0,"",GETPIVOTDATA("Suma de N extr 1",Resume!$A$4,"Sem",A21))*(1+Inputs!$I$14),0)</f>
        <v>-11.874346117623977</v>
      </c>
      <c r="H21" s="116" t="s">
        <v>616</v>
      </c>
      <c r="I21" s="102">
        <f t="shared" si="1"/>
        <v>63.763441054076885</v>
      </c>
      <c r="J21" s="116">
        <f>IFERROR(GETPIVOTDATA("Máx. de Nmin medido",Resume!$A$4,"Sem",A21),"")</f>
        <v>-100</v>
      </c>
      <c r="K21" s="116">
        <f>IFERROR(GETPIVOTDATA("Máx. de N recom (kg ha-1)",Resume!$A$4,"Sem",A21),"")</f>
        <v>40</v>
      </c>
      <c r="L21" s="102">
        <f t="shared" si="9"/>
        <v>-104.63388157894737</v>
      </c>
      <c r="M21" s="116">
        <f>GETPIVOTDATA("Máx. de Nmin medido",Resume!$A$4,"Sem",16)</f>
        <v>-100</v>
      </c>
      <c r="N21" s="119">
        <f>GETPIVOTDATA("Máx. de BBCH tipo",Resume!$A$4,"Sem",A21)</f>
        <v>31</v>
      </c>
      <c r="O21" s="119">
        <f t="shared" si="2"/>
        <v>1.1000000000000001</v>
      </c>
      <c r="P21" s="119">
        <f>GETPIVOTDATA("Máx. de BBCH real et",Resume!$A$4,"Sem",A21)</f>
        <v>30</v>
      </c>
      <c r="Q21" s="119">
        <f t="shared" si="3"/>
        <v>1.1000000000000001</v>
      </c>
      <c r="R21" s="39">
        <f t="shared" si="4"/>
        <v>1.4</v>
      </c>
      <c r="S21" s="219">
        <f>IFERROR(GETPIVOTDATA("Máx. de Eto acumulada",Resume!$A$4,"Sem",A21),"")</f>
        <v>170.70000000000007</v>
      </c>
      <c r="T21" s="119">
        <f t="shared" si="7"/>
        <v>1.4</v>
      </c>
      <c r="U21" s="219">
        <f>IFERROR(GETPIVOTDATA("Máx. de Eto acumulada real",Resume!$A$4,"Sem",A21)," ")</f>
        <v>187.90000000000006</v>
      </c>
      <c r="V21" s="93">
        <f>IF(IFERROR(GETPIVOTDATA("Máx. de NDVI r.int",Resume!$A$4,"Sem",A21),0)=0,-999,IFERROR(GETPIVOTDATA("Máx. de NDVI r.int",Resume!$A$4,"Sem",A21),""))</f>
        <v>0.62125865720867246</v>
      </c>
      <c r="W21" s="93">
        <f>IFERROR(GETPIVOTDATA("Máx. de NDVI tipo i",Resume!$A$4,"Sem",A21),"")</f>
        <v>0.51301763414634161</v>
      </c>
    </row>
    <row r="22" spans="1:23">
      <c r="A22" s="116">
        <f t="shared" si="5"/>
        <v>15</v>
      </c>
      <c r="B22" s="69">
        <f t="shared" si="6"/>
        <v>42472</v>
      </c>
      <c r="C22" s="116">
        <f>IFERROR(GETPIVOTDATA("Suma de N fert neto",Resume!$A$4,"Sem",A22),"")</f>
        <v>0</v>
      </c>
      <c r="D22" s="102" t="str">
        <f>IFERROR(IF(GETPIVOTDATA("Suma de N agua",Resume!$A$4,"Sem",A22)=0,"",GETPIVOTDATA("Suma de N agua",Resume!$A$4,"Sem",A22)),"")</f>
        <v/>
      </c>
      <c r="E22" s="102" t="str">
        <f>IFERROR(IF(GETPIVOTDATA("Suma de N mineralizado",Resume!$A$4,"Sem",A22)=0,"",GETPIVOTDATA("Suma de N mineralizado",Resume!$A$4,"Sem",A22)),"")</f>
        <v/>
      </c>
      <c r="F22" s="202">
        <f t="shared" si="8"/>
        <v>63.763441054076885</v>
      </c>
      <c r="G22" s="102">
        <f>IFERROR(IF(GETPIVOTDATA("Suma de N extr 1",Resume!$A$4,"Sem",A22)=0,"",GETPIVOTDATA("Suma de N extr 1",Resume!$A$4,"Sem",A22))*(1+Inputs!$I$14),0)</f>
        <v>-22.978421052631578</v>
      </c>
      <c r="H22" s="116" t="s">
        <v>616</v>
      </c>
      <c r="I22" s="102">
        <f t="shared" si="1"/>
        <v>40.785020001445304</v>
      </c>
      <c r="J22" s="116">
        <f>IFERROR(GETPIVOTDATA("Máx. de Nmin medido",Resume!$A$4,"Sem",A22),"")</f>
        <v>-100</v>
      </c>
      <c r="K22" s="116">
        <f>IFERROR(GETPIVOTDATA("Máx. de N recom (kg ha-1)",Resume!$A$4,"Sem",A22),"")</f>
        <v>40</v>
      </c>
      <c r="L22" s="102">
        <f t="shared" si="9"/>
        <v>-127.61230263157894</v>
      </c>
      <c r="M22" s="116">
        <f>GETPIVOTDATA("Máx. de Nmin medido",Resume!$A$4,"Sem",16)</f>
        <v>-100</v>
      </c>
      <c r="N22" s="119">
        <f>GETPIVOTDATA("Máx. de BBCH tipo",Resume!$A$4,"Sem",A22)</f>
        <v>-9999</v>
      </c>
      <c r="O22" s="119">
        <f t="shared" si="2"/>
        <v>-999</v>
      </c>
      <c r="P22" s="119">
        <f>GETPIVOTDATA("Máx. de BBCH real et",Resume!$A$4,"Sem",A22)</f>
        <v>-99999</v>
      </c>
      <c r="Q22" s="119">
        <f t="shared" si="3"/>
        <v>-999</v>
      </c>
      <c r="R22" s="39">
        <f t="shared" si="4"/>
        <v>1.4</v>
      </c>
      <c r="S22" s="219">
        <f>IFERROR(GETPIVOTDATA("Máx. de Eto acumulada",Resume!$A$4,"Sem",A22),"")</f>
        <v>192.90000000000006</v>
      </c>
      <c r="T22" s="119">
        <f t="shared" si="7"/>
        <v>1.4</v>
      </c>
      <c r="U22" s="219">
        <f>IFERROR(GETPIVOTDATA("Máx. de Eto acumulada real",Resume!$A$4,"Sem",A22)," ")</f>
        <v>205.90000000000003</v>
      </c>
      <c r="V22" s="93">
        <f>IF(IFERROR(GETPIVOTDATA("Máx. de NDVI r.int",Resume!$A$4,"Sem",A22),0)=0,-999,IFERROR(GETPIVOTDATA("Máx. de NDVI r.int",Resume!$A$4,"Sem",A22),""))</f>
        <v>0.71273712769647746</v>
      </c>
      <c r="W22" s="93">
        <f>IFERROR(GETPIVOTDATA("Máx. de NDVI tipo i",Resume!$A$4,"Sem",A22),"")</f>
        <v>0.57132080487804859</v>
      </c>
    </row>
    <row r="23" spans="1:23">
      <c r="A23" s="116">
        <f t="shared" si="5"/>
        <v>16</v>
      </c>
      <c r="B23" s="69">
        <f t="shared" si="6"/>
        <v>42479</v>
      </c>
      <c r="C23" s="116">
        <f>IFERROR(GETPIVOTDATA("Suma de N fert neto",Resume!$A$4,"Sem",A23),"")</f>
        <v>70.38</v>
      </c>
      <c r="D23" s="102" t="str">
        <f>IFERROR(IF(GETPIVOTDATA("Suma de N agua",Resume!$A$4,"Sem",A23)=0,"",GETPIVOTDATA("Suma de N agua",Resume!$A$4,"Sem",A23)),"")</f>
        <v/>
      </c>
      <c r="E23" s="102">
        <f>IFERROR(IF(GETPIVOTDATA("Suma de N mineralizado",Resume!$A$4,"Sem",A23)=0,"",GETPIVOTDATA("Suma de N mineralizado",Resume!$A$4,"Sem",A23)),"")</f>
        <v>0.57600000000000007</v>
      </c>
      <c r="F23" s="202">
        <f t="shared" si="8"/>
        <v>40.785020001445304</v>
      </c>
      <c r="G23" s="102">
        <f>IFERROR(IF(GETPIVOTDATA("Suma de N extr 1",Resume!$A$4,"Sem",A23)=0,"",GETPIVOTDATA("Suma de N extr 1",Resume!$A$4,"Sem",A23))*(1+Inputs!$I$14),0)</f>
        <v>-22.978421052631578</v>
      </c>
      <c r="H23" s="116" t="s">
        <v>616</v>
      </c>
      <c r="I23" s="102">
        <f t="shared" si="1"/>
        <v>88.762598948813718</v>
      </c>
      <c r="J23" s="116">
        <f>IFERROR(GETPIVOTDATA("Máx. de Nmin medido",Resume!$A$4,"Sem",A23),"")</f>
        <v>-100</v>
      </c>
      <c r="K23" s="116">
        <f>IFERROR(GETPIVOTDATA("Máx. de N recom (kg ha-1)",Resume!$A$4,"Sem",A23),"")</f>
        <v>40</v>
      </c>
      <c r="L23" s="102">
        <f t="shared" si="9"/>
        <v>-150.59072368421053</v>
      </c>
      <c r="M23" s="116">
        <f>GETPIVOTDATA("Máx. de Nmin medido",Resume!$A$4,"Sem",16)</f>
        <v>-100</v>
      </c>
      <c r="N23" s="119">
        <f>GETPIVOTDATA("Máx. de BBCH tipo",Resume!$A$4,"Sem",A23)</f>
        <v>-9999</v>
      </c>
      <c r="O23" s="119">
        <f t="shared" si="2"/>
        <v>-999</v>
      </c>
      <c r="P23" s="119">
        <f>GETPIVOTDATA("Máx. de BBCH real et",Resume!$A$4,"Sem",A23)</f>
        <v>33</v>
      </c>
      <c r="Q23" s="119">
        <f t="shared" si="3"/>
        <v>1.1000000000000001</v>
      </c>
      <c r="R23" s="39">
        <f t="shared" si="4"/>
        <v>1.4</v>
      </c>
      <c r="S23" s="219">
        <f>IFERROR(GETPIVOTDATA("Máx. de Eto acumulada",Resume!$A$4,"Sem",A23),"")</f>
        <v>219.00000000000006</v>
      </c>
      <c r="T23" s="119">
        <f t="shared" si="7"/>
        <v>1.4</v>
      </c>
      <c r="U23" s="219">
        <f>IFERROR(GETPIVOTDATA("Máx. de Eto acumulada real",Resume!$A$4,"Sem",A23)," ")</f>
        <v>230.40000000000003</v>
      </c>
      <c r="V23" s="93">
        <f>IF(IFERROR(GETPIVOTDATA("Máx. de NDVI r.int",Resume!$A$4,"Sem",A23),0)=0,-999,IFERROR(GETPIVOTDATA("Máx. de NDVI r.int",Resume!$A$4,"Sem",A23),""))</f>
        <v>0.80421559818428245</v>
      </c>
      <c r="W23" s="93">
        <f>IFERROR(GETPIVOTDATA("Máx. de NDVI tipo i",Resume!$A$4,"Sem",A23),"")</f>
        <v>0.62962397560975558</v>
      </c>
    </row>
    <row r="24" spans="1:23">
      <c r="A24" s="116">
        <f t="shared" si="5"/>
        <v>17</v>
      </c>
      <c r="B24" s="69">
        <f t="shared" si="6"/>
        <v>42486</v>
      </c>
      <c r="C24" s="116">
        <f>IFERROR(GETPIVOTDATA("Suma de N fert neto",Resume!$A$4,"Sem",A24),"")</f>
        <v>0</v>
      </c>
      <c r="D24" s="102" t="str">
        <f>IFERROR(IF(GETPIVOTDATA("Suma de N agua",Resume!$A$4,"Sem",A24)=0,"",GETPIVOTDATA("Suma de N agua",Resume!$A$4,"Sem",A24)),"")</f>
        <v/>
      </c>
      <c r="E24" s="102">
        <f>IFERROR(IF(GETPIVOTDATA("Suma de N mineralizado",Resume!$A$4,"Sem",A24)=0,"",GETPIVOTDATA("Suma de N mineralizado",Resume!$A$4,"Sem",A24)),"")</f>
        <v>2.6480000000000001</v>
      </c>
      <c r="F24" s="202">
        <f t="shared" si="8"/>
        <v>88.762598948813718</v>
      </c>
      <c r="G24" s="102">
        <f>IFERROR(IF(GETPIVOTDATA("Suma de N extr 1",Resume!$A$4,"Sem",A24)=0,"",GETPIVOTDATA("Suma de N extr 1",Resume!$A$4,"Sem",A24))*(1+Inputs!$I$14),0)</f>
        <v>-17.003703315789441</v>
      </c>
      <c r="H24" s="116" t="s">
        <v>616</v>
      </c>
      <c r="I24" s="102">
        <f t="shared" si="1"/>
        <v>74.406895633024277</v>
      </c>
      <c r="J24" s="116">
        <f>IFERROR(GETPIVOTDATA("Máx. de Nmin medido",Resume!$A$4,"Sem",A24),"")</f>
        <v>-100</v>
      </c>
      <c r="K24" s="116">
        <f>IFERROR(GETPIVOTDATA("Máx. de N recom (kg ha-1)",Resume!$A$4,"Sem",A24),"")</f>
        <v>40</v>
      </c>
      <c r="L24" s="102">
        <f t="shared" si="9"/>
        <v>-167.59442699999997</v>
      </c>
      <c r="M24" s="116">
        <f>GETPIVOTDATA("Máx. de Nmin medido",Resume!$A$4,"Sem",16)</f>
        <v>-100</v>
      </c>
      <c r="N24" s="119">
        <f>GETPIVOTDATA("Máx. de BBCH tipo",Resume!$A$4,"Sem",A24)</f>
        <v>39</v>
      </c>
      <c r="O24" s="119">
        <f t="shared" si="2"/>
        <v>1.1000000000000001</v>
      </c>
      <c r="P24" s="119">
        <f>GETPIVOTDATA("Máx. de BBCH real et",Resume!$A$4,"Sem",A24)</f>
        <v>-99999</v>
      </c>
      <c r="Q24" s="119">
        <f t="shared" si="3"/>
        <v>-999</v>
      </c>
      <c r="R24" s="39">
        <f t="shared" si="4"/>
        <v>1.4</v>
      </c>
      <c r="S24" s="219">
        <f>IFERROR(GETPIVOTDATA("Máx. de Eto acumulada",Resume!$A$4,"Sem",A24),"")</f>
        <v>240.70000000000007</v>
      </c>
      <c r="T24" s="119">
        <f t="shared" si="7"/>
        <v>1.4</v>
      </c>
      <c r="U24" s="219">
        <f>IFERROR(GETPIVOTDATA("Máx. de Eto acumulada real",Resume!$A$4,"Sem",A24)," ")</f>
        <v>257.3</v>
      </c>
      <c r="V24" s="93">
        <f>IF(IFERROR(GETPIVOTDATA("Máx. de NDVI r.int",Resume!$A$4,"Sem",A24),0)=0,-999,IFERROR(GETPIVOTDATA("Máx. de NDVI r.int",Resume!$A$4,"Sem",A24),""))</f>
        <v>0.83978395069444456</v>
      </c>
      <c r="W24" s="93">
        <f>IFERROR(GETPIVOTDATA("Máx. de NDVI tipo i",Resume!$A$4,"Sem",A24),"")</f>
        <v>0.69987149999999976</v>
      </c>
    </row>
    <row r="25" spans="1:23">
      <c r="A25" s="116">
        <f t="shared" si="5"/>
        <v>18</v>
      </c>
      <c r="B25" s="69">
        <f t="shared" si="6"/>
        <v>42493</v>
      </c>
      <c r="C25" s="116">
        <f>IFERROR(GETPIVOTDATA("Suma de N fert neto",Resume!$A$4,"Sem",A25),"")</f>
        <v>0</v>
      </c>
      <c r="D25" s="102" t="str">
        <f>IFERROR(IF(GETPIVOTDATA("Suma de N agua",Resume!$A$4,"Sem",A25)=0,"",GETPIVOTDATA("Suma de N agua",Resume!$A$4,"Sem",A25)),"")</f>
        <v/>
      </c>
      <c r="E25" s="102">
        <f>IFERROR(IF(GETPIVOTDATA("Suma de N mineralizado",Resume!$A$4,"Sem",A25)=0,"",GETPIVOTDATA("Suma de N mineralizado",Resume!$A$4,"Sem",A25)),"")</f>
        <v>6.2690000000000001</v>
      </c>
      <c r="F25" s="202">
        <f t="shared" si="8"/>
        <v>74.406895633024277</v>
      </c>
      <c r="G25" s="102">
        <f>IFERROR(IF(GETPIVOTDATA("Suma de N extr 1",Resume!$A$4,"Sem",A25)=0,"",GETPIVOTDATA("Suma de N extr 1",Resume!$A$4,"Sem",A25))*(1+Inputs!$I$14),0)</f>
        <v>-19.646549999999991</v>
      </c>
      <c r="H25" s="116" t="s">
        <v>616</v>
      </c>
      <c r="I25" s="102">
        <f t="shared" si="1"/>
        <v>61.029345633024292</v>
      </c>
      <c r="J25" s="116">
        <f>IFERROR(GETPIVOTDATA("Máx. de Nmin medido",Resume!$A$4,"Sem",A25),"")</f>
        <v>-100</v>
      </c>
      <c r="K25" s="116">
        <f>IFERROR(GETPIVOTDATA("Máx. de N recom (kg ha-1)",Resume!$A$4,"Sem",A25),"")</f>
        <v>40</v>
      </c>
      <c r="L25" s="102">
        <f t="shared" si="9"/>
        <v>-187.24097699999996</v>
      </c>
      <c r="M25" s="116">
        <f>GETPIVOTDATA("Máx. de Nmin medido",Resume!$A$4,"Sem",16)</f>
        <v>-100</v>
      </c>
      <c r="N25" s="119">
        <f>GETPIVOTDATA("Máx. de BBCH tipo",Resume!$A$4,"Sem",A25)</f>
        <v>51</v>
      </c>
      <c r="O25" s="119">
        <f t="shared" si="2"/>
        <v>1.1000000000000001</v>
      </c>
      <c r="P25" s="119">
        <f>GETPIVOTDATA("Máx. de BBCH real et",Resume!$A$4,"Sem",A25)</f>
        <v>41</v>
      </c>
      <c r="Q25" s="119">
        <f t="shared" si="3"/>
        <v>1.1000000000000001</v>
      </c>
      <c r="R25" s="39">
        <f t="shared" si="4"/>
        <v>1.4</v>
      </c>
      <c r="S25" s="219">
        <f>IFERROR(GETPIVOTDATA("Máx. de Eto acumulada",Resume!$A$4,"Sem",A25),"")</f>
        <v>267.20000000000005</v>
      </c>
      <c r="T25" s="119">
        <f t="shared" si="7"/>
        <v>1.4</v>
      </c>
      <c r="U25" s="219">
        <f>IFERROR(GETPIVOTDATA("Máx. de Eto acumulada real",Resume!$A$4,"Sem",A25)," ")</f>
        <v>288.90000000000003</v>
      </c>
      <c r="V25" s="93">
        <f>IF(IFERROR(GETPIVOTDATA("Máx. de NDVI r.int",Resume!$A$4,"Sem",A25),0)=0,-999,IFERROR(GETPIVOTDATA("Máx. de NDVI r.int",Resume!$A$4,"Sem",A25),""))</f>
        <v>0.86603395020833362</v>
      </c>
      <c r="W25" s="93">
        <f>IFERROR(GETPIVOTDATA("Máx. de NDVI tipo i",Resume!$A$4,"Sem",A25),"")</f>
        <v>0.77210974999999948</v>
      </c>
    </row>
    <row r="26" spans="1:23">
      <c r="A26" s="116">
        <f t="shared" si="5"/>
        <v>19</v>
      </c>
      <c r="B26" s="69">
        <f t="shared" si="6"/>
        <v>42500</v>
      </c>
      <c r="C26" s="116">
        <f>IFERROR(GETPIVOTDATA("Suma de N fert neto",Resume!$A$4,"Sem",A26),"")</f>
        <v>0</v>
      </c>
      <c r="D26" s="102" t="str">
        <f>IFERROR(IF(GETPIVOTDATA("Suma de N agua",Resume!$A$4,"Sem",A26)=0,"",GETPIVOTDATA("Suma de N agua",Resume!$A$4,"Sem",A26)),"")</f>
        <v/>
      </c>
      <c r="E26" s="102">
        <f>IFERROR(IF(GETPIVOTDATA("Suma de N mineralizado",Resume!$A$4,"Sem",A26)=0,"",GETPIVOTDATA("Suma de N mineralizado",Resume!$A$4,"Sem",A26)),"")</f>
        <v>10.214000000000002</v>
      </c>
      <c r="F26" s="202">
        <f t="shared" si="8"/>
        <v>61.029345633024292</v>
      </c>
      <c r="G26" s="102">
        <f>IFERROR(IF(GETPIVOTDATA("Suma de N extr 1",Resume!$A$4,"Sem",A26)=0,"",GETPIVOTDATA("Suma de N extr 1",Resume!$A$4,"Sem",A26))*(1+Inputs!$I$14),0)</f>
        <v>-27.84196800000003</v>
      </c>
      <c r="H26" s="116" t="s">
        <v>616</v>
      </c>
      <c r="I26" s="102">
        <f t="shared" si="1"/>
        <v>43.401377633024261</v>
      </c>
      <c r="J26" s="116">
        <f>IFERROR(GETPIVOTDATA("Máx. de Nmin medido",Resume!$A$4,"Sem",A26),"")</f>
        <v>-100</v>
      </c>
      <c r="K26" s="116">
        <f>IFERROR(GETPIVOTDATA("Máx. de N recom (kg ha-1)",Resume!$A$4,"Sem",A26),"")</f>
        <v>40</v>
      </c>
      <c r="L26" s="102">
        <f t="shared" si="9"/>
        <v>-215.082945</v>
      </c>
      <c r="M26" s="116">
        <f>GETPIVOTDATA("Máx. de Nmin medido",Resume!$A$4,"Sem",16)</f>
        <v>-100</v>
      </c>
      <c r="N26" s="119">
        <f>GETPIVOTDATA("Máx. de BBCH tipo",Resume!$A$4,"Sem",A26)</f>
        <v>59</v>
      </c>
      <c r="O26" s="119">
        <f t="shared" si="2"/>
        <v>1.1000000000000001</v>
      </c>
      <c r="P26" s="119">
        <f>GETPIVOTDATA("Máx. de BBCH real et",Resume!$A$4,"Sem",A26)</f>
        <v>-99999</v>
      </c>
      <c r="Q26" s="119">
        <f t="shared" si="3"/>
        <v>-999</v>
      </c>
      <c r="R26" s="39">
        <f t="shared" si="4"/>
        <v>1.4</v>
      </c>
      <c r="S26" s="219">
        <f>IFERROR(GETPIVOTDATA("Máx. de Eto acumulada",Resume!$A$4,"Sem",A26),"")</f>
        <v>288.80000000000007</v>
      </c>
      <c r="T26" s="119">
        <f t="shared" si="7"/>
        <v>1.4</v>
      </c>
      <c r="U26" s="219">
        <f>IFERROR(GETPIVOTDATA("Máx. de Eto acumulada real",Resume!$A$4,"Sem",A26)," ")</f>
        <v>326.00000000000006</v>
      </c>
      <c r="V26" s="93">
        <f>IF(IFERROR(GETPIVOTDATA("Máx. de NDVI r.int",Resume!$A$4,"Sem",A26),0)=0,-999,IFERROR(GETPIVOTDATA("Máx. de NDVI r.int",Resume!$A$4,"Sem",A26),""))</f>
        <v>0.87907407333333365</v>
      </c>
      <c r="W26" s="93">
        <f>IFERROR(GETPIVOTDATA("Máx. de NDVI tipo i",Resume!$A$4,"Sem",A26),"")</f>
        <v>0.81018499999999993</v>
      </c>
    </row>
    <row r="27" spans="1:23">
      <c r="A27" s="116">
        <f t="shared" si="5"/>
        <v>20</v>
      </c>
      <c r="B27" s="69">
        <f t="shared" si="6"/>
        <v>42507</v>
      </c>
      <c r="C27" s="116">
        <f>IFERROR(GETPIVOTDATA("Suma de N fert neto",Resume!$A$4,"Sem",A27),"")</f>
        <v>21.76</v>
      </c>
      <c r="D27" s="102" t="str">
        <f>IFERROR(IF(GETPIVOTDATA("Suma de N agua",Resume!$A$4,"Sem",A27)=0,"",GETPIVOTDATA("Suma de N agua",Resume!$A$4,"Sem",A27)),"")</f>
        <v/>
      </c>
      <c r="E27" s="102">
        <f>IFERROR(IF(GETPIVOTDATA("Suma de N mineralizado",Resume!$A$4,"Sem",A27)=0,"",GETPIVOTDATA("Suma de N mineralizado",Resume!$A$4,"Sem",A27)),"")</f>
        <v>13.085000000000001</v>
      </c>
      <c r="F27" s="202">
        <f t="shared" si="8"/>
        <v>43.401377633024261</v>
      </c>
      <c r="G27" s="102">
        <f>IFERROR(IF(GETPIVOTDATA("Suma de N extr 1",Resume!$A$4,"Sem",A27)=0,"",GETPIVOTDATA("Suma de N extr 1",Resume!$A$4,"Sem",A27))*(1+Inputs!$I$14),0)</f>
        <v>-29.355479999999794</v>
      </c>
      <c r="H27" s="116" t="s">
        <v>616</v>
      </c>
      <c r="I27" s="102">
        <f t="shared" si="1"/>
        <v>48.890897633024458</v>
      </c>
      <c r="J27" s="116">
        <f>IFERROR(GETPIVOTDATA("Máx. de Nmin medido",Resume!$A$4,"Sem",A27),"")</f>
        <v>-100</v>
      </c>
      <c r="K27" s="116">
        <f>IFERROR(GETPIVOTDATA("Máx. de N recom (kg ha-1)",Resume!$A$4,"Sem",A27),"")</f>
        <v>40</v>
      </c>
      <c r="L27" s="102">
        <f t="shared" si="9"/>
        <v>-244.4384249999998</v>
      </c>
      <c r="M27" s="116">
        <f>GETPIVOTDATA("Máx. de Nmin medido",Resume!$A$4,"Sem",16)</f>
        <v>-100</v>
      </c>
      <c r="N27" s="119">
        <f>GETPIVOTDATA("Máx. de BBCH tipo",Resume!$A$4,"Sem",A27)</f>
        <v>65</v>
      </c>
      <c r="O27" s="119">
        <f t="shared" si="2"/>
        <v>1.1000000000000001</v>
      </c>
      <c r="P27" s="119">
        <f>GETPIVOTDATA("Máx. de BBCH real et",Resume!$A$4,"Sem",A27)</f>
        <v>59</v>
      </c>
      <c r="Q27" s="119">
        <f t="shared" si="3"/>
        <v>1.1000000000000001</v>
      </c>
      <c r="R27" s="39">
        <f t="shared" si="4"/>
        <v>1.4</v>
      </c>
      <c r="S27" s="219">
        <f>IFERROR(GETPIVOTDATA("Máx. de Eto acumulada",Resume!$A$4,"Sem",A27),"")</f>
        <v>312.70000000000005</v>
      </c>
      <c r="T27" s="119">
        <f t="shared" si="7"/>
        <v>1.4</v>
      </c>
      <c r="U27" s="219">
        <f>IFERROR(GETPIVOTDATA("Máx. de Eto acumulada real",Resume!$A$4,"Sem",A27)," ")</f>
        <v>372.10000000000008</v>
      </c>
      <c r="V27" s="93">
        <f>IF(IFERROR(GETPIVOTDATA("Máx. de NDVI r.int",Resume!$A$4,"Sem",A27),0)=0,-999,IFERROR(GETPIVOTDATA("Máx. de NDVI r.int",Resume!$A$4,"Sem",A27),""))</f>
        <v>0.88220678916666728</v>
      </c>
      <c r="W27" s="93">
        <f>IFERROR(GETPIVOTDATA("Máx. de NDVI tipo i",Resume!$A$4,"Sem",A27),"")</f>
        <v>0.82263799999999976</v>
      </c>
    </row>
    <row r="28" spans="1:23">
      <c r="A28" s="116">
        <f t="shared" si="5"/>
        <v>21</v>
      </c>
      <c r="B28" s="69">
        <f t="shared" si="6"/>
        <v>42514</v>
      </c>
      <c r="C28" s="116">
        <f>IFERROR(GETPIVOTDATA("Suma de N fert neto",Resume!$A$4,"Sem",A28),"")</f>
        <v>0</v>
      </c>
      <c r="D28" s="102" t="str">
        <f>IFERROR(IF(GETPIVOTDATA("Suma de N agua",Resume!$A$4,"Sem",A28)=0,"",GETPIVOTDATA("Suma de N agua",Resume!$A$4,"Sem",A28)),"")</f>
        <v/>
      </c>
      <c r="E28" s="102">
        <f>IFERROR(IF(GETPIVOTDATA("Suma de N mineralizado",Resume!$A$4,"Sem",A28)=0,"",GETPIVOTDATA("Suma de N mineralizado",Resume!$A$4,"Sem",A28)),"")</f>
        <v>6.4080000000000013</v>
      </c>
      <c r="F28" s="202">
        <f t="shared" si="8"/>
        <v>48.890897633024458</v>
      </c>
      <c r="G28" s="102">
        <f>IFERROR(IF(GETPIVOTDATA("Suma de N extr 1",Resume!$A$4,"Sem",A28)=0,"",GETPIVOTDATA("Suma de N extr 1",Resume!$A$4,"Sem",A28))*(1+Inputs!$I$14),0)</f>
        <v>-25.259849999999901</v>
      </c>
      <c r="H28" s="116" t="s">
        <v>616</v>
      </c>
      <c r="I28" s="102">
        <f t="shared" si="1"/>
        <v>30.039047633024559</v>
      </c>
      <c r="J28" s="116">
        <f>IFERROR(GETPIVOTDATA("Máx. de Nmin medido",Resume!$A$4,"Sem",A28),"")</f>
        <v>-100</v>
      </c>
      <c r="K28" s="116">
        <f>IFERROR(GETPIVOTDATA("Máx. de N recom (kg ha-1)",Resume!$A$4,"Sem",A28),"")</f>
        <v>25</v>
      </c>
      <c r="L28" s="102">
        <f t="shared" si="9"/>
        <v>-269.69827499999968</v>
      </c>
      <c r="M28" s="116">
        <f>GETPIVOTDATA("Máx. de Nmin medido",Resume!$A$4,"Sem",16)</f>
        <v>-100</v>
      </c>
      <c r="N28" s="119">
        <f>GETPIVOTDATA("Máx. de BBCH tipo",Resume!$A$4,"Sem",A28)</f>
        <v>71</v>
      </c>
      <c r="O28" s="119">
        <f t="shared" si="2"/>
        <v>1.1000000000000001</v>
      </c>
      <c r="P28" s="119">
        <f>GETPIVOTDATA("Máx. de BBCH real et",Resume!$A$4,"Sem",A28)</f>
        <v>65</v>
      </c>
      <c r="Q28" s="119">
        <f t="shared" si="3"/>
        <v>1.1000000000000001</v>
      </c>
      <c r="R28" s="39">
        <f t="shared" si="4"/>
        <v>1.4</v>
      </c>
      <c r="S28" s="219">
        <f>IFERROR(GETPIVOTDATA("Máx. de Eto acumulada",Resume!$A$4,"Sem",A28),"")</f>
        <v>348.80000000000007</v>
      </c>
      <c r="T28" s="119">
        <f>IF(U28=-999,-999,1.4)</f>
        <v>1.4</v>
      </c>
      <c r="U28" s="219">
        <f>IFERROR(GETPIVOTDATA("Máx. de Eto acumulada real",Resume!$A$4,"Sem",A28)," ")</f>
        <v>408.3</v>
      </c>
      <c r="V28" s="93">
        <f>IF(IFERROR(GETPIVOTDATA("Máx. de NDVI r.int",Resume!$A$4,"Sem",A28),0)=0,-999,IFERROR(GETPIVOTDATA("Máx. de NDVI r.int",Resume!$A$4,"Sem",A28),""))</f>
        <v>0.88444444333333339</v>
      </c>
      <c r="W28" s="93">
        <f>IFERROR(GETPIVOTDATA("Máx. de NDVI tipo i",Resume!$A$4,"Sem",A28),"")</f>
        <v>0.83153299999999997</v>
      </c>
    </row>
    <row r="29" spans="1:23">
      <c r="A29" s="116">
        <f t="shared" si="5"/>
        <v>22</v>
      </c>
      <c r="B29" s="69">
        <f t="shared" si="6"/>
        <v>42521</v>
      </c>
      <c r="C29" s="116">
        <f>IFERROR(GETPIVOTDATA("Suma de N fert neto",Resume!$A$4,"Sem",A29),"")</f>
        <v>0</v>
      </c>
      <c r="D29" s="102" t="str">
        <f>IFERROR(IF(GETPIVOTDATA("Suma de N agua",Resume!$A$4,"Sem",A29)=0,"",GETPIVOTDATA("Suma de N agua",Resume!$A$4,"Sem",A29)),"")</f>
        <v/>
      </c>
      <c r="E29" s="102">
        <f>IFERROR(IF(GETPIVOTDATA("Suma de N mineralizado",Resume!$A$4,"Sem",A29)=0,"",GETPIVOTDATA("Suma de N mineralizado",Resume!$A$4,"Sem",A29)),"")</f>
        <v>10.952</v>
      </c>
      <c r="F29" s="202">
        <f t="shared" si="8"/>
        <v>30.039047633024559</v>
      </c>
      <c r="G29" s="102">
        <f>IFERROR(IF(GETPIVOTDATA("Suma de N extr 1",Resume!$A$4,"Sem",A29)=0,"",GETPIVOTDATA("Suma de N extr 1",Resume!$A$4,"Sem",A29))*(1+Inputs!$I$14),0)</f>
        <v>-29.774249999999999</v>
      </c>
      <c r="H29" s="116" t="s">
        <v>616</v>
      </c>
      <c r="I29" s="102">
        <f t="shared" si="1"/>
        <v>11.216797633024559</v>
      </c>
      <c r="J29" s="116">
        <f>IFERROR(GETPIVOTDATA("Máx. de Nmin medido",Resume!$A$4,"Sem",A29),"")</f>
        <v>-100</v>
      </c>
      <c r="K29" s="116">
        <f>IFERROR(GETPIVOTDATA("Máx. de N recom (kg ha-1)",Resume!$A$4,"Sem",A29),"")</f>
        <v>25</v>
      </c>
      <c r="L29" s="102">
        <f t="shared" si="9"/>
        <v>-299.47252499999968</v>
      </c>
      <c r="M29" s="116">
        <f>GETPIVOTDATA("Máx. de Nmin medido",Resume!$A$4,"Sem",16)</f>
        <v>-100</v>
      </c>
      <c r="N29" s="119">
        <f>GETPIVOTDATA("Máx. de BBCH tipo",Resume!$A$4,"Sem",A29)</f>
        <v>83</v>
      </c>
      <c r="O29" s="119">
        <f t="shared" si="2"/>
        <v>1.1000000000000001</v>
      </c>
      <c r="P29" s="119">
        <f>GETPIVOTDATA("Máx. de BBCH real et",Resume!$A$4,"Sem",A29)</f>
        <v>-99999</v>
      </c>
      <c r="Q29" s="119">
        <f t="shared" si="3"/>
        <v>-999</v>
      </c>
      <c r="R29" s="39">
        <f t="shared" si="4"/>
        <v>1.4</v>
      </c>
      <c r="S29" s="219">
        <f>IFERROR(GETPIVOTDATA("Máx. de Eto acumulada",Resume!$A$4,"Sem",A29),"")</f>
        <v>387.8</v>
      </c>
      <c r="T29" s="119">
        <f t="shared" si="7"/>
        <v>1.4</v>
      </c>
      <c r="U29" s="219">
        <f>IFERROR(GETPIVOTDATA("Máx. de Eto acumulada real",Resume!$A$4,"Sem",A29)," ")</f>
        <v>445.69999999999993</v>
      </c>
      <c r="V29" s="93">
        <f>IF(IFERROR(GETPIVOTDATA("Máx. de NDVI r.int",Resume!$A$4,"Sem",A29),0)=0,-999,IFERROR(GETPIVOTDATA("Máx. de NDVI r.int",Resume!$A$4,"Sem",A29),""))</f>
        <v>0.87317129541666683</v>
      </c>
      <c r="W29" s="93">
        <f>IFERROR(GETPIVOTDATA("Máx. de NDVI tipo i",Resume!$A$4,"Sem",A29),"")</f>
        <v>0.80832912499999998</v>
      </c>
    </row>
    <row r="30" spans="1:23">
      <c r="A30" s="116">
        <f t="shared" si="5"/>
        <v>23</v>
      </c>
      <c r="B30" s="69">
        <f t="shared" si="6"/>
        <v>42528</v>
      </c>
      <c r="C30" s="116">
        <f>IFERROR(GETPIVOTDATA("Suma de N fert neto",Resume!$A$4,"Sem",A30),"")</f>
        <v>0</v>
      </c>
      <c r="D30" s="102" t="str">
        <f>IFERROR(IF(GETPIVOTDATA("Suma de N agua",Resume!$A$4,"Sem",A30)=0,"",GETPIVOTDATA("Suma de N agua",Resume!$A$4,"Sem",A30)),"")</f>
        <v/>
      </c>
      <c r="E30" s="116">
        <f>IFERROR(IF(GETPIVOTDATA("Suma de N mineralizado",Resume!$A$4,"Sem",A30)=0,"",GETPIVOTDATA("Suma de N mineralizado",Resume!$A$4,"Sem",A30)),"")</f>
        <v>14.160000000000002</v>
      </c>
      <c r="F30" s="202">
        <f t="shared" si="8"/>
        <v>11.216797633024559</v>
      </c>
      <c r="G30" s="102">
        <f>IFERROR(IF(GETPIVOTDATA("Suma de N extr 1",Resume!$A$4,"Sem",A30)=0,"",GETPIVOTDATA("Suma de N extr 1",Resume!$A$4,"Sem",A30))*(1+Inputs!$I$14),0)</f>
        <v>-8.3160000000000007</v>
      </c>
      <c r="H30" s="116" t="s">
        <v>616</v>
      </c>
      <c r="I30" s="102">
        <f t="shared" si="1"/>
        <v>17.060797633024556</v>
      </c>
      <c r="J30" s="116">
        <f>IFERROR(GETPIVOTDATA("Máx. de Nmin medido",Resume!$A$4,"Sem",A30),"")</f>
        <v>-100</v>
      </c>
      <c r="K30" s="116">
        <f>IFERROR(GETPIVOTDATA("Máx. de N recom (kg ha-1)",Resume!$A$4,"Sem",A30),"")</f>
        <v>25</v>
      </c>
      <c r="L30" s="102">
        <f t="shared" si="9"/>
        <v>-307.78852499999965</v>
      </c>
      <c r="M30" s="116">
        <f>GETPIVOTDATA("Máx. de Nmin medido",Resume!$A$4,"Sem",16)</f>
        <v>-100</v>
      </c>
      <c r="N30" s="119">
        <f>GETPIVOTDATA("Máx. de BBCH tipo",Resume!$A$4,"Sem",A30)</f>
        <v>-9999</v>
      </c>
      <c r="O30" s="119">
        <f t="shared" si="2"/>
        <v>-999</v>
      </c>
      <c r="P30" s="119">
        <f>GETPIVOTDATA("Máx. de BBCH real et",Resume!$A$4,"Sem",A30)</f>
        <v>-99999</v>
      </c>
      <c r="Q30" s="119">
        <f t="shared" si="3"/>
        <v>-999</v>
      </c>
      <c r="R30" s="39">
        <f t="shared" si="4"/>
        <v>1.4</v>
      </c>
      <c r="S30" s="219">
        <f>IFERROR(GETPIVOTDATA("Máx. de Eto acumulada",Resume!$A$4,"Sem",A30),"")</f>
        <v>427.7</v>
      </c>
      <c r="T30" s="119">
        <f t="shared" si="7"/>
        <v>1.4</v>
      </c>
      <c r="U30" s="219">
        <f>IFERROR(GETPIVOTDATA("Máx. de Eto acumulada real",Resume!$A$4,"Sem",A30)," ")</f>
        <v>490.59999999999997</v>
      </c>
      <c r="V30" s="93">
        <f>IF(IFERROR(GETPIVOTDATA("Máx. de NDVI r.int",Resume!$A$4,"Sem",A30),0)=0,-999,IFERROR(GETPIVOTDATA("Máx. de NDVI r.int",Resume!$A$4,"Sem",A30),""))</f>
        <v>0.84686728361111152</v>
      </c>
      <c r="W30" s="93">
        <f>IFERROR(GETPIVOTDATA("Máx. de NDVI tipo i",Resume!$A$4,"Sem",A30),"")</f>
        <v>0.75418675000000002</v>
      </c>
    </row>
    <row r="31" spans="1:23">
      <c r="A31" s="116">
        <f t="shared" si="5"/>
        <v>24</v>
      </c>
      <c r="B31" s="69">
        <f t="shared" si="6"/>
        <v>42535</v>
      </c>
      <c r="C31" s="116">
        <f>IFERROR(GETPIVOTDATA("Suma de N fert neto",Resume!$A$4,"Sem",A31),"")</f>
        <v>0</v>
      </c>
      <c r="D31" s="102" t="str">
        <f>IFERROR(IF(GETPIVOTDATA("Suma de N agua",Resume!$A$4,"Sem",A31)=0,"",GETPIVOTDATA("Suma de N agua",Resume!$A$4,"Sem",A31)),"")</f>
        <v/>
      </c>
      <c r="E31" s="116">
        <f>IFERROR(IF(GETPIVOTDATA("Suma de N mineralizado",Resume!$A$4,"Sem",A31)=0,"",GETPIVOTDATA("Suma de N mineralizado",Resume!$A$4,"Sem",A31)),"")</f>
        <v>11.472000000000001</v>
      </c>
      <c r="F31" s="202">
        <f t="shared" si="8"/>
        <v>17.060797633024556</v>
      </c>
      <c r="G31" s="102">
        <f>IFERROR(IF(GETPIVOTDATA("Suma de N extr 1",Resume!$A$4,"Sem",A31)=0,"",GETPIVOTDATA("Suma de N extr 1",Resume!$A$4,"Sem",A31))*(1+Inputs!$I$14),0)</f>
        <v>-8.3160000000000007</v>
      </c>
      <c r="H31" s="116" t="s">
        <v>616</v>
      </c>
      <c r="I31" s="102">
        <f t="shared" si="1"/>
        <v>20.216797633024555</v>
      </c>
      <c r="J31" s="116">
        <f>IFERROR(GETPIVOTDATA("Máx. de Nmin medido",Resume!$A$4,"Sem",A31),"")</f>
        <v>-100</v>
      </c>
      <c r="K31" s="116">
        <f>IFERROR(GETPIVOTDATA("Máx. de N recom (kg ha-1)",Resume!$A$4,"Sem",A31),"")</f>
        <v>25</v>
      </c>
      <c r="L31" s="102">
        <f t="shared" si="9"/>
        <v>-316.10452499999963</v>
      </c>
      <c r="M31" s="116">
        <f>GETPIVOTDATA("Máx. de Nmin medido",Resume!$A$4,"Sem",16)</f>
        <v>-100</v>
      </c>
      <c r="N31" s="119">
        <f>GETPIVOTDATA("Máx. de BBCH tipo",Resume!$A$4,"Sem",A31)</f>
        <v>-9999</v>
      </c>
      <c r="O31" s="119">
        <f t="shared" si="2"/>
        <v>-999</v>
      </c>
      <c r="P31" s="119">
        <f>GETPIVOTDATA("Máx. de BBCH real et",Resume!$A$4,"Sem",A31)</f>
        <v>83</v>
      </c>
      <c r="Q31" s="119">
        <f t="shared" si="3"/>
        <v>1.1000000000000001</v>
      </c>
      <c r="R31" s="39">
        <f t="shared" si="4"/>
        <v>1.4</v>
      </c>
      <c r="S31" s="219">
        <f>IFERROR(GETPIVOTDATA("Máx. de Eto acumulada",Resume!$A$4,"Sem",A31),"")</f>
        <v>476.49999999999994</v>
      </c>
      <c r="T31" s="119">
        <f t="shared" si="7"/>
        <v>1.4</v>
      </c>
      <c r="U31" s="219">
        <f>IFERROR(GETPIVOTDATA("Máx. de Eto acumulada real",Resume!$A$4,"Sem",A31)," ")</f>
        <v>526.4</v>
      </c>
      <c r="V31" s="93">
        <f>IF(IFERROR(GETPIVOTDATA("Máx. de NDVI r.int",Resume!$A$4,"Sem",A31),0)=0,-999,IFERROR(GETPIVOTDATA("Máx. de NDVI r.int",Resume!$A$4,"Sem",A31),""))</f>
        <v>0.79585648152777777</v>
      </c>
      <c r="W31" s="93">
        <f>IFERROR(GETPIVOTDATA("Máx. de NDVI tipo i",Resume!$A$4,"Sem",A31),"")</f>
        <v>0.68194566666666667</v>
      </c>
    </row>
    <row r="32" spans="1:23">
      <c r="A32" s="116">
        <f t="shared" si="5"/>
        <v>25</v>
      </c>
      <c r="B32" s="69">
        <f t="shared" si="6"/>
        <v>42542</v>
      </c>
      <c r="C32" s="116">
        <f>IFERROR(GETPIVOTDATA("Suma de N fert neto",Resume!$A$4,"Sem",A32),"")</f>
        <v>0</v>
      </c>
      <c r="D32" s="102" t="str">
        <f>IFERROR(IF(GETPIVOTDATA("Suma de N agua",Resume!$A$4,"Sem",A32)=0,"",GETPIVOTDATA("Suma de N agua",Resume!$A$4,"Sem",A32)),"")</f>
        <v/>
      </c>
      <c r="E32" s="116">
        <f>IFERROR(IF(GETPIVOTDATA("Suma de N mineralizado",Resume!$A$4,"Sem",A32)=0,"",GETPIVOTDATA("Suma de N mineralizado",Resume!$A$4,"Sem",A32)),"")</f>
        <v>12.618000000000002</v>
      </c>
      <c r="F32" s="202">
        <f t="shared" si="8"/>
        <v>20.216797633024555</v>
      </c>
      <c r="G32" s="102">
        <f>IFERROR(IF(GETPIVOTDATA("Suma de N extr 1",Resume!$A$4,"Sem",A32)=0,"",GETPIVOTDATA("Suma de N extr 1",Resume!$A$4,"Sem",A32))*(1+Inputs!$I$14),0)</f>
        <v>-13.365000000000002</v>
      </c>
      <c r="H32" s="116" t="s">
        <v>616</v>
      </c>
      <c r="I32" s="102">
        <f t="shared" si="1"/>
        <v>19.469797633024555</v>
      </c>
      <c r="J32" s="116">
        <f>IFERROR(GETPIVOTDATA("Máx. de Nmin medido",Resume!$A$4,"Sem",A32),"")</f>
        <v>-100</v>
      </c>
      <c r="K32" s="116">
        <f>IFERROR(GETPIVOTDATA("Máx. de N recom (kg ha-1)",Resume!$A$4,"Sem",A32),"")</f>
        <v>25</v>
      </c>
      <c r="L32" s="102">
        <f t="shared" si="9"/>
        <v>-329.46952499999963</v>
      </c>
      <c r="M32" s="116">
        <f>GETPIVOTDATA("Máx. de Nmin medido",Resume!$A$4,"Sem",16)</f>
        <v>-100</v>
      </c>
      <c r="N32" s="119">
        <f>GETPIVOTDATA("Máx. de BBCH tipo",Resume!$A$4,"Sem",A32)</f>
        <v>85</v>
      </c>
      <c r="O32" s="119">
        <f t="shared" si="2"/>
        <v>1.1000000000000001</v>
      </c>
      <c r="P32" s="119">
        <f>GETPIVOTDATA("Máx. de BBCH real et",Resume!$A$4,"Sem",A32)</f>
        <v>83</v>
      </c>
      <c r="Q32" s="119">
        <f t="shared" si="3"/>
        <v>1.1000000000000001</v>
      </c>
      <c r="R32" s="39">
        <f t="shared" si="4"/>
        <v>1.4</v>
      </c>
      <c r="S32" s="219">
        <f>IFERROR(GETPIVOTDATA("Máx. de Eto acumulada",Resume!$A$4,"Sem",A32),"")</f>
        <v>521.70000000000005</v>
      </c>
      <c r="T32" s="119">
        <f t="shared" si="7"/>
        <v>1.4</v>
      </c>
      <c r="U32" s="219">
        <f>IFERROR(GETPIVOTDATA("Máx. de Eto acumulada real",Resume!$A$4,"Sem",A32)," ")</f>
        <v>565.5</v>
      </c>
      <c r="V32" s="93">
        <f>IF(IFERROR(GETPIVOTDATA("Máx. de NDVI r.int",Resume!$A$4,"Sem",A32),0)=0,-999,IFERROR(GETPIVOTDATA("Máx. de NDVI r.int",Resume!$A$4,"Sem",A32),""))</f>
        <v>0.59660493777777801</v>
      </c>
      <c r="W32" s="93">
        <f>IFERROR(GETPIVOTDATA("Máx. de NDVI tipo i",Resume!$A$4,"Sem",A32),"")</f>
        <v>0.50111233333333305</v>
      </c>
    </row>
    <row r="33" spans="1:23">
      <c r="A33" s="116">
        <f t="shared" si="5"/>
        <v>26</v>
      </c>
      <c r="B33" s="69">
        <f t="shared" si="6"/>
        <v>42549</v>
      </c>
      <c r="C33" s="116">
        <f>IFERROR(GETPIVOTDATA("Suma de N fert neto",Resume!$A$4,"Sem",A33),"")</f>
        <v>0</v>
      </c>
      <c r="D33" s="102" t="str">
        <f>IFERROR(IF(GETPIVOTDATA("Suma de N agua",Resume!$A$4,"Sem",A33)=0,"",GETPIVOTDATA("Suma de N agua",Resume!$A$4,"Sem",A33)),"")</f>
        <v/>
      </c>
      <c r="E33" s="116">
        <f>IFERROR(IF(GETPIVOTDATA("Suma de N mineralizado",Resume!$A$4,"Sem",A33)=0,"",GETPIVOTDATA("Suma de N mineralizado",Resume!$A$4,"Sem",A33)),"")</f>
        <v>5.8049999999999997</v>
      </c>
      <c r="F33" s="202">
        <f t="shared" si="8"/>
        <v>19.469797633024555</v>
      </c>
      <c r="G33" s="102">
        <f>IFERROR(IF(GETPIVOTDATA("Suma de N extr 1",Resume!$A$4,"Sem",A33)=0,"",GETPIVOTDATA("Suma de N extr 1",Resume!$A$4,"Sem",A33))*(1+Inputs!$I$14),0)</f>
        <v>-12.474000000000002</v>
      </c>
      <c r="H33" s="116" t="s">
        <v>616</v>
      </c>
      <c r="I33" s="102">
        <f t="shared" si="1"/>
        <v>12.800797633024553</v>
      </c>
      <c r="J33" s="116">
        <f>IFERROR(GETPIVOTDATA("Máx. de Nmin medido",Resume!$A$4,"Sem",A33),"")</f>
        <v>-100</v>
      </c>
      <c r="K33" s="116">
        <f>IFERROR(GETPIVOTDATA("Máx. de N recom (kg ha-1)",Resume!$A$4,"Sem",A33),"")</f>
        <v>0</v>
      </c>
      <c r="L33" s="102">
        <f t="shared" si="9"/>
        <v>-341.94352499999962</v>
      </c>
      <c r="M33" s="116">
        <f>GETPIVOTDATA("Máx. de Nmin medido",Resume!$A$4,"Sem",16)</f>
        <v>-100</v>
      </c>
      <c r="N33" s="119">
        <f>GETPIVOTDATA("Máx. de BBCH tipo",Resume!$A$4,"Sem",A33)</f>
        <v>87</v>
      </c>
      <c r="O33" s="119">
        <f t="shared" si="2"/>
        <v>1.1000000000000001</v>
      </c>
      <c r="P33" s="119">
        <f>GETPIVOTDATA("Máx. de BBCH real et",Resume!$A$4,"Sem",A33)</f>
        <v>-99999</v>
      </c>
      <c r="Q33" s="119">
        <f t="shared" si="3"/>
        <v>-999</v>
      </c>
      <c r="R33" s="39">
        <f t="shared" si="4"/>
        <v>1.4</v>
      </c>
      <c r="S33" s="219">
        <f>IFERROR(GETPIVOTDATA("Máx. de Eto acumulada",Resume!$A$4,"Sem",A33),"")</f>
        <v>572.6</v>
      </c>
      <c r="T33" s="119">
        <f t="shared" si="7"/>
        <v>1.4</v>
      </c>
      <c r="U33" s="219">
        <f>IFERROR(GETPIVOTDATA("Máx. de Eto acumulada real",Resume!$A$4,"Sem",A33)," ")</f>
        <v>611.6</v>
      </c>
      <c r="V33" s="93">
        <f>IF(IFERROR(GETPIVOTDATA("Máx. de NDVI r.int",Resume!$A$4,"Sem",A33),0)=0,-999,IFERROR(GETPIVOTDATA("Máx. de NDVI r.int",Resume!$A$4,"Sem",A33),""))</f>
        <v>0.39735339402777803</v>
      </c>
      <c r="W33" s="93">
        <f>IFERROR(GETPIVOTDATA("Máx. de NDVI tipo i",Resume!$A$4,"Sem",A33),"")</f>
        <v>0.32027899999999998</v>
      </c>
    </row>
    <row r="34" spans="1:23">
      <c r="A34" s="116">
        <f t="shared" si="5"/>
        <v>27</v>
      </c>
      <c r="B34" s="69">
        <f t="shared" si="6"/>
        <v>42556</v>
      </c>
      <c r="C34" s="116">
        <f>IFERROR(GETPIVOTDATA("Suma de N fert neto",Resume!$A$4,"Sem",A34),"")</f>
        <v>0</v>
      </c>
      <c r="D34" s="102" t="str">
        <f>IFERROR(IF(GETPIVOTDATA("Suma de N agua",Resume!$A$4,"Sem",A34)=0,"",GETPIVOTDATA("Suma de N agua",Resume!$A$4,"Sem",A34)),"")</f>
        <v/>
      </c>
      <c r="E34" s="116">
        <f>IFERROR(IF(GETPIVOTDATA("Suma de N mineralizado",Resume!$A$4,"Sem",A34)=0,"",GETPIVOTDATA("Suma de N mineralizado",Resume!$A$4,"Sem",A34)),"")</f>
        <v>1.8280000000000003</v>
      </c>
      <c r="F34" s="202">
        <f t="shared" si="8"/>
        <v>12.800797633024553</v>
      </c>
      <c r="G34" s="102">
        <f>IFERROR(IF(GETPIVOTDATA("Suma de N extr 1",Resume!$A$4,"Sem",A34)=0,"",GETPIVOTDATA("Suma de N extr 1",Resume!$A$4,"Sem",A34))*(1+Inputs!$I$14),0)</f>
        <v>0</v>
      </c>
      <c r="H34" s="116" t="s">
        <v>616</v>
      </c>
      <c r="I34" s="102">
        <f t="shared" si="1"/>
        <v>14.628797633024554</v>
      </c>
      <c r="J34" s="116">
        <f>IFERROR(GETPIVOTDATA("Máx. de Nmin medido",Resume!$A$4,"Sem",A34),"")</f>
        <v>-100</v>
      </c>
      <c r="K34" s="116">
        <f>IFERROR(GETPIVOTDATA("Máx. de N recom (kg ha-1)",Resume!$A$4,"Sem",A34),"")</f>
        <v>0</v>
      </c>
      <c r="L34" s="102">
        <f>G34+L33</f>
        <v>-341.94352499999962</v>
      </c>
      <c r="M34" s="116">
        <f>GETPIVOTDATA("Máx. de Nmin medido",Resume!$A$4,"Sem",16)</f>
        <v>-100</v>
      </c>
      <c r="N34" s="119">
        <f>GETPIVOTDATA("Máx. de BBCH tipo",Resume!$A$4,"Sem",A34)</f>
        <v>-9999</v>
      </c>
      <c r="O34" s="119">
        <f t="shared" si="2"/>
        <v>-999</v>
      </c>
      <c r="P34" s="119">
        <f>GETPIVOTDATA("Máx. de BBCH real et",Resume!$A$4,"Sem",A34)</f>
        <v>89</v>
      </c>
      <c r="Q34" s="119">
        <f t="shared" si="3"/>
        <v>1.1000000000000001</v>
      </c>
      <c r="R34" s="39">
        <f t="shared" si="4"/>
        <v>1.4</v>
      </c>
      <c r="S34" s="219">
        <f>IFERROR(GETPIVOTDATA("Máx. de Eto acumulada",Resume!$A$4,"Sem",A34),"")</f>
        <v>618.70000000000005</v>
      </c>
      <c r="T34" s="119">
        <f t="shared" si="7"/>
        <v>1.4</v>
      </c>
      <c r="U34" s="219">
        <f>IFERROR(GETPIVOTDATA("Máx. de Eto acumulada real",Resume!$A$4,"Sem",A34)," ")</f>
        <v>667.8</v>
      </c>
      <c r="V34" s="93">
        <f>IF(IFERROR(GETPIVOTDATA("Máx. de NDVI r.int",Resume!$A$4,"Sem",A34),0)=0,-999,IFERROR(GETPIVOTDATA("Máx. de NDVI r.int",Resume!$A$4,"Sem",A34),""))</f>
        <v>0.34486772492063505</v>
      </c>
      <c r="W34" s="93">
        <f>IFERROR(GETPIVOTDATA("Máx. de NDVI tipo i",Resume!$A$4,"Sem",A34),"")</f>
        <v>0.31924999999999992</v>
      </c>
    </row>
    <row r="35" spans="1:23">
      <c r="A35" s="116">
        <f t="shared" si="5"/>
        <v>28</v>
      </c>
      <c r="B35" s="69">
        <f t="shared" si="6"/>
        <v>42563</v>
      </c>
      <c r="C35" s="116">
        <f>IFERROR(GETPIVOTDATA("Suma de N fert neto",Resume!$A$4,"Sem",A35),"")</f>
        <v>0</v>
      </c>
      <c r="D35" s="102" t="str">
        <f>IFERROR(IF(GETPIVOTDATA("Suma de N agua",Resume!$A$4,"Sem",A35)=0,"",GETPIVOTDATA("Suma de N agua",Resume!$A$4,"Sem",A35)),"")</f>
        <v/>
      </c>
      <c r="E35" s="116">
        <f>IFERROR(IF(GETPIVOTDATA("Suma de N mineralizado",Resume!$A$4,"Sem",A35)=0,"",GETPIVOTDATA("Suma de N mineralizado",Resume!$A$4,"Sem",A35)),"")</f>
        <v>1.9530000000000001</v>
      </c>
      <c r="F35" s="202">
        <f t="shared" si="8"/>
        <v>14.628797633024554</v>
      </c>
      <c r="G35" s="102">
        <f>IFERROR(IF(GETPIVOTDATA("Suma de N extr 1",Resume!$A$4,"Sem",A35)=0,"",GETPIVOTDATA("Suma de N extr 1",Resume!$A$4,"Sem",A35))*(1+Inputs!$I$14),0)</f>
        <v>0</v>
      </c>
      <c r="H35" s="116" t="s">
        <v>616</v>
      </c>
      <c r="I35" s="102">
        <f t="shared" si="1"/>
        <v>16.581797633024554</v>
      </c>
      <c r="J35" s="116">
        <f>IFERROR(GETPIVOTDATA("Máx. de Nmin medido",Resume!$A$4,"Sem",A35),"")</f>
        <v>-100</v>
      </c>
      <c r="K35" s="116">
        <f>IFERROR(GETPIVOTDATA("Máx. de N recom (kg ha-1)",Resume!$A$4,"Sem",A35),"")</f>
        <v>0</v>
      </c>
      <c r="L35" s="102">
        <f t="shared" si="9"/>
        <v>-341.94352499999962</v>
      </c>
      <c r="M35" s="116">
        <f>GETPIVOTDATA("Máx. de Nmin medido",Resume!$A$4,"Sem",16)</f>
        <v>-100</v>
      </c>
      <c r="N35" s="119">
        <f>GETPIVOTDATA("Máx. de BBCH tipo",Resume!$A$4,"Sem",A35)</f>
        <v>-9999</v>
      </c>
      <c r="O35" s="119">
        <f t="shared" si="2"/>
        <v>-999</v>
      </c>
      <c r="P35" s="119">
        <f>GETPIVOTDATA("Máx. de BBCH real et",Resume!$A$4,"Sem",A35)</f>
        <v>-99999</v>
      </c>
      <c r="Q35" s="119">
        <f t="shared" si="3"/>
        <v>-999</v>
      </c>
      <c r="R35" s="39">
        <f t="shared" si="4"/>
        <v>1.4</v>
      </c>
      <c r="S35" s="219">
        <f>IFERROR(GETPIVOTDATA("Máx. de Eto acumulada",Resume!$A$4,"Sem",A35),"")</f>
        <v>666.10000000000014</v>
      </c>
      <c r="T35" s="119">
        <f t="shared" si="7"/>
        <v>1.4</v>
      </c>
      <c r="U35" s="219">
        <f>IFERROR(GETPIVOTDATA("Máx. de Eto acumulada real",Resume!$A$4,"Sem",A35)," ")</f>
        <v>722.09999999999991</v>
      </c>
      <c r="V35" s="93">
        <f>IF(IFERROR(GETPIVOTDATA("Máx. de NDVI r.int",Resume!$A$4,"Sem",A35),0)=0,-999,IFERROR(GETPIVOTDATA("Máx. de NDVI r.int",Resume!$A$4,"Sem",A35),""))</f>
        <v>0.31543209851851861</v>
      </c>
      <c r="W35" s="93">
        <f>IFERROR(GETPIVOTDATA("Máx. de NDVI tipo i",Resume!$A$4,"Sem",A35),"")</f>
        <v>0.30937766666666666</v>
      </c>
    </row>
    <row r="36" spans="1:23">
      <c r="A36" s="116">
        <f t="shared" si="5"/>
        <v>29</v>
      </c>
      <c r="B36" s="69">
        <f t="shared" si="6"/>
        <v>42570</v>
      </c>
      <c r="C36" s="116">
        <f>IFERROR(GETPIVOTDATA("Suma de N fert neto",Resume!$A$4,"Sem",A36),"")</f>
        <v>0</v>
      </c>
      <c r="D36" s="102" t="str">
        <f>IFERROR(IF(GETPIVOTDATA("Suma de N agua",Resume!$A$4,"Sem",A36)=0,"",GETPIVOTDATA("Suma de N agua",Resume!$A$4,"Sem",A36)),"")</f>
        <v/>
      </c>
      <c r="E36" s="116">
        <f>IFERROR(IF(GETPIVOTDATA("Suma de N mineralizado",Resume!$A$4,"Sem",A36)=0,"",GETPIVOTDATA("Suma de N mineralizado",Resume!$A$4,"Sem",A36)),"")</f>
        <v>1.6450000000000002</v>
      </c>
      <c r="F36" s="202">
        <f t="shared" si="8"/>
        <v>16.581797633024554</v>
      </c>
      <c r="G36" s="102">
        <f>IFERROR(IF(GETPIVOTDATA("Suma de N extr 1",Resume!$A$4,"Sem",A36)=0,"",GETPIVOTDATA("Suma de N extr 1",Resume!$A$4,"Sem",A36))*(1+Inputs!$I$14),0)</f>
        <v>0</v>
      </c>
      <c r="H36" s="116" t="s">
        <v>616</v>
      </c>
      <c r="I36" s="102">
        <f t="shared" si="1"/>
        <v>18.226797633024553</v>
      </c>
      <c r="J36" s="116">
        <f>IFERROR(GETPIVOTDATA("Máx. de Nmin medido",Resume!$A$4,"Sem",A36),"")</f>
        <v>-100</v>
      </c>
      <c r="K36" s="116">
        <f>IFERROR(GETPIVOTDATA("Máx. de N recom (kg ha-1)",Resume!$A$4,"Sem",A36),"")</f>
        <v>0</v>
      </c>
      <c r="L36" s="102">
        <f t="shared" si="9"/>
        <v>-341.94352499999962</v>
      </c>
      <c r="M36" s="116">
        <f>GETPIVOTDATA("Máx. de Nmin medido",Resume!$A$4,"Sem",16)</f>
        <v>-100</v>
      </c>
      <c r="N36" s="119">
        <f>GETPIVOTDATA("Máx. de BBCH tipo",Resume!$A$4,"Sem",A36)</f>
        <v>-9999</v>
      </c>
      <c r="O36" s="119">
        <f t="shared" si="2"/>
        <v>-999</v>
      </c>
      <c r="P36" s="119">
        <f>GETPIVOTDATA("Máx. de BBCH real et",Resume!$A$4,"Sem",A36)</f>
        <v>-99999</v>
      </c>
      <c r="Q36" s="119">
        <f t="shared" si="3"/>
        <v>-999</v>
      </c>
      <c r="R36" s="39">
        <f t="shared" si="4"/>
        <v>1.4</v>
      </c>
      <c r="S36" s="219">
        <f>IFERROR(GETPIVOTDATA("Máx. de Eto acumulada",Resume!$A$4,"Sem",A36),"")</f>
        <v>708.90000000000009</v>
      </c>
      <c r="T36" s="119">
        <f t="shared" si="7"/>
        <v>1.4</v>
      </c>
      <c r="U36" s="219">
        <f>IFERROR(GETPIVOTDATA("Máx. de Eto acumulada real",Resume!$A$4,"Sem",A36)," ")</f>
        <v>764.99999999999989</v>
      </c>
      <c r="V36" s="93">
        <f>IF(IFERROR(GETPIVOTDATA("Máx. de NDVI r.int",Resume!$A$4,"Sem",A36),0)=0,-999,IFERROR(GETPIVOTDATA("Máx. de NDVI r.int",Resume!$A$4,"Sem",A36),""))</f>
        <v>0.30395061777777777</v>
      </c>
      <c r="W36" s="93">
        <f>IFERROR(GETPIVOTDATA("Máx. de NDVI tipo i",Resume!$A$4,"Sem",A36),"")</f>
        <v>0.30451499999999998</v>
      </c>
    </row>
    <row r="37" spans="1:23">
      <c r="A37" s="116">
        <f t="shared" si="5"/>
        <v>30</v>
      </c>
      <c r="B37" s="69">
        <f t="shared" si="6"/>
        <v>42577</v>
      </c>
      <c r="C37" s="116" t="str">
        <f>IFERROR(GETPIVOTDATA("Suma de N fert neto",Resume!$A$4,"Sem",A37),"")</f>
        <v/>
      </c>
      <c r="D37" s="102" t="str">
        <f>IFERROR(IF(GETPIVOTDATA("Suma de N agua",Resume!$A$4,"Sem",A37)=0,"",GETPIVOTDATA("Suma de N agua",Resume!$A$4,"Sem",A37)),"")</f>
        <v/>
      </c>
      <c r="E37" s="116" t="str">
        <f>IFERROR(IF(GETPIVOTDATA("Suma de N mineralizado",Resume!$A$4,"Sem",A37)=0,"",GETPIVOTDATA("Suma de N mineralizado",Resume!$A$4,"Sem",A37)),"")</f>
        <v/>
      </c>
      <c r="F37" s="202">
        <f t="shared" si="8"/>
        <v>18.226797633024553</v>
      </c>
      <c r="G37" s="102">
        <f>IFERROR(IF(GETPIVOTDATA("Suma de N extr 1",Resume!$A$4,"Sem",A37)=0,"",GETPIVOTDATA("Suma de N extr 1",Resume!$A$4,"Sem",A37))*(1+Inputs!$I$14),0)</f>
        <v>0</v>
      </c>
      <c r="H37" s="116" t="s">
        <v>616</v>
      </c>
      <c r="I37" s="102">
        <f t="shared" si="1"/>
        <v>18.226797633024553</v>
      </c>
      <c r="J37" s="116" t="str">
        <f>IFERROR(GETPIVOTDATA("Máx. de Nmin medido",Resume!$A$4,"Sem",A37),"")</f>
        <v/>
      </c>
      <c r="K37" s="116" t="str">
        <f>IFERROR(GETPIVOTDATA("Máx. de N recom (kg ha-1)",Resume!$A$4,"Sem",A37),"")</f>
        <v/>
      </c>
      <c r="L37" s="102">
        <f t="shared" si="9"/>
        <v>-341.94352499999962</v>
      </c>
      <c r="M37" s="116">
        <f>GETPIVOTDATA("Máx. de Nmin medido",Resume!$A$4,"Sem",16)</f>
        <v>-100</v>
      </c>
      <c r="N37" s="119" t="e">
        <f>GETPIVOTDATA("Máx. de BBCH tipo",Resume!$A$4,"Sem",A37)</f>
        <v>#REF!</v>
      </c>
      <c r="O37" s="119" t="e">
        <f t="shared" si="2"/>
        <v>#REF!</v>
      </c>
      <c r="P37" s="119" t="e">
        <f>GETPIVOTDATA("Máx. de BBCH real et",Resume!$A$4,"Sem",A37)</f>
        <v>#REF!</v>
      </c>
      <c r="Q37" s="119" t="e">
        <f t="shared" si="3"/>
        <v>#REF!</v>
      </c>
      <c r="R37" s="39">
        <f t="shared" si="4"/>
        <v>1.4</v>
      </c>
      <c r="S37" s="219" t="str">
        <f>IFERROR(GETPIVOTDATA("Máx. de Eto acumulada",Resume!$A$4,"Sem",A37),"")</f>
        <v/>
      </c>
      <c r="T37" s="119">
        <f t="shared" si="7"/>
        <v>1.4</v>
      </c>
      <c r="U37" s="219" t="str">
        <f>IFERROR(GETPIVOTDATA("Máx. de Eto acumulada real",Resume!$A$4,"Sem",A37)," ")</f>
        <v xml:space="preserve"> </v>
      </c>
      <c r="V37" s="93">
        <f>IF(IFERROR(GETPIVOTDATA("Máx. de NDVI r.int",Resume!$A$4,"Sem",A37),0)=0,-999,IFERROR(GETPIVOTDATA("Máx. de NDVI r.int",Resume!$A$4,"Sem",A37),""))</f>
        <v>-999</v>
      </c>
      <c r="W37" s="93" t="str">
        <f>IFERROR(GETPIVOTDATA("Máx. de NDVI tipo i",Resume!$A$4,"Sem",A37),"")</f>
        <v/>
      </c>
    </row>
    <row r="38" spans="1:23">
      <c r="A38" s="116">
        <f t="shared" si="5"/>
        <v>31</v>
      </c>
      <c r="B38" s="69">
        <f t="shared" si="6"/>
        <v>42584</v>
      </c>
      <c r="C38" s="116" t="str">
        <f>IFERROR(GETPIVOTDATA("Suma de N fert neto",Resume!$A$4,"Sem",A38),"")</f>
        <v/>
      </c>
      <c r="D38" s="102" t="str">
        <f>IFERROR(IF(GETPIVOTDATA("Suma de N agua",Resume!$A$4,"Sem",A38)=0,"",GETPIVOTDATA("Suma de N agua",Resume!$A$4,"Sem",A38)),"")</f>
        <v/>
      </c>
      <c r="E38" s="116" t="str">
        <f>IFERROR(IF(GETPIVOTDATA("Suma de N mineralizado",Resume!$A$4,"Sem",A38)=0,"",GETPIVOTDATA("Suma de N mineralizado",Resume!$A$4,"Sem",A38)),"")</f>
        <v/>
      </c>
      <c r="F38" s="202">
        <f t="shared" si="8"/>
        <v>18.226797633024553</v>
      </c>
      <c r="G38" s="102">
        <f>IFERROR(IF(GETPIVOTDATA("Suma de N extr 1",Resume!$A$4,"Sem",A38)=0,"",GETPIVOTDATA("Suma de N extr 1",Resume!$A$4,"Sem",A38))*(1+Inputs!$I$14),0)</f>
        <v>0</v>
      </c>
      <c r="H38" s="116" t="s">
        <v>616</v>
      </c>
      <c r="I38" s="102">
        <f t="shared" si="1"/>
        <v>18.226797633024553</v>
      </c>
      <c r="J38" s="116" t="str">
        <f>IFERROR(GETPIVOTDATA("Máx. de Nmin medido",Resume!$A$4,"Sem",A38),"")</f>
        <v/>
      </c>
      <c r="K38" s="116" t="str">
        <f>IFERROR(GETPIVOTDATA("Máx. de N recom (kg ha-1)",Resume!$A$4,"Sem",A38),"")</f>
        <v/>
      </c>
      <c r="L38" s="102">
        <f t="shared" si="9"/>
        <v>-341.94352499999962</v>
      </c>
      <c r="M38" s="116">
        <f>GETPIVOTDATA("Máx. de Nmin medido",Resume!$A$4,"Sem",16)</f>
        <v>-100</v>
      </c>
      <c r="N38" s="119" t="e">
        <f>GETPIVOTDATA("Máx. de BBCH tipo",Resume!$A$4,"Sem",A38)</f>
        <v>#REF!</v>
      </c>
      <c r="O38" s="119" t="e">
        <f t="shared" si="2"/>
        <v>#REF!</v>
      </c>
      <c r="P38" s="119" t="e">
        <f>GETPIVOTDATA("Máx. de BBCH real et",Resume!$A$4,"Sem",A38)</f>
        <v>#REF!</v>
      </c>
      <c r="Q38" s="119" t="e">
        <f t="shared" si="3"/>
        <v>#REF!</v>
      </c>
      <c r="R38" s="39">
        <f t="shared" si="4"/>
        <v>1.4</v>
      </c>
      <c r="S38" s="219" t="str">
        <f>IFERROR(GETPIVOTDATA("Máx. de Eto acumulada",Resume!$A$4,"Sem",A38),"")</f>
        <v/>
      </c>
      <c r="T38" s="119">
        <f t="shared" si="7"/>
        <v>1.4</v>
      </c>
      <c r="U38" s="219" t="str">
        <f>IFERROR(GETPIVOTDATA("Máx. de Eto acumulada real",Resume!$A$4,"Sem",A38)," ")</f>
        <v xml:space="preserve"> </v>
      </c>
      <c r="V38" s="93">
        <f>IF(IFERROR(GETPIVOTDATA("Máx. de NDVI r.int",Resume!$A$4,"Sem",A38),0)=0,-999,IFERROR(GETPIVOTDATA("Máx. de NDVI r.int",Resume!$A$4,"Sem",A38),""))</f>
        <v>-999</v>
      </c>
      <c r="W38" s="93" t="str">
        <f>IFERROR(GETPIVOTDATA("Máx. de NDVI tipo i",Resume!$A$4,"Sem",A38),"")</f>
        <v/>
      </c>
    </row>
    <row r="39" spans="1:23">
      <c r="A39" s="116">
        <f t="shared" si="5"/>
        <v>32</v>
      </c>
      <c r="B39" s="69">
        <f t="shared" si="6"/>
        <v>42591</v>
      </c>
      <c r="C39" s="116" t="str">
        <f>IFERROR(GETPIVOTDATA("Suma de N fert neto",Resume!$A$4,"Sem",A39),"")</f>
        <v/>
      </c>
      <c r="D39" s="102" t="str">
        <f>IFERROR(IF(GETPIVOTDATA("Suma de N agua",Resume!$A$4,"Sem",A39)=0,"",GETPIVOTDATA("Suma de N agua",Resume!$A$4,"Sem",A39)),"")</f>
        <v/>
      </c>
      <c r="E39" s="116" t="str">
        <f>IFERROR(IF(GETPIVOTDATA("Suma de N mineralizado",Resume!$A$4,"Sem",A39)=0,"",GETPIVOTDATA("Suma de N mineralizado",Resume!$A$4,"Sem",A39)),"")</f>
        <v/>
      </c>
      <c r="F39" s="202">
        <f t="shared" si="8"/>
        <v>18.226797633024553</v>
      </c>
      <c r="G39" s="102">
        <f>IFERROR(IF(GETPIVOTDATA("Suma de N extr 1",Resume!$A$4,"Sem",A39)=0,"",GETPIVOTDATA("Suma de N extr 1",Resume!$A$4,"Sem",A39))*(1+Inputs!$I$14),0)</f>
        <v>0</v>
      </c>
      <c r="H39" s="116" t="s">
        <v>616</v>
      </c>
      <c r="I39" s="102">
        <f t="shared" si="1"/>
        <v>18.226797633024553</v>
      </c>
      <c r="J39" s="116" t="str">
        <f>IFERROR(GETPIVOTDATA("Máx. de Nmin medido",Resume!$A$4,"Sem",A39),"")</f>
        <v/>
      </c>
      <c r="K39" s="116" t="str">
        <f>IFERROR(GETPIVOTDATA("Máx. de N recom (kg ha-1)",Resume!$A$4,"Sem",A39),"")</f>
        <v/>
      </c>
      <c r="L39" s="102">
        <f t="shared" si="9"/>
        <v>-341.94352499999962</v>
      </c>
      <c r="M39" s="116">
        <f>GETPIVOTDATA("Máx. de Nmin medido",Resume!$A$4,"Sem",16)</f>
        <v>-100</v>
      </c>
      <c r="N39" s="119" t="e">
        <f>GETPIVOTDATA("Máx. de BBCH tipo",Resume!$A$4,"Sem",A39)</f>
        <v>#REF!</v>
      </c>
      <c r="O39" s="119" t="e">
        <f t="shared" si="2"/>
        <v>#REF!</v>
      </c>
      <c r="P39" s="119" t="e">
        <f>GETPIVOTDATA("Máx. de BBCH real et",Resume!$A$4,"Sem",A39)</f>
        <v>#REF!</v>
      </c>
      <c r="Q39" s="119" t="e">
        <f t="shared" si="3"/>
        <v>#REF!</v>
      </c>
      <c r="R39" s="39">
        <f t="shared" si="4"/>
        <v>1.4</v>
      </c>
      <c r="S39" s="219" t="str">
        <f>IFERROR(GETPIVOTDATA("Máx. de Eto acumulada",Resume!$A$4,"Sem",A39),"")</f>
        <v/>
      </c>
      <c r="T39" s="119">
        <f t="shared" si="7"/>
        <v>1.4</v>
      </c>
      <c r="U39" s="219" t="str">
        <f>IFERROR(GETPIVOTDATA("Máx. de Eto acumulada real",Resume!$A$4,"Sem",A39)," ")</f>
        <v xml:space="preserve"> </v>
      </c>
      <c r="V39" s="93">
        <f>IF(IFERROR(GETPIVOTDATA("Máx. de NDVI r.int",Resume!$A$4,"Sem",A39),0)=0,-999,IFERROR(GETPIVOTDATA("Máx. de NDVI r.int",Resume!$A$4,"Sem",A39),""))</f>
        <v>-999</v>
      </c>
      <c r="W39" s="93" t="str">
        <f>IFERROR(GETPIVOTDATA("Máx. de NDVI tipo i",Resume!$A$4,"Sem",A39),"")</f>
        <v/>
      </c>
    </row>
    <row r="40" spans="1:23">
      <c r="A40" s="116">
        <f t="shared" si="5"/>
        <v>33</v>
      </c>
      <c r="B40" s="69">
        <f t="shared" si="6"/>
        <v>42598</v>
      </c>
      <c r="C40" s="116" t="str">
        <f>IFERROR(GETPIVOTDATA("Suma de N fert neto",Resume!$A$4,"Sem",A40),"")</f>
        <v/>
      </c>
      <c r="D40" s="102" t="str">
        <f>IFERROR(IF(GETPIVOTDATA("Suma de N agua",Resume!$A$4,"Sem",A40)=0,"",GETPIVOTDATA("Suma de N agua",Resume!$A$4,"Sem",A40)),"")</f>
        <v/>
      </c>
      <c r="E40" s="116" t="str">
        <f>IFERROR(IF(GETPIVOTDATA("Suma de N mineralizado",Resume!$A$4,"Sem",A40)=0,"",GETPIVOTDATA("Suma de N mineralizado",Resume!$A$4,"Sem",A40)),"")</f>
        <v/>
      </c>
      <c r="F40" s="202">
        <f t="shared" si="8"/>
        <v>18.226797633024553</v>
      </c>
      <c r="G40" s="102">
        <f>IFERROR(IF(GETPIVOTDATA("Suma de N extr 1",Resume!$A$4,"Sem",A40)=0,"",GETPIVOTDATA("Suma de N extr 1",Resume!$A$4,"Sem",A40))*(1+Inputs!$I$14),0)</f>
        <v>0</v>
      </c>
      <c r="H40" s="116" t="s">
        <v>616</v>
      </c>
      <c r="I40" s="102">
        <f t="shared" si="1"/>
        <v>18.226797633024553</v>
      </c>
      <c r="J40" s="116" t="str">
        <f>IFERROR(GETPIVOTDATA("Máx. de Nmin medido",Resume!$A$4,"Sem",A40),"")</f>
        <v/>
      </c>
      <c r="K40" s="116" t="str">
        <f>IFERROR(GETPIVOTDATA("Máx. de N recom (kg ha-1)",Resume!$A$4,"Sem",A40),"")</f>
        <v/>
      </c>
      <c r="L40" s="102">
        <f t="shared" si="9"/>
        <v>-341.94352499999962</v>
      </c>
      <c r="M40" s="116">
        <f>GETPIVOTDATA("Máx. de Nmin medido",Resume!$A$4,"Sem",16)</f>
        <v>-100</v>
      </c>
      <c r="N40" s="119" t="e">
        <f>GETPIVOTDATA("Máx. de BBCH tipo",Resume!$A$4,"Sem",A40)</f>
        <v>#REF!</v>
      </c>
      <c r="O40" s="119" t="e">
        <f t="shared" si="2"/>
        <v>#REF!</v>
      </c>
      <c r="P40" s="119" t="e">
        <f>GETPIVOTDATA("Máx. de BBCH real et",Resume!$A$4,"Sem",A40)</f>
        <v>#REF!</v>
      </c>
      <c r="Q40" s="119" t="e">
        <f t="shared" si="3"/>
        <v>#REF!</v>
      </c>
      <c r="R40" s="39">
        <f t="shared" si="4"/>
        <v>1.4</v>
      </c>
      <c r="S40" s="219" t="str">
        <f>IFERROR(GETPIVOTDATA("Máx. de Eto acumulada",Resume!$A$4,"Sem",A40),"")</f>
        <v/>
      </c>
      <c r="T40" s="119">
        <f t="shared" si="7"/>
        <v>1.4</v>
      </c>
      <c r="U40" s="219" t="str">
        <f>IFERROR(GETPIVOTDATA("Máx. de Eto acumulada real",Resume!$A$4,"Sem",A40)," ")</f>
        <v xml:space="preserve"> </v>
      </c>
      <c r="V40" s="93">
        <f>IF(IFERROR(GETPIVOTDATA("Máx. de NDVI r.int",Resume!$A$4,"Sem",A40),0)=0,-999,IFERROR(GETPIVOTDATA("Máx. de NDVI r.int",Resume!$A$4,"Sem",A40),""))</f>
        <v>-999</v>
      </c>
      <c r="W40" s="93" t="str">
        <f>IFERROR(GETPIVOTDATA("Máx. de NDVI tipo i",Resume!$A$4,"Sem",A40),"")</f>
        <v/>
      </c>
    </row>
    <row r="41" spans="1:23">
      <c r="A41" s="116">
        <f t="shared" si="5"/>
        <v>34</v>
      </c>
      <c r="B41" s="69">
        <f t="shared" si="6"/>
        <v>42605</v>
      </c>
      <c r="C41" s="116" t="str">
        <f>IFERROR(GETPIVOTDATA("Suma de N fert neto",Resume!$A$4,"Sem",A41),"")</f>
        <v/>
      </c>
      <c r="D41" s="102" t="str">
        <f>IFERROR(IF(GETPIVOTDATA("Suma de N agua",Resume!$A$4,"Sem",A41)=0,"",GETPIVOTDATA("Suma de N agua",Resume!$A$4,"Sem",A41)),"")</f>
        <v/>
      </c>
      <c r="E41" s="116" t="str">
        <f>IFERROR(IF(GETPIVOTDATA("Suma de N mineralizado",Resume!$A$4,"Sem",A41)=0,"",GETPIVOTDATA("Suma de N mineralizado",Resume!$A$4,"Sem",A41)),"")</f>
        <v/>
      </c>
      <c r="F41" s="202">
        <f t="shared" si="8"/>
        <v>18.226797633024553</v>
      </c>
      <c r="G41" s="102">
        <f>IFERROR(IF(GETPIVOTDATA("Suma de N extr 1",Resume!$A$4,"Sem",A41)=0,"",GETPIVOTDATA("Suma de N extr 1",Resume!$A$4,"Sem",A41))*(1+Inputs!$I$14),0)</f>
        <v>0</v>
      </c>
      <c r="H41" s="116" t="s">
        <v>616</v>
      </c>
      <c r="I41" s="102">
        <f t="shared" si="1"/>
        <v>18.226797633024553</v>
      </c>
      <c r="J41" s="116" t="str">
        <f>IFERROR(GETPIVOTDATA("Máx. de Nmin medido",Resume!$A$4,"Sem",A41),"")</f>
        <v/>
      </c>
      <c r="K41" s="116" t="str">
        <f>IFERROR(GETPIVOTDATA("Máx. de N recom (kg ha-1)",Resume!$A$4,"Sem",A41),"")</f>
        <v/>
      </c>
      <c r="L41" s="102">
        <f t="shared" si="9"/>
        <v>-341.94352499999962</v>
      </c>
      <c r="M41" s="116">
        <f>GETPIVOTDATA("Máx. de Nmin medido",Resume!$A$4,"Sem",16)</f>
        <v>-100</v>
      </c>
      <c r="N41" s="119" t="e">
        <f>GETPIVOTDATA("Máx. de BBCH tipo",Resume!$A$4,"Sem",A41)</f>
        <v>#REF!</v>
      </c>
      <c r="O41" s="119" t="e">
        <f t="shared" si="2"/>
        <v>#REF!</v>
      </c>
      <c r="P41" s="119" t="e">
        <f>GETPIVOTDATA("Máx. de BBCH real et",Resume!$A$4,"Sem",A41)</f>
        <v>#REF!</v>
      </c>
      <c r="Q41" s="119" t="e">
        <f t="shared" si="3"/>
        <v>#REF!</v>
      </c>
      <c r="R41" s="39">
        <f t="shared" si="4"/>
        <v>1.4</v>
      </c>
      <c r="S41" s="219" t="str">
        <f>IFERROR(GETPIVOTDATA("Máx. de Eto acumulada",Resume!$A$4,"Sem",A41),"")</f>
        <v/>
      </c>
      <c r="T41" s="119">
        <f t="shared" si="7"/>
        <v>1.4</v>
      </c>
      <c r="U41" s="219" t="str">
        <f>IFERROR(GETPIVOTDATA("Máx. de Eto acumulada real",Resume!$A$4,"Sem",A41)," ")</f>
        <v xml:space="preserve"> </v>
      </c>
      <c r="V41" s="93">
        <f>IF(IFERROR(GETPIVOTDATA("Máx. de NDVI r.int",Resume!$A$4,"Sem",A41),0)=0,-999,IFERROR(GETPIVOTDATA("Máx. de NDVI r.int",Resume!$A$4,"Sem",A41),""))</f>
        <v>-999</v>
      </c>
      <c r="W41" s="93" t="str">
        <f>IFERROR(GETPIVOTDATA("Máx. de NDVI tipo i",Resume!$A$4,"Sem",A41),"")</f>
        <v/>
      </c>
    </row>
    <row r="42" spans="1:23">
      <c r="A42" s="116">
        <f t="shared" si="5"/>
        <v>35</v>
      </c>
      <c r="B42" s="69">
        <f t="shared" si="6"/>
        <v>42612</v>
      </c>
      <c r="C42" s="116" t="str">
        <f>IFERROR(GETPIVOTDATA("Suma de N fert neto",Resume!$A$4,"Sem",A42),"")</f>
        <v/>
      </c>
      <c r="D42" s="102" t="str">
        <f>IFERROR(IF(GETPIVOTDATA("Suma de N agua",Resume!$A$4,"Sem",A42)=0,"",GETPIVOTDATA("Suma de N agua",Resume!$A$4,"Sem",A42)),"")</f>
        <v/>
      </c>
      <c r="E42" s="116" t="str">
        <f>IFERROR(IF(GETPIVOTDATA("Suma de N mineralizado",Resume!$A$4,"Sem",A42)=0,"",GETPIVOTDATA("Suma de N mineralizado",Resume!$A$4,"Sem",A42)),"")</f>
        <v/>
      </c>
      <c r="F42" s="202">
        <f t="shared" si="8"/>
        <v>18.226797633024553</v>
      </c>
      <c r="G42" s="102">
        <f>IFERROR(IF(GETPIVOTDATA("Suma de N extr 1",Resume!$A$4,"Sem",A42)=0,"",GETPIVOTDATA("Suma de N extr 1",Resume!$A$4,"Sem",A42))*(1+Inputs!$I$14),0)</f>
        <v>0</v>
      </c>
      <c r="H42" s="116" t="s">
        <v>616</v>
      </c>
      <c r="I42" s="102">
        <f t="shared" si="1"/>
        <v>18.226797633024553</v>
      </c>
      <c r="J42" s="116" t="str">
        <f>IFERROR(GETPIVOTDATA("Máx. de Nmin medido",Resume!$A$4,"Sem",A42),"")</f>
        <v/>
      </c>
      <c r="K42" s="116" t="str">
        <f>IFERROR(GETPIVOTDATA("Máx. de N recom (kg ha-1)",Resume!$A$4,"Sem",A42),"")</f>
        <v/>
      </c>
      <c r="L42" s="102">
        <f t="shared" si="9"/>
        <v>-341.94352499999962</v>
      </c>
      <c r="M42" s="116">
        <f>GETPIVOTDATA("Máx. de Nmin medido",Resume!$A$4,"Sem",16)</f>
        <v>-100</v>
      </c>
      <c r="N42" s="119" t="e">
        <f>GETPIVOTDATA("Máx. de BBCH tipo",Resume!$A$4,"Sem",A42)</f>
        <v>#REF!</v>
      </c>
      <c r="O42" s="119" t="e">
        <f t="shared" si="2"/>
        <v>#REF!</v>
      </c>
      <c r="P42" s="119" t="e">
        <f>GETPIVOTDATA("Máx. de BBCH real et",Resume!$A$4,"Sem",A42)</f>
        <v>#REF!</v>
      </c>
      <c r="Q42" s="119" t="e">
        <f t="shared" si="3"/>
        <v>#REF!</v>
      </c>
      <c r="R42" s="39">
        <f t="shared" si="4"/>
        <v>1.4</v>
      </c>
      <c r="S42" s="219" t="str">
        <f>IFERROR(GETPIVOTDATA("Máx. de Eto acumulada",Resume!$A$4,"Sem",A42),"")</f>
        <v/>
      </c>
      <c r="T42" s="119">
        <f t="shared" si="7"/>
        <v>1.4</v>
      </c>
      <c r="U42" s="219" t="str">
        <f>IFERROR(GETPIVOTDATA("Máx. de Eto acumulada real",Resume!$A$4,"Sem",A42)," ")</f>
        <v xml:space="preserve"> </v>
      </c>
      <c r="V42" s="93">
        <f>IF(IFERROR(GETPIVOTDATA("Máx. de NDVI r.int",Resume!$A$4,"Sem",A42),0)=0,-999,IFERROR(GETPIVOTDATA("Máx. de NDVI r.int",Resume!$A$4,"Sem",A42),""))</f>
        <v>-999</v>
      </c>
      <c r="W42" s="93" t="str">
        <f>IFERROR(GETPIVOTDATA("Máx. de NDVI tipo i",Resume!$A$4,"Sem",A42),"")</f>
        <v/>
      </c>
    </row>
    <row r="43" spans="1:23">
      <c r="A43" s="116">
        <f t="shared" si="5"/>
        <v>36</v>
      </c>
      <c r="B43" s="69">
        <f t="shared" si="6"/>
        <v>42619</v>
      </c>
      <c r="C43" s="116" t="str">
        <f>IFERROR(GETPIVOTDATA("Suma de N fert neto",Resume!$A$4,"Sem",A43),"")</f>
        <v/>
      </c>
      <c r="D43" s="102" t="str">
        <f>IFERROR(IF(GETPIVOTDATA("Suma de N agua",Resume!$A$4,"Sem",A43)=0,"",GETPIVOTDATA("Suma de N agua",Resume!$A$4,"Sem",A43)),"")</f>
        <v/>
      </c>
      <c r="E43" s="116" t="str">
        <f>IFERROR(IF(GETPIVOTDATA("Suma de N mineralizado",Resume!$A$4,"Sem",A43)=0,"",GETPIVOTDATA("Suma de N mineralizado",Resume!$A$4,"Sem",A43)),"")</f>
        <v/>
      </c>
      <c r="F43" s="202">
        <f t="shared" si="8"/>
        <v>18.226797633024553</v>
      </c>
      <c r="G43" s="102">
        <f>IFERROR(IF(GETPIVOTDATA("Suma de N extr 1",Resume!$A$4,"Sem",A43)=0,"",GETPIVOTDATA("Suma de N extr 1",Resume!$A$4,"Sem",A43))*(1+Inputs!$I$14),0)</f>
        <v>0</v>
      </c>
      <c r="H43" s="116" t="s">
        <v>616</v>
      </c>
      <c r="I43" s="102">
        <f t="shared" si="1"/>
        <v>18.226797633024553</v>
      </c>
      <c r="J43" s="116" t="str">
        <f>IFERROR(GETPIVOTDATA("Máx. de Nmin medido",Resume!$A$4,"Sem",A43),"")</f>
        <v/>
      </c>
      <c r="K43" s="116" t="str">
        <f>IFERROR(GETPIVOTDATA("Máx. de N recom (kg ha-1)",Resume!$A$4,"Sem",A43),"")</f>
        <v/>
      </c>
      <c r="L43" s="102">
        <f t="shared" si="9"/>
        <v>-341.94352499999962</v>
      </c>
      <c r="M43" s="116">
        <f>GETPIVOTDATA("Máx. de Nmin medido",Resume!$A$4,"Sem",16)</f>
        <v>-100</v>
      </c>
      <c r="N43" s="119" t="e">
        <f>GETPIVOTDATA("Máx. de BBCH tipo",Resume!$A$4,"Sem",A43)</f>
        <v>#REF!</v>
      </c>
      <c r="O43" s="119" t="e">
        <f t="shared" si="2"/>
        <v>#REF!</v>
      </c>
      <c r="P43" s="119" t="e">
        <f>GETPIVOTDATA("Máx. de BBCH real et",Resume!$A$4,"Sem",A43)</f>
        <v>#REF!</v>
      </c>
      <c r="Q43" s="119" t="e">
        <f t="shared" si="3"/>
        <v>#REF!</v>
      </c>
      <c r="R43" s="39">
        <f t="shared" si="4"/>
        <v>1.4</v>
      </c>
      <c r="S43" s="219" t="str">
        <f>IFERROR(GETPIVOTDATA("Máx. de Eto acumulada",Resume!$A$4,"Sem",A43),"")</f>
        <v/>
      </c>
      <c r="T43" s="119">
        <f t="shared" si="7"/>
        <v>1.4</v>
      </c>
      <c r="U43" s="219" t="str">
        <f>IFERROR(GETPIVOTDATA("Máx. de Eto acumulada real",Resume!$A$4,"Sem",A43)," ")</f>
        <v xml:space="preserve"> </v>
      </c>
      <c r="V43" s="93">
        <f>IF(IFERROR(GETPIVOTDATA("Máx. de NDVI r.int",Resume!$A$4,"Sem",A43),0)=0,-999,IFERROR(GETPIVOTDATA("Máx. de NDVI r.int",Resume!$A$4,"Sem",A43),""))</f>
        <v>-999</v>
      </c>
      <c r="W43" s="93" t="str">
        <f>IFERROR(GETPIVOTDATA("Máx. de NDVI tipo i",Resume!$A$4,"Sem",A43),"")</f>
        <v/>
      </c>
    </row>
    <row r="44" spans="1:23"/>
    <row r="45" spans="1:23"/>
    <row r="46" spans="1:23" s="121" customFormat="1">
      <c r="B46" s="121" t="s">
        <v>62</v>
      </c>
      <c r="C46" s="121">
        <f>SUM(C9:C34)</f>
        <v>180.45999999999998</v>
      </c>
      <c r="D46" s="121">
        <f>SUM(D9:D34)</f>
        <v>0</v>
      </c>
      <c r="E46" s="121">
        <f>SUM(E9:E34)</f>
        <v>100.113</v>
      </c>
      <c r="G46" s="121">
        <f>SUM(G9:G34)</f>
        <v>-341.94352499999962</v>
      </c>
      <c r="H46" s="121">
        <f>SUM(H9:H34)</f>
        <v>-5.1606773669757544</v>
      </c>
      <c r="V46" s="203" t="str">
        <f>IFERROR(GETPIVOTDATA("Máx. de NDVI r.int",Resume!$A$4,"Sem",A46)," ")</f>
        <v xml:space="preserve"> </v>
      </c>
    </row>
    <row r="47" spans="1:23"/>
    <row r="48" spans="1:23"/>
    <row r="49"/>
    <row r="50"/>
    <row r="51"/>
    <row r="52"/>
    <row r="53"/>
    <row r="54"/>
  </sheetData>
  <pageMargins left="0.7" right="0.7" top="0.75" bottom="0.75" header="0.3" footer="0.3"/>
  <pageSetup paperSize="9" scale="36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3">
    <tabColor theme="0" tint="-0.14999847407452621"/>
  </sheetPr>
  <dimension ref="A1:Z363"/>
  <sheetViews>
    <sheetView showGridLines="0" workbookViewId="0">
      <selection activeCell="I29" sqref="I29"/>
    </sheetView>
  </sheetViews>
  <sheetFormatPr baseColWidth="10" defaultColWidth="0" defaultRowHeight="15" zeroHeight="1"/>
  <cols>
    <col min="1" max="1" width="15.85546875" style="68" customWidth="1"/>
    <col min="2" max="10" width="12.7109375" style="68" customWidth="1"/>
    <col min="11" max="11" width="16" style="68" customWidth="1"/>
    <col min="12" max="12" width="13.7109375" style="68" customWidth="1"/>
    <col min="13" max="17" width="11.42578125" style="68" customWidth="1"/>
    <col min="18" max="18" width="17" style="68" customWidth="1"/>
    <col min="19" max="19" width="13.42578125" style="68" customWidth="1"/>
    <col min="20" max="21" width="11.42578125" style="68" customWidth="1"/>
    <col min="22" max="22" width="20.7109375" style="116" customWidth="1"/>
    <col min="23" max="23" width="11.42578125" style="68" customWidth="1"/>
    <col min="24" max="24" width="34.140625" style="68" customWidth="1"/>
    <col min="25" max="26" width="0" style="68" hidden="1" customWidth="1"/>
    <col min="27" max="16384" width="11.42578125" style="68" hidden="1"/>
  </cols>
  <sheetData>
    <row r="1" spans="1:26" ht="18.75">
      <c r="A1" s="97" t="s">
        <v>550</v>
      </c>
      <c r="N1" s="65"/>
    </row>
    <row r="2" spans="1:26">
      <c r="A2" s="80" t="s">
        <v>547</v>
      </c>
      <c r="B2" s="63" t="str">
        <f>Inputs!C4</f>
        <v>LT 2015 TrB F1 Z1</v>
      </c>
      <c r="C2" s="68" t="s">
        <v>597</v>
      </c>
    </row>
    <row r="3" spans="1:26">
      <c r="A3" s="74" t="s">
        <v>325</v>
      </c>
      <c r="B3" s="74" t="s">
        <v>326</v>
      </c>
      <c r="C3" s="74" t="s">
        <v>326</v>
      </c>
      <c r="D3" s="74" t="s">
        <v>326</v>
      </c>
      <c r="E3" s="74" t="s">
        <v>326</v>
      </c>
      <c r="F3" s="74" t="s">
        <v>326</v>
      </c>
      <c r="G3" s="74" t="s">
        <v>326</v>
      </c>
      <c r="H3" s="74" t="s">
        <v>326</v>
      </c>
      <c r="I3" s="74" t="s">
        <v>326</v>
      </c>
      <c r="J3" s="74" t="s">
        <v>326</v>
      </c>
      <c r="K3" s="60"/>
      <c r="L3" s="60"/>
      <c r="N3" s="60"/>
      <c r="O3" s="60"/>
      <c r="P3" s="60"/>
      <c r="Q3" s="60"/>
      <c r="R3" s="60"/>
      <c r="S3" s="60"/>
      <c r="T3" s="60"/>
      <c r="U3" s="60"/>
      <c r="V3" s="208"/>
      <c r="W3" s="60"/>
      <c r="Y3" s="60"/>
    </row>
    <row r="4" spans="1:26">
      <c r="A4" s="74" t="s">
        <v>327</v>
      </c>
      <c r="B4" s="74"/>
      <c r="C4" s="74"/>
      <c r="D4" s="74"/>
      <c r="E4" s="74"/>
      <c r="F4" s="74"/>
      <c r="G4" s="74"/>
      <c r="H4" s="74"/>
      <c r="I4" s="74"/>
      <c r="J4" s="74"/>
      <c r="K4" s="60"/>
      <c r="L4" s="60"/>
      <c r="Y4" s="96"/>
    </row>
    <row r="5" spans="1:26">
      <c r="A5" s="94" t="s">
        <v>328</v>
      </c>
      <c r="B5" s="67">
        <v>-233176.90381382999</v>
      </c>
      <c r="C5" s="67">
        <v>-233081.35752849001</v>
      </c>
      <c r="D5" s="67">
        <v>-232914.15152915</v>
      </c>
      <c r="E5" s="67">
        <v>-232990.58855742001</v>
      </c>
      <c r="F5" s="67">
        <v>-232880.71032928</v>
      </c>
      <c r="G5" s="67">
        <v>-232665.73118726999</v>
      </c>
      <c r="H5" s="67">
        <v>-232756.50015834</v>
      </c>
      <c r="I5" s="67">
        <v>-232751.72284407</v>
      </c>
      <c r="J5" s="67">
        <v>-232627.51267313</v>
      </c>
      <c r="K5" s="60"/>
      <c r="L5" s="60"/>
      <c r="Y5" s="96"/>
    </row>
    <row r="6" spans="1:26">
      <c r="A6" s="94" t="s">
        <v>329</v>
      </c>
      <c r="B6" s="67">
        <v>4730620.3314576996</v>
      </c>
      <c r="C6" s="67">
        <v>4730539.1171151996</v>
      </c>
      <c r="D6" s="67">
        <v>4730543.8944295002</v>
      </c>
      <c r="E6" s="67">
        <v>4730715.8777430998</v>
      </c>
      <c r="F6" s="67">
        <v>4730844.8652283</v>
      </c>
      <c r="G6" s="67">
        <v>4730682.4365432002</v>
      </c>
      <c r="H6" s="67">
        <v>4730730.2096859002</v>
      </c>
      <c r="I6" s="67">
        <v>4730997.7392848004</v>
      </c>
      <c r="J6" s="67">
        <v>4731102.8401987003</v>
      </c>
      <c r="K6" s="60"/>
      <c r="L6" s="60"/>
      <c r="U6" s="68" t="s">
        <v>584</v>
      </c>
      <c r="Y6" s="96"/>
    </row>
    <row r="7" spans="1:26" ht="48.75" customHeight="1">
      <c r="A7" s="95" t="s">
        <v>84</v>
      </c>
      <c r="B7" s="83" t="s">
        <v>330</v>
      </c>
      <c r="C7" s="84" t="s">
        <v>330</v>
      </c>
      <c r="D7" s="85" t="s">
        <v>330</v>
      </c>
      <c r="E7" s="86" t="s">
        <v>330</v>
      </c>
      <c r="F7" s="87" t="s">
        <v>330</v>
      </c>
      <c r="G7" s="88" t="s">
        <v>330</v>
      </c>
      <c r="H7" s="89" t="s">
        <v>330</v>
      </c>
      <c r="I7" s="90" t="s">
        <v>330</v>
      </c>
      <c r="J7" s="91" t="s">
        <v>330</v>
      </c>
      <c r="K7" s="76" t="s">
        <v>331</v>
      </c>
      <c r="L7" s="76" t="s">
        <v>545</v>
      </c>
      <c r="N7" s="77" t="s">
        <v>505</v>
      </c>
      <c r="O7" s="77" t="s">
        <v>504</v>
      </c>
      <c r="P7" s="77" t="s">
        <v>332</v>
      </c>
      <c r="Q7" s="77" t="s">
        <v>84</v>
      </c>
      <c r="R7" s="77" t="s">
        <v>331</v>
      </c>
      <c r="S7" s="77" t="s">
        <v>545</v>
      </c>
      <c r="T7" s="77" t="s">
        <v>548</v>
      </c>
      <c r="U7" s="77" t="s">
        <v>549</v>
      </c>
      <c r="V7" s="209"/>
      <c r="W7" s="77" t="s">
        <v>108</v>
      </c>
    </row>
    <row r="8" spans="1:26">
      <c r="A8" s="104">
        <v>42009</v>
      </c>
      <c r="B8" s="206">
        <v>0.187247</v>
      </c>
      <c r="C8" s="92"/>
      <c r="D8" s="92"/>
      <c r="E8" s="92"/>
      <c r="F8" s="92"/>
      <c r="G8" s="92"/>
      <c r="H8" s="92"/>
      <c r="I8" s="92"/>
      <c r="J8" s="92"/>
      <c r="K8" s="81">
        <f t="shared" ref="K8:K15" si="0">AVERAGE(B8:J8)</f>
        <v>0.187247</v>
      </c>
      <c r="L8" s="82">
        <f t="shared" ref="L8:L16" si="1">(K9-K8)/(A9-A8)</f>
        <v>2.8791111111111101E-3</v>
      </c>
      <c r="N8" s="122">
        <f>DAY(A8)</f>
        <v>5</v>
      </c>
      <c r="O8" s="122">
        <f>MONTH(A8)</f>
        <v>1</v>
      </c>
      <c r="P8" s="122">
        <f>YEAR(Inputs!$I$8)</f>
        <v>2015</v>
      </c>
      <c r="Q8" s="115">
        <f>DATE(P8,O8,N8)</f>
        <v>42009</v>
      </c>
      <c r="R8" s="78">
        <f>AVERAGE(B8:J8)</f>
        <v>0.187247</v>
      </c>
      <c r="S8" s="98">
        <f t="shared" ref="S8:S16" si="2">(R9-R8)/(Q9-Q8)</f>
        <v>2.8791111111111101E-3</v>
      </c>
      <c r="T8" s="69">
        <f>Q8</f>
        <v>42009</v>
      </c>
      <c r="U8" s="61">
        <f>IF(ISERROR(VLOOKUP($T8,$Q$8:$S$40,2,FALSE)),U7+VLOOKUP($T8,$Q$8:$S$40,3,TRUE),VLOOKUP($T8,$Q$8:$S$40,2,FALSE))</f>
        <v>0.187247</v>
      </c>
      <c r="V8" s="116">
        <f>IFERROR(IF(VLOOKUP(T8,$Q$8:$Q$363,1,FALSE)&gt;0,1,""),"")</f>
        <v>1</v>
      </c>
      <c r="W8" s="75">
        <f>U8*1.5-0.2</f>
        <v>8.0870500000000012E-2</v>
      </c>
    </row>
    <row r="9" spans="1:26">
      <c r="A9" s="104">
        <v>42018</v>
      </c>
      <c r="B9" s="206">
        <v>0.21315899999999999</v>
      </c>
      <c r="C9" s="92"/>
      <c r="D9" s="92"/>
      <c r="E9" s="93"/>
      <c r="F9" s="93"/>
      <c r="G9" s="93"/>
      <c r="H9" s="93"/>
      <c r="I9" s="92"/>
      <c r="J9" s="92"/>
      <c r="K9" s="81">
        <f t="shared" si="0"/>
        <v>0.21315899999999999</v>
      </c>
      <c r="L9" s="82">
        <f t="shared" si="1"/>
        <v>1.5146181818181815E-3</v>
      </c>
      <c r="N9" s="122">
        <f t="shared" ref="N9:N17" si="3">DAY(A9)</f>
        <v>14</v>
      </c>
      <c r="O9" s="122">
        <f t="shared" ref="O9:O17" si="4">MONTH(A9)</f>
        <v>1</v>
      </c>
      <c r="P9" s="122">
        <f>YEAR(Inputs!$I$8)</f>
        <v>2015</v>
      </c>
      <c r="Q9" s="115">
        <f t="shared" ref="Q9:Q17" si="5">DATE(P9,O9,N9)</f>
        <v>42018</v>
      </c>
      <c r="R9" s="78">
        <f t="shared" ref="R9:R17" si="6">AVERAGE(B9:J9)</f>
        <v>0.21315899999999999</v>
      </c>
      <c r="S9" s="98">
        <f t="shared" si="2"/>
        <v>1.5146181818181815E-3</v>
      </c>
      <c r="T9" s="69">
        <f>T8+1</f>
        <v>42010</v>
      </c>
      <c r="U9" s="61">
        <f t="shared" ref="U9:U72" si="7">IF(ISERROR(VLOOKUP($T9,$Q$8:$S$30,2,FALSE)),U8+VLOOKUP($T9,$Q$8:$S$30,3,TRUE),VLOOKUP($T9,$Q$8:$S$30,2,FALSE))</f>
        <v>0.19012611111111111</v>
      </c>
      <c r="V9" s="116" t="str">
        <f t="shared" ref="V9:V72" si="8">IFERROR(IF(VLOOKUP(T9,$Q$8:$Q$363,1,FALSE)&gt;0,1,""),"")</f>
        <v/>
      </c>
      <c r="W9" s="75">
        <f t="shared" ref="W9:W72" si="9">U9*1.5-0.2</f>
        <v>8.5189166666666649E-2</v>
      </c>
    </row>
    <row r="10" spans="1:26">
      <c r="A10" s="104">
        <v>42073</v>
      </c>
      <c r="B10" s="206">
        <v>0.29646299999999998</v>
      </c>
      <c r="C10" s="92"/>
      <c r="D10" s="92"/>
      <c r="E10" s="92"/>
      <c r="F10" s="92"/>
      <c r="G10" s="92"/>
      <c r="H10" s="92"/>
      <c r="I10" s="92"/>
      <c r="J10" s="92"/>
      <c r="K10" s="81">
        <f t="shared" si="0"/>
        <v>0.29646299999999998</v>
      </c>
      <c r="L10" s="82">
        <f t="shared" si="1"/>
        <v>8.3290243902439023E-3</v>
      </c>
      <c r="N10" s="122">
        <f t="shared" si="3"/>
        <v>10</v>
      </c>
      <c r="O10" s="122">
        <f t="shared" si="4"/>
        <v>3</v>
      </c>
      <c r="P10" s="122">
        <f>YEAR(Inputs!$I$8)</f>
        <v>2015</v>
      </c>
      <c r="Q10" s="115">
        <f t="shared" si="5"/>
        <v>42073</v>
      </c>
      <c r="R10" s="78">
        <f t="shared" si="6"/>
        <v>0.29646299999999998</v>
      </c>
      <c r="S10" s="98">
        <f t="shared" si="2"/>
        <v>8.3290243902439023E-3</v>
      </c>
      <c r="T10" s="69">
        <f t="shared" ref="T10:T73" si="10">T9+1</f>
        <v>42011</v>
      </c>
      <c r="U10" s="61">
        <f>IF(ISERROR(VLOOKUP($T10,$Q$8:$S$30,2,FALSE)),U9+VLOOKUP($T10,$Q$8:$S$30,3,TRUE),VLOOKUP($T10,$Q$8:$S$30,2,FALSE))</f>
        <v>0.19300522222222222</v>
      </c>
      <c r="V10" s="116" t="str">
        <f t="shared" si="8"/>
        <v/>
      </c>
      <c r="W10" s="75">
        <f>U10*1.5-0.2</f>
        <v>8.9507833333333287E-2</v>
      </c>
      <c r="Z10" s="69"/>
    </row>
    <row r="11" spans="1:26">
      <c r="A11" s="104">
        <v>42114</v>
      </c>
      <c r="B11" s="206">
        <v>0.63795299999999999</v>
      </c>
      <c r="C11" s="92"/>
      <c r="D11" s="92"/>
      <c r="E11" s="92"/>
      <c r="F11" s="92"/>
      <c r="G11" s="92"/>
      <c r="H11" s="92"/>
      <c r="I11" s="92"/>
      <c r="J11" s="92"/>
      <c r="K11" s="81">
        <f t="shared" si="0"/>
        <v>0.63795299999999999</v>
      </c>
      <c r="L11" s="82">
        <f t="shared" si="1"/>
        <v>1.0319750000000003E-2</v>
      </c>
      <c r="N11" s="122">
        <f t="shared" si="3"/>
        <v>20</v>
      </c>
      <c r="O11" s="122">
        <f t="shared" si="4"/>
        <v>4</v>
      </c>
      <c r="P11" s="122">
        <f>YEAR(Inputs!$I$8)</f>
        <v>2015</v>
      </c>
      <c r="Q11" s="115">
        <f t="shared" si="5"/>
        <v>42114</v>
      </c>
      <c r="R11" s="78">
        <f t="shared" si="6"/>
        <v>0.63795299999999999</v>
      </c>
      <c r="S11" s="98">
        <f t="shared" si="2"/>
        <v>1.0319750000000003E-2</v>
      </c>
      <c r="T11" s="69">
        <f t="shared" si="10"/>
        <v>42012</v>
      </c>
      <c r="U11" s="61">
        <f t="shared" si="7"/>
        <v>0.19588433333333333</v>
      </c>
      <c r="V11" s="116" t="str">
        <f t="shared" si="8"/>
        <v/>
      </c>
      <c r="W11" s="75">
        <f t="shared" si="9"/>
        <v>9.3826499999999979E-2</v>
      </c>
    </row>
    <row r="12" spans="1:26">
      <c r="A12" s="104">
        <v>42130</v>
      </c>
      <c r="B12" s="206">
        <v>0.80306900000000003</v>
      </c>
      <c r="C12" s="92"/>
      <c r="D12" s="92"/>
      <c r="E12" s="92"/>
      <c r="F12" s="92"/>
      <c r="G12" s="92"/>
      <c r="H12" s="92"/>
      <c r="I12" s="92"/>
      <c r="J12" s="93"/>
      <c r="K12" s="81">
        <f t="shared" si="0"/>
        <v>0.80306900000000003</v>
      </c>
      <c r="L12" s="82">
        <f t="shared" si="1"/>
        <v>1.7789999999999959E-3</v>
      </c>
      <c r="N12" s="122">
        <f t="shared" si="3"/>
        <v>6</v>
      </c>
      <c r="O12" s="122">
        <f t="shared" si="4"/>
        <v>5</v>
      </c>
      <c r="P12" s="122">
        <f>YEAR(Inputs!$I$8)</f>
        <v>2015</v>
      </c>
      <c r="Q12" s="115">
        <f t="shared" si="5"/>
        <v>42130</v>
      </c>
      <c r="R12" s="78">
        <f t="shared" si="6"/>
        <v>0.80306900000000003</v>
      </c>
      <c r="S12" s="98">
        <f t="shared" si="2"/>
        <v>1.7789999999999959E-3</v>
      </c>
      <c r="T12" s="69">
        <f t="shared" si="10"/>
        <v>42013</v>
      </c>
      <c r="U12" s="61">
        <f t="shared" si="7"/>
        <v>0.19876344444444444</v>
      </c>
      <c r="V12" s="116" t="str">
        <f t="shared" si="8"/>
        <v/>
      </c>
      <c r="W12" s="75">
        <f t="shared" si="9"/>
        <v>9.8145166666666672E-2</v>
      </c>
    </row>
    <row r="13" spans="1:26">
      <c r="A13" s="104">
        <v>42146</v>
      </c>
      <c r="B13" s="206">
        <v>0.83153299999999997</v>
      </c>
      <c r="C13" s="92"/>
      <c r="D13" s="92"/>
      <c r="E13" s="92"/>
      <c r="F13" s="92"/>
      <c r="G13" s="92"/>
      <c r="H13" s="92"/>
      <c r="I13" s="92"/>
      <c r="J13" s="92"/>
      <c r="K13" s="81">
        <f t="shared" si="0"/>
        <v>0.83153299999999997</v>
      </c>
      <c r="L13" s="82">
        <f t="shared" si="1"/>
        <v>-7.734624999999995E-3</v>
      </c>
      <c r="N13" s="122">
        <f t="shared" si="3"/>
        <v>22</v>
      </c>
      <c r="O13" s="122">
        <f t="shared" si="4"/>
        <v>5</v>
      </c>
      <c r="P13" s="122">
        <f>YEAR(Inputs!$I$8)</f>
        <v>2015</v>
      </c>
      <c r="Q13" s="115">
        <f t="shared" si="5"/>
        <v>42146</v>
      </c>
      <c r="R13" s="78">
        <f t="shared" si="6"/>
        <v>0.83153299999999997</v>
      </c>
      <c r="S13" s="98">
        <f t="shared" si="2"/>
        <v>-7.734624999999995E-3</v>
      </c>
      <c r="T13" s="69">
        <f t="shared" si="10"/>
        <v>42014</v>
      </c>
      <c r="U13" s="61">
        <f t="shared" si="7"/>
        <v>0.20164255555555555</v>
      </c>
      <c r="V13" s="116" t="str">
        <f t="shared" si="8"/>
        <v/>
      </c>
      <c r="W13" s="75">
        <f t="shared" si="9"/>
        <v>0.10246383333333331</v>
      </c>
    </row>
    <row r="14" spans="1:26">
      <c r="A14" s="104">
        <v>42162</v>
      </c>
      <c r="B14" s="206">
        <v>0.70777900000000005</v>
      </c>
      <c r="C14" s="92"/>
      <c r="D14" s="92"/>
      <c r="E14" s="92"/>
      <c r="F14" s="92"/>
      <c r="G14" s="92"/>
      <c r="H14" s="92"/>
      <c r="I14" s="92"/>
      <c r="J14" s="92"/>
      <c r="K14" s="81">
        <f t="shared" si="0"/>
        <v>0.70777900000000005</v>
      </c>
      <c r="L14" s="82">
        <f t="shared" si="1"/>
        <v>-2.5833333333333337E-2</v>
      </c>
      <c r="N14" s="122">
        <f t="shared" si="3"/>
        <v>7</v>
      </c>
      <c r="O14" s="122">
        <f t="shared" si="4"/>
        <v>6</v>
      </c>
      <c r="P14" s="122">
        <f>YEAR(Inputs!$I$8)</f>
        <v>2015</v>
      </c>
      <c r="Q14" s="115">
        <f t="shared" si="5"/>
        <v>42162</v>
      </c>
      <c r="R14" s="78">
        <f t="shared" si="6"/>
        <v>0.70777900000000005</v>
      </c>
      <c r="S14" s="98">
        <f t="shared" si="2"/>
        <v>-2.5833333333333337E-2</v>
      </c>
      <c r="T14" s="69">
        <f t="shared" si="10"/>
        <v>42015</v>
      </c>
      <c r="U14" s="61">
        <f t="shared" si="7"/>
        <v>0.20452166666666666</v>
      </c>
      <c r="V14" s="116" t="str">
        <f t="shared" si="8"/>
        <v/>
      </c>
      <c r="W14" s="75">
        <f t="shared" si="9"/>
        <v>0.10678249999999995</v>
      </c>
    </row>
    <row r="15" spans="1:26">
      <c r="A15" s="104">
        <v>42177</v>
      </c>
      <c r="B15" s="206">
        <v>0.32027899999999998</v>
      </c>
      <c r="C15" s="92"/>
      <c r="D15" s="92"/>
      <c r="E15" s="92"/>
      <c r="F15" s="92"/>
      <c r="G15" s="92"/>
      <c r="H15" s="92"/>
      <c r="I15" s="92"/>
      <c r="J15" s="92"/>
      <c r="K15" s="81">
        <f t="shared" si="0"/>
        <v>0.32027899999999998</v>
      </c>
      <c r="L15" s="82">
        <f t="shared" si="1"/>
        <v>-1.4699999999999436E-4</v>
      </c>
      <c r="N15" s="122">
        <f t="shared" si="3"/>
        <v>22</v>
      </c>
      <c r="O15" s="122">
        <f t="shared" si="4"/>
        <v>6</v>
      </c>
      <c r="P15" s="122">
        <f>YEAR(Inputs!$I$8)</f>
        <v>2015</v>
      </c>
      <c r="Q15" s="115">
        <f t="shared" si="5"/>
        <v>42177</v>
      </c>
      <c r="R15" s="78">
        <f t="shared" si="6"/>
        <v>0.32027899999999998</v>
      </c>
      <c r="S15" s="98">
        <f t="shared" si="2"/>
        <v>-1.4699999999999436E-4</v>
      </c>
      <c r="T15" s="69">
        <f t="shared" si="10"/>
        <v>42016</v>
      </c>
      <c r="U15" s="61">
        <f t="shared" si="7"/>
        <v>0.20740077777777777</v>
      </c>
      <c r="V15" s="116" t="str">
        <f t="shared" si="8"/>
        <v/>
      </c>
      <c r="W15" s="75">
        <f t="shared" si="9"/>
        <v>0.11110116666666664</v>
      </c>
    </row>
    <row r="16" spans="1:26">
      <c r="A16" s="104">
        <v>42185</v>
      </c>
      <c r="B16" s="206">
        <v>0.31910300000000003</v>
      </c>
      <c r="C16" s="92"/>
      <c r="D16" s="92"/>
      <c r="E16" s="92"/>
      <c r="F16" s="92"/>
      <c r="G16" s="92"/>
      <c r="H16" s="92"/>
      <c r="I16" s="92"/>
      <c r="J16" s="92"/>
      <c r="K16" s="81">
        <f>AVERAGE(B16:J16)</f>
        <v>0.31910300000000003</v>
      </c>
      <c r="L16" s="82">
        <f t="shared" si="1"/>
        <v>-1.6208888888888939E-3</v>
      </c>
      <c r="N16" s="122">
        <f t="shared" si="3"/>
        <v>30</v>
      </c>
      <c r="O16" s="122">
        <f t="shared" si="4"/>
        <v>6</v>
      </c>
      <c r="P16" s="122">
        <f>YEAR(Inputs!$I$8)</f>
        <v>2015</v>
      </c>
      <c r="Q16" s="115">
        <f t="shared" si="5"/>
        <v>42185</v>
      </c>
      <c r="R16" s="78">
        <f t="shared" si="6"/>
        <v>0.31910300000000003</v>
      </c>
      <c r="S16" s="98">
        <f t="shared" si="2"/>
        <v>-1.6208888888888939E-3</v>
      </c>
      <c r="T16" s="69">
        <f t="shared" si="10"/>
        <v>42017</v>
      </c>
      <c r="U16" s="61">
        <f t="shared" si="7"/>
        <v>0.21027988888888888</v>
      </c>
      <c r="V16" s="116" t="str">
        <f t="shared" si="8"/>
        <v/>
      </c>
      <c r="W16" s="75">
        <f t="shared" si="9"/>
        <v>0.11541983333333333</v>
      </c>
    </row>
    <row r="17" spans="1:23">
      <c r="A17" s="104">
        <v>42194</v>
      </c>
      <c r="B17" s="206">
        <v>0.30451499999999998</v>
      </c>
      <c r="C17" s="92"/>
      <c r="D17" s="92"/>
      <c r="E17" s="92"/>
      <c r="F17" s="92"/>
      <c r="G17" s="92"/>
      <c r="H17" s="92"/>
      <c r="I17" s="92"/>
      <c r="J17" s="92"/>
      <c r="K17" s="81">
        <f>AVERAGE(B17:J17)</f>
        <v>0.30451499999999998</v>
      </c>
      <c r="L17" s="82"/>
      <c r="N17" s="122">
        <f t="shared" si="3"/>
        <v>9</v>
      </c>
      <c r="O17" s="122">
        <f t="shared" si="4"/>
        <v>7</v>
      </c>
      <c r="P17" s="122">
        <f>YEAR(Inputs!$I$8)</f>
        <v>2015</v>
      </c>
      <c r="Q17" s="115">
        <f t="shared" si="5"/>
        <v>42194</v>
      </c>
      <c r="R17" s="78">
        <f t="shared" si="6"/>
        <v>0.30451499999999998</v>
      </c>
      <c r="S17" s="98"/>
      <c r="T17" s="69">
        <f t="shared" si="10"/>
        <v>42018</v>
      </c>
      <c r="U17" s="61">
        <f t="shared" si="7"/>
        <v>0.21315899999999999</v>
      </c>
      <c r="V17" s="116">
        <f t="shared" si="8"/>
        <v>1</v>
      </c>
      <c r="W17" s="75">
        <f t="shared" si="9"/>
        <v>0.11973849999999997</v>
      </c>
    </row>
    <row r="18" spans="1:23">
      <c r="A18" s="104"/>
      <c r="B18" s="206"/>
      <c r="C18" s="92"/>
      <c r="D18" s="92"/>
      <c r="E18" s="92"/>
      <c r="F18" s="92"/>
      <c r="G18" s="92"/>
      <c r="H18" s="92"/>
      <c r="I18" s="92"/>
      <c r="J18" s="92"/>
      <c r="K18" s="81"/>
      <c r="L18" s="82"/>
      <c r="N18" s="122"/>
      <c r="O18" s="122"/>
      <c r="P18" s="122"/>
      <c r="Q18" s="115"/>
      <c r="R18" s="78"/>
      <c r="S18" s="98"/>
      <c r="T18" s="69">
        <f t="shared" si="10"/>
        <v>42019</v>
      </c>
      <c r="U18" s="61">
        <f t="shared" si="7"/>
        <v>0.21467361818181818</v>
      </c>
      <c r="V18" s="116" t="str">
        <f t="shared" si="8"/>
        <v/>
      </c>
      <c r="W18" s="75">
        <f t="shared" si="9"/>
        <v>0.12201042727272726</v>
      </c>
    </row>
    <row r="19" spans="1:23">
      <c r="A19" s="104"/>
      <c r="B19" s="206"/>
      <c r="C19" s="92"/>
      <c r="D19" s="92"/>
      <c r="E19" s="92"/>
      <c r="F19" s="92"/>
      <c r="G19" s="92"/>
      <c r="H19" s="92"/>
      <c r="I19" s="92"/>
      <c r="J19" s="92"/>
      <c r="K19" s="81"/>
      <c r="L19" s="82"/>
      <c r="N19" s="122"/>
      <c r="O19" s="122"/>
      <c r="P19" s="122"/>
      <c r="Q19" s="115"/>
      <c r="R19" s="78"/>
      <c r="S19" s="98"/>
      <c r="T19" s="69">
        <f t="shared" si="10"/>
        <v>42020</v>
      </c>
      <c r="U19" s="61">
        <f t="shared" si="7"/>
        <v>0.21618823636363638</v>
      </c>
      <c r="V19" s="116" t="str">
        <f t="shared" si="8"/>
        <v/>
      </c>
      <c r="W19" s="75">
        <f t="shared" si="9"/>
        <v>0.12428235454545455</v>
      </c>
    </row>
    <row r="20" spans="1:23">
      <c r="A20" s="66"/>
      <c r="B20" s="92"/>
      <c r="C20" s="92"/>
      <c r="D20" s="92"/>
      <c r="E20" s="92"/>
      <c r="F20" s="92"/>
      <c r="G20" s="92"/>
      <c r="H20" s="92"/>
      <c r="I20" s="92"/>
      <c r="J20" s="92"/>
      <c r="K20" s="81"/>
      <c r="L20" s="82"/>
      <c r="N20" s="122"/>
      <c r="O20" s="122"/>
      <c r="P20" s="122"/>
      <c r="Q20" s="115"/>
      <c r="R20" s="78"/>
      <c r="S20" s="98"/>
      <c r="T20" s="69">
        <f t="shared" si="10"/>
        <v>42021</v>
      </c>
      <c r="U20" s="61">
        <f t="shared" si="7"/>
        <v>0.21770285454545457</v>
      </c>
      <c r="V20" s="116" t="str">
        <f t="shared" si="8"/>
        <v/>
      </c>
      <c r="W20" s="75">
        <f t="shared" si="9"/>
        <v>0.12655428181818185</v>
      </c>
    </row>
    <row r="21" spans="1:23">
      <c r="A21" s="66"/>
      <c r="B21" s="92"/>
      <c r="C21" s="92"/>
      <c r="D21" s="92"/>
      <c r="E21" s="92"/>
      <c r="F21" s="92"/>
      <c r="G21" s="92"/>
      <c r="H21" s="92"/>
      <c r="I21" s="92"/>
      <c r="J21" s="92"/>
      <c r="K21" s="81"/>
      <c r="L21" s="82"/>
      <c r="N21" s="122"/>
      <c r="O21" s="122"/>
      <c r="P21" s="122"/>
      <c r="Q21" s="115"/>
      <c r="R21" s="78"/>
      <c r="S21" s="98"/>
      <c r="T21" s="69">
        <f t="shared" si="10"/>
        <v>42022</v>
      </c>
      <c r="U21" s="61">
        <f t="shared" si="7"/>
        <v>0.21921747272727277</v>
      </c>
      <c r="V21" s="116" t="str">
        <f t="shared" si="8"/>
        <v/>
      </c>
      <c r="W21" s="75">
        <f t="shared" si="9"/>
        <v>0.12882620909090914</v>
      </c>
    </row>
    <row r="22" spans="1:23">
      <c r="A22" s="66"/>
      <c r="B22" s="93"/>
      <c r="C22" s="92"/>
      <c r="D22" s="93"/>
      <c r="E22" s="93"/>
      <c r="F22" s="93"/>
      <c r="G22" s="93"/>
      <c r="H22" s="93"/>
      <c r="I22" s="92"/>
      <c r="J22" s="92"/>
      <c r="K22" s="81"/>
      <c r="L22" s="82"/>
      <c r="N22" s="122"/>
      <c r="O22" s="122"/>
      <c r="P22" s="122"/>
      <c r="Q22" s="115"/>
      <c r="R22" s="78"/>
      <c r="S22" s="98"/>
      <c r="T22" s="69">
        <f t="shared" si="10"/>
        <v>42023</v>
      </c>
      <c r="U22" s="61">
        <f t="shared" si="7"/>
        <v>0.22073209090909096</v>
      </c>
      <c r="V22" s="116" t="str">
        <f t="shared" si="8"/>
        <v/>
      </c>
      <c r="W22" s="75">
        <f t="shared" si="9"/>
        <v>0.13109813636363643</v>
      </c>
    </row>
    <row r="23" spans="1:23">
      <c r="A23" s="66"/>
      <c r="B23" s="92"/>
      <c r="C23" s="92"/>
      <c r="D23" s="92"/>
      <c r="E23" s="92"/>
      <c r="F23" s="92"/>
      <c r="G23" s="92"/>
      <c r="H23" s="92"/>
      <c r="I23" s="92"/>
      <c r="J23" s="92"/>
      <c r="K23" s="81"/>
      <c r="L23" s="82"/>
      <c r="N23" s="122"/>
      <c r="O23" s="122"/>
      <c r="P23" s="122"/>
      <c r="Q23" s="115"/>
      <c r="R23" s="78"/>
      <c r="S23" s="98"/>
      <c r="T23" s="69">
        <f t="shared" si="10"/>
        <v>42024</v>
      </c>
      <c r="U23" s="61">
        <f t="shared" si="7"/>
        <v>0.22224670909090916</v>
      </c>
      <c r="V23" s="116" t="str">
        <f t="shared" si="8"/>
        <v/>
      </c>
      <c r="W23" s="75">
        <f t="shared" si="9"/>
        <v>0.13337006363636372</v>
      </c>
    </row>
    <row r="24" spans="1:23">
      <c r="A24" s="66"/>
      <c r="B24" s="92"/>
      <c r="C24" s="92"/>
      <c r="D24" s="92"/>
      <c r="E24" s="92"/>
      <c r="F24" s="92"/>
      <c r="G24" s="92"/>
      <c r="H24" s="92"/>
      <c r="I24" s="92"/>
      <c r="J24" s="92"/>
      <c r="K24" s="81"/>
      <c r="L24" s="82"/>
      <c r="N24" s="122"/>
      <c r="O24" s="122"/>
      <c r="P24" s="122"/>
      <c r="Q24" s="115"/>
      <c r="R24" s="78"/>
      <c r="S24" s="98"/>
      <c r="T24" s="69">
        <f t="shared" si="10"/>
        <v>42025</v>
      </c>
      <c r="U24" s="61">
        <f t="shared" si="7"/>
        <v>0.22376132727272735</v>
      </c>
      <c r="V24" s="116" t="str">
        <f t="shared" si="8"/>
        <v/>
      </c>
      <c r="W24" s="75">
        <f t="shared" si="9"/>
        <v>0.13564199090909101</v>
      </c>
    </row>
    <row r="25" spans="1:23">
      <c r="A25" s="66"/>
      <c r="B25" s="92"/>
      <c r="C25" s="92"/>
      <c r="D25" s="92"/>
      <c r="E25" s="92"/>
      <c r="F25" s="92"/>
      <c r="G25" s="92"/>
      <c r="H25" s="92"/>
      <c r="I25" s="92"/>
      <c r="J25" s="92"/>
      <c r="K25" s="81"/>
      <c r="L25" s="82"/>
      <c r="N25" s="122"/>
      <c r="O25" s="122"/>
      <c r="P25" s="122"/>
      <c r="Q25" s="115"/>
      <c r="R25" s="78"/>
      <c r="S25" s="98"/>
      <c r="T25" s="69">
        <f t="shared" si="10"/>
        <v>42026</v>
      </c>
      <c r="U25" s="61">
        <f t="shared" si="7"/>
        <v>0.22527594545454555</v>
      </c>
      <c r="V25" s="116" t="str">
        <f t="shared" si="8"/>
        <v/>
      </c>
      <c r="W25" s="75">
        <f t="shared" si="9"/>
        <v>0.13791391818181831</v>
      </c>
    </row>
    <row r="26" spans="1:23">
      <c r="A26" s="66"/>
      <c r="B26" s="92"/>
      <c r="C26" s="92"/>
      <c r="D26" s="92"/>
      <c r="E26" s="92"/>
      <c r="F26" s="92"/>
      <c r="G26" s="92"/>
      <c r="H26" s="92"/>
      <c r="I26" s="92"/>
      <c r="J26" s="92"/>
      <c r="K26" s="81"/>
      <c r="L26" s="82"/>
      <c r="N26" s="122"/>
      <c r="O26" s="122"/>
      <c r="P26" s="122"/>
      <c r="Q26" s="115"/>
      <c r="R26" s="78"/>
      <c r="S26" s="98"/>
      <c r="T26" s="69">
        <f t="shared" si="10"/>
        <v>42027</v>
      </c>
      <c r="U26" s="61">
        <f t="shared" si="7"/>
        <v>0.22679056363636374</v>
      </c>
      <c r="V26" s="116" t="str">
        <f t="shared" si="8"/>
        <v/>
      </c>
      <c r="W26" s="75">
        <f t="shared" si="9"/>
        <v>0.1401858454545456</v>
      </c>
    </row>
    <row r="27" spans="1:23">
      <c r="A27" s="66"/>
      <c r="B27" s="92"/>
      <c r="C27" s="92"/>
      <c r="D27" s="92"/>
      <c r="E27" s="92"/>
      <c r="F27" s="92"/>
      <c r="G27" s="92"/>
      <c r="H27" s="92"/>
      <c r="I27" s="92"/>
      <c r="J27" s="92"/>
      <c r="K27" s="81"/>
      <c r="L27" s="82"/>
      <c r="N27" s="122"/>
      <c r="O27" s="122"/>
      <c r="P27" s="122"/>
      <c r="Q27" s="115"/>
      <c r="R27" s="78"/>
      <c r="S27" s="98"/>
      <c r="T27" s="69">
        <f t="shared" si="10"/>
        <v>42028</v>
      </c>
      <c r="U27" s="61">
        <f t="shared" si="7"/>
        <v>0.22830518181818193</v>
      </c>
      <c r="V27" s="116" t="str">
        <f t="shared" si="8"/>
        <v/>
      </c>
      <c r="W27" s="75">
        <f t="shared" si="9"/>
        <v>0.14245777272727289</v>
      </c>
    </row>
    <row r="28" spans="1:23">
      <c r="A28" s="66"/>
      <c r="B28" s="92"/>
      <c r="C28" s="92"/>
      <c r="D28" s="92"/>
      <c r="E28" s="92"/>
      <c r="F28" s="92"/>
      <c r="G28" s="92"/>
      <c r="H28" s="92"/>
      <c r="I28" s="92"/>
      <c r="J28" s="92"/>
      <c r="K28" s="81"/>
      <c r="L28" s="82"/>
      <c r="N28" s="122"/>
      <c r="O28" s="122"/>
      <c r="P28" s="122"/>
      <c r="Q28" s="115"/>
      <c r="R28" s="78"/>
      <c r="S28" s="98"/>
      <c r="T28" s="69">
        <f t="shared" si="10"/>
        <v>42029</v>
      </c>
      <c r="U28" s="61">
        <f t="shared" si="7"/>
        <v>0.22981980000000013</v>
      </c>
      <c r="V28" s="116" t="str">
        <f t="shared" si="8"/>
        <v/>
      </c>
      <c r="W28" s="75">
        <f t="shared" si="9"/>
        <v>0.14472970000000018</v>
      </c>
    </row>
    <row r="29" spans="1:23">
      <c r="A29" s="66"/>
      <c r="B29" s="92"/>
      <c r="C29" s="92"/>
      <c r="D29" s="92"/>
      <c r="E29" s="92"/>
      <c r="F29" s="92"/>
      <c r="G29" s="92"/>
      <c r="H29" s="92"/>
      <c r="I29" s="92"/>
      <c r="J29" s="92"/>
      <c r="K29" s="81"/>
      <c r="L29" s="82"/>
      <c r="N29" s="122"/>
      <c r="O29" s="122"/>
      <c r="P29" s="122"/>
      <c r="Q29" s="115"/>
      <c r="R29" s="78"/>
      <c r="S29" s="98"/>
      <c r="T29" s="69">
        <f t="shared" si="10"/>
        <v>42030</v>
      </c>
      <c r="U29" s="61">
        <f t="shared" si="7"/>
        <v>0.23133441818181832</v>
      </c>
      <c r="V29" s="116" t="str">
        <f t="shared" si="8"/>
        <v/>
      </c>
      <c r="W29" s="75">
        <f t="shared" si="9"/>
        <v>0.14700162727272748</v>
      </c>
    </row>
    <row r="30" spans="1:23">
      <c r="A30" s="66"/>
      <c r="B30" s="92"/>
      <c r="C30" s="92"/>
      <c r="D30" s="92"/>
      <c r="E30" s="92"/>
      <c r="F30" s="92"/>
      <c r="G30" s="92"/>
      <c r="H30" s="92"/>
      <c r="I30" s="92"/>
      <c r="J30" s="92"/>
      <c r="K30" s="81"/>
      <c r="L30" s="82"/>
      <c r="N30" s="122"/>
      <c r="O30" s="122"/>
      <c r="P30" s="122"/>
      <c r="Q30" s="115"/>
      <c r="R30" s="78"/>
      <c r="S30" s="98"/>
      <c r="T30" s="69">
        <f t="shared" si="10"/>
        <v>42031</v>
      </c>
      <c r="U30" s="61">
        <f t="shared" si="7"/>
        <v>0.23284903636363652</v>
      </c>
      <c r="V30" s="116" t="str">
        <f t="shared" si="8"/>
        <v/>
      </c>
      <c r="W30" s="75">
        <f t="shared" si="9"/>
        <v>0.14927355454545477</v>
      </c>
    </row>
    <row r="31" spans="1:23">
      <c r="N31" s="122"/>
      <c r="O31" s="122"/>
      <c r="P31" s="122"/>
      <c r="Q31" s="115"/>
      <c r="R31" s="78"/>
      <c r="S31" s="79"/>
      <c r="T31" s="69">
        <f t="shared" si="10"/>
        <v>42032</v>
      </c>
      <c r="U31" s="61">
        <f t="shared" si="7"/>
        <v>0.23436365454545471</v>
      </c>
      <c r="V31" s="116" t="str">
        <f t="shared" si="8"/>
        <v/>
      </c>
      <c r="W31" s="75">
        <f t="shared" si="9"/>
        <v>0.15154548181818206</v>
      </c>
    </row>
    <row r="32" spans="1:23">
      <c r="N32" s="122"/>
      <c r="O32" s="122"/>
      <c r="P32" s="122"/>
      <c r="Q32" s="115"/>
      <c r="R32" s="78"/>
      <c r="S32" s="79"/>
      <c r="T32" s="69">
        <f t="shared" si="10"/>
        <v>42033</v>
      </c>
      <c r="U32" s="61">
        <f t="shared" si="7"/>
        <v>0.23587827272727291</v>
      </c>
      <c r="V32" s="116" t="str">
        <f t="shared" si="8"/>
        <v/>
      </c>
      <c r="W32" s="75">
        <f t="shared" si="9"/>
        <v>0.15381740909090935</v>
      </c>
    </row>
    <row r="33" spans="14:23">
      <c r="N33" s="122"/>
      <c r="O33" s="122"/>
      <c r="P33" s="122"/>
      <c r="Q33" s="115"/>
      <c r="R33" s="78"/>
      <c r="S33" s="79"/>
      <c r="T33" s="69">
        <f t="shared" si="10"/>
        <v>42034</v>
      </c>
      <c r="U33" s="61">
        <f t="shared" si="7"/>
        <v>0.2373928909090911</v>
      </c>
      <c r="V33" s="116" t="str">
        <f t="shared" si="8"/>
        <v/>
      </c>
      <c r="W33" s="75">
        <f t="shared" si="9"/>
        <v>0.15608933636363664</v>
      </c>
    </row>
    <row r="34" spans="14:23">
      <c r="N34" s="122"/>
      <c r="O34" s="122"/>
      <c r="P34" s="122"/>
      <c r="Q34" s="115"/>
      <c r="R34" s="78"/>
      <c r="S34" s="79"/>
      <c r="T34" s="69">
        <f t="shared" si="10"/>
        <v>42035</v>
      </c>
      <c r="U34" s="61">
        <f t="shared" si="7"/>
        <v>0.2389075090909093</v>
      </c>
      <c r="V34" s="116" t="str">
        <f t="shared" si="8"/>
        <v/>
      </c>
      <c r="W34" s="75">
        <f t="shared" si="9"/>
        <v>0.15836126363636394</v>
      </c>
    </row>
    <row r="35" spans="14:23">
      <c r="N35" s="122"/>
      <c r="O35" s="122"/>
      <c r="P35" s="122"/>
      <c r="Q35" s="115"/>
      <c r="R35" s="78"/>
      <c r="S35" s="79"/>
      <c r="T35" s="69">
        <f t="shared" si="10"/>
        <v>42036</v>
      </c>
      <c r="U35" s="61">
        <f t="shared" si="7"/>
        <v>0.24042212727272749</v>
      </c>
      <c r="V35" s="116" t="str">
        <f t="shared" si="8"/>
        <v/>
      </c>
      <c r="W35" s="75">
        <f t="shared" si="9"/>
        <v>0.16063319090909123</v>
      </c>
    </row>
    <row r="36" spans="14:23">
      <c r="N36" s="122"/>
      <c r="O36" s="122"/>
      <c r="P36" s="122"/>
      <c r="Q36" s="115"/>
      <c r="R36" s="78"/>
      <c r="S36" s="79"/>
      <c r="T36" s="69">
        <f t="shared" si="10"/>
        <v>42037</v>
      </c>
      <c r="U36" s="61">
        <f t="shared" si="7"/>
        <v>0.24193674545454569</v>
      </c>
      <c r="V36" s="116" t="str">
        <f t="shared" si="8"/>
        <v/>
      </c>
      <c r="W36" s="75">
        <f t="shared" si="9"/>
        <v>0.16290511818181852</v>
      </c>
    </row>
    <row r="37" spans="14:23">
      <c r="N37" s="122"/>
      <c r="O37" s="122"/>
      <c r="P37" s="122"/>
      <c r="Q37" s="115"/>
      <c r="R37" s="78"/>
      <c r="S37" s="79"/>
      <c r="T37" s="69">
        <f t="shared" si="10"/>
        <v>42038</v>
      </c>
      <c r="U37" s="61">
        <f t="shared" si="7"/>
        <v>0.24345136363636388</v>
      </c>
      <c r="V37" s="116" t="str">
        <f t="shared" si="8"/>
        <v/>
      </c>
      <c r="W37" s="75">
        <f t="shared" si="9"/>
        <v>0.16517704545454581</v>
      </c>
    </row>
    <row r="38" spans="14:23">
      <c r="N38" s="122"/>
      <c r="O38" s="122"/>
      <c r="P38" s="122"/>
      <c r="Q38" s="115"/>
      <c r="R38" s="78"/>
      <c r="S38" s="79"/>
      <c r="T38" s="69">
        <f t="shared" si="10"/>
        <v>42039</v>
      </c>
      <c r="U38" s="61">
        <f t="shared" si="7"/>
        <v>0.24496598181818208</v>
      </c>
      <c r="V38" s="116" t="str">
        <f t="shared" si="8"/>
        <v/>
      </c>
      <c r="W38" s="75">
        <f t="shared" si="9"/>
        <v>0.1674489727272731</v>
      </c>
    </row>
    <row r="39" spans="14:23">
      <c r="N39" s="122"/>
      <c r="O39" s="122"/>
      <c r="P39" s="122"/>
      <c r="Q39" s="115"/>
      <c r="R39" s="78"/>
      <c r="S39" s="79"/>
      <c r="T39" s="69">
        <f t="shared" si="10"/>
        <v>42040</v>
      </c>
      <c r="U39" s="61">
        <f t="shared" si="7"/>
        <v>0.24648060000000027</v>
      </c>
      <c r="V39" s="116" t="str">
        <f t="shared" si="8"/>
        <v/>
      </c>
      <c r="W39" s="75">
        <f t="shared" si="9"/>
        <v>0.1697209000000004</v>
      </c>
    </row>
    <row r="40" spans="14:23">
      <c r="N40" s="122"/>
      <c r="O40" s="122"/>
      <c r="P40" s="122"/>
      <c r="Q40" s="115"/>
      <c r="R40" s="78"/>
      <c r="S40" s="79"/>
      <c r="T40" s="69">
        <f t="shared" si="10"/>
        <v>42041</v>
      </c>
      <c r="U40" s="61">
        <f t="shared" si="7"/>
        <v>0.24799521818181847</v>
      </c>
      <c r="V40" s="116" t="str">
        <f t="shared" si="8"/>
        <v/>
      </c>
      <c r="W40" s="75">
        <f t="shared" si="9"/>
        <v>0.17199282727272769</v>
      </c>
    </row>
    <row r="41" spans="14:23">
      <c r="N41" s="122"/>
      <c r="O41" s="122"/>
      <c r="P41" s="122"/>
      <c r="Q41" s="115"/>
      <c r="R41" s="78"/>
      <c r="S41" s="79"/>
      <c r="T41" s="69">
        <f t="shared" si="10"/>
        <v>42042</v>
      </c>
      <c r="U41" s="61">
        <f t="shared" si="7"/>
        <v>0.24950983636363666</v>
      </c>
      <c r="V41" s="116" t="str">
        <f t="shared" si="8"/>
        <v/>
      </c>
      <c r="W41" s="75">
        <f t="shared" si="9"/>
        <v>0.17426475454545498</v>
      </c>
    </row>
    <row r="42" spans="14:23">
      <c r="N42" s="122"/>
      <c r="O42" s="122"/>
      <c r="P42" s="122"/>
      <c r="Q42" s="115"/>
      <c r="R42" s="78"/>
      <c r="S42" s="79"/>
      <c r="T42" s="69">
        <f t="shared" si="10"/>
        <v>42043</v>
      </c>
      <c r="U42" s="61">
        <f t="shared" si="7"/>
        <v>0.25102445454545486</v>
      </c>
      <c r="V42" s="116" t="str">
        <f t="shared" si="8"/>
        <v/>
      </c>
      <c r="W42" s="75">
        <f t="shared" si="9"/>
        <v>0.17653668181818227</v>
      </c>
    </row>
    <row r="43" spans="14:23">
      <c r="N43" s="122"/>
      <c r="O43" s="122"/>
      <c r="P43" s="122"/>
      <c r="Q43" s="115"/>
      <c r="R43" s="78"/>
      <c r="S43" s="79"/>
      <c r="T43" s="69">
        <f t="shared" si="10"/>
        <v>42044</v>
      </c>
      <c r="U43" s="61">
        <f t="shared" si="7"/>
        <v>0.25253907272727305</v>
      </c>
      <c r="V43" s="116" t="str">
        <f t="shared" si="8"/>
        <v/>
      </c>
      <c r="W43" s="75">
        <f t="shared" si="9"/>
        <v>0.17880860909090956</v>
      </c>
    </row>
    <row r="44" spans="14:23">
      <c r="N44" s="122"/>
      <c r="O44" s="122"/>
      <c r="P44" s="122"/>
      <c r="Q44" s="115"/>
      <c r="R44" s="78"/>
      <c r="S44" s="79"/>
      <c r="T44" s="69">
        <f t="shared" si="10"/>
        <v>42045</v>
      </c>
      <c r="U44" s="61">
        <f t="shared" si="7"/>
        <v>0.25405369090909125</v>
      </c>
      <c r="V44" s="116" t="str">
        <f t="shared" si="8"/>
        <v/>
      </c>
      <c r="W44" s="75">
        <f t="shared" si="9"/>
        <v>0.18108053636363686</v>
      </c>
    </row>
    <row r="45" spans="14:23">
      <c r="N45" s="122"/>
      <c r="O45" s="122"/>
      <c r="P45" s="122"/>
      <c r="Q45" s="115"/>
      <c r="R45" s="78"/>
      <c r="S45" s="79"/>
      <c r="T45" s="69">
        <f t="shared" si="10"/>
        <v>42046</v>
      </c>
      <c r="U45" s="61">
        <f t="shared" si="7"/>
        <v>0.25556830909090944</v>
      </c>
      <c r="V45" s="116" t="str">
        <f t="shared" si="8"/>
        <v/>
      </c>
      <c r="W45" s="75">
        <f t="shared" si="9"/>
        <v>0.18335246363636415</v>
      </c>
    </row>
    <row r="46" spans="14:23">
      <c r="N46" s="122"/>
      <c r="O46" s="122"/>
      <c r="P46" s="122"/>
      <c r="Q46" s="115"/>
      <c r="R46" s="78"/>
      <c r="S46" s="79"/>
      <c r="T46" s="69">
        <f t="shared" si="10"/>
        <v>42047</v>
      </c>
      <c r="U46" s="61">
        <f t="shared" si="7"/>
        <v>0.25708292727272763</v>
      </c>
      <c r="V46" s="116" t="str">
        <f t="shared" si="8"/>
        <v/>
      </c>
      <c r="W46" s="75">
        <f t="shared" si="9"/>
        <v>0.18562439090909144</v>
      </c>
    </row>
    <row r="47" spans="14:23">
      <c r="N47" s="122"/>
      <c r="O47" s="122"/>
      <c r="P47" s="122"/>
      <c r="Q47" s="115"/>
      <c r="R47" s="78"/>
      <c r="S47" s="79"/>
      <c r="T47" s="69">
        <f t="shared" si="10"/>
        <v>42048</v>
      </c>
      <c r="U47" s="61">
        <f t="shared" si="7"/>
        <v>0.25859754545454583</v>
      </c>
      <c r="V47" s="116" t="str">
        <f t="shared" si="8"/>
        <v/>
      </c>
      <c r="W47" s="75">
        <f t="shared" si="9"/>
        <v>0.18789631818181873</v>
      </c>
    </row>
    <row r="48" spans="14:23">
      <c r="N48" s="122"/>
      <c r="O48" s="122"/>
      <c r="P48" s="122"/>
      <c r="Q48" s="115"/>
      <c r="R48" s="78"/>
      <c r="S48" s="79"/>
      <c r="T48" s="69">
        <f t="shared" si="10"/>
        <v>42049</v>
      </c>
      <c r="U48" s="61">
        <f t="shared" si="7"/>
        <v>0.26011216363636402</v>
      </c>
      <c r="V48" s="116" t="str">
        <f t="shared" si="8"/>
        <v/>
      </c>
      <c r="W48" s="75">
        <f t="shared" si="9"/>
        <v>0.19016824545454603</v>
      </c>
    </row>
    <row r="49" spans="14:23">
      <c r="N49" s="122"/>
      <c r="O49" s="122"/>
      <c r="P49" s="122"/>
      <c r="Q49" s="115"/>
      <c r="R49" s="78"/>
      <c r="S49" s="79"/>
      <c r="T49" s="69">
        <f t="shared" si="10"/>
        <v>42050</v>
      </c>
      <c r="U49" s="61">
        <f t="shared" si="7"/>
        <v>0.26162678181818222</v>
      </c>
      <c r="V49" s="116" t="str">
        <f t="shared" si="8"/>
        <v/>
      </c>
      <c r="W49" s="75">
        <f t="shared" si="9"/>
        <v>0.19244017272727332</v>
      </c>
    </row>
    <row r="50" spans="14:23">
      <c r="N50" s="122"/>
      <c r="O50" s="122"/>
      <c r="P50" s="122"/>
      <c r="Q50" s="115"/>
      <c r="R50" s="78"/>
      <c r="S50" s="79"/>
      <c r="T50" s="69">
        <f t="shared" si="10"/>
        <v>42051</v>
      </c>
      <c r="U50" s="61">
        <f t="shared" si="7"/>
        <v>0.26314140000000041</v>
      </c>
      <c r="V50" s="116" t="str">
        <f t="shared" si="8"/>
        <v/>
      </c>
      <c r="W50" s="75">
        <f t="shared" si="9"/>
        <v>0.19471210000000061</v>
      </c>
    </row>
    <row r="51" spans="14:23">
      <c r="N51" s="122"/>
      <c r="O51" s="122"/>
      <c r="P51" s="122"/>
      <c r="Q51" s="115"/>
      <c r="R51" s="78"/>
      <c r="S51" s="79"/>
      <c r="T51" s="69">
        <f t="shared" si="10"/>
        <v>42052</v>
      </c>
      <c r="U51" s="61">
        <f t="shared" si="7"/>
        <v>0.26465601818181861</v>
      </c>
      <c r="V51" s="116" t="str">
        <f t="shared" si="8"/>
        <v/>
      </c>
      <c r="W51" s="75">
        <f t="shared" si="9"/>
        <v>0.1969840272727279</v>
      </c>
    </row>
    <row r="52" spans="14:23">
      <c r="N52" s="122"/>
      <c r="O52" s="122"/>
      <c r="P52" s="122"/>
      <c r="Q52" s="115"/>
      <c r="R52" s="78"/>
      <c r="S52" s="79"/>
      <c r="T52" s="69">
        <f t="shared" si="10"/>
        <v>42053</v>
      </c>
      <c r="U52" s="61">
        <f t="shared" si="7"/>
        <v>0.2661706363636368</v>
      </c>
      <c r="V52" s="116" t="str">
        <f t="shared" si="8"/>
        <v/>
      </c>
      <c r="W52" s="75">
        <f t="shared" si="9"/>
        <v>0.19925595454545519</v>
      </c>
    </row>
    <row r="53" spans="14:23">
      <c r="N53" s="122"/>
      <c r="O53" s="122"/>
      <c r="P53" s="122"/>
      <c r="Q53" s="115"/>
      <c r="R53" s="78"/>
      <c r="S53" s="79"/>
      <c r="T53" s="69">
        <f t="shared" si="10"/>
        <v>42054</v>
      </c>
      <c r="U53" s="61">
        <f t="shared" si="7"/>
        <v>0.267685254545455</v>
      </c>
      <c r="V53" s="116" t="str">
        <f t="shared" si="8"/>
        <v/>
      </c>
      <c r="W53" s="75">
        <f t="shared" si="9"/>
        <v>0.20152788181818249</v>
      </c>
    </row>
    <row r="54" spans="14:23">
      <c r="N54" s="122"/>
      <c r="O54" s="122"/>
      <c r="P54" s="122"/>
      <c r="Q54" s="115"/>
      <c r="R54" s="78"/>
      <c r="S54" s="79"/>
      <c r="T54" s="69">
        <f t="shared" si="10"/>
        <v>42055</v>
      </c>
      <c r="U54" s="61">
        <f t="shared" si="7"/>
        <v>0.26919987272727319</v>
      </c>
      <c r="V54" s="116" t="str">
        <f t="shared" si="8"/>
        <v/>
      </c>
      <c r="W54" s="75">
        <f t="shared" si="9"/>
        <v>0.20379980909090978</v>
      </c>
    </row>
    <row r="55" spans="14:23">
      <c r="N55" s="122"/>
      <c r="O55" s="122"/>
      <c r="P55" s="122"/>
      <c r="Q55" s="115"/>
      <c r="R55" s="78"/>
      <c r="S55" s="79"/>
      <c r="T55" s="69">
        <f t="shared" si="10"/>
        <v>42056</v>
      </c>
      <c r="U55" s="61">
        <f t="shared" si="7"/>
        <v>0.27071449090909139</v>
      </c>
      <c r="V55" s="116" t="str">
        <f t="shared" si="8"/>
        <v/>
      </c>
      <c r="W55" s="75">
        <f t="shared" si="9"/>
        <v>0.20607173636363707</v>
      </c>
    </row>
    <row r="56" spans="14:23">
      <c r="N56" s="122"/>
      <c r="O56" s="122"/>
      <c r="P56" s="122"/>
      <c r="Q56" s="115"/>
      <c r="R56" s="78"/>
      <c r="S56" s="79"/>
      <c r="T56" s="69">
        <f t="shared" si="10"/>
        <v>42057</v>
      </c>
      <c r="U56" s="61">
        <f t="shared" si="7"/>
        <v>0.27222910909090958</v>
      </c>
      <c r="V56" s="116" t="str">
        <f t="shared" si="8"/>
        <v/>
      </c>
      <c r="W56" s="75">
        <f t="shared" si="9"/>
        <v>0.20834366363636436</v>
      </c>
    </row>
    <row r="57" spans="14:23">
      <c r="N57" s="122"/>
      <c r="O57" s="122"/>
      <c r="P57" s="122"/>
      <c r="Q57" s="115"/>
      <c r="R57" s="78"/>
      <c r="S57" s="79"/>
      <c r="T57" s="69">
        <f t="shared" si="10"/>
        <v>42058</v>
      </c>
      <c r="U57" s="61">
        <f t="shared" si="7"/>
        <v>0.27374372727272778</v>
      </c>
      <c r="V57" s="116" t="str">
        <f t="shared" si="8"/>
        <v/>
      </c>
      <c r="W57" s="75">
        <f t="shared" si="9"/>
        <v>0.21061559090909165</v>
      </c>
    </row>
    <row r="58" spans="14:23">
      <c r="N58" s="122"/>
      <c r="O58" s="122"/>
      <c r="P58" s="122"/>
      <c r="Q58" s="115"/>
      <c r="R58" s="78"/>
      <c r="S58" s="79"/>
      <c r="T58" s="69">
        <f t="shared" si="10"/>
        <v>42059</v>
      </c>
      <c r="U58" s="61">
        <f t="shared" si="7"/>
        <v>0.27525834545454597</v>
      </c>
      <c r="V58" s="116" t="str">
        <f t="shared" si="8"/>
        <v/>
      </c>
      <c r="W58" s="75">
        <f t="shared" si="9"/>
        <v>0.21288751818181895</v>
      </c>
    </row>
    <row r="59" spans="14:23">
      <c r="N59" s="122"/>
      <c r="O59" s="122"/>
      <c r="P59" s="122"/>
      <c r="Q59" s="115"/>
      <c r="R59" s="78"/>
      <c r="S59" s="79"/>
      <c r="T59" s="69">
        <f t="shared" si="10"/>
        <v>42060</v>
      </c>
      <c r="U59" s="61">
        <f t="shared" si="7"/>
        <v>0.27677296363636417</v>
      </c>
      <c r="V59" s="116" t="str">
        <f t="shared" si="8"/>
        <v/>
      </c>
      <c r="W59" s="75">
        <f t="shared" si="9"/>
        <v>0.21515944545454624</v>
      </c>
    </row>
    <row r="60" spans="14:23">
      <c r="N60" s="122"/>
      <c r="O60" s="122"/>
      <c r="P60" s="122"/>
      <c r="Q60" s="115"/>
      <c r="R60" s="78"/>
      <c r="S60" s="79"/>
      <c r="T60" s="69">
        <f t="shared" si="10"/>
        <v>42061</v>
      </c>
      <c r="U60" s="61">
        <f t="shared" si="7"/>
        <v>0.27828758181818236</v>
      </c>
      <c r="V60" s="116" t="str">
        <f t="shared" si="8"/>
        <v/>
      </c>
      <c r="W60" s="75">
        <f t="shared" si="9"/>
        <v>0.21743137272727353</v>
      </c>
    </row>
    <row r="61" spans="14:23">
      <c r="N61" s="122"/>
      <c r="O61" s="122"/>
      <c r="P61" s="122"/>
      <c r="Q61" s="115"/>
      <c r="R61" s="78"/>
      <c r="S61" s="79"/>
      <c r="T61" s="69">
        <f t="shared" si="10"/>
        <v>42062</v>
      </c>
      <c r="U61" s="61">
        <f t="shared" si="7"/>
        <v>0.27980220000000056</v>
      </c>
      <c r="V61" s="116" t="str">
        <f t="shared" si="8"/>
        <v/>
      </c>
      <c r="W61" s="75">
        <f t="shared" si="9"/>
        <v>0.21970330000000082</v>
      </c>
    </row>
    <row r="62" spans="14:23">
      <c r="N62" s="122"/>
      <c r="O62" s="122"/>
      <c r="P62" s="122"/>
      <c r="Q62" s="115"/>
      <c r="R62" s="78"/>
      <c r="S62" s="79"/>
      <c r="T62" s="69">
        <f t="shared" si="10"/>
        <v>42063</v>
      </c>
      <c r="U62" s="61">
        <f t="shared" si="7"/>
        <v>0.28131681818181875</v>
      </c>
      <c r="V62" s="116" t="str">
        <f t="shared" si="8"/>
        <v/>
      </c>
      <c r="W62" s="75">
        <f t="shared" si="9"/>
        <v>0.22197522727272812</v>
      </c>
    </row>
    <row r="63" spans="14:23">
      <c r="N63" s="122"/>
      <c r="O63" s="122"/>
      <c r="P63" s="122"/>
      <c r="Q63" s="115"/>
      <c r="R63" s="78"/>
      <c r="S63" s="79"/>
      <c r="T63" s="69">
        <f t="shared" si="10"/>
        <v>42064</v>
      </c>
      <c r="U63" s="61">
        <f t="shared" si="7"/>
        <v>0.28283143636363695</v>
      </c>
      <c r="V63" s="116" t="str">
        <f t="shared" si="8"/>
        <v/>
      </c>
      <c r="W63" s="75">
        <f t="shared" si="9"/>
        <v>0.22424715454545541</v>
      </c>
    </row>
    <row r="64" spans="14:23">
      <c r="N64" s="122"/>
      <c r="O64" s="122"/>
      <c r="P64" s="122"/>
      <c r="Q64" s="115"/>
      <c r="R64" s="78"/>
      <c r="S64" s="79"/>
      <c r="T64" s="69">
        <f t="shared" si="10"/>
        <v>42065</v>
      </c>
      <c r="U64" s="61">
        <f t="shared" si="7"/>
        <v>0.28434605454545514</v>
      </c>
      <c r="V64" s="116" t="str">
        <f t="shared" si="8"/>
        <v/>
      </c>
      <c r="W64" s="75">
        <f t="shared" si="9"/>
        <v>0.2265190818181827</v>
      </c>
    </row>
    <row r="65" spans="14:23">
      <c r="N65" s="122"/>
      <c r="O65" s="122"/>
      <c r="P65" s="122"/>
      <c r="Q65" s="115"/>
      <c r="R65" s="78"/>
      <c r="S65" s="79"/>
      <c r="T65" s="69">
        <f t="shared" si="10"/>
        <v>42066</v>
      </c>
      <c r="U65" s="61">
        <f t="shared" si="7"/>
        <v>0.28586067272727333</v>
      </c>
      <c r="V65" s="116" t="str">
        <f t="shared" si="8"/>
        <v/>
      </c>
      <c r="W65" s="75">
        <f t="shared" si="9"/>
        <v>0.22879100909090999</v>
      </c>
    </row>
    <row r="66" spans="14:23">
      <c r="N66" s="122"/>
      <c r="O66" s="122"/>
      <c r="P66" s="122"/>
      <c r="Q66" s="115"/>
      <c r="R66" s="78"/>
      <c r="S66" s="79"/>
      <c r="T66" s="69">
        <f t="shared" si="10"/>
        <v>42067</v>
      </c>
      <c r="U66" s="61">
        <f t="shared" si="7"/>
        <v>0.28737529090909153</v>
      </c>
      <c r="V66" s="116" t="str">
        <f t="shared" si="8"/>
        <v/>
      </c>
      <c r="W66" s="75">
        <f t="shared" si="9"/>
        <v>0.23106293636363728</v>
      </c>
    </row>
    <row r="67" spans="14:23">
      <c r="N67" s="122"/>
      <c r="O67" s="122"/>
      <c r="P67" s="122"/>
      <c r="Q67" s="115"/>
      <c r="R67" s="78"/>
      <c r="S67" s="79"/>
      <c r="T67" s="69">
        <f t="shared" si="10"/>
        <v>42068</v>
      </c>
      <c r="U67" s="61">
        <f t="shared" si="7"/>
        <v>0.28888990909090972</v>
      </c>
      <c r="V67" s="116" t="str">
        <f t="shared" si="8"/>
        <v/>
      </c>
      <c r="W67" s="75">
        <f t="shared" si="9"/>
        <v>0.23333486363636458</v>
      </c>
    </row>
    <row r="68" spans="14:23">
      <c r="N68" s="122"/>
      <c r="O68" s="122"/>
      <c r="P68" s="122"/>
      <c r="Q68" s="115"/>
      <c r="R68" s="78"/>
      <c r="S68" s="79"/>
      <c r="T68" s="69">
        <f t="shared" si="10"/>
        <v>42069</v>
      </c>
      <c r="U68" s="61">
        <f t="shared" si="7"/>
        <v>0.29040452727272792</v>
      </c>
      <c r="V68" s="116" t="str">
        <f t="shared" si="8"/>
        <v/>
      </c>
      <c r="W68" s="75">
        <f t="shared" si="9"/>
        <v>0.23560679090909187</v>
      </c>
    </row>
    <row r="69" spans="14:23">
      <c r="N69" s="122"/>
      <c r="O69" s="122"/>
      <c r="P69" s="122"/>
      <c r="Q69" s="115"/>
      <c r="R69" s="78"/>
      <c r="S69" s="79"/>
      <c r="T69" s="69">
        <f t="shared" si="10"/>
        <v>42070</v>
      </c>
      <c r="U69" s="61">
        <f t="shared" si="7"/>
        <v>0.29191914545454611</v>
      </c>
      <c r="V69" s="116" t="str">
        <f t="shared" si="8"/>
        <v/>
      </c>
      <c r="W69" s="75">
        <f t="shared" si="9"/>
        <v>0.23787871818181916</v>
      </c>
    </row>
    <row r="70" spans="14:23">
      <c r="N70" s="122"/>
      <c r="O70" s="122"/>
      <c r="P70" s="122"/>
      <c r="Q70" s="115"/>
      <c r="R70" s="78"/>
      <c r="S70" s="79"/>
      <c r="T70" s="69">
        <f t="shared" si="10"/>
        <v>42071</v>
      </c>
      <c r="U70" s="61">
        <f t="shared" si="7"/>
        <v>0.29343376363636431</v>
      </c>
      <c r="V70" s="116" t="str">
        <f t="shared" si="8"/>
        <v/>
      </c>
      <c r="W70" s="75">
        <f t="shared" si="9"/>
        <v>0.24015064545454645</v>
      </c>
    </row>
    <row r="71" spans="14:23">
      <c r="N71" s="122"/>
      <c r="O71" s="122"/>
      <c r="P71" s="122"/>
      <c r="Q71" s="115"/>
      <c r="R71" s="78"/>
      <c r="S71" s="79"/>
      <c r="T71" s="69">
        <f t="shared" si="10"/>
        <v>42072</v>
      </c>
      <c r="U71" s="61">
        <f t="shared" si="7"/>
        <v>0.2949483818181825</v>
      </c>
      <c r="V71" s="116" t="str">
        <f t="shared" si="8"/>
        <v/>
      </c>
      <c r="W71" s="75">
        <f t="shared" si="9"/>
        <v>0.24242257272727374</v>
      </c>
    </row>
    <row r="72" spans="14:23">
      <c r="N72" s="122"/>
      <c r="O72" s="122"/>
      <c r="P72" s="122"/>
      <c r="Q72" s="115"/>
      <c r="R72" s="78"/>
      <c r="S72" s="79"/>
      <c r="T72" s="69">
        <f t="shared" si="10"/>
        <v>42073</v>
      </c>
      <c r="U72" s="61">
        <f t="shared" si="7"/>
        <v>0.29646299999999998</v>
      </c>
      <c r="V72" s="116">
        <f t="shared" si="8"/>
        <v>1</v>
      </c>
      <c r="W72" s="75">
        <f t="shared" si="9"/>
        <v>0.24469449999999998</v>
      </c>
    </row>
    <row r="73" spans="14:23">
      <c r="N73" s="122"/>
      <c r="O73" s="122"/>
      <c r="P73" s="122"/>
      <c r="Q73" s="115"/>
      <c r="R73" s="78"/>
      <c r="S73" s="79"/>
      <c r="T73" s="69">
        <f t="shared" si="10"/>
        <v>42074</v>
      </c>
      <c r="U73" s="61">
        <f t="shared" ref="U73:U136" si="11">IF(ISERROR(VLOOKUP($T73,$Q$8:$S$30,2,FALSE)),U72+VLOOKUP($T73,$Q$8:$S$30,3,TRUE),VLOOKUP($T73,$Q$8:$S$30,2,FALSE))</f>
        <v>0.30479202439024389</v>
      </c>
      <c r="V73" s="116" t="str">
        <f t="shared" ref="V73:V136" si="12">IFERROR(IF(VLOOKUP(T73,$Q$8:$Q$363,1,FALSE)&gt;0,1,""),"")</f>
        <v/>
      </c>
      <c r="W73" s="75">
        <f t="shared" ref="W73:W136" si="13">U73*1.5-0.2</f>
        <v>0.25718803658536582</v>
      </c>
    </row>
    <row r="74" spans="14:23">
      <c r="N74" s="122"/>
      <c r="O74" s="122"/>
      <c r="P74" s="122"/>
      <c r="Q74" s="115"/>
      <c r="R74" s="78"/>
      <c r="S74" s="79"/>
      <c r="T74" s="69">
        <f t="shared" ref="T74:T137" si="14">T73+1</f>
        <v>42075</v>
      </c>
      <c r="U74" s="61">
        <f t="shared" si="11"/>
        <v>0.3131210487804878</v>
      </c>
      <c r="V74" s="116" t="str">
        <f t="shared" si="12"/>
        <v/>
      </c>
      <c r="W74" s="75">
        <f t="shared" si="13"/>
        <v>0.26968157317073166</v>
      </c>
    </row>
    <row r="75" spans="14:23">
      <c r="N75" s="122"/>
      <c r="O75" s="122"/>
      <c r="P75" s="122"/>
      <c r="Q75" s="115"/>
      <c r="R75" s="78"/>
      <c r="S75" s="79"/>
      <c r="T75" s="69">
        <f t="shared" si="14"/>
        <v>42076</v>
      </c>
      <c r="U75" s="61">
        <f t="shared" si="11"/>
        <v>0.32145007317073171</v>
      </c>
      <c r="V75" s="116" t="str">
        <f t="shared" si="12"/>
        <v/>
      </c>
      <c r="W75" s="75">
        <f t="shared" si="13"/>
        <v>0.28217510975609755</v>
      </c>
    </row>
    <row r="76" spans="14:23">
      <c r="N76" s="122"/>
      <c r="O76" s="122"/>
      <c r="P76" s="122"/>
      <c r="Q76" s="115"/>
      <c r="R76" s="78"/>
      <c r="S76" s="79"/>
      <c r="T76" s="69">
        <f t="shared" si="14"/>
        <v>42077</v>
      </c>
      <c r="U76" s="61">
        <f t="shared" si="11"/>
        <v>0.32977909756097562</v>
      </c>
      <c r="V76" s="116" t="str">
        <f t="shared" si="12"/>
        <v/>
      </c>
      <c r="W76" s="75">
        <f t="shared" si="13"/>
        <v>0.29466864634146345</v>
      </c>
    </row>
    <row r="77" spans="14:23">
      <c r="N77" s="122"/>
      <c r="O77" s="122"/>
      <c r="P77" s="122"/>
      <c r="Q77" s="115"/>
      <c r="R77" s="78"/>
      <c r="S77" s="79"/>
      <c r="T77" s="69">
        <f t="shared" si="14"/>
        <v>42078</v>
      </c>
      <c r="U77" s="61">
        <f t="shared" si="11"/>
        <v>0.33810812195121953</v>
      </c>
      <c r="V77" s="116" t="str">
        <f t="shared" si="12"/>
        <v/>
      </c>
      <c r="W77" s="75">
        <f t="shared" si="13"/>
        <v>0.30716218292682934</v>
      </c>
    </row>
    <row r="78" spans="14:23">
      <c r="N78" s="122"/>
      <c r="O78" s="122"/>
      <c r="P78" s="122"/>
      <c r="Q78" s="115"/>
      <c r="R78" s="78"/>
      <c r="S78" s="79"/>
      <c r="T78" s="69">
        <f t="shared" si="14"/>
        <v>42079</v>
      </c>
      <c r="U78" s="61">
        <f t="shared" si="11"/>
        <v>0.34643714634146344</v>
      </c>
      <c r="V78" s="116" t="str">
        <f t="shared" si="12"/>
        <v/>
      </c>
      <c r="W78" s="75">
        <f t="shared" si="13"/>
        <v>0.31965571951219512</v>
      </c>
    </row>
    <row r="79" spans="14:23">
      <c r="N79" s="122"/>
      <c r="O79" s="122"/>
      <c r="P79" s="122"/>
      <c r="Q79" s="115"/>
      <c r="R79" s="78"/>
      <c r="S79" s="79"/>
      <c r="T79" s="69">
        <f t="shared" si="14"/>
        <v>42080</v>
      </c>
      <c r="U79" s="61">
        <f t="shared" si="11"/>
        <v>0.35476617073170735</v>
      </c>
      <c r="V79" s="116" t="str">
        <f t="shared" si="12"/>
        <v/>
      </c>
      <c r="W79" s="75">
        <f t="shared" si="13"/>
        <v>0.33214925609756102</v>
      </c>
    </row>
    <row r="80" spans="14:23">
      <c r="N80" s="122"/>
      <c r="O80" s="122"/>
      <c r="P80" s="122"/>
      <c r="Q80" s="115"/>
      <c r="R80" s="78"/>
      <c r="S80" s="79"/>
      <c r="T80" s="69">
        <f t="shared" si="14"/>
        <v>42081</v>
      </c>
      <c r="U80" s="61">
        <f t="shared" si="11"/>
        <v>0.36309519512195126</v>
      </c>
      <c r="V80" s="116" t="str">
        <f t="shared" si="12"/>
        <v/>
      </c>
      <c r="W80" s="75">
        <f t="shared" si="13"/>
        <v>0.34464279268292691</v>
      </c>
    </row>
    <row r="81" spans="14:23">
      <c r="N81" s="122"/>
      <c r="O81" s="122"/>
      <c r="P81" s="122"/>
      <c r="Q81" s="115"/>
      <c r="R81" s="78"/>
      <c r="S81" s="79"/>
      <c r="T81" s="69">
        <f t="shared" si="14"/>
        <v>42082</v>
      </c>
      <c r="U81" s="61">
        <f t="shared" si="11"/>
        <v>0.37142421951219518</v>
      </c>
      <c r="V81" s="116" t="str">
        <f t="shared" si="12"/>
        <v/>
      </c>
      <c r="W81" s="75">
        <f t="shared" si="13"/>
        <v>0.3571363292682927</v>
      </c>
    </row>
    <row r="82" spans="14:23">
      <c r="N82" s="122"/>
      <c r="O82" s="122"/>
      <c r="P82" s="122"/>
      <c r="Q82" s="115"/>
      <c r="R82" s="78"/>
      <c r="S82" s="79"/>
      <c r="T82" s="69">
        <f t="shared" si="14"/>
        <v>42083</v>
      </c>
      <c r="U82" s="61">
        <f t="shared" si="11"/>
        <v>0.37975324390243909</v>
      </c>
      <c r="V82" s="116" t="str">
        <f t="shared" si="12"/>
        <v/>
      </c>
      <c r="W82" s="75">
        <f t="shared" si="13"/>
        <v>0.36962986585365859</v>
      </c>
    </row>
    <row r="83" spans="14:23">
      <c r="N83" s="122"/>
      <c r="O83" s="122"/>
      <c r="P83" s="122"/>
      <c r="Q83" s="115"/>
      <c r="R83" s="78"/>
      <c r="S83" s="79"/>
      <c r="T83" s="69">
        <f t="shared" si="14"/>
        <v>42084</v>
      </c>
      <c r="U83" s="61">
        <f t="shared" si="11"/>
        <v>0.388082268292683</v>
      </c>
      <c r="V83" s="116" t="str">
        <f t="shared" si="12"/>
        <v/>
      </c>
      <c r="W83" s="75">
        <f t="shared" si="13"/>
        <v>0.38212340243902448</v>
      </c>
    </row>
    <row r="84" spans="14:23">
      <c r="N84" s="122"/>
      <c r="O84" s="122"/>
      <c r="P84" s="122"/>
      <c r="Q84" s="115"/>
      <c r="R84" s="78"/>
      <c r="S84" s="79"/>
      <c r="T84" s="69">
        <f t="shared" si="14"/>
        <v>42085</v>
      </c>
      <c r="U84" s="61">
        <f t="shared" si="11"/>
        <v>0.39641129268292691</v>
      </c>
      <c r="V84" s="116" t="str">
        <f t="shared" si="12"/>
        <v/>
      </c>
      <c r="W84" s="75">
        <f t="shared" si="13"/>
        <v>0.39461693902439038</v>
      </c>
    </row>
    <row r="85" spans="14:23">
      <c r="N85" s="122"/>
      <c r="O85" s="122"/>
      <c r="P85" s="122"/>
      <c r="Q85" s="115"/>
      <c r="R85" s="78"/>
      <c r="S85" s="79"/>
      <c r="T85" s="69">
        <f t="shared" si="14"/>
        <v>42086</v>
      </c>
      <c r="U85" s="61">
        <f t="shared" si="11"/>
        <v>0.40474031707317082</v>
      </c>
      <c r="V85" s="116" t="str">
        <f t="shared" si="12"/>
        <v/>
      </c>
      <c r="W85" s="75">
        <f t="shared" si="13"/>
        <v>0.40711047560975627</v>
      </c>
    </row>
    <row r="86" spans="14:23">
      <c r="N86" s="122"/>
      <c r="O86" s="122"/>
      <c r="P86" s="122"/>
      <c r="Q86" s="115"/>
      <c r="R86" s="78"/>
      <c r="S86" s="79"/>
      <c r="T86" s="69">
        <f t="shared" si="14"/>
        <v>42087</v>
      </c>
      <c r="U86" s="61">
        <f t="shared" si="11"/>
        <v>0.41306934146341473</v>
      </c>
      <c r="V86" s="116" t="str">
        <f t="shared" si="12"/>
        <v/>
      </c>
      <c r="W86" s="75">
        <f t="shared" si="13"/>
        <v>0.41960401219512206</v>
      </c>
    </row>
    <row r="87" spans="14:23">
      <c r="N87" s="122"/>
      <c r="O87" s="122"/>
      <c r="P87" s="122"/>
      <c r="Q87" s="115"/>
      <c r="R87" s="78"/>
      <c r="S87" s="79"/>
      <c r="T87" s="69">
        <f t="shared" si="14"/>
        <v>42088</v>
      </c>
      <c r="U87" s="61">
        <f t="shared" si="11"/>
        <v>0.42139836585365864</v>
      </c>
      <c r="V87" s="116" t="str">
        <f t="shared" si="12"/>
        <v/>
      </c>
      <c r="W87" s="75">
        <f t="shared" si="13"/>
        <v>0.43209754878048795</v>
      </c>
    </row>
    <row r="88" spans="14:23">
      <c r="N88" s="122"/>
      <c r="O88" s="122"/>
      <c r="P88" s="122"/>
      <c r="Q88" s="115"/>
      <c r="R88" s="78"/>
      <c r="S88" s="79"/>
      <c r="T88" s="69">
        <f t="shared" si="14"/>
        <v>42089</v>
      </c>
      <c r="U88" s="61">
        <f t="shared" si="11"/>
        <v>0.42972739024390255</v>
      </c>
      <c r="V88" s="116" t="str">
        <f t="shared" si="12"/>
        <v/>
      </c>
      <c r="W88" s="75">
        <f t="shared" si="13"/>
        <v>0.44459108536585384</v>
      </c>
    </row>
    <row r="89" spans="14:23">
      <c r="N89" s="122"/>
      <c r="O89" s="122"/>
      <c r="P89" s="122"/>
      <c r="Q89" s="115"/>
      <c r="R89" s="78"/>
      <c r="S89" s="79"/>
      <c r="T89" s="69">
        <f t="shared" si="14"/>
        <v>42090</v>
      </c>
      <c r="U89" s="61">
        <f t="shared" si="11"/>
        <v>0.43805641463414646</v>
      </c>
      <c r="V89" s="116" t="str">
        <f t="shared" si="12"/>
        <v/>
      </c>
      <c r="W89" s="75">
        <f t="shared" si="13"/>
        <v>0.45708462195121963</v>
      </c>
    </row>
    <row r="90" spans="14:23">
      <c r="N90" s="122"/>
      <c r="O90" s="122"/>
      <c r="P90" s="122"/>
      <c r="Q90" s="115"/>
      <c r="R90" s="78"/>
      <c r="S90" s="79"/>
      <c r="T90" s="69">
        <f t="shared" si="14"/>
        <v>42091</v>
      </c>
      <c r="U90" s="61">
        <f t="shared" si="11"/>
        <v>0.44638543902439037</v>
      </c>
      <c r="V90" s="116" t="str">
        <f t="shared" si="12"/>
        <v/>
      </c>
      <c r="W90" s="75">
        <f t="shared" si="13"/>
        <v>0.46957815853658552</v>
      </c>
    </row>
    <row r="91" spans="14:23">
      <c r="N91" s="122"/>
      <c r="O91" s="122"/>
      <c r="P91" s="122"/>
      <c r="Q91" s="115"/>
      <c r="R91" s="78"/>
      <c r="S91" s="79"/>
      <c r="T91" s="69">
        <f t="shared" si="14"/>
        <v>42092</v>
      </c>
      <c r="U91" s="61">
        <f t="shared" si="11"/>
        <v>0.45471446341463428</v>
      </c>
      <c r="V91" s="116" t="str">
        <f t="shared" si="12"/>
        <v/>
      </c>
      <c r="W91" s="75">
        <f t="shared" si="13"/>
        <v>0.48207169512195142</v>
      </c>
    </row>
    <row r="92" spans="14:23">
      <c r="N92" s="122"/>
      <c r="O92" s="122"/>
      <c r="P92" s="122"/>
      <c r="Q92" s="115"/>
      <c r="R92" s="78"/>
      <c r="S92" s="79"/>
      <c r="T92" s="69">
        <f t="shared" si="14"/>
        <v>42093</v>
      </c>
      <c r="U92" s="61">
        <f t="shared" si="11"/>
        <v>0.4630434878048782</v>
      </c>
      <c r="V92" s="116" t="str">
        <f t="shared" si="12"/>
        <v/>
      </c>
      <c r="W92" s="75">
        <f t="shared" si="13"/>
        <v>0.49456523170731731</v>
      </c>
    </row>
    <row r="93" spans="14:23">
      <c r="N93" s="122"/>
      <c r="O93" s="122"/>
      <c r="P93" s="122"/>
      <c r="Q93" s="115"/>
      <c r="R93" s="78"/>
      <c r="S93" s="79"/>
      <c r="T93" s="69">
        <f t="shared" si="14"/>
        <v>42094</v>
      </c>
      <c r="U93" s="61">
        <f t="shared" si="11"/>
        <v>0.47137251219512211</v>
      </c>
      <c r="V93" s="116" t="str">
        <f t="shared" si="12"/>
        <v/>
      </c>
      <c r="W93" s="75">
        <f t="shared" si="13"/>
        <v>0.50705876829268326</v>
      </c>
    </row>
    <row r="94" spans="14:23">
      <c r="N94" s="122"/>
      <c r="O94" s="122"/>
      <c r="P94" s="122"/>
      <c r="Q94" s="115"/>
      <c r="R94" s="78"/>
      <c r="S94" s="79"/>
      <c r="T94" s="69">
        <f t="shared" si="14"/>
        <v>42095</v>
      </c>
      <c r="U94" s="61">
        <f t="shared" si="11"/>
        <v>0.47970153658536602</v>
      </c>
      <c r="V94" s="116" t="str">
        <f t="shared" si="12"/>
        <v/>
      </c>
      <c r="W94" s="75">
        <f t="shared" si="13"/>
        <v>0.51955230487804904</v>
      </c>
    </row>
    <row r="95" spans="14:23">
      <c r="N95" s="122"/>
      <c r="O95" s="122"/>
      <c r="P95" s="122"/>
      <c r="Q95" s="115"/>
      <c r="R95" s="78"/>
      <c r="S95" s="79"/>
      <c r="T95" s="69">
        <f t="shared" si="14"/>
        <v>42096</v>
      </c>
      <c r="U95" s="61">
        <f t="shared" si="11"/>
        <v>0.48803056097560993</v>
      </c>
      <c r="V95" s="116" t="str">
        <f t="shared" si="12"/>
        <v/>
      </c>
      <c r="W95" s="75">
        <f t="shared" si="13"/>
        <v>0.53204584146341483</v>
      </c>
    </row>
    <row r="96" spans="14:23">
      <c r="N96" s="122"/>
      <c r="O96" s="122"/>
      <c r="P96" s="122"/>
      <c r="Q96" s="115"/>
      <c r="R96" s="78"/>
      <c r="S96" s="79"/>
      <c r="T96" s="69">
        <f t="shared" si="14"/>
        <v>42097</v>
      </c>
      <c r="U96" s="61">
        <f t="shared" si="11"/>
        <v>0.49635958536585384</v>
      </c>
      <c r="V96" s="116" t="str">
        <f t="shared" si="12"/>
        <v/>
      </c>
      <c r="W96" s="75">
        <f t="shared" si="13"/>
        <v>0.54453937804878083</v>
      </c>
    </row>
    <row r="97" spans="14:23">
      <c r="N97" s="122"/>
      <c r="O97" s="122"/>
      <c r="P97" s="122"/>
      <c r="Q97" s="115"/>
      <c r="R97" s="78"/>
      <c r="S97" s="79"/>
      <c r="T97" s="69">
        <f t="shared" si="14"/>
        <v>42098</v>
      </c>
      <c r="U97" s="61">
        <f t="shared" si="11"/>
        <v>0.50468860975609775</v>
      </c>
      <c r="V97" s="116" t="str">
        <f t="shared" si="12"/>
        <v/>
      </c>
      <c r="W97" s="75">
        <f t="shared" si="13"/>
        <v>0.55703291463414661</v>
      </c>
    </row>
    <row r="98" spans="14:23">
      <c r="N98" s="122"/>
      <c r="O98" s="122"/>
      <c r="P98" s="122"/>
      <c r="Q98" s="115"/>
      <c r="R98" s="78"/>
      <c r="S98" s="79"/>
      <c r="T98" s="69">
        <f t="shared" si="14"/>
        <v>42099</v>
      </c>
      <c r="U98" s="61">
        <f t="shared" si="11"/>
        <v>0.51301763414634161</v>
      </c>
      <c r="V98" s="116" t="str">
        <f t="shared" si="12"/>
        <v/>
      </c>
      <c r="W98" s="75">
        <f t="shared" si="13"/>
        <v>0.5695264512195124</v>
      </c>
    </row>
    <row r="99" spans="14:23">
      <c r="N99" s="122"/>
      <c r="O99" s="122"/>
      <c r="P99" s="122"/>
      <c r="Q99" s="115"/>
      <c r="R99" s="78"/>
      <c r="S99" s="79"/>
      <c r="T99" s="69">
        <f t="shared" si="14"/>
        <v>42100</v>
      </c>
      <c r="U99" s="61">
        <f t="shared" si="11"/>
        <v>0.52134665853658546</v>
      </c>
      <c r="V99" s="116" t="str">
        <f t="shared" si="12"/>
        <v/>
      </c>
      <c r="W99" s="75">
        <f t="shared" si="13"/>
        <v>0.58201998780487818</v>
      </c>
    </row>
    <row r="100" spans="14:23">
      <c r="N100" s="122"/>
      <c r="O100" s="122"/>
      <c r="P100" s="122"/>
      <c r="Q100" s="115"/>
      <c r="R100" s="78"/>
      <c r="S100" s="79"/>
      <c r="T100" s="69">
        <f t="shared" si="14"/>
        <v>42101</v>
      </c>
      <c r="U100" s="61">
        <f t="shared" si="11"/>
        <v>0.52967568292682932</v>
      </c>
      <c r="V100" s="116" t="str">
        <f t="shared" si="12"/>
        <v/>
      </c>
      <c r="W100" s="75">
        <f t="shared" si="13"/>
        <v>0.59451352439024396</v>
      </c>
    </row>
    <row r="101" spans="14:23">
      <c r="N101" s="122"/>
      <c r="O101" s="122"/>
      <c r="P101" s="122"/>
      <c r="Q101" s="115"/>
      <c r="R101" s="78"/>
      <c r="S101" s="79"/>
      <c r="T101" s="69">
        <f t="shared" si="14"/>
        <v>42102</v>
      </c>
      <c r="U101" s="61">
        <f t="shared" si="11"/>
        <v>0.53800470731707317</v>
      </c>
      <c r="V101" s="116" t="str">
        <f t="shared" si="12"/>
        <v/>
      </c>
      <c r="W101" s="75">
        <f t="shared" si="13"/>
        <v>0.60700706097560975</v>
      </c>
    </row>
    <row r="102" spans="14:23">
      <c r="N102" s="122"/>
      <c r="O102" s="122"/>
      <c r="P102" s="122"/>
      <c r="Q102" s="115"/>
      <c r="R102" s="78"/>
      <c r="S102" s="79"/>
      <c r="T102" s="69">
        <f t="shared" si="14"/>
        <v>42103</v>
      </c>
      <c r="U102" s="61">
        <f t="shared" si="11"/>
        <v>0.54633373170731703</v>
      </c>
      <c r="V102" s="116" t="str">
        <f t="shared" si="12"/>
        <v/>
      </c>
      <c r="W102" s="75">
        <f t="shared" si="13"/>
        <v>0.61950059756097553</v>
      </c>
    </row>
    <row r="103" spans="14:23">
      <c r="N103" s="122"/>
      <c r="O103" s="122"/>
      <c r="P103" s="122"/>
      <c r="Q103" s="115"/>
      <c r="R103" s="78"/>
      <c r="S103" s="79"/>
      <c r="T103" s="69">
        <f t="shared" si="14"/>
        <v>42104</v>
      </c>
      <c r="U103" s="61">
        <f t="shared" si="11"/>
        <v>0.55466275609756088</v>
      </c>
      <c r="V103" s="116" t="str">
        <f t="shared" si="12"/>
        <v/>
      </c>
      <c r="W103" s="75">
        <f t="shared" si="13"/>
        <v>0.63199413414634131</v>
      </c>
    </row>
    <row r="104" spans="14:23">
      <c r="N104" s="122"/>
      <c r="O104" s="122"/>
      <c r="P104" s="122"/>
      <c r="Q104" s="115"/>
      <c r="R104" s="78"/>
      <c r="S104" s="79"/>
      <c r="T104" s="69">
        <f t="shared" si="14"/>
        <v>42105</v>
      </c>
      <c r="U104" s="61">
        <f t="shared" si="11"/>
        <v>0.56299178048780474</v>
      </c>
      <c r="V104" s="116" t="str">
        <f t="shared" si="12"/>
        <v/>
      </c>
      <c r="W104" s="75">
        <f t="shared" si="13"/>
        <v>0.6444876707317071</v>
      </c>
    </row>
    <row r="105" spans="14:23">
      <c r="N105" s="122"/>
      <c r="O105" s="122"/>
      <c r="P105" s="122"/>
      <c r="Q105" s="115"/>
      <c r="R105" s="78"/>
      <c r="S105" s="79"/>
      <c r="T105" s="69">
        <f t="shared" si="14"/>
        <v>42106</v>
      </c>
      <c r="U105" s="61">
        <f t="shared" si="11"/>
        <v>0.57132080487804859</v>
      </c>
      <c r="V105" s="116" t="str">
        <f t="shared" si="12"/>
        <v/>
      </c>
      <c r="W105" s="75">
        <f t="shared" si="13"/>
        <v>0.65698120731707288</v>
      </c>
    </row>
    <row r="106" spans="14:23">
      <c r="N106" s="122"/>
      <c r="O106" s="122"/>
      <c r="P106" s="122"/>
      <c r="Q106" s="115"/>
      <c r="R106" s="78"/>
      <c r="S106" s="79"/>
      <c r="T106" s="69">
        <f t="shared" si="14"/>
        <v>42107</v>
      </c>
      <c r="U106" s="61">
        <f t="shared" si="11"/>
        <v>0.57964982926829245</v>
      </c>
      <c r="V106" s="116" t="str">
        <f t="shared" si="12"/>
        <v/>
      </c>
      <c r="W106" s="75">
        <f t="shared" si="13"/>
        <v>0.66947474390243866</v>
      </c>
    </row>
    <row r="107" spans="14:23">
      <c r="N107" s="122"/>
      <c r="O107" s="122"/>
      <c r="P107" s="122"/>
      <c r="Q107" s="115"/>
      <c r="R107" s="78"/>
      <c r="S107" s="79"/>
      <c r="T107" s="69">
        <f t="shared" si="14"/>
        <v>42108</v>
      </c>
      <c r="U107" s="61">
        <f t="shared" si="11"/>
        <v>0.5879788536585363</v>
      </c>
      <c r="V107" s="116" t="str">
        <f t="shared" si="12"/>
        <v/>
      </c>
      <c r="W107" s="75">
        <f t="shared" si="13"/>
        <v>0.68196828048780445</v>
      </c>
    </row>
    <row r="108" spans="14:23">
      <c r="N108" s="122"/>
      <c r="O108" s="122"/>
      <c r="P108" s="122"/>
      <c r="Q108" s="115"/>
      <c r="R108" s="78"/>
      <c r="S108" s="79"/>
      <c r="T108" s="69">
        <f t="shared" si="14"/>
        <v>42109</v>
      </c>
      <c r="U108" s="61">
        <f t="shared" si="11"/>
        <v>0.59630787804878016</v>
      </c>
      <c r="V108" s="116" t="str">
        <f t="shared" si="12"/>
        <v/>
      </c>
      <c r="W108" s="75">
        <f t="shared" si="13"/>
        <v>0.69446181707317023</v>
      </c>
    </row>
    <row r="109" spans="14:23">
      <c r="N109" s="122"/>
      <c r="O109" s="122"/>
      <c r="P109" s="122"/>
      <c r="Q109" s="115"/>
      <c r="R109" s="78"/>
      <c r="S109" s="79"/>
      <c r="T109" s="69">
        <f t="shared" si="14"/>
        <v>42110</v>
      </c>
      <c r="U109" s="61">
        <f t="shared" si="11"/>
        <v>0.60463690243902402</v>
      </c>
      <c r="V109" s="116" t="str">
        <f t="shared" si="12"/>
        <v/>
      </c>
      <c r="W109" s="75">
        <f t="shared" si="13"/>
        <v>0.70695535365853601</v>
      </c>
    </row>
    <row r="110" spans="14:23">
      <c r="N110" s="122"/>
      <c r="O110" s="122"/>
      <c r="P110" s="122"/>
      <c r="Q110" s="115"/>
      <c r="R110" s="78"/>
      <c r="S110" s="79"/>
      <c r="T110" s="69">
        <f t="shared" si="14"/>
        <v>42111</v>
      </c>
      <c r="U110" s="61">
        <f t="shared" si="11"/>
        <v>0.61296592682926787</v>
      </c>
      <c r="V110" s="116" t="str">
        <f t="shared" si="12"/>
        <v/>
      </c>
      <c r="W110" s="75">
        <f t="shared" si="13"/>
        <v>0.7194488902439018</v>
      </c>
    </row>
    <row r="111" spans="14:23">
      <c r="N111" s="122"/>
      <c r="O111" s="122"/>
      <c r="P111" s="122"/>
      <c r="Q111" s="115"/>
      <c r="R111" s="78"/>
      <c r="S111" s="79"/>
      <c r="T111" s="69">
        <f t="shared" si="14"/>
        <v>42112</v>
      </c>
      <c r="U111" s="61">
        <f t="shared" si="11"/>
        <v>0.62129495121951173</v>
      </c>
      <c r="V111" s="116" t="str">
        <f t="shared" si="12"/>
        <v/>
      </c>
      <c r="W111" s="75">
        <f t="shared" si="13"/>
        <v>0.73194242682926758</v>
      </c>
    </row>
    <row r="112" spans="14:23">
      <c r="N112" s="122"/>
      <c r="O112" s="122"/>
      <c r="P112" s="122"/>
      <c r="Q112" s="115"/>
      <c r="R112" s="78"/>
      <c r="S112" s="79"/>
      <c r="T112" s="69">
        <f t="shared" si="14"/>
        <v>42113</v>
      </c>
      <c r="U112" s="61">
        <f t="shared" si="11"/>
        <v>0.62962397560975558</v>
      </c>
      <c r="V112" s="116" t="str">
        <f t="shared" si="12"/>
        <v/>
      </c>
      <c r="W112" s="75">
        <f t="shared" si="13"/>
        <v>0.74443596341463336</v>
      </c>
    </row>
    <row r="113" spans="14:23">
      <c r="N113" s="62"/>
      <c r="O113" s="110"/>
      <c r="P113" s="62"/>
      <c r="Q113" s="115"/>
      <c r="R113" s="78"/>
      <c r="S113" s="79"/>
      <c r="T113" s="69">
        <f t="shared" si="14"/>
        <v>42114</v>
      </c>
      <c r="U113" s="61">
        <f t="shared" si="11"/>
        <v>0.63795299999999999</v>
      </c>
      <c r="V113" s="116">
        <f t="shared" si="12"/>
        <v>1</v>
      </c>
      <c r="W113" s="75">
        <f t="shared" si="13"/>
        <v>0.75692950000000003</v>
      </c>
    </row>
    <row r="114" spans="14:23">
      <c r="N114" s="62"/>
      <c r="O114" s="110"/>
      <c r="P114" s="62"/>
      <c r="Q114" s="115"/>
      <c r="R114" s="78"/>
      <c r="S114" s="79"/>
      <c r="T114" s="69">
        <f t="shared" si="14"/>
        <v>42115</v>
      </c>
      <c r="U114" s="61">
        <f t="shared" si="11"/>
        <v>0.64827274999999995</v>
      </c>
      <c r="V114" s="116" t="str">
        <f t="shared" si="12"/>
        <v/>
      </c>
      <c r="W114" s="75">
        <f t="shared" si="13"/>
        <v>0.77240912500000003</v>
      </c>
    </row>
    <row r="115" spans="14:23">
      <c r="N115" s="62"/>
      <c r="O115" s="110"/>
      <c r="P115" s="62"/>
      <c r="Q115" s="115"/>
      <c r="R115" s="78"/>
      <c r="S115" s="79"/>
      <c r="T115" s="69">
        <f t="shared" si="14"/>
        <v>42116</v>
      </c>
      <c r="U115" s="61">
        <f t="shared" si="11"/>
        <v>0.65859249999999991</v>
      </c>
      <c r="V115" s="116" t="str">
        <f t="shared" si="12"/>
        <v/>
      </c>
      <c r="W115" s="75">
        <f t="shared" si="13"/>
        <v>0.7878887499999998</v>
      </c>
    </row>
    <row r="116" spans="14:23">
      <c r="N116" s="62"/>
      <c r="O116" s="110"/>
      <c r="P116" s="62"/>
      <c r="Q116" s="115"/>
      <c r="R116" s="78"/>
      <c r="S116" s="79"/>
      <c r="T116" s="69">
        <f t="shared" si="14"/>
        <v>42117</v>
      </c>
      <c r="U116" s="61">
        <f t="shared" si="11"/>
        <v>0.66891224999999987</v>
      </c>
      <c r="V116" s="116" t="str">
        <f t="shared" si="12"/>
        <v/>
      </c>
      <c r="W116" s="75">
        <f t="shared" si="13"/>
        <v>0.8033683749999998</v>
      </c>
    </row>
    <row r="117" spans="14:23">
      <c r="N117" s="62"/>
      <c r="O117" s="110"/>
      <c r="P117" s="62"/>
      <c r="Q117" s="115"/>
      <c r="R117" s="78"/>
      <c r="S117" s="79"/>
      <c r="T117" s="69">
        <f t="shared" si="14"/>
        <v>42118</v>
      </c>
      <c r="U117" s="61">
        <f t="shared" si="11"/>
        <v>0.67923199999999984</v>
      </c>
      <c r="V117" s="116" t="str">
        <f t="shared" si="12"/>
        <v/>
      </c>
      <c r="W117" s="75">
        <f t="shared" si="13"/>
        <v>0.8188479999999998</v>
      </c>
    </row>
    <row r="118" spans="14:23">
      <c r="N118" s="62"/>
      <c r="O118" s="110"/>
      <c r="P118" s="62"/>
      <c r="Q118" s="115"/>
      <c r="R118" s="78"/>
      <c r="S118" s="79"/>
      <c r="T118" s="69">
        <f t="shared" si="14"/>
        <v>42119</v>
      </c>
      <c r="U118" s="61">
        <f t="shared" si="11"/>
        <v>0.6895517499999998</v>
      </c>
      <c r="V118" s="116" t="str">
        <f t="shared" si="12"/>
        <v/>
      </c>
      <c r="W118" s="75">
        <f t="shared" si="13"/>
        <v>0.8343276249999998</v>
      </c>
    </row>
    <row r="119" spans="14:23">
      <c r="N119" s="62"/>
      <c r="O119" s="110"/>
      <c r="P119" s="62"/>
      <c r="Q119" s="115"/>
      <c r="R119" s="78"/>
      <c r="S119" s="79"/>
      <c r="T119" s="69">
        <f t="shared" si="14"/>
        <v>42120</v>
      </c>
      <c r="U119" s="61">
        <f t="shared" si="11"/>
        <v>0.69987149999999976</v>
      </c>
      <c r="V119" s="116" t="str">
        <f t="shared" si="12"/>
        <v/>
      </c>
      <c r="W119" s="75">
        <f t="shared" si="13"/>
        <v>0.84980724999999979</v>
      </c>
    </row>
    <row r="120" spans="14:23">
      <c r="N120" s="62"/>
      <c r="O120" s="110"/>
      <c r="P120" s="62"/>
      <c r="Q120" s="115"/>
      <c r="R120" s="78"/>
      <c r="S120" s="79"/>
      <c r="T120" s="69">
        <f t="shared" si="14"/>
        <v>42121</v>
      </c>
      <c r="U120" s="61">
        <f t="shared" si="11"/>
        <v>0.71019124999999972</v>
      </c>
      <c r="V120" s="116" t="str">
        <f t="shared" si="12"/>
        <v/>
      </c>
      <c r="W120" s="75">
        <f t="shared" si="13"/>
        <v>0.86528687499999957</v>
      </c>
    </row>
    <row r="121" spans="14:23">
      <c r="N121" s="62"/>
      <c r="O121" s="110"/>
      <c r="P121" s="62"/>
      <c r="Q121" s="115"/>
      <c r="R121" s="78"/>
      <c r="S121" s="79"/>
      <c r="T121" s="69">
        <f t="shared" si="14"/>
        <v>42122</v>
      </c>
      <c r="U121" s="61">
        <f t="shared" si="11"/>
        <v>0.72051099999999968</v>
      </c>
      <c r="V121" s="116" t="str">
        <f t="shared" si="12"/>
        <v/>
      </c>
      <c r="W121" s="75">
        <f t="shared" si="13"/>
        <v>0.88076649999999956</v>
      </c>
    </row>
    <row r="122" spans="14:23">
      <c r="N122" s="62"/>
      <c r="O122" s="110"/>
      <c r="P122" s="62"/>
      <c r="Q122" s="115"/>
      <c r="R122" s="78"/>
      <c r="S122" s="79"/>
      <c r="T122" s="69">
        <f t="shared" si="14"/>
        <v>42123</v>
      </c>
      <c r="U122" s="61">
        <f t="shared" si="11"/>
        <v>0.73083074999999964</v>
      </c>
      <c r="V122" s="116" t="str">
        <f t="shared" si="12"/>
        <v/>
      </c>
      <c r="W122" s="75">
        <f t="shared" si="13"/>
        <v>0.89624612499999956</v>
      </c>
    </row>
    <row r="123" spans="14:23">
      <c r="N123" s="62"/>
      <c r="O123" s="110"/>
      <c r="P123" s="62"/>
      <c r="Q123" s="115"/>
      <c r="R123" s="78"/>
      <c r="S123" s="79"/>
      <c r="T123" s="69">
        <f t="shared" si="14"/>
        <v>42124</v>
      </c>
      <c r="U123" s="61">
        <f t="shared" si="11"/>
        <v>0.7411504999999996</v>
      </c>
      <c r="V123" s="116" t="str">
        <f t="shared" si="12"/>
        <v/>
      </c>
      <c r="W123" s="75">
        <f t="shared" si="13"/>
        <v>0.91172574999999934</v>
      </c>
    </row>
    <row r="124" spans="14:23">
      <c r="N124" s="62"/>
      <c r="O124" s="110"/>
      <c r="P124" s="62"/>
      <c r="Q124" s="115"/>
      <c r="R124" s="78"/>
      <c r="S124" s="79"/>
      <c r="T124" s="69">
        <f t="shared" si="14"/>
        <v>42125</v>
      </c>
      <c r="U124" s="61">
        <f t="shared" si="11"/>
        <v>0.75147024999999956</v>
      </c>
      <c r="V124" s="116" t="str">
        <f t="shared" si="12"/>
        <v/>
      </c>
      <c r="W124" s="75">
        <f t="shared" si="13"/>
        <v>0.92720537499999933</v>
      </c>
    </row>
    <row r="125" spans="14:23">
      <c r="N125" s="62"/>
      <c r="O125" s="110"/>
      <c r="P125" s="62"/>
      <c r="Q125" s="115"/>
      <c r="R125" s="78"/>
      <c r="S125" s="79"/>
      <c r="T125" s="69">
        <f t="shared" si="14"/>
        <v>42126</v>
      </c>
      <c r="U125" s="61">
        <f t="shared" si="11"/>
        <v>0.76178999999999952</v>
      </c>
      <c r="V125" s="116" t="str">
        <f t="shared" si="12"/>
        <v/>
      </c>
      <c r="W125" s="75">
        <f t="shared" si="13"/>
        <v>0.94268499999999933</v>
      </c>
    </row>
    <row r="126" spans="14:23">
      <c r="N126" s="62"/>
      <c r="O126" s="110"/>
      <c r="P126" s="62"/>
      <c r="Q126" s="115"/>
      <c r="R126" s="78"/>
      <c r="S126" s="79"/>
      <c r="T126" s="69">
        <f t="shared" si="14"/>
        <v>42127</v>
      </c>
      <c r="U126" s="61">
        <f t="shared" si="11"/>
        <v>0.77210974999999948</v>
      </c>
      <c r="V126" s="116" t="str">
        <f t="shared" si="12"/>
        <v/>
      </c>
      <c r="W126" s="75">
        <f t="shared" si="13"/>
        <v>0.95816462499999933</v>
      </c>
    </row>
    <row r="127" spans="14:23">
      <c r="N127" s="62"/>
      <c r="O127" s="110"/>
      <c r="P127" s="62"/>
      <c r="Q127" s="115"/>
      <c r="R127" s="78"/>
      <c r="S127" s="79"/>
      <c r="T127" s="69">
        <f t="shared" si="14"/>
        <v>42128</v>
      </c>
      <c r="U127" s="61">
        <f t="shared" si="11"/>
        <v>0.78242949999999944</v>
      </c>
      <c r="V127" s="116" t="str">
        <f t="shared" si="12"/>
        <v/>
      </c>
      <c r="W127" s="75">
        <f t="shared" si="13"/>
        <v>0.97364424999999932</v>
      </c>
    </row>
    <row r="128" spans="14:23">
      <c r="N128" s="62"/>
      <c r="O128" s="110"/>
      <c r="P128" s="62"/>
      <c r="Q128" s="115"/>
      <c r="R128" s="78"/>
      <c r="S128" s="79"/>
      <c r="T128" s="69">
        <f t="shared" si="14"/>
        <v>42129</v>
      </c>
      <c r="U128" s="61">
        <f t="shared" si="11"/>
        <v>0.79274924999999941</v>
      </c>
      <c r="V128" s="116" t="str">
        <f t="shared" si="12"/>
        <v/>
      </c>
      <c r="W128" s="75">
        <f t="shared" si="13"/>
        <v>0.9891238749999991</v>
      </c>
    </row>
    <row r="129" spans="14:23">
      <c r="N129" s="62"/>
      <c r="O129" s="110"/>
      <c r="P129" s="62"/>
      <c r="Q129" s="115"/>
      <c r="R129" s="78"/>
      <c r="S129" s="79"/>
      <c r="T129" s="69">
        <f t="shared" si="14"/>
        <v>42130</v>
      </c>
      <c r="U129" s="61">
        <f t="shared" si="11"/>
        <v>0.80306900000000003</v>
      </c>
      <c r="V129" s="116">
        <f t="shared" si="12"/>
        <v>1</v>
      </c>
      <c r="W129" s="75">
        <f t="shared" si="13"/>
        <v>1.0046035000000002</v>
      </c>
    </row>
    <row r="130" spans="14:23">
      <c r="N130" s="62"/>
      <c r="O130" s="110"/>
      <c r="P130" s="62"/>
      <c r="Q130" s="115"/>
      <c r="R130" s="78"/>
      <c r="S130" s="79"/>
      <c r="T130" s="69">
        <f t="shared" si="14"/>
        <v>42131</v>
      </c>
      <c r="U130" s="61">
        <f t="shared" si="11"/>
        <v>0.80484800000000001</v>
      </c>
      <c r="V130" s="116" t="str">
        <f t="shared" si="12"/>
        <v/>
      </c>
      <c r="W130" s="75">
        <f t="shared" si="13"/>
        <v>1.0072720000000002</v>
      </c>
    </row>
    <row r="131" spans="14:23">
      <c r="N131" s="62"/>
      <c r="O131" s="110"/>
      <c r="P131" s="62"/>
      <c r="Q131" s="115"/>
      <c r="R131" s="78"/>
      <c r="S131" s="79"/>
      <c r="T131" s="69">
        <f t="shared" si="14"/>
        <v>42132</v>
      </c>
      <c r="U131" s="61">
        <f t="shared" si="11"/>
        <v>0.80662699999999998</v>
      </c>
      <c r="V131" s="116" t="str">
        <f t="shared" si="12"/>
        <v/>
      </c>
      <c r="W131" s="75">
        <f t="shared" si="13"/>
        <v>1.0099405000000001</v>
      </c>
    </row>
    <row r="132" spans="14:23">
      <c r="N132" s="62"/>
      <c r="O132" s="110"/>
      <c r="P132" s="62"/>
      <c r="Q132" s="115"/>
      <c r="R132" s="78"/>
      <c r="S132" s="79"/>
      <c r="T132" s="69">
        <f t="shared" si="14"/>
        <v>42133</v>
      </c>
      <c r="U132" s="61">
        <f t="shared" si="11"/>
        <v>0.80840599999999996</v>
      </c>
      <c r="V132" s="116" t="str">
        <f t="shared" si="12"/>
        <v/>
      </c>
      <c r="W132" s="75">
        <f t="shared" si="13"/>
        <v>1.0126090000000001</v>
      </c>
    </row>
    <row r="133" spans="14:23">
      <c r="N133" s="62"/>
      <c r="O133" s="110"/>
      <c r="P133" s="62"/>
      <c r="Q133" s="115"/>
      <c r="R133" s="78"/>
      <c r="S133" s="79"/>
      <c r="T133" s="69">
        <f t="shared" si="14"/>
        <v>42134</v>
      </c>
      <c r="U133" s="61">
        <f t="shared" si="11"/>
        <v>0.81018499999999993</v>
      </c>
      <c r="V133" s="116" t="str">
        <f t="shared" si="12"/>
        <v/>
      </c>
      <c r="W133" s="75">
        <f t="shared" si="13"/>
        <v>1.0152775000000001</v>
      </c>
    </row>
    <row r="134" spans="14:23">
      <c r="N134" s="62"/>
      <c r="O134" s="110"/>
      <c r="P134" s="62"/>
      <c r="Q134" s="115"/>
      <c r="R134" s="78"/>
      <c r="S134" s="79"/>
      <c r="T134" s="69">
        <f t="shared" si="14"/>
        <v>42135</v>
      </c>
      <c r="U134" s="61">
        <f t="shared" si="11"/>
        <v>0.81196399999999991</v>
      </c>
      <c r="V134" s="116" t="str">
        <f t="shared" si="12"/>
        <v/>
      </c>
      <c r="W134" s="75">
        <f t="shared" si="13"/>
        <v>1.017946</v>
      </c>
    </row>
    <row r="135" spans="14:23">
      <c r="N135" s="62"/>
      <c r="O135" s="110"/>
      <c r="P135" s="62"/>
      <c r="Q135" s="115"/>
      <c r="R135" s="78"/>
      <c r="S135" s="79"/>
      <c r="T135" s="69">
        <f t="shared" si="14"/>
        <v>42136</v>
      </c>
      <c r="U135" s="61">
        <f t="shared" si="11"/>
        <v>0.81374299999999988</v>
      </c>
      <c r="V135" s="116" t="str">
        <f t="shared" si="12"/>
        <v/>
      </c>
      <c r="W135" s="75">
        <f t="shared" si="13"/>
        <v>1.0206145</v>
      </c>
    </row>
    <row r="136" spans="14:23">
      <c r="N136" s="62"/>
      <c r="O136" s="110"/>
      <c r="P136" s="62"/>
      <c r="Q136" s="115"/>
      <c r="R136" s="78"/>
      <c r="S136" s="79"/>
      <c r="T136" s="69">
        <f t="shared" si="14"/>
        <v>42137</v>
      </c>
      <c r="U136" s="61">
        <f t="shared" si="11"/>
        <v>0.81552199999999986</v>
      </c>
      <c r="V136" s="116" t="str">
        <f t="shared" si="12"/>
        <v/>
      </c>
      <c r="W136" s="75">
        <f t="shared" si="13"/>
        <v>1.0232829999999999</v>
      </c>
    </row>
    <row r="137" spans="14:23">
      <c r="N137" s="62"/>
      <c r="O137" s="110"/>
      <c r="P137" s="62"/>
      <c r="Q137" s="115"/>
      <c r="R137" s="78"/>
      <c r="S137" s="79"/>
      <c r="T137" s="69">
        <f t="shared" si="14"/>
        <v>42138</v>
      </c>
      <c r="U137" s="61">
        <f t="shared" ref="U137:U193" si="15">IF(ISERROR(VLOOKUP($T137,$Q$8:$S$30,2,FALSE)),U136+VLOOKUP($T137,$Q$8:$S$30,3,TRUE),VLOOKUP($T137,$Q$8:$S$30,2,FALSE))</f>
        <v>0.81730099999999983</v>
      </c>
      <c r="V137" s="116" t="str">
        <f t="shared" ref="V137:V193" si="16">IFERROR(IF(VLOOKUP(T137,$Q$8:$Q$363,1,FALSE)&gt;0,1,""),"")</f>
        <v/>
      </c>
      <c r="W137" s="75">
        <f t="shared" ref="W137:W193" si="17">U137*1.5-0.2</f>
        <v>1.0259514999999999</v>
      </c>
    </row>
    <row r="138" spans="14:23">
      <c r="N138" s="62"/>
      <c r="O138" s="110"/>
      <c r="P138" s="62"/>
      <c r="Q138" s="115"/>
      <c r="R138" s="78"/>
      <c r="S138" s="79"/>
      <c r="T138" s="69">
        <f t="shared" ref="T138:T193" si="18">T137+1</f>
        <v>42139</v>
      </c>
      <c r="U138" s="61">
        <f t="shared" si="15"/>
        <v>0.81907999999999981</v>
      </c>
      <c r="V138" s="116" t="str">
        <f t="shared" si="16"/>
        <v/>
      </c>
      <c r="W138" s="75">
        <f t="shared" si="17"/>
        <v>1.0286199999999999</v>
      </c>
    </row>
    <row r="139" spans="14:23">
      <c r="N139" s="62"/>
      <c r="O139" s="110"/>
      <c r="P139" s="62"/>
      <c r="Q139" s="115"/>
      <c r="R139" s="78"/>
      <c r="S139" s="79"/>
      <c r="T139" s="69">
        <f t="shared" si="18"/>
        <v>42140</v>
      </c>
      <c r="U139" s="61">
        <f t="shared" si="15"/>
        <v>0.82085899999999978</v>
      </c>
      <c r="V139" s="116" t="str">
        <f t="shared" si="16"/>
        <v/>
      </c>
      <c r="W139" s="75">
        <f t="shared" si="17"/>
        <v>1.0312884999999998</v>
      </c>
    </row>
    <row r="140" spans="14:23">
      <c r="N140" s="62"/>
      <c r="O140" s="110"/>
      <c r="P140" s="62"/>
      <c r="Q140" s="115"/>
      <c r="R140" s="78"/>
      <c r="S140" s="79"/>
      <c r="T140" s="69">
        <f t="shared" si="18"/>
        <v>42141</v>
      </c>
      <c r="U140" s="61">
        <f t="shared" si="15"/>
        <v>0.82263799999999976</v>
      </c>
      <c r="V140" s="116" t="str">
        <f t="shared" si="16"/>
        <v/>
      </c>
      <c r="W140" s="75">
        <f t="shared" si="17"/>
        <v>1.0339569999999998</v>
      </c>
    </row>
    <row r="141" spans="14:23">
      <c r="N141" s="62"/>
      <c r="O141" s="110"/>
      <c r="P141" s="62"/>
      <c r="Q141" s="115"/>
      <c r="R141" s="78"/>
      <c r="S141" s="79"/>
      <c r="T141" s="69">
        <f t="shared" si="18"/>
        <v>42142</v>
      </c>
      <c r="U141" s="61">
        <f t="shared" si="15"/>
        <v>0.82441699999999973</v>
      </c>
      <c r="V141" s="116" t="str">
        <f t="shared" si="16"/>
        <v/>
      </c>
      <c r="W141" s="75">
        <f t="shared" si="17"/>
        <v>1.0366254999999998</v>
      </c>
    </row>
    <row r="142" spans="14:23">
      <c r="N142" s="62"/>
      <c r="O142" s="110"/>
      <c r="P142" s="62"/>
      <c r="Q142" s="115"/>
      <c r="R142" s="78"/>
      <c r="S142" s="79"/>
      <c r="T142" s="69">
        <f t="shared" si="18"/>
        <v>42143</v>
      </c>
      <c r="U142" s="61">
        <f t="shared" si="15"/>
        <v>0.82619599999999971</v>
      </c>
      <c r="V142" s="116" t="str">
        <f t="shared" si="16"/>
        <v/>
      </c>
      <c r="W142" s="75">
        <f t="shared" si="17"/>
        <v>1.0392939999999997</v>
      </c>
    </row>
    <row r="143" spans="14:23">
      <c r="N143" s="62"/>
      <c r="O143" s="110"/>
      <c r="P143" s="62"/>
      <c r="Q143" s="115"/>
      <c r="R143" s="78"/>
      <c r="S143" s="79"/>
      <c r="T143" s="69">
        <f t="shared" si="18"/>
        <v>42144</v>
      </c>
      <c r="U143" s="61">
        <f t="shared" si="15"/>
        <v>0.82797499999999968</v>
      </c>
      <c r="V143" s="116" t="str">
        <f t="shared" si="16"/>
        <v/>
      </c>
      <c r="W143" s="75">
        <f t="shared" si="17"/>
        <v>1.0419624999999997</v>
      </c>
    </row>
    <row r="144" spans="14:23">
      <c r="N144" s="62"/>
      <c r="O144" s="110"/>
      <c r="P144" s="62"/>
      <c r="Q144" s="115"/>
      <c r="R144" s="78"/>
      <c r="S144" s="79"/>
      <c r="T144" s="69">
        <f t="shared" si="18"/>
        <v>42145</v>
      </c>
      <c r="U144" s="61">
        <f t="shared" si="15"/>
        <v>0.82975399999999966</v>
      </c>
      <c r="V144" s="116" t="str">
        <f t="shared" si="16"/>
        <v/>
      </c>
      <c r="W144" s="75">
        <f t="shared" si="17"/>
        <v>1.0446309999999996</v>
      </c>
    </row>
    <row r="145" spans="14:23">
      <c r="N145" s="62"/>
      <c r="O145" s="110"/>
      <c r="P145" s="62"/>
      <c r="Q145" s="115"/>
      <c r="R145" s="78"/>
      <c r="S145" s="79"/>
      <c r="T145" s="69">
        <f t="shared" si="18"/>
        <v>42146</v>
      </c>
      <c r="U145" s="61">
        <f t="shared" si="15"/>
        <v>0.83153299999999997</v>
      </c>
      <c r="V145" s="116">
        <f t="shared" si="16"/>
        <v>1</v>
      </c>
      <c r="W145" s="75">
        <f t="shared" si="17"/>
        <v>1.0472995</v>
      </c>
    </row>
    <row r="146" spans="14:23">
      <c r="N146" s="62"/>
      <c r="O146" s="110"/>
      <c r="P146" s="62"/>
      <c r="Q146" s="115"/>
      <c r="R146" s="78"/>
      <c r="S146" s="79"/>
      <c r="T146" s="69">
        <f t="shared" si="18"/>
        <v>42147</v>
      </c>
      <c r="U146" s="61">
        <f t="shared" si="15"/>
        <v>0.82379837499999997</v>
      </c>
      <c r="V146" s="116" t="str">
        <f t="shared" si="16"/>
        <v/>
      </c>
      <c r="W146" s="75">
        <f t="shared" si="17"/>
        <v>1.0356975625</v>
      </c>
    </row>
    <row r="147" spans="14:23">
      <c r="N147" s="62"/>
      <c r="O147" s="110"/>
      <c r="P147" s="62"/>
      <c r="Q147" s="115"/>
      <c r="R147" s="78"/>
      <c r="S147" s="79"/>
      <c r="T147" s="69">
        <f t="shared" si="18"/>
        <v>42148</v>
      </c>
      <c r="U147" s="61">
        <f t="shared" si="15"/>
        <v>0.81606374999999998</v>
      </c>
      <c r="V147" s="116" t="str">
        <f t="shared" si="16"/>
        <v/>
      </c>
      <c r="W147" s="75">
        <f t="shared" si="17"/>
        <v>1.024095625</v>
      </c>
    </row>
    <row r="148" spans="14:23">
      <c r="N148" s="62"/>
      <c r="O148" s="110"/>
      <c r="P148" s="62"/>
      <c r="Q148" s="115"/>
      <c r="R148" s="78"/>
      <c r="S148" s="79"/>
      <c r="T148" s="69">
        <f t="shared" si="18"/>
        <v>42149</v>
      </c>
      <c r="U148" s="61">
        <f t="shared" si="15"/>
        <v>0.80832912499999998</v>
      </c>
      <c r="V148" s="116" t="str">
        <f t="shared" si="16"/>
        <v/>
      </c>
      <c r="W148" s="75">
        <f t="shared" si="17"/>
        <v>1.0124936874999999</v>
      </c>
    </row>
    <row r="149" spans="14:23">
      <c r="N149" s="62"/>
      <c r="O149" s="110"/>
      <c r="P149" s="62"/>
      <c r="Q149" s="115"/>
      <c r="R149" s="78"/>
      <c r="S149" s="79"/>
      <c r="T149" s="69">
        <f t="shared" si="18"/>
        <v>42150</v>
      </c>
      <c r="U149" s="61">
        <f t="shared" si="15"/>
        <v>0.80059449999999999</v>
      </c>
      <c r="V149" s="116" t="str">
        <f t="shared" si="16"/>
        <v/>
      </c>
      <c r="W149" s="75">
        <f t="shared" si="17"/>
        <v>1.0008917500000001</v>
      </c>
    </row>
    <row r="150" spans="14:23">
      <c r="N150" s="62"/>
      <c r="O150" s="110"/>
      <c r="P150" s="62"/>
      <c r="Q150" s="115"/>
      <c r="R150" s="78"/>
      <c r="S150" s="79"/>
      <c r="T150" s="69">
        <f t="shared" si="18"/>
        <v>42151</v>
      </c>
      <c r="U150" s="61">
        <f t="shared" si="15"/>
        <v>0.79285987499999999</v>
      </c>
      <c r="V150" s="116" t="str">
        <f t="shared" si="16"/>
        <v/>
      </c>
      <c r="W150" s="75">
        <f t="shared" si="17"/>
        <v>0.98928981250000003</v>
      </c>
    </row>
    <row r="151" spans="14:23">
      <c r="N151" s="62"/>
      <c r="O151" s="110"/>
      <c r="P151" s="62"/>
      <c r="Q151" s="115"/>
      <c r="R151" s="78"/>
      <c r="S151" s="79"/>
      <c r="T151" s="69">
        <f t="shared" si="18"/>
        <v>42152</v>
      </c>
      <c r="U151" s="61">
        <f t="shared" si="15"/>
        <v>0.78512525</v>
      </c>
      <c r="V151" s="116" t="str">
        <f t="shared" si="16"/>
        <v/>
      </c>
      <c r="W151" s="75">
        <f t="shared" si="17"/>
        <v>0.97768787499999998</v>
      </c>
    </row>
    <row r="152" spans="14:23">
      <c r="N152" s="62"/>
      <c r="O152" s="110"/>
      <c r="P152" s="62"/>
      <c r="Q152" s="115"/>
      <c r="R152" s="78"/>
      <c r="S152" s="79"/>
      <c r="T152" s="69">
        <f t="shared" si="18"/>
        <v>42153</v>
      </c>
      <c r="U152" s="61">
        <f t="shared" si="15"/>
        <v>0.777390625</v>
      </c>
      <c r="V152" s="116" t="str">
        <f t="shared" si="16"/>
        <v/>
      </c>
      <c r="W152" s="75">
        <f t="shared" si="17"/>
        <v>0.96608593750000016</v>
      </c>
    </row>
    <row r="153" spans="14:23">
      <c r="N153" s="62"/>
      <c r="O153" s="110"/>
      <c r="P153" s="62"/>
      <c r="Q153" s="115"/>
      <c r="R153" s="78"/>
      <c r="S153" s="79"/>
      <c r="T153" s="69">
        <f t="shared" si="18"/>
        <v>42154</v>
      </c>
      <c r="U153" s="61">
        <f t="shared" si="15"/>
        <v>0.76965600000000001</v>
      </c>
      <c r="V153" s="116" t="str">
        <f t="shared" si="16"/>
        <v/>
      </c>
      <c r="W153" s="75">
        <f t="shared" si="17"/>
        <v>0.95448400000000011</v>
      </c>
    </row>
    <row r="154" spans="14:23">
      <c r="N154" s="62"/>
      <c r="O154" s="110"/>
      <c r="P154" s="62"/>
      <c r="Q154" s="115"/>
      <c r="R154" s="78"/>
      <c r="S154" s="79"/>
      <c r="T154" s="69">
        <f t="shared" si="18"/>
        <v>42155</v>
      </c>
      <c r="U154" s="61">
        <f t="shared" si="15"/>
        <v>0.76192137500000001</v>
      </c>
      <c r="V154" s="116" t="str">
        <f t="shared" si="16"/>
        <v/>
      </c>
      <c r="W154" s="75">
        <f t="shared" si="17"/>
        <v>0.94288206250000006</v>
      </c>
    </row>
    <row r="155" spans="14:23">
      <c r="N155" s="62"/>
      <c r="O155" s="110"/>
      <c r="P155" s="62"/>
      <c r="Q155" s="115"/>
      <c r="R155" s="78"/>
      <c r="S155" s="79"/>
      <c r="T155" s="69">
        <f t="shared" si="18"/>
        <v>42156</v>
      </c>
      <c r="U155" s="61">
        <f t="shared" si="15"/>
        <v>0.75418675000000002</v>
      </c>
      <c r="V155" s="116" t="str">
        <f t="shared" si="16"/>
        <v/>
      </c>
      <c r="W155" s="75">
        <f t="shared" si="17"/>
        <v>0.93128012500000001</v>
      </c>
    </row>
    <row r="156" spans="14:23">
      <c r="N156" s="62"/>
      <c r="O156" s="110"/>
      <c r="P156" s="62"/>
      <c r="Q156" s="115"/>
      <c r="R156" s="78"/>
      <c r="S156" s="79"/>
      <c r="T156" s="69">
        <f t="shared" si="18"/>
        <v>42157</v>
      </c>
      <c r="U156" s="61">
        <f t="shared" si="15"/>
        <v>0.74645212500000002</v>
      </c>
      <c r="V156" s="116" t="str">
        <f t="shared" si="16"/>
        <v/>
      </c>
      <c r="W156" s="75">
        <f t="shared" si="17"/>
        <v>0.91967818749999997</v>
      </c>
    </row>
    <row r="157" spans="14:23">
      <c r="N157" s="62"/>
      <c r="O157" s="110"/>
      <c r="P157" s="62"/>
      <c r="Q157" s="115"/>
      <c r="R157" s="78"/>
      <c r="S157" s="79"/>
      <c r="T157" s="69">
        <f t="shared" si="18"/>
        <v>42158</v>
      </c>
      <c r="U157" s="61">
        <f t="shared" si="15"/>
        <v>0.73871750000000003</v>
      </c>
      <c r="V157" s="116" t="str">
        <f t="shared" si="16"/>
        <v/>
      </c>
      <c r="W157" s="75">
        <f t="shared" si="17"/>
        <v>0.90807625000000014</v>
      </c>
    </row>
    <row r="158" spans="14:23">
      <c r="N158" s="62"/>
      <c r="O158" s="110"/>
      <c r="P158" s="62"/>
      <c r="Q158" s="115"/>
      <c r="R158" s="78"/>
      <c r="S158" s="79"/>
      <c r="T158" s="69">
        <f t="shared" si="18"/>
        <v>42159</v>
      </c>
      <c r="U158" s="61">
        <f t="shared" si="15"/>
        <v>0.73098287500000003</v>
      </c>
      <c r="V158" s="116" t="str">
        <f t="shared" si="16"/>
        <v/>
      </c>
      <c r="W158" s="75">
        <f t="shared" si="17"/>
        <v>0.89647431250000009</v>
      </c>
    </row>
    <row r="159" spans="14:23">
      <c r="N159" s="62"/>
      <c r="O159" s="110"/>
      <c r="P159" s="62"/>
      <c r="Q159" s="115"/>
      <c r="R159" s="78"/>
      <c r="S159" s="79"/>
      <c r="T159" s="69">
        <f t="shared" si="18"/>
        <v>42160</v>
      </c>
      <c r="U159" s="61">
        <f t="shared" si="15"/>
        <v>0.72324825000000004</v>
      </c>
      <c r="V159" s="116" t="str">
        <f t="shared" si="16"/>
        <v/>
      </c>
      <c r="W159" s="75">
        <f t="shared" si="17"/>
        <v>0.88487237500000004</v>
      </c>
    </row>
    <row r="160" spans="14:23">
      <c r="N160" s="62"/>
      <c r="O160" s="110"/>
      <c r="P160" s="62"/>
      <c r="Q160" s="115"/>
      <c r="R160" s="78"/>
      <c r="S160" s="79"/>
      <c r="T160" s="69">
        <f t="shared" si="18"/>
        <v>42161</v>
      </c>
      <c r="U160" s="61">
        <f t="shared" si="15"/>
        <v>0.71551362500000004</v>
      </c>
      <c r="V160" s="116" t="str">
        <f t="shared" si="16"/>
        <v/>
      </c>
      <c r="W160" s="75">
        <f t="shared" si="17"/>
        <v>0.87327043750000022</v>
      </c>
    </row>
    <row r="161" spans="14:23">
      <c r="N161" s="62"/>
      <c r="O161" s="110"/>
      <c r="P161" s="62"/>
      <c r="Q161" s="115"/>
      <c r="R161" s="78"/>
      <c r="S161" s="79"/>
      <c r="T161" s="69">
        <f t="shared" si="18"/>
        <v>42162</v>
      </c>
      <c r="U161" s="61">
        <f t="shared" si="15"/>
        <v>0.70777900000000005</v>
      </c>
      <c r="V161" s="116">
        <f t="shared" si="16"/>
        <v>1</v>
      </c>
      <c r="W161" s="75">
        <f t="shared" si="17"/>
        <v>0.86166850000000017</v>
      </c>
    </row>
    <row r="162" spans="14:23">
      <c r="N162" s="62"/>
      <c r="O162" s="110"/>
      <c r="P162" s="62"/>
      <c r="Q162" s="115"/>
      <c r="R162" s="78"/>
      <c r="S162" s="79"/>
      <c r="T162" s="69">
        <f t="shared" si="18"/>
        <v>42163</v>
      </c>
      <c r="U162" s="61">
        <f t="shared" si="15"/>
        <v>0.68194566666666667</v>
      </c>
      <c r="V162" s="116" t="str">
        <f t="shared" si="16"/>
        <v/>
      </c>
      <c r="W162" s="75">
        <f t="shared" si="17"/>
        <v>0.82291850000000011</v>
      </c>
    </row>
    <row r="163" spans="14:23">
      <c r="N163" s="62"/>
      <c r="O163" s="110"/>
      <c r="P163" s="62"/>
      <c r="Q163" s="115"/>
      <c r="R163" s="78"/>
      <c r="S163" s="79"/>
      <c r="T163" s="69">
        <f t="shared" si="18"/>
        <v>42164</v>
      </c>
      <c r="U163" s="61">
        <f t="shared" si="15"/>
        <v>0.6561123333333333</v>
      </c>
      <c r="V163" s="116" t="str">
        <f t="shared" si="16"/>
        <v/>
      </c>
      <c r="W163" s="75">
        <f t="shared" si="17"/>
        <v>0.78416850000000005</v>
      </c>
    </row>
    <row r="164" spans="14:23">
      <c r="N164" s="62"/>
      <c r="O164" s="110"/>
      <c r="P164" s="62"/>
      <c r="Q164" s="115"/>
      <c r="R164" s="78"/>
      <c r="S164" s="79"/>
      <c r="T164" s="69">
        <f t="shared" si="18"/>
        <v>42165</v>
      </c>
      <c r="U164" s="61">
        <f t="shared" si="15"/>
        <v>0.63027899999999992</v>
      </c>
      <c r="V164" s="116" t="str">
        <f t="shared" si="16"/>
        <v/>
      </c>
      <c r="W164" s="75">
        <f t="shared" si="17"/>
        <v>0.74541849999999998</v>
      </c>
    </row>
    <row r="165" spans="14:23">
      <c r="N165" s="62"/>
      <c r="O165" s="110"/>
      <c r="P165" s="62"/>
      <c r="Q165" s="115"/>
      <c r="R165" s="78"/>
      <c r="S165" s="79"/>
      <c r="T165" s="69">
        <f t="shared" si="18"/>
        <v>42166</v>
      </c>
      <c r="U165" s="61">
        <f t="shared" si="15"/>
        <v>0.60444566666666655</v>
      </c>
      <c r="V165" s="116" t="str">
        <f t="shared" si="16"/>
        <v/>
      </c>
      <c r="W165" s="75">
        <f t="shared" si="17"/>
        <v>0.70666849999999992</v>
      </c>
    </row>
    <row r="166" spans="14:23">
      <c r="N166" s="62"/>
      <c r="O166" s="110"/>
      <c r="P166" s="62"/>
      <c r="Q166" s="115"/>
      <c r="R166" s="78"/>
      <c r="S166" s="79"/>
      <c r="T166" s="69">
        <f t="shared" si="18"/>
        <v>42167</v>
      </c>
      <c r="U166" s="61">
        <f t="shared" si="15"/>
        <v>0.57861233333333317</v>
      </c>
      <c r="V166" s="116" t="str">
        <f t="shared" si="16"/>
        <v/>
      </c>
      <c r="W166" s="75">
        <f t="shared" si="17"/>
        <v>0.66791849999999986</v>
      </c>
    </row>
    <row r="167" spans="14:23">
      <c r="N167" s="62"/>
      <c r="O167" s="110"/>
      <c r="P167" s="62"/>
      <c r="Q167" s="115"/>
      <c r="R167" s="78"/>
      <c r="S167" s="79"/>
      <c r="T167" s="69">
        <f t="shared" si="18"/>
        <v>42168</v>
      </c>
      <c r="U167" s="61">
        <f t="shared" si="15"/>
        <v>0.5527789999999998</v>
      </c>
      <c r="V167" s="116" t="str">
        <f t="shared" si="16"/>
        <v/>
      </c>
      <c r="W167" s="75">
        <f t="shared" si="17"/>
        <v>0.6291684999999998</v>
      </c>
    </row>
    <row r="168" spans="14:23">
      <c r="N168" s="62"/>
      <c r="O168" s="110"/>
      <c r="P168" s="62"/>
      <c r="Q168" s="115"/>
      <c r="R168" s="78"/>
      <c r="S168" s="79"/>
      <c r="T168" s="69">
        <f t="shared" si="18"/>
        <v>42169</v>
      </c>
      <c r="U168" s="61">
        <f t="shared" si="15"/>
        <v>0.52694566666666642</v>
      </c>
      <c r="V168" s="116" t="str">
        <f t="shared" si="16"/>
        <v/>
      </c>
      <c r="W168" s="75">
        <f t="shared" si="17"/>
        <v>0.59041849999999974</v>
      </c>
    </row>
    <row r="169" spans="14:23">
      <c r="N169" s="62"/>
      <c r="O169" s="110"/>
      <c r="P169" s="62"/>
      <c r="Q169" s="115"/>
      <c r="R169" s="78"/>
      <c r="S169" s="79"/>
      <c r="T169" s="69">
        <f t="shared" si="18"/>
        <v>42170</v>
      </c>
      <c r="U169" s="61">
        <f t="shared" si="15"/>
        <v>0.50111233333333305</v>
      </c>
      <c r="V169" s="116" t="str">
        <f t="shared" si="16"/>
        <v/>
      </c>
      <c r="W169" s="75">
        <f t="shared" si="17"/>
        <v>0.55166849999999967</v>
      </c>
    </row>
    <row r="170" spans="14:23">
      <c r="N170" s="62"/>
      <c r="O170" s="110"/>
      <c r="P170" s="62"/>
      <c r="Q170" s="115"/>
      <c r="R170" s="78"/>
      <c r="S170" s="79"/>
      <c r="T170" s="69">
        <f t="shared" si="18"/>
        <v>42171</v>
      </c>
      <c r="U170" s="61">
        <f t="shared" si="15"/>
        <v>0.47527899999999973</v>
      </c>
      <c r="V170" s="116" t="str">
        <f t="shared" si="16"/>
        <v/>
      </c>
      <c r="W170" s="75">
        <f t="shared" si="17"/>
        <v>0.51291849999999961</v>
      </c>
    </row>
    <row r="171" spans="14:23">
      <c r="N171" s="62"/>
      <c r="O171" s="110"/>
      <c r="P171" s="62"/>
      <c r="Q171" s="115"/>
      <c r="R171" s="78"/>
      <c r="S171" s="79"/>
      <c r="T171" s="69">
        <f t="shared" si="18"/>
        <v>42172</v>
      </c>
      <c r="U171" s="61">
        <f t="shared" si="15"/>
        <v>0.44944566666666641</v>
      </c>
      <c r="V171" s="116" t="str">
        <f t="shared" si="16"/>
        <v/>
      </c>
      <c r="W171" s="75">
        <f t="shared" si="17"/>
        <v>0.4741684999999996</v>
      </c>
    </row>
    <row r="172" spans="14:23">
      <c r="N172" s="62"/>
      <c r="O172" s="110"/>
      <c r="P172" s="62"/>
      <c r="Q172" s="115"/>
      <c r="R172" s="78"/>
      <c r="S172" s="79"/>
      <c r="T172" s="69">
        <f t="shared" si="18"/>
        <v>42173</v>
      </c>
      <c r="U172" s="61">
        <f t="shared" si="15"/>
        <v>0.42361233333333309</v>
      </c>
      <c r="V172" s="116" t="str">
        <f t="shared" si="16"/>
        <v/>
      </c>
      <c r="W172" s="75">
        <f t="shared" si="17"/>
        <v>0.43541849999999965</v>
      </c>
    </row>
    <row r="173" spans="14:23">
      <c r="N173" s="62"/>
      <c r="O173" s="110"/>
      <c r="P173" s="62"/>
      <c r="Q173" s="115"/>
      <c r="R173" s="78"/>
      <c r="S173" s="79"/>
      <c r="T173" s="69">
        <f t="shared" si="18"/>
        <v>42174</v>
      </c>
      <c r="U173" s="61">
        <f t="shared" si="15"/>
        <v>0.39777899999999977</v>
      </c>
      <c r="V173" s="116" t="str">
        <f t="shared" si="16"/>
        <v/>
      </c>
      <c r="W173" s="75">
        <f t="shared" si="17"/>
        <v>0.39666849999999959</v>
      </c>
    </row>
    <row r="174" spans="14:23">
      <c r="N174" s="62"/>
      <c r="O174" s="110"/>
      <c r="P174" s="62"/>
      <c r="Q174" s="115"/>
      <c r="R174" s="78"/>
      <c r="S174" s="79"/>
      <c r="T174" s="69">
        <f t="shared" si="18"/>
        <v>42175</v>
      </c>
      <c r="U174" s="61">
        <f t="shared" si="15"/>
        <v>0.37194566666666645</v>
      </c>
      <c r="V174" s="116" t="str">
        <f t="shared" si="16"/>
        <v/>
      </c>
      <c r="W174" s="75">
        <f t="shared" si="17"/>
        <v>0.35791849999999964</v>
      </c>
    </row>
    <row r="175" spans="14:23">
      <c r="N175" s="62"/>
      <c r="O175" s="110"/>
      <c r="P175" s="62"/>
      <c r="Q175" s="115"/>
      <c r="R175" s="78"/>
      <c r="S175" s="79"/>
      <c r="T175" s="69">
        <f t="shared" si="18"/>
        <v>42176</v>
      </c>
      <c r="U175" s="61">
        <f t="shared" si="15"/>
        <v>0.34611233333333313</v>
      </c>
      <c r="V175" s="116" t="str">
        <f t="shared" si="16"/>
        <v/>
      </c>
      <c r="W175" s="75">
        <f t="shared" si="17"/>
        <v>0.31916849999999969</v>
      </c>
    </row>
    <row r="176" spans="14:23">
      <c r="N176" s="62"/>
      <c r="O176" s="110"/>
      <c r="P176" s="62"/>
      <c r="Q176" s="115"/>
      <c r="R176" s="78"/>
      <c r="S176" s="79"/>
      <c r="T176" s="69">
        <f t="shared" si="18"/>
        <v>42177</v>
      </c>
      <c r="U176" s="61">
        <f t="shared" si="15"/>
        <v>0.32027899999999998</v>
      </c>
      <c r="V176" s="116">
        <f t="shared" si="16"/>
        <v>1</v>
      </c>
      <c r="W176" s="75">
        <f t="shared" si="17"/>
        <v>0.28041849999999996</v>
      </c>
    </row>
    <row r="177" spans="14:23">
      <c r="N177" s="62"/>
      <c r="O177" s="110"/>
      <c r="P177" s="62"/>
      <c r="Q177" s="115"/>
      <c r="R177" s="78"/>
      <c r="S177" s="79"/>
      <c r="T177" s="69">
        <f t="shared" si="18"/>
        <v>42178</v>
      </c>
      <c r="U177" s="61">
        <f t="shared" si="15"/>
        <v>0.32013199999999997</v>
      </c>
      <c r="V177" s="116" t="str">
        <f t="shared" si="16"/>
        <v/>
      </c>
      <c r="W177" s="75">
        <f t="shared" si="17"/>
        <v>0.28019799999999995</v>
      </c>
    </row>
    <row r="178" spans="14:23">
      <c r="N178" s="62"/>
      <c r="O178" s="110"/>
      <c r="P178" s="62"/>
      <c r="Q178" s="115"/>
      <c r="R178" s="78"/>
      <c r="S178" s="79"/>
      <c r="T178" s="69">
        <f t="shared" si="18"/>
        <v>42179</v>
      </c>
      <c r="U178" s="61">
        <f t="shared" si="15"/>
        <v>0.31998499999999996</v>
      </c>
      <c r="V178" s="116" t="str">
        <f t="shared" si="16"/>
        <v/>
      </c>
      <c r="W178" s="75">
        <f t="shared" si="17"/>
        <v>0.27997749999999993</v>
      </c>
    </row>
    <row r="179" spans="14:23">
      <c r="N179" s="62"/>
      <c r="O179" s="110"/>
      <c r="P179" s="62"/>
      <c r="Q179" s="115"/>
      <c r="R179" s="78"/>
      <c r="S179" s="79"/>
      <c r="T179" s="69">
        <f t="shared" si="18"/>
        <v>42180</v>
      </c>
      <c r="U179" s="61">
        <f t="shared" si="15"/>
        <v>0.31983799999999996</v>
      </c>
      <c r="V179" s="116" t="str">
        <f t="shared" si="16"/>
        <v/>
      </c>
      <c r="W179" s="75">
        <f t="shared" si="17"/>
        <v>0.27975699999999992</v>
      </c>
    </row>
    <row r="180" spans="14:23">
      <c r="N180" s="62"/>
      <c r="O180" s="110"/>
      <c r="P180" s="62"/>
      <c r="Q180" s="115"/>
      <c r="R180" s="78"/>
      <c r="S180" s="79"/>
      <c r="T180" s="69">
        <f t="shared" si="18"/>
        <v>42181</v>
      </c>
      <c r="U180" s="61">
        <f t="shared" si="15"/>
        <v>0.31969099999999995</v>
      </c>
      <c r="V180" s="116" t="str">
        <f t="shared" si="16"/>
        <v/>
      </c>
      <c r="W180" s="75">
        <f t="shared" si="17"/>
        <v>0.27953649999999991</v>
      </c>
    </row>
    <row r="181" spans="14:23">
      <c r="N181" s="62"/>
      <c r="O181" s="110"/>
      <c r="P181" s="62"/>
      <c r="Q181" s="115"/>
      <c r="R181" s="78"/>
      <c r="S181" s="79"/>
      <c r="T181" s="69">
        <f t="shared" si="18"/>
        <v>42182</v>
      </c>
      <c r="U181" s="61">
        <f t="shared" si="15"/>
        <v>0.31954399999999994</v>
      </c>
      <c r="V181" s="116" t="str">
        <f t="shared" si="16"/>
        <v/>
      </c>
      <c r="W181" s="75">
        <f t="shared" si="17"/>
        <v>0.2793159999999999</v>
      </c>
    </row>
    <row r="182" spans="14:23">
      <c r="N182" s="62"/>
      <c r="O182" s="110"/>
      <c r="P182" s="62"/>
      <c r="Q182" s="115"/>
      <c r="R182" s="78"/>
      <c r="S182" s="79"/>
      <c r="T182" s="69">
        <f t="shared" si="18"/>
        <v>42183</v>
      </c>
      <c r="U182" s="61">
        <f t="shared" si="15"/>
        <v>0.31939699999999993</v>
      </c>
      <c r="V182" s="116" t="str">
        <f t="shared" si="16"/>
        <v/>
      </c>
      <c r="W182" s="75">
        <f t="shared" si="17"/>
        <v>0.27909549999999989</v>
      </c>
    </row>
    <row r="183" spans="14:23">
      <c r="N183" s="62"/>
      <c r="O183" s="110"/>
      <c r="P183" s="62"/>
      <c r="Q183" s="115"/>
      <c r="R183" s="78"/>
      <c r="S183" s="79"/>
      <c r="T183" s="69">
        <f t="shared" si="18"/>
        <v>42184</v>
      </c>
      <c r="U183" s="61">
        <f t="shared" si="15"/>
        <v>0.31924999999999992</v>
      </c>
      <c r="V183" s="116" t="str">
        <f t="shared" si="16"/>
        <v/>
      </c>
      <c r="W183" s="75">
        <f t="shared" si="17"/>
        <v>0.27887499999999987</v>
      </c>
    </row>
    <row r="184" spans="14:23">
      <c r="N184" s="62"/>
      <c r="O184" s="110"/>
      <c r="P184" s="62"/>
      <c r="Q184" s="115"/>
      <c r="R184" s="78"/>
      <c r="S184" s="79"/>
      <c r="T184" s="69">
        <f t="shared" si="18"/>
        <v>42185</v>
      </c>
      <c r="U184" s="61">
        <f t="shared" si="15"/>
        <v>0.31910300000000003</v>
      </c>
      <c r="V184" s="116">
        <f t="shared" si="16"/>
        <v>1</v>
      </c>
      <c r="W184" s="75">
        <f t="shared" si="17"/>
        <v>0.27865450000000003</v>
      </c>
    </row>
    <row r="185" spans="14:23">
      <c r="N185" s="62"/>
      <c r="O185" s="110"/>
      <c r="P185" s="62"/>
      <c r="Q185" s="115"/>
      <c r="R185" s="78"/>
      <c r="S185" s="79"/>
      <c r="T185" s="69">
        <f t="shared" si="18"/>
        <v>42186</v>
      </c>
      <c r="U185" s="61">
        <f t="shared" si="15"/>
        <v>0.31748211111111113</v>
      </c>
      <c r="V185" s="116" t="str">
        <f t="shared" si="16"/>
        <v/>
      </c>
      <c r="W185" s="75">
        <f t="shared" si="17"/>
        <v>0.27622316666666669</v>
      </c>
    </row>
    <row r="186" spans="14:23">
      <c r="N186" s="62"/>
      <c r="O186" s="110"/>
      <c r="P186" s="62"/>
      <c r="Q186" s="115"/>
      <c r="R186" s="78"/>
      <c r="S186" s="79"/>
      <c r="T186" s="69">
        <f t="shared" si="18"/>
        <v>42187</v>
      </c>
      <c r="U186" s="61">
        <f t="shared" si="15"/>
        <v>0.31586122222222224</v>
      </c>
      <c r="V186" s="116" t="str">
        <f t="shared" si="16"/>
        <v/>
      </c>
      <c r="W186" s="75">
        <f t="shared" si="17"/>
        <v>0.27379183333333335</v>
      </c>
    </row>
    <row r="187" spans="14:23">
      <c r="N187" s="62"/>
      <c r="O187" s="110"/>
      <c r="P187" s="62"/>
      <c r="Q187" s="115"/>
      <c r="R187" s="78"/>
      <c r="S187" s="79"/>
      <c r="T187" s="69">
        <f t="shared" si="18"/>
        <v>42188</v>
      </c>
      <c r="U187" s="61">
        <f t="shared" si="15"/>
        <v>0.31424033333333334</v>
      </c>
      <c r="V187" s="116" t="str">
        <f t="shared" si="16"/>
        <v/>
      </c>
      <c r="W187" s="75">
        <f t="shared" si="17"/>
        <v>0.2713605</v>
      </c>
    </row>
    <row r="188" spans="14:23">
      <c r="N188" s="62"/>
      <c r="O188" s="110"/>
      <c r="P188" s="62"/>
      <c r="Q188" s="115"/>
      <c r="R188" s="78"/>
      <c r="S188" s="79"/>
      <c r="T188" s="69">
        <f t="shared" si="18"/>
        <v>42189</v>
      </c>
      <c r="U188" s="61">
        <f t="shared" si="15"/>
        <v>0.31261944444444445</v>
      </c>
      <c r="V188" s="116" t="str">
        <f t="shared" si="16"/>
        <v/>
      </c>
      <c r="W188" s="75">
        <f t="shared" si="17"/>
        <v>0.26892916666666666</v>
      </c>
    </row>
    <row r="189" spans="14:23">
      <c r="N189" s="62"/>
      <c r="O189" s="110"/>
      <c r="P189" s="62"/>
      <c r="Q189" s="115"/>
      <c r="R189" s="78"/>
      <c r="S189" s="79"/>
      <c r="T189" s="69">
        <f t="shared" si="18"/>
        <v>42190</v>
      </c>
      <c r="U189" s="61">
        <f t="shared" si="15"/>
        <v>0.31099855555555556</v>
      </c>
      <c r="V189" s="116" t="str">
        <f t="shared" si="16"/>
        <v/>
      </c>
      <c r="W189" s="75">
        <f t="shared" si="17"/>
        <v>0.26649783333333332</v>
      </c>
    </row>
    <row r="190" spans="14:23">
      <c r="N190" s="62"/>
      <c r="O190" s="110"/>
      <c r="P190" s="62"/>
      <c r="Q190" s="115"/>
      <c r="R190" s="78"/>
      <c r="S190" s="79"/>
      <c r="T190" s="69">
        <f t="shared" si="18"/>
        <v>42191</v>
      </c>
      <c r="U190" s="61">
        <f t="shared" si="15"/>
        <v>0.30937766666666666</v>
      </c>
      <c r="V190" s="116" t="str">
        <f t="shared" si="16"/>
        <v/>
      </c>
      <c r="W190" s="75">
        <f t="shared" si="17"/>
        <v>0.26406649999999998</v>
      </c>
    </row>
    <row r="191" spans="14:23">
      <c r="N191" s="62"/>
      <c r="O191" s="110"/>
      <c r="P191" s="62"/>
      <c r="Q191" s="115"/>
      <c r="R191" s="78"/>
      <c r="S191" s="79"/>
      <c r="T191" s="69">
        <f t="shared" si="18"/>
        <v>42192</v>
      </c>
      <c r="U191" s="61">
        <f t="shared" si="15"/>
        <v>0.30775677777777777</v>
      </c>
      <c r="V191" s="116" t="str">
        <f t="shared" si="16"/>
        <v/>
      </c>
      <c r="W191" s="75">
        <f t="shared" si="17"/>
        <v>0.26163516666666664</v>
      </c>
    </row>
    <row r="192" spans="14:23">
      <c r="N192" s="62"/>
      <c r="O192" s="110"/>
      <c r="P192" s="62"/>
      <c r="Q192" s="115"/>
      <c r="R192" s="78"/>
      <c r="S192" s="79"/>
      <c r="T192" s="69">
        <f t="shared" si="18"/>
        <v>42193</v>
      </c>
      <c r="U192" s="61">
        <f t="shared" si="15"/>
        <v>0.30613588888888887</v>
      </c>
      <c r="V192" s="116" t="str">
        <f t="shared" si="16"/>
        <v/>
      </c>
      <c r="W192" s="75">
        <f t="shared" si="17"/>
        <v>0.2592038333333333</v>
      </c>
    </row>
    <row r="193" spans="14:23">
      <c r="N193" s="62"/>
      <c r="O193" s="110"/>
      <c r="P193" s="62"/>
      <c r="Q193" s="115"/>
      <c r="R193" s="78"/>
      <c r="S193" s="79"/>
      <c r="T193" s="69">
        <f t="shared" si="18"/>
        <v>42194</v>
      </c>
      <c r="U193" s="61">
        <f t="shared" si="15"/>
        <v>0.30451499999999998</v>
      </c>
      <c r="V193" s="116">
        <f t="shared" si="16"/>
        <v>1</v>
      </c>
      <c r="W193" s="75">
        <f t="shared" si="17"/>
        <v>0.25677249999999996</v>
      </c>
    </row>
    <row r="194" spans="14:23">
      <c r="N194" s="62"/>
      <c r="O194" s="110"/>
      <c r="P194" s="62"/>
      <c r="Q194" s="115"/>
      <c r="R194" s="78"/>
      <c r="S194" s="79"/>
      <c r="T194" s="69"/>
      <c r="U194" s="61"/>
      <c r="W194" s="75"/>
    </row>
    <row r="195" spans="14:23">
      <c r="N195" s="62"/>
      <c r="O195" s="110"/>
      <c r="P195" s="62"/>
      <c r="Q195" s="115"/>
      <c r="R195" s="78"/>
      <c r="S195" s="79"/>
      <c r="T195" s="69"/>
      <c r="U195" s="61"/>
      <c r="W195" s="75"/>
    </row>
    <row r="196" spans="14:23">
      <c r="N196" s="62"/>
      <c r="O196" s="110"/>
      <c r="P196" s="62"/>
      <c r="Q196" s="115"/>
      <c r="R196" s="78"/>
      <c r="S196" s="79"/>
      <c r="T196" s="69"/>
      <c r="U196" s="61"/>
      <c r="W196" s="75"/>
    </row>
    <row r="197" spans="14:23">
      <c r="N197" s="62"/>
      <c r="O197" s="110"/>
      <c r="P197" s="62"/>
      <c r="Q197" s="115"/>
      <c r="R197" s="78"/>
      <c r="S197" s="79"/>
      <c r="T197" s="69"/>
      <c r="U197" s="61"/>
      <c r="W197" s="75"/>
    </row>
    <row r="198" spans="14:23">
      <c r="N198" s="62"/>
      <c r="O198" s="110"/>
      <c r="P198" s="62"/>
      <c r="Q198" s="115"/>
      <c r="R198" s="78"/>
      <c r="S198" s="79"/>
      <c r="T198" s="69"/>
      <c r="U198" s="61"/>
      <c r="W198" s="75"/>
    </row>
    <row r="199" spans="14:23">
      <c r="N199" s="62"/>
      <c r="O199" s="110"/>
      <c r="P199" s="62"/>
      <c r="Q199" s="115"/>
      <c r="R199" s="78"/>
      <c r="S199" s="79"/>
      <c r="T199" s="69"/>
      <c r="U199" s="61"/>
      <c r="W199" s="75"/>
    </row>
    <row r="200" spans="14:23">
      <c r="N200" s="62"/>
      <c r="O200" s="110"/>
      <c r="P200" s="62"/>
      <c r="Q200" s="115"/>
      <c r="R200" s="78"/>
      <c r="S200" s="79"/>
      <c r="T200" s="69"/>
      <c r="U200" s="61"/>
      <c r="W200" s="75"/>
    </row>
    <row r="201" spans="14:23">
      <c r="N201" s="62"/>
      <c r="O201" s="110"/>
      <c r="P201" s="62"/>
      <c r="Q201" s="115"/>
      <c r="R201" s="78"/>
      <c r="S201" s="79"/>
      <c r="T201" s="69"/>
      <c r="U201" s="61"/>
      <c r="W201" s="75"/>
    </row>
    <row r="202" spans="14:23">
      <c r="N202" s="62"/>
      <c r="O202" s="110"/>
      <c r="P202" s="62"/>
      <c r="Q202" s="115"/>
      <c r="R202" s="78"/>
      <c r="S202" s="79"/>
      <c r="T202" s="69"/>
      <c r="U202" s="61"/>
      <c r="W202" s="75"/>
    </row>
    <row r="203" spans="14:23">
      <c r="N203" s="62"/>
      <c r="O203" s="110"/>
      <c r="P203" s="62"/>
      <c r="Q203" s="115"/>
      <c r="R203" s="78"/>
      <c r="S203" s="79"/>
      <c r="T203" s="69"/>
      <c r="U203" s="61"/>
      <c r="W203" s="75"/>
    </row>
    <row r="204" spans="14:23">
      <c r="N204" s="62"/>
      <c r="O204" s="110"/>
      <c r="P204" s="62"/>
      <c r="Q204" s="115"/>
      <c r="R204" s="78"/>
      <c r="S204" s="79"/>
      <c r="T204" s="69"/>
      <c r="U204" s="61"/>
      <c r="W204" s="75"/>
    </row>
    <row r="205" spans="14:23" hidden="1">
      <c r="N205" s="62"/>
      <c r="O205" s="110"/>
      <c r="P205" s="62"/>
      <c r="Q205" s="115"/>
      <c r="R205" s="78"/>
      <c r="S205" s="79"/>
      <c r="T205" s="69"/>
      <c r="U205" s="61"/>
      <c r="W205" s="75"/>
    </row>
    <row r="206" spans="14:23" hidden="1">
      <c r="N206" s="62"/>
      <c r="O206" s="110"/>
      <c r="P206" s="62"/>
      <c r="Q206" s="115"/>
      <c r="R206" s="78"/>
      <c r="S206" s="79"/>
      <c r="T206" s="69"/>
      <c r="U206" s="61"/>
      <c r="W206" s="75"/>
    </row>
    <row r="207" spans="14:23" hidden="1">
      <c r="N207" s="62"/>
      <c r="O207" s="110"/>
      <c r="P207" s="62"/>
      <c r="Q207" s="115"/>
      <c r="R207" s="78"/>
      <c r="S207" s="79"/>
      <c r="T207" s="69"/>
      <c r="U207" s="61"/>
      <c r="W207" s="75"/>
    </row>
    <row r="208" spans="14:23" hidden="1">
      <c r="N208" s="62"/>
      <c r="O208" s="110"/>
      <c r="P208" s="62"/>
      <c r="Q208" s="115"/>
      <c r="R208" s="78"/>
      <c r="S208" s="79"/>
      <c r="T208" s="69"/>
      <c r="U208" s="61"/>
      <c r="W208" s="75"/>
    </row>
    <row r="209" spans="14:23" hidden="1">
      <c r="N209" s="62"/>
      <c r="O209" s="110"/>
      <c r="P209" s="62"/>
      <c r="Q209" s="115"/>
      <c r="R209" s="78"/>
      <c r="S209" s="79"/>
      <c r="T209" s="69"/>
      <c r="U209" s="61"/>
      <c r="W209" s="75"/>
    </row>
    <row r="210" spans="14:23" hidden="1">
      <c r="N210" s="62"/>
      <c r="O210" s="110"/>
      <c r="P210" s="62"/>
      <c r="Q210" s="115"/>
      <c r="R210" s="78"/>
      <c r="S210" s="79"/>
      <c r="T210" s="69"/>
      <c r="U210" s="61"/>
      <c r="W210" s="75"/>
    </row>
    <row r="211" spans="14:23" hidden="1">
      <c r="N211" s="62"/>
      <c r="O211" s="110"/>
      <c r="P211" s="62"/>
      <c r="Q211" s="115"/>
      <c r="R211" s="78"/>
      <c r="S211" s="79"/>
      <c r="T211" s="69"/>
      <c r="U211" s="61"/>
      <c r="W211" s="75"/>
    </row>
    <row r="212" spans="14:23" hidden="1">
      <c r="N212" s="62"/>
      <c r="O212" s="110"/>
      <c r="P212" s="62"/>
      <c r="Q212" s="115"/>
      <c r="R212" s="78"/>
      <c r="S212" s="79"/>
      <c r="T212" s="69"/>
      <c r="U212" s="61"/>
      <c r="W212" s="75"/>
    </row>
    <row r="213" spans="14:23" hidden="1">
      <c r="N213" s="62"/>
      <c r="O213" s="110"/>
      <c r="P213" s="62"/>
      <c r="Q213" s="115"/>
      <c r="R213" s="78"/>
      <c r="S213" s="79"/>
      <c r="T213" s="69"/>
      <c r="U213" s="61"/>
      <c r="W213" s="75"/>
    </row>
    <row r="214" spans="14:23" hidden="1">
      <c r="N214" s="62"/>
      <c r="O214" s="110"/>
      <c r="P214" s="62"/>
      <c r="Q214" s="115"/>
      <c r="R214" s="78"/>
      <c r="S214" s="79"/>
      <c r="T214" s="69"/>
      <c r="U214" s="61"/>
      <c r="W214" s="75"/>
    </row>
    <row r="215" spans="14:23" hidden="1">
      <c r="N215" s="62"/>
      <c r="O215" s="110"/>
      <c r="P215" s="62"/>
      <c r="Q215" s="115"/>
      <c r="R215" s="78"/>
      <c r="S215" s="79"/>
      <c r="T215" s="69"/>
      <c r="U215" s="61"/>
      <c r="W215" s="75"/>
    </row>
    <row r="216" spans="14:23" hidden="1">
      <c r="N216" s="62"/>
      <c r="O216" s="110"/>
      <c r="P216" s="62"/>
      <c r="Q216" s="115"/>
      <c r="R216" s="78"/>
      <c r="S216" s="79"/>
      <c r="T216" s="69"/>
      <c r="U216" s="61"/>
      <c r="W216" s="75"/>
    </row>
    <row r="217" spans="14:23" hidden="1">
      <c r="N217" s="62"/>
      <c r="O217" s="110"/>
      <c r="P217" s="62"/>
      <c r="Q217" s="115"/>
      <c r="R217" s="78"/>
      <c r="S217" s="79"/>
      <c r="T217" s="69"/>
      <c r="U217" s="61"/>
      <c r="W217" s="75"/>
    </row>
    <row r="218" spans="14:23" hidden="1">
      <c r="N218" s="62"/>
      <c r="O218" s="110"/>
      <c r="P218" s="62"/>
      <c r="Q218" s="115"/>
      <c r="R218" s="78"/>
      <c r="S218" s="79"/>
      <c r="T218" s="69"/>
      <c r="U218" s="61"/>
      <c r="W218" s="75"/>
    </row>
    <row r="219" spans="14:23" hidden="1">
      <c r="N219" s="62"/>
      <c r="O219" s="110"/>
      <c r="P219" s="62"/>
      <c r="Q219" s="115"/>
      <c r="R219" s="78"/>
      <c r="S219" s="79"/>
      <c r="T219" s="69"/>
      <c r="U219" s="61"/>
      <c r="W219" s="75"/>
    </row>
    <row r="220" spans="14:23" hidden="1">
      <c r="N220" s="62"/>
      <c r="O220" s="110"/>
      <c r="P220" s="62"/>
      <c r="Q220" s="115"/>
      <c r="R220" s="78"/>
      <c r="S220" s="79"/>
      <c r="T220" s="69"/>
      <c r="U220" s="61"/>
      <c r="W220" s="75"/>
    </row>
    <row r="221" spans="14:23" hidden="1">
      <c r="N221" s="62"/>
      <c r="O221" s="110"/>
      <c r="P221" s="62"/>
      <c r="Q221" s="115"/>
      <c r="R221" s="78"/>
      <c r="S221" s="79"/>
      <c r="T221" s="69"/>
      <c r="U221" s="61"/>
      <c r="W221" s="75"/>
    </row>
    <row r="222" spans="14:23" hidden="1">
      <c r="N222" s="62"/>
      <c r="O222" s="110"/>
      <c r="P222" s="62"/>
      <c r="Q222" s="115"/>
      <c r="R222" s="78"/>
      <c r="S222" s="79"/>
      <c r="T222" s="69"/>
      <c r="U222" s="61"/>
      <c r="W222" s="75"/>
    </row>
    <row r="223" spans="14:23" hidden="1">
      <c r="N223" s="62"/>
      <c r="O223" s="110"/>
      <c r="P223" s="62"/>
      <c r="Q223" s="115"/>
      <c r="R223" s="78"/>
      <c r="S223" s="79"/>
      <c r="T223" s="69"/>
      <c r="U223" s="61"/>
      <c r="W223" s="75"/>
    </row>
    <row r="224" spans="14:23" hidden="1">
      <c r="N224" s="62"/>
      <c r="O224" s="110"/>
      <c r="P224" s="62"/>
      <c r="Q224" s="115"/>
      <c r="R224" s="78"/>
      <c r="S224" s="79"/>
      <c r="T224" s="69"/>
      <c r="U224" s="61"/>
      <c r="W224" s="75"/>
    </row>
    <row r="225" spans="14:23" hidden="1">
      <c r="N225" s="62"/>
      <c r="O225" s="110"/>
      <c r="P225" s="62"/>
      <c r="Q225" s="115"/>
      <c r="R225" s="78"/>
      <c r="S225" s="79"/>
      <c r="T225" s="69"/>
      <c r="U225" s="61"/>
      <c r="W225" s="75"/>
    </row>
    <row r="226" spans="14:23" hidden="1">
      <c r="N226" s="62"/>
      <c r="O226" s="110"/>
      <c r="P226" s="62"/>
      <c r="Q226" s="115"/>
      <c r="R226" s="78"/>
      <c r="S226" s="79"/>
      <c r="T226" s="69"/>
      <c r="U226" s="61"/>
      <c r="W226" s="75"/>
    </row>
    <row r="227" spans="14:23" hidden="1">
      <c r="N227" s="62"/>
      <c r="O227" s="110"/>
      <c r="P227" s="62"/>
      <c r="Q227" s="115"/>
      <c r="R227" s="78"/>
      <c r="S227" s="79"/>
      <c r="T227" s="69"/>
      <c r="U227" s="61"/>
      <c r="W227" s="75"/>
    </row>
    <row r="228" spans="14:23" hidden="1">
      <c r="N228" s="62"/>
      <c r="O228" s="110"/>
      <c r="P228" s="62"/>
      <c r="Q228" s="115"/>
      <c r="R228" s="78"/>
      <c r="S228" s="79"/>
      <c r="T228" s="69"/>
      <c r="U228" s="61"/>
      <c r="W228" s="75"/>
    </row>
    <row r="229" spans="14:23" hidden="1">
      <c r="N229" s="62"/>
      <c r="O229" s="110"/>
      <c r="P229" s="62"/>
      <c r="Q229" s="115"/>
      <c r="R229" s="78"/>
      <c r="S229" s="79"/>
      <c r="T229" s="69"/>
      <c r="U229" s="61"/>
      <c r="W229" s="75"/>
    </row>
    <row r="230" spans="14:23" hidden="1">
      <c r="N230" s="62"/>
      <c r="O230" s="110"/>
      <c r="P230" s="62"/>
      <c r="Q230" s="115"/>
      <c r="R230" s="78"/>
      <c r="S230" s="79"/>
      <c r="T230" s="69"/>
      <c r="U230" s="61"/>
      <c r="W230" s="75"/>
    </row>
    <row r="231" spans="14:23" hidden="1">
      <c r="N231" s="62"/>
      <c r="O231" s="110"/>
      <c r="P231" s="62"/>
      <c r="Q231" s="115"/>
      <c r="R231" s="78"/>
      <c r="S231" s="79"/>
      <c r="T231" s="69"/>
      <c r="U231" s="61"/>
      <c r="W231" s="75"/>
    </row>
    <row r="232" spans="14:23" hidden="1">
      <c r="N232" s="62"/>
      <c r="O232" s="110"/>
      <c r="P232" s="62"/>
      <c r="Q232" s="115"/>
      <c r="R232" s="78"/>
      <c r="S232" s="79"/>
      <c r="T232" s="69"/>
      <c r="U232" s="61"/>
      <c r="W232" s="75"/>
    </row>
    <row r="233" spans="14:23" hidden="1">
      <c r="N233" s="62"/>
      <c r="O233" s="110"/>
      <c r="P233" s="62"/>
      <c r="Q233" s="115"/>
      <c r="R233" s="78"/>
      <c r="S233" s="79"/>
      <c r="T233" s="69"/>
      <c r="U233" s="61"/>
      <c r="W233" s="75"/>
    </row>
    <row r="234" spans="14:23" hidden="1">
      <c r="N234" s="62"/>
      <c r="O234" s="110"/>
      <c r="P234" s="62"/>
      <c r="Q234" s="115"/>
      <c r="R234" s="78"/>
      <c r="S234" s="79"/>
      <c r="T234" s="69"/>
      <c r="U234" s="61"/>
      <c r="W234" s="75"/>
    </row>
    <row r="235" spans="14:23" hidden="1">
      <c r="N235" s="62"/>
      <c r="O235" s="110"/>
      <c r="P235" s="62"/>
      <c r="Q235" s="115"/>
      <c r="R235" s="78"/>
      <c r="S235" s="79"/>
      <c r="T235" s="69"/>
      <c r="U235" s="61"/>
      <c r="W235" s="75"/>
    </row>
    <row r="236" spans="14:23" hidden="1">
      <c r="N236" s="62"/>
      <c r="O236" s="110"/>
      <c r="P236" s="62"/>
      <c r="Q236" s="115"/>
      <c r="R236" s="78"/>
      <c r="S236" s="79"/>
      <c r="T236" s="69"/>
      <c r="U236" s="61"/>
      <c r="W236" s="75"/>
    </row>
    <row r="237" spans="14:23" hidden="1">
      <c r="N237" s="62"/>
      <c r="O237" s="110"/>
      <c r="P237" s="62"/>
      <c r="Q237" s="115"/>
      <c r="R237" s="78"/>
      <c r="S237" s="79"/>
      <c r="T237" s="69"/>
      <c r="U237" s="61"/>
      <c r="W237" s="75"/>
    </row>
    <row r="238" spans="14:23" hidden="1">
      <c r="N238" s="62"/>
      <c r="O238" s="110"/>
      <c r="P238" s="62"/>
      <c r="Q238" s="115"/>
      <c r="R238" s="78"/>
      <c r="S238" s="79"/>
      <c r="T238" s="69"/>
      <c r="U238" s="61"/>
      <c r="W238" s="75"/>
    </row>
    <row r="239" spans="14:23" hidden="1">
      <c r="N239" s="62"/>
      <c r="O239" s="110"/>
      <c r="P239" s="62"/>
      <c r="Q239" s="115"/>
      <c r="R239" s="78"/>
      <c r="S239" s="79"/>
      <c r="T239" s="69"/>
      <c r="U239" s="61"/>
      <c r="W239" s="75"/>
    </row>
    <row r="240" spans="14:23" hidden="1">
      <c r="N240" s="62"/>
      <c r="O240" s="110"/>
      <c r="P240" s="62"/>
      <c r="Q240" s="115"/>
      <c r="R240" s="78"/>
      <c r="S240" s="79"/>
      <c r="T240" s="69"/>
      <c r="U240" s="61"/>
      <c r="W240" s="75"/>
    </row>
    <row r="241" spans="14:23" hidden="1">
      <c r="N241" s="62"/>
      <c r="O241" s="110"/>
      <c r="P241" s="62"/>
      <c r="Q241" s="115"/>
      <c r="R241" s="78"/>
      <c r="S241" s="79"/>
      <c r="T241" s="69"/>
      <c r="U241" s="61"/>
      <c r="W241" s="75"/>
    </row>
    <row r="242" spans="14:23" hidden="1">
      <c r="N242" s="62"/>
      <c r="O242" s="110"/>
      <c r="P242" s="62"/>
      <c r="Q242" s="115"/>
      <c r="R242" s="78"/>
      <c r="S242" s="79"/>
      <c r="T242" s="69"/>
      <c r="U242" s="61"/>
      <c r="W242" s="75"/>
    </row>
    <row r="243" spans="14:23" hidden="1">
      <c r="N243" s="62"/>
      <c r="O243" s="110"/>
      <c r="P243" s="62"/>
      <c r="Q243" s="115"/>
      <c r="R243" s="78"/>
      <c r="S243" s="79"/>
      <c r="T243" s="69"/>
      <c r="U243" s="61"/>
      <c r="W243" s="75"/>
    </row>
    <row r="244" spans="14:23" hidden="1">
      <c r="N244" s="62"/>
      <c r="O244" s="110"/>
      <c r="P244" s="62"/>
      <c r="Q244" s="115"/>
      <c r="R244" s="78"/>
      <c r="S244" s="79"/>
      <c r="T244" s="69"/>
      <c r="U244" s="61"/>
      <c r="W244" s="75"/>
    </row>
    <row r="245" spans="14:23" hidden="1">
      <c r="N245" s="62"/>
      <c r="O245" s="110"/>
      <c r="P245" s="62"/>
      <c r="Q245" s="115"/>
      <c r="R245" s="78"/>
      <c r="S245" s="79"/>
      <c r="T245" s="69"/>
      <c r="U245" s="61"/>
      <c r="W245" s="75"/>
    </row>
    <row r="246" spans="14:23" hidden="1">
      <c r="N246" s="62"/>
      <c r="O246" s="110"/>
      <c r="P246" s="62"/>
      <c r="Q246" s="115"/>
      <c r="R246" s="78"/>
      <c r="S246" s="79"/>
      <c r="T246" s="69"/>
      <c r="U246" s="61"/>
      <c r="W246" s="75"/>
    </row>
    <row r="247" spans="14:23" hidden="1">
      <c r="N247" s="62"/>
      <c r="O247" s="110"/>
      <c r="P247" s="62"/>
      <c r="Q247" s="115"/>
      <c r="R247" s="78"/>
      <c r="S247" s="79"/>
      <c r="T247" s="69"/>
      <c r="U247" s="61"/>
      <c r="W247" s="75"/>
    </row>
    <row r="248" spans="14:23" hidden="1">
      <c r="N248" s="62"/>
      <c r="O248" s="110"/>
      <c r="P248" s="62"/>
      <c r="Q248" s="115"/>
      <c r="R248" s="78"/>
      <c r="S248" s="79"/>
      <c r="T248" s="69"/>
      <c r="U248" s="61"/>
      <c r="W248" s="75"/>
    </row>
    <row r="249" spans="14:23" hidden="1">
      <c r="N249" s="62"/>
      <c r="O249" s="110"/>
      <c r="P249" s="62"/>
      <c r="Q249" s="115"/>
      <c r="R249" s="78"/>
      <c r="S249" s="79"/>
      <c r="T249" s="69"/>
      <c r="U249" s="61"/>
      <c r="W249" s="75"/>
    </row>
    <row r="250" spans="14:23" hidden="1">
      <c r="N250" s="62"/>
      <c r="O250" s="110"/>
      <c r="P250" s="62"/>
      <c r="Q250" s="115"/>
      <c r="R250" s="78"/>
      <c r="S250" s="79"/>
      <c r="T250" s="69"/>
      <c r="U250" s="61"/>
      <c r="W250" s="75"/>
    </row>
    <row r="251" spans="14:23" hidden="1">
      <c r="N251" s="62"/>
      <c r="O251" s="110"/>
      <c r="P251" s="62"/>
      <c r="Q251" s="115"/>
      <c r="R251" s="78"/>
      <c r="S251" s="79"/>
      <c r="T251" s="69"/>
      <c r="U251" s="61"/>
      <c r="W251" s="75"/>
    </row>
    <row r="252" spans="14:23" hidden="1">
      <c r="N252" s="62"/>
      <c r="O252" s="110"/>
      <c r="P252" s="62"/>
      <c r="Q252" s="115"/>
      <c r="R252" s="78"/>
      <c r="S252" s="79"/>
      <c r="T252" s="69"/>
      <c r="U252" s="61"/>
      <c r="W252" s="75"/>
    </row>
    <row r="253" spans="14:23" hidden="1">
      <c r="N253" s="62"/>
      <c r="O253" s="110"/>
      <c r="P253" s="62"/>
      <c r="Q253" s="115"/>
      <c r="R253" s="78"/>
      <c r="S253" s="79"/>
      <c r="T253" s="69"/>
      <c r="U253" s="61"/>
      <c r="W253" s="75"/>
    </row>
    <row r="254" spans="14:23" hidden="1">
      <c r="N254" s="62"/>
      <c r="O254" s="110"/>
      <c r="P254" s="62"/>
      <c r="Q254" s="115"/>
      <c r="R254" s="78"/>
      <c r="S254" s="79"/>
      <c r="T254" s="69"/>
      <c r="U254" s="61"/>
      <c r="W254" s="75"/>
    </row>
    <row r="255" spans="14:23" hidden="1">
      <c r="N255" s="62"/>
      <c r="O255" s="110"/>
      <c r="P255" s="62"/>
      <c r="Q255" s="115"/>
      <c r="R255" s="78"/>
      <c r="S255" s="79"/>
      <c r="T255" s="69"/>
      <c r="U255" s="61"/>
      <c r="W255" s="75"/>
    </row>
    <row r="256" spans="14:23" hidden="1">
      <c r="N256" s="62"/>
      <c r="O256" s="110"/>
      <c r="P256" s="62"/>
      <c r="Q256" s="115"/>
      <c r="R256" s="78"/>
      <c r="S256" s="79"/>
      <c r="T256" s="69"/>
      <c r="U256" s="61"/>
      <c r="W256" s="75"/>
    </row>
    <row r="257" spans="14:23" hidden="1">
      <c r="N257" s="62"/>
      <c r="O257" s="110"/>
      <c r="P257" s="62"/>
      <c r="Q257" s="115"/>
      <c r="R257" s="78"/>
      <c r="S257" s="79"/>
      <c r="T257" s="69"/>
      <c r="U257" s="61"/>
      <c r="W257" s="75"/>
    </row>
    <row r="258" spans="14:23" hidden="1">
      <c r="N258" s="62"/>
      <c r="O258" s="110"/>
      <c r="P258" s="62"/>
      <c r="Q258" s="115"/>
      <c r="R258" s="78"/>
      <c r="S258" s="79"/>
      <c r="T258" s="69"/>
      <c r="U258" s="61"/>
      <c r="W258" s="75"/>
    </row>
    <row r="259" spans="14:23" hidden="1">
      <c r="N259" s="62"/>
      <c r="O259" s="110"/>
      <c r="P259" s="62"/>
      <c r="Q259" s="115"/>
      <c r="R259" s="78"/>
      <c r="S259" s="79"/>
      <c r="T259" s="69"/>
      <c r="U259" s="61"/>
      <c r="W259" s="75"/>
    </row>
    <row r="260" spans="14:23" hidden="1">
      <c r="N260" s="62"/>
      <c r="O260" s="110"/>
      <c r="P260" s="62"/>
      <c r="Q260" s="115"/>
      <c r="R260" s="78"/>
      <c r="S260" s="79"/>
      <c r="T260" s="69"/>
      <c r="U260" s="61"/>
      <c r="W260" s="75"/>
    </row>
    <row r="261" spans="14:23" hidden="1">
      <c r="N261" s="62"/>
      <c r="O261" s="110"/>
      <c r="P261" s="62"/>
      <c r="Q261" s="115"/>
      <c r="R261" s="78"/>
      <c r="S261" s="79"/>
      <c r="T261" s="69"/>
      <c r="U261" s="61"/>
      <c r="W261" s="75"/>
    </row>
    <row r="262" spans="14:23" hidden="1">
      <c r="N262" s="62"/>
      <c r="O262" s="110"/>
      <c r="P262" s="62"/>
      <c r="Q262" s="115"/>
      <c r="R262" s="78"/>
      <c r="S262" s="79"/>
      <c r="T262" s="69"/>
      <c r="U262" s="61"/>
      <c r="W262" s="75"/>
    </row>
    <row r="263" spans="14:23" hidden="1">
      <c r="N263" s="62"/>
      <c r="O263" s="110"/>
      <c r="P263" s="62"/>
      <c r="Q263" s="115"/>
      <c r="R263" s="78"/>
      <c r="S263" s="79"/>
      <c r="T263" s="69"/>
      <c r="U263" s="61"/>
      <c r="W263" s="75"/>
    </row>
    <row r="264" spans="14:23" hidden="1">
      <c r="N264" s="62"/>
      <c r="O264" s="110"/>
      <c r="P264" s="62"/>
      <c r="Q264" s="115"/>
      <c r="R264" s="78"/>
      <c r="S264" s="79"/>
      <c r="T264" s="69"/>
      <c r="U264" s="61"/>
      <c r="W264" s="75"/>
    </row>
    <row r="265" spans="14:23" hidden="1">
      <c r="N265" s="62"/>
      <c r="O265" s="110"/>
      <c r="P265" s="62"/>
      <c r="Q265" s="115"/>
      <c r="R265" s="78"/>
      <c r="S265" s="79"/>
      <c r="T265" s="69"/>
      <c r="U265" s="61"/>
      <c r="W265" s="75"/>
    </row>
    <row r="266" spans="14:23" hidden="1">
      <c r="N266" s="62"/>
      <c r="O266" s="110"/>
      <c r="P266" s="62"/>
      <c r="Q266" s="115"/>
      <c r="R266" s="78"/>
      <c r="S266" s="79"/>
      <c r="T266" s="69"/>
      <c r="U266" s="61"/>
      <c r="W266" s="75"/>
    </row>
    <row r="267" spans="14:23" hidden="1">
      <c r="N267" s="62"/>
      <c r="O267" s="110"/>
      <c r="P267" s="62"/>
      <c r="Q267" s="115"/>
      <c r="R267" s="78"/>
      <c r="S267" s="79"/>
      <c r="T267" s="69"/>
      <c r="U267" s="61"/>
      <c r="W267" s="75"/>
    </row>
    <row r="268" spans="14:23" hidden="1">
      <c r="N268" s="62"/>
      <c r="O268" s="110"/>
      <c r="P268" s="62"/>
      <c r="Q268" s="115"/>
      <c r="R268" s="78"/>
      <c r="S268" s="79"/>
      <c r="T268" s="69"/>
      <c r="U268" s="61"/>
      <c r="W268" s="75"/>
    </row>
    <row r="269" spans="14:23" hidden="1">
      <c r="N269" s="62"/>
      <c r="O269" s="110"/>
      <c r="P269" s="62"/>
      <c r="Q269" s="115"/>
      <c r="R269" s="78"/>
      <c r="S269" s="79"/>
      <c r="T269" s="69"/>
      <c r="U269" s="61"/>
      <c r="W269" s="75"/>
    </row>
    <row r="270" spans="14:23" hidden="1">
      <c r="N270" s="62"/>
      <c r="O270" s="110"/>
      <c r="P270" s="62"/>
      <c r="Q270" s="115"/>
      <c r="R270" s="78"/>
      <c r="S270" s="79"/>
      <c r="T270" s="69"/>
      <c r="U270" s="61"/>
      <c r="W270" s="75"/>
    </row>
    <row r="271" spans="14:23" hidden="1">
      <c r="N271" s="62"/>
      <c r="O271" s="110"/>
      <c r="P271" s="62"/>
      <c r="Q271" s="115"/>
      <c r="R271" s="78"/>
      <c r="S271" s="79"/>
      <c r="T271" s="69"/>
      <c r="U271" s="61"/>
      <c r="W271" s="75"/>
    </row>
    <row r="272" spans="14:23" hidden="1">
      <c r="N272" s="62"/>
      <c r="O272" s="110"/>
      <c r="P272" s="62"/>
      <c r="Q272" s="115"/>
      <c r="R272" s="78"/>
      <c r="S272" s="79"/>
      <c r="T272" s="69"/>
      <c r="U272" s="61"/>
      <c r="W272" s="75"/>
    </row>
    <row r="273" spans="14:23" hidden="1">
      <c r="N273" s="62"/>
      <c r="O273" s="110"/>
      <c r="P273" s="62"/>
      <c r="Q273" s="115"/>
      <c r="R273" s="78"/>
      <c r="S273" s="79"/>
      <c r="T273" s="69"/>
      <c r="U273" s="61"/>
      <c r="W273" s="75"/>
    </row>
    <row r="274" spans="14:23" hidden="1">
      <c r="N274" s="62"/>
      <c r="O274" s="110"/>
      <c r="P274" s="62"/>
      <c r="Q274" s="115"/>
      <c r="R274" s="78"/>
      <c r="S274" s="79"/>
      <c r="T274" s="69"/>
      <c r="U274" s="61"/>
      <c r="W274" s="75"/>
    </row>
    <row r="275" spans="14:23" hidden="1">
      <c r="N275" s="62"/>
      <c r="O275" s="110"/>
      <c r="P275" s="62"/>
      <c r="Q275" s="115"/>
      <c r="R275" s="78"/>
      <c r="S275" s="79"/>
      <c r="T275" s="69"/>
      <c r="U275" s="61"/>
      <c r="W275" s="75"/>
    </row>
    <row r="276" spans="14:23" hidden="1">
      <c r="N276" s="62"/>
      <c r="O276" s="110"/>
      <c r="P276" s="62"/>
      <c r="Q276" s="115"/>
      <c r="R276" s="78"/>
      <c r="S276" s="79"/>
      <c r="T276" s="69"/>
      <c r="U276" s="61"/>
      <c r="W276" s="75"/>
    </row>
    <row r="277" spans="14:23" hidden="1">
      <c r="N277" s="62"/>
      <c r="O277" s="110"/>
      <c r="P277" s="62"/>
      <c r="Q277" s="115"/>
      <c r="R277" s="78"/>
      <c r="S277" s="79"/>
      <c r="T277" s="69"/>
      <c r="U277" s="61"/>
      <c r="W277" s="75"/>
    </row>
    <row r="278" spans="14:23" hidden="1">
      <c r="N278" s="62"/>
      <c r="O278" s="110"/>
      <c r="P278" s="62"/>
      <c r="Q278" s="115"/>
      <c r="R278" s="78"/>
      <c r="S278" s="79"/>
      <c r="T278" s="69"/>
      <c r="U278" s="61"/>
      <c r="W278" s="75"/>
    </row>
    <row r="279" spans="14:23" hidden="1">
      <c r="N279" s="62"/>
      <c r="O279" s="110"/>
      <c r="P279" s="62"/>
      <c r="Q279" s="115"/>
      <c r="R279" s="78"/>
      <c r="S279" s="79"/>
      <c r="T279" s="69"/>
      <c r="U279" s="61"/>
      <c r="W279" s="75"/>
    </row>
    <row r="280" spans="14:23" hidden="1">
      <c r="N280" s="62"/>
      <c r="O280" s="110"/>
      <c r="P280" s="62"/>
      <c r="Q280" s="115"/>
      <c r="R280" s="78"/>
      <c r="S280" s="79"/>
      <c r="T280" s="69"/>
      <c r="U280" s="61"/>
      <c r="W280" s="75"/>
    </row>
    <row r="281" spans="14:23" hidden="1">
      <c r="N281" s="62"/>
      <c r="O281" s="110"/>
      <c r="P281" s="62"/>
      <c r="Q281" s="115"/>
      <c r="R281" s="78"/>
      <c r="S281" s="79"/>
      <c r="T281" s="69"/>
      <c r="U281" s="61"/>
      <c r="W281" s="75"/>
    </row>
    <row r="282" spans="14:23" hidden="1">
      <c r="N282" s="62"/>
      <c r="O282" s="110"/>
      <c r="P282" s="62"/>
      <c r="Q282" s="115"/>
      <c r="R282" s="78"/>
      <c r="S282" s="79"/>
      <c r="T282" s="69"/>
      <c r="U282" s="61"/>
      <c r="W282" s="75"/>
    </row>
    <row r="283" spans="14:23" hidden="1">
      <c r="N283" s="62"/>
      <c r="O283" s="110"/>
      <c r="P283" s="62"/>
      <c r="Q283" s="115"/>
      <c r="R283" s="78"/>
      <c r="S283" s="79"/>
      <c r="T283" s="69"/>
      <c r="U283" s="61"/>
      <c r="W283" s="75"/>
    </row>
    <row r="284" spans="14:23" hidden="1">
      <c r="N284" s="62"/>
      <c r="O284" s="110"/>
      <c r="P284" s="62"/>
      <c r="Q284" s="115"/>
      <c r="R284" s="78"/>
      <c r="S284" s="79"/>
      <c r="T284" s="69"/>
      <c r="U284" s="61"/>
      <c r="W284" s="75"/>
    </row>
    <row r="285" spans="14:23" hidden="1">
      <c r="N285" s="62"/>
      <c r="O285" s="110"/>
      <c r="P285" s="62"/>
      <c r="Q285" s="115"/>
      <c r="R285" s="78"/>
      <c r="S285" s="79"/>
      <c r="T285" s="69"/>
      <c r="U285" s="61"/>
      <c r="W285" s="75"/>
    </row>
    <row r="286" spans="14:23" hidden="1">
      <c r="N286" s="62"/>
      <c r="O286" s="110"/>
      <c r="P286" s="62"/>
      <c r="Q286" s="115"/>
      <c r="R286" s="78"/>
      <c r="S286" s="79"/>
      <c r="T286" s="69"/>
      <c r="U286" s="61"/>
      <c r="W286" s="75"/>
    </row>
    <row r="287" spans="14:23" hidden="1">
      <c r="N287" s="62"/>
      <c r="O287" s="110"/>
      <c r="P287" s="62"/>
      <c r="Q287" s="115"/>
      <c r="R287" s="78"/>
      <c r="S287" s="79"/>
      <c r="T287" s="69"/>
      <c r="U287" s="61"/>
      <c r="W287" s="75"/>
    </row>
    <row r="288" spans="14:23" hidden="1">
      <c r="N288" s="62"/>
      <c r="O288" s="110"/>
      <c r="P288" s="62"/>
      <c r="Q288" s="115"/>
      <c r="R288" s="78"/>
      <c r="S288" s="79"/>
      <c r="T288" s="69"/>
      <c r="U288" s="61"/>
      <c r="W288" s="75"/>
    </row>
    <row r="289" spans="14:23" hidden="1">
      <c r="N289" s="62"/>
      <c r="O289" s="110"/>
      <c r="P289" s="62"/>
      <c r="Q289" s="115"/>
      <c r="R289" s="78"/>
      <c r="S289" s="79"/>
      <c r="T289" s="69"/>
      <c r="U289" s="61"/>
      <c r="W289" s="75"/>
    </row>
    <row r="290" spans="14:23" hidden="1">
      <c r="N290" s="62"/>
      <c r="O290" s="110"/>
      <c r="P290" s="62"/>
      <c r="Q290" s="115"/>
      <c r="R290" s="78"/>
      <c r="S290" s="79"/>
      <c r="T290" s="69"/>
      <c r="U290" s="61"/>
      <c r="W290" s="75"/>
    </row>
    <row r="291" spans="14:23" hidden="1">
      <c r="N291" s="62"/>
      <c r="O291" s="110"/>
      <c r="P291" s="62"/>
      <c r="Q291" s="115"/>
      <c r="R291" s="78"/>
      <c r="S291" s="79"/>
      <c r="T291" s="69"/>
      <c r="U291" s="61"/>
      <c r="W291" s="75"/>
    </row>
    <row r="292" spans="14:23" hidden="1">
      <c r="N292" s="62"/>
      <c r="O292" s="110"/>
      <c r="P292" s="62"/>
      <c r="Q292" s="115"/>
      <c r="R292" s="78"/>
      <c r="S292" s="79"/>
      <c r="T292" s="69"/>
      <c r="U292" s="61"/>
      <c r="W292" s="75"/>
    </row>
    <row r="293" spans="14:23" hidden="1">
      <c r="N293" s="62"/>
      <c r="O293" s="110"/>
      <c r="P293" s="62"/>
      <c r="Q293" s="115"/>
      <c r="R293" s="78"/>
      <c r="S293" s="79"/>
      <c r="T293" s="69"/>
      <c r="U293" s="61"/>
      <c r="W293" s="75"/>
    </row>
    <row r="294" spans="14:23" hidden="1">
      <c r="N294" s="62"/>
      <c r="O294" s="110"/>
      <c r="P294" s="62"/>
      <c r="Q294" s="115"/>
      <c r="R294" s="78"/>
      <c r="S294" s="79"/>
      <c r="T294" s="69"/>
      <c r="U294" s="61"/>
      <c r="W294" s="75"/>
    </row>
    <row r="295" spans="14:23" hidden="1">
      <c r="N295" s="62"/>
      <c r="O295" s="110"/>
      <c r="P295" s="62"/>
      <c r="Q295" s="115"/>
      <c r="R295" s="78"/>
      <c r="S295" s="79"/>
      <c r="T295" s="69"/>
      <c r="U295" s="61"/>
      <c r="W295" s="75"/>
    </row>
    <row r="296" spans="14:23" hidden="1">
      <c r="N296" s="62"/>
      <c r="O296" s="110"/>
      <c r="P296" s="62"/>
      <c r="Q296" s="115"/>
      <c r="R296" s="78"/>
      <c r="S296" s="79"/>
      <c r="T296" s="69"/>
      <c r="U296" s="61"/>
      <c r="W296" s="75"/>
    </row>
    <row r="297" spans="14:23" hidden="1">
      <c r="N297" s="62"/>
      <c r="O297" s="110"/>
      <c r="P297" s="62"/>
      <c r="Q297" s="115"/>
      <c r="R297" s="78"/>
      <c r="S297" s="79"/>
      <c r="T297" s="69"/>
      <c r="U297" s="61"/>
      <c r="W297" s="75"/>
    </row>
    <row r="298" spans="14:23" hidden="1">
      <c r="N298" s="62"/>
      <c r="O298" s="110"/>
      <c r="P298" s="62"/>
      <c r="Q298" s="115"/>
      <c r="R298" s="78"/>
      <c r="S298" s="79"/>
      <c r="T298" s="69"/>
      <c r="U298" s="61"/>
      <c r="W298" s="75"/>
    </row>
    <row r="299" spans="14:23" hidden="1">
      <c r="N299" s="62"/>
      <c r="O299" s="110"/>
      <c r="P299" s="62"/>
      <c r="Q299" s="115"/>
      <c r="R299" s="78"/>
      <c r="S299" s="79"/>
      <c r="T299" s="69"/>
      <c r="U299" s="61"/>
      <c r="W299" s="75"/>
    </row>
    <row r="300" spans="14:23" hidden="1">
      <c r="N300" s="62"/>
      <c r="O300" s="110"/>
      <c r="P300" s="62"/>
      <c r="Q300" s="115"/>
      <c r="R300" s="78"/>
      <c r="S300" s="79"/>
      <c r="T300" s="69"/>
      <c r="U300" s="61"/>
      <c r="W300" s="75"/>
    </row>
    <row r="301" spans="14:23" hidden="1">
      <c r="N301" s="62"/>
      <c r="O301" s="110"/>
      <c r="P301" s="62"/>
      <c r="Q301" s="115"/>
      <c r="R301" s="78"/>
      <c r="S301" s="79"/>
      <c r="T301" s="69"/>
      <c r="U301" s="61"/>
      <c r="W301" s="75"/>
    </row>
    <row r="302" spans="14:23" hidden="1">
      <c r="N302" s="62"/>
      <c r="O302" s="110"/>
      <c r="P302" s="62"/>
      <c r="Q302" s="115"/>
      <c r="R302" s="78"/>
      <c r="S302" s="79"/>
      <c r="T302" s="69"/>
      <c r="U302" s="61"/>
      <c r="W302" s="75"/>
    </row>
    <row r="303" spans="14:23" hidden="1">
      <c r="N303" s="62"/>
      <c r="O303" s="110"/>
      <c r="P303" s="62"/>
      <c r="Q303" s="115"/>
      <c r="R303" s="78"/>
      <c r="S303" s="79"/>
      <c r="T303" s="69"/>
      <c r="U303" s="61"/>
      <c r="W303" s="75"/>
    </row>
    <row r="304" spans="14:23" hidden="1">
      <c r="N304" s="62"/>
      <c r="O304" s="110"/>
      <c r="P304" s="62"/>
      <c r="Q304" s="115"/>
      <c r="R304" s="78"/>
      <c r="S304" s="79"/>
      <c r="T304" s="69"/>
      <c r="U304" s="61"/>
      <c r="W304" s="75"/>
    </row>
    <row r="305" spans="14:23" hidden="1">
      <c r="N305" s="62"/>
      <c r="O305" s="110"/>
      <c r="P305" s="62"/>
      <c r="Q305" s="115"/>
      <c r="R305" s="78"/>
      <c r="S305" s="79"/>
      <c r="T305" s="69"/>
      <c r="U305" s="61"/>
      <c r="W305" s="75"/>
    </row>
    <row r="306" spans="14:23" hidden="1">
      <c r="N306" s="62"/>
      <c r="O306" s="110"/>
      <c r="P306" s="62"/>
      <c r="Q306" s="115"/>
      <c r="R306" s="78"/>
      <c r="S306" s="79"/>
      <c r="T306" s="69"/>
      <c r="U306" s="61"/>
      <c r="W306" s="75"/>
    </row>
    <row r="307" spans="14:23" hidden="1">
      <c r="N307" s="62"/>
      <c r="O307" s="110"/>
      <c r="P307" s="62"/>
      <c r="Q307" s="115"/>
      <c r="R307" s="78"/>
      <c r="S307" s="79"/>
      <c r="T307" s="69"/>
      <c r="U307" s="61"/>
      <c r="W307" s="75"/>
    </row>
    <row r="308" spans="14:23" hidden="1">
      <c r="N308" s="62"/>
      <c r="O308" s="110"/>
      <c r="P308" s="62"/>
      <c r="Q308" s="115"/>
      <c r="R308" s="78"/>
      <c r="S308" s="79"/>
      <c r="T308" s="69"/>
      <c r="U308" s="61"/>
      <c r="W308" s="75"/>
    </row>
    <row r="309" spans="14:23" hidden="1">
      <c r="N309" s="62"/>
      <c r="O309" s="110"/>
      <c r="P309" s="62"/>
      <c r="Q309" s="115"/>
      <c r="R309" s="78"/>
      <c r="S309" s="79"/>
      <c r="T309" s="69"/>
      <c r="U309" s="61"/>
      <c r="W309" s="75"/>
    </row>
    <row r="310" spans="14:23" hidden="1">
      <c r="N310" s="62"/>
      <c r="O310" s="110"/>
      <c r="P310" s="62"/>
      <c r="Q310" s="115"/>
      <c r="R310" s="78"/>
      <c r="S310" s="79"/>
      <c r="T310" s="69"/>
      <c r="U310" s="61"/>
      <c r="W310" s="75"/>
    </row>
    <row r="311" spans="14:23" hidden="1">
      <c r="N311" s="62"/>
      <c r="O311" s="110"/>
      <c r="P311" s="62"/>
      <c r="Q311" s="115"/>
      <c r="R311" s="78"/>
      <c r="S311" s="79"/>
      <c r="T311" s="69"/>
      <c r="U311" s="61"/>
      <c r="W311" s="75"/>
    </row>
    <row r="312" spans="14:23" hidden="1">
      <c r="N312" s="62"/>
      <c r="O312" s="110"/>
      <c r="P312" s="62"/>
      <c r="Q312" s="115"/>
      <c r="R312" s="78"/>
      <c r="S312" s="79"/>
      <c r="T312" s="69"/>
      <c r="U312" s="61"/>
      <c r="W312" s="75"/>
    </row>
    <row r="313" spans="14:23" hidden="1">
      <c r="N313" s="62"/>
      <c r="O313" s="110"/>
      <c r="P313" s="62"/>
      <c r="Q313" s="115"/>
      <c r="R313" s="78"/>
      <c r="S313" s="79"/>
      <c r="T313" s="69"/>
      <c r="U313" s="61"/>
      <c r="W313" s="75"/>
    </row>
    <row r="314" spans="14:23" hidden="1">
      <c r="N314" s="62"/>
      <c r="O314" s="110"/>
      <c r="P314" s="62"/>
      <c r="Q314" s="115"/>
      <c r="R314" s="78"/>
      <c r="S314" s="79"/>
      <c r="T314" s="69"/>
      <c r="U314" s="61"/>
      <c r="W314" s="75"/>
    </row>
    <row r="315" spans="14:23" hidden="1">
      <c r="N315" s="62"/>
      <c r="O315" s="110"/>
      <c r="P315" s="62"/>
      <c r="Q315" s="115"/>
      <c r="R315" s="78"/>
      <c r="S315" s="79"/>
      <c r="T315" s="69"/>
      <c r="U315" s="61"/>
      <c r="W315" s="75"/>
    </row>
    <row r="316" spans="14:23" hidden="1">
      <c r="N316" s="62"/>
      <c r="O316" s="110"/>
      <c r="P316" s="62"/>
      <c r="Q316" s="115"/>
      <c r="R316" s="78"/>
      <c r="S316" s="79"/>
      <c r="T316" s="69"/>
      <c r="U316" s="61"/>
      <c r="W316" s="75"/>
    </row>
    <row r="317" spans="14:23" hidden="1">
      <c r="N317" s="62"/>
      <c r="O317" s="110"/>
      <c r="P317" s="62"/>
      <c r="Q317" s="115"/>
      <c r="R317" s="78"/>
      <c r="S317" s="79"/>
      <c r="T317" s="69"/>
      <c r="U317" s="61"/>
      <c r="W317" s="75"/>
    </row>
    <row r="318" spans="14:23" hidden="1">
      <c r="N318" s="62"/>
      <c r="O318" s="110"/>
      <c r="P318" s="62"/>
      <c r="Q318" s="115"/>
      <c r="R318" s="78"/>
      <c r="S318" s="79"/>
      <c r="T318" s="69"/>
      <c r="U318" s="61"/>
      <c r="W318" s="75"/>
    </row>
    <row r="319" spans="14:23" hidden="1">
      <c r="N319" s="62"/>
      <c r="O319" s="110"/>
      <c r="P319" s="62"/>
      <c r="Q319" s="115"/>
      <c r="R319" s="78"/>
      <c r="S319" s="79"/>
      <c r="T319" s="69"/>
      <c r="U319" s="61"/>
      <c r="W319" s="75"/>
    </row>
    <row r="320" spans="14:23" hidden="1">
      <c r="N320" s="62"/>
      <c r="O320" s="110"/>
      <c r="P320" s="62"/>
      <c r="Q320" s="115"/>
      <c r="R320" s="78"/>
      <c r="S320" s="79"/>
      <c r="T320" s="69"/>
      <c r="U320" s="61"/>
      <c r="W320" s="75"/>
    </row>
    <row r="321" spans="14:23" hidden="1">
      <c r="N321" s="62"/>
      <c r="O321" s="110"/>
      <c r="P321" s="62"/>
      <c r="Q321" s="115"/>
      <c r="R321" s="78"/>
      <c r="S321" s="79"/>
      <c r="T321" s="69"/>
      <c r="U321" s="61"/>
      <c r="W321" s="75"/>
    </row>
    <row r="322" spans="14:23" hidden="1">
      <c r="N322" s="62"/>
      <c r="O322" s="110"/>
      <c r="P322" s="62"/>
      <c r="Q322" s="115"/>
      <c r="R322" s="78"/>
      <c r="S322" s="79"/>
      <c r="T322" s="69"/>
      <c r="U322" s="61"/>
      <c r="W322" s="75"/>
    </row>
    <row r="323" spans="14:23" hidden="1">
      <c r="N323" s="62"/>
      <c r="O323" s="110"/>
      <c r="P323" s="62"/>
      <c r="Q323" s="115"/>
      <c r="R323" s="78"/>
      <c r="S323" s="79"/>
      <c r="T323" s="69"/>
      <c r="U323" s="61"/>
      <c r="W323" s="75"/>
    </row>
    <row r="324" spans="14:23" hidden="1">
      <c r="N324" s="62"/>
      <c r="O324" s="110"/>
      <c r="P324" s="62"/>
      <c r="Q324" s="115"/>
      <c r="R324" s="78"/>
      <c r="S324" s="79"/>
      <c r="T324" s="69"/>
      <c r="U324" s="61"/>
      <c r="W324" s="75"/>
    </row>
    <row r="325" spans="14:23" hidden="1">
      <c r="N325" s="62"/>
      <c r="O325" s="110"/>
      <c r="P325" s="62"/>
      <c r="Q325" s="115"/>
      <c r="R325" s="78"/>
      <c r="S325" s="79"/>
      <c r="T325" s="69"/>
      <c r="U325" s="61"/>
      <c r="W325" s="75"/>
    </row>
    <row r="326" spans="14:23" hidden="1">
      <c r="N326" s="62"/>
      <c r="O326" s="110"/>
      <c r="P326" s="62"/>
      <c r="Q326" s="115"/>
      <c r="R326" s="78"/>
      <c r="S326" s="79"/>
      <c r="T326" s="69"/>
      <c r="U326" s="61"/>
      <c r="W326" s="75"/>
    </row>
    <row r="327" spans="14:23" hidden="1">
      <c r="N327" s="62"/>
      <c r="O327" s="110"/>
      <c r="P327" s="62"/>
      <c r="Q327" s="115"/>
      <c r="R327" s="78"/>
      <c r="S327" s="79"/>
      <c r="T327" s="69"/>
      <c r="U327" s="61"/>
      <c r="W327" s="75"/>
    </row>
    <row r="328" spans="14:23" hidden="1">
      <c r="N328" s="62"/>
      <c r="O328" s="110"/>
      <c r="P328" s="62"/>
      <c r="Q328" s="115"/>
      <c r="R328" s="78"/>
      <c r="S328" s="79"/>
      <c r="T328" s="69"/>
      <c r="U328" s="61"/>
      <c r="W328" s="75"/>
    </row>
    <row r="329" spans="14:23" hidden="1">
      <c r="N329" s="62"/>
      <c r="O329" s="110"/>
      <c r="P329" s="62"/>
      <c r="Q329" s="115"/>
      <c r="R329" s="78"/>
      <c r="S329" s="79"/>
      <c r="T329" s="69"/>
      <c r="U329" s="61"/>
      <c r="W329" s="75"/>
    </row>
    <row r="330" spans="14:23" hidden="1">
      <c r="N330" s="62"/>
      <c r="O330" s="110"/>
      <c r="P330" s="62"/>
      <c r="Q330" s="115"/>
      <c r="R330" s="78"/>
      <c r="S330" s="79"/>
      <c r="T330" s="69"/>
      <c r="U330" s="61"/>
      <c r="W330" s="75"/>
    </row>
    <row r="331" spans="14:23" hidden="1">
      <c r="N331" s="62"/>
      <c r="O331" s="110"/>
      <c r="P331" s="62"/>
      <c r="Q331" s="115"/>
      <c r="R331" s="78"/>
      <c r="S331" s="79"/>
      <c r="T331" s="69"/>
      <c r="U331" s="61"/>
      <c r="W331" s="75"/>
    </row>
    <row r="332" spans="14:23" hidden="1">
      <c r="N332" s="62"/>
      <c r="O332" s="110"/>
      <c r="P332" s="62"/>
      <c r="Q332" s="115"/>
      <c r="R332" s="78"/>
      <c r="S332" s="79"/>
      <c r="T332" s="69"/>
      <c r="U332" s="61"/>
      <c r="W332" s="75"/>
    </row>
    <row r="333" spans="14:23" hidden="1">
      <c r="N333" s="62"/>
      <c r="O333" s="110"/>
      <c r="P333" s="62"/>
      <c r="Q333" s="115"/>
      <c r="R333" s="78"/>
      <c r="S333" s="79"/>
      <c r="T333" s="69"/>
      <c r="U333" s="61"/>
      <c r="W333" s="75"/>
    </row>
    <row r="334" spans="14:23" hidden="1">
      <c r="N334" s="62"/>
      <c r="O334" s="110"/>
      <c r="P334" s="62"/>
      <c r="Q334" s="115"/>
      <c r="R334" s="78"/>
      <c r="S334" s="79"/>
      <c r="T334" s="69"/>
      <c r="U334" s="61"/>
      <c r="W334" s="75"/>
    </row>
    <row r="335" spans="14:23" hidden="1">
      <c r="N335" s="62"/>
      <c r="O335" s="110"/>
      <c r="P335" s="62"/>
      <c r="Q335" s="115"/>
      <c r="R335" s="78"/>
      <c r="S335" s="79"/>
      <c r="T335" s="69"/>
      <c r="U335" s="61"/>
      <c r="W335" s="75"/>
    </row>
    <row r="336" spans="14:23" hidden="1">
      <c r="N336" s="62"/>
      <c r="O336" s="110"/>
      <c r="P336" s="62"/>
      <c r="Q336" s="115"/>
      <c r="R336" s="78"/>
      <c r="S336" s="79"/>
      <c r="T336" s="69"/>
      <c r="U336" s="61"/>
      <c r="W336" s="75"/>
    </row>
    <row r="337" spans="14:23" hidden="1">
      <c r="N337" s="62"/>
      <c r="O337" s="110"/>
      <c r="P337" s="62"/>
      <c r="Q337" s="115"/>
      <c r="R337" s="78"/>
      <c r="S337" s="79"/>
      <c r="T337" s="69"/>
      <c r="U337" s="61"/>
      <c r="W337" s="75"/>
    </row>
    <row r="338" spans="14:23" hidden="1">
      <c r="N338" s="62"/>
      <c r="O338" s="110"/>
      <c r="P338" s="62"/>
      <c r="Q338" s="115"/>
      <c r="R338" s="78"/>
      <c r="S338" s="79"/>
      <c r="T338" s="69"/>
      <c r="U338" s="61"/>
      <c r="W338" s="75"/>
    </row>
    <row r="339" spans="14:23" hidden="1">
      <c r="N339" s="62"/>
      <c r="O339" s="110"/>
      <c r="P339" s="62"/>
      <c r="Q339" s="115"/>
      <c r="R339" s="78"/>
      <c r="S339" s="79"/>
      <c r="T339" s="69"/>
      <c r="U339" s="61"/>
      <c r="W339" s="75"/>
    </row>
    <row r="340" spans="14:23" hidden="1">
      <c r="N340" s="62"/>
      <c r="O340" s="110"/>
      <c r="P340" s="62"/>
      <c r="Q340" s="115"/>
      <c r="R340" s="78"/>
      <c r="S340" s="79"/>
      <c r="T340" s="69"/>
      <c r="U340" s="61"/>
      <c r="W340" s="75"/>
    </row>
    <row r="341" spans="14:23" hidden="1">
      <c r="N341" s="62"/>
      <c r="O341" s="110"/>
      <c r="P341" s="62"/>
      <c r="Q341" s="115"/>
      <c r="R341" s="78"/>
      <c r="S341" s="79"/>
      <c r="T341" s="69"/>
      <c r="U341" s="61"/>
      <c r="W341" s="75"/>
    </row>
    <row r="342" spans="14:23" hidden="1">
      <c r="N342" s="62"/>
      <c r="O342" s="110"/>
      <c r="P342" s="62"/>
      <c r="Q342" s="115"/>
      <c r="R342" s="78"/>
      <c r="S342" s="79"/>
      <c r="T342" s="69"/>
      <c r="U342" s="61"/>
      <c r="W342" s="75"/>
    </row>
    <row r="343" spans="14:23" hidden="1">
      <c r="N343" s="62"/>
      <c r="O343" s="110"/>
      <c r="P343" s="62"/>
      <c r="Q343" s="115"/>
      <c r="R343" s="78"/>
      <c r="S343" s="79"/>
      <c r="T343" s="69"/>
      <c r="U343" s="61"/>
      <c r="W343" s="75"/>
    </row>
    <row r="344" spans="14:23" hidden="1">
      <c r="N344" s="62"/>
      <c r="O344" s="110"/>
      <c r="P344" s="62"/>
      <c r="Q344" s="115"/>
      <c r="R344" s="78"/>
      <c r="S344" s="79"/>
      <c r="T344" s="69"/>
      <c r="U344" s="61"/>
      <c r="W344" s="75"/>
    </row>
    <row r="345" spans="14:23" hidden="1">
      <c r="N345" s="62"/>
      <c r="O345" s="110"/>
      <c r="P345" s="62"/>
      <c r="Q345" s="115"/>
      <c r="R345" s="78"/>
      <c r="S345" s="79"/>
      <c r="T345" s="69"/>
      <c r="U345" s="61"/>
      <c r="W345" s="75"/>
    </row>
    <row r="346" spans="14:23" hidden="1">
      <c r="N346" s="62"/>
      <c r="O346" s="110"/>
      <c r="P346" s="62"/>
      <c r="Q346" s="115"/>
      <c r="R346" s="78"/>
      <c r="S346" s="79"/>
      <c r="T346" s="69"/>
      <c r="U346" s="61"/>
      <c r="W346" s="75"/>
    </row>
    <row r="347" spans="14:23" hidden="1">
      <c r="N347" s="62"/>
      <c r="O347" s="110"/>
      <c r="P347" s="62"/>
      <c r="Q347" s="115"/>
      <c r="R347" s="78"/>
      <c r="S347" s="79"/>
      <c r="T347" s="69"/>
      <c r="U347" s="61"/>
      <c r="W347" s="75"/>
    </row>
    <row r="348" spans="14:23" hidden="1">
      <c r="N348" s="62"/>
      <c r="O348" s="110"/>
      <c r="P348" s="62"/>
      <c r="Q348" s="115"/>
      <c r="R348" s="78"/>
      <c r="S348" s="79"/>
      <c r="T348" s="69"/>
      <c r="U348" s="61"/>
      <c r="W348" s="75"/>
    </row>
    <row r="349" spans="14:23" hidden="1">
      <c r="N349" s="62"/>
      <c r="O349" s="110"/>
      <c r="P349" s="62"/>
      <c r="Q349" s="115"/>
      <c r="R349" s="78"/>
      <c r="S349" s="79"/>
      <c r="T349" s="69"/>
      <c r="U349" s="61"/>
      <c r="W349" s="75"/>
    </row>
    <row r="350" spans="14:23" hidden="1">
      <c r="N350" s="62"/>
      <c r="O350" s="110"/>
      <c r="P350" s="62"/>
      <c r="Q350" s="115"/>
      <c r="R350" s="78"/>
      <c r="S350" s="79"/>
      <c r="T350" s="69"/>
      <c r="U350" s="61"/>
      <c r="W350" s="75"/>
    </row>
    <row r="351" spans="14:23" hidden="1">
      <c r="N351" s="62"/>
      <c r="O351" s="110"/>
      <c r="P351" s="62"/>
      <c r="Q351" s="115"/>
      <c r="R351" s="78"/>
      <c r="S351" s="79"/>
      <c r="T351" s="69"/>
      <c r="U351" s="61"/>
      <c r="W351" s="75"/>
    </row>
    <row r="352" spans="14:23" hidden="1">
      <c r="N352" s="62"/>
      <c r="O352" s="110"/>
      <c r="P352" s="62"/>
      <c r="Q352" s="115"/>
      <c r="R352" s="78"/>
      <c r="S352" s="79"/>
      <c r="T352" s="69"/>
      <c r="U352" s="61"/>
      <c r="W352" s="75"/>
    </row>
    <row r="353" spans="14:23" hidden="1">
      <c r="N353" s="62"/>
      <c r="O353" s="110"/>
      <c r="P353" s="62"/>
      <c r="Q353" s="115"/>
      <c r="R353" s="78"/>
      <c r="S353" s="79"/>
      <c r="T353" s="69"/>
      <c r="U353" s="61"/>
      <c r="W353" s="75"/>
    </row>
    <row r="354" spans="14:23" hidden="1">
      <c r="N354" s="62"/>
      <c r="O354" s="110"/>
      <c r="P354" s="62"/>
      <c r="Q354" s="115"/>
      <c r="R354" s="78"/>
      <c r="S354" s="79"/>
      <c r="T354" s="69"/>
      <c r="U354" s="61"/>
      <c r="W354" s="75"/>
    </row>
    <row r="355" spans="14:23" hidden="1">
      <c r="N355" s="62"/>
      <c r="O355" s="110"/>
      <c r="P355" s="62"/>
      <c r="Q355" s="115"/>
      <c r="R355" s="78"/>
      <c r="S355" s="79"/>
      <c r="T355" s="69"/>
      <c r="U355" s="61"/>
      <c r="W355" s="75"/>
    </row>
    <row r="356" spans="14:23" hidden="1">
      <c r="N356" s="62"/>
      <c r="O356" s="110"/>
      <c r="P356" s="62"/>
      <c r="Q356" s="115"/>
      <c r="R356" s="78"/>
      <c r="S356" s="79"/>
      <c r="T356" s="69"/>
      <c r="U356" s="61"/>
      <c r="W356" s="75"/>
    </row>
    <row r="357" spans="14:23" hidden="1">
      <c r="N357" s="62"/>
      <c r="O357" s="110"/>
      <c r="P357" s="62"/>
      <c r="Q357" s="115"/>
      <c r="R357" s="78"/>
      <c r="S357" s="79"/>
      <c r="T357" s="69"/>
      <c r="U357" s="61"/>
      <c r="W357" s="75"/>
    </row>
    <row r="358" spans="14:23" hidden="1">
      <c r="N358" s="62"/>
      <c r="O358" s="110"/>
      <c r="P358" s="62"/>
      <c r="Q358" s="115"/>
      <c r="R358" s="78"/>
      <c r="S358" s="79"/>
      <c r="T358" s="69"/>
      <c r="U358" s="61"/>
      <c r="W358" s="75"/>
    </row>
    <row r="359" spans="14:23" hidden="1">
      <c r="N359" s="62"/>
      <c r="O359" s="110"/>
      <c r="P359" s="62"/>
      <c r="Q359" s="115"/>
      <c r="R359" s="78"/>
      <c r="S359" s="79"/>
      <c r="T359" s="69"/>
      <c r="U359" s="61"/>
      <c r="W359" s="75"/>
    </row>
    <row r="360" spans="14:23" hidden="1">
      <c r="N360" s="62"/>
      <c r="O360" s="110"/>
      <c r="P360" s="62"/>
      <c r="Q360" s="115"/>
      <c r="R360" s="78"/>
      <c r="S360" s="79"/>
      <c r="T360" s="69"/>
      <c r="U360" s="61"/>
      <c r="W360" s="75"/>
    </row>
    <row r="361" spans="14:23" hidden="1">
      <c r="N361" s="62"/>
      <c r="O361" s="110"/>
      <c r="P361" s="62"/>
      <c r="Q361" s="115"/>
      <c r="R361" s="78"/>
      <c r="S361" s="79"/>
      <c r="T361" s="69"/>
      <c r="U361" s="61"/>
      <c r="W361" s="75"/>
    </row>
    <row r="362" spans="14:23" hidden="1">
      <c r="N362" s="62"/>
      <c r="O362" s="110"/>
      <c r="P362" s="62"/>
      <c r="Q362" s="115"/>
      <c r="R362" s="78"/>
      <c r="S362" s="79"/>
      <c r="T362" s="69"/>
      <c r="U362" s="61"/>
      <c r="W362" s="75"/>
    </row>
    <row r="363" spans="14:23" hidden="1">
      <c r="N363" s="62"/>
      <c r="O363" s="110"/>
      <c r="P363" s="62"/>
      <c r="Q363" s="115"/>
      <c r="R363" s="78"/>
      <c r="S363" s="79"/>
      <c r="T363" s="69"/>
      <c r="U363" s="61"/>
      <c r="W363" s="75"/>
    </row>
  </sheetData>
  <conditionalFormatting sqref="V8:V363">
    <cfRule type="cellIs" dxfId="0" priority="1" operator="equal">
      <formula>1</formula>
    </cfRule>
  </conditionalFormatting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>
    <tabColor theme="0" tint="-0.14999847407452621"/>
  </sheetPr>
  <dimension ref="A1:K18"/>
  <sheetViews>
    <sheetView showGridLines="0" workbookViewId="0">
      <selection activeCell="K15" sqref="K15"/>
    </sheetView>
  </sheetViews>
  <sheetFormatPr baseColWidth="10" defaultColWidth="0" defaultRowHeight="15" zeroHeight="1"/>
  <cols>
    <col min="1" max="1" width="11.5703125" bestFit="1" customWidth="1"/>
    <col min="2" max="2" width="17.42578125" bestFit="1" customWidth="1"/>
    <col min="3" max="3" width="8.7109375" customWidth="1"/>
    <col min="4" max="4" width="12.7109375" customWidth="1"/>
    <col min="5" max="5" width="1.7109375" style="5" customWidth="1"/>
    <col min="6" max="6" width="12.7109375" customWidth="1"/>
    <col min="7" max="7" width="1.7109375" customWidth="1"/>
    <col min="8" max="8" width="11.42578125" customWidth="1"/>
    <col min="9" max="9" width="1.7109375" style="5" customWidth="1"/>
    <col min="10" max="11" width="11.42578125" customWidth="1"/>
    <col min="12" max="16384" width="11.42578125" hidden="1"/>
  </cols>
  <sheetData>
    <row r="1" spans="1:10"/>
    <row r="2" spans="1:10"/>
    <row r="3" spans="1:10"/>
    <row r="4" spans="1:10" ht="15.75" thickBot="1">
      <c r="A4" s="5"/>
    </row>
    <row r="5" spans="1:10">
      <c r="A5" s="1"/>
      <c r="B5" s="1"/>
      <c r="C5" s="33"/>
      <c r="D5" s="574" t="s">
        <v>143</v>
      </c>
      <c r="E5" s="574"/>
      <c r="F5" s="575"/>
      <c r="G5" s="19"/>
      <c r="H5" s="20" t="s">
        <v>62</v>
      </c>
      <c r="J5" s="9" t="s">
        <v>61</v>
      </c>
    </row>
    <row r="6" spans="1:10">
      <c r="A6" s="5" t="s">
        <v>145</v>
      </c>
      <c r="B6" s="8">
        <v>42768</v>
      </c>
      <c r="C6" s="237" t="str">
        <f>CONCATENATE("&lt;",B6)</f>
        <v>&lt;42768</v>
      </c>
      <c r="D6" s="35" t="s">
        <v>144</v>
      </c>
      <c r="E6" s="9"/>
      <c r="F6" s="10" t="s">
        <v>145</v>
      </c>
      <c r="G6" s="1"/>
      <c r="H6" s="21" t="s">
        <v>144</v>
      </c>
      <c r="J6" s="9">
        <f ca="1">J8+J12</f>
        <v>-40.795014265216309</v>
      </c>
    </row>
    <row r="7" spans="1:10" ht="15.75" thickBot="1">
      <c r="A7" s="25"/>
      <c r="B7" s="25"/>
      <c r="C7" s="34"/>
      <c r="D7" s="32" t="s">
        <v>145</v>
      </c>
      <c r="E7" s="27"/>
      <c r="F7" s="28" t="s">
        <v>146</v>
      </c>
      <c r="G7" s="25"/>
      <c r="H7" s="29" t="s">
        <v>146</v>
      </c>
      <c r="J7" s="11" t="s">
        <v>160</v>
      </c>
    </row>
    <row r="8" spans="1:10">
      <c r="A8" s="576" t="s">
        <v>1</v>
      </c>
      <c r="B8" s="19" t="s">
        <v>147</v>
      </c>
      <c r="C8" s="30" t="s">
        <v>68</v>
      </c>
      <c r="D8" s="238">
        <f>Inputs!C15</f>
        <v>66.64</v>
      </c>
      <c r="E8" s="239"/>
      <c r="F8" s="240">
        <f>VLOOKUP(B6,Nitro,32)</f>
        <v>54.884985734783456</v>
      </c>
      <c r="G8" s="239"/>
      <c r="H8" s="241">
        <f>D8</f>
        <v>66.64</v>
      </c>
      <c r="I8" s="7"/>
      <c r="J8" s="7">
        <f ca="1">SUM(H8:H11)</f>
        <v>669.37864516129036</v>
      </c>
    </row>
    <row r="9" spans="1:10">
      <c r="A9" s="577"/>
      <c r="B9" s="1" t="s">
        <v>152</v>
      </c>
      <c r="C9" s="23" t="s">
        <v>63</v>
      </c>
      <c r="D9" s="242">
        <f>SUMIF(Nitro!A45:A228,C6,Nitro!Z45:Z228)</f>
        <v>180.45999999999998</v>
      </c>
      <c r="E9" s="243"/>
      <c r="F9" s="244">
        <f ca="1">SUMIF(Nitro!Z45:Z232,C6,Nitro!Z45:Z228)</f>
        <v>180.45999999999998</v>
      </c>
      <c r="G9" s="243"/>
      <c r="H9" s="245">
        <f ca="1">SUM(D9:F9)</f>
        <v>360.91999999999996</v>
      </c>
      <c r="I9" s="7"/>
    </row>
    <row r="10" spans="1:10">
      <c r="A10" s="577"/>
      <c r="B10" s="1" t="s">
        <v>148</v>
      </c>
      <c r="C10" s="22" t="s">
        <v>64</v>
      </c>
      <c r="D10" s="242">
        <f>SUMIF(Nitro!A45:A228,C6,Nitro!Y45:Y228)</f>
        <v>18.290322580645153</v>
      </c>
      <c r="E10" s="243"/>
      <c r="F10" s="244">
        <f>SUMIF(Nitro!A46:A233,C6,Nitro!Y46:Y233)</f>
        <v>18.290322580645153</v>
      </c>
      <c r="G10" s="243"/>
      <c r="H10" s="245">
        <f>SUM(D10:F10)</f>
        <v>36.580645161290306</v>
      </c>
      <c r="I10" s="7"/>
    </row>
    <row r="11" spans="1:10" ht="15.75" thickBot="1">
      <c r="A11" s="578"/>
      <c r="B11" s="25" t="s">
        <v>137</v>
      </c>
      <c r="C11" s="31" t="s">
        <v>65</v>
      </c>
      <c r="D11" s="246">
        <f>SUMIF(Nitro!A45:A228,C6,Nitro!X45:X228)</f>
        <v>102.61900000000007</v>
      </c>
      <c r="E11" s="247"/>
      <c r="F11" s="248">
        <f>SUMIF(Nitro!A45:A228,C6,Nitro!X45:X228)</f>
        <v>102.61900000000007</v>
      </c>
      <c r="G11" s="247"/>
      <c r="H11" s="249">
        <f>SUM(D11:F11)</f>
        <v>205.23800000000014</v>
      </c>
      <c r="I11" s="7"/>
    </row>
    <row r="12" spans="1:10">
      <c r="A12" s="579" t="s">
        <v>51</v>
      </c>
      <c r="B12" s="1" t="s">
        <v>149</v>
      </c>
      <c r="C12" s="22" t="s">
        <v>66</v>
      </c>
      <c r="D12" s="242">
        <f>SUMIF(Nitro!A45:A228,C6,Nitro!AD45:AD228)</f>
        <v>-325.66049999999956</v>
      </c>
      <c r="E12" s="243"/>
      <c r="F12" s="244">
        <f>SUMIF(Nitro!A45:A228,C6,Nitro!AD45:AD228)</f>
        <v>-325.66049999999956</v>
      </c>
      <c r="G12" s="243"/>
      <c r="H12" s="245">
        <f>SUM(D12:F12)</f>
        <v>-651.32099999999912</v>
      </c>
      <c r="I12" s="7"/>
      <c r="J12" s="7">
        <f>SUM(H12:H14)</f>
        <v>-710.17365942650667</v>
      </c>
    </row>
    <row r="13" spans="1:10">
      <c r="A13" s="580"/>
      <c r="B13" s="1" t="s">
        <v>150</v>
      </c>
      <c r="C13" s="24" t="s">
        <v>67</v>
      </c>
      <c r="D13" s="242">
        <f>SUMIF(Nitro!A45:A228,C6,Nitro!AC45:AC228)</f>
        <v>-1.9838368458620446</v>
      </c>
      <c r="E13" s="243"/>
      <c r="F13" s="244">
        <f>SUMIF(Nitro!A45:A228,C6,Nitro!AC45:AC228)</f>
        <v>-1.9838368458620446</v>
      </c>
      <c r="G13" s="243"/>
      <c r="H13" s="245">
        <f>SUM(D13:F13)</f>
        <v>-3.9676736917240891</v>
      </c>
      <c r="I13" s="7"/>
    </row>
    <row r="14" spans="1:10" ht="15.75" thickBot="1">
      <c r="A14" s="581"/>
      <c r="B14" s="25" t="s">
        <v>151</v>
      </c>
      <c r="C14" s="26" t="s">
        <v>69</v>
      </c>
      <c r="D14" s="246">
        <f>-VLOOKUP(B6-1,Nitro,32)</f>
        <v>-54.884985734783456</v>
      </c>
      <c r="E14" s="247"/>
      <c r="F14" s="248">
        <f>-VLOOKUP(B6-1,Nitro,32)</f>
        <v>-54.884985734783456</v>
      </c>
      <c r="G14" s="247"/>
      <c r="H14" s="249">
        <f>F14</f>
        <v>-54.884985734783456</v>
      </c>
      <c r="I14" s="7"/>
    </row>
    <row r="15" spans="1:10"/>
    <row r="17" spans="6:6" hidden="1">
      <c r="F17" s="1"/>
    </row>
    <row r="18" spans="6:6" hidden="1">
      <c r="F18" s="1"/>
    </row>
  </sheetData>
  <mergeCells count="3">
    <mergeCell ref="D5:F5"/>
    <mergeCell ref="A8:A11"/>
    <mergeCell ref="A12:A14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9">
    <tabColor theme="0" tint="-0.14999847407452621"/>
  </sheetPr>
  <dimension ref="A1:E10"/>
  <sheetViews>
    <sheetView showGridLines="0" workbookViewId="0">
      <selection activeCell="A9" sqref="A9"/>
    </sheetView>
  </sheetViews>
  <sheetFormatPr baseColWidth="10" defaultColWidth="0" defaultRowHeight="15" zeroHeight="1"/>
  <cols>
    <col min="1" max="1" width="24.28515625" customWidth="1"/>
    <col min="2" max="4" width="11.42578125" customWidth="1"/>
    <col min="5" max="5" width="3" customWidth="1"/>
    <col min="6" max="16384" width="11.42578125" hidden="1"/>
  </cols>
  <sheetData>
    <row r="1" spans="1:4"/>
    <row r="2" spans="1:4">
      <c r="A2" s="38" t="s">
        <v>369</v>
      </c>
      <c r="B2" s="120">
        <v>26</v>
      </c>
      <c r="C2" t="s">
        <v>370</v>
      </c>
    </row>
    <row r="3" spans="1:4">
      <c r="A3" s="38"/>
      <c r="B3" s="62">
        <f>B2*10</f>
        <v>260</v>
      </c>
      <c r="C3" t="s">
        <v>371</v>
      </c>
    </row>
    <row r="4" spans="1:4">
      <c r="A4" s="38"/>
      <c r="B4" s="62">
        <f>B3*1000</f>
        <v>260000</v>
      </c>
      <c r="C4" t="s">
        <v>546</v>
      </c>
    </row>
    <row r="5" spans="1:4">
      <c r="A5" s="38"/>
    </row>
    <row r="6" spans="1:4">
      <c r="A6" s="38" t="s">
        <v>372</v>
      </c>
      <c r="B6" s="120">
        <v>25</v>
      </c>
      <c r="C6" t="s">
        <v>8</v>
      </c>
    </row>
    <row r="7" spans="1:4">
      <c r="A7" s="38" t="s">
        <v>373</v>
      </c>
      <c r="B7" s="3">
        <f>B6*14/62</f>
        <v>5.645161290322581</v>
      </c>
      <c r="C7" t="s">
        <v>374</v>
      </c>
    </row>
    <row r="8" spans="1:4">
      <c r="B8" s="43">
        <f>B4*B7</f>
        <v>1467741.935483871</v>
      </c>
      <c r="C8" t="s">
        <v>375</v>
      </c>
    </row>
    <row r="9" spans="1:4">
      <c r="B9" s="3">
        <f>B8/1000000</f>
        <v>1.467741935483871</v>
      </c>
      <c r="C9" t="s">
        <v>9</v>
      </c>
      <c r="D9" s="228">
        <f>B2*B6*14/(62*100)</f>
        <v>1.467741935483871</v>
      </c>
    </row>
    <row r="10" spans="1:4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15</vt:i4>
      </vt:variant>
      <vt:variant>
        <vt:lpstr>Gráficos</vt:lpstr>
      </vt:variant>
      <vt:variant>
        <vt:i4>1</vt:i4>
      </vt:variant>
      <vt:variant>
        <vt:lpstr>Rangos con nombre</vt:lpstr>
      </vt:variant>
      <vt:variant>
        <vt:i4>18</vt:i4>
      </vt:variant>
    </vt:vector>
  </HeadingPairs>
  <TitlesOfParts>
    <vt:vector size="34" baseType="lpstr">
      <vt:lpstr>Nomen</vt:lpstr>
      <vt:lpstr>Inputs</vt:lpstr>
      <vt:lpstr>Nitro</vt:lpstr>
      <vt:lpstr>F TrB</vt:lpstr>
      <vt:lpstr>CSV</vt:lpstr>
      <vt:lpstr>CSV SWB</vt:lpstr>
      <vt:lpstr>SWB</vt:lpstr>
      <vt:lpstr>Riego</vt:lpstr>
      <vt:lpstr>Clima</vt:lpstr>
      <vt:lpstr>NDVI real</vt:lpstr>
      <vt:lpstr>Resume</vt:lpstr>
      <vt:lpstr>Res Bal Sem</vt:lpstr>
      <vt:lpstr>NDVI tipo</vt:lpstr>
      <vt:lpstr>Res N Fecha</vt:lpstr>
      <vt:lpstr>Calc Nitratos</vt:lpstr>
      <vt:lpstr>Gráfico1</vt:lpstr>
      <vt:lpstr>'CSV SWB'!BalAgua</vt:lpstr>
      <vt:lpstr>BalAgua</vt:lpstr>
      <vt:lpstr>BalN</vt:lpstr>
      <vt:lpstr>CSVAgro</vt:lpstr>
      <vt:lpstr>CSVSWB</vt:lpstr>
      <vt:lpstr>Cultivos</vt:lpstr>
      <vt:lpstr>Data</vt:lpstr>
      <vt:lpstr>Extracciones</vt:lpstr>
      <vt:lpstr>FenoT</vt:lpstr>
      <vt:lpstr>Fertiliz</vt:lpstr>
      <vt:lpstr>Fertiliza</vt:lpstr>
      <vt:lpstr>Finca</vt:lpstr>
      <vt:lpstr>Mineral</vt:lpstr>
      <vt:lpstr>MO</vt:lpstr>
      <vt:lpstr>Nitro</vt:lpstr>
      <vt:lpstr>Nmin</vt:lpstr>
      <vt:lpstr>Parcelas</vt:lpstr>
      <vt:lpstr>Riegos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 Jara</dc:creator>
  <cp:lastModifiedBy>Fran Jara</cp:lastModifiedBy>
  <cp:lastPrinted>2015-10-01T08:34:05Z</cp:lastPrinted>
  <dcterms:created xsi:type="dcterms:W3CDTF">2014-06-08T09:16:40Z</dcterms:created>
  <dcterms:modified xsi:type="dcterms:W3CDTF">2021-03-01T11:03:22Z</dcterms:modified>
</cp:coreProperties>
</file>